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omments8.xml" ContentType="application/vnd.openxmlformats-officedocument.spreadsheetml.comments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vancement" sheetId="2" state="visible" r:id="rId4"/>
    <sheet name="Frise" sheetId="3" state="visible" r:id="rId5"/>
    <sheet name="Capacités" sheetId="4" state="visible" r:id="rId6"/>
    <sheet name="Extinction IKS" sheetId="5" state="visible" r:id="rId7"/>
    <sheet name="Synthèse" sheetId="6" state="visible" r:id="rId8"/>
    <sheet name="Mode d'emploi" sheetId="7" state="visible" r:id="rId9"/>
    <sheet name="Applications" sheetId="8" state="visible" r:id="rId10"/>
    <sheet name="Clusters" sheetId="9" state="visible" r:id="rId11"/>
    <sheet name="Paramètres &amp; ABS" sheetId="10" state="visible" r:id="rId12"/>
    <sheet name="Calculs" sheetId="11" state="visible" r:id="rId13"/>
  </sheets>
  <definedNames>
    <definedName function="false" hidden="false" name="av_domc" vbProcedure="false">Avancement!$AE$4</definedName>
    <definedName function="false" hidden="false" name="av_env" vbProcedure="false">Avancement!$C$4</definedName>
    <definedName function="false" hidden="false" name="av_envc" vbProcedure="false">Avancement!$AD$4</definedName>
    <definedName function="false" hidden="false" name="av_mois" vbProcedure="false">Avancement!$AG$4</definedName>
    <definedName function="false" hidden="false" name="av_tric" vbProcedure="false">Avancement!$AF$4</definedName>
    <definedName function="false" hidden="false" name="ca_envc" vbProcedure="false">Capacités!$AD$4</definedName>
    <definedName function="false" hidden="false" name="ca_mesure" vbProcedure="false">Capacités!$F$4</definedName>
    <definedName function="false" hidden="false" name="ca_mois" vbProcedure="false">Capacités!$AE$4</definedName>
    <definedName function="false" hidden="false" name="ex_domc" vbProcedure="false">'Extinction IKS'!$AE$4</definedName>
    <definedName function="false" hidden="false" name="ex_envc" vbProcedure="false">'Extinction IKS'!$AD$4</definedName>
    <definedName function="false" hidden="false" name="ex_mois" vbProcedure="false">'Extinction IKS'!$AG$4</definedName>
    <definedName function="false" hidden="false" name="ex_tric" vbProcedure="false">'Extinction IKS'!$AF$4</definedName>
    <definedName function="false" hidden="false" name="p_debut" vbProcedure="false">'Paramètres &amp; ABS'!$C$4</definedName>
    <definedName function="false" hidden="false" name="p_env" vbProcedure="false">Dashboard!$C$8</definedName>
    <definedName function="false" hidden="false" name="p_envcrit" vbProcedure="false">Dashboard!$D$8</definedName>
    <definedName function="false" hidden="false" name="p_facteur" vbProcedure="false">'Paramètres &amp; ABS'!$C$11</definedName>
    <definedName function="false" hidden="false" name="p_fermauto" vbProcedure="false">'Paramètres &amp; ABS'!$C$18</definedName>
    <definedName function="false" hidden="false" name="p_fin" vbProcedure="false">'Paramètres &amp; ABS'!$C$6</definedName>
    <definedName function="false" hidden="false" name="p_horizon" vbProcedure="false">'Paramètres &amp; ABS'!$C$5</definedName>
    <definedName function="false" hidden="false" name="p_iks_cpu" vbProcedure="false">'Paramètres &amp; ABS'!$C$12</definedName>
    <definedName function="false" hidden="false" name="p_iks_ram" vbProcedure="false">'Paramètres &amp; ABS'!$C$13</definedName>
    <definedName function="false" hidden="false" name="p_margeCPU" vbProcedure="false">'Paramètres &amp; ABS'!$C$7</definedName>
    <definedName function="false" hidden="false" name="p_margeRAM" vbProcedure="false">'Paramètres &amp; ABS'!$C$8</definedName>
    <definedName function="false" hidden="false" name="p_maxworkers" vbProcedure="false">'Paramètres &amp; ABS'!$C$16</definedName>
    <definedName function="false" hidden="false" name="p_mode" vbProcedure="false">'Paramètres &amp; ABS'!$C$9</definedName>
    <definedName function="false" hidden="false" name="p_periodicite" vbProcedure="false">'Paramètres &amp; ABS'!$C$10</definedName>
    <definedName function="false" hidden="false" name="p_poidsram" vbProcedure="false">'Paramètres &amp; ABS'!$C$17</definedName>
    <definedName function="false" hidden="false" name="p_roks_cpu" vbProcedure="false">'Paramètres &amp; ABS'!$C$14</definedName>
    <definedName function="false" hidden="false" name="p_roks_ram" vbProcedure="false">'Paramètres &amp; ABS'!$C$15</definedName>
    <definedName function="false" hidden="false" name="TblClusters_Cluster" vbProcedure="false">Clusters!$B$6:$B$35</definedName>
    <definedName function="false" hidden="false" localSheetId="0" name="dom_iks" vbProcedure="false">OFFSET(Dashboard!$J$63,0,0,MAX(1,COUNTA(TblDomaines[Domaine])),1)</definedName>
    <definedName function="false" hidden="false" localSheetId="0" name="dom_nom" vbProcedure="false">OFFSET(Dashboard!$I$63,0,0,MAX(1,COUNTA(TblDomaines[Domaine])),1)</definedName>
    <definedName function="false" hidden="false" localSheetId="0" name="dom_roks" vbProcedure="false">OFFSET(Dashboard!$K$63,0,0,MAX(1,COUNTA(TblDomaines[Domaine])),1)</definedName>
    <definedName function="false" hidden="false" localSheetId="0" name="tr_iks" vbProcedure="false">OFFSET(Dashboard!$D$63,0,0,MAX(1,COUNTA(TblTribes[Tribe])),1)</definedName>
    <definedName function="false" hidden="false" localSheetId="0" name="tr_nom" vbProcedure="false">OFFSET(Dashboard!$B$63,0,0,MAX(1,COUNTA(TblTribes[Tribe])),1)</definedName>
    <definedName function="false" hidden="false" localSheetId="0" name="tr_roks" vbProcedure="false">OFFSET(Dashboard!$E$63,0,0,MAX(1,COUNTA(TblTribes[Tribe])),1)</definedName>
    <definedName function="false" hidden="false" localSheetId="1" name="av_bas" vbProcedure="false">OFFSET(Avancement!$AW$63,0,0,MAX(1,p_horizon),1)</definedName>
    <definedName function="false" hidden="false" localSheetId="1" name="av_dec" vbProcedure="false">OFFSET(Avancement!$AX$63,0,0,MAX(1,p_horizon),1)</definedName>
    <definedName function="false" hidden="false" localSheetId="1" name="av_dom_0" vbProcedure="false">OFFSET(Avancement!$L$34,0,0,MAX(1,COUNTA(TblDomaines[Domaine])),1)</definedName>
    <definedName function="false" hidden="false" localSheetId="1" name="av_dom_1" vbProcedure="false">OFFSET(Avancement!$M$34,0,0,MAX(1,COUNTA(TblDomaines[Domaine])),1)</definedName>
    <definedName function="false" hidden="false" localSheetId="1" name="av_dom_2" vbProcedure="false">OFFSET(Avancement!$N$34,0,0,MAX(1,COUNTA(TblDomaines[Domaine])),1)</definedName>
    <definedName function="false" hidden="false" localSheetId="1" name="av_dom_3" vbProcedure="false">OFFSET(Avancement!$O$34,0,0,MAX(1,COUNTA(TblDomaines[Domaine])),1)</definedName>
    <definedName function="false" hidden="false" localSheetId="1" name="av_dom_nom" vbProcedure="false">OFFSET(Avancement!$K$34,0,0,MAX(1,COUNTA(TblDomaines[Domaine])),1)</definedName>
    <definedName function="false" hidden="false" localSheetId="1" name="av_m" vbProcedure="false">OFFSET(Avancement!$AV$63,0,0,MAX(1,p_horizon),1)</definedName>
    <definedName function="false" hidden="false" localSheetId="1" name="av_pct" vbProcedure="false">OFFSET(Avancement!$AZ$63,0,0,MAX(1,p_horizon),1)</definedName>
    <definedName function="false" hidden="false" localSheetId="1" name="av_tr_0" vbProcedure="false">OFFSET(Avancement!$D$34,0,0,MAX(1,COUNTA(TblTribes[Tribe])),1)</definedName>
    <definedName function="false" hidden="false" localSheetId="1" name="av_tr_1" vbProcedure="false">OFFSET(Avancement!$E$34,0,0,MAX(1,COUNTA(TblTribes[Tribe])),1)</definedName>
    <definedName function="false" hidden="false" localSheetId="1" name="av_tr_2" vbProcedure="false">OFFSET(Avancement!$F$34,0,0,MAX(1,COUNTA(TblTribes[Tribe])),1)</definedName>
    <definedName function="false" hidden="false" localSheetId="1" name="av_tr_3" vbProcedure="false">OFFSET(Avancement!$G$34,0,0,MAX(1,COUNTA(TblTribes[Tribe])),1)</definedName>
    <definedName function="false" hidden="false" localSheetId="1" name="av_tr_nom" vbProcedure="false">OFFSET(Avancement!$B$34,0,0,MAX(1,COUNTA(TblTribes[Tribe])),1)</definedName>
    <definedName function="false" hidden="false" localSheetId="3" name="cp_ci" vbProcedure="false">OFFSET(Capacités!$C$70,0,0,MAX(1,p_horizon),1)</definedName>
    <definedName function="false" hidden="false" localSheetId="3" name="cp_cr" vbProcedure="false">OFFSET(Capacités!$D$70,0,0,MAX(1,p_horizon),1)</definedName>
    <definedName function="false" hidden="false" localSheetId="3" name="cp_m" vbProcedure="false">OFFSET(Capacités!$B$70,0,0,MAX(1,p_horizon),1)</definedName>
    <definedName function="false" hidden="false" localSheetId="3" name="cp_ri" vbProcedure="false">OFFSET(Capacités!$E$70,0,0,MAX(1,p_horizon),1)</definedName>
    <definedName function="false" hidden="false" localSheetId="3" name="cp_rr" vbProcedure="false">OFFSET(Capacités!$F$70,0,0,MAX(1,p_horizon),1)</definedName>
    <definedName function="false" hidden="false" localSheetId="3" name="cp_wi" vbProcedure="false">OFFSET(Capacités!$G$70,0,0,MAX(1,p_horizon),1)</definedName>
    <definedName function="false" hidden="false" localSheetId="3" name="cp_wr" vbProcedure="false">OFFSET(Capacités!$H$70,0,0,MAX(1,p_horizon),1)</definedName>
    <definedName function="false" hidden="false" localSheetId="4" name="ex_cl" vbProcedure="false">OFFSET('Extinction IKS'!$Q$32,0,0,MAX(1,p_horizon),1)</definedName>
    <definedName function="false" hidden="false" localSheetId="4" name="ex_cost" vbProcedure="false">OFFSET('Extinction IKS'!$O$32,0,0,MAX(1,p_horizon),1)</definedName>
    <definedName function="false" hidden="false" localSheetId="4" name="ex_dep" vbProcedure="false">OFFSET('Extinction IKS'!$P$32,0,0,MAX(1,p_horizon),1)</definedName>
    <definedName function="false" hidden="false" localSheetId="4" name="ex_m" vbProcedure="false">OFFSET('Extinction IKS'!$N$32,0,0,MAX(1,p_horizon),1)</definedName>
    <definedName function="false" hidden="false" localSheetId="4" name="ex_res" vbProcedure="false">OFFSET('Extinction IKS'!$R$32,0,0,MAX(1,p_horizon),1)</definedName>
    <definedName function="false" hidden="false" localSheetId="5" name="ch_cout_iks" vbProcedure="false">OFFSET(Synthèse!$I$23,0,0,p_horizon,1)</definedName>
    <definedName function="false" hidden="false" localSheetId="5" name="ch_cout_roks" vbProcedure="false">OFFSET(Synthèse!$J$23,0,0,p_horizon,1)</definedName>
    <definedName function="false" hidden="false" localSheetId="5" name="ch_cpu_iks" vbProcedure="false">OFFSET(Synthèse!$C$23,0,0,p_horizon,1)</definedName>
    <definedName function="false" hidden="false" localSheetId="5" name="ch_cpu_roks" vbProcedure="false">OFFSET(Synthèse!$D$23,0,0,p_horizon,1)</definedName>
    <definedName function="false" hidden="false" localSheetId="5" name="ch_dr_cumul" vbProcedure="false">OFFSET(Synthèse!$M$23,0,0,p_horizon,1)</definedName>
    <definedName function="false" hidden="false" localSheetId="5" name="ch_dr_mois" vbProcedure="false">OFFSET(Synthèse!$L$23,0,0,p_horizon,1)</definedName>
    <definedName function="false" hidden="false" localSheetId="5" name="ch_mois" vbProcedure="false">OFFSET(Synthèse!$B$23,0,0,p_horizon,1)</definedName>
    <definedName function="false" hidden="false" localSheetId="5" name="ch_ram_iks" vbProcedure="false">OFFSET(Synthèse!$E$23,0,0,p_horizon,1)</definedName>
    <definedName function="false" hidden="false" localSheetId="5" name="ch_ram_roks" vbProcedure="false">OFFSET(Synthèse!$F$23,0,0,p_horizon,1)</definedName>
    <definedName function="false" hidden="false" localSheetId="5" name="ch_sel_dr" vbProcedure="false">OFFSET(Synthèse!$W$23,0,0,p_horizon,1)</definedName>
    <definedName function="false" hidden="false" localSheetId="5" name="ch_sel_iks" vbProcedure="false">OFFSET(Synthèse!$U$23,0,0,p_horizon,1)</definedName>
    <definedName function="false" hidden="false" localSheetId="5" name="ch_sel_roks" vbProcedure="false">OFFSET(Synthèse!$V$23,0,0,p_horizon,1)</definedName>
    <definedName function="false" hidden="false" localSheetId="5" name="ch_sel_total" vbProcedure="false">OFFSET(Synthèse!$X$23,0,0,p_horizon,1)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Texte libre : PRD, DEV1, DEV2, INT1, INT2… La clé unique est ID + Environnement + Couloir.</t>
        </r>
      </text>
    </comment>
    <comment ref="G5" authorId="0">
      <text>
        <r>
          <rPr>
            <sz val="10"/>
            <rFont val="Arial"/>
            <family val="2"/>
          </rPr>
          <t xml:space="preserve">Migré : déjà sur ROKS (dans la capacité actuelle), IKS déjà libéré.
À migrer : ajout ROKS au provisionnement, libération IKS au mois de libération.
À décommissionner : aucune ressource ROKS, IKS libéré au mois de libération (= décommission).
Décommissionné : inventaire uniquement, sans effet.</t>
        </r>
      </text>
    </comment>
    <comment ref="H5" authorId="0">
      <text>
        <r>
          <rPr>
            <sz val="10"/>
            <rFont val="Arial"/>
            <family val="2"/>
          </rPr>
          <t xml:space="preserve">Obligatoire pour « À migrer ». « Oui » = déploiement déjà compté dans la capacité ROKS initiale (non ajouté une seconde fois).</t>
        </r>
      </text>
    </comment>
    <comment ref="N5" authorId="0">
      <text>
        <r>
          <rPr>
            <sz val="10"/>
            <rFont val="Arial"/>
            <family val="2"/>
          </rPr>
          <t xml:space="preserve">vCPU réellement déprovisionnables sur IKS = workers supprimés × vCPU par worker. 0 = pas d'économie IKS.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5" authorId="0">
      <text>
        <r>
          <rPr>
            <sz val="10"/>
            <rFont val="Arial"/>
            <family val="2"/>
          </rPr>
          <t xml:space="preserve">Optionnel, IKS uniquement. Mois de fermeture du cluster : coût IKS nul à partir de ce mois. Vide = calcul automatique si Paramètres C18 = Oui (dernière libération).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0" authorId="0">
      <text>
        <r>
          <rPr>
            <sz val="10"/>
            <rFont val="Arial"/>
            <family val="2"/>
          </rPr>
          <t xml:space="preserve">Tarifs FICTIFS (22 €/vCPU + 2,8 €/Go IKS ; 30 €/vCPU + 3,2 €/Go ROKS), exprimés dans la périodicité C10.</t>
        </r>
      </text>
    </comment>
  </commentList>
</comments>
</file>

<file path=xl/sharedStrings.xml><?xml version="1.0" encoding="utf-8"?>
<sst xmlns="http://schemas.openxmlformats.org/spreadsheetml/2006/main" count="769" uniqueCount="411">
  <si>
    <t xml:space="preserve">Dashboard – coûts mensuels de la migration IKS → ROKS</t>
  </si>
  <si>
    <t xml:space="preserve">Données recalculées automatiquement depuis Synthèse. La courbe suit l'horizon défini dans Paramètres &amp; ABS.</t>
  </si>
  <si>
    <t xml:space="preserve">Coût total</t>
  </si>
  <si>
    <t xml:space="preserve">Coût IKS</t>
  </si>
  <si>
    <t xml:space="preserve">Coût ROKS</t>
  </si>
  <si>
    <t xml:space="preserve">Surcoût double run</t>
  </si>
  <si>
    <t xml:space="preserve">Écart vs sans migration</t>
  </si>
  <si>
    <t xml:space="preserve">Contrôles</t>
  </si>
  <si>
    <t xml:space="preserve">Période : </t>
  </si>
  <si>
    <t xml:space="preserve">Environnement :</t>
  </si>
  <si>
    <t xml:space="preserve">Tous</t>
  </si>
  <si>
    <t xml:space="preserve">← Tous / PRD / NPRD : filtre les indicateurs et la courbe</t>
  </si>
  <si>
    <t xml:space="preserve">Lecture : l'écart entre la courbe IKS qui baisse et ROKS qui monte matérialise la bascule ; la courbe verte montre le surcoût des mois payés en double (double run).</t>
  </si>
  <si>
    <t xml:space="preserve">Toutes les courbes sont en € par mois, sur le même axe.</t>
  </si>
  <si>
    <t xml:space="preserve">Répartition des coûts par tribe et par domaine (horizon, périmètre du filtre C8)</t>
  </si>
  <si>
    <t xml:space="preserve">Coût des clusters :</t>
  </si>
  <si>
    <t xml:space="preserve">Affecté aux déploiements :</t>
  </si>
  <si>
    <t xml:space="preserve">Socle / non affecté :</t>
  </si>
  <si>
    <t xml:space="preserve">Clé : ROKS dès le provisionnement selon le besoin (vCPU + poids × Go) ; IKS jusqu'à la libération selon les ressources libérables. Socle = capacité initiale et planchers non attribués.</t>
  </si>
  <si>
    <t xml:space="preserve">Tribe</t>
  </si>
  <si>
    <t xml:space="preserve">Domaine</t>
  </si>
  <si>
    <t xml:space="preserve">Coût IKS €</t>
  </si>
  <si>
    <t xml:space="preserve">Coût ROKS €</t>
  </si>
  <si>
    <t xml:space="preserve">Coût total €</t>
  </si>
  <si>
    <t xml:space="preserve">Avancement de la migration</t>
  </si>
  <si>
    <t xml:space="preserve">Déploiements par action, par tribe, domaine et environnement ; frise des migrations prévues. Filtres ligne 4.</t>
  </si>
  <si>
    <t xml:space="preserve">Environnement</t>
  </si>
  <si>
    <t xml:space="preserve">Mois de référence</t>
  </si>
  <si>
    <t xml:space="preserve">Migrés</t>
  </si>
  <si>
    <t xml:space="preserve">À migrer</t>
  </si>
  <si>
    <t xml:space="preserve">À décommissionner</t>
  </si>
  <si>
    <t xml:space="preserve">Décommissionnés</t>
  </si>
  <si>
    <t xml:space="preserve">Traités au mois de référence</t>
  </si>
  <si>
    <t xml:space="preserve">% traité au mois de référence</t>
  </si>
  <si>
    <t xml:space="preserve">Traité = Migré ou Décommissionné, plus les déploiements « À migrer » / « À décommissionner » dont l'IKS est libéré au mois de référence.</t>
  </si>
  <si>
    <t xml:space="preserve">Répartition par tribe et par domaine (nombre de déploiements)</t>
  </si>
  <si>
    <t xml:space="preserve">Migré</t>
  </si>
  <si>
    <t xml:space="preserve">Décommissionné</t>
  </si>
  <si>
    <t xml:space="preserve">Total</t>
  </si>
  <si>
    <t xml:space="preserve">PRD</t>
  </si>
  <si>
    <t xml:space="preserve">NPRD</t>
  </si>
  <si>
    <t xml:space="preserve">Données de la frise (graphique)</t>
  </si>
  <si>
    <t xml:space="preserve">Mois</t>
  </si>
  <si>
    <t xml:space="preserve">Bascules</t>
  </si>
  <si>
    <t xml:space="preserve">Décommissions</t>
  </si>
  <si>
    <t xml:space="preserve">Traités cumulés</t>
  </si>
  <si>
    <t xml:space="preserve">% traité cumulé</t>
  </si>
  <si>
    <t xml:space="preserve">Frise des migrations prévues</t>
  </si>
  <si>
    <t xml:space="preserve">La frise détaillée par déploiement est dans l'onglet « Frise » (mêmes filtres).</t>
  </si>
  <si>
    <t xml:space="preserve">Frise des migrations par déploiement</t>
  </si>
  <si>
    <t xml:space="preserve">Utilise les filtres de l'onglet Avancement (environnement, domaine, tribe) ; colonne rouge = mois de référence.</t>
  </si>
  <si>
    <t xml:space="preserve">Frise par déploiement (filtrée, triée par ordre de saisie)</t>
  </si>
  <si>
    <t xml:space="preserve">IKS</t>
  </si>
  <si>
    <t xml:space="preserve">Double run</t>
  </si>
  <si>
    <t xml:space="preserve">Bascule</t>
  </si>
  <si>
    <t xml:space="preserve">ROKS</t>
  </si>
  <si>
    <t xml:space="preserve">Décom.</t>
  </si>
  <si>
    <t xml:space="preserve">ID</t>
  </si>
  <si>
    <t xml:space="preserve">Application</t>
  </si>
  <si>
    <t xml:space="preserve">Env</t>
  </si>
  <si>
    <t xml:space="preserve">Couloir</t>
  </si>
  <si>
    <t xml:space="preserve">Action</t>
  </si>
  <si>
    <t xml:space="preserve">Capacités IKS → ROKS</t>
  </si>
  <si>
    <t xml:space="preserve">Évolution mensuelle CPU, RAM et workers ; matrice clusters × mois (vert = extension ROKS, orange = réduction IKS, gris = cluster IKS fermé).</t>
  </si>
  <si>
    <t xml:space="preserve">Mesure de la matrice</t>
  </si>
  <si>
    <t xml:space="preserve">Workers</t>
  </si>
  <si>
    <t xml:space="preserve">CPU IKS (vCPU)</t>
  </si>
  <si>
    <t xml:space="preserve">CPU ROKS (vCPU)</t>
  </si>
  <si>
    <t xml:space="preserve">RAM IKS (Go)</t>
  </si>
  <si>
    <t xml:space="preserve">RAM ROKS (Go)</t>
  </si>
  <si>
    <t xml:space="preserve">Workers IKS</t>
  </si>
  <si>
    <t xml:space="preserve">Workers ROKS</t>
  </si>
  <si>
    <t xml:space="preserve">Valeurs au mois de référence (capacité provisionnée = workers × flavor).</t>
  </si>
  <si>
    <t xml:space="preserve">Évolution mensuelle</t>
  </si>
  <si>
    <t xml:space="preserve">Matrice clusters × mois (mesure choisie en F4)</t>
  </si>
  <si>
    <t xml:space="preserve">Cluster</t>
  </si>
  <si>
    <t xml:space="preserve">Plateforme</t>
  </si>
  <si>
    <t xml:space="preserve">Flavor</t>
  </si>
  <si>
    <t xml:space="preserve">Données des graphiques</t>
  </si>
  <si>
    <t xml:space="preserve">CPU IKS</t>
  </si>
  <si>
    <t xml:space="preserve">CPU ROKS</t>
  </si>
  <si>
    <t xml:space="preserve">RAM IKS</t>
  </si>
  <si>
    <t xml:space="preserve">RAM ROKS</t>
  </si>
  <si>
    <t xml:space="preserve">Extinction IKS / DMZR PaaS V4</t>
  </si>
  <si>
    <t xml:space="preserve">Déploiements restant sur IKS, clusters à fermer, calendrier de fermeture et coût IKS résiduel jusqu'à zéro.</t>
  </si>
  <si>
    <t xml:space="preserve">Déploiements restant sur IKS</t>
  </si>
  <si>
    <t xml:space="preserve">Clusters IKS ouverts</t>
  </si>
  <si>
    <t xml:space="preserve">Coût IKS du mois</t>
  </si>
  <si>
    <t xml:space="preserve">Coût IKS résiduel (jusqu'à la fin)</t>
  </si>
  <si>
    <t xml:space="preserve">Extinction IKS prévue</t>
  </si>
  <si>
    <t xml:space="preserve">Mois restants</t>
  </si>
  <si>
    <t xml:space="preserve">Au mois de référence. Extinction = dernière fermeture de cluster IKS (Clusters, colonnes R-S) ; « Non planifiée » si un cluster IKS n'a pas de date de fermeture.</t>
  </si>
  <si>
    <t xml:space="preserve">Trajectoire d'extinction</t>
  </si>
  <si>
    <t xml:space="preserve">Calendrier de fermeture des clusters IKS</t>
  </si>
  <si>
    <t xml:space="preserve">Cluster IKS</t>
  </si>
  <si>
    <t xml:space="preserve">Workers au mois de réf.</t>
  </si>
  <si>
    <t xml:space="preserve">Déploiements restants</t>
  </si>
  <si>
    <t xml:space="preserve">Dernière libération prévue</t>
  </si>
  <si>
    <t xml:space="preserve">Fermeture retenue</t>
  </si>
  <si>
    <t xml:space="preserve">Statut</t>
  </si>
  <si>
    <t xml:space="preserve">Coût IKS résiduel</t>
  </si>
  <si>
    <t xml:space="preserve">Coût IKS mensuel</t>
  </si>
  <si>
    <t xml:space="preserve">Coût IKS résiduel cumulé</t>
  </si>
  <si>
    <t xml:space="preserve">Déploiements restant sur IKS au mois de référence (filtrés, par ordre de saisie)</t>
  </si>
  <si>
    <t xml:space="preserve">Mois de libération</t>
  </si>
  <si>
    <t xml:space="preserve">CPU IKS libérable</t>
  </si>
  <si>
    <t xml:space="preserve">Synthèse – migration IKS → ROKS</t>
  </si>
  <si>
    <t xml:space="preserve">Capacités = capacité provisionnée (workers × flavor), cohérente avec le coût. Besoins avant arrondi et scénarios de comparaison en détail (colonnes P-T).</t>
  </si>
  <si>
    <t xml:space="preserve">Indicateurs clés (horizon)</t>
  </si>
  <si>
    <t xml:space="preserve">Valeur</t>
  </si>
  <si>
    <t xml:space="preserve">Par environnement</t>
  </si>
  <si>
    <t xml:space="preserve">Coût total IKS + ROKS</t>
  </si>
  <si>
    <t xml:space="preserve">Surcoût du double run</t>
  </si>
  <si>
    <t xml:space="preserve">Détail des anomalies</t>
  </si>
  <si>
    <t xml:space="preserve">Nombre</t>
  </si>
  <si>
    <t xml:space="preserve">Où regarder</t>
  </si>
  <si>
    <t xml:space="preserve">Écart vs sans migration (capacités initiales constantes)</t>
  </si>
  <si>
    <t xml:space="preserve">Applications</t>
  </si>
  <si>
    <t xml:space="preserve">Applications, colonne AB (cellules rouges)</t>
  </si>
  <si>
    <t xml:space="preserve">Pic CPU provisionné ROKS (vCPU)</t>
  </si>
  <si>
    <t xml:space="preserve">Clusters (dont capacité)</t>
  </si>
  <si>
    <t xml:space="preserve">Clusters, colonne Q (max workers, plancher, flavor…)</t>
  </si>
  <si>
    <t xml:space="preserve">Pic RAM provisionnée ROKS (Go)</t>
  </si>
  <si>
    <t xml:space="preserve">Paramètres</t>
  </si>
  <si>
    <t xml:space="preserve">Paramètres &amp; ABS, colonne E</t>
  </si>
  <si>
    <t xml:space="preserve">Pic CPU provisionné IKS + ROKS (vCPU)</t>
  </si>
  <si>
    <t xml:space="preserve">Filtre Dashboard</t>
  </si>
  <si>
    <t xml:space="preserve">Dashboard, cellule C8</t>
  </si>
  <si>
    <t xml:space="preserve">Pic de coût mensuel</t>
  </si>
  <si>
    <t xml:space="preserve">Informations (non bloquantes)</t>
  </si>
  <si>
    <t xml:space="preserve">Hors horizon, PRD avant NPRD : non comptées</t>
  </si>
  <si>
    <t xml:space="preserve">Mois du pic de coût</t>
  </si>
  <si>
    <t xml:space="preserve">Nombre d'anomalies</t>
  </si>
  <si>
    <t xml:space="preserve">Statut des contrôles</t>
  </si>
  <si>
    <t xml:space="preserve">Vue mensuelle consolidée</t>
  </si>
  <si>
    <t xml:space="preserve">N°</t>
  </si>
  <si>
    <t xml:space="preserve">CPU provisionné IKS</t>
  </si>
  <si>
    <t xml:space="preserve">CPU provisionné ROKS</t>
  </si>
  <si>
    <t xml:space="preserve">RAM provisionnée IKS (Go)</t>
  </si>
  <si>
    <t xml:space="preserve">RAM provisionnée ROKS (Go)</t>
  </si>
  <si>
    <t xml:space="preserve">Surcoût double run mensuel €</t>
  </si>
  <si>
    <t xml:space="preserve">Surcoût double run cumulé €</t>
  </si>
  <si>
    <t xml:space="preserve">Applis en double run</t>
  </si>
  <si>
    <t xml:space="preserve">CPU provisionné IKS+ROKS</t>
  </si>
  <si>
    <t xml:space="preserve">Détail – besoin CPU ROKS</t>
  </si>
  <si>
    <t xml:space="preserve">Détail – besoin RAM ROKS (Go)</t>
  </si>
  <si>
    <t xml:space="preserve">Détail – coût sans double run €</t>
  </si>
  <si>
    <t xml:space="preserve">Détail – coût sans migration €</t>
  </si>
  <si>
    <t xml:space="preserve">Détail – écart vs sans migration €</t>
  </si>
  <si>
    <t xml:space="preserve">Sélection Dashboard – coût IKS €</t>
  </si>
  <si>
    <t xml:space="preserve">Sélection Dashboard – coût ROKS €</t>
  </si>
  <si>
    <t xml:space="preserve">Sélection Dashboard – surcoût double run €</t>
  </si>
  <si>
    <t xml:space="preserve">Sélection Dashboard – coût total €</t>
  </si>
  <si>
    <t xml:space="preserve">Vue par cluster (horizon)</t>
  </si>
  <si>
    <t xml:space="preserve">CPU provisionné M1</t>
  </si>
  <si>
    <t xml:space="preserve">CPU provisionné fin</t>
  </si>
  <si>
    <t xml:space="preserve">RAM provisionnée M1</t>
  </si>
  <si>
    <t xml:space="preserve">RAM provisionnée fin</t>
  </si>
  <si>
    <t xml:space="preserve">Workers M1</t>
  </si>
  <si>
    <t xml:space="preserve">Workers fin</t>
  </si>
  <si>
    <t xml:space="preserve">Besoin CPU fin</t>
  </si>
  <si>
    <t xml:space="preserve">Besoin RAM fin</t>
  </si>
  <si>
    <t xml:space="preserve">Surcoût double run €</t>
  </si>
  <si>
    <t xml:space="preserve">Écart vs sans migration €</t>
  </si>
  <si>
    <t xml:space="preserve">Projection capacités &amp; coûts – migration IKS → ROKS (v3.9)</t>
  </si>
  <si>
    <t xml:space="preserve">Démo : 3 applications, 10 déploiements PRD / NPRD, 36 mois. Sans macro. Recalcul automatique après toute modification de planning, ressources ou tarifs.</t>
  </si>
  <si>
    <t xml:space="preserve">1. Onglets</t>
  </si>
  <si>
    <t xml:space="preserve">Dashboards : Dashboard (financier), Avancement (actions, tribes, domaines, frise), Capacités (CPU/RAM/workers, matrice clusters × mois), Extinction IKS (restant, fermetures, coût résiduel). Filtres en ligne 4 de chaque dashboard.</t>
  </si>
  <si>
    <t xml:space="preserve">Saisie (3 zones) : Applications · Clusters · Paramètres &amp; ABS. Résultats : Dashboard (filtre Tous / PRD / NPRD en C8) et Synthèse (ventilation PRD / NPRD). Moteur : Calculs (ne rien saisir).</t>
  </si>
  <si>
    <t xml:space="preserve">2. Unités</t>
  </si>
  <si>
    <t xml:space="preserve">CPU en vCPU, RAM en Go, coûts en € par mois. Tarifs saisis convertis via la périodicité (Annuel ÷ 12, Horaire × 730).</t>
  </si>
  <si>
    <t xml:space="preserve">3. Convention mensuelle</t>
  </si>
  <si>
    <t xml:space="preserve">On saisit des mois ; toute date est ramenée au 1er du mois. Mois de provisionnement : ROKS facturé en totalité.</t>
  </si>
  <si>
    <t xml:space="preserve">Mois de libération : IKS non facturé dès ce mois. Double run = mois de libération − mois de provisionnement. La bascule sert aux contrôles, pas à la facturation.</t>
  </si>
  <si>
    <t xml:space="preserve">4. Règles de calcul</t>
  </si>
  <si>
    <t xml:space="preserve">Besoin appli ROKS = ARRONDI.SUP(conso Dynatrace × (1 + marge)) ; marge spécifique (colonnes avancées V-W) prioritaire sur la marge globale.</t>
  </si>
  <si>
    <t xml:space="preserve">Besoin ROKS(mois) = capacité initiale + Σ besoins des déploiements « Action = À migrer » et « Déjà incluse ROKS = Non » provisionnées au plus tard ce mois.</t>
  </si>
  <si>
    <t xml:space="preserve">Besoin IKS(mois) = MAX(plancher ; capacité initiale − Σ ressources libérables des applis libérées au plus tard ce mois). CPU et RAM séparément.</t>
  </si>
  <si>
    <t xml:space="preserve">Capacité provisionnée = workers × flavor, avec workers = MAX(workers min ; ARRONDI.SUP(MAX(besoin CPU / vCPU flavor ; besoin RAM / RAM flavor))).</t>
  </si>
  <si>
    <t xml:space="preserve">Coût (mode Nœud, défaut) = workers × tarif du flavor. Mode Unitaire (si ABS facture à l'unité) : besoin CPU × €/vCPU + besoin RAM × €/Go.</t>
  </si>
  <si>
    <t xml:space="preserve">Écart budgétaire = coût planning − coût sans migration (capacités initiales constantes).</t>
  </si>
  <si>
    <t xml:space="preserve">Fermeture IKS : un cluster IKS fermé (Clusters colonne R saisie, ou automatique au mois de la dernière libération si Paramètres C18 = Oui) ne coûte plus rien à partir de ce mois.</t>
  </si>
  <si>
    <t xml:space="preserve">   Le mode automatique suppose un inventaire complet : si des charges non inventoriées restent sur le cluster, saisir la date réelle ou passer C18 à Non.</t>
  </si>
  <si>
    <t xml:space="preserve">Coût par tribe / domaine : le coût de chaque cluster est réparti entre déploiements. ROKS (dès le provisionnement) : part = (besoin vCPU + poids × Go) / besoin du cluster.</t>
  </si>
  <si>
    <t xml:space="preserve">   IKS (jusqu'à la libération) : part = (libérable vCPU + poids × Go) / besoin du cluster. Le reste (capacité initiale, planchers) = « Socle / non affecté ». Poids : Paramètres C17.</t>
  </si>
  <si>
    <t xml:space="preserve">Surcoût double run = coût planning − coût de la même migration avec libération IKS dès le mois de provisionnement ROKS.</t>
  </si>
  <si>
    <t xml:space="preserve">5. Hypothèses explicites</t>
  </si>
  <si>
    <t xml:space="preserve">La capacité ROKS initiale n'absorbe pas les nouvelles applications : leurs besoins s'ajoutent (règle demandée). Évolution possible : consommer d'abord la capacité libre.</t>
  </si>
  <si>
    <t xml:space="preserve">Une appli arrêtée ne génère d'économie IKS que si « IKS libérable » &gt; 0 (ressources réellement déprovisionnables, souvent par worker entier).</t>
  </si>
  <si>
    <t xml:space="preserve">6. Contrôles</t>
  </si>
  <si>
    <t xml:space="preserve">Applications : environnement cohérent avec les clusters, doublon ID + env + couloir, PRD avant NPRD (info), champs obligatoires (dont Domaine, Tribe, « Déjà incluse ROKS »), ID en doublon, ressource non numérique ou négative, mois invalide, cluster inconnu, dates incohérentes, libération &gt; capacité source, hors horizon (info).</t>
  </si>
  <si>
    <t xml:space="preserve">Clusters : données manquantes, workers non numériques ou négatifs, flavor inconnu, doublon, plancher &gt; initial, workers &gt; max ROKS, libérations cumulées &gt; capacité libérable.</t>
  </si>
  <si>
    <t xml:space="preserve">Capacité : plancher IKS atteint et max workers ROKS dépassé remontent dans Clusters colonne Q (une anomalie par cluster, avec le nombre de mois). Total en Synthèse C16, détail en E9:J14. Une ligne vide dans Clusters est ignorée sans décaler les suivants.</t>
  </si>
  <si>
    <t xml:space="preserve">7. Notice – passer aux données réelles</t>
  </si>
  <si>
    <t xml:space="preserve">a) Paramètres &amp; ABS : mois de début, horizon (≤ 36), marges ; remplacer les tarifs de la grille et passer « Nature tarif » à Réel ; confirmer le mode de facturation ABS.</t>
  </si>
  <si>
    <t xml:space="preserve">b) Clusters : coller l'inventaire (DMZR = IKS, AsCode = ROKS). Écrire le flavor exactement comme dans la grille (bx2-32x128, pas bx2.32x128).</t>
  </si>
  <si>
    <t xml:space="preserve">c) Applications : UNE LIGNE PAR DÉPLOIEMENT (application × environnement × couloir). Répéter Domaine, Tribe, ID et Application ; jamais de cellules fusionnées.</t>
  </si>
  <si>
    <t xml:space="preserve">   Action : Migré (déjà sur ROKS, dans la capacité actuelle ; seule une part du coût ROKS lui est affectée) · À migrer (ajout ROKS + libération IKS + double run)</t>
  </si>
  <si>
    <t xml:space="preserve">   · À décommissionner (libération IKS au mois de « libération », sans ROKS) · Décommissionné (inventaire, sans effet). Les champs obligatoires dépendent de l'action.</t>
  </si>
  <si>
    <t xml:space="preserve">   Domaine et Tribe : choisis dans le référentiel (Paramètres &amp; ABS, colonnes J-M) ; la tribe doit appartenir au domaine.</t>
  </si>
  <si>
    <t xml:space="preserve">   Environnement = PRD ou NPRD (doit correspondre à l'environnement des clusters) ; Couloir libre (PRD, DEV1, DEV2, INT1, INT2…). Clé unique : ID + Environnement + Couloir.</t>
  </si>
  <si>
    <t xml:space="preserve">   Conso Dynatrace par namespace/couloir (préciser P95 ou moyenne et période), clusters source/cible, mois issus du planning de Vincent.</t>
  </si>
  <si>
    <t xml:space="preserve">   Filtres : utiliser les flèches d'en-tête, ou Insertion &gt; Segment sur le tableau (Domaine, Tribe, Environnement) pour des boutons de filtre.</t>
  </si>
  <si>
    <t xml:space="preserve">d) Faire valider « IKS libérable » par l'équipe infra et renseigner « Déjà incluse ROKS » pour chaque appli.</t>
  </si>
  <si>
    <t xml:space="preserve">e) Remplacer ou effacer les données de démonstration SANS supprimer les lignes des tableaux, puis vérifier Synthèse C16 = 0.</t>
  </si>
  <si>
    <t xml:space="preserve">Limites du modèle préconstruit : 30 clusters, 300 lignes de déploiement, 36 mois. Les références structurées couvrent les données, mais le moteur Calculs</t>
  </si>
  <si>
    <t xml:space="preserve">reste dimensionné à 30 × 36 lignes, la vue par cluster à 30 lignes et le tableau mensuel à 36 mois. Au-delà : ajouter des lignes au tableau</t>
  </si>
  <si>
    <t xml:space="preserve">concerné et recopier ses formules jusqu'en bas (et, pour les clusters, étendre aussi Calculs et la vue par cluster).</t>
  </si>
  <si>
    <t xml:space="preserve">Validations : les listes Oui/Non, Plateforme, Flavor et clusters bloquent toute valeur hors liste (alerte Arrêt). Un collage peut contourner la validation : les contrôles le signalent.</t>
  </si>
  <si>
    <t xml:space="preserve">Workers : nombres entiers imposés (Clusters). Tarifs et marges : validés à la saisie et contrôlés (Paramètres &amp; ABS colonne E, Clusters, Applications).</t>
  </si>
  <si>
    <t xml:space="preserve">8. Statut des données</t>
  </si>
  <si>
    <t xml:space="preserve">Réel (captures) : grille flavors ABS (vCPU/RAM), structure de l'inventaire clusters, règles BP2I (6–18 workers).</t>
  </si>
  <si>
    <t xml:space="preserve">Démo : noms de clusters et d'applis, consos Dynatrace, mois, tarifs €, ressources libérables.</t>
  </si>
  <si>
    <t xml:space="preserve">Manquant : tarifs ABS réels et mode de facturation, planning de Vincent, exports Dynatrace, inventaire applicatif avec mapping source/cible.</t>
  </si>
  <si>
    <t xml:space="preserve">9. Évolutions (suite revues)</t>
  </si>
  <si>
    <t xml:space="preserve">Capacité provisionnée affichée (cohérente avec le coût) · lignes vides de Clusters gérées · « Déjà incluse ROKS » obligatoire, contrôles doublons/négatifs · références structurées · graphiques dynamiques · 6 onglets.</t>
  </si>
  <si>
    <t xml:space="preserve">V3 : validations bloquantes (Arrêt) · contrôle explicite des valeurs Oui/Non et Plateforme · INDEX protégés · Synthèse en premier onglet · résultats enregistrés dans le fichier.</t>
  </si>
  <si>
    <t xml:space="preserve">V3.9 : dashboards Avancement, Capacités et Extinction IKS ; fermeture des clusters IKS (saisie ou automatique) permettant un coût IKS résiduel nul.</t>
  </si>
  <si>
    <t xml:space="preserve">V3.8 : colonne Action (Migré / À migrer / À décommissionner / Décommissionné) remplace « À migrer », contrôles et calculs adaptés à chaque action.</t>
  </si>
  <si>
    <t xml:space="preserve">V3.7 : détail des anomalies par source en Synthèse (E9:J14), alertes de capacité comptées une fois par cluster, contrôles non OK surlignés en rouge.</t>
  </si>
  <si>
    <t xml:space="preserve">V3.6 : référentiel Domaines/Tribes, répartition des coûts par déploiement, Dashboard coût IKS/ROKS par tribe et par domaine.</t>
  </si>
  <si>
    <t xml:space="preserve">V3.5 : Domaine et Tribe, une ligne par déploiement (environnement + couloir), contrôles de cohérence d'environnement, ventilation et filtre PRD / NPRD.</t>
  </si>
  <si>
    <t xml:space="preserve">V3.1 : workers entiers imposés · contrôle des tarifs (grille et unitaires) et des marges globales et spécifiques.</t>
  </si>
  <si>
    <t xml:space="preserve">Cellule de saisie (police bleue, fond jaune)</t>
  </si>
  <si>
    <t xml:space="preserve">Cellule calculée (fond gris) – ne pas modifier</t>
  </si>
  <si>
    <t xml:space="preserve">Applications – une ligne par déploiement (application × environnement × couloir)</t>
  </si>
  <si>
    <t xml:space="preserve">Répéter Domaine, Tribe, ID et Application sur chaque couloir. Pas de cellules fusionnées. Action : Migré / À migrer / À décommissionner / Décommissionné (champs obligatoires selon l'action). Colonnes AC-AD = options avancées. Données DÉMO.</t>
  </si>
  <si>
    <t xml:space="preserve">Légende :</t>
  </si>
  <si>
    <t xml:space="preserve">Saisie</t>
  </si>
  <si>
    <t xml:space="preserve">Calculé</t>
  </si>
  <si>
    <t xml:space="preserve">Déjà incluse ROKS</t>
  </si>
  <si>
    <t xml:space="preserve">Cluster IKS source</t>
  </si>
  <si>
    <t xml:space="preserve">Cluster ROKS cible</t>
  </si>
  <si>
    <t xml:space="preserve">CPU Dynatrace (vCPU)</t>
  </si>
  <si>
    <t xml:space="preserve">RAM Dynatrace (Go)</t>
  </si>
  <si>
    <t xml:space="preserve">Source Dynatrace</t>
  </si>
  <si>
    <t xml:space="preserve">CPU IKS libérable (vCPU)</t>
  </si>
  <si>
    <t xml:space="preserve">RAM IKS libérable (Go)</t>
  </si>
  <si>
    <t xml:space="preserve">Mois provisionnement ROKS</t>
  </si>
  <si>
    <t xml:space="preserve">Mois bascule</t>
  </si>
  <si>
    <t xml:space="preserve">Mois libération IKS</t>
  </si>
  <si>
    <t xml:space="preserve">Nature</t>
  </si>
  <si>
    <t xml:space="preserve">Besoin ROKS CPU (vCPU)</t>
  </si>
  <si>
    <t xml:space="preserve">Besoin ROKS RAM (Go)</t>
  </si>
  <si>
    <t xml:space="preserve">Mois prov (calc)</t>
  </si>
  <si>
    <t xml:space="preserve">Mois lib (calc)</t>
  </si>
  <si>
    <t xml:space="preserve">Double run (mois)</t>
  </si>
  <si>
    <t xml:space="preserve">Couloirs de l'appli</t>
  </si>
  <si>
    <t xml:space="preserve">Début migration appli</t>
  </si>
  <si>
    <t xml:space="preserve">Fin migration appli</t>
  </si>
  <si>
    <t xml:space="preserve">Contrôle</t>
  </si>
  <si>
    <t xml:space="preserve">Marge CPU spécifique</t>
  </si>
  <si>
    <t xml:space="preserve">Marge RAM spécifique</t>
  </si>
  <si>
    <t xml:space="preserve">Coût IKS affecté (€)</t>
  </si>
  <si>
    <t xml:space="preserve">Coût ROKS affecté (€)</t>
  </si>
  <si>
    <t xml:space="preserve">Coût total affecté (€)</t>
  </si>
  <si>
    <t xml:space="preserve">Rang frise</t>
  </si>
  <si>
    <t xml:space="preserve">Sur IKS au mois d'extinction</t>
  </si>
  <si>
    <t xml:space="preserve">Rang extinction</t>
  </si>
  <si>
    <t xml:space="preserve">Distribution</t>
  </si>
  <si>
    <t xml:space="preserve">Parcours client</t>
  </si>
  <si>
    <t xml:space="preserve">APP-01</t>
  </si>
  <si>
    <t xml:space="preserve">Portail assuré (démo)</t>
  </si>
  <si>
    <t xml:space="preserve">DEV1</t>
  </si>
  <si>
    <t xml:space="preserve">Non</t>
  </si>
  <si>
    <t xml:space="preserve">IKS-NPR-01</t>
  </si>
  <si>
    <t xml:space="preserve">ROKS-NPR-01</t>
  </si>
  <si>
    <t xml:space="preserve">P95 30 j – fictif</t>
  </si>
  <si>
    <t xml:space="preserve">Démo</t>
  </si>
  <si>
    <t xml:space="preserve">INT1</t>
  </si>
  <si>
    <t xml:space="preserve">IKS-PRD-01</t>
  </si>
  <si>
    <t xml:space="preserve">ROKS-PRD-01</t>
  </si>
  <si>
    <t xml:space="preserve">Tarification</t>
  </si>
  <si>
    <t xml:space="preserve">APP-02</t>
  </si>
  <si>
    <t xml:space="preserve">Moteur tarification (démo)</t>
  </si>
  <si>
    <t xml:space="preserve">DEV2</t>
  </si>
  <si>
    <t xml:space="preserve">Indemnisation</t>
  </si>
  <si>
    <t xml:space="preserve">Sinistres</t>
  </si>
  <si>
    <t xml:space="preserve">APP-03</t>
  </si>
  <si>
    <t xml:space="preserve">API sinistres (démo)</t>
  </si>
  <si>
    <t xml:space="preserve">INT2</t>
  </si>
  <si>
    <t xml:space="preserve">APP-04</t>
  </si>
  <si>
    <t xml:space="preserve">Extranet partenaires (démo)</t>
  </si>
  <si>
    <t xml:space="preserve">APP-05</t>
  </si>
  <si>
    <t xml:space="preserve">Batch éditique (démo)</t>
  </si>
  <si>
    <t xml:space="preserve">APP-06</t>
  </si>
  <si>
    <t xml:space="preserve">Ancien portail (démo)</t>
  </si>
  <si>
    <t xml:space="preserve">Clusters IKS et ROKS</t>
  </si>
  <si>
    <t xml:space="preserve">Capacité initiale = workers × flavor. Lignes vides autorisées ; effacer plutôt que supprimer une ligne. Capacité : 30 clusters. Données DÉMO.</t>
  </si>
  <si>
    <t xml:space="preserve">Compte</t>
  </si>
  <si>
    <t xml:space="preserve">Utilisation</t>
  </si>
  <si>
    <t xml:space="preserve">Workers initial</t>
  </si>
  <si>
    <t xml:space="preserve">vCPU par nœud</t>
  </si>
  <si>
    <t xml:space="preserve">RAM par nœud (Go)</t>
  </si>
  <si>
    <t xml:space="preserve">CPU initial (vCPU)</t>
  </si>
  <si>
    <t xml:space="preserve">RAM initiale (Go)</t>
  </si>
  <si>
    <t xml:space="preserve">Workers min</t>
  </si>
  <si>
    <t xml:space="preserve">CPU min (vCPU)</t>
  </si>
  <si>
    <t xml:space="preserve">RAM min (Go)</t>
  </si>
  <si>
    <t xml:space="preserve">Tarif par nœud</t>
  </si>
  <si>
    <t xml:space="preserve">Mois de fermeture (saisie)</t>
  </si>
  <si>
    <t xml:space="preserve">Rang capacités</t>
  </si>
  <si>
    <t xml:space="preserve">DEMO</t>
  </si>
  <si>
    <t xml:space="preserve">Mutualisé</t>
  </si>
  <si>
    <t xml:space="preserve">bx2-32x128</t>
  </si>
  <si>
    <t xml:space="preserve">bx2-16x64</t>
  </si>
  <si>
    <t xml:space="preserve">Mutualisé GIE</t>
  </si>
  <si>
    <t xml:space="preserve">bx3d.32x160</t>
  </si>
  <si>
    <t xml:space="preserve">bx3d.16x80</t>
  </si>
  <si>
    <t xml:space="preserve">Paramètres et grille ABS</t>
  </si>
  <si>
    <t xml:space="preserve">DÉMO : tarifs fictifs à remplacer par la grille ABS réelle.</t>
  </si>
  <si>
    <t xml:space="preserve">Paramètre</t>
  </si>
  <si>
    <t xml:space="preserve">Commentaire / source</t>
  </si>
  <si>
    <t xml:space="preserve">Oui/Non</t>
  </si>
  <si>
    <t xml:space="preserve">Plateformes</t>
  </si>
  <si>
    <t xml:space="preserve">Modes</t>
  </si>
  <si>
    <t xml:space="preserve">Périodicité</t>
  </si>
  <si>
    <t xml:space="preserve">Environnements</t>
  </si>
  <si>
    <t xml:space="preserve">Actions</t>
  </si>
  <si>
    <t xml:space="preserve">Mois de début de projection (M1)</t>
  </si>
  <si>
    <t xml:space="preserve">1er du mois</t>
  </si>
  <si>
    <t xml:space="preserve">Oui</t>
  </si>
  <si>
    <t xml:space="preserve">Nœud</t>
  </si>
  <si>
    <t xml:space="preserve">Mensuel</t>
  </si>
  <si>
    <t xml:space="preserve">Réel</t>
  </si>
  <si>
    <t xml:space="preserve">Horizon (mois, 1 à 36)</t>
  </si>
  <si>
    <t xml:space="preserve">Tableaux et graphiques s'adaptent automatiquement</t>
  </si>
  <si>
    <t xml:space="preserve">Unitaire</t>
  </si>
  <si>
    <t xml:space="preserve">Annuel</t>
  </si>
  <si>
    <t xml:space="preserve">Dernier mois de l'horizon</t>
  </si>
  <si>
    <t xml:space="preserve">Horaire</t>
  </si>
  <si>
    <t xml:space="preserve">Hypothèse</t>
  </si>
  <si>
    <t xml:space="preserve">Marge de dimensionnement CPU</t>
  </si>
  <si>
    <t xml:space="preserve">Sur la conso Dynatrace (hypothèse démo)</t>
  </si>
  <si>
    <t xml:space="preserve">Marge de dimensionnement RAM</t>
  </si>
  <si>
    <t xml:space="preserve">Mode de tarification</t>
  </si>
  <si>
    <t xml:space="preserve">Nœud = workers × tarif flavor (défaut) ; Unitaire = à confirmer avec ABS</t>
  </si>
  <si>
    <t xml:space="preserve">Périodicité des tarifs saisis</t>
  </si>
  <si>
    <t xml:space="preserve">Mensuel / Annuel / Horaire (730 h/mois)</t>
  </si>
  <si>
    <t xml:space="preserve">Facteur de conversion en €/mois</t>
  </si>
  <si>
    <t xml:space="preserve">Mode Unitaire – IKS €/vCPU</t>
  </si>
  <si>
    <t xml:space="preserve">FICTIF</t>
  </si>
  <si>
    <t xml:space="preserve">Mode Unitaire – IKS €/Go RAM</t>
  </si>
  <si>
    <t xml:space="preserve">Mode Unitaire – ROKS €/vCPU</t>
  </si>
  <si>
    <t xml:space="preserve">Mode Unitaire – ROKS €/Go RAM</t>
  </si>
  <si>
    <t xml:space="preserve">Nb max de workers par cluster ROKS</t>
  </si>
  <si>
    <t xml:space="preserve">Préconisation BP2I/ITGP (6 à 18 workers)</t>
  </si>
  <si>
    <t xml:space="preserve">Clé d'allocation : poids de 1 Go RAM (en vCPU)</t>
  </si>
  <si>
    <t xml:space="preserve">Répartition du coût des clusters par déploiement : clé = vCPU + poids × Go</t>
  </si>
  <si>
    <t xml:space="preserve">Fermeture automatique des clusters IKS</t>
  </si>
  <si>
    <t xml:space="preserve">Oui = cluster IKS fermé au mois de sa dernière libération (inventaire complet requis)</t>
  </si>
  <si>
    <t xml:space="preserve">Grille ABS – flavors (vCPU/RAM réels : capture ABS-DMZR-2026-05 ; tarifs FICTIFS)</t>
  </si>
  <si>
    <t xml:space="preserve">Référentiel Domaines / Tribes (listes déroulantes et contrôles de l'onglet Applications)</t>
  </si>
  <si>
    <t xml:space="preserve">Infra</t>
  </si>
  <si>
    <t xml:space="preserve">Nature tarif</t>
  </si>
  <si>
    <t xml:space="preserve">Domaine de la tribe</t>
  </si>
  <si>
    <t xml:space="preserve">Filtre domaines</t>
  </si>
  <si>
    <t xml:space="preserve">Filtre tribes</t>
  </si>
  <si>
    <t xml:space="preserve">AsCode</t>
  </si>
  <si>
    <t xml:space="preserve">cx3d.8x20</t>
  </si>
  <si>
    <t xml:space="preserve">bx3d.8x40</t>
  </si>
  <si>
    <t xml:space="preserve">cx3d.16x40</t>
  </si>
  <si>
    <t xml:space="preserve">mx3d.24x240</t>
  </si>
  <si>
    <t xml:space="preserve">cx3d.32x80</t>
  </si>
  <si>
    <t xml:space="preserve">mx3d.32x320</t>
  </si>
  <si>
    <t xml:space="preserve">bx3d.48x240</t>
  </si>
  <si>
    <t xml:space="preserve">cx3d.96x240</t>
  </si>
  <si>
    <t xml:space="preserve">DMZR</t>
  </si>
  <si>
    <t xml:space="preserve">bx2-4x16</t>
  </si>
  <si>
    <t xml:space="preserve">mx2-4x32</t>
  </si>
  <si>
    <t xml:space="preserve">cx2-8x16</t>
  </si>
  <si>
    <t xml:space="preserve">bx2-8x32</t>
  </si>
  <si>
    <t xml:space="preserve">mx2-8x64</t>
  </si>
  <si>
    <t xml:space="preserve">cx2-16x32</t>
  </si>
  <si>
    <t xml:space="preserve">mx2-16x128</t>
  </si>
  <si>
    <t xml:space="preserve">cx2-32x64</t>
  </si>
  <si>
    <t xml:space="preserve">mx2-32x256</t>
  </si>
  <si>
    <t xml:space="preserve">cx2-48x96</t>
  </si>
  <si>
    <t xml:space="preserve">bx2-48x192</t>
  </si>
  <si>
    <t xml:space="preserve">mx2-48x384</t>
  </si>
  <si>
    <t xml:space="preserve">mx2-64x512</t>
  </si>
  <si>
    <t xml:space="preserve">mx2-128x1024</t>
  </si>
  <si>
    <t xml:space="preserve">Calculs – projection par cluster et par mois (ne rien saisir)</t>
  </si>
  <si>
    <t xml:space="preserve">1080 lignes = 30 clusters × 36 mois. Une ligne est active si son cluster est renseigné et valide, et si le mois est dans l'horizon.</t>
  </si>
  <si>
    <t xml:space="preserve">k</t>
  </si>
  <si>
    <t xml:space="preserve">Idx cluster</t>
  </si>
  <si>
    <t xml:space="preserve">Idx mois</t>
  </si>
  <si>
    <t xml:space="preserve">Actif</t>
  </si>
  <si>
    <t xml:space="preserve">RAM par nœud</t>
  </si>
  <si>
    <t xml:space="preserve">CPU initial</t>
  </si>
  <si>
    <t xml:space="preserve">RAM initiale</t>
  </si>
  <si>
    <t xml:space="preserve">CPU min</t>
  </si>
  <si>
    <t xml:space="preserve">RAM min</t>
  </si>
  <si>
    <t xml:space="preserve">Δ CPU cumulé</t>
  </si>
  <si>
    <t xml:space="preserve">Δ RAM cumulé</t>
  </si>
  <si>
    <t xml:space="preserve">Besoin CPU</t>
  </si>
  <si>
    <t xml:space="preserve">Besoin RAM</t>
  </si>
  <si>
    <t xml:space="preserve">CPU provisionné</t>
  </si>
  <si>
    <t xml:space="preserve">RAM provisionnée</t>
  </si>
  <si>
    <t xml:space="preserve">Coût mensuel</t>
  </si>
  <si>
    <t xml:space="preserve">Sans DR – besoin CPU</t>
  </si>
  <si>
    <t xml:space="preserve">Sans DR – besoin RAM</t>
  </si>
  <si>
    <t xml:space="preserve">Sans DR – workers</t>
  </si>
  <si>
    <t xml:space="preserve">Sans DR – coût</t>
  </si>
  <si>
    <t xml:space="preserve">Sans migration – workers</t>
  </si>
  <si>
    <t xml:space="preserve">Sans migration – coût</t>
  </si>
  <si>
    <t xml:space="preserve">Alerte plancher IKS</t>
  </si>
  <si>
    <t xml:space="preserve">Alerte max workers</t>
  </si>
  <si>
    <t xml:space="preserve">Valeur besoin</t>
  </si>
  <si>
    <t xml:space="preserve">Coût par unité</t>
  </si>
  <si>
    <t xml:space="preserve">Fermé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</si>
</sst>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&quot; €&quot;;\-#,##0&quot; €&quot;;\-"/>
    <numFmt numFmtId="166" formatCode="mmm\-yy"/>
    <numFmt numFmtId="167" formatCode="mm/dd/yy"/>
    <numFmt numFmtId="168" formatCode="0"/>
    <numFmt numFmtId="169" formatCode="0%"/>
    <numFmt numFmtId="170" formatCode="General"/>
    <numFmt numFmtId="171" formatCode="#,##0"/>
    <numFmt numFmtId="172" formatCode="@"/>
    <numFmt numFmtId="173" formatCode="#,##0&quot; €&quot;"/>
    <numFmt numFmtId="174" formatCode="#,##0.00&quot; €&quot;"/>
  </numFmts>
  <fonts count="4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915A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0091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5B7DB1"/>
      <name val="Arial"/>
      <family val="0"/>
      <charset val="1"/>
    </font>
    <font>
      <b val="true"/>
      <sz val="16"/>
      <color rgb="FFE69138"/>
      <name val="Arial"/>
      <family val="0"/>
      <charset val="1"/>
    </font>
    <font>
      <b val="true"/>
      <sz val="16"/>
      <color rgb="FF7F7F7F"/>
      <name val="Arial"/>
      <family val="0"/>
      <charset val="1"/>
    </font>
    <font>
      <b val="true"/>
      <sz val="11"/>
      <color rgb="FF7F7F7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8"/>
      <color rgb="FFBFBFBF"/>
      <name val="Arial"/>
      <family val="0"/>
      <charset val="1"/>
    </font>
    <font>
      <b val="true"/>
      <sz val="12"/>
      <color rgb="FF00915A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7"/>
      <color rgb="FFBFBFB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5"/>
      <color rgb="FF2E75B6"/>
      <name val="Arial"/>
      <family val="0"/>
      <charset val="1"/>
    </font>
    <font>
      <b val="true"/>
      <sz val="15"/>
      <color rgb="FFBF9000"/>
      <name val="Arial"/>
      <family val="0"/>
      <charset val="1"/>
    </font>
    <font>
      <b val="true"/>
      <sz val="15"/>
      <color rgb="FFE69138"/>
      <name val="Arial"/>
      <family val="0"/>
      <charset val="1"/>
    </font>
    <font>
      <b val="true"/>
      <sz val="15"/>
      <color rgb="FF7F7F7F"/>
      <name val="Arial"/>
      <family val="0"/>
      <charset val="1"/>
    </font>
    <font>
      <b val="true"/>
      <sz val="15"/>
      <color rgb="FF00915A"/>
      <name val="Arial"/>
      <family val="0"/>
      <charset val="1"/>
    </font>
    <font>
      <b val="true"/>
      <sz val="9"/>
      <color rgb="FF7F7F7F"/>
      <name val="Arial"/>
      <family val="0"/>
      <charset val="1"/>
    </font>
    <font>
      <b val="true"/>
      <sz val="9"/>
      <color rgb="FF00915A"/>
      <name val="Arial"/>
      <family val="0"/>
      <charset val="1"/>
    </font>
    <font>
      <b val="true"/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7"/>
      <color rgb="FFFFFFFF"/>
      <name val="Arial"/>
      <family val="0"/>
      <charset val="1"/>
    </font>
    <font>
      <sz val="8"/>
      <name val="Arial"/>
      <family val="0"/>
      <charset val="1"/>
    </font>
    <font>
      <sz val="6"/>
      <name val="Arial"/>
      <family val="0"/>
      <charset val="1"/>
    </font>
    <font>
      <b val="true"/>
      <sz val="15"/>
      <color rgb="FFE03C31"/>
      <name val="Arial"/>
      <family val="0"/>
      <charset val="1"/>
    </font>
    <font>
      <sz val="7"/>
      <name val="Arial"/>
      <family val="0"/>
      <charset val="1"/>
    </font>
    <font>
      <b val="true"/>
      <sz val="14"/>
      <color rgb="FF00915A"/>
      <name val="Arial"/>
      <family val="0"/>
      <charset val="1"/>
    </font>
    <font>
      <b val="true"/>
      <sz val="12"/>
      <name val="Arial"/>
      <family val="0"/>
      <charset val="1"/>
    </font>
    <font>
      <sz val="8"/>
      <color rgb="FF7F7F7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00915A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9"/>
      <color rgb="FF7F7F7F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0915A"/>
        <bgColor rgb="FF008080"/>
      </patternFill>
    </fill>
    <fill>
      <patternFill patternType="solid">
        <fgColor rgb="FF5B7DB1"/>
        <bgColor rgb="FF2E75B6"/>
      </patternFill>
    </fill>
    <fill>
      <patternFill patternType="solid">
        <fgColor rgb="FFE69138"/>
        <bgColor rgb="FFBF9000"/>
      </patternFill>
    </fill>
    <fill>
      <patternFill patternType="solid">
        <fgColor rgb="FF7F7F7F"/>
        <bgColor rgb="FF808080"/>
      </patternFill>
    </fill>
    <fill>
      <patternFill patternType="solid">
        <fgColor rgb="FFFFF2CC"/>
        <bgColor rgb="FFFCE5CD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5B7DB1"/>
      </patternFill>
    </fill>
    <fill>
      <patternFill patternType="solid">
        <fgColor rgb="FFBF9000"/>
        <bgColor rgb="FFE69138"/>
      </patternFill>
    </fill>
    <fill>
      <patternFill patternType="solid">
        <fgColor rgb="FF9FC5E8"/>
        <bgColor rgb="FFBFBFBF"/>
      </patternFill>
    </fill>
    <fill>
      <patternFill patternType="solid">
        <fgColor rgb="FFF4B183"/>
        <bgColor rgb="FFF6B26B"/>
      </patternFill>
    </fill>
    <fill>
      <patternFill patternType="solid">
        <fgColor rgb="FFE06666"/>
        <bgColor rgb="FFE69138"/>
      </patternFill>
    </fill>
    <fill>
      <patternFill patternType="solid">
        <fgColor rgb="FF93C47D"/>
        <bgColor rgb="FFBFBFBF"/>
      </patternFill>
    </fill>
    <fill>
      <patternFill patternType="solid">
        <fgColor rgb="FFBFBFBF"/>
        <bgColor rgb="FF9FC5E8"/>
      </patternFill>
    </fill>
    <fill>
      <patternFill patternType="solid">
        <fgColor rgb="FFE03C31"/>
        <bgColor rgb="FFE0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2" fillId="2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70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ont>
        <color rgb="FF9FC5E8"/>
      </font>
      <fill>
        <patternFill>
          <bgColor rgb="FF9FC5E8"/>
        </patternFill>
      </fill>
    </dxf>
    <dxf>
      <font>
        <color rgb="FFF4B183"/>
      </font>
      <fill>
        <patternFill>
          <bgColor rgb="FFF4B183"/>
        </patternFill>
      </fill>
    </dxf>
    <dxf>
      <font>
        <color rgb="FFE06666"/>
      </font>
      <fill>
        <patternFill>
          <bgColor rgb="FFE06666"/>
        </patternFill>
      </fill>
    </dxf>
    <dxf>
      <font>
        <color rgb="FF93C47D"/>
      </font>
      <fill>
        <patternFill>
          <bgColor rgb="FF93C47D"/>
        </patternFill>
      </fill>
    </dxf>
    <dxf>
      <font>
        <color rgb="FFBFBFBF"/>
      </font>
      <fill>
        <patternFill>
          <bgColor rgb="FFBFBFBF"/>
        </patternFill>
      </fill>
    </dxf>
    <dxf>
      <fill>
        <patternFill>
          <bgColor rgb="FFC00000"/>
        </patternFill>
      </fill>
    </dxf>
    <dxf>
      <font>
        <color rgb="FF808080"/>
      </font>
      <fill>
        <patternFill>
          <bgColor rgb="FFD9D9D9"/>
        </patternFill>
      </fill>
    </dxf>
    <dxf>
      <font>
        <b val="1"/>
      </font>
      <fill>
        <patternFill>
          <bgColor rgb="FF93C47D"/>
        </patternFill>
      </fill>
    </dxf>
    <dxf>
      <font>
        <b val="1"/>
      </font>
      <fill>
        <patternFill>
          <bgColor rgb="FFF6B26B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  <color rgb="FFC00000"/>
      </font>
      <fill>
        <patternFill>
          <bgColor rgb="FFF4CCCC"/>
        </patternFill>
      </fill>
    </dxf>
    <dxf>
      <fill>
        <patternFill patternType="solid">
          <fgColor rgb="FF00915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CE5C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9000"/>
      <rgbColor rgb="FF800080"/>
      <rgbColor rgb="FF00915A"/>
      <rgbColor rgb="FFBFBFBF"/>
      <rgbColor rgb="FF808080"/>
      <rgbColor rgb="FF9999FF"/>
      <rgbColor rgb="FF993366"/>
      <rgbColor rgb="FFFFF2CC"/>
      <rgbColor rgb="FFF2F2F2"/>
      <rgbColor rgb="FF660066"/>
      <rgbColor rgb="FFE0666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FC5E8"/>
      <rgbColor rgb="FFF4B183"/>
      <rgbColor rgb="FFCC99FF"/>
      <rgbColor rgb="FFF4CCCC"/>
      <rgbColor rgb="FF2E75B6"/>
      <rgbColor rgb="FF33CCCC"/>
      <rgbColor rgb="FF93C47D"/>
      <rgbColor rgb="FFF6B26B"/>
      <rgbColor rgb="FFE69138"/>
      <rgbColor rgb="FFE03C31"/>
      <rgbColor rgb="FF5B7DB1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Coût mensuel, ROKS qui monte, IKS qui descend</a:t>
            </a:r>
          </a:p>
        </rich>
      </tx>
    </title>
    <plotArea>
      <lineChart>
        <grouping val="standard"/>
        <ser>
          <idx val="0"/>
          <order val="0"/>
          <tx>
            <v>Coût ROKS (€)</v>
          </tx>
          <spPr>
            <a:ln xmlns:a="http://schemas.openxmlformats.org/drawingml/2006/main" w="381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'Synthèse'!ch_mois</f>
            </numRef>
          </cat>
          <val>
            <numRef>
              <f>'Synthèse'!ch_sel_roks</f>
            </numRef>
          </val>
          <smooth val="1"/>
        </ser>
        <ser>
          <idx val="1"/>
          <order val="1"/>
          <tx>
            <v>Coût IKS (€)</v>
          </tx>
          <spPr>
            <a:ln xmlns:a="http://schemas.openxmlformats.org/drawingml/2006/main" w="38100">
              <a:solidFill>
                <a:srgbClr val="E03C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'Synthèse'!ch_mois</f>
            </numRef>
          </cat>
          <val>
            <numRef>
              <f>'Synthèse'!ch_sel_iks</f>
            </numRef>
          </val>
          <smooth val="1"/>
        </ser>
        <ser>
          <idx val="2"/>
          <order val="2"/>
          <tx>
            <v>Surcoût double run (€)</v>
          </tx>
          <spPr>
            <a:ln xmlns:a="http://schemas.openxmlformats.org/drawingml/2006/main" w="38100">
              <a:solidFill>
                <a:srgbClr val="7CB34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'Synthèse'!ch_mois</f>
            </numRef>
          </cat>
          <val>
            <numRef>
              <f>'Synthèse'!ch_sel_dr</f>
            </numRef>
          </val>
          <smooth val="1"/>
        </ser>
        <ser>
          <idx val="3"/>
          <order val="3"/>
          <tx>
            <v>Coût total (€)</v>
          </tx>
          <spPr>
            <a:ln xmlns:a="http://schemas.openxmlformats.org/drawingml/2006/main" w="381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'Synthèse'!ch_mois</f>
            </numRef>
          </cat>
          <val>
            <numRef>
              <f>'Synthèse'!ch_sel_total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numFmt formatCode="mmm-yy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/ mois</a:t>
                </a:r>
              </a:p>
            </rich>
          </tx>
        </title>
        <numFmt formatCode="#,##0 &quot;€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Coût IKS et ROKS par tribe</a:t>
            </a:r>
          </a:p>
        </rich>
      </tx>
    </title>
    <plotArea>
      <barChart>
        <barDir val="col"/>
        <grouping val="stacked"/>
        <ser>
          <idx val="0"/>
          <order val="0"/>
          <tx>
            <v>Coût IKS (€)</v>
          </tx>
          <spPr>
            <a:solidFill xmlns:a="http://schemas.openxmlformats.org/drawingml/2006/main">
              <a:srgbClr val="E03C31"/>
            </a:solidFill>
            <a:ln xmlns:a="http://schemas.openxmlformats.org/drawingml/2006/main">
              <a:solidFill>
                <a:srgbClr val="E03C31"/>
              </a:solidFill>
              <a:prstDash val="solid"/>
            </a:ln>
          </spPr>
          <cat>
            <strRef>
              <f>'Dashboard'!tr_nom</f>
            </strRef>
          </cat>
          <val>
            <numRef>
              <f>'Dashboard'!tr_iks</f>
            </numRef>
          </val>
        </ser>
        <ser>
          <idx val="1"/>
          <order val="1"/>
          <tx>
            <v>Coût ROKS (€)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strRef>
              <f>'Dashboard'!tr_nom</f>
            </strRef>
          </cat>
          <val>
            <numRef>
              <f>'Dashboard'!tr_roks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(horizon)</a:t>
                </a:r>
              </a:p>
            </rich>
          </tx>
        </title>
        <numFmt formatCode="#,##0 &quot;€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Coût IKS et ROKS par domaine</a:t>
            </a:r>
          </a:p>
        </rich>
      </tx>
    </title>
    <plotArea>
      <barChart>
        <barDir val="col"/>
        <grouping val="stacked"/>
        <ser>
          <idx val="0"/>
          <order val="0"/>
          <tx>
            <v>Coût IKS (€)</v>
          </tx>
          <spPr>
            <a:solidFill xmlns:a="http://schemas.openxmlformats.org/drawingml/2006/main">
              <a:srgbClr val="E03C31"/>
            </a:solidFill>
            <a:ln xmlns:a="http://schemas.openxmlformats.org/drawingml/2006/main">
              <a:solidFill>
                <a:srgbClr val="E03C31"/>
              </a:solidFill>
              <a:prstDash val="solid"/>
            </a:ln>
          </spPr>
          <cat>
            <strRef>
              <f>'Dashboard'!dom_nom</f>
            </strRef>
          </cat>
          <val>
            <numRef>
              <f>'Dashboard'!dom_iks</f>
            </numRef>
          </val>
        </ser>
        <ser>
          <idx val="1"/>
          <order val="1"/>
          <tx>
            <v>Coût ROKS (€)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strRef>
              <f>'Dashboard'!dom_nom</f>
            </strRef>
          </cat>
          <val>
            <numRef>
              <f>'Dashboard'!dom_roks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(horizon)</a:t>
                </a:r>
              </a:p>
            </rich>
          </tx>
        </title>
        <numFmt formatCode="#,##0 &quot;€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Avancement par tribe (déploiements)</a:t>
            </a:r>
          </a:p>
        </rich>
      </tx>
    </title>
    <plotArea>
      <barChart>
        <barDir val="col"/>
        <grouping val="stacked"/>
        <ser>
          <idx val="0"/>
          <order val="0"/>
          <tx>
            <v>Migré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strRef>
              <f>'Avancement'!av_tr_nom</f>
            </strRef>
          </cat>
          <val>
            <numRef>
              <f>'Avancement'!av_tr_0</f>
            </numRef>
          </val>
        </ser>
        <ser>
          <idx val="1"/>
          <order val="1"/>
          <tx>
            <v>À migrer</v>
          </tx>
          <spPr>
            <a:solidFill xmlns:a="http://schemas.openxmlformats.org/drawingml/2006/main">
              <a:srgbClr val="F1C232"/>
            </a:solidFill>
            <a:ln xmlns:a="http://schemas.openxmlformats.org/drawingml/2006/main">
              <a:solidFill>
                <a:srgbClr val="F1C232"/>
              </a:solidFill>
              <a:prstDash val="solid"/>
            </a:ln>
          </spPr>
          <cat>
            <strRef>
              <f>'Avancement'!av_tr_nom</f>
            </strRef>
          </cat>
          <val>
            <numRef>
              <f>'Avancement'!av_tr_1</f>
            </numRef>
          </val>
        </ser>
        <ser>
          <idx val="2"/>
          <order val="2"/>
          <tx>
            <v>À décommissionner</v>
          </tx>
          <spPr>
            <a:solidFill xmlns:a="http://schemas.openxmlformats.org/drawingml/2006/main">
              <a:srgbClr val="E69138"/>
            </a:solidFill>
            <a:ln xmlns:a="http://schemas.openxmlformats.org/drawingml/2006/main">
              <a:solidFill>
                <a:srgbClr val="E69138"/>
              </a:solidFill>
              <a:prstDash val="solid"/>
            </a:ln>
          </spPr>
          <cat>
            <strRef>
              <f>'Avancement'!av_tr_nom</f>
            </strRef>
          </cat>
          <val>
            <numRef>
              <f>'Avancement'!av_tr_2</f>
            </numRef>
          </val>
        </ser>
        <ser>
          <idx val="3"/>
          <order val="3"/>
          <tx>
            <v>Décommissionné</v>
          </tx>
          <spPr>
            <a:solidFill xmlns:a="http://schemas.openxmlformats.org/drawingml/2006/main">
              <a:srgbClr val="999999"/>
            </a:solidFill>
            <a:ln xmlns:a="http://schemas.openxmlformats.org/drawingml/2006/main">
              <a:solidFill>
                <a:srgbClr val="999999"/>
              </a:solidFill>
              <a:prstDash val="solid"/>
            </a:ln>
          </spPr>
          <cat>
            <strRef>
              <f>'Avancement'!av_tr_nom</f>
            </strRef>
          </cat>
          <val>
            <numRef>
              <f>'Avancement'!av_tr_3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Avancement par domaine (déploiements)</a:t>
            </a:r>
          </a:p>
        </rich>
      </tx>
    </title>
    <plotArea>
      <barChart>
        <barDir val="col"/>
        <grouping val="stacked"/>
        <ser>
          <idx val="0"/>
          <order val="0"/>
          <tx>
            <v>Migré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strRef>
              <f>'Avancement'!av_dom_nom</f>
            </strRef>
          </cat>
          <val>
            <numRef>
              <f>'Avancement'!av_dom_0</f>
            </numRef>
          </val>
        </ser>
        <ser>
          <idx val="1"/>
          <order val="1"/>
          <tx>
            <v>À migrer</v>
          </tx>
          <spPr>
            <a:solidFill xmlns:a="http://schemas.openxmlformats.org/drawingml/2006/main">
              <a:srgbClr val="F1C232"/>
            </a:solidFill>
            <a:ln xmlns:a="http://schemas.openxmlformats.org/drawingml/2006/main">
              <a:solidFill>
                <a:srgbClr val="F1C232"/>
              </a:solidFill>
              <a:prstDash val="solid"/>
            </a:ln>
          </spPr>
          <cat>
            <strRef>
              <f>'Avancement'!av_dom_nom</f>
            </strRef>
          </cat>
          <val>
            <numRef>
              <f>'Avancement'!av_dom_1</f>
            </numRef>
          </val>
        </ser>
        <ser>
          <idx val="2"/>
          <order val="2"/>
          <tx>
            <v>À décommissionner</v>
          </tx>
          <spPr>
            <a:solidFill xmlns:a="http://schemas.openxmlformats.org/drawingml/2006/main">
              <a:srgbClr val="E69138"/>
            </a:solidFill>
            <a:ln xmlns:a="http://schemas.openxmlformats.org/drawingml/2006/main">
              <a:solidFill>
                <a:srgbClr val="E69138"/>
              </a:solidFill>
              <a:prstDash val="solid"/>
            </a:ln>
          </spPr>
          <cat>
            <strRef>
              <f>'Avancement'!av_dom_nom</f>
            </strRef>
          </cat>
          <val>
            <numRef>
              <f>'Avancement'!av_dom_2</f>
            </numRef>
          </val>
        </ser>
        <ser>
          <idx val="3"/>
          <order val="3"/>
          <tx>
            <v>Décommissionné</v>
          </tx>
          <spPr>
            <a:solidFill xmlns:a="http://schemas.openxmlformats.org/drawingml/2006/main">
              <a:srgbClr val="999999"/>
            </a:solidFill>
            <a:ln xmlns:a="http://schemas.openxmlformats.org/drawingml/2006/main">
              <a:solidFill>
                <a:srgbClr val="999999"/>
              </a:solidFill>
              <a:prstDash val="solid"/>
            </a:ln>
          </spPr>
          <cat>
            <strRef>
              <f>'Avancement'!av_dom_nom</f>
            </strRef>
          </cat>
          <val>
            <numRef>
              <f>'Avancement'!av_dom_3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Bascules et décommissions par mois</a:t>
            </a:r>
          </a:p>
        </rich>
      </tx>
    </title>
    <plotArea>
      <barChart>
        <barDir val="col"/>
        <grouping val="stacked"/>
        <ser>
          <idx val="0"/>
          <order val="0"/>
          <tx>
            <v>Bascules (À migrer)</v>
          </tx>
          <spPr>
            <a:solidFill xmlns:a="http://schemas.openxmlformats.org/drawingml/2006/main">
              <a:srgbClr val="F1C232"/>
            </a:solidFill>
            <a:ln xmlns:a="http://schemas.openxmlformats.org/drawingml/2006/main">
              <a:solidFill>
                <a:srgbClr val="F1C232"/>
              </a:solidFill>
              <a:prstDash val="solid"/>
            </a:ln>
          </spPr>
          <cat>
            <numRef>
              <f>'Avancement'!av_m</f>
            </numRef>
          </cat>
          <val>
            <numRef>
              <f>'Avancement'!av_bas</f>
            </numRef>
          </val>
        </ser>
        <ser>
          <idx val="1"/>
          <order val="1"/>
          <tx>
            <v>Décommissions</v>
          </tx>
          <spPr>
            <a:solidFill xmlns:a="http://schemas.openxmlformats.org/drawingml/2006/main">
              <a:srgbClr val="E69138"/>
            </a:solidFill>
            <a:ln xmlns:a="http://schemas.openxmlformats.org/drawingml/2006/main">
              <a:solidFill>
                <a:srgbClr val="E69138"/>
              </a:solidFill>
              <a:prstDash val="solid"/>
            </a:ln>
          </spPr>
          <cat>
            <numRef>
              <f>'Avancement'!av_m</f>
            </numRef>
          </cat>
          <val>
            <numRef>
              <f>'Avancement'!av_dec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% traité cumulé</v>
          </tx>
          <spPr>
            <a:ln xmlns:a="http://schemas.openxmlformats.org/drawingml/2006/main" w="31750">
              <a:solidFill>
                <a:srgbClr val="00915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'Avancement'!av_m</f>
            </numRef>
          </cat>
          <val>
            <numRef>
              <f>'Avancement'!av_pct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Déploiements / mois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traité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provisionné IKS vs ROKS (vCPU)</a:t>
            </a:r>
          </a:p>
        </rich>
      </tx>
    </title>
    <plotArea>
      <lineChart>
        <grouping val="standard"/>
        <ser>
          <idx val="0"/>
          <order val="0"/>
          <tx>
            <v>CPU IKS</v>
          </tx>
          <spPr>
            <a:ln xmlns:a="http://schemas.openxmlformats.org/drawingml/2006/main" w="31750">
              <a:solidFill>
                <a:srgbClr val="E03C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'Capacités'!cp_m</f>
            </numRef>
          </cat>
          <val>
            <numRef>
              <f>'Capacités'!cp_ci</f>
            </numRef>
          </val>
          <smooth val="0"/>
        </ser>
        <ser>
          <idx val="1"/>
          <order val="1"/>
          <tx>
            <v>CPU ROKS</v>
          </tx>
          <spPr>
            <a:ln xmlns:a="http://schemas.openxmlformats.org/drawingml/2006/main" w="3175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'Capacités'!cp_m</f>
            </numRef>
          </cat>
          <val>
            <numRef>
              <f>'Capacités'!cp_cr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RAM provisionnée IKS vs ROKS (Go)</a:t>
            </a:r>
          </a:p>
        </rich>
      </tx>
    </title>
    <plotArea>
      <lineChart>
        <grouping val="standard"/>
        <ser>
          <idx val="0"/>
          <order val="0"/>
          <tx>
            <v>RAM IKS</v>
          </tx>
          <spPr>
            <a:ln xmlns:a="http://schemas.openxmlformats.org/drawingml/2006/main" w="31750">
              <a:solidFill>
                <a:srgbClr val="E03C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'Capacités'!cp_m</f>
            </numRef>
          </cat>
          <val>
            <numRef>
              <f>'Capacités'!cp_ri</f>
            </numRef>
          </val>
          <smooth val="0"/>
        </ser>
        <ser>
          <idx val="1"/>
          <order val="1"/>
          <tx>
            <v>RAM ROKS</v>
          </tx>
          <spPr>
            <a:ln xmlns:a="http://schemas.openxmlformats.org/drawingml/2006/main" w="3175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'Capacités'!cp_m</f>
            </numRef>
          </cat>
          <val>
            <numRef>
              <f>'Capacités'!cp_rr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Workers IKS vs ROKS</a:t>
            </a:r>
          </a:p>
        </rich>
      </tx>
    </title>
    <plotArea>
      <lineChart>
        <grouping val="standard"/>
        <ser>
          <idx val="0"/>
          <order val="0"/>
          <tx>
            <v>Workers IKS</v>
          </tx>
          <spPr>
            <a:ln xmlns:a="http://schemas.openxmlformats.org/drawingml/2006/main" w="31750">
              <a:solidFill>
                <a:srgbClr val="E03C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'Capacités'!cp_m</f>
            </numRef>
          </cat>
          <val>
            <numRef>
              <f>'Capacités'!cp_wi</f>
            </numRef>
          </val>
          <smooth val="0"/>
        </ser>
        <ser>
          <idx val="1"/>
          <order val="1"/>
          <tx>
            <v>Workers ROKS</v>
          </tx>
          <spPr>
            <a:ln xmlns:a="http://schemas.openxmlformats.org/drawingml/2006/main" w="3175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'Capacités'!cp_m</f>
            </numRef>
          </cat>
          <val>
            <numRef>
              <f>'Capacités'!cp_wr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Coût IKS mensuel et déploiements restants</a:t>
            </a:r>
          </a:p>
        </rich>
      </tx>
    </title>
    <plotArea>
      <lineChart>
        <grouping val="standard"/>
        <ser>
          <idx val="0"/>
          <order val="0"/>
          <tx>
            <v>Coût IKS mensuel (€)</v>
          </tx>
          <spPr>
            <a:ln xmlns:a="http://schemas.openxmlformats.org/drawingml/2006/main" w="31750">
              <a:solidFill>
                <a:srgbClr val="E03C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'Extinction IKS'!ex_m</f>
            </numRef>
          </cat>
          <val>
            <numRef>
              <f>'Extinction IKS'!ex_cost</f>
            </numRef>
          </val>
          <smooth val="0"/>
        </ser>
        <axId val="10"/>
        <axId val="100"/>
      </lineChart>
      <barChart>
        <barDir val="col"/>
        <grouping val="clustered"/>
        <ser>
          <idx val="1"/>
          <order val="1"/>
          <tx>
            <v>Déploiements restant sur IKS</v>
          </tx>
          <spPr>
            <a:solidFill xmlns:a="http://schemas.openxmlformats.org/drawingml/2006/main">
              <a:srgbClr val="F6B26B"/>
            </a:solidFill>
            <a:ln xmlns:a="http://schemas.openxmlformats.org/drawingml/2006/main">
              <a:solidFill>
                <a:srgbClr val="F6B26B"/>
              </a:solidFill>
              <a:prstDash val="solid"/>
            </a:ln>
          </spPr>
          <cat>
            <numRef>
              <f>'Extinction IKS'!ex_m</f>
            </numRef>
          </cat>
          <val>
            <numRef>
              <f>'Extinction IKS'!ex_dep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 / mois</a:t>
                </a:r>
              </a:p>
            </rich>
          </tx>
        </title>
        <numFmt formatCode="#,##0 &quot;€&quot;" sourceLinked="0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Déploiements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Coût IKS résiduel cumulé jusqu'à extinction</a:t>
            </a:r>
          </a:p>
        </rich>
      </tx>
    </title>
    <plotArea>
      <lineChart>
        <grouping val="standard"/>
        <ser>
          <idx val="0"/>
          <order val="0"/>
          <tx>
            <v>Coût IKS restant à payer (€)</v>
          </tx>
          <spPr>
            <a:ln xmlns:a="http://schemas.openxmlformats.org/drawingml/2006/main" w="3175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'Extinction IKS'!ex_m</f>
            </numRef>
          </cat>
          <val>
            <numRef>
              <f>'Extinction IKS'!ex_res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 &quot;€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provisionné (vCPU)</a:t>
            </a:r>
          </a:p>
        </rich>
      </tx>
    </title>
    <plotArea>
      <lineChart>
        <grouping val="standard"/>
        <ser>
          <idx val="0"/>
          <order val="0"/>
          <tx>
            <strRef>
              <f>'Synthèse'!C22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'Synthèse'!ch_mois</f>
            </numRef>
          </cat>
          <val>
            <numRef>
              <f>'Synthèse'!ch_cpu_iks</f>
            </numRef>
          </val>
        </ser>
        <ser>
          <idx val="1"/>
          <order val="1"/>
          <tx>
            <strRef>
              <f>'Synthèse'!D22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'Synthèse'!ch_mois</f>
            </numRef>
          </cat>
          <val>
            <numRef>
              <f>'Synthèse'!ch_cpu_roks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vCPU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RAM provisionnée (Go)</a:t>
            </a:r>
          </a:p>
        </rich>
      </tx>
    </title>
    <plotArea>
      <lineChart>
        <grouping val="standard"/>
        <ser>
          <idx val="0"/>
          <order val="0"/>
          <tx>
            <strRef>
              <f>'Synthèse'!E22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'Synthèse'!ch_mois</f>
            </numRef>
          </cat>
          <val>
            <numRef>
              <f>'Synthèse'!ch_ram_iks</f>
            </numRef>
          </val>
        </ser>
        <ser>
          <idx val="1"/>
          <order val="1"/>
          <tx>
            <strRef>
              <f>'Synthèse'!F22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'Synthèse'!ch_mois</f>
            </numRef>
          </cat>
          <val>
            <numRef>
              <f>'Synthèse'!ch_ram_roks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Coûts mensuels IKS + ROKS (€)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'Synthèse'!I22</f>
            </strRef>
          </tx>
          <spPr>
            <a:ln xmlns:a="http://schemas.openxmlformats.org/drawingml/2006/main">
              <a:prstDash val="solid"/>
            </a:ln>
          </spPr>
          <cat>
            <numRef>
              <f>'Synthèse'!ch_mois</f>
            </numRef>
          </cat>
          <val>
            <numRef>
              <f>'Synthèse'!ch_cout_iks</f>
            </numRef>
          </val>
        </ser>
        <ser>
          <idx val="1"/>
          <order val="1"/>
          <tx>
            <strRef>
              <f>'Synthèse'!J22</f>
            </strRef>
          </tx>
          <spPr>
            <a:ln xmlns:a="http://schemas.openxmlformats.org/drawingml/2006/main">
              <a:prstDash val="solid"/>
            </a:ln>
          </spPr>
          <cat>
            <numRef>
              <f>'Synthèse'!ch_mois</f>
            </numRef>
          </cat>
          <val>
            <numRef>
              <f>'Synthèse'!ch_cout_roks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Surcoût du double run (€) : mensuel et cumulé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'Synthèse'!L22</f>
            </strRef>
          </tx>
          <spPr>
            <a:ln xmlns:a="http://schemas.openxmlformats.org/drawingml/2006/main">
              <a:prstDash val="solid"/>
            </a:ln>
          </spPr>
          <cat>
            <numRef>
              <f>'Synthèse'!ch_mois</f>
            </numRef>
          </cat>
          <val>
            <numRef>
              <f>'Synthèse'!ch_dr_mois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'Synthèse'!M22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'Synthèse'!ch_mois</f>
            </numRef>
          </cat>
          <val>
            <numRef>
              <f>'Synthèse'!ch_dr_cumul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Cumulé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131040</xdr:rowOff>
    </xdr:from>
    <xdr:to>
      <xdr:col>15</xdr:col>
      <xdr:colOff>21240</xdr:colOff>
      <xdr:row>33</xdr:row>
      <xdr:rowOff>47880</xdr:rowOff>
    </xdr:to>
    <xdr:graphicFrame>
      <xdr:nvGraphicFramePr>
        <xdr:cNvPr id="0" name="Chart 1"/>
        <xdr:cNvGraphicFramePr/>
      </xdr:nvGraphicFramePr>
      <xdr:xfrm>
        <a:off x="141120" y="2114640"/>
        <a:ext cx="122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41</xdr:row>
      <xdr:rowOff>130680</xdr:rowOff>
    </xdr:from>
    <xdr:to>
      <xdr:col>7</xdr:col>
      <xdr:colOff>442080</xdr:colOff>
      <xdr:row>59</xdr:row>
      <xdr:rowOff>121320</xdr:rowOff>
    </xdr:to>
    <xdr:graphicFrame>
      <xdr:nvGraphicFramePr>
        <xdr:cNvPr id="1" name="Chart 2"/>
        <xdr:cNvGraphicFramePr/>
      </xdr:nvGraphicFramePr>
      <xdr:xfrm>
        <a:off x="141120" y="8400960"/>
        <a:ext cx="59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41</xdr:row>
      <xdr:rowOff>130680</xdr:rowOff>
    </xdr:from>
    <xdr:to>
      <xdr:col>15</xdr:col>
      <xdr:colOff>135360</xdr:colOff>
      <xdr:row>59</xdr:row>
      <xdr:rowOff>121320</xdr:rowOff>
    </xdr:to>
    <xdr:graphicFrame>
      <xdr:nvGraphicFramePr>
        <xdr:cNvPr id="2" name="Chart 3"/>
        <xdr:cNvGraphicFramePr/>
      </xdr:nvGraphicFramePr>
      <xdr:xfrm>
        <a:off x="6555240" y="8400960"/>
        <a:ext cx="59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130680</xdr:rowOff>
    </xdr:from>
    <xdr:to>
      <xdr:col>7</xdr:col>
      <xdr:colOff>723960</xdr:colOff>
      <xdr:row>27</xdr:row>
      <xdr:rowOff>131760</xdr:rowOff>
    </xdr:to>
    <xdr:graphicFrame>
      <xdr:nvGraphicFramePr>
        <xdr:cNvPr id="3" name="Chart 1"/>
        <xdr:cNvGraphicFramePr/>
      </xdr:nvGraphicFramePr>
      <xdr:xfrm>
        <a:off x="141120" y="2523960"/>
        <a:ext cx="59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10</xdr:row>
      <xdr:rowOff>130680</xdr:rowOff>
    </xdr:from>
    <xdr:to>
      <xdr:col>17</xdr:col>
      <xdr:colOff>464760</xdr:colOff>
      <xdr:row>27</xdr:row>
      <xdr:rowOff>131760</xdr:rowOff>
    </xdr:to>
    <xdr:graphicFrame>
      <xdr:nvGraphicFramePr>
        <xdr:cNvPr id="4" name="Chart 2"/>
        <xdr:cNvGraphicFramePr/>
      </xdr:nvGraphicFramePr>
      <xdr:xfrm>
        <a:off x="6696000" y="2523960"/>
        <a:ext cx="59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75</xdr:row>
      <xdr:rowOff>131040</xdr:rowOff>
    </xdr:from>
    <xdr:to>
      <xdr:col>17</xdr:col>
      <xdr:colOff>209880</xdr:colOff>
      <xdr:row>92</xdr:row>
      <xdr:rowOff>132120</xdr:rowOff>
    </xdr:to>
    <xdr:graphicFrame>
      <xdr:nvGraphicFramePr>
        <xdr:cNvPr id="5" name="Chart 3"/>
        <xdr:cNvGraphicFramePr/>
      </xdr:nvGraphicFramePr>
      <xdr:xfrm>
        <a:off x="141120" y="15478200"/>
        <a:ext cx="122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130680</xdr:rowOff>
    </xdr:from>
    <xdr:to>
      <xdr:col>9</xdr:col>
      <xdr:colOff>433080</xdr:colOff>
      <xdr:row>26</xdr:row>
      <xdr:rowOff>142200</xdr:rowOff>
    </xdr:to>
    <xdr:graphicFrame>
      <xdr:nvGraphicFramePr>
        <xdr:cNvPr id="6" name="Chart 1"/>
        <xdr:cNvGraphicFramePr/>
      </xdr:nvGraphicFramePr>
      <xdr:xfrm>
        <a:off x="141120" y="252396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10</xdr:row>
      <xdr:rowOff>130680</xdr:rowOff>
    </xdr:from>
    <xdr:to>
      <xdr:col>21</xdr:col>
      <xdr:colOff>290160</xdr:colOff>
      <xdr:row>26</xdr:row>
      <xdr:rowOff>142200</xdr:rowOff>
    </xdr:to>
    <xdr:graphicFrame>
      <xdr:nvGraphicFramePr>
        <xdr:cNvPr id="7" name="Chart 2"/>
        <xdr:cNvGraphicFramePr/>
      </xdr:nvGraphicFramePr>
      <xdr:xfrm>
        <a:off x="6345720" y="252396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0</xdr:colOff>
      <xdr:row>10</xdr:row>
      <xdr:rowOff>130680</xdr:rowOff>
    </xdr:from>
    <xdr:to>
      <xdr:col>32</xdr:col>
      <xdr:colOff>290160</xdr:colOff>
      <xdr:row>26</xdr:row>
      <xdr:rowOff>142200</xdr:rowOff>
    </xdr:to>
    <xdr:graphicFrame>
      <xdr:nvGraphicFramePr>
        <xdr:cNvPr id="8" name="Chart 3"/>
        <xdr:cNvGraphicFramePr/>
      </xdr:nvGraphicFramePr>
      <xdr:xfrm>
        <a:off x="12164040" y="252396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130680</xdr:rowOff>
    </xdr:from>
    <xdr:to>
      <xdr:col>6</xdr:col>
      <xdr:colOff>864720</xdr:colOff>
      <xdr:row>27</xdr:row>
      <xdr:rowOff>131760</xdr:rowOff>
    </xdr:to>
    <xdr:graphicFrame>
      <xdr:nvGraphicFramePr>
        <xdr:cNvPr id="9" name="Chart 1"/>
        <xdr:cNvGraphicFramePr/>
      </xdr:nvGraphicFramePr>
      <xdr:xfrm>
        <a:off x="141120" y="2523960"/>
        <a:ext cx="59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10</xdr:row>
      <xdr:rowOff>130680</xdr:rowOff>
    </xdr:from>
    <xdr:to>
      <xdr:col>14</xdr:col>
      <xdr:colOff>159840</xdr:colOff>
      <xdr:row>27</xdr:row>
      <xdr:rowOff>131760</xdr:rowOff>
    </xdr:to>
    <xdr:graphicFrame>
      <xdr:nvGraphicFramePr>
        <xdr:cNvPr id="10" name="Chart 2"/>
        <xdr:cNvGraphicFramePr/>
      </xdr:nvGraphicFramePr>
      <xdr:xfrm>
        <a:off x="7189560" y="2523960"/>
        <a:ext cx="59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1</xdr:row>
      <xdr:rowOff>160560</xdr:rowOff>
    </xdr:from>
    <xdr:to>
      <xdr:col>35</xdr:col>
      <xdr:colOff>4680</xdr:colOff>
      <xdr:row>14</xdr:row>
      <xdr:rowOff>136080</xdr:rowOff>
    </xdr:to>
    <xdr:graphicFrame>
      <xdr:nvGraphicFramePr>
        <xdr:cNvPr id="11" name="Chart 1"/>
        <xdr:cNvGraphicFramePr/>
      </xdr:nvGraphicFramePr>
      <xdr:xfrm>
        <a:off x="26268120" y="3808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0</xdr:colOff>
      <xdr:row>17</xdr:row>
      <xdr:rowOff>160560</xdr:rowOff>
    </xdr:from>
    <xdr:to>
      <xdr:col>35</xdr:col>
      <xdr:colOff>4680</xdr:colOff>
      <xdr:row>30</xdr:row>
      <xdr:rowOff>2880</xdr:rowOff>
    </xdr:to>
    <xdr:graphicFrame>
      <xdr:nvGraphicFramePr>
        <xdr:cNvPr id="12" name="Chart 2"/>
        <xdr:cNvGraphicFramePr/>
      </xdr:nvGraphicFramePr>
      <xdr:xfrm>
        <a:off x="26268120" y="36766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25</xdr:col>
      <xdr:colOff>0</xdr:colOff>
      <xdr:row>33</xdr:row>
      <xdr:rowOff>160560</xdr:rowOff>
    </xdr:from>
    <xdr:to>
      <xdr:col>35</xdr:col>
      <xdr:colOff>4680</xdr:colOff>
      <xdr:row>48</xdr:row>
      <xdr:rowOff>2880</xdr:rowOff>
    </xdr:to>
    <xdr:graphicFrame>
      <xdr:nvGraphicFramePr>
        <xdr:cNvPr id="13" name="Chart 3"/>
        <xdr:cNvGraphicFramePr/>
      </xdr:nvGraphicFramePr>
      <xdr:xfrm>
        <a:off x="26268120" y="71056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0</xdr:colOff>
      <xdr:row>49</xdr:row>
      <xdr:rowOff>160920</xdr:rowOff>
    </xdr:from>
    <xdr:to>
      <xdr:col>35</xdr:col>
      <xdr:colOff>4680</xdr:colOff>
      <xdr:row>62</xdr:row>
      <xdr:rowOff>384120</xdr:rowOff>
    </xdr:to>
    <xdr:graphicFrame>
      <xdr:nvGraphicFramePr>
        <xdr:cNvPr id="14" name="Chart 4"/>
        <xdr:cNvGraphicFramePr/>
      </xdr:nvGraphicFramePr>
      <xdr:xfrm>
        <a:off x="26268120" y="101538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BS" displayName="TblABS" ref="B20:H60" headerRowCount="1" totalsRowCount="0" totalsRowShown="0">
  <autoFilter ref="B20:H60"/>
  <tableColumns count="7">
    <tableColumn id="1" name="Infra"/>
    <tableColumn id="2" name="Plateforme"/>
    <tableColumn id="3" name="Flavor"/>
    <tableColumn id="4" name="vCPU par nœud"/>
    <tableColumn id="5" name="RAM par nœud (Go)"/>
    <tableColumn id="6" name="Tarif par nœud"/>
    <tableColumn id="7" name="Nature tarif"/>
  </tableColumns>
</table>
</file>

<file path=xl/tables/table2.xml><?xml version="1.0" encoding="utf-8"?>
<table xmlns="http://schemas.openxmlformats.org/spreadsheetml/2006/main" id="2" name="TblApplications" displayName="TblApplications" ref="A5:AJ305" headerRowCount="1" totalsRowCount="0" totalsRowShown="0">
  <autoFilter ref="A5:AJ305"/>
  <tableColumns count="36">
    <tableColumn id="1" name="Domaine"/>
    <tableColumn id="2" name="Tribe"/>
    <tableColumn id="3" name="ID"/>
    <tableColumn id="4" name="Application"/>
    <tableColumn id="5" name="Environnement"/>
    <tableColumn id="6" name="Couloir"/>
    <tableColumn id="7" name="Action"/>
    <tableColumn id="8" name="Déjà incluse ROKS"/>
    <tableColumn id="9" name="Cluster IKS source"/>
    <tableColumn id="10" name="Cluster ROKS cible"/>
    <tableColumn id="11" name="CPU Dynatrace (vCPU)"/>
    <tableColumn id="12" name="RAM Dynatrace (Go)"/>
    <tableColumn id="13" name="Source Dynatrace"/>
    <tableColumn id="14" name="CPU IKS libérable (vCPU)"/>
    <tableColumn id="15" name="RAM IKS libérable (Go)"/>
    <tableColumn id="16" name="Mois provisionnement ROKS"/>
    <tableColumn id="17" name="Mois bascule"/>
    <tableColumn id="18" name="Mois libération IKS"/>
    <tableColumn id="19" name="Nature"/>
    <tableColumn id="20" name="Besoin ROKS CPU (vCPU)"/>
    <tableColumn id="21" name="Besoin ROKS RAM (Go)"/>
    <tableColumn id="22" name="Mois prov (calc)"/>
    <tableColumn id="23" name="Mois lib (calc)"/>
    <tableColumn id="24" name="Double run (mois)"/>
    <tableColumn id="25" name="Couloirs de l'appli"/>
    <tableColumn id="26" name="Début migration appli"/>
    <tableColumn id="27" name="Fin migration appli"/>
    <tableColumn id="28" name="Contrôle"/>
    <tableColumn id="29" name="Marge CPU spécifique"/>
    <tableColumn id="30" name="Marge RAM spécifique"/>
    <tableColumn id="31" name="Coût IKS affecté (€)"/>
    <tableColumn id="32" name="Coût ROKS affecté (€)"/>
    <tableColumn id="33" name="Coût total affecté (€)"/>
    <tableColumn id="34" name="Rang frise"/>
    <tableColumn id="35" name="Sur IKS au mois d'extinction"/>
    <tableColumn id="36" name="Rang extinction"/>
  </tableColumns>
</table>
</file>

<file path=xl/tables/table3.xml><?xml version="1.0" encoding="utf-8"?>
<table xmlns="http://schemas.openxmlformats.org/spreadsheetml/2006/main" id="3" name="TblCalculs" displayName="TblCalculs" ref="A5:AI1085" headerRowCount="1" totalsRowCount="0" totalsRowShown="0">
  <autoFilter ref="A5:AI1085"/>
  <tableColumns count="35">
    <tableColumn id="1" name="k"/>
    <tableColumn id="2" name="Idx cluster"/>
    <tableColumn id="3" name="Idx mois"/>
    <tableColumn id="4" name="Actif"/>
    <tableColumn id="5" name="Mois"/>
    <tableColumn id="6" name="Cluster"/>
    <tableColumn id="7" name="Plateforme"/>
    <tableColumn id="8" name="vCPU par nœud"/>
    <tableColumn id="9" name="RAM par nœud"/>
    <tableColumn id="10" name="Workers min"/>
    <tableColumn id="11" name="Tarif par nœud"/>
    <tableColumn id="12" name="CPU initial"/>
    <tableColumn id="13" name="RAM initiale"/>
    <tableColumn id="14" name="CPU min"/>
    <tableColumn id="15" name="RAM min"/>
    <tableColumn id="16" name="Δ CPU cumulé"/>
    <tableColumn id="17" name="Δ RAM cumulé"/>
    <tableColumn id="18" name="Besoin CPU"/>
    <tableColumn id="19" name="Besoin RAM"/>
    <tableColumn id="20" name="Workers"/>
    <tableColumn id="21" name="CPU provisionné"/>
    <tableColumn id="22" name="RAM provisionnée"/>
    <tableColumn id="23" name="Coût mensuel"/>
    <tableColumn id="24" name="Sans DR – besoin CPU"/>
    <tableColumn id="25" name="Sans DR – besoin RAM"/>
    <tableColumn id="26" name="Sans DR – workers"/>
    <tableColumn id="27" name="Sans DR – coût"/>
    <tableColumn id="28" name="Sans migration – workers"/>
    <tableColumn id="29" name="Sans migration – coût"/>
    <tableColumn id="30" name="Alerte plancher IKS"/>
    <tableColumn id="31" name="Alerte max workers"/>
    <tableColumn id="32" name="Environnement"/>
    <tableColumn id="33" name="Valeur besoin"/>
    <tableColumn id="34" name="Coût par unité"/>
    <tableColumn id="35" name="Fermé"/>
  </tableColumns>
</table>
</file>

<file path=xl/tables/table4.xml><?xml version="1.0" encoding="utf-8"?>
<table xmlns="http://schemas.openxmlformats.org/spreadsheetml/2006/main" id="4" name="TblClusters" displayName="TblClusters" ref="A5:U35" headerRowCount="1" totalsRowCount="0" totalsRowShown="0">
  <autoFilter ref="A5:U35"/>
  <tableColumns count="21">
    <tableColumn id="1" name="Plateforme"/>
    <tableColumn id="2" name="Cluster"/>
    <tableColumn id="3" name="Compte"/>
    <tableColumn id="4" name="Utilisation"/>
    <tableColumn id="5" name="Environnement"/>
    <tableColumn id="6" name="Flavor"/>
    <tableColumn id="7" name="Workers initial"/>
    <tableColumn id="8" name="vCPU par nœud"/>
    <tableColumn id="9" name="RAM par nœud (Go)"/>
    <tableColumn id="10" name="CPU initial (vCPU)"/>
    <tableColumn id="11" name="RAM initiale (Go)"/>
    <tableColumn id="12" name="Workers min"/>
    <tableColumn id="13" name="CPU min (vCPU)"/>
    <tableColumn id="14" name="RAM min (Go)"/>
    <tableColumn id="15" name="Tarif par nœud"/>
    <tableColumn id="16" name="Nature"/>
    <tableColumn id="17" name="Contrôle"/>
    <tableColumn id="18" name="Mois de fermeture (saisie)"/>
    <tableColumn id="19" name="Fermeture retenue"/>
    <tableColumn id="20" name="Rang capacités"/>
    <tableColumn id="21" name="Rang extinction"/>
  </tableColumns>
</table>
</file>

<file path=xl/tables/table5.xml><?xml version="1.0" encoding="utf-8"?>
<table xmlns="http://schemas.openxmlformats.org/spreadsheetml/2006/main" id="5" name="TblDomaines" displayName="TblDomaines" ref="M20:M40" headerRowCount="1" totalsRowCount="0" totalsRowShown="0">
  <autoFilter ref="M20:M40"/>
  <tableColumns count="1">
    <tableColumn id="1" name="Domaine"/>
  </tableColumns>
</table>
</file>

<file path=xl/tables/table6.xml><?xml version="1.0" encoding="utf-8"?>
<table xmlns="http://schemas.openxmlformats.org/spreadsheetml/2006/main" id="6" name="TblTribes" displayName="TblTribes" ref="J20:K60" headerRowCount="1" totalsRowCount="0" totalsRowShown="0">
  <autoFilter ref="J20:K60"/>
  <tableColumns count="2">
    <tableColumn id="1" name="Tribe"/>
    <tableColumn id="2" name="Domaine de la trib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1.xml"/><Relationship Id="rId4" Type="http://schemas.openxmlformats.org/officeDocument/2006/relationships/table" Target="../tables/table5.xml"/><Relationship Id="rId5" Type="http://schemas.openxmlformats.org/officeDocument/2006/relationships/table" Target="../tables/table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 t="str">
        <f aca="false">"Périmètre affiché : "&amp;C8</f>
        <v>Périmètre affiché : Tous</v>
      </c>
    </row>
    <row r="4" customFormat="false" ht="21.75" hidden="false" customHeight="true" outlineLevel="0" collapsed="false">
      <c r="B4" s="4" t="s">
        <v>2</v>
      </c>
      <c r="C4" s="4"/>
      <c r="D4" s="5" t="s">
        <v>3</v>
      </c>
      <c r="E4" s="5"/>
      <c r="F4" s="4" t="s">
        <v>4</v>
      </c>
      <c r="G4" s="4"/>
      <c r="H4" s="6" t="s">
        <v>5</v>
      </c>
      <c r="I4" s="6"/>
      <c r="J4" s="7" t="s">
        <v>6</v>
      </c>
      <c r="K4" s="7"/>
      <c r="L4" s="7" t="s">
        <v>7</v>
      </c>
      <c r="M4" s="7"/>
    </row>
    <row r="5" customFormat="false" ht="39.75" hidden="false" customHeight="true" outlineLevel="0" collapsed="false">
      <c r="B5" s="8" t="n">
        <f aca="false">SUMIFS(TblCalculs[Coût mensuel],TblCalculs[Environnement],p_envcrit)</f>
        <v>1364404</v>
      </c>
      <c r="C5" s="8"/>
      <c r="D5" s="9" t="n">
        <f aca="false">SUMIFS(TblCalculs[Coût mensuel],TblCalculs[Plateforme],"IKS",TblCalculs[Environnement],p_envcrit)</f>
        <v>524628</v>
      </c>
      <c r="E5" s="9"/>
      <c r="F5" s="8" t="n">
        <f aca="false">SUMIFS(TblCalculs[Coût mensuel],TblCalculs[Plateforme],"ROKS",TblCalculs[Environnement],p_envcrit)</f>
        <v>839776</v>
      </c>
      <c r="G5" s="8"/>
      <c r="H5" s="10" t="n">
        <f aca="false">SUMIFS(TblCalculs[Coût mensuel],TblCalculs[Environnement],p_envcrit)-SUMIFS(TblCalculs[Sans DR – coût],TblCalculs[Environnement],p_envcrit)</f>
        <v>51507</v>
      </c>
      <c r="I5" s="10"/>
      <c r="J5" s="11" t="n">
        <f aca="false">SUMIFS(TblCalculs[Coût mensuel],TblCalculs[Environnement],p_envcrit)-SUMIFS(TblCalculs[Sans migration – coût],TblCalculs[Environnement],p_envcrit)</f>
        <v>-183020</v>
      </c>
      <c r="K5" s="11"/>
      <c r="L5" s="12" t="str">
        <f aca="false">Synthèse!C17</f>
        <v>OK – aucune anomalie</v>
      </c>
      <c r="M5" s="12"/>
    </row>
    <row r="7" customFormat="false" ht="15" hidden="false" customHeight="false" outlineLevel="0" collapsed="false">
      <c r="B7" s="13" t="s">
        <v>8</v>
      </c>
      <c r="C7" s="14" t="str">
        <f aca="false">CHOOSE(MONTH(p_debut),"janv.","févr.","mars","avr.","mai","juin","juil.","août","sept.","oct.","nov.","déc.")&amp;" "&amp;YEAR(p_debut)&amp;" → "&amp;CHOOSE(MONTH(p_fin),"janv.","févr.","mars","avr.","mai","juin","juil.","août","sept.","oct.","nov.","déc.")&amp;" "&amp;YEAR(p_fin)&amp;" ("&amp;p_horizon&amp;" mois)"</f>
        <v>oct. 2026 → sept. 2029 (36 mois)</v>
      </c>
    </row>
    <row r="8" customFormat="false" ht="15" hidden="false" customHeight="false" outlineLevel="0" collapsed="false">
      <c r="B8" s="13" t="s">
        <v>9</v>
      </c>
      <c r="C8" s="15" t="s">
        <v>10</v>
      </c>
      <c r="D8" s="16" t="str">
        <f aca="false">IF(C8="Tous","*",C8)</f>
        <v>*</v>
      </c>
      <c r="E8" s="2" t="s">
        <v>11</v>
      </c>
    </row>
    <row r="36" customFormat="false" ht="15" hidden="false" customHeight="false" outlineLevel="0" collapsed="false">
      <c r="B36" s="2" t="s">
        <v>12</v>
      </c>
    </row>
    <row r="37" customFormat="false" ht="15" hidden="false" customHeight="false" outlineLevel="0" collapsed="false">
      <c r="B37" s="2" t="s">
        <v>13</v>
      </c>
    </row>
    <row r="39" customFormat="false" ht="15" hidden="false" customHeight="false" outlineLevel="0" collapsed="false">
      <c r="B39" s="17" t="s">
        <v>14</v>
      </c>
    </row>
    <row r="40" customFormat="false" ht="15" hidden="false" customHeight="false" outlineLevel="0" collapsed="false">
      <c r="B40" s="13" t="s">
        <v>15</v>
      </c>
      <c r="D40" s="18" t="n">
        <f aca="false">SUMIFS(TblCalculs[Coût mensuel],TblCalculs[Environnement],p_envcrit)</f>
        <v>1364404</v>
      </c>
      <c r="F40" s="13" t="s">
        <v>16</v>
      </c>
      <c r="H40" s="18" t="n">
        <f aca="false">SUMIFS(TblApplications[Coût total affecté (€)],TblApplications[Environnement],p_envcrit)</f>
        <v>722062.294640909</v>
      </c>
      <c r="J40" s="13" t="s">
        <v>17</v>
      </c>
      <c r="L40" s="18" t="n">
        <f aca="false">D40-H40</f>
        <v>642341.705359091</v>
      </c>
    </row>
    <row r="41" customFormat="false" ht="15" hidden="false" customHeight="false" outlineLevel="0" collapsed="false">
      <c r="B41" s="19" t="s">
        <v>18</v>
      </c>
    </row>
    <row r="62" customFormat="false" ht="30" hidden="false" customHeight="true" outlineLevel="0" collapsed="false">
      <c r="B62" s="20" t="s">
        <v>19</v>
      </c>
      <c r="C62" s="20" t="s">
        <v>20</v>
      </c>
      <c r="D62" s="20" t="s">
        <v>21</v>
      </c>
      <c r="E62" s="20" t="s">
        <v>22</v>
      </c>
      <c r="F62" s="20" t="s">
        <v>23</v>
      </c>
      <c r="I62" s="20" t="s">
        <v>20</v>
      </c>
      <c r="J62" s="20" t="s">
        <v>21</v>
      </c>
      <c r="K62" s="20" t="s">
        <v>22</v>
      </c>
      <c r="L62" s="20" t="s">
        <v>23</v>
      </c>
    </row>
    <row r="63" customFormat="false" ht="15" hidden="false" customHeight="false" outlineLevel="0" collapsed="false">
      <c r="B63" s="21" t="str">
        <f aca="false">IFERROR(IF(INDEX(TblTribes[Tribe],1)="","",INDEX(TblTribes[Tribe],1)),"")</f>
        <v>Parcours client</v>
      </c>
      <c r="C63" s="21" t="str">
        <f aca="false">IF($B63="","",INDEX(TblTribes[Domaine de la tribe],1))</f>
        <v>Distribution</v>
      </c>
      <c r="D63" s="22" t="n">
        <f aca="false">IF($B63="","",SUMIFS(TblApplications[Coût IKS affecté (€)],TblApplications[Tribe],$B63,TblApplications[Environnement],p_envcrit))</f>
        <v>59472</v>
      </c>
      <c r="E63" s="22" t="n">
        <f aca="false">IF($B63="","",SUMIFS(TblApplications[Coût ROKS affecté (€)],TblApplications[Tribe],$B63,TblApplications[Environnement],p_envcrit))</f>
        <v>152111.098459539</v>
      </c>
      <c r="F63" s="22" t="n">
        <f aca="false">IF($B63="","",D63+E63)</f>
        <v>211583.098459539</v>
      </c>
      <c r="I63" s="21" t="str">
        <f aca="false">IFERROR(IF(INDEX(TblDomaines[Domaine],1)="","",INDEX(TblDomaines[Domaine],1)),"")</f>
        <v>Distribution</v>
      </c>
      <c r="J63" s="22" t="n">
        <f aca="false">IF($I63="","",SUMIFS(TblApplications[Coût IKS affecté (€)],TblApplications[Domaine],$I63,TblApplications[Environnement],p_envcrit))</f>
        <v>176292</v>
      </c>
      <c r="K63" s="22" t="n">
        <f aca="false">IF($I63="","",SUMIFS(TblApplications[Coût ROKS affecté (€)],TblApplications[Domaine],$I63,TblApplications[Environnement],p_envcrit))</f>
        <v>252802.381749027</v>
      </c>
      <c r="L63" s="22" t="n">
        <f aca="false">IF($I63="","",J63+K63)</f>
        <v>429094.381749027</v>
      </c>
    </row>
    <row r="64" customFormat="false" ht="15" hidden="false" customHeight="false" outlineLevel="0" collapsed="false">
      <c r="B64" s="21" t="str">
        <f aca="false">IFERROR(IF(INDEX(TblTribes[Tribe],2)="","",INDEX(TblTribes[Tribe],2)),"")</f>
        <v>Tarification</v>
      </c>
      <c r="C64" s="21" t="str">
        <f aca="false">IF($B64="","",INDEX(TblTribes[Domaine de la tribe],2))</f>
        <v>Distribution</v>
      </c>
      <c r="D64" s="22" t="n">
        <f aca="false">IF($B64="","",SUMIFS(TblApplications[Coût IKS affecté (€)],TblApplications[Tribe],$B64,TblApplications[Environnement],p_envcrit))</f>
        <v>116820</v>
      </c>
      <c r="E64" s="22" t="n">
        <f aca="false">IF($B64="","",SUMIFS(TblApplications[Coût ROKS affecté (€)],TblApplications[Tribe],$B64,TblApplications[Environnement],p_envcrit))</f>
        <v>100691.283289488</v>
      </c>
      <c r="F64" s="22" t="n">
        <f aca="false">IF($B64="","",D64+E64)</f>
        <v>217511.283289488</v>
      </c>
      <c r="I64" s="21" t="str">
        <f aca="false">IFERROR(IF(INDEX(TblDomaines[Domaine],2)="","",INDEX(TblDomaines[Domaine],2)),"")</f>
        <v>Indemnisation</v>
      </c>
      <c r="J64" s="22" t="n">
        <f aca="false">IF($I64="","",SUMIFS(TblApplications[Coût IKS affecté (€)],TblApplications[Domaine],$I64,TblApplications[Environnement],p_envcrit))</f>
        <v>180540</v>
      </c>
      <c r="K64" s="22" t="n">
        <f aca="false">IF($I64="","",SUMIFS(TblApplications[Coût ROKS affecté (€)],TblApplications[Domaine],$I64,TblApplications[Environnement],p_envcrit))</f>
        <v>112427.912891882</v>
      </c>
      <c r="L64" s="22" t="n">
        <f aca="false">IF($I64="","",J64+K64)</f>
        <v>292967.912891882</v>
      </c>
    </row>
    <row r="65" customFormat="false" ht="15" hidden="false" customHeight="false" outlineLevel="0" collapsed="false">
      <c r="B65" s="21" t="str">
        <f aca="false">IFERROR(IF(INDEX(TblTribes[Tribe],3)="","",INDEX(TblTribes[Tribe],3)),"")</f>
        <v>Sinistres</v>
      </c>
      <c r="C65" s="21" t="str">
        <f aca="false">IF($B65="","",INDEX(TblTribes[Domaine de la tribe],3))</f>
        <v>Indemnisation</v>
      </c>
      <c r="D65" s="22" t="n">
        <f aca="false">IF($B65="","",SUMIFS(TblApplications[Coût IKS affecté (€)],TblApplications[Tribe],$B65,TblApplications[Environnement],p_envcrit))</f>
        <v>180540</v>
      </c>
      <c r="E65" s="22" t="n">
        <f aca="false">IF($B65="","",SUMIFS(TblApplications[Coût ROKS affecté (€)],TblApplications[Tribe],$B65,TblApplications[Environnement],p_envcrit))</f>
        <v>112427.912891882</v>
      </c>
      <c r="F65" s="22" t="n">
        <f aca="false">IF($B65="","",D65+E65)</f>
        <v>292967.912891882</v>
      </c>
      <c r="I65" s="21" t="str">
        <f aca="false">IFERROR(IF(INDEX(TblDomaines[Domaine],3)="","",INDEX(TblDomaines[Domaine],3)),"")</f>
        <v/>
      </c>
      <c r="J65" s="22" t="str">
        <f aca="false">IF($I65="","",SUMIFS(TblApplications[Coût IKS affecté (€)],TblApplications[Domaine],$I65,TblApplications[Environnement],p_envcrit))</f>
        <v/>
      </c>
      <c r="K65" s="22" t="str">
        <f aca="false">IF($I65="","",SUMIFS(TblApplications[Coût ROKS affecté (€)],TblApplications[Domaine],$I65,TblApplications[Environnement],p_envcrit))</f>
        <v/>
      </c>
      <c r="L65" s="22" t="str">
        <f aca="false">IF($I65="","",J65+K65)</f>
        <v/>
      </c>
    </row>
    <row r="66" customFormat="false" ht="15" hidden="false" customHeight="false" outlineLevel="0" collapsed="false">
      <c r="B66" s="21" t="str">
        <f aca="false">IFERROR(IF(INDEX(TblTribes[Tribe],4)="","",INDEX(TblTribes[Tribe],4)),"")</f>
        <v/>
      </c>
      <c r="C66" s="21" t="str">
        <f aca="false">IF($B66="","",INDEX(TblTribes[Domaine de la tribe],4))</f>
        <v/>
      </c>
      <c r="D66" s="22" t="str">
        <f aca="false">IF($B66="","",SUMIFS(TblApplications[Coût IKS affecté (€)],TblApplications[Tribe],$B66,TblApplications[Environnement],p_envcrit))</f>
        <v/>
      </c>
      <c r="E66" s="22" t="str">
        <f aca="false">IF($B66="","",SUMIFS(TblApplications[Coût ROKS affecté (€)],TblApplications[Tribe],$B66,TblApplications[Environnement],p_envcrit))</f>
        <v/>
      </c>
      <c r="F66" s="22" t="str">
        <f aca="false">IF($B66="","",D66+E66)</f>
        <v/>
      </c>
      <c r="I66" s="21" t="str">
        <f aca="false">IFERROR(IF(INDEX(TblDomaines[Domaine],4)="","",INDEX(TblDomaines[Domaine],4)),"")</f>
        <v/>
      </c>
      <c r="J66" s="22" t="str">
        <f aca="false">IF($I66="","",SUMIFS(TblApplications[Coût IKS affecté (€)],TblApplications[Domaine],$I66,TblApplications[Environnement],p_envcrit))</f>
        <v/>
      </c>
      <c r="K66" s="22" t="str">
        <f aca="false">IF($I66="","",SUMIFS(TblApplications[Coût ROKS affecté (€)],TblApplications[Domaine],$I66,TblApplications[Environnement],p_envcrit))</f>
        <v/>
      </c>
      <c r="L66" s="22" t="str">
        <f aca="false">IF($I66="","",J66+K66)</f>
        <v/>
      </c>
    </row>
    <row r="67" customFormat="false" ht="15" hidden="false" customHeight="false" outlineLevel="0" collapsed="false">
      <c r="B67" s="21" t="str">
        <f aca="false">IFERROR(IF(INDEX(TblTribes[Tribe],5)="","",INDEX(TblTribes[Tribe],5)),"")</f>
        <v/>
      </c>
      <c r="C67" s="21" t="str">
        <f aca="false">IF($B67="","",INDEX(TblTribes[Domaine de la tribe],5))</f>
        <v/>
      </c>
      <c r="D67" s="22" t="str">
        <f aca="false">IF($B67="","",SUMIFS(TblApplications[Coût IKS affecté (€)],TblApplications[Tribe],$B67,TblApplications[Environnement],p_envcrit))</f>
        <v/>
      </c>
      <c r="E67" s="22" t="str">
        <f aca="false">IF($B67="","",SUMIFS(TblApplications[Coût ROKS affecté (€)],TblApplications[Tribe],$B67,TblApplications[Environnement],p_envcrit))</f>
        <v/>
      </c>
      <c r="F67" s="22" t="str">
        <f aca="false">IF($B67="","",D67+E67)</f>
        <v/>
      </c>
      <c r="I67" s="21" t="str">
        <f aca="false">IFERROR(IF(INDEX(TblDomaines[Domaine],5)="","",INDEX(TblDomaines[Domaine],5)),"")</f>
        <v/>
      </c>
      <c r="J67" s="22" t="str">
        <f aca="false">IF($I67="","",SUMIFS(TblApplications[Coût IKS affecté (€)],TblApplications[Domaine],$I67,TblApplications[Environnement],p_envcrit))</f>
        <v/>
      </c>
      <c r="K67" s="22" t="str">
        <f aca="false">IF($I67="","",SUMIFS(TblApplications[Coût ROKS affecté (€)],TblApplications[Domaine],$I67,TblApplications[Environnement],p_envcrit))</f>
        <v/>
      </c>
      <c r="L67" s="22" t="str">
        <f aca="false">IF($I67="","",J67+K67)</f>
        <v/>
      </c>
    </row>
    <row r="68" customFormat="false" ht="15" hidden="false" customHeight="false" outlineLevel="0" collapsed="false">
      <c r="B68" s="21" t="str">
        <f aca="false">IFERROR(IF(INDEX(TblTribes[Tribe],6)="","",INDEX(TblTribes[Tribe],6)),"")</f>
        <v/>
      </c>
      <c r="C68" s="21" t="str">
        <f aca="false">IF($B68="","",INDEX(TblTribes[Domaine de la tribe],6))</f>
        <v/>
      </c>
      <c r="D68" s="22" t="str">
        <f aca="false">IF($B68="","",SUMIFS(TblApplications[Coût IKS affecté (€)],TblApplications[Tribe],$B68,TblApplications[Environnement],p_envcrit))</f>
        <v/>
      </c>
      <c r="E68" s="22" t="str">
        <f aca="false">IF($B68="","",SUMIFS(TblApplications[Coût ROKS affecté (€)],TblApplications[Tribe],$B68,TblApplications[Environnement],p_envcrit))</f>
        <v/>
      </c>
      <c r="F68" s="22" t="str">
        <f aca="false">IF($B68="","",D68+E68)</f>
        <v/>
      </c>
      <c r="I68" s="21" t="str">
        <f aca="false">IFERROR(IF(INDEX(TblDomaines[Domaine],6)="","",INDEX(TblDomaines[Domaine],6)),"")</f>
        <v/>
      </c>
      <c r="J68" s="22" t="str">
        <f aca="false">IF($I68="","",SUMIFS(TblApplications[Coût IKS affecté (€)],TblApplications[Domaine],$I68,TblApplications[Environnement],p_envcrit))</f>
        <v/>
      </c>
      <c r="K68" s="22" t="str">
        <f aca="false">IF($I68="","",SUMIFS(TblApplications[Coût ROKS affecté (€)],TblApplications[Domaine],$I68,TblApplications[Environnement],p_envcrit))</f>
        <v/>
      </c>
      <c r="L68" s="22" t="str">
        <f aca="false">IF($I68="","",J68+K68)</f>
        <v/>
      </c>
    </row>
    <row r="69" customFormat="false" ht="15" hidden="false" customHeight="false" outlineLevel="0" collapsed="false">
      <c r="B69" s="21" t="str">
        <f aca="false">IFERROR(IF(INDEX(TblTribes[Tribe],7)="","",INDEX(TblTribes[Tribe],7)),"")</f>
        <v/>
      </c>
      <c r="C69" s="21" t="str">
        <f aca="false">IF($B69="","",INDEX(TblTribes[Domaine de la tribe],7))</f>
        <v/>
      </c>
      <c r="D69" s="22" t="str">
        <f aca="false">IF($B69="","",SUMIFS(TblApplications[Coût IKS affecté (€)],TblApplications[Tribe],$B69,TblApplications[Environnement],p_envcrit))</f>
        <v/>
      </c>
      <c r="E69" s="22" t="str">
        <f aca="false">IF($B69="","",SUMIFS(TblApplications[Coût ROKS affecté (€)],TblApplications[Tribe],$B69,TblApplications[Environnement],p_envcrit))</f>
        <v/>
      </c>
      <c r="F69" s="22" t="str">
        <f aca="false">IF($B69="","",D69+E69)</f>
        <v/>
      </c>
      <c r="I69" s="21" t="str">
        <f aca="false">IFERROR(IF(INDEX(TblDomaines[Domaine],7)="","",INDEX(TblDomaines[Domaine],7)),"")</f>
        <v/>
      </c>
      <c r="J69" s="22" t="str">
        <f aca="false">IF($I69="","",SUMIFS(TblApplications[Coût IKS affecté (€)],TblApplications[Domaine],$I69,TblApplications[Environnement],p_envcrit))</f>
        <v/>
      </c>
      <c r="K69" s="22" t="str">
        <f aca="false">IF($I69="","",SUMIFS(TblApplications[Coût ROKS affecté (€)],TblApplications[Domaine],$I69,TblApplications[Environnement],p_envcrit))</f>
        <v/>
      </c>
      <c r="L69" s="22" t="str">
        <f aca="false">IF($I69="","",J69+K69)</f>
        <v/>
      </c>
    </row>
    <row r="70" customFormat="false" ht="15" hidden="false" customHeight="false" outlineLevel="0" collapsed="false">
      <c r="B70" s="21" t="str">
        <f aca="false">IFERROR(IF(INDEX(TblTribes[Tribe],8)="","",INDEX(TblTribes[Tribe],8)),"")</f>
        <v/>
      </c>
      <c r="C70" s="21" t="str">
        <f aca="false">IF($B70="","",INDEX(TblTribes[Domaine de la tribe],8))</f>
        <v/>
      </c>
      <c r="D70" s="22" t="str">
        <f aca="false">IF($B70="","",SUMIFS(TblApplications[Coût IKS affecté (€)],TblApplications[Tribe],$B70,TblApplications[Environnement],p_envcrit))</f>
        <v/>
      </c>
      <c r="E70" s="22" t="str">
        <f aca="false">IF($B70="","",SUMIFS(TblApplications[Coût ROKS affecté (€)],TblApplications[Tribe],$B70,TblApplications[Environnement],p_envcrit))</f>
        <v/>
      </c>
      <c r="F70" s="22" t="str">
        <f aca="false">IF($B70="","",D70+E70)</f>
        <v/>
      </c>
      <c r="I70" s="21" t="str">
        <f aca="false">IFERROR(IF(INDEX(TblDomaines[Domaine],8)="","",INDEX(TblDomaines[Domaine],8)),"")</f>
        <v/>
      </c>
      <c r="J70" s="22" t="str">
        <f aca="false">IF($I70="","",SUMIFS(TblApplications[Coût IKS affecté (€)],TblApplications[Domaine],$I70,TblApplications[Environnement],p_envcrit))</f>
        <v/>
      </c>
      <c r="K70" s="22" t="str">
        <f aca="false">IF($I70="","",SUMIFS(TblApplications[Coût ROKS affecté (€)],TblApplications[Domaine],$I70,TblApplications[Environnement],p_envcrit))</f>
        <v/>
      </c>
      <c r="L70" s="22" t="str">
        <f aca="false">IF($I70="","",J70+K70)</f>
        <v/>
      </c>
    </row>
    <row r="71" customFormat="false" ht="15" hidden="false" customHeight="false" outlineLevel="0" collapsed="false">
      <c r="B71" s="21" t="str">
        <f aca="false">IFERROR(IF(INDEX(TblTribes[Tribe],9)="","",INDEX(TblTribes[Tribe],9)),"")</f>
        <v/>
      </c>
      <c r="C71" s="21" t="str">
        <f aca="false">IF($B71="","",INDEX(TblTribes[Domaine de la tribe],9))</f>
        <v/>
      </c>
      <c r="D71" s="22" t="str">
        <f aca="false">IF($B71="","",SUMIFS(TblApplications[Coût IKS affecté (€)],TblApplications[Tribe],$B71,TblApplications[Environnement],p_envcrit))</f>
        <v/>
      </c>
      <c r="E71" s="22" t="str">
        <f aca="false">IF($B71="","",SUMIFS(TblApplications[Coût ROKS affecté (€)],TblApplications[Tribe],$B71,TblApplications[Environnement],p_envcrit))</f>
        <v/>
      </c>
      <c r="F71" s="22" t="str">
        <f aca="false">IF($B71="","",D71+E71)</f>
        <v/>
      </c>
      <c r="I71" s="21" t="str">
        <f aca="false">IFERROR(IF(INDEX(TblDomaines[Domaine],9)="","",INDEX(TblDomaines[Domaine],9)),"")</f>
        <v/>
      </c>
      <c r="J71" s="22" t="str">
        <f aca="false">IF($I71="","",SUMIFS(TblApplications[Coût IKS affecté (€)],TblApplications[Domaine],$I71,TblApplications[Environnement],p_envcrit))</f>
        <v/>
      </c>
      <c r="K71" s="22" t="str">
        <f aca="false">IF($I71="","",SUMIFS(TblApplications[Coût ROKS affecté (€)],TblApplications[Domaine],$I71,TblApplications[Environnement],p_envcrit))</f>
        <v/>
      </c>
      <c r="L71" s="22" t="str">
        <f aca="false">IF($I71="","",J71+K71)</f>
        <v/>
      </c>
    </row>
    <row r="72" customFormat="false" ht="15" hidden="false" customHeight="false" outlineLevel="0" collapsed="false">
      <c r="B72" s="21" t="str">
        <f aca="false">IFERROR(IF(INDEX(TblTribes[Tribe],10)="","",INDEX(TblTribes[Tribe],10)),"")</f>
        <v/>
      </c>
      <c r="C72" s="21" t="str">
        <f aca="false">IF($B72="","",INDEX(TblTribes[Domaine de la tribe],10))</f>
        <v/>
      </c>
      <c r="D72" s="22" t="str">
        <f aca="false">IF($B72="","",SUMIFS(TblApplications[Coût IKS affecté (€)],TblApplications[Tribe],$B72,TblApplications[Environnement],p_envcrit))</f>
        <v/>
      </c>
      <c r="E72" s="22" t="str">
        <f aca="false">IF($B72="","",SUMIFS(TblApplications[Coût ROKS affecté (€)],TblApplications[Tribe],$B72,TblApplications[Environnement],p_envcrit))</f>
        <v/>
      </c>
      <c r="F72" s="22" t="str">
        <f aca="false">IF($B72="","",D72+E72)</f>
        <v/>
      </c>
      <c r="I72" s="21" t="str">
        <f aca="false">IFERROR(IF(INDEX(TblDomaines[Domaine],10)="","",INDEX(TblDomaines[Domaine],10)),"")</f>
        <v/>
      </c>
      <c r="J72" s="22" t="str">
        <f aca="false">IF($I72="","",SUMIFS(TblApplications[Coût IKS affecté (€)],TblApplications[Domaine],$I72,TblApplications[Environnement],p_envcrit))</f>
        <v/>
      </c>
      <c r="K72" s="22" t="str">
        <f aca="false">IF($I72="","",SUMIFS(TblApplications[Coût ROKS affecté (€)],TblApplications[Domaine],$I72,TblApplications[Environnement],p_envcrit))</f>
        <v/>
      </c>
      <c r="L72" s="22" t="str">
        <f aca="false">IF($I72="","",J72+K72)</f>
        <v/>
      </c>
    </row>
    <row r="73" customFormat="false" ht="15" hidden="false" customHeight="false" outlineLevel="0" collapsed="false">
      <c r="B73" s="21" t="str">
        <f aca="false">IFERROR(IF(INDEX(TblTribes[Tribe],11)="","",INDEX(TblTribes[Tribe],11)),"")</f>
        <v/>
      </c>
      <c r="C73" s="21" t="str">
        <f aca="false">IF($B73="","",INDEX(TblTribes[Domaine de la tribe],11))</f>
        <v/>
      </c>
      <c r="D73" s="22" t="str">
        <f aca="false">IF($B73="","",SUMIFS(TblApplications[Coût IKS affecté (€)],TblApplications[Tribe],$B73,TblApplications[Environnement],p_envcrit))</f>
        <v/>
      </c>
      <c r="E73" s="22" t="str">
        <f aca="false">IF($B73="","",SUMIFS(TblApplications[Coût ROKS affecté (€)],TblApplications[Tribe],$B73,TblApplications[Environnement],p_envcrit))</f>
        <v/>
      </c>
      <c r="F73" s="22" t="str">
        <f aca="false">IF($B73="","",D73+E73)</f>
        <v/>
      </c>
      <c r="I73" s="21" t="str">
        <f aca="false">IFERROR(IF(INDEX(TblDomaines[Domaine],11)="","",INDEX(TblDomaines[Domaine],11)),"")</f>
        <v/>
      </c>
      <c r="J73" s="22" t="str">
        <f aca="false">IF($I73="","",SUMIFS(TblApplications[Coût IKS affecté (€)],TblApplications[Domaine],$I73,TblApplications[Environnement],p_envcrit))</f>
        <v/>
      </c>
      <c r="K73" s="22" t="str">
        <f aca="false">IF($I73="","",SUMIFS(TblApplications[Coût ROKS affecté (€)],TblApplications[Domaine],$I73,TblApplications[Environnement],p_envcrit))</f>
        <v/>
      </c>
      <c r="L73" s="22" t="str">
        <f aca="false">IF($I73="","",J73+K73)</f>
        <v/>
      </c>
    </row>
    <row r="74" customFormat="false" ht="15" hidden="false" customHeight="false" outlineLevel="0" collapsed="false">
      <c r="B74" s="21" t="str">
        <f aca="false">IFERROR(IF(INDEX(TblTribes[Tribe],12)="","",INDEX(TblTribes[Tribe],12)),"")</f>
        <v/>
      </c>
      <c r="C74" s="21" t="str">
        <f aca="false">IF($B74="","",INDEX(TblTribes[Domaine de la tribe],12))</f>
        <v/>
      </c>
      <c r="D74" s="22" t="str">
        <f aca="false">IF($B74="","",SUMIFS(TblApplications[Coût IKS affecté (€)],TblApplications[Tribe],$B74,TblApplications[Environnement],p_envcrit))</f>
        <v/>
      </c>
      <c r="E74" s="22" t="str">
        <f aca="false">IF($B74="","",SUMIFS(TblApplications[Coût ROKS affecté (€)],TblApplications[Tribe],$B74,TblApplications[Environnement],p_envcrit))</f>
        <v/>
      </c>
      <c r="F74" s="22" t="str">
        <f aca="false">IF($B74="","",D74+E74)</f>
        <v/>
      </c>
      <c r="I74" s="21" t="str">
        <f aca="false">IFERROR(IF(INDEX(TblDomaines[Domaine],12)="","",INDEX(TblDomaines[Domaine],12)),"")</f>
        <v/>
      </c>
      <c r="J74" s="22" t="str">
        <f aca="false">IF($I74="","",SUMIFS(TblApplications[Coût IKS affecté (€)],TblApplications[Domaine],$I74,TblApplications[Environnement],p_envcrit))</f>
        <v/>
      </c>
      <c r="K74" s="22" t="str">
        <f aca="false">IF($I74="","",SUMIFS(TblApplications[Coût ROKS affecté (€)],TblApplications[Domaine],$I74,TblApplications[Environnement],p_envcrit))</f>
        <v/>
      </c>
      <c r="L74" s="22" t="str">
        <f aca="false">IF($I74="","",J74+K74)</f>
        <v/>
      </c>
    </row>
    <row r="75" customFormat="false" ht="15" hidden="false" customHeight="false" outlineLevel="0" collapsed="false">
      <c r="B75" s="21" t="str">
        <f aca="false">IFERROR(IF(INDEX(TblTribes[Tribe],13)="","",INDEX(TblTribes[Tribe],13)),"")</f>
        <v/>
      </c>
      <c r="C75" s="21" t="str">
        <f aca="false">IF($B75="","",INDEX(TblTribes[Domaine de la tribe],13))</f>
        <v/>
      </c>
      <c r="D75" s="22" t="str">
        <f aca="false">IF($B75="","",SUMIFS(TblApplications[Coût IKS affecté (€)],TblApplications[Tribe],$B75,TblApplications[Environnement],p_envcrit))</f>
        <v/>
      </c>
      <c r="E75" s="22" t="str">
        <f aca="false">IF($B75="","",SUMIFS(TblApplications[Coût ROKS affecté (€)],TblApplications[Tribe],$B75,TblApplications[Environnement],p_envcrit))</f>
        <v/>
      </c>
      <c r="F75" s="22" t="str">
        <f aca="false">IF($B75="","",D75+E75)</f>
        <v/>
      </c>
      <c r="I75" s="21" t="str">
        <f aca="false">IFERROR(IF(INDEX(TblDomaines[Domaine],13)="","",INDEX(TblDomaines[Domaine],13)),"")</f>
        <v/>
      </c>
      <c r="J75" s="22" t="str">
        <f aca="false">IF($I75="","",SUMIFS(TblApplications[Coût IKS affecté (€)],TblApplications[Domaine],$I75,TblApplications[Environnement],p_envcrit))</f>
        <v/>
      </c>
      <c r="K75" s="22" t="str">
        <f aca="false">IF($I75="","",SUMIFS(TblApplications[Coût ROKS affecté (€)],TblApplications[Domaine],$I75,TblApplications[Environnement],p_envcrit))</f>
        <v/>
      </c>
      <c r="L75" s="22" t="str">
        <f aca="false">IF($I75="","",J75+K75)</f>
        <v/>
      </c>
    </row>
    <row r="76" customFormat="false" ht="15" hidden="false" customHeight="false" outlineLevel="0" collapsed="false">
      <c r="B76" s="21" t="str">
        <f aca="false">IFERROR(IF(INDEX(TblTribes[Tribe],14)="","",INDEX(TblTribes[Tribe],14)),"")</f>
        <v/>
      </c>
      <c r="C76" s="21" t="str">
        <f aca="false">IF($B76="","",INDEX(TblTribes[Domaine de la tribe],14))</f>
        <v/>
      </c>
      <c r="D76" s="22" t="str">
        <f aca="false">IF($B76="","",SUMIFS(TblApplications[Coût IKS affecté (€)],TblApplications[Tribe],$B76,TblApplications[Environnement],p_envcrit))</f>
        <v/>
      </c>
      <c r="E76" s="22" t="str">
        <f aca="false">IF($B76="","",SUMIFS(TblApplications[Coût ROKS affecté (€)],TblApplications[Tribe],$B76,TblApplications[Environnement],p_envcrit))</f>
        <v/>
      </c>
      <c r="F76" s="22" t="str">
        <f aca="false">IF($B76="","",D76+E76)</f>
        <v/>
      </c>
      <c r="I76" s="21" t="str">
        <f aca="false">IFERROR(IF(INDEX(TblDomaines[Domaine],14)="","",INDEX(TblDomaines[Domaine],14)),"")</f>
        <v/>
      </c>
      <c r="J76" s="22" t="str">
        <f aca="false">IF($I76="","",SUMIFS(TblApplications[Coût IKS affecté (€)],TblApplications[Domaine],$I76,TblApplications[Environnement],p_envcrit))</f>
        <v/>
      </c>
      <c r="K76" s="22" t="str">
        <f aca="false">IF($I76="","",SUMIFS(TblApplications[Coût ROKS affecté (€)],TblApplications[Domaine],$I76,TblApplications[Environnement],p_envcrit))</f>
        <v/>
      </c>
      <c r="L76" s="22" t="str">
        <f aca="false">IF($I76="","",J76+K76)</f>
        <v/>
      </c>
    </row>
    <row r="77" customFormat="false" ht="15" hidden="false" customHeight="false" outlineLevel="0" collapsed="false">
      <c r="B77" s="21" t="str">
        <f aca="false">IFERROR(IF(INDEX(TblTribes[Tribe],15)="","",INDEX(TblTribes[Tribe],15)),"")</f>
        <v/>
      </c>
      <c r="C77" s="21" t="str">
        <f aca="false">IF($B77="","",INDEX(TblTribes[Domaine de la tribe],15))</f>
        <v/>
      </c>
      <c r="D77" s="22" t="str">
        <f aca="false">IF($B77="","",SUMIFS(TblApplications[Coût IKS affecté (€)],TblApplications[Tribe],$B77,TblApplications[Environnement],p_envcrit))</f>
        <v/>
      </c>
      <c r="E77" s="22" t="str">
        <f aca="false">IF($B77="","",SUMIFS(TblApplications[Coût ROKS affecté (€)],TblApplications[Tribe],$B77,TblApplications[Environnement],p_envcrit))</f>
        <v/>
      </c>
      <c r="F77" s="22" t="str">
        <f aca="false">IF($B77="","",D77+E77)</f>
        <v/>
      </c>
      <c r="I77" s="21" t="str">
        <f aca="false">IFERROR(IF(INDEX(TblDomaines[Domaine],15)="","",INDEX(TblDomaines[Domaine],15)),"")</f>
        <v/>
      </c>
      <c r="J77" s="22" t="str">
        <f aca="false">IF($I77="","",SUMIFS(TblApplications[Coût IKS affecté (€)],TblApplications[Domaine],$I77,TblApplications[Environnement],p_envcrit))</f>
        <v/>
      </c>
      <c r="K77" s="22" t="str">
        <f aca="false">IF($I77="","",SUMIFS(TblApplications[Coût ROKS affecté (€)],TblApplications[Domaine],$I77,TblApplications[Environnement],p_envcrit))</f>
        <v/>
      </c>
      <c r="L77" s="22" t="str">
        <f aca="false">IF($I77="","",J77+K77)</f>
        <v/>
      </c>
    </row>
    <row r="78" customFormat="false" ht="15" hidden="false" customHeight="false" outlineLevel="0" collapsed="false">
      <c r="B78" s="21" t="str">
        <f aca="false">IFERROR(IF(INDEX(TblTribes[Tribe],16)="","",INDEX(TblTribes[Tribe],16)),"")</f>
        <v/>
      </c>
      <c r="C78" s="21" t="str">
        <f aca="false">IF($B78="","",INDEX(TblTribes[Domaine de la tribe],16))</f>
        <v/>
      </c>
      <c r="D78" s="22" t="str">
        <f aca="false">IF($B78="","",SUMIFS(TblApplications[Coût IKS affecté (€)],TblApplications[Tribe],$B78,TblApplications[Environnement],p_envcrit))</f>
        <v/>
      </c>
      <c r="E78" s="22" t="str">
        <f aca="false">IF($B78="","",SUMIFS(TblApplications[Coût ROKS affecté (€)],TblApplications[Tribe],$B78,TblApplications[Environnement],p_envcrit))</f>
        <v/>
      </c>
      <c r="F78" s="22" t="str">
        <f aca="false">IF($B78="","",D78+E78)</f>
        <v/>
      </c>
      <c r="I78" s="21" t="str">
        <f aca="false">IFERROR(IF(INDEX(TblDomaines[Domaine],16)="","",INDEX(TblDomaines[Domaine],16)),"")</f>
        <v/>
      </c>
      <c r="J78" s="22" t="str">
        <f aca="false">IF($I78="","",SUMIFS(TblApplications[Coût IKS affecté (€)],TblApplications[Domaine],$I78,TblApplications[Environnement],p_envcrit))</f>
        <v/>
      </c>
      <c r="K78" s="22" t="str">
        <f aca="false">IF($I78="","",SUMIFS(TblApplications[Coût ROKS affecté (€)],TblApplications[Domaine],$I78,TblApplications[Environnement],p_envcrit))</f>
        <v/>
      </c>
      <c r="L78" s="22" t="str">
        <f aca="false">IF($I78="","",J78+K78)</f>
        <v/>
      </c>
    </row>
    <row r="79" customFormat="false" ht="15" hidden="false" customHeight="false" outlineLevel="0" collapsed="false">
      <c r="B79" s="21" t="str">
        <f aca="false">IFERROR(IF(INDEX(TblTribes[Tribe],17)="","",INDEX(TblTribes[Tribe],17)),"")</f>
        <v/>
      </c>
      <c r="C79" s="21" t="str">
        <f aca="false">IF($B79="","",INDEX(TblTribes[Domaine de la tribe],17))</f>
        <v/>
      </c>
      <c r="D79" s="22" t="str">
        <f aca="false">IF($B79="","",SUMIFS(TblApplications[Coût IKS affecté (€)],TblApplications[Tribe],$B79,TblApplications[Environnement],p_envcrit))</f>
        <v/>
      </c>
      <c r="E79" s="22" t="str">
        <f aca="false">IF($B79="","",SUMIFS(TblApplications[Coût ROKS affecté (€)],TblApplications[Tribe],$B79,TblApplications[Environnement],p_envcrit))</f>
        <v/>
      </c>
      <c r="F79" s="22" t="str">
        <f aca="false">IF($B79="","",D79+E79)</f>
        <v/>
      </c>
      <c r="I79" s="21" t="str">
        <f aca="false">IFERROR(IF(INDEX(TblDomaines[Domaine],17)="","",INDEX(TblDomaines[Domaine],17)),"")</f>
        <v/>
      </c>
      <c r="J79" s="22" t="str">
        <f aca="false">IF($I79="","",SUMIFS(TblApplications[Coût IKS affecté (€)],TblApplications[Domaine],$I79,TblApplications[Environnement],p_envcrit))</f>
        <v/>
      </c>
      <c r="K79" s="22" t="str">
        <f aca="false">IF($I79="","",SUMIFS(TblApplications[Coût ROKS affecté (€)],TblApplications[Domaine],$I79,TblApplications[Environnement],p_envcrit))</f>
        <v/>
      </c>
      <c r="L79" s="22" t="str">
        <f aca="false">IF($I79="","",J79+K79)</f>
        <v/>
      </c>
    </row>
    <row r="80" customFormat="false" ht="15" hidden="false" customHeight="false" outlineLevel="0" collapsed="false">
      <c r="B80" s="21" t="str">
        <f aca="false">IFERROR(IF(INDEX(TblTribes[Tribe],18)="","",INDEX(TblTribes[Tribe],18)),"")</f>
        <v/>
      </c>
      <c r="C80" s="21" t="str">
        <f aca="false">IF($B80="","",INDEX(TblTribes[Domaine de la tribe],18))</f>
        <v/>
      </c>
      <c r="D80" s="22" t="str">
        <f aca="false">IF($B80="","",SUMIFS(TblApplications[Coût IKS affecté (€)],TblApplications[Tribe],$B80,TblApplications[Environnement],p_envcrit))</f>
        <v/>
      </c>
      <c r="E80" s="22" t="str">
        <f aca="false">IF($B80="","",SUMIFS(TblApplications[Coût ROKS affecté (€)],TblApplications[Tribe],$B80,TblApplications[Environnement],p_envcrit))</f>
        <v/>
      </c>
      <c r="F80" s="22" t="str">
        <f aca="false">IF($B80="","",D80+E80)</f>
        <v/>
      </c>
      <c r="I80" s="21" t="str">
        <f aca="false">IFERROR(IF(INDEX(TblDomaines[Domaine],18)="","",INDEX(TblDomaines[Domaine],18)),"")</f>
        <v/>
      </c>
      <c r="J80" s="22" t="str">
        <f aca="false">IF($I80="","",SUMIFS(TblApplications[Coût IKS affecté (€)],TblApplications[Domaine],$I80,TblApplications[Environnement],p_envcrit))</f>
        <v/>
      </c>
      <c r="K80" s="22" t="str">
        <f aca="false">IF($I80="","",SUMIFS(TblApplications[Coût ROKS affecté (€)],TblApplications[Domaine],$I80,TblApplications[Environnement],p_envcrit))</f>
        <v/>
      </c>
      <c r="L80" s="22" t="str">
        <f aca="false">IF($I80="","",J80+K80)</f>
        <v/>
      </c>
    </row>
    <row r="81" customFormat="false" ht="15" hidden="false" customHeight="false" outlineLevel="0" collapsed="false">
      <c r="B81" s="21" t="str">
        <f aca="false">IFERROR(IF(INDEX(TblTribes[Tribe],19)="","",INDEX(TblTribes[Tribe],19)),"")</f>
        <v/>
      </c>
      <c r="C81" s="21" t="str">
        <f aca="false">IF($B81="","",INDEX(TblTribes[Domaine de la tribe],19))</f>
        <v/>
      </c>
      <c r="D81" s="22" t="str">
        <f aca="false">IF($B81="","",SUMIFS(TblApplications[Coût IKS affecté (€)],TblApplications[Tribe],$B81,TblApplications[Environnement],p_envcrit))</f>
        <v/>
      </c>
      <c r="E81" s="22" t="str">
        <f aca="false">IF($B81="","",SUMIFS(TblApplications[Coût ROKS affecté (€)],TblApplications[Tribe],$B81,TblApplications[Environnement],p_envcrit))</f>
        <v/>
      </c>
      <c r="F81" s="22" t="str">
        <f aca="false">IF($B81="","",D81+E81)</f>
        <v/>
      </c>
      <c r="I81" s="21" t="str">
        <f aca="false">IFERROR(IF(INDEX(TblDomaines[Domaine],19)="","",INDEX(TblDomaines[Domaine],19)),"")</f>
        <v/>
      </c>
      <c r="J81" s="22" t="str">
        <f aca="false">IF($I81="","",SUMIFS(TblApplications[Coût IKS affecté (€)],TblApplications[Domaine],$I81,TblApplications[Environnement],p_envcrit))</f>
        <v/>
      </c>
      <c r="K81" s="22" t="str">
        <f aca="false">IF($I81="","",SUMIFS(TblApplications[Coût ROKS affecté (€)],TblApplications[Domaine],$I81,TblApplications[Environnement],p_envcrit))</f>
        <v/>
      </c>
      <c r="L81" s="22" t="str">
        <f aca="false">IF($I81="","",J81+K81)</f>
        <v/>
      </c>
    </row>
    <row r="82" customFormat="false" ht="15" hidden="false" customHeight="false" outlineLevel="0" collapsed="false">
      <c r="B82" s="21" t="str">
        <f aca="false">IFERROR(IF(INDEX(TblTribes[Tribe],20)="","",INDEX(TblTribes[Tribe],20)),"")</f>
        <v/>
      </c>
      <c r="C82" s="21" t="str">
        <f aca="false">IF($B82="","",INDEX(TblTribes[Domaine de la tribe],20))</f>
        <v/>
      </c>
      <c r="D82" s="22" t="str">
        <f aca="false">IF($B82="","",SUMIFS(TblApplications[Coût IKS affecté (€)],TblApplications[Tribe],$B82,TblApplications[Environnement],p_envcrit))</f>
        <v/>
      </c>
      <c r="E82" s="22" t="str">
        <f aca="false">IF($B82="","",SUMIFS(TblApplications[Coût ROKS affecté (€)],TblApplications[Tribe],$B82,TblApplications[Environnement],p_envcrit))</f>
        <v/>
      </c>
      <c r="F82" s="22" t="str">
        <f aca="false">IF($B82="","",D82+E82)</f>
        <v/>
      </c>
      <c r="I82" s="21" t="str">
        <f aca="false">IFERROR(IF(INDEX(TblDomaines[Domaine],20)="","",INDEX(TblDomaines[Domaine],20)),"")</f>
        <v/>
      </c>
      <c r="J82" s="22" t="str">
        <f aca="false">IF($I82="","",SUMIFS(TblApplications[Coût IKS affecté (€)],TblApplications[Domaine],$I82,TblApplications[Environnement],p_envcrit))</f>
        <v/>
      </c>
      <c r="K82" s="22" t="str">
        <f aca="false">IF($I82="","",SUMIFS(TblApplications[Coût ROKS affecté (€)],TblApplications[Domaine],$I82,TblApplications[Environnement],p_envcrit))</f>
        <v/>
      </c>
      <c r="L82" s="22" t="str">
        <f aca="false">IF($I82="","",J82+K82)</f>
        <v/>
      </c>
    </row>
    <row r="83" customFormat="false" ht="15" hidden="false" customHeight="false" outlineLevel="0" collapsed="false">
      <c r="B83" s="21" t="str">
        <f aca="false">IFERROR(IF(INDEX(TblTribes[Tribe],21)="","",INDEX(TblTribes[Tribe],21)),"")</f>
        <v/>
      </c>
      <c r="C83" s="21" t="str">
        <f aca="false">IF($B83="","",INDEX(TblTribes[Domaine de la tribe],21))</f>
        <v/>
      </c>
      <c r="D83" s="22" t="str">
        <f aca="false">IF($B83="","",SUMIFS(TblApplications[Coût IKS affecté (€)],TblApplications[Tribe],$B83,TblApplications[Environnement],p_envcrit))</f>
        <v/>
      </c>
      <c r="E83" s="22" t="str">
        <f aca="false">IF($B83="","",SUMIFS(TblApplications[Coût ROKS affecté (€)],TblApplications[Tribe],$B83,TblApplications[Environnement],p_envcrit))</f>
        <v/>
      </c>
      <c r="F83" s="22" t="str">
        <f aca="false">IF($B83="","",D83+E83)</f>
        <v/>
      </c>
    </row>
    <row r="84" customFormat="false" ht="15" hidden="false" customHeight="false" outlineLevel="0" collapsed="false">
      <c r="B84" s="21" t="str">
        <f aca="false">IFERROR(IF(INDEX(TblTribes[Tribe],22)="","",INDEX(TblTribes[Tribe],22)),"")</f>
        <v/>
      </c>
      <c r="C84" s="21" t="str">
        <f aca="false">IF($B84="","",INDEX(TblTribes[Domaine de la tribe],22))</f>
        <v/>
      </c>
      <c r="D84" s="22" t="str">
        <f aca="false">IF($B84="","",SUMIFS(TblApplications[Coût IKS affecté (€)],TblApplications[Tribe],$B84,TblApplications[Environnement],p_envcrit))</f>
        <v/>
      </c>
      <c r="E84" s="22" t="str">
        <f aca="false">IF($B84="","",SUMIFS(TblApplications[Coût ROKS affecté (€)],TblApplications[Tribe],$B84,TblApplications[Environnement],p_envcrit))</f>
        <v/>
      </c>
      <c r="F84" s="22" t="str">
        <f aca="false">IF($B84="","",D84+E84)</f>
        <v/>
      </c>
    </row>
    <row r="85" customFormat="false" ht="15" hidden="false" customHeight="false" outlineLevel="0" collapsed="false">
      <c r="B85" s="21" t="str">
        <f aca="false">IFERROR(IF(INDEX(TblTribes[Tribe],23)="","",INDEX(TblTribes[Tribe],23)),"")</f>
        <v/>
      </c>
      <c r="C85" s="21" t="str">
        <f aca="false">IF($B85="","",INDEX(TblTribes[Domaine de la tribe],23))</f>
        <v/>
      </c>
      <c r="D85" s="22" t="str">
        <f aca="false">IF($B85="","",SUMIFS(TblApplications[Coût IKS affecté (€)],TblApplications[Tribe],$B85,TblApplications[Environnement],p_envcrit))</f>
        <v/>
      </c>
      <c r="E85" s="22" t="str">
        <f aca="false">IF($B85="","",SUMIFS(TblApplications[Coût ROKS affecté (€)],TblApplications[Tribe],$B85,TblApplications[Environnement],p_envcrit))</f>
        <v/>
      </c>
      <c r="F85" s="22" t="str">
        <f aca="false">IF($B85="","",D85+E85)</f>
        <v/>
      </c>
    </row>
    <row r="86" customFormat="false" ht="15" hidden="false" customHeight="false" outlineLevel="0" collapsed="false">
      <c r="B86" s="21" t="str">
        <f aca="false">IFERROR(IF(INDEX(TblTribes[Tribe],24)="","",INDEX(TblTribes[Tribe],24)),"")</f>
        <v/>
      </c>
      <c r="C86" s="21" t="str">
        <f aca="false">IF($B86="","",INDEX(TblTribes[Domaine de la tribe],24))</f>
        <v/>
      </c>
      <c r="D86" s="22" t="str">
        <f aca="false">IF($B86="","",SUMIFS(TblApplications[Coût IKS affecté (€)],TblApplications[Tribe],$B86,TblApplications[Environnement],p_envcrit))</f>
        <v/>
      </c>
      <c r="E86" s="22" t="str">
        <f aca="false">IF($B86="","",SUMIFS(TblApplications[Coût ROKS affecté (€)],TblApplications[Tribe],$B86,TblApplications[Environnement],p_envcrit))</f>
        <v/>
      </c>
      <c r="F86" s="22" t="str">
        <f aca="false">IF($B86="","",D86+E86)</f>
        <v/>
      </c>
    </row>
    <row r="87" customFormat="false" ht="15" hidden="false" customHeight="false" outlineLevel="0" collapsed="false">
      <c r="B87" s="21" t="str">
        <f aca="false">IFERROR(IF(INDEX(TblTribes[Tribe],25)="","",INDEX(TblTribes[Tribe],25)),"")</f>
        <v/>
      </c>
      <c r="C87" s="21" t="str">
        <f aca="false">IF($B87="","",INDEX(TblTribes[Domaine de la tribe],25))</f>
        <v/>
      </c>
      <c r="D87" s="22" t="str">
        <f aca="false">IF($B87="","",SUMIFS(TblApplications[Coût IKS affecté (€)],TblApplications[Tribe],$B87,TblApplications[Environnement],p_envcrit))</f>
        <v/>
      </c>
      <c r="E87" s="22" t="str">
        <f aca="false">IF($B87="","",SUMIFS(TblApplications[Coût ROKS affecté (€)],TblApplications[Tribe],$B87,TblApplications[Environnement],p_envcrit))</f>
        <v/>
      </c>
      <c r="F87" s="22" t="str">
        <f aca="false">IF($B87="","",D87+E87)</f>
        <v/>
      </c>
    </row>
    <row r="88" customFormat="false" ht="15" hidden="false" customHeight="false" outlineLevel="0" collapsed="false">
      <c r="B88" s="21" t="str">
        <f aca="false">IFERROR(IF(INDEX(TblTribes[Tribe],26)="","",INDEX(TblTribes[Tribe],26)),"")</f>
        <v/>
      </c>
      <c r="C88" s="21" t="str">
        <f aca="false">IF($B88="","",INDEX(TblTribes[Domaine de la tribe],26))</f>
        <v/>
      </c>
      <c r="D88" s="22" t="str">
        <f aca="false">IF($B88="","",SUMIFS(TblApplications[Coût IKS affecté (€)],TblApplications[Tribe],$B88,TblApplications[Environnement],p_envcrit))</f>
        <v/>
      </c>
      <c r="E88" s="22" t="str">
        <f aca="false">IF($B88="","",SUMIFS(TblApplications[Coût ROKS affecté (€)],TblApplications[Tribe],$B88,TblApplications[Environnement],p_envcrit))</f>
        <v/>
      </c>
      <c r="F88" s="22" t="str">
        <f aca="false">IF($B88="","",D88+E88)</f>
        <v/>
      </c>
    </row>
    <row r="89" customFormat="false" ht="15" hidden="false" customHeight="false" outlineLevel="0" collapsed="false">
      <c r="B89" s="21" t="str">
        <f aca="false">IFERROR(IF(INDEX(TblTribes[Tribe],27)="","",INDEX(TblTribes[Tribe],27)),"")</f>
        <v/>
      </c>
      <c r="C89" s="21" t="str">
        <f aca="false">IF($B89="","",INDEX(TblTribes[Domaine de la tribe],27))</f>
        <v/>
      </c>
      <c r="D89" s="22" t="str">
        <f aca="false">IF($B89="","",SUMIFS(TblApplications[Coût IKS affecté (€)],TblApplications[Tribe],$B89,TblApplications[Environnement],p_envcrit))</f>
        <v/>
      </c>
      <c r="E89" s="22" t="str">
        <f aca="false">IF($B89="","",SUMIFS(TblApplications[Coût ROKS affecté (€)],TblApplications[Tribe],$B89,TblApplications[Environnement],p_envcrit))</f>
        <v/>
      </c>
      <c r="F89" s="22" t="str">
        <f aca="false">IF($B89="","",D89+E89)</f>
        <v/>
      </c>
    </row>
    <row r="90" customFormat="false" ht="15" hidden="false" customHeight="false" outlineLevel="0" collapsed="false">
      <c r="B90" s="21" t="str">
        <f aca="false">IFERROR(IF(INDEX(TblTribes[Tribe],28)="","",INDEX(TblTribes[Tribe],28)),"")</f>
        <v/>
      </c>
      <c r="C90" s="21" t="str">
        <f aca="false">IF($B90="","",INDEX(TblTribes[Domaine de la tribe],28))</f>
        <v/>
      </c>
      <c r="D90" s="22" t="str">
        <f aca="false">IF($B90="","",SUMIFS(TblApplications[Coût IKS affecté (€)],TblApplications[Tribe],$B90,TblApplications[Environnement],p_envcrit))</f>
        <v/>
      </c>
      <c r="E90" s="22" t="str">
        <f aca="false">IF($B90="","",SUMIFS(TblApplications[Coût ROKS affecté (€)],TblApplications[Tribe],$B90,TblApplications[Environnement],p_envcrit))</f>
        <v/>
      </c>
      <c r="F90" s="22" t="str">
        <f aca="false">IF($B90="","",D90+E90)</f>
        <v/>
      </c>
    </row>
    <row r="91" customFormat="false" ht="15" hidden="false" customHeight="false" outlineLevel="0" collapsed="false">
      <c r="B91" s="21" t="str">
        <f aca="false">IFERROR(IF(INDEX(TblTribes[Tribe],29)="","",INDEX(TblTribes[Tribe],29)),"")</f>
        <v/>
      </c>
      <c r="C91" s="21" t="str">
        <f aca="false">IF($B91="","",INDEX(TblTribes[Domaine de la tribe],29))</f>
        <v/>
      </c>
      <c r="D91" s="22" t="str">
        <f aca="false">IF($B91="","",SUMIFS(TblApplications[Coût IKS affecté (€)],TblApplications[Tribe],$B91,TblApplications[Environnement],p_envcrit))</f>
        <v/>
      </c>
      <c r="E91" s="22" t="str">
        <f aca="false">IF($B91="","",SUMIFS(TblApplications[Coût ROKS affecté (€)],TblApplications[Tribe],$B91,TblApplications[Environnement],p_envcrit))</f>
        <v/>
      </c>
      <c r="F91" s="22" t="str">
        <f aca="false">IF($B91="","",D91+E91)</f>
        <v/>
      </c>
    </row>
    <row r="92" customFormat="false" ht="15" hidden="false" customHeight="false" outlineLevel="0" collapsed="false">
      <c r="B92" s="21" t="str">
        <f aca="false">IFERROR(IF(INDEX(TblTribes[Tribe],30)="","",INDEX(TblTribes[Tribe],30)),"")</f>
        <v/>
      </c>
      <c r="C92" s="21" t="str">
        <f aca="false">IF($B92="","",INDEX(TblTribes[Domaine de la tribe],30))</f>
        <v/>
      </c>
      <c r="D92" s="22" t="str">
        <f aca="false">IF($B92="","",SUMIFS(TblApplications[Coût IKS affecté (€)],TblApplications[Tribe],$B92,TblApplications[Environnement],p_envcrit))</f>
        <v/>
      </c>
      <c r="E92" s="22" t="str">
        <f aca="false">IF($B92="","",SUMIFS(TblApplications[Coût ROKS affecté (€)],TblApplications[Tribe],$B92,TblApplications[Environnement],p_envcrit))</f>
        <v/>
      </c>
      <c r="F92" s="22" t="str">
        <f aca="false">IF($B92="","",D92+E92)</f>
        <v/>
      </c>
    </row>
    <row r="93" customFormat="false" ht="15" hidden="false" customHeight="false" outlineLevel="0" collapsed="false">
      <c r="B93" s="21" t="str">
        <f aca="false">IFERROR(IF(INDEX(TblTribes[Tribe],31)="","",INDEX(TblTribes[Tribe],31)),"")</f>
        <v/>
      </c>
      <c r="C93" s="21" t="str">
        <f aca="false">IF($B93="","",INDEX(TblTribes[Domaine de la tribe],31))</f>
        <v/>
      </c>
      <c r="D93" s="22" t="str">
        <f aca="false">IF($B93="","",SUMIFS(TblApplications[Coût IKS affecté (€)],TblApplications[Tribe],$B93,TblApplications[Environnement],p_envcrit))</f>
        <v/>
      </c>
      <c r="E93" s="22" t="str">
        <f aca="false">IF($B93="","",SUMIFS(TblApplications[Coût ROKS affecté (€)],TblApplications[Tribe],$B93,TblApplications[Environnement],p_envcrit))</f>
        <v/>
      </c>
      <c r="F93" s="22" t="str">
        <f aca="false">IF($B93="","",D93+E93)</f>
        <v/>
      </c>
    </row>
    <row r="94" customFormat="false" ht="15" hidden="false" customHeight="false" outlineLevel="0" collapsed="false">
      <c r="B94" s="21" t="str">
        <f aca="false">IFERROR(IF(INDEX(TblTribes[Tribe],32)="","",INDEX(TblTribes[Tribe],32)),"")</f>
        <v/>
      </c>
      <c r="C94" s="21" t="str">
        <f aca="false">IF($B94="","",INDEX(TblTribes[Domaine de la tribe],32))</f>
        <v/>
      </c>
      <c r="D94" s="22" t="str">
        <f aca="false">IF($B94="","",SUMIFS(TblApplications[Coût IKS affecté (€)],TblApplications[Tribe],$B94,TblApplications[Environnement],p_envcrit))</f>
        <v/>
      </c>
      <c r="E94" s="22" t="str">
        <f aca="false">IF($B94="","",SUMIFS(TblApplications[Coût ROKS affecté (€)],TblApplications[Tribe],$B94,TblApplications[Environnement],p_envcrit))</f>
        <v/>
      </c>
      <c r="F94" s="22" t="str">
        <f aca="false">IF($B94="","",D94+E94)</f>
        <v/>
      </c>
    </row>
    <row r="95" customFormat="false" ht="15" hidden="false" customHeight="false" outlineLevel="0" collapsed="false">
      <c r="B95" s="21" t="str">
        <f aca="false">IFERROR(IF(INDEX(TblTribes[Tribe],33)="","",INDEX(TblTribes[Tribe],33)),"")</f>
        <v/>
      </c>
      <c r="C95" s="21" t="str">
        <f aca="false">IF($B95="","",INDEX(TblTribes[Domaine de la tribe],33))</f>
        <v/>
      </c>
      <c r="D95" s="22" t="str">
        <f aca="false">IF($B95="","",SUMIFS(TblApplications[Coût IKS affecté (€)],TblApplications[Tribe],$B95,TblApplications[Environnement],p_envcrit))</f>
        <v/>
      </c>
      <c r="E95" s="22" t="str">
        <f aca="false">IF($B95="","",SUMIFS(TblApplications[Coût ROKS affecté (€)],TblApplications[Tribe],$B95,TblApplications[Environnement],p_envcrit))</f>
        <v/>
      </c>
      <c r="F95" s="22" t="str">
        <f aca="false">IF($B95="","",D95+E95)</f>
        <v/>
      </c>
    </row>
    <row r="96" customFormat="false" ht="15" hidden="false" customHeight="false" outlineLevel="0" collapsed="false">
      <c r="B96" s="21" t="str">
        <f aca="false">IFERROR(IF(INDEX(TblTribes[Tribe],34)="","",INDEX(TblTribes[Tribe],34)),"")</f>
        <v/>
      </c>
      <c r="C96" s="21" t="str">
        <f aca="false">IF($B96="","",INDEX(TblTribes[Domaine de la tribe],34))</f>
        <v/>
      </c>
      <c r="D96" s="22" t="str">
        <f aca="false">IF($B96="","",SUMIFS(TblApplications[Coût IKS affecté (€)],TblApplications[Tribe],$B96,TblApplications[Environnement],p_envcrit))</f>
        <v/>
      </c>
      <c r="E96" s="22" t="str">
        <f aca="false">IF($B96="","",SUMIFS(TblApplications[Coût ROKS affecté (€)],TblApplications[Tribe],$B96,TblApplications[Environnement],p_envcrit))</f>
        <v/>
      </c>
      <c r="F96" s="22" t="str">
        <f aca="false">IF($B96="","",D96+E96)</f>
        <v/>
      </c>
    </row>
    <row r="97" customFormat="false" ht="15" hidden="false" customHeight="false" outlineLevel="0" collapsed="false">
      <c r="B97" s="21" t="str">
        <f aca="false">IFERROR(IF(INDEX(TblTribes[Tribe],35)="","",INDEX(TblTribes[Tribe],35)),"")</f>
        <v/>
      </c>
      <c r="C97" s="21" t="str">
        <f aca="false">IF($B97="","",INDEX(TblTribes[Domaine de la tribe],35))</f>
        <v/>
      </c>
      <c r="D97" s="22" t="str">
        <f aca="false">IF($B97="","",SUMIFS(TblApplications[Coût IKS affecté (€)],TblApplications[Tribe],$B97,TblApplications[Environnement],p_envcrit))</f>
        <v/>
      </c>
      <c r="E97" s="22" t="str">
        <f aca="false">IF($B97="","",SUMIFS(TblApplications[Coût ROKS affecté (€)],TblApplications[Tribe],$B97,TblApplications[Environnement],p_envcrit))</f>
        <v/>
      </c>
      <c r="F97" s="22" t="str">
        <f aca="false">IF($B97="","",D97+E97)</f>
        <v/>
      </c>
    </row>
    <row r="98" customFormat="false" ht="15" hidden="false" customHeight="false" outlineLevel="0" collapsed="false">
      <c r="B98" s="21" t="str">
        <f aca="false">IFERROR(IF(INDEX(TblTribes[Tribe],36)="","",INDEX(TblTribes[Tribe],36)),"")</f>
        <v/>
      </c>
      <c r="C98" s="21" t="str">
        <f aca="false">IF($B98="","",INDEX(TblTribes[Domaine de la tribe],36))</f>
        <v/>
      </c>
      <c r="D98" s="22" t="str">
        <f aca="false">IF($B98="","",SUMIFS(TblApplications[Coût IKS affecté (€)],TblApplications[Tribe],$B98,TblApplications[Environnement],p_envcrit))</f>
        <v/>
      </c>
      <c r="E98" s="22" t="str">
        <f aca="false">IF($B98="","",SUMIFS(TblApplications[Coût ROKS affecté (€)],TblApplications[Tribe],$B98,TblApplications[Environnement],p_envcrit))</f>
        <v/>
      </c>
      <c r="F98" s="22" t="str">
        <f aca="false">IF($B98="","",D98+E98)</f>
        <v/>
      </c>
    </row>
    <row r="99" customFormat="false" ht="15" hidden="false" customHeight="false" outlineLevel="0" collapsed="false">
      <c r="B99" s="21" t="str">
        <f aca="false">IFERROR(IF(INDEX(TblTribes[Tribe],37)="","",INDEX(TblTribes[Tribe],37)),"")</f>
        <v/>
      </c>
      <c r="C99" s="21" t="str">
        <f aca="false">IF($B99="","",INDEX(TblTribes[Domaine de la tribe],37))</f>
        <v/>
      </c>
      <c r="D99" s="22" t="str">
        <f aca="false">IF($B99="","",SUMIFS(TblApplications[Coût IKS affecté (€)],TblApplications[Tribe],$B99,TblApplications[Environnement],p_envcrit))</f>
        <v/>
      </c>
      <c r="E99" s="22" t="str">
        <f aca="false">IF($B99="","",SUMIFS(TblApplications[Coût ROKS affecté (€)],TblApplications[Tribe],$B99,TblApplications[Environnement],p_envcrit))</f>
        <v/>
      </c>
      <c r="F99" s="22" t="str">
        <f aca="false">IF($B99="","",D99+E99)</f>
        <v/>
      </c>
    </row>
    <row r="100" customFormat="false" ht="15" hidden="false" customHeight="false" outlineLevel="0" collapsed="false">
      <c r="B100" s="21" t="str">
        <f aca="false">IFERROR(IF(INDEX(TblTribes[Tribe],38)="","",INDEX(TblTribes[Tribe],38)),"")</f>
        <v/>
      </c>
      <c r="C100" s="21" t="str">
        <f aca="false">IF($B100="","",INDEX(TblTribes[Domaine de la tribe],38))</f>
        <v/>
      </c>
      <c r="D100" s="22" t="str">
        <f aca="false">IF($B100="","",SUMIFS(TblApplications[Coût IKS affecté (€)],TblApplications[Tribe],$B100,TblApplications[Environnement],p_envcrit))</f>
        <v/>
      </c>
      <c r="E100" s="22" t="str">
        <f aca="false">IF($B100="","",SUMIFS(TblApplications[Coût ROKS affecté (€)],TblApplications[Tribe],$B100,TblApplications[Environnement],p_envcrit))</f>
        <v/>
      </c>
      <c r="F100" s="22" t="str">
        <f aca="false">IF($B100="","",D100+E100)</f>
        <v/>
      </c>
    </row>
    <row r="101" customFormat="false" ht="15" hidden="false" customHeight="false" outlineLevel="0" collapsed="false">
      <c r="B101" s="21" t="str">
        <f aca="false">IFERROR(IF(INDEX(TblTribes[Tribe],39)="","",INDEX(TblTribes[Tribe],39)),"")</f>
        <v/>
      </c>
      <c r="C101" s="21" t="str">
        <f aca="false">IF($B101="","",INDEX(TblTribes[Domaine de la tribe],39))</f>
        <v/>
      </c>
      <c r="D101" s="22" t="str">
        <f aca="false">IF($B101="","",SUMIFS(TblApplications[Coût IKS affecté (€)],TblApplications[Tribe],$B101,TblApplications[Environnement],p_envcrit))</f>
        <v/>
      </c>
      <c r="E101" s="22" t="str">
        <f aca="false">IF($B101="","",SUMIFS(TblApplications[Coût ROKS affecté (€)],TblApplications[Tribe],$B101,TblApplications[Environnement],p_envcrit))</f>
        <v/>
      </c>
      <c r="F101" s="22" t="str">
        <f aca="false">IF($B101="","",D101+E101)</f>
        <v/>
      </c>
    </row>
    <row r="102" customFormat="false" ht="15" hidden="false" customHeight="false" outlineLevel="0" collapsed="false">
      <c r="B102" s="21" t="str">
        <f aca="false">IFERROR(IF(INDEX(TblTribes[Tribe],40)="","",INDEX(TblTribes[Tribe],40)),"")</f>
        <v/>
      </c>
      <c r="C102" s="21" t="str">
        <f aca="false">IF($B102="","",INDEX(TblTribes[Domaine de la tribe],40))</f>
        <v/>
      </c>
      <c r="D102" s="22" t="str">
        <f aca="false">IF($B102="","",SUMIFS(TblApplications[Coût IKS affecté (€)],TblApplications[Tribe],$B102,TblApplications[Environnement],p_envcrit))</f>
        <v/>
      </c>
      <c r="E102" s="22" t="str">
        <f aca="false">IF($B102="","",SUMIFS(TblApplications[Coût ROKS affecté (€)],TblApplications[Tribe],$B102,TblApplications[Environnement],p_envcrit))</f>
        <v/>
      </c>
      <c r="F102" s="22" t="str">
        <f aca="false">IF($B102="","",D102+E102)</f>
        <v/>
      </c>
    </row>
  </sheetData>
  <mergeCells count="12"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</mergeCells>
  <dataValidations count="1">
    <dataValidation allowBlank="false" error="Choisir Tous, PRD ou NPRD" errorStyle="stop" errorTitle="Saisie invalide" operator="between" showDropDown="false" showErrorMessage="true" showInputMessage="false" sqref="C8" type="list">
      <formula1>"Tous,PRD,NPRD"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Z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8" min="4" style="0" width="11"/>
    <col collapsed="false" customWidth="true" hidden="false" outlineLevel="0" max="10" min="9" style="0" width="4"/>
    <col collapsed="false" customWidth="true" hidden="false" outlineLevel="0" max="11" min="11" style="0" width="14"/>
    <col collapsed="false" customWidth="true" hidden="false" outlineLevel="0" max="16" min="12" style="0" width="11"/>
    <col collapsed="false" customWidth="true" hidden="false" outlineLevel="0" max="33" min="30" style="0" width="13"/>
    <col collapsed="false" customWidth="true" hidden="false" outlineLevel="0" max="52" min="48" style="0" width="12"/>
  </cols>
  <sheetData>
    <row r="1" customFormat="false" ht="19.7" hidden="false" customHeight="false" outlineLevel="0" collapsed="false">
      <c r="B1" s="1" t="s">
        <v>24</v>
      </c>
    </row>
    <row r="2" customFormat="false" ht="15" hidden="false" customHeight="false" outlineLevel="0" collapsed="false">
      <c r="B2" s="2" t="s">
        <v>25</v>
      </c>
    </row>
    <row r="4" customFormat="false" ht="15" hidden="false" customHeight="false" outlineLevel="0" collapsed="false">
      <c r="B4" s="13" t="s">
        <v>26</v>
      </c>
      <c r="C4" s="15" t="s">
        <v>10</v>
      </c>
      <c r="E4" s="13" t="s">
        <v>20</v>
      </c>
      <c r="F4" s="15" t="s">
        <v>10</v>
      </c>
      <c r="H4" s="13" t="s">
        <v>19</v>
      </c>
      <c r="I4" s="15" t="s">
        <v>10</v>
      </c>
      <c r="K4" s="13" t="s">
        <v>27</v>
      </c>
      <c r="L4" s="23" t="n">
        <v>46722</v>
      </c>
      <c r="AD4" s="24" t="str">
        <f aca="false">IF(C4="Tous","*",C4)</f>
        <v>*</v>
      </c>
      <c r="AE4" s="24" t="str">
        <f aca="false">IF(F4="Tous","*",F4)</f>
        <v>*</v>
      </c>
      <c r="AF4" s="24" t="str">
        <f aca="false">IF(I4="Tous","*",I4)</f>
        <v>*</v>
      </c>
      <c r="AG4" s="25" t="n">
        <f aca="false">IFERROR(DATE(YEAR(L4),MONTH(L4),1),p_debut)</f>
        <v>46722</v>
      </c>
    </row>
    <row r="6" customFormat="false" ht="27.75" hidden="false" customHeight="true" outlineLevel="0" collapsed="false">
      <c r="B6" s="26" t="s">
        <v>28</v>
      </c>
      <c r="C6" s="26"/>
      <c r="D6" s="27" t="s">
        <v>29</v>
      </c>
      <c r="E6" s="27"/>
      <c r="F6" s="28" t="s">
        <v>30</v>
      </c>
      <c r="G6" s="28"/>
      <c r="H6" s="29" t="s">
        <v>31</v>
      </c>
      <c r="I6" s="29"/>
      <c r="J6" s="30" t="s">
        <v>32</v>
      </c>
      <c r="K6" s="30"/>
      <c r="L6" s="30" t="s">
        <v>33</v>
      </c>
      <c r="M6" s="30"/>
    </row>
    <row r="7" customFormat="false" ht="36" hidden="false" customHeight="true" outlineLevel="0" collapsed="false">
      <c r="B7" s="31" t="n">
        <f aca="false">COUNTIFS(TblApplications[Action],"Migré",TblApplications[Environnement],av_envc,TblApplications[Domaine],av_domc,TblApplications[Tribe],av_tric)</f>
        <v>1</v>
      </c>
      <c r="C7" s="31"/>
      <c r="D7" s="32" t="n">
        <f aca="false">COUNTIFS(TblApplications[Action],"À migrer",TblApplications[Environnement],av_envc,TblApplications[Domaine],av_domc,TblApplications[Tribe],av_tric)</f>
        <v>10</v>
      </c>
      <c r="E7" s="32"/>
      <c r="F7" s="33" t="n">
        <f aca="false">COUNTIFS(TblApplications[Action],"À décommissionner",TblApplications[Environnement],av_envc,TblApplications[Domaine],av_domc,TblApplications[Tribe],av_tric)</f>
        <v>1</v>
      </c>
      <c r="G7" s="33"/>
      <c r="H7" s="34" t="n">
        <f aca="false">COUNTIFS(TblApplications[Action],"Décommissionné",TblApplications[Environnement],av_envc,TblApplications[Domaine],av_domc,TblApplications[Tribe],av_tric)</f>
        <v>1</v>
      </c>
      <c r="I7" s="34"/>
      <c r="J7" s="35" t="n">
        <f aca="false">(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(calc)],"&lt;="&amp;av_mois,TblApplications[Environnement],av_envc,TblApplications[Domaine],av_domc,TblApplications[Tribe],av_tric)+COUNTIFS(TblApplications[Action],"À décommissionner",TblApplications[Mois lib (calc)],"&lt;="&amp;av_mois,TblApplications[Environnement],av_envc,TblApplications[Domaine],av_domc,TblApplications[Tribe],av_tric))</f>
        <v>9</v>
      </c>
      <c r="K7" s="35"/>
      <c r="L7" s="36" t="n">
        <f aca="false">IFERROR((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(calc)],"&lt;="&amp;av_mois,TblApplications[Environnement],av_envc,TblApplications[Domaine],av_domc,TblApplications[Tribe],av_tric)+COUNTIFS(TblApplications[Action],"À décommissionner",TblApplications[Mois lib (calc)],"&lt;="&amp;av_mois,TblApplications[Environnement],av_envc,TblApplications[Domaine],av_domc,TblApplications[Tribe],av_tric))/COUNTIFS(TblApplications[ID],"&lt;&gt;",TblApplications[Environnement],av_envc,TblApplications[Domaine],av_domc,TblApplications[Tribe],av_tric),0)</f>
        <v>0.692307692307692</v>
      </c>
      <c r="M7" s="36"/>
    </row>
    <row r="9" customFormat="false" ht="15" hidden="false" customHeight="false" outlineLevel="0" collapsed="false">
      <c r="B9" s="19" t="s">
        <v>34</v>
      </c>
    </row>
    <row r="11" customFormat="false" ht="15" hidden="false" customHeight="false" outlineLevel="0" collapsed="false">
      <c r="B11" s="17" t="s">
        <v>35</v>
      </c>
    </row>
    <row r="33" customFormat="false" ht="30" hidden="false" customHeight="true" outlineLevel="0" collapsed="false">
      <c r="B33" s="20" t="s">
        <v>19</v>
      </c>
      <c r="C33" s="20" t="s">
        <v>20</v>
      </c>
      <c r="D33" s="20" t="s">
        <v>36</v>
      </c>
      <c r="E33" s="20" t="s">
        <v>29</v>
      </c>
      <c r="F33" s="20" t="s">
        <v>30</v>
      </c>
      <c r="G33" s="20" t="s">
        <v>37</v>
      </c>
      <c r="H33" s="20" t="s">
        <v>38</v>
      </c>
      <c r="K33" s="20" t="s">
        <v>20</v>
      </c>
      <c r="L33" s="20" t="s">
        <v>36</v>
      </c>
      <c r="M33" s="20" t="s">
        <v>29</v>
      </c>
      <c r="N33" s="20" t="s">
        <v>30</v>
      </c>
      <c r="O33" s="20" t="s">
        <v>37</v>
      </c>
      <c r="P33" s="20" t="s">
        <v>38</v>
      </c>
    </row>
    <row r="34" customFormat="false" ht="15" hidden="false" customHeight="false" outlineLevel="0" collapsed="false">
      <c r="B34" s="21" t="str">
        <f aca="false">IFERROR(IF(INDEX(TblTribes[Tribe],1)="","",INDEX(TblTribes[Tribe],1)),"")</f>
        <v>Parcours client</v>
      </c>
      <c r="C34" s="21" t="str">
        <f aca="false">IF($B34="","",INDEX(TblTribes[Domaine de la tribe],1))</f>
        <v>Distribution</v>
      </c>
      <c r="D34" s="21" t="n">
        <f aca="false">IF($B34="","",COUNTIFS(TblApplications[Tribe],$B34,TblApplications[Action],"Migré",TblApplications[Environnement],av_envc,TblApplications[Domaine],av_domc,TblApplications[Tribe],av_tric))</f>
        <v>0</v>
      </c>
      <c r="E34" s="21" t="n">
        <f aca="false">IF($B34="","",COUNTIFS(TblApplications[Tribe],$B34,TblApplications[Action],"À migrer",TblApplications[Environnement],av_envc,TblApplications[Domaine],av_domc,TblApplications[Tribe],av_tric))</f>
        <v>3</v>
      </c>
      <c r="F34" s="21" t="n">
        <f aca="false">IF($B34="","",COUNTIFS(TblApplications[Tribe],$B34,TblApplications[Action],"À décommissionner",TblApplications[Environnement],av_envc,TblApplications[Domaine],av_domc,TblApplications[Tribe],av_tric))</f>
        <v>1</v>
      </c>
      <c r="G34" s="21" t="n">
        <f aca="false">IF($B34="","",COUNTIFS(TblApplications[Tribe],$B34,TblApplications[Action],"Décommissionné",TblApplications[Environnement],av_envc,TblApplications[Domaine],av_domc,TblApplications[Tribe],av_tric))</f>
        <v>0</v>
      </c>
      <c r="H34" s="21" t="n">
        <f aca="false">IF($B34="","",SUM(D34:G34))</f>
        <v>4</v>
      </c>
      <c r="K34" s="21" t="str">
        <f aca="false">IFERROR(IF(INDEX(TblDomaines[Domaine],1)="","",INDEX(TblDomaines[Domaine],1)),"")</f>
        <v>Distribution</v>
      </c>
      <c r="L34" s="21" t="n">
        <f aca="false">IF($K34="","",COUNTIFS(TblApplications[Domaine],$K34,TblApplications[Action],"Migré",TblApplications[Environnement],av_envc,TblApplications[Domaine],av_domc,TblApplications[Tribe],av_tric))</f>
        <v>0</v>
      </c>
      <c r="M34" s="21" t="n">
        <f aca="false">IF($K34="","",COUNTIFS(TblApplications[Domaine],$K34,TblApplications[Action],"À migrer",TblApplications[Environnement],av_envc,TblApplications[Domaine],av_domc,TblApplications[Tribe],av_tric))</f>
        <v>7</v>
      </c>
      <c r="N34" s="21" t="n">
        <f aca="false">IF($K34="","",COUNTIFS(TblApplications[Domaine],$K34,TblApplications[Action],"À décommissionner",TblApplications[Environnement],av_envc,TblApplications[Domaine],av_domc,TblApplications[Tribe],av_tric))</f>
        <v>1</v>
      </c>
      <c r="O34" s="21" t="n">
        <f aca="false">IF($K34="","",COUNTIFS(TblApplications[Domaine],$K34,TblApplications[Action],"Décommissionné",TblApplications[Environnement],av_envc,TblApplications[Domaine],av_domc,TblApplications[Tribe],av_tric))</f>
        <v>1</v>
      </c>
      <c r="P34" s="21" t="n">
        <f aca="false">IF($K34="","",SUM(L34:O34))</f>
        <v>9</v>
      </c>
    </row>
    <row r="35" customFormat="false" ht="15" hidden="false" customHeight="false" outlineLevel="0" collapsed="false">
      <c r="B35" s="21" t="str">
        <f aca="false">IFERROR(IF(INDEX(TblTribes[Tribe],2)="","",INDEX(TblTribes[Tribe],2)),"")</f>
        <v>Tarification</v>
      </c>
      <c r="C35" s="21" t="str">
        <f aca="false">IF($B35="","",INDEX(TblTribes[Domaine de la tribe],2))</f>
        <v>Distribution</v>
      </c>
      <c r="D35" s="21" t="n">
        <f aca="false">IF($B35="","",COUNTIFS(TblApplications[Tribe],$B35,TblApplications[Action],"Migré",TblApplications[Environnement],av_envc,TblApplications[Domaine],av_domc,TblApplications[Tribe],av_tric))</f>
        <v>0</v>
      </c>
      <c r="E35" s="21" t="n">
        <f aca="false">IF($B35="","",COUNTIFS(TblApplications[Tribe],$B35,TblApplications[Action],"À migrer",TblApplications[Environnement],av_envc,TblApplications[Domaine],av_domc,TblApplications[Tribe],av_tric))</f>
        <v>4</v>
      </c>
      <c r="F35" s="21" t="n">
        <f aca="false">IF($B35="","",COUNTIFS(TblApplications[Tribe],$B35,TblApplications[Action],"À décommissionner",TblApplications[Environnement],av_envc,TblApplications[Domaine],av_domc,TblApplications[Tribe],av_tric))</f>
        <v>0</v>
      </c>
      <c r="G35" s="21" t="n">
        <f aca="false">IF($B35="","",COUNTIFS(TblApplications[Tribe],$B35,TblApplications[Action],"Décommissionné",TblApplications[Environnement],av_envc,TblApplications[Domaine],av_domc,TblApplications[Tribe],av_tric))</f>
        <v>1</v>
      </c>
      <c r="H35" s="21" t="n">
        <f aca="false">IF($B35="","",SUM(D35:G35))</f>
        <v>5</v>
      </c>
      <c r="K35" s="21" t="str">
        <f aca="false">IFERROR(IF(INDEX(TblDomaines[Domaine],2)="","",INDEX(TblDomaines[Domaine],2)),"")</f>
        <v>Indemnisation</v>
      </c>
      <c r="L35" s="21" t="n">
        <f aca="false">IF($K35="","",COUNTIFS(TblApplications[Domaine],$K35,TblApplications[Action],"Migré",TblApplications[Environnement],av_envc,TblApplications[Domaine],av_domc,TblApplications[Tribe],av_tric))</f>
        <v>1</v>
      </c>
      <c r="M35" s="21" t="n">
        <f aca="false">IF($K35="","",COUNTIFS(TblApplications[Domaine],$K35,TblApplications[Action],"À migrer",TblApplications[Environnement],av_envc,TblApplications[Domaine],av_domc,TblApplications[Tribe],av_tric))</f>
        <v>3</v>
      </c>
      <c r="N35" s="21" t="n">
        <f aca="false">IF($K35="","",COUNTIFS(TblApplications[Domaine],$K35,TblApplications[Action],"À décommissionner",TblApplications[Environnement],av_envc,TblApplications[Domaine],av_domc,TblApplications[Tribe],av_tric))</f>
        <v>0</v>
      </c>
      <c r="O35" s="21" t="n">
        <f aca="false">IF($K35="","",COUNTIFS(TblApplications[Domaine],$K35,TblApplications[Action],"Décommissionné",TblApplications[Environnement],av_envc,TblApplications[Domaine],av_domc,TblApplications[Tribe],av_tric))</f>
        <v>0</v>
      </c>
      <c r="P35" s="21" t="n">
        <f aca="false">IF($K35="","",SUM(L35:O35))</f>
        <v>4</v>
      </c>
    </row>
    <row r="36" customFormat="false" ht="15" hidden="false" customHeight="false" outlineLevel="0" collapsed="false">
      <c r="B36" s="21" t="str">
        <f aca="false">IFERROR(IF(INDEX(TblTribes[Tribe],3)="","",INDEX(TblTribes[Tribe],3)),"")</f>
        <v>Sinistres</v>
      </c>
      <c r="C36" s="21" t="str">
        <f aca="false">IF($B36="","",INDEX(TblTribes[Domaine de la tribe],3))</f>
        <v>Indemnisation</v>
      </c>
      <c r="D36" s="21" t="n">
        <f aca="false">IF($B36="","",COUNTIFS(TblApplications[Tribe],$B36,TblApplications[Action],"Migré",TblApplications[Environnement],av_envc,TblApplications[Domaine],av_domc,TblApplications[Tribe],av_tric))</f>
        <v>1</v>
      </c>
      <c r="E36" s="21" t="n">
        <f aca="false">IF($B36="","",COUNTIFS(TblApplications[Tribe],$B36,TblApplications[Action],"À migrer",TblApplications[Environnement],av_envc,TblApplications[Domaine],av_domc,TblApplications[Tribe],av_tric))</f>
        <v>3</v>
      </c>
      <c r="F36" s="21" t="n">
        <f aca="false">IF($B36="","",COUNTIFS(TblApplications[Tribe],$B36,TblApplications[Action],"À décommissionner",TblApplications[Environnement],av_envc,TblApplications[Domaine],av_domc,TblApplications[Tribe],av_tric))</f>
        <v>0</v>
      </c>
      <c r="G36" s="21" t="n">
        <f aca="false">IF($B36="","",COUNTIFS(TblApplications[Tribe],$B36,TblApplications[Action],"Décommissionné",TblApplications[Environnement],av_envc,TblApplications[Domaine],av_domc,TblApplications[Tribe],av_tric))</f>
        <v>0</v>
      </c>
      <c r="H36" s="21" t="n">
        <f aca="false">IF($B36="","",SUM(D36:G36))</f>
        <v>4</v>
      </c>
      <c r="K36" s="21" t="str">
        <f aca="false">IFERROR(IF(INDEX(TblDomaines[Domaine],3)="","",INDEX(TblDomaines[Domaine],3)),"")</f>
        <v/>
      </c>
      <c r="L36" s="21" t="str">
        <f aca="false">IF($K36="","",COUNTIFS(TblApplications[Domaine],$K36,TblApplications[Action],"Migré",TblApplications[Environnement],av_envc,TblApplications[Domaine],av_domc,TblApplications[Tribe],av_tric))</f>
        <v/>
      </c>
      <c r="M36" s="21" t="str">
        <f aca="false">IF($K36="","",COUNTIFS(TblApplications[Domaine],$K36,TblApplications[Action],"À migrer",TblApplications[Environnement],av_envc,TblApplications[Domaine],av_domc,TblApplications[Tribe],av_tric))</f>
        <v/>
      </c>
      <c r="N36" s="21" t="str">
        <f aca="false">IF($K36="","",COUNTIFS(TblApplications[Domaine],$K36,TblApplications[Action],"À décommissionner",TblApplications[Environnement],av_envc,TblApplications[Domaine],av_domc,TblApplications[Tribe],av_tric))</f>
        <v/>
      </c>
      <c r="O36" s="21" t="str">
        <f aca="false">IF($K36="","",COUNTIFS(TblApplications[Domaine],$K36,TblApplications[Action],"Décommissionné",TblApplications[Environnement],av_envc,TblApplications[Domaine],av_domc,TblApplications[Tribe],av_tric))</f>
        <v/>
      </c>
      <c r="P36" s="21" t="str">
        <f aca="false">IF($K36="","",SUM(L36:O36))</f>
        <v/>
      </c>
    </row>
    <row r="37" customFormat="false" ht="15" hidden="false" customHeight="false" outlineLevel="0" collapsed="false">
      <c r="B37" s="21" t="str">
        <f aca="false">IFERROR(IF(INDEX(TblTribes[Tribe],4)="","",INDEX(TblTribes[Tribe],4)),"")</f>
        <v/>
      </c>
      <c r="C37" s="21" t="str">
        <f aca="false">IF($B37="","",INDEX(TblTribes[Domaine de la tribe],4))</f>
        <v/>
      </c>
      <c r="D37" s="21" t="str">
        <f aca="false">IF($B37="","",COUNTIFS(TblApplications[Tribe],$B37,TblApplications[Action],"Migré",TblApplications[Environnement],av_envc,TblApplications[Domaine],av_domc,TblApplications[Tribe],av_tric))</f>
        <v/>
      </c>
      <c r="E37" s="21" t="str">
        <f aca="false">IF($B37="","",COUNTIFS(TblApplications[Tribe],$B37,TblApplications[Action],"À migrer",TblApplications[Environnement],av_envc,TblApplications[Domaine],av_domc,TblApplications[Tribe],av_tric))</f>
        <v/>
      </c>
      <c r="F37" s="21" t="str">
        <f aca="false">IF($B37="","",COUNTIFS(TblApplications[Tribe],$B37,TblApplications[Action],"À décommissionner",TblApplications[Environnement],av_envc,TblApplications[Domaine],av_domc,TblApplications[Tribe],av_tric))</f>
        <v/>
      </c>
      <c r="G37" s="21" t="str">
        <f aca="false">IF($B37="","",COUNTIFS(TblApplications[Tribe],$B37,TblApplications[Action],"Décommissionné",TblApplications[Environnement],av_envc,TblApplications[Domaine],av_domc,TblApplications[Tribe],av_tric))</f>
        <v/>
      </c>
      <c r="H37" s="21" t="str">
        <f aca="false">IF($B37="","",SUM(D37:G37))</f>
        <v/>
      </c>
      <c r="K37" s="21" t="str">
        <f aca="false">IFERROR(IF(INDEX(TblDomaines[Domaine],4)="","",INDEX(TblDomaines[Domaine],4)),"")</f>
        <v/>
      </c>
      <c r="L37" s="21" t="str">
        <f aca="false">IF($K37="","",COUNTIFS(TblApplications[Domaine],$K37,TblApplications[Action],"Migré",TblApplications[Environnement],av_envc,TblApplications[Domaine],av_domc,TblApplications[Tribe],av_tric))</f>
        <v/>
      </c>
      <c r="M37" s="21" t="str">
        <f aca="false">IF($K37="","",COUNTIFS(TblApplications[Domaine],$K37,TblApplications[Action],"À migrer",TblApplications[Environnement],av_envc,TblApplications[Domaine],av_domc,TblApplications[Tribe],av_tric))</f>
        <v/>
      </c>
      <c r="N37" s="21" t="str">
        <f aca="false">IF($K37="","",COUNTIFS(TblApplications[Domaine],$K37,TblApplications[Action],"À décommissionner",TblApplications[Environnement],av_envc,TblApplications[Domaine],av_domc,TblApplications[Tribe],av_tric))</f>
        <v/>
      </c>
      <c r="O37" s="21" t="str">
        <f aca="false">IF($K37="","",COUNTIFS(TblApplications[Domaine],$K37,TblApplications[Action],"Décommissionné",TblApplications[Environnement],av_envc,TblApplications[Domaine],av_domc,TblApplications[Tribe],av_tric))</f>
        <v/>
      </c>
      <c r="P37" s="21" t="str">
        <f aca="false">IF($K37="","",SUM(L37:O37))</f>
        <v/>
      </c>
    </row>
    <row r="38" customFormat="false" ht="15" hidden="false" customHeight="false" outlineLevel="0" collapsed="false">
      <c r="B38" s="21" t="str">
        <f aca="false">IFERROR(IF(INDEX(TblTribes[Tribe],5)="","",INDEX(TblTribes[Tribe],5)),"")</f>
        <v/>
      </c>
      <c r="C38" s="21" t="str">
        <f aca="false">IF($B38="","",INDEX(TblTribes[Domaine de la tribe],5))</f>
        <v/>
      </c>
      <c r="D38" s="21" t="str">
        <f aca="false">IF($B38="","",COUNTIFS(TblApplications[Tribe],$B38,TblApplications[Action],"Migré",TblApplications[Environnement],av_envc,TblApplications[Domaine],av_domc,TblApplications[Tribe],av_tric))</f>
        <v/>
      </c>
      <c r="E38" s="21" t="str">
        <f aca="false">IF($B38="","",COUNTIFS(TblApplications[Tribe],$B38,TblApplications[Action],"À migrer",TblApplications[Environnement],av_envc,TblApplications[Domaine],av_domc,TblApplications[Tribe],av_tric))</f>
        <v/>
      </c>
      <c r="F38" s="21" t="str">
        <f aca="false">IF($B38="","",COUNTIFS(TblApplications[Tribe],$B38,TblApplications[Action],"À décommissionner",TblApplications[Environnement],av_envc,TblApplications[Domaine],av_domc,TblApplications[Tribe],av_tric))</f>
        <v/>
      </c>
      <c r="G38" s="21" t="str">
        <f aca="false">IF($B38="","",COUNTIFS(TblApplications[Tribe],$B38,TblApplications[Action],"Décommissionné",TblApplications[Environnement],av_envc,TblApplications[Domaine],av_domc,TblApplications[Tribe],av_tric))</f>
        <v/>
      </c>
      <c r="H38" s="21" t="str">
        <f aca="false">IF($B38="","",SUM(D38:G38))</f>
        <v/>
      </c>
      <c r="K38" s="21" t="str">
        <f aca="false">IFERROR(IF(INDEX(TblDomaines[Domaine],5)="","",INDEX(TblDomaines[Domaine],5)),"")</f>
        <v/>
      </c>
      <c r="L38" s="21" t="str">
        <f aca="false">IF($K38="","",COUNTIFS(TblApplications[Domaine],$K38,TblApplications[Action],"Migré",TblApplications[Environnement],av_envc,TblApplications[Domaine],av_domc,TblApplications[Tribe],av_tric))</f>
        <v/>
      </c>
      <c r="M38" s="21" t="str">
        <f aca="false">IF($K38="","",COUNTIFS(TblApplications[Domaine],$K38,TblApplications[Action],"À migrer",TblApplications[Environnement],av_envc,TblApplications[Domaine],av_domc,TblApplications[Tribe],av_tric))</f>
        <v/>
      </c>
      <c r="N38" s="21" t="str">
        <f aca="false">IF($K38="","",COUNTIFS(TblApplications[Domaine],$K38,TblApplications[Action],"À décommissionner",TblApplications[Environnement],av_envc,TblApplications[Domaine],av_domc,TblApplications[Tribe],av_tric))</f>
        <v/>
      </c>
      <c r="O38" s="21" t="str">
        <f aca="false">IF($K38="","",COUNTIFS(TblApplications[Domaine],$K38,TblApplications[Action],"Décommissionné",TblApplications[Environnement],av_envc,TblApplications[Domaine],av_domc,TblApplications[Tribe],av_tric))</f>
        <v/>
      </c>
      <c r="P38" s="21" t="str">
        <f aca="false">IF($K38="","",SUM(L38:O38))</f>
        <v/>
      </c>
    </row>
    <row r="39" customFormat="false" ht="15" hidden="false" customHeight="false" outlineLevel="0" collapsed="false">
      <c r="B39" s="21" t="str">
        <f aca="false">IFERROR(IF(INDEX(TblTribes[Tribe],6)="","",INDEX(TblTribes[Tribe],6)),"")</f>
        <v/>
      </c>
      <c r="C39" s="21" t="str">
        <f aca="false">IF($B39="","",INDEX(TblTribes[Domaine de la tribe],6))</f>
        <v/>
      </c>
      <c r="D39" s="21" t="str">
        <f aca="false">IF($B39="","",COUNTIFS(TblApplications[Tribe],$B39,TblApplications[Action],"Migré",TblApplications[Environnement],av_envc,TblApplications[Domaine],av_domc,TblApplications[Tribe],av_tric))</f>
        <v/>
      </c>
      <c r="E39" s="21" t="str">
        <f aca="false">IF($B39="","",COUNTIFS(TblApplications[Tribe],$B39,TblApplications[Action],"À migrer",TblApplications[Environnement],av_envc,TblApplications[Domaine],av_domc,TblApplications[Tribe],av_tric))</f>
        <v/>
      </c>
      <c r="F39" s="21" t="str">
        <f aca="false">IF($B39="","",COUNTIFS(TblApplications[Tribe],$B39,TblApplications[Action],"À décommissionner",TblApplications[Environnement],av_envc,TblApplications[Domaine],av_domc,TblApplications[Tribe],av_tric))</f>
        <v/>
      </c>
      <c r="G39" s="21" t="str">
        <f aca="false">IF($B39="","",COUNTIFS(TblApplications[Tribe],$B39,TblApplications[Action],"Décommissionné",TblApplications[Environnement],av_envc,TblApplications[Domaine],av_domc,TblApplications[Tribe],av_tric))</f>
        <v/>
      </c>
      <c r="H39" s="21" t="str">
        <f aca="false">IF($B39="","",SUM(D39:G39))</f>
        <v/>
      </c>
      <c r="K39" s="21" t="str">
        <f aca="false">IFERROR(IF(INDEX(TblDomaines[Domaine],6)="","",INDEX(TblDomaines[Domaine],6)),"")</f>
        <v/>
      </c>
      <c r="L39" s="21" t="str">
        <f aca="false">IF($K39="","",COUNTIFS(TblApplications[Domaine],$K39,TblApplications[Action],"Migré",TblApplications[Environnement],av_envc,TblApplications[Domaine],av_domc,TblApplications[Tribe],av_tric))</f>
        <v/>
      </c>
      <c r="M39" s="21" t="str">
        <f aca="false">IF($K39="","",COUNTIFS(TblApplications[Domaine],$K39,TblApplications[Action],"À migrer",TblApplications[Environnement],av_envc,TblApplications[Domaine],av_domc,TblApplications[Tribe],av_tric))</f>
        <v/>
      </c>
      <c r="N39" s="21" t="str">
        <f aca="false">IF($K39="","",COUNTIFS(TblApplications[Domaine],$K39,TblApplications[Action],"À décommissionner",TblApplications[Environnement],av_envc,TblApplications[Domaine],av_domc,TblApplications[Tribe],av_tric))</f>
        <v/>
      </c>
      <c r="O39" s="21" t="str">
        <f aca="false">IF($K39="","",COUNTIFS(TblApplications[Domaine],$K39,TblApplications[Action],"Décommissionné",TblApplications[Environnement],av_envc,TblApplications[Domaine],av_domc,TblApplications[Tribe],av_tric))</f>
        <v/>
      </c>
      <c r="P39" s="21" t="str">
        <f aca="false">IF($K39="","",SUM(L39:O39))</f>
        <v/>
      </c>
    </row>
    <row r="40" customFormat="false" ht="15" hidden="false" customHeight="false" outlineLevel="0" collapsed="false">
      <c r="B40" s="21" t="str">
        <f aca="false">IFERROR(IF(INDEX(TblTribes[Tribe],7)="","",INDEX(TblTribes[Tribe],7)),"")</f>
        <v/>
      </c>
      <c r="C40" s="21" t="str">
        <f aca="false">IF($B40="","",INDEX(TblTribes[Domaine de la tribe],7))</f>
        <v/>
      </c>
      <c r="D40" s="21" t="str">
        <f aca="false">IF($B40="","",COUNTIFS(TblApplications[Tribe],$B40,TblApplications[Action],"Migré",TblApplications[Environnement],av_envc,TblApplications[Domaine],av_domc,TblApplications[Tribe],av_tric))</f>
        <v/>
      </c>
      <c r="E40" s="21" t="str">
        <f aca="false">IF($B40="","",COUNTIFS(TblApplications[Tribe],$B40,TblApplications[Action],"À migrer",TblApplications[Environnement],av_envc,TblApplications[Domaine],av_domc,TblApplications[Tribe],av_tric))</f>
        <v/>
      </c>
      <c r="F40" s="21" t="str">
        <f aca="false">IF($B40="","",COUNTIFS(TblApplications[Tribe],$B40,TblApplications[Action],"À décommissionner",TblApplications[Environnement],av_envc,TblApplications[Domaine],av_domc,TblApplications[Tribe],av_tric))</f>
        <v/>
      </c>
      <c r="G40" s="21" t="str">
        <f aca="false">IF($B40="","",COUNTIFS(TblApplications[Tribe],$B40,TblApplications[Action],"Décommissionné",TblApplications[Environnement],av_envc,TblApplications[Domaine],av_domc,TblApplications[Tribe],av_tric))</f>
        <v/>
      </c>
      <c r="H40" s="21" t="str">
        <f aca="false">IF($B40="","",SUM(D40:G40))</f>
        <v/>
      </c>
      <c r="K40" s="21" t="str">
        <f aca="false">IFERROR(IF(INDEX(TblDomaines[Domaine],7)="","",INDEX(TblDomaines[Domaine],7)),"")</f>
        <v/>
      </c>
      <c r="L40" s="21" t="str">
        <f aca="false">IF($K40="","",COUNTIFS(TblApplications[Domaine],$K40,TblApplications[Action],"Migré",TblApplications[Environnement],av_envc,TblApplications[Domaine],av_domc,TblApplications[Tribe],av_tric))</f>
        <v/>
      </c>
      <c r="M40" s="21" t="str">
        <f aca="false">IF($K40="","",COUNTIFS(TblApplications[Domaine],$K40,TblApplications[Action],"À migrer",TblApplications[Environnement],av_envc,TblApplications[Domaine],av_domc,TblApplications[Tribe],av_tric))</f>
        <v/>
      </c>
      <c r="N40" s="21" t="str">
        <f aca="false">IF($K40="","",COUNTIFS(TblApplications[Domaine],$K40,TblApplications[Action],"À décommissionner",TblApplications[Environnement],av_envc,TblApplications[Domaine],av_domc,TblApplications[Tribe],av_tric))</f>
        <v/>
      </c>
      <c r="O40" s="21" t="str">
        <f aca="false">IF($K40="","",COUNTIFS(TblApplications[Domaine],$K40,TblApplications[Action],"Décommissionné",TblApplications[Environnement],av_envc,TblApplications[Domaine],av_domc,TblApplications[Tribe],av_tric))</f>
        <v/>
      </c>
      <c r="P40" s="21" t="str">
        <f aca="false">IF($K40="","",SUM(L40:O40))</f>
        <v/>
      </c>
    </row>
    <row r="41" customFormat="false" ht="15" hidden="false" customHeight="false" outlineLevel="0" collapsed="false">
      <c r="B41" s="21" t="str">
        <f aca="false">IFERROR(IF(INDEX(TblTribes[Tribe],8)="","",INDEX(TblTribes[Tribe],8)),"")</f>
        <v/>
      </c>
      <c r="C41" s="21" t="str">
        <f aca="false">IF($B41="","",INDEX(TblTribes[Domaine de la tribe],8))</f>
        <v/>
      </c>
      <c r="D41" s="21" t="str">
        <f aca="false">IF($B41="","",COUNTIFS(TblApplications[Tribe],$B41,TblApplications[Action],"Migré",TblApplications[Environnement],av_envc,TblApplications[Domaine],av_domc,TblApplications[Tribe],av_tric))</f>
        <v/>
      </c>
      <c r="E41" s="21" t="str">
        <f aca="false">IF($B41="","",COUNTIFS(TblApplications[Tribe],$B41,TblApplications[Action],"À migrer",TblApplications[Environnement],av_envc,TblApplications[Domaine],av_domc,TblApplications[Tribe],av_tric))</f>
        <v/>
      </c>
      <c r="F41" s="21" t="str">
        <f aca="false">IF($B41="","",COUNTIFS(TblApplications[Tribe],$B41,TblApplications[Action],"À décommissionner",TblApplications[Environnement],av_envc,TblApplications[Domaine],av_domc,TblApplications[Tribe],av_tric))</f>
        <v/>
      </c>
      <c r="G41" s="21" t="str">
        <f aca="false">IF($B41="","",COUNTIFS(TblApplications[Tribe],$B41,TblApplications[Action],"Décommissionné",TblApplications[Environnement],av_envc,TblApplications[Domaine],av_domc,TblApplications[Tribe],av_tric))</f>
        <v/>
      </c>
      <c r="H41" s="21" t="str">
        <f aca="false">IF($B41="","",SUM(D41:G41))</f>
        <v/>
      </c>
      <c r="K41" s="21" t="str">
        <f aca="false">IFERROR(IF(INDEX(TblDomaines[Domaine],8)="","",INDEX(TblDomaines[Domaine],8)),"")</f>
        <v/>
      </c>
      <c r="L41" s="21" t="str">
        <f aca="false">IF($K41="","",COUNTIFS(TblApplications[Domaine],$K41,TblApplications[Action],"Migré",TblApplications[Environnement],av_envc,TblApplications[Domaine],av_domc,TblApplications[Tribe],av_tric))</f>
        <v/>
      </c>
      <c r="M41" s="21" t="str">
        <f aca="false">IF($K41="","",COUNTIFS(TblApplications[Domaine],$K41,TblApplications[Action],"À migrer",TblApplications[Environnement],av_envc,TblApplications[Domaine],av_domc,TblApplications[Tribe],av_tric))</f>
        <v/>
      </c>
      <c r="N41" s="21" t="str">
        <f aca="false">IF($K41="","",COUNTIFS(TblApplications[Domaine],$K41,TblApplications[Action],"À décommissionner",TblApplications[Environnement],av_envc,TblApplications[Domaine],av_domc,TblApplications[Tribe],av_tric))</f>
        <v/>
      </c>
      <c r="O41" s="21" t="str">
        <f aca="false">IF($K41="","",COUNTIFS(TblApplications[Domaine],$K41,TblApplications[Action],"Décommissionné",TblApplications[Environnement],av_envc,TblApplications[Domaine],av_domc,TblApplications[Tribe],av_tric))</f>
        <v/>
      </c>
      <c r="P41" s="21" t="str">
        <f aca="false">IF($K41="","",SUM(L41:O41))</f>
        <v/>
      </c>
    </row>
    <row r="42" customFormat="false" ht="15" hidden="false" customHeight="false" outlineLevel="0" collapsed="false">
      <c r="B42" s="21" t="str">
        <f aca="false">IFERROR(IF(INDEX(TblTribes[Tribe],9)="","",INDEX(TblTribes[Tribe],9)),"")</f>
        <v/>
      </c>
      <c r="C42" s="21" t="str">
        <f aca="false">IF($B42="","",INDEX(TblTribes[Domaine de la tribe],9))</f>
        <v/>
      </c>
      <c r="D42" s="21" t="str">
        <f aca="false">IF($B42="","",COUNTIFS(TblApplications[Tribe],$B42,TblApplications[Action],"Migré",TblApplications[Environnement],av_envc,TblApplications[Domaine],av_domc,TblApplications[Tribe],av_tric))</f>
        <v/>
      </c>
      <c r="E42" s="21" t="str">
        <f aca="false">IF($B42="","",COUNTIFS(TblApplications[Tribe],$B42,TblApplications[Action],"À migrer",TblApplications[Environnement],av_envc,TblApplications[Domaine],av_domc,TblApplications[Tribe],av_tric))</f>
        <v/>
      </c>
      <c r="F42" s="21" t="str">
        <f aca="false">IF($B42="","",COUNTIFS(TblApplications[Tribe],$B42,TblApplications[Action],"À décommissionner",TblApplications[Environnement],av_envc,TblApplications[Domaine],av_domc,TblApplications[Tribe],av_tric))</f>
        <v/>
      </c>
      <c r="G42" s="21" t="str">
        <f aca="false">IF($B42="","",COUNTIFS(TblApplications[Tribe],$B42,TblApplications[Action],"Décommissionné",TblApplications[Environnement],av_envc,TblApplications[Domaine],av_domc,TblApplications[Tribe],av_tric))</f>
        <v/>
      </c>
      <c r="H42" s="21" t="str">
        <f aca="false">IF($B42="","",SUM(D42:G42))</f>
        <v/>
      </c>
      <c r="K42" s="21" t="str">
        <f aca="false">IFERROR(IF(INDEX(TblDomaines[Domaine],9)="","",INDEX(TblDomaines[Domaine],9)),"")</f>
        <v/>
      </c>
      <c r="L42" s="21" t="str">
        <f aca="false">IF($K42="","",COUNTIFS(TblApplications[Domaine],$K42,TblApplications[Action],"Migré",TblApplications[Environnement],av_envc,TblApplications[Domaine],av_domc,TblApplications[Tribe],av_tric))</f>
        <v/>
      </c>
      <c r="M42" s="21" t="str">
        <f aca="false">IF($K42="","",COUNTIFS(TblApplications[Domaine],$K42,TblApplications[Action],"À migrer",TblApplications[Environnement],av_envc,TblApplications[Domaine],av_domc,TblApplications[Tribe],av_tric))</f>
        <v/>
      </c>
      <c r="N42" s="21" t="str">
        <f aca="false">IF($K42="","",COUNTIFS(TblApplications[Domaine],$K42,TblApplications[Action],"À décommissionner",TblApplications[Environnement],av_envc,TblApplications[Domaine],av_domc,TblApplications[Tribe],av_tric))</f>
        <v/>
      </c>
      <c r="O42" s="21" t="str">
        <f aca="false">IF($K42="","",COUNTIFS(TblApplications[Domaine],$K42,TblApplications[Action],"Décommissionné",TblApplications[Environnement],av_envc,TblApplications[Domaine],av_domc,TblApplications[Tribe],av_tric))</f>
        <v/>
      </c>
      <c r="P42" s="21" t="str">
        <f aca="false">IF($K42="","",SUM(L42:O42))</f>
        <v/>
      </c>
    </row>
    <row r="43" customFormat="false" ht="15" hidden="false" customHeight="false" outlineLevel="0" collapsed="false">
      <c r="B43" s="21" t="str">
        <f aca="false">IFERROR(IF(INDEX(TblTribes[Tribe],10)="","",INDEX(TblTribes[Tribe],10)),"")</f>
        <v/>
      </c>
      <c r="C43" s="21" t="str">
        <f aca="false">IF($B43="","",INDEX(TblTribes[Domaine de la tribe],10))</f>
        <v/>
      </c>
      <c r="D43" s="21" t="str">
        <f aca="false">IF($B43="","",COUNTIFS(TblApplications[Tribe],$B43,TblApplications[Action],"Migré",TblApplications[Environnement],av_envc,TblApplications[Domaine],av_domc,TblApplications[Tribe],av_tric))</f>
        <v/>
      </c>
      <c r="E43" s="21" t="str">
        <f aca="false">IF($B43="","",COUNTIFS(TblApplications[Tribe],$B43,TblApplications[Action],"À migrer",TblApplications[Environnement],av_envc,TblApplications[Domaine],av_domc,TblApplications[Tribe],av_tric))</f>
        <v/>
      </c>
      <c r="F43" s="21" t="str">
        <f aca="false">IF($B43="","",COUNTIFS(TblApplications[Tribe],$B43,TblApplications[Action],"À décommissionner",TblApplications[Environnement],av_envc,TblApplications[Domaine],av_domc,TblApplications[Tribe],av_tric))</f>
        <v/>
      </c>
      <c r="G43" s="21" t="str">
        <f aca="false">IF($B43="","",COUNTIFS(TblApplications[Tribe],$B43,TblApplications[Action],"Décommissionné",TblApplications[Environnement],av_envc,TblApplications[Domaine],av_domc,TblApplications[Tribe],av_tric))</f>
        <v/>
      </c>
      <c r="H43" s="21" t="str">
        <f aca="false">IF($B43="","",SUM(D43:G43))</f>
        <v/>
      </c>
      <c r="K43" s="21" t="str">
        <f aca="false">IFERROR(IF(INDEX(TblDomaines[Domaine],10)="","",INDEX(TblDomaines[Domaine],10)),"")</f>
        <v/>
      </c>
      <c r="L43" s="21" t="str">
        <f aca="false">IF($K43="","",COUNTIFS(TblApplications[Domaine],$K43,TblApplications[Action],"Migré",TblApplications[Environnement],av_envc,TblApplications[Domaine],av_domc,TblApplications[Tribe],av_tric))</f>
        <v/>
      </c>
      <c r="M43" s="21" t="str">
        <f aca="false">IF($K43="","",COUNTIFS(TblApplications[Domaine],$K43,TblApplications[Action],"À migrer",TblApplications[Environnement],av_envc,TblApplications[Domaine],av_domc,TblApplications[Tribe],av_tric))</f>
        <v/>
      </c>
      <c r="N43" s="21" t="str">
        <f aca="false">IF($K43="","",COUNTIFS(TblApplications[Domaine],$K43,TblApplications[Action],"À décommissionner",TblApplications[Environnement],av_envc,TblApplications[Domaine],av_domc,TblApplications[Tribe],av_tric))</f>
        <v/>
      </c>
      <c r="O43" s="21" t="str">
        <f aca="false">IF($K43="","",COUNTIFS(TblApplications[Domaine],$K43,TblApplications[Action],"Décommissionné",TblApplications[Environnement],av_envc,TblApplications[Domaine],av_domc,TblApplications[Tribe],av_tric))</f>
        <v/>
      </c>
      <c r="P43" s="21" t="str">
        <f aca="false">IF($K43="","",SUM(L43:O43))</f>
        <v/>
      </c>
    </row>
    <row r="44" customFormat="false" ht="15" hidden="false" customHeight="false" outlineLevel="0" collapsed="false">
      <c r="B44" s="21" t="str">
        <f aca="false">IFERROR(IF(INDEX(TblTribes[Tribe],11)="","",INDEX(TblTribes[Tribe],11)),"")</f>
        <v/>
      </c>
      <c r="C44" s="21" t="str">
        <f aca="false">IF($B44="","",INDEX(TblTribes[Domaine de la tribe],11))</f>
        <v/>
      </c>
      <c r="D44" s="21" t="str">
        <f aca="false">IF($B44="","",COUNTIFS(TblApplications[Tribe],$B44,TblApplications[Action],"Migré",TblApplications[Environnement],av_envc,TblApplications[Domaine],av_domc,TblApplications[Tribe],av_tric))</f>
        <v/>
      </c>
      <c r="E44" s="21" t="str">
        <f aca="false">IF($B44="","",COUNTIFS(TblApplications[Tribe],$B44,TblApplications[Action],"À migrer",TblApplications[Environnement],av_envc,TblApplications[Domaine],av_domc,TblApplications[Tribe],av_tric))</f>
        <v/>
      </c>
      <c r="F44" s="21" t="str">
        <f aca="false">IF($B44="","",COUNTIFS(TblApplications[Tribe],$B44,TblApplications[Action],"À décommissionner",TblApplications[Environnement],av_envc,TblApplications[Domaine],av_domc,TblApplications[Tribe],av_tric))</f>
        <v/>
      </c>
      <c r="G44" s="21" t="str">
        <f aca="false">IF($B44="","",COUNTIFS(TblApplications[Tribe],$B44,TblApplications[Action],"Décommissionné",TblApplications[Environnement],av_envc,TblApplications[Domaine],av_domc,TblApplications[Tribe],av_tric))</f>
        <v/>
      </c>
      <c r="H44" s="21" t="str">
        <f aca="false">IF($B44="","",SUM(D44:G44))</f>
        <v/>
      </c>
      <c r="K44" s="21" t="str">
        <f aca="false">IFERROR(IF(INDEX(TblDomaines[Domaine],11)="","",INDEX(TblDomaines[Domaine],11)),"")</f>
        <v/>
      </c>
      <c r="L44" s="21" t="str">
        <f aca="false">IF($K44="","",COUNTIFS(TblApplications[Domaine],$K44,TblApplications[Action],"Migré",TblApplications[Environnement],av_envc,TblApplications[Domaine],av_domc,TblApplications[Tribe],av_tric))</f>
        <v/>
      </c>
      <c r="M44" s="21" t="str">
        <f aca="false">IF($K44="","",COUNTIFS(TblApplications[Domaine],$K44,TblApplications[Action],"À migrer",TblApplications[Environnement],av_envc,TblApplications[Domaine],av_domc,TblApplications[Tribe],av_tric))</f>
        <v/>
      </c>
      <c r="N44" s="21" t="str">
        <f aca="false">IF($K44="","",COUNTIFS(TblApplications[Domaine],$K44,TblApplications[Action],"À décommissionner",TblApplications[Environnement],av_envc,TblApplications[Domaine],av_domc,TblApplications[Tribe],av_tric))</f>
        <v/>
      </c>
      <c r="O44" s="21" t="str">
        <f aca="false">IF($K44="","",COUNTIFS(TblApplications[Domaine],$K44,TblApplications[Action],"Décommissionné",TblApplications[Environnement],av_envc,TblApplications[Domaine],av_domc,TblApplications[Tribe],av_tric))</f>
        <v/>
      </c>
      <c r="P44" s="21" t="str">
        <f aca="false">IF($K44="","",SUM(L44:O44))</f>
        <v/>
      </c>
    </row>
    <row r="45" customFormat="false" ht="15" hidden="false" customHeight="false" outlineLevel="0" collapsed="false">
      <c r="B45" s="21" t="str">
        <f aca="false">IFERROR(IF(INDEX(TblTribes[Tribe],12)="","",INDEX(TblTribes[Tribe],12)),"")</f>
        <v/>
      </c>
      <c r="C45" s="21" t="str">
        <f aca="false">IF($B45="","",INDEX(TblTribes[Domaine de la tribe],12))</f>
        <v/>
      </c>
      <c r="D45" s="21" t="str">
        <f aca="false">IF($B45="","",COUNTIFS(TblApplications[Tribe],$B45,TblApplications[Action],"Migré",TblApplications[Environnement],av_envc,TblApplications[Domaine],av_domc,TblApplications[Tribe],av_tric))</f>
        <v/>
      </c>
      <c r="E45" s="21" t="str">
        <f aca="false">IF($B45="","",COUNTIFS(TblApplications[Tribe],$B45,TblApplications[Action],"À migrer",TblApplications[Environnement],av_envc,TblApplications[Domaine],av_domc,TblApplications[Tribe],av_tric))</f>
        <v/>
      </c>
      <c r="F45" s="21" t="str">
        <f aca="false">IF($B45="","",COUNTIFS(TblApplications[Tribe],$B45,TblApplications[Action],"À décommissionner",TblApplications[Environnement],av_envc,TblApplications[Domaine],av_domc,TblApplications[Tribe],av_tric))</f>
        <v/>
      </c>
      <c r="G45" s="21" t="str">
        <f aca="false">IF($B45="","",COUNTIFS(TblApplications[Tribe],$B45,TblApplications[Action],"Décommissionné",TblApplications[Environnement],av_envc,TblApplications[Domaine],av_domc,TblApplications[Tribe],av_tric))</f>
        <v/>
      </c>
      <c r="H45" s="21" t="str">
        <f aca="false">IF($B45="","",SUM(D45:G45))</f>
        <v/>
      </c>
      <c r="K45" s="21" t="str">
        <f aca="false">IFERROR(IF(INDEX(TblDomaines[Domaine],12)="","",INDEX(TblDomaines[Domaine],12)),"")</f>
        <v/>
      </c>
      <c r="L45" s="21" t="str">
        <f aca="false">IF($K45="","",COUNTIFS(TblApplications[Domaine],$K45,TblApplications[Action],"Migré",TblApplications[Environnement],av_envc,TblApplications[Domaine],av_domc,TblApplications[Tribe],av_tric))</f>
        <v/>
      </c>
      <c r="M45" s="21" t="str">
        <f aca="false">IF($K45="","",COUNTIFS(TblApplications[Domaine],$K45,TblApplications[Action],"À migrer",TblApplications[Environnement],av_envc,TblApplications[Domaine],av_domc,TblApplications[Tribe],av_tric))</f>
        <v/>
      </c>
      <c r="N45" s="21" t="str">
        <f aca="false">IF($K45="","",COUNTIFS(TblApplications[Domaine],$K45,TblApplications[Action],"À décommissionner",TblApplications[Environnement],av_envc,TblApplications[Domaine],av_domc,TblApplications[Tribe],av_tric))</f>
        <v/>
      </c>
      <c r="O45" s="21" t="str">
        <f aca="false">IF($K45="","",COUNTIFS(TblApplications[Domaine],$K45,TblApplications[Action],"Décommissionné",TblApplications[Environnement],av_envc,TblApplications[Domaine],av_domc,TblApplications[Tribe],av_tric))</f>
        <v/>
      </c>
      <c r="P45" s="21" t="str">
        <f aca="false">IF($K45="","",SUM(L45:O45))</f>
        <v/>
      </c>
    </row>
    <row r="46" customFormat="false" ht="15" hidden="false" customHeight="false" outlineLevel="0" collapsed="false">
      <c r="B46" s="21" t="str">
        <f aca="false">IFERROR(IF(INDEX(TblTribes[Tribe],13)="","",INDEX(TblTribes[Tribe],13)),"")</f>
        <v/>
      </c>
      <c r="C46" s="21" t="str">
        <f aca="false">IF($B46="","",INDEX(TblTribes[Domaine de la tribe],13))</f>
        <v/>
      </c>
      <c r="D46" s="21" t="str">
        <f aca="false">IF($B46="","",COUNTIFS(TblApplications[Tribe],$B46,TblApplications[Action],"Migré",TblApplications[Environnement],av_envc,TblApplications[Domaine],av_domc,TblApplications[Tribe],av_tric))</f>
        <v/>
      </c>
      <c r="E46" s="21" t="str">
        <f aca="false">IF($B46="","",COUNTIFS(TblApplications[Tribe],$B46,TblApplications[Action],"À migrer",TblApplications[Environnement],av_envc,TblApplications[Domaine],av_domc,TblApplications[Tribe],av_tric))</f>
        <v/>
      </c>
      <c r="F46" s="21" t="str">
        <f aca="false">IF($B46="","",COUNTIFS(TblApplications[Tribe],$B46,TblApplications[Action],"À décommissionner",TblApplications[Environnement],av_envc,TblApplications[Domaine],av_domc,TblApplications[Tribe],av_tric))</f>
        <v/>
      </c>
      <c r="G46" s="21" t="str">
        <f aca="false">IF($B46="","",COUNTIFS(TblApplications[Tribe],$B46,TblApplications[Action],"Décommissionné",TblApplications[Environnement],av_envc,TblApplications[Domaine],av_domc,TblApplications[Tribe],av_tric))</f>
        <v/>
      </c>
      <c r="H46" s="21" t="str">
        <f aca="false">IF($B46="","",SUM(D46:G46))</f>
        <v/>
      </c>
      <c r="K46" s="21" t="str">
        <f aca="false">IFERROR(IF(INDEX(TblDomaines[Domaine],13)="","",INDEX(TblDomaines[Domaine],13)),"")</f>
        <v/>
      </c>
      <c r="L46" s="21" t="str">
        <f aca="false">IF($K46="","",COUNTIFS(TblApplications[Domaine],$K46,TblApplications[Action],"Migré",TblApplications[Environnement],av_envc,TblApplications[Domaine],av_domc,TblApplications[Tribe],av_tric))</f>
        <v/>
      </c>
      <c r="M46" s="21" t="str">
        <f aca="false">IF($K46="","",COUNTIFS(TblApplications[Domaine],$K46,TblApplications[Action],"À migrer",TblApplications[Environnement],av_envc,TblApplications[Domaine],av_domc,TblApplications[Tribe],av_tric))</f>
        <v/>
      </c>
      <c r="N46" s="21" t="str">
        <f aca="false">IF($K46="","",COUNTIFS(TblApplications[Domaine],$K46,TblApplications[Action],"À décommissionner",TblApplications[Environnement],av_envc,TblApplications[Domaine],av_domc,TblApplications[Tribe],av_tric))</f>
        <v/>
      </c>
      <c r="O46" s="21" t="str">
        <f aca="false">IF($K46="","",COUNTIFS(TblApplications[Domaine],$K46,TblApplications[Action],"Décommissionné",TblApplications[Environnement],av_envc,TblApplications[Domaine],av_domc,TblApplications[Tribe],av_tric))</f>
        <v/>
      </c>
      <c r="P46" s="21" t="str">
        <f aca="false">IF($K46="","",SUM(L46:O46))</f>
        <v/>
      </c>
    </row>
    <row r="47" customFormat="false" ht="15" hidden="false" customHeight="false" outlineLevel="0" collapsed="false">
      <c r="B47" s="21" t="str">
        <f aca="false">IFERROR(IF(INDEX(TblTribes[Tribe],14)="","",INDEX(TblTribes[Tribe],14)),"")</f>
        <v/>
      </c>
      <c r="C47" s="21" t="str">
        <f aca="false">IF($B47="","",INDEX(TblTribes[Domaine de la tribe],14))</f>
        <v/>
      </c>
      <c r="D47" s="21" t="str">
        <f aca="false">IF($B47="","",COUNTIFS(TblApplications[Tribe],$B47,TblApplications[Action],"Migré",TblApplications[Environnement],av_envc,TblApplications[Domaine],av_domc,TblApplications[Tribe],av_tric))</f>
        <v/>
      </c>
      <c r="E47" s="21" t="str">
        <f aca="false">IF($B47="","",COUNTIFS(TblApplications[Tribe],$B47,TblApplications[Action],"À migrer",TblApplications[Environnement],av_envc,TblApplications[Domaine],av_domc,TblApplications[Tribe],av_tric))</f>
        <v/>
      </c>
      <c r="F47" s="21" t="str">
        <f aca="false">IF($B47="","",COUNTIFS(TblApplications[Tribe],$B47,TblApplications[Action],"À décommissionner",TblApplications[Environnement],av_envc,TblApplications[Domaine],av_domc,TblApplications[Tribe],av_tric))</f>
        <v/>
      </c>
      <c r="G47" s="21" t="str">
        <f aca="false">IF($B47="","",COUNTIFS(TblApplications[Tribe],$B47,TblApplications[Action],"Décommissionné",TblApplications[Environnement],av_envc,TblApplications[Domaine],av_domc,TblApplications[Tribe],av_tric))</f>
        <v/>
      </c>
      <c r="H47" s="21" t="str">
        <f aca="false">IF($B47="","",SUM(D47:G47))</f>
        <v/>
      </c>
      <c r="K47" s="21" t="str">
        <f aca="false">IFERROR(IF(INDEX(TblDomaines[Domaine],14)="","",INDEX(TblDomaines[Domaine],14)),"")</f>
        <v/>
      </c>
      <c r="L47" s="21" t="str">
        <f aca="false">IF($K47="","",COUNTIFS(TblApplications[Domaine],$K47,TblApplications[Action],"Migré",TblApplications[Environnement],av_envc,TblApplications[Domaine],av_domc,TblApplications[Tribe],av_tric))</f>
        <v/>
      </c>
      <c r="M47" s="21" t="str">
        <f aca="false">IF($K47="","",COUNTIFS(TblApplications[Domaine],$K47,TblApplications[Action],"À migrer",TblApplications[Environnement],av_envc,TblApplications[Domaine],av_domc,TblApplications[Tribe],av_tric))</f>
        <v/>
      </c>
      <c r="N47" s="21" t="str">
        <f aca="false">IF($K47="","",COUNTIFS(TblApplications[Domaine],$K47,TblApplications[Action],"À décommissionner",TblApplications[Environnement],av_envc,TblApplications[Domaine],av_domc,TblApplications[Tribe],av_tric))</f>
        <v/>
      </c>
      <c r="O47" s="21" t="str">
        <f aca="false">IF($K47="","",COUNTIFS(TblApplications[Domaine],$K47,TblApplications[Action],"Décommissionné",TblApplications[Environnement],av_envc,TblApplications[Domaine],av_domc,TblApplications[Tribe],av_tric))</f>
        <v/>
      </c>
      <c r="P47" s="21" t="str">
        <f aca="false">IF($K47="","",SUM(L47:O47))</f>
        <v/>
      </c>
    </row>
    <row r="48" customFormat="false" ht="15" hidden="false" customHeight="false" outlineLevel="0" collapsed="false">
      <c r="B48" s="21" t="str">
        <f aca="false">IFERROR(IF(INDEX(TblTribes[Tribe],15)="","",INDEX(TblTribes[Tribe],15)),"")</f>
        <v/>
      </c>
      <c r="C48" s="21" t="str">
        <f aca="false">IF($B48="","",INDEX(TblTribes[Domaine de la tribe],15))</f>
        <v/>
      </c>
      <c r="D48" s="21" t="str">
        <f aca="false">IF($B48="","",COUNTIFS(TblApplications[Tribe],$B48,TblApplications[Action],"Migré",TblApplications[Environnement],av_envc,TblApplications[Domaine],av_domc,TblApplications[Tribe],av_tric))</f>
        <v/>
      </c>
      <c r="E48" s="21" t="str">
        <f aca="false">IF($B48="","",COUNTIFS(TblApplications[Tribe],$B48,TblApplications[Action],"À migrer",TblApplications[Environnement],av_envc,TblApplications[Domaine],av_domc,TblApplications[Tribe],av_tric))</f>
        <v/>
      </c>
      <c r="F48" s="21" t="str">
        <f aca="false">IF($B48="","",COUNTIFS(TblApplications[Tribe],$B48,TblApplications[Action],"À décommissionner",TblApplications[Environnement],av_envc,TblApplications[Domaine],av_domc,TblApplications[Tribe],av_tric))</f>
        <v/>
      </c>
      <c r="G48" s="21" t="str">
        <f aca="false">IF($B48="","",COUNTIFS(TblApplications[Tribe],$B48,TblApplications[Action],"Décommissionné",TblApplications[Environnement],av_envc,TblApplications[Domaine],av_domc,TblApplications[Tribe],av_tric))</f>
        <v/>
      </c>
      <c r="H48" s="21" t="str">
        <f aca="false">IF($B48="","",SUM(D48:G48))</f>
        <v/>
      </c>
      <c r="K48" s="21" t="str">
        <f aca="false">IFERROR(IF(INDEX(TblDomaines[Domaine],15)="","",INDEX(TblDomaines[Domaine],15)),"")</f>
        <v/>
      </c>
      <c r="L48" s="21" t="str">
        <f aca="false">IF($K48="","",COUNTIFS(TblApplications[Domaine],$K48,TblApplications[Action],"Migré",TblApplications[Environnement],av_envc,TblApplications[Domaine],av_domc,TblApplications[Tribe],av_tric))</f>
        <v/>
      </c>
      <c r="M48" s="21" t="str">
        <f aca="false">IF($K48="","",COUNTIFS(TblApplications[Domaine],$K48,TblApplications[Action],"À migrer",TblApplications[Environnement],av_envc,TblApplications[Domaine],av_domc,TblApplications[Tribe],av_tric))</f>
        <v/>
      </c>
      <c r="N48" s="21" t="str">
        <f aca="false">IF($K48="","",COUNTIFS(TblApplications[Domaine],$K48,TblApplications[Action],"À décommissionner",TblApplications[Environnement],av_envc,TblApplications[Domaine],av_domc,TblApplications[Tribe],av_tric))</f>
        <v/>
      </c>
      <c r="O48" s="21" t="str">
        <f aca="false">IF($K48="","",COUNTIFS(TblApplications[Domaine],$K48,TblApplications[Action],"Décommissionné",TblApplications[Environnement],av_envc,TblApplications[Domaine],av_domc,TblApplications[Tribe],av_tric))</f>
        <v/>
      </c>
      <c r="P48" s="21" t="str">
        <f aca="false">IF($K48="","",SUM(L48:O48))</f>
        <v/>
      </c>
    </row>
    <row r="49" customFormat="false" ht="15" hidden="false" customHeight="false" outlineLevel="0" collapsed="false">
      <c r="B49" s="21" t="str">
        <f aca="false">IFERROR(IF(INDEX(TblTribes[Tribe],16)="","",INDEX(TblTribes[Tribe],16)),"")</f>
        <v/>
      </c>
      <c r="C49" s="21" t="str">
        <f aca="false">IF($B49="","",INDEX(TblTribes[Domaine de la tribe],16))</f>
        <v/>
      </c>
      <c r="D49" s="21" t="str">
        <f aca="false">IF($B49="","",COUNTIFS(TblApplications[Tribe],$B49,TblApplications[Action],"Migré",TblApplications[Environnement],av_envc,TblApplications[Domaine],av_domc,TblApplications[Tribe],av_tric))</f>
        <v/>
      </c>
      <c r="E49" s="21" t="str">
        <f aca="false">IF($B49="","",COUNTIFS(TblApplications[Tribe],$B49,TblApplications[Action],"À migrer",TblApplications[Environnement],av_envc,TblApplications[Domaine],av_domc,TblApplications[Tribe],av_tric))</f>
        <v/>
      </c>
      <c r="F49" s="21" t="str">
        <f aca="false">IF($B49="","",COUNTIFS(TblApplications[Tribe],$B49,TblApplications[Action],"À décommissionner",TblApplications[Environnement],av_envc,TblApplications[Domaine],av_domc,TblApplications[Tribe],av_tric))</f>
        <v/>
      </c>
      <c r="G49" s="21" t="str">
        <f aca="false">IF($B49="","",COUNTIFS(TblApplications[Tribe],$B49,TblApplications[Action],"Décommissionné",TblApplications[Environnement],av_envc,TblApplications[Domaine],av_domc,TblApplications[Tribe],av_tric))</f>
        <v/>
      </c>
      <c r="H49" s="21" t="str">
        <f aca="false">IF($B49="","",SUM(D49:G49))</f>
        <v/>
      </c>
      <c r="K49" s="21" t="str">
        <f aca="false">IFERROR(IF(INDEX(TblDomaines[Domaine],16)="","",INDEX(TblDomaines[Domaine],16)),"")</f>
        <v/>
      </c>
      <c r="L49" s="21" t="str">
        <f aca="false">IF($K49="","",COUNTIFS(TblApplications[Domaine],$K49,TblApplications[Action],"Migré",TblApplications[Environnement],av_envc,TblApplications[Domaine],av_domc,TblApplications[Tribe],av_tric))</f>
        <v/>
      </c>
      <c r="M49" s="21" t="str">
        <f aca="false">IF($K49="","",COUNTIFS(TblApplications[Domaine],$K49,TblApplications[Action],"À migrer",TblApplications[Environnement],av_envc,TblApplications[Domaine],av_domc,TblApplications[Tribe],av_tric))</f>
        <v/>
      </c>
      <c r="N49" s="21" t="str">
        <f aca="false">IF($K49="","",COUNTIFS(TblApplications[Domaine],$K49,TblApplications[Action],"À décommissionner",TblApplications[Environnement],av_envc,TblApplications[Domaine],av_domc,TblApplications[Tribe],av_tric))</f>
        <v/>
      </c>
      <c r="O49" s="21" t="str">
        <f aca="false">IF($K49="","",COUNTIFS(TblApplications[Domaine],$K49,TblApplications[Action],"Décommissionné",TblApplications[Environnement],av_envc,TblApplications[Domaine],av_domc,TblApplications[Tribe],av_tric))</f>
        <v/>
      </c>
      <c r="P49" s="21" t="str">
        <f aca="false">IF($K49="","",SUM(L49:O49))</f>
        <v/>
      </c>
    </row>
    <row r="50" customFormat="false" ht="15" hidden="false" customHeight="false" outlineLevel="0" collapsed="false">
      <c r="B50" s="21" t="str">
        <f aca="false">IFERROR(IF(INDEX(TblTribes[Tribe],17)="","",INDEX(TblTribes[Tribe],17)),"")</f>
        <v/>
      </c>
      <c r="C50" s="21" t="str">
        <f aca="false">IF($B50="","",INDEX(TblTribes[Domaine de la tribe],17))</f>
        <v/>
      </c>
      <c r="D50" s="21" t="str">
        <f aca="false">IF($B50="","",COUNTIFS(TblApplications[Tribe],$B50,TblApplications[Action],"Migré",TblApplications[Environnement],av_envc,TblApplications[Domaine],av_domc,TblApplications[Tribe],av_tric))</f>
        <v/>
      </c>
      <c r="E50" s="21" t="str">
        <f aca="false">IF($B50="","",COUNTIFS(TblApplications[Tribe],$B50,TblApplications[Action],"À migrer",TblApplications[Environnement],av_envc,TblApplications[Domaine],av_domc,TblApplications[Tribe],av_tric))</f>
        <v/>
      </c>
      <c r="F50" s="21" t="str">
        <f aca="false">IF($B50="","",COUNTIFS(TblApplications[Tribe],$B50,TblApplications[Action],"À décommissionner",TblApplications[Environnement],av_envc,TblApplications[Domaine],av_domc,TblApplications[Tribe],av_tric))</f>
        <v/>
      </c>
      <c r="G50" s="21" t="str">
        <f aca="false">IF($B50="","",COUNTIFS(TblApplications[Tribe],$B50,TblApplications[Action],"Décommissionné",TblApplications[Environnement],av_envc,TblApplications[Domaine],av_domc,TblApplications[Tribe],av_tric))</f>
        <v/>
      </c>
      <c r="H50" s="21" t="str">
        <f aca="false">IF($B50="","",SUM(D50:G50))</f>
        <v/>
      </c>
      <c r="K50" s="21" t="str">
        <f aca="false">IFERROR(IF(INDEX(TblDomaines[Domaine],17)="","",INDEX(TblDomaines[Domaine],17)),"")</f>
        <v/>
      </c>
      <c r="L50" s="21" t="str">
        <f aca="false">IF($K50="","",COUNTIFS(TblApplications[Domaine],$K50,TblApplications[Action],"Migré",TblApplications[Environnement],av_envc,TblApplications[Domaine],av_domc,TblApplications[Tribe],av_tric))</f>
        <v/>
      </c>
      <c r="M50" s="21" t="str">
        <f aca="false">IF($K50="","",COUNTIFS(TblApplications[Domaine],$K50,TblApplications[Action],"À migrer",TblApplications[Environnement],av_envc,TblApplications[Domaine],av_domc,TblApplications[Tribe],av_tric))</f>
        <v/>
      </c>
      <c r="N50" s="21" t="str">
        <f aca="false">IF($K50="","",COUNTIFS(TblApplications[Domaine],$K50,TblApplications[Action],"À décommissionner",TblApplications[Environnement],av_envc,TblApplications[Domaine],av_domc,TblApplications[Tribe],av_tric))</f>
        <v/>
      </c>
      <c r="O50" s="21" t="str">
        <f aca="false">IF($K50="","",COUNTIFS(TblApplications[Domaine],$K50,TblApplications[Action],"Décommissionné",TblApplications[Environnement],av_envc,TblApplications[Domaine],av_domc,TblApplications[Tribe],av_tric))</f>
        <v/>
      </c>
      <c r="P50" s="21" t="str">
        <f aca="false">IF($K50="","",SUM(L50:O50))</f>
        <v/>
      </c>
    </row>
    <row r="51" customFormat="false" ht="15" hidden="false" customHeight="false" outlineLevel="0" collapsed="false">
      <c r="B51" s="21" t="str">
        <f aca="false">IFERROR(IF(INDEX(TblTribes[Tribe],18)="","",INDEX(TblTribes[Tribe],18)),"")</f>
        <v/>
      </c>
      <c r="C51" s="21" t="str">
        <f aca="false">IF($B51="","",INDEX(TblTribes[Domaine de la tribe],18))</f>
        <v/>
      </c>
      <c r="D51" s="21" t="str">
        <f aca="false">IF($B51="","",COUNTIFS(TblApplications[Tribe],$B51,TblApplications[Action],"Migré",TblApplications[Environnement],av_envc,TblApplications[Domaine],av_domc,TblApplications[Tribe],av_tric))</f>
        <v/>
      </c>
      <c r="E51" s="21" t="str">
        <f aca="false">IF($B51="","",COUNTIFS(TblApplications[Tribe],$B51,TblApplications[Action],"À migrer",TblApplications[Environnement],av_envc,TblApplications[Domaine],av_domc,TblApplications[Tribe],av_tric))</f>
        <v/>
      </c>
      <c r="F51" s="21" t="str">
        <f aca="false">IF($B51="","",COUNTIFS(TblApplications[Tribe],$B51,TblApplications[Action],"À décommissionner",TblApplications[Environnement],av_envc,TblApplications[Domaine],av_domc,TblApplications[Tribe],av_tric))</f>
        <v/>
      </c>
      <c r="G51" s="21" t="str">
        <f aca="false">IF($B51="","",COUNTIFS(TblApplications[Tribe],$B51,TblApplications[Action],"Décommissionné",TblApplications[Environnement],av_envc,TblApplications[Domaine],av_domc,TblApplications[Tribe],av_tric))</f>
        <v/>
      </c>
      <c r="H51" s="21" t="str">
        <f aca="false">IF($B51="","",SUM(D51:G51))</f>
        <v/>
      </c>
      <c r="K51" s="21" t="str">
        <f aca="false">IFERROR(IF(INDEX(TblDomaines[Domaine],18)="","",INDEX(TblDomaines[Domaine],18)),"")</f>
        <v/>
      </c>
      <c r="L51" s="21" t="str">
        <f aca="false">IF($K51="","",COUNTIFS(TblApplications[Domaine],$K51,TblApplications[Action],"Migré",TblApplications[Environnement],av_envc,TblApplications[Domaine],av_domc,TblApplications[Tribe],av_tric))</f>
        <v/>
      </c>
      <c r="M51" s="21" t="str">
        <f aca="false">IF($K51="","",COUNTIFS(TblApplications[Domaine],$K51,TblApplications[Action],"À migrer",TblApplications[Environnement],av_envc,TblApplications[Domaine],av_domc,TblApplications[Tribe],av_tric))</f>
        <v/>
      </c>
      <c r="N51" s="21" t="str">
        <f aca="false">IF($K51="","",COUNTIFS(TblApplications[Domaine],$K51,TblApplications[Action],"À décommissionner",TblApplications[Environnement],av_envc,TblApplications[Domaine],av_domc,TblApplications[Tribe],av_tric))</f>
        <v/>
      </c>
      <c r="O51" s="21" t="str">
        <f aca="false">IF($K51="","",COUNTIFS(TblApplications[Domaine],$K51,TblApplications[Action],"Décommissionné",TblApplications[Environnement],av_envc,TblApplications[Domaine],av_domc,TblApplications[Tribe],av_tric))</f>
        <v/>
      </c>
      <c r="P51" s="21" t="str">
        <f aca="false">IF($K51="","",SUM(L51:O51))</f>
        <v/>
      </c>
    </row>
    <row r="52" customFormat="false" ht="15" hidden="false" customHeight="false" outlineLevel="0" collapsed="false">
      <c r="B52" s="21" t="str">
        <f aca="false">IFERROR(IF(INDEX(TblTribes[Tribe],19)="","",INDEX(TblTribes[Tribe],19)),"")</f>
        <v/>
      </c>
      <c r="C52" s="21" t="str">
        <f aca="false">IF($B52="","",INDEX(TblTribes[Domaine de la tribe],19))</f>
        <v/>
      </c>
      <c r="D52" s="21" t="str">
        <f aca="false">IF($B52="","",COUNTIFS(TblApplications[Tribe],$B52,TblApplications[Action],"Migré",TblApplications[Environnement],av_envc,TblApplications[Domaine],av_domc,TblApplications[Tribe],av_tric))</f>
        <v/>
      </c>
      <c r="E52" s="21" t="str">
        <f aca="false">IF($B52="","",COUNTIFS(TblApplications[Tribe],$B52,TblApplications[Action],"À migrer",TblApplications[Environnement],av_envc,TblApplications[Domaine],av_domc,TblApplications[Tribe],av_tric))</f>
        <v/>
      </c>
      <c r="F52" s="21" t="str">
        <f aca="false">IF($B52="","",COUNTIFS(TblApplications[Tribe],$B52,TblApplications[Action],"À décommissionner",TblApplications[Environnement],av_envc,TblApplications[Domaine],av_domc,TblApplications[Tribe],av_tric))</f>
        <v/>
      </c>
      <c r="G52" s="21" t="str">
        <f aca="false">IF($B52="","",COUNTIFS(TblApplications[Tribe],$B52,TblApplications[Action],"Décommissionné",TblApplications[Environnement],av_envc,TblApplications[Domaine],av_domc,TblApplications[Tribe],av_tric))</f>
        <v/>
      </c>
      <c r="H52" s="21" t="str">
        <f aca="false">IF($B52="","",SUM(D52:G52))</f>
        <v/>
      </c>
      <c r="K52" s="21" t="str">
        <f aca="false">IFERROR(IF(INDEX(TblDomaines[Domaine],19)="","",INDEX(TblDomaines[Domaine],19)),"")</f>
        <v/>
      </c>
      <c r="L52" s="21" t="str">
        <f aca="false">IF($K52="","",COUNTIFS(TblApplications[Domaine],$K52,TblApplications[Action],"Migré",TblApplications[Environnement],av_envc,TblApplications[Domaine],av_domc,TblApplications[Tribe],av_tric))</f>
        <v/>
      </c>
      <c r="M52" s="21" t="str">
        <f aca="false">IF($K52="","",COUNTIFS(TblApplications[Domaine],$K52,TblApplications[Action],"À migrer",TblApplications[Environnement],av_envc,TblApplications[Domaine],av_domc,TblApplications[Tribe],av_tric))</f>
        <v/>
      </c>
      <c r="N52" s="21" t="str">
        <f aca="false">IF($K52="","",COUNTIFS(TblApplications[Domaine],$K52,TblApplications[Action],"À décommissionner",TblApplications[Environnement],av_envc,TblApplications[Domaine],av_domc,TblApplications[Tribe],av_tric))</f>
        <v/>
      </c>
      <c r="O52" s="21" t="str">
        <f aca="false">IF($K52="","",COUNTIFS(TblApplications[Domaine],$K52,TblApplications[Action],"Décommissionné",TblApplications[Environnement],av_envc,TblApplications[Domaine],av_domc,TblApplications[Tribe],av_tric))</f>
        <v/>
      </c>
      <c r="P52" s="21" t="str">
        <f aca="false">IF($K52="","",SUM(L52:O52))</f>
        <v/>
      </c>
    </row>
    <row r="53" customFormat="false" ht="15" hidden="false" customHeight="false" outlineLevel="0" collapsed="false">
      <c r="B53" s="21" t="str">
        <f aca="false">IFERROR(IF(INDEX(TblTribes[Tribe],20)="","",INDEX(TblTribes[Tribe],20)),"")</f>
        <v/>
      </c>
      <c r="C53" s="21" t="str">
        <f aca="false">IF($B53="","",INDEX(TblTribes[Domaine de la tribe],20))</f>
        <v/>
      </c>
      <c r="D53" s="21" t="str">
        <f aca="false">IF($B53="","",COUNTIFS(TblApplications[Tribe],$B53,TblApplications[Action],"Migré",TblApplications[Environnement],av_envc,TblApplications[Domaine],av_domc,TblApplications[Tribe],av_tric))</f>
        <v/>
      </c>
      <c r="E53" s="21" t="str">
        <f aca="false">IF($B53="","",COUNTIFS(TblApplications[Tribe],$B53,TblApplications[Action],"À migrer",TblApplications[Environnement],av_envc,TblApplications[Domaine],av_domc,TblApplications[Tribe],av_tric))</f>
        <v/>
      </c>
      <c r="F53" s="21" t="str">
        <f aca="false">IF($B53="","",COUNTIFS(TblApplications[Tribe],$B53,TblApplications[Action],"À décommissionner",TblApplications[Environnement],av_envc,TblApplications[Domaine],av_domc,TblApplications[Tribe],av_tric))</f>
        <v/>
      </c>
      <c r="G53" s="21" t="str">
        <f aca="false">IF($B53="","",COUNTIFS(TblApplications[Tribe],$B53,TblApplications[Action],"Décommissionné",TblApplications[Environnement],av_envc,TblApplications[Domaine],av_domc,TblApplications[Tribe],av_tric))</f>
        <v/>
      </c>
      <c r="H53" s="21" t="str">
        <f aca="false">IF($B53="","",SUM(D53:G53))</f>
        <v/>
      </c>
      <c r="K53" s="21" t="str">
        <f aca="false">IFERROR(IF(INDEX(TblDomaines[Domaine],20)="","",INDEX(TblDomaines[Domaine],20)),"")</f>
        <v/>
      </c>
      <c r="L53" s="21" t="str">
        <f aca="false">IF($K53="","",COUNTIFS(TblApplications[Domaine],$K53,TblApplications[Action],"Migré",TblApplications[Environnement],av_envc,TblApplications[Domaine],av_domc,TblApplications[Tribe],av_tric))</f>
        <v/>
      </c>
      <c r="M53" s="21" t="str">
        <f aca="false">IF($K53="","",COUNTIFS(TblApplications[Domaine],$K53,TblApplications[Action],"À migrer",TblApplications[Environnement],av_envc,TblApplications[Domaine],av_domc,TblApplications[Tribe],av_tric))</f>
        <v/>
      </c>
      <c r="N53" s="21" t="str">
        <f aca="false">IF($K53="","",COUNTIFS(TblApplications[Domaine],$K53,TblApplications[Action],"À décommissionner",TblApplications[Environnement],av_envc,TblApplications[Domaine],av_domc,TblApplications[Tribe],av_tric))</f>
        <v/>
      </c>
      <c r="O53" s="21" t="str">
        <f aca="false">IF($K53="","",COUNTIFS(TblApplications[Domaine],$K53,TblApplications[Action],"Décommissionné",TblApplications[Environnement],av_envc,TblApplications[Domaine],av_domc,TblApplications[Tribe],av_tric))</f>
        <v/>
      </c>
      <c r="P53" s="21" t="str">
        <f aca="false">IF($K53="","",SUM(L53:O53))</f>
        <v/>
      </c>
    </row>
    <row r="54" customFormat="false" ht="15" hidden="false" customHeight="false" outlineLevel="0" collapsed="false">
      <c r="B54" s="21" t="str">
        <f aca="false">IFERROR(IF(INDEX(TblTribes[Tribe],21)="","",INDEX(TblTribes[Tribe],21)),"")</f>
        <v/>
      </c>
      <c r="C54" s="21" t="str">
        <f aca="false">IF($B54="","",INDEX(TblTribes[Domaine de la tribe],21))</f>
        <v/>
      </c>
      <c r="D54" s="21" t="str">
        <f aca="false">IF($B54="","",COUNTIFS(TblApplications[Tribe],$B54,TblApplications[Action],"Migré",TblApplications[Environnement],av_envc,TblApplications[Domaine],av_domc,TblApplications[Tribe],av_tric))</f>
        <v/>
      </c>
      <c r="E54" s="21" t="str">
        <f aca="false">IF($B54="","",COUNTIFS(TblApplications[Tribe],$B54,TblApplications[Action],"À migrer",TblApplications[Environnement],av_envc,TblApplications[Domaine],av_domc,TblApplications[Tribe],av_tric))</f>
        <v/>
      </c>
      <c r="F54" s="21" t="str">
        <f aca="false">IF($B54="","",COUNTIFS(TblApplications[Tribe],$B54,TblApplications[Action],"À décommissionner",TblApplications[Environnement],av_envc,TblApplications[Domaine],av_domc,TblApplications[Tribe],av_tric))</f>
        <v/>
      </c>
      <c r="G54" s="21" t="str">
        <f aca="false">IF($B54="","",COUNTIFS(TblApplications[Tribe],$B54,TblApplications[Action],"Décommissionné",TblApplications[Environnement],av_envc,TblApplications[Domaine],av_domc,TblApplications[Tribe],av_tric))</f>
        <v/>
      </c>
      <c r="H54" s="21" t="str">
        <f aca="false">IF($B54="","",SUM(D54:G54))</f>
        <v/>
      </c>
    </row>
    <row r="55" customFormat="false" ht="15" hidden="false" customHeight="false" outlineLevel="0" collapsed="false">
      <c r="B55" s="21" t="str">
        <f aca="false">IFERROR(IF(INDEX(TblTribes[Tribe],22)="","",INDEX(TblTribes[Tribe],22)),"")</f>
        <v/>
      </c>
      <c r="C55" s="21" t="str">
        <f aca="false">IF($B55="","",INDEX(TblTribes[Domaine de la tribe],22))</f>
        <v/>
      </c>
      <c r="D55" s="21" t="str">
        <f aca="false">IF($B55="","",COUNTIFS(TblApplications[Tribe],$B55,TblApplications[Action],"Migré",TblApplications[Environnement],av_envc,TblApplications[Domaine],av_domc,TblApplications[Tribe],av_tric))</f>
        <v/>
      </c>
      <c r="E55" s="21" t="str">
        <f aca="false">IF($B55="","",COUNTIFS(TblApplications[Tribe],$B55,TblApplications[Action],"À migrer",TblApplications[Environnement],av_envc,TblApplications[Domaine],av_domc,TblApplications[Tribe],av_tric))</f>
        <v/>
      </c>
      <c r="F55" s="21" t="str">
        <f aca="false">IF($B55="","",COUNTIFS(TblApplications[Tribe],$B55,TblApplications[Action],"À décommissionner",TblApplications[Environnement],av_envc,TblApplications[Domaine],av_domc,TblApplications[Tribe],av_tric))</f>
        <v/>
      </c>
      <c r="G55" s="21" t="str">
        <f aca="false">IF($B55="","",COUNTIFS(TblApplications[Tribe],$B55,TblApplications[Action],"Décommissionné",TblApplications[Environnement],av_envc,TblApplications[Domaine],av_domc,TblApplications[Tribe],av_tric))</f>
        <v/>
      </c>
      <c r="H55" s="21" t="str">
        <f aca="false">IF($B55="","",SUM(D55:G55))</f>
        <v/>
      </c>
    </row>
    <row r="56" customFormat="false" ht="30" hidden="false" customHeight="true" outlineLevel="0" collapsed="false">
      <c r="B56" s="21" t="str">
        <f aca="false">IFERROR(IF(INDEX(TblTribes[Tribe],23)="","",INDEX(TblTribes[Tribe],23)),"")</f>
        <v/>
      </c>
      <c r="C56" s="21" t="str">
        <f aca="false">IF($B56="","",INDEX(TblTribes[Domaine de la tribe],23))</f>
        <v/>
      </c>
      <c r="D56" s="21" t="str">
        <f aca="false">IF($B56="","",COUNTIFS(TblApplications[Tribe],$B56,TblApplications[Action],"Migré",TblApplications[Environnement],av_envc,TblApplications[Domaine],av_domc,TblApplications[Tribe],av_tric))</f>
        <v/>
      </c>
      <c r="E56" s="21" t="str">
        <f aca="false">IF($B56="","",COUNTIFS(TblApplications[Tribe],$B56,TblApplications[Action],"À migrer",TblApplications[Environnement],av_envc,TblApplications[Domaine],av_domc,TblApplications[Tribe],av_tric))</f>
        <v/>
      </c>
      <c r="F56" s="21" t="str">
        <f aca="false">IF($B56="","",COUNTIFS(TblApplications[Tribe],$B56,TblApplications[Action],"À décommissionner",TblApplications[Environnement],av_envc,TblApplications[Domaine],av_domc,TblApplications[Tribe],av_tric))</f>
        <v/>
      </c>
      <c r="G56" s="21" t="str">
        <f aca="false">IF($B56="","",COUNTIFS(TblApplications[Tribe],$B56,TblApplications[Action],"Décommissionné",TblApplications[Environnement],av_envc,TblApplications[Domaine],av_domc,TblApplications[Tribe],av_tric))</f>
        <v/>
      </c>
      <c r="H56" s="21" t="str">
        <f aca="false">IF($B56="","",SUM(D56:G56))</f>
        <v/>
      </c>
      <c r="K56" s="20" t="s">
        <v>26</v>
      </c>
      <c r="L56" s="20" t="s">
        <v>36</v>
      </c>
      <c r="M56" s="20" t="s">
        <v>29</v>
      </c>
      <c r="N56" s="20" t="s">
        <v>30</v>
      </c>
      <c r="O56" s="20" t="s">
        <v>37</v>
      </c>
      <c r="P56" s="20" t="s">
        <v>38</v>
      </c>
    </row>
    <row r="57" customFormat="false" ht="15" hidden="false" customHeight="false" outlineLevel="0" collapsed="false">
      <c r="B57" s="21" t="str">
        <f aca="false">IFERROR(IF(INDEX(TblTribes[Tribe],24)="","",INDEX(TblTribes[Tribe],24)),"")</f>
        <v/>
      </c>
      <c r="C57" s="21" t="str">
        <f aca="false">IF($B57="","",INDEX(TblTribes[Domaine de la tribe],24))</f>
        <v/>
      </c>
      <c r="D57" s="21" t="str">
        <f aca="false">IF($B57="","",COUNTIFS(TblApplications[Tribe],$B57,TblApplications[Action],"Migré",TblApplications[Environnement],av_envc,TblApplications[Domaine],av_domc,TblApplications[Tribe],av_tric))</f>
        <v/>
      </c>
      <c r="E57" s="21" t="str">
        <f aca="false">IF($B57="","",COUNTIFS(TblApplications[Tribe],$B57,TblApplications[Action],"À migrer",TblApplications[Environnement],av_envc,TblApplications[Domaine],av_domc,TblApplications[Tribe],av_tric))</f>
        <v/>
      </c>
      <c r="F57" s="21" t="str">
        <f aca="false">IF($B57="","",COUNTIFS(TblApplications[Tribe],$B57,TblApplications[Action],"À décommissionner",TblApplications[Environnement],av_envc,TblApplications[Domaine],av_domc,TblApplications[Tribe],av_tric))</f>
        <v/>
      </c>
      <c r="G57" s="21" t="str">
        <f aca="false">IF($B57="","",COUNTIFS(TblApplications[Tribe],$B57,TblApplications[Action],"Décommissionné",TblApplications[Environnement],av_envc,TblApplications[Domaine],av_domc,TblApplications[Tribe],av_tric))</f>
        <v/>
      </c>
      <c r="H57" s="21" t="str">
        <f aca="false">IF($B57="","",SUM(D57:G57))</f>
        <v/>
      </c>
      <c r="K57" s="37" t="s">
        <v>39</v>
      </c>
      <c r="L57" s="21" t="n">
        <f aca="false">COUNTIFS(TblApplications[Environnement],"PRD",TblApplications[Action],"Migré",TblApplications[Environnement],av_envc,TblApplications[Domaine],av_domc,TblApplications[Tribe],av_tric)</f>
        <v>1</v>
      </c>
      <c r="M57" s="21" t="n">
        <f aca="false">COUNTIFS(TblApplications[Environnement],"PRD",TblApplications[Action],"À migrer",TblApplications[Environnement],av_envc,TblApplications[Domaine],av_domc,TblApplications[Tribe],av_tric)</f>
        <v>3</v>
      </c>
      <c r="N57" s="21" t="n">
        <f aca="false">COUNTIFS(TblApplications[Environnement],"PRD",TblApplications[Action],"À décommissionner",TblApplications[Environnement],av_envc,TblApplications[Domaine],av_domc,TblApplications[Tribe],av_tric)</f>
        <v>0</v>
      </c>
      <c r="O57" s="21" t="n">
        <f aca="false">COUNTIFS(TblApplications[Environnement],"PRD",TblApplications[Action],"Décommissionné",TblApplications[Environnement],av_envc,TblApplications[Domaine],av_domc,TblApplications[Tribe],av_tric)</f>
        <v>0</v>
      </c>
      <c r="P57" s="21" t="n">
        <f aca="false">SUM(L57:O57)</f>
        <v>4</v>
      </c>
    </row>
    <row r="58" customFormat="false" ht="15" hidden="false" customHeight="false" outlineLevel="0" collapsed="false">
      <c r="B58" s="21" t="str">
        <f aca="false">IFERROR(IF(INDEX(TblTribes[Tribe],25)="","",INDEX(TblTribes[Tribe],25)),"")</f>
        <v/>
      </c>
      <c r="C58" s="21" t="str">
        <f aca="false">IF($B58="","",INDEX(TblTribes[Domaine de la tribe],25))</f>
        <v/>
      </c>
      <c r="D58" s="21" t="str">
        <f aca="false">IF($B58="","",COUNTIFS(TblApplications[Tribe],$B58,TblApplications[Action],"Migré",TblApplications[Environnement],av_envc,TblApplications[Domaine],av_domc,TblApplications[Tribe],av_tric))</f>
        <v/>
      </c>
      <c r="E58" s="21" t="str">
        <f aca="false">IF($B58="","",COUNTIFS(TblApplications[Tribe],$B58,TblApplications[Action],"À migrer",TblApplications[Environnement],av_envc,TblApplications[Domaine],av_domc,TblApplications[Tribe],av_tric))</f>
        <v/>
      </c>
      <c r="F58" s="21" t="str">
        <f aca="false">IF($B58="","",COUNTIFS(TblApplications[Tribe],$B58,TblApplications[Action],"À décommissionner",TblApplications[Environnement],av_envc,TblApplications[Domaine],av_domc,TblApplications[Tribe],av_tric))</f>
        <v/>
      </c>
      <c r="G58" s="21" t="str">
        <f aca="false">IF($B58="","",COUNTIFS(TblApplications[Tribe],$B58,TblApplications[Action],"Décommissionné",TblApplications[Environnement],av_envc,TblApplications[Domaine],av_domc,TblApplications[Tribe],av_tric))</f>
        <v/>
      </c>
      <c r="H58" s="21" t="str">
        <f aca="false">IF($B58="","",SUM(D58:G58))</f>
        <v/>
      </c>
      <c r="K58" s="37" t="s">
        <v>40</v>
      </c>
      <c r="L58" s="21" t="n">
        <f aca="false">COUNTIFS(TblApplications[Environnement],"NPRD",TblApplications[Action],"Migré",TblApplications[Environnement],av_envc,TblApplications[Domaine],av_domc,TblApplications[Tribe],av_tric)</f>
        <v>0</v>
      </c>
      <c r="M58" s="21" t="n">
        <f aca="false">COUNTIFS(TblApplications[Environnement],"NPRD",TblApplications[Action],"À migrer",TblApplications[Environnement],av_envc,TblApplications[Domaine],av_domc,TblApplications[Tribe],av_tric)</f>
        <v>7</v>
      </c>
      <c r="N58" s="21" t="n">
        <f aca="false">COUNTIFS(TblApplications[Environnement],"NPRD",TblApplications[Action],"À décommissionner",TblApplications[Environnement],av_envc,TblApplications[Domaine],av_domc,TblApplications[Tribe],av_tric)</f>
        <v>1</v>
      </c>
      <c r="O58" s="21" t="n">
        <f aca="false">COUNTIFS(TblApplications[Environnement],"NPRD",TblApplications[Action],"Décommissionné",TblApplications[Environnement],av_envc,TblApplications[Domaine],av_domc,TblApplications[Tribe],av_tric)</f>
        <v>1</v>
      </c>
      <c r="P58" s="21" t="n">
        <f aca="false">SUM(L58:O58)</f>
        <v>9</v>
      </c>
    </row>
    <row r="59" customFormat="false" ht="15" hidden="false" customHeight="false" outlineLevel="0" collapsed="false">
      <c r="B59" s="21" t="str">
        <f aca="false">IFERROR(IF(INDEX(TblTribes[Tribe],26)="","",INDEX(TblTribes[Tribe],26)),"")</f>
        <v/>
      </c>
      <c r="C59" s="21" t="str">
        <f aca="false">IF($B59="","",INDEX(TblTribes[Domaine de la tribe],26))</f>
        <v/>
      </c>
      <c r="D59" s="21" t="str">
        <f aca="false">IF($B59="","",COUNTIFS(TblApplications[Tribe],$B59,TblApplications[Action],"Migré",TblApplications[Environnement],av_envc,TblApplications[Domaine],av_domc,TblApplications[Tribe],av_tric))</f>
        <v/>
      </c>
      <c r="E59" s="21" t="str">
        <f aca="false">IF($B59="","",COUNTIFS(TblApplications[Tribe],$B59,TblApplications[Action],"À migrer",TblApplications[Environnement],av_envc,TblApplications[Domaine],av_domc,TblApplications[Tribe],av_tric))</f>
        <v/>
      </c>
      <c r="F59" s="21" t="str">
        <f aca="false">IF($B59="","",COUNTIFS(TblApplications[Tribe],$B59,TblApplications[Action],"À décommissionner",TblApplications[Environnement],av_envc,TblApplications[Domaine],av_domc,TblApplications[Tribe],av_tric))</f>
        <v/>
      </c>
      <c r="G59" s="21" t="str">
        <f aca="false">IF($B59="","",COUNTIFS(TblApplications[Tribe],$B59,TblApplications[Action],"Décommissionné",TblApplications[Environnement],av_envc,TblApplications[Domaine],av_domc,TblApplications[Tribe],av_tric))</f>
        <v/>
      </c>
      <c r="H59" s="21" t="str">
        <f aca="false">IF($B59="","",SUM(D59:G59))</f>
        <v/>
      </c>
    </row>
    <row r="60" customFormat="false" ht="15" hidden="false" customHeight="false" outlineLevel="0" collapsed="false">
      <c r="B60" s="21" t="str">
        <f aca="false">IFERROR(IF(INDEX(TblTribes[Tribe],27)="","",INDEX(TblTribes[Tribe],27)),"")</f>
        <v/>
      </c>
      <c r="C60" s="21" t="str">
        <f aca="false">IF($B60="","",INDEX(TblTribes[Domaine de la tribe],27))</f>
        <v/>
      </c>
      <c r="D60" s="21" t="str">
        <f aca="false">IF($B60="","",COUNTIFS(TblApplications[Tribe],$B60,TblApplications[Action],"Migré",TblApplications[Environnement],av_envc,TblApplications[Domaine],av_domc,TblApplications[Tribe],av_tric))</f>
        <v/>
      </c>
      <c r="E60" s="21" t="str">
        <f aca="false">IF($B60="","",COUNTIFS(TblApplications[Tribe],$B60,TblApplications[Action],"À migrer",TblApplications[Environnement],av_envc,TblApplications[Domaine],av_domc,TblApplications[Tribe],av_tric))</f>
        <v/>
      </c>
      <c r="F60" s="21" t="str">
        <f aca="false">IF($B60="","",COUNTIFS(TblApplications[Tribe],$B60,TblApplications[Action],"À décommissionner",TblApplications[Environnement],av_envc,TblApplications[Domaine],av_domc,TblApplications[Tribe],av_tric))</f>
        <v/>
      </c>
      <c r="G60" s="21" t="str">
        <f aca="false">IF($B60="","",COUNTIFS(TblApplications[Tribe],$B60,TblApplications[Action],"Décommissionné",TblApplications[Environnement],av_envc,TblApplications[Domaine],av_domc,TblApplications[Tribe],av_tric))</f>
        <v/>
      </c>
      <c r="H60" s="21" t="str">
        <f aca="false">IF($B60="","",SUM(D60:G60))</f>
        <v/>
      </c>
    </row>
    <row r="61" customFormat="false" ht="15" hidden="false" customHeight="false" outlineLevel="0" collapsed="false">
      <c r="B61" s="21" t="str">
        <f aca="false">IFERROR(IF(INDEX(TblTribes[Tribe],28)="","",INDEX(TblTribes[Tribe],28)),"")</f>
        <v/>
      </c>
      <c r="C61" s="21" t="str">
        <f aca="false">IF($B61="","",INDEX(TblTribes[Domaine de la tribe],28))</f>
        <v/>
      </c>
      <c r="D61" s="21" t="str">
        <f aca="false">IF($B61="","",COUNTIFS(TblApplications[Tribe],$B61,TblApplications[Action],"Migré",TblApplications[Environnement],av_envc,TblApplications[Domaine],av_domc,TblApplications[Tribe],av_tric))</f>
        <v/>
      </c>
      <c r="E61" s="21" t="str">
        <f aca="false">IF($B61="","",COUNTIFS(TblApplications[Tribe],$B61,TblApplications[Action],"À migrer",TblApplications[Environnement],av_envc,TblApplications[Domaine],av_domc,TblApplications[Tribe],av_tric))</f>
        <v/>
      </c>
      <c r="F61" s="21" t="str">
        <f aca="false">IF($B61="","",COUNTIFS(TblApplications[Tribe],$B61,TblApplications[Action],"À décommissionner",TblApplications[Environnement],av_envc,TblApplications[Domaine],av_domc,TblApplications[Tribe],av_tric))</f>
        <v/>
      </c>
      <c r="G61" s="21" t="str">
        <f aca="false">IF($B61="","",COUNTIFS(TblApplications[Tribe],$B61,TblApplications[Action],"Décommissionné",TblApplications[Environnement],av_envc,TblApplications[Domaine],av_domc,TblApplications[Tribe],av_tric))</f>
        <v/>
      </c>
      <c r="H61" s="21" t="str">
        <f aca="false">IF($B61="","",SUM(D61:G61))</f>
        <v/>
      </c>
      <c r="AV61" s="38" t="s">
        <v>41</v>
      </c>
    </row>
    <row r="62" customFormat="false" ht="30" hidden="false" customHeight="true" outlineLevel="0" collapsed="false">
      <c r="B62" s="21" t="str">
        <f aca="false">IFERROR(IF(INDEX(TblTribes[Tribe],29)="","",INDEX(TblTribes[Tribe],29)),"")</f>
        <v/>
      </c>
      <c r="C62" s="21" t="str">
        <f aca="false">IF($B62="","",INDEX(TblTribes[Domaine de la tribe],29))</f>
        <v/>
      </c>
      <c r="D62" s="21" t="str">
        <f aca="false">IF($B62="","",COUNTIFS(TblApplications[Tribe],$B62,TblApplications[Action],"Migré",TblApplications[Environnement],av_envc,TblApplications[Domaine],av_domc,TblApplications[Tribe],av_tric))</f>
        <v/>
      </c>
      <c r="E62" s="21" t="str">
        <f aca="false">IF($B62="","",COUNTIFS(TblApplications[Tribe],$B62,TblApplications[Action],"À migrer",TblApplications[Environnement],av_envc,TblApplications[Domaine],av_domc,TblApplications[Tribe],av_tric))</f>
        <v/>
      </c>
      <c r="F62" s="21" t="str">
        <f aca="false">IF($B62="","",COUNTIFS(TblApplications[Tribe],$B62,TblApplications[Action],"À décommissionner",TblApplications[Environnement],av_envc,TblApplications[Domaine],av_domc,TblApplications[Tribe],av_tric))</f>
        <v/>
      </c>
      <c r="G62" s="21" t="str">
        <f aca="false">IF($B62="","",COUNTIFS(TblApplications[Tribe],$B62,TblApplications[Action],"Décommissionné",TblApplications[Environnement],av_envc,TblApplications[Domaine],av_domc,TblApplications[Tribe],av_tric))</f>
        <v/>
      </c>
      <c r="H62" s="21" t="str">
        <f aca="false">IF($B62="","",SUM(D62:G62))</f>
        <v/>
      </c>
      <c r="AV62" s="20" t="s">
        <v>42</v>
      </c>
      <c r="AW62" s="20" t="s">
        <v>43</v>
      </c>
      <c r="AX62" s="20" t="s">
        <v>44</v>
      </c>
      <c r="AY62" s="20" t="s">
        <v>45</v>
      </c>
      <c r="AZ62" s="20" t="s">
        <v>46</v>
      </c>
    </row>
    <row r="63" customFormat="false" ht="15" hidden="false" customHeight="false" outlineLevel="0" collapsed="false">
      <c r="B63" s="21" t="str">
        <f aca="false">IFERROR(IF(INDEX(TblTribes[Tribe],30)="","",INDEX(TblTribes[Tribe],30)),"")</f>
        <v/>
      </c>
      <c r="C63" s="21" t="str">
        <f aca="false">IF($B63="","",INDEX(TblTribes[Domaine de la tribe],30))</f>
        <v/>
      </c>
      <c r="D63" s="21" t="str">
        <f aca="false">IF($B63="","",COUNTIFS(TblApplications[Tribe],$B63,TblApplications[Action],"Migré",TblApplications[Environnement],av_envc,TblApplications[Domaine],av_domc,TblApplications[Tribe],av_tric))</f>
        <v/>
      </c>
      <c r="E63" s="21" t="str">
        <f aca="false">IF($B63="","",COUNTIFS(TblApplications[Tribe],$B63,TblApplications[Action],"À migrer",TblApplications[Environnement],av_envc,TblApplications[Domaine],av_domc,TblApplications[Tribe],av_tric))</f>
        <v/>
      </c>
      <c r="F63" s="21" t="str">
        <f aca="false">IF($B63="","",COUNTIFS(TblApplications[Tribe],$B63,TblApplications[Action],"À décommissionner",TblApplications[Environnement],av_envc,TblApplications[Domaine],av_domc,TblApplications[Tribe],av_tric))</f>
        <v/>
      </c>
      <c r="G63" s="21" t="str">
        <f aca="false">IF($B63="","",COUNTIFS(TblApplications[Tribe],$B63,TblApplications[Action],"Décommissionné",TblApplications[Environnement],av_envc,TblApplications[Domaine],av_domc,TblApplications[Tribe],av_tric))</f>
        <v/>
      </c>
      <c r="H63" s="21" t="str">
        <f aca="false">IF($B63="","",SUM(D63:G63))</f>
        <v/>
      </c>
      <c r="AV63" s="39" t="n">
        <f aca="false">IF(1&gt;p_horizon,"",EDATE(p_debut,0))</f>
        <v>46296</v>
      </c>
      <c r="AW63" s="40" t="n">
        <f aca="false">IF(1&gt;p_horizon,"",COUNTIFS(TblApplications[Action],"À migrer",TblApplications[Mois bascule],"&gt;="&amp;AV63,TblApplications[Mois bascule],"&lt;"&amp;EDATE(AV63,1),TblApplications[Environnement],av_envc,TblApplications[Domaine],av_domc,TblApplications[Tribe],av_tric))</f>
        <v>0</v>
      </c>
      <c r="AX63" s="40" t="n">
        <f aca="false">IF(1&gt;p_horizon,"",COUNTIFS(TblApplications[Action],"À décommissionner",TblApplications[Mois lib (calc)],AV63,TblApplications[Environnement],av_envc,TblApplications[Domaine],av_domc,TblApplications[Tribe],av_tric))</f>
        <v>0</v>
      </c>
      <c r="AY63" s="40" t="n">
        <f aca="false">IF(1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(calc)],"&lt;="&amp;AV63,TblApplications[Environnement],av_envc,TblApplications[Domaine],av_domc,TblApplications[Tribe],av_tric)+COUNTIFS(TblApplications[Action],"À décommissionner",TblApplications[Mois lib (calc)],"&lt;="&amp;AV63,TblApplications[Environnement],av_envc,TblApplications[Domaine],av_domc,TblApplications[Tribe],av_tric))</f>
        <v>2</v>
      </c>
      <c r="AZ63" s="41" t="n">
        <f aca="false">IF(1&gt;p_horizon,"",IFERROR(AY63/COUNTIFS(TblApplications[ID],"&lt;&gt;",TblApplications[Environnement],av_envc,TblApplications[Domaine],av_domc,TblApplications[Tribe],av_tric),0))</f>
        <v>0.153846153846154</v>
      </c>
    </row>
    <row r="64" customFormat="false" ht="15" hidden="false" customHeight="false" outlineLevel="0" collapsed="false">
      <c r="B64" s="21" t="str">
        <f aca="false">IFERROR(IF(INDEX(TblTribes[Tribe],31)="","",INDEX(TblTribes[Tribe],31)),"")</f>
        <v/>
      </c>
      <c r="C64" s="21" t="str">
        <f aca="false">IF($B64="","",INDEX(TblTribes[Domaine de la tribe],31))</f>
        <v/>
      </c>
      <c r="D64" s="21" t="str">
        <f aca="false">IF($B64="","",COUNTIFS(TblApplications[Tribe],$B64,TblApplications[Action],"Migré",TblApplications[Environnement],av_envc,TblApplications[Domaine],av_domc,TblApplications[Tribe],av_tric))</f>
        <v/>
      </c>
      <c r="E64" s="21" t="str">
        <f aca="false">IF($B64="","",COUNTIFS(TblApplications[Tribe],$B64,TblApplications[Action],"À migrer",TblApplications[Environnement],av_envc,TblApplications[Domaine],av_domc,TblApplications[Tribe],av_tric))</f>
        <v/>
      </c>
      <c r="F64" s="21" t="str">
        <f aca="false">IF($B64="","",COUNTIFS(TblApplications[Tribe],$B64,TblApplications[Action],"À décommissionner",TblApplications[Environnement],av_envc,TblApplications[Domaine],av_domc,TblApplications[Tribe],av_tric))</f>
        <v/>
      </c>
      <c r="G64" s="21" t="str">
        <f aca="false">IF($B64="","",COUNTIFS(TblApplications[Tribe],$B64,TblApplications[Action],"Décommissionné",TblApplications[Environnement],av_envc,TblApplications[Domaine],av_domc,TblApplications[Tribe],av_tric))</f>
        <v/>
      </c>
      <c r="H64" s="21" t="str">
        <f aca="false">IF($B64="","",SUM(D64:G64))</f>
        <v/>
      </c>
      <c r="AV64" s="39" t="n">
        <f aca="false">IF(2&gt;p_horizon,"",EDATE(p_debut,1))</f>
        <v>46327</v>
      </c>
      <c r="AW64" s="40" t="n">
        <f aca="false">IF(2&gt;p_horizon,"",COUNTIFS(TblApplications[Action],"À migrer",TblApplications[Mois bascule],"&gt;="&amp;AV64,TblApplications[Mois bascule],"&lt;"&amp;EDATE(AV64,1),TblApplications[Environnement],av_envc,TblApplications[Domaine],av_domc,TblApplications[Tribe],av_tric))</f>
        <v>0</v>
      </c>
      <c r="AX64" s="40" t="n">
        <f aca="false">IF(2&gt;p_horizon,"",COUNTIFS(TblApplications[Action],"À décommissionner",TblApplications[Mois lib (calc)],AV64,TblApplications[Environnement],av_envc,TblApplications[Domaine],av_domc,TblApplications[Tribe],av_tric))</f>
        <v>0</v>
      </c>
      <c r="AY64" s="40" t="n">
        <f aca="false">IF(2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(calc)],"&lt;="&amp;AV64,TblApplications[Environnement],av_envc,TblApplications[Domaine],av_domc,TblApplications[Tribe],av_tric)+COUNTIFS(TblApplications[Action],"À décommissionner",TblApplications[Mois lib (calc)],"&lt;="&amp;AV64,TblApplications[Environnement],av_envc,TblApplications[Domaine],av_domc,TblApplications[Tribe],av_tric))</f>
        <v>2</v>
      </c>
      <c r="AZ64" s="41" t="n">
        <f aca="false">IF(2&gt;p_horizon,"",IFERROR(AY64/COUNTIFS(TblApplications[ID],"&lt;&gt;",TblApplications[Environnement],av_envc,TblApplications[Domaine],av_domc,TblApplications[Tribe],av_tric),0))</f>
        <v>0.153846153846154</v>
      </c>
    </row>
    <row r="65" customFormat="false" ht="15" hidden="false" customHeight="false" outlineLevel="0" collapsed="false">
      <c r="B65" s="21" t="str">
        <f aca="false">IFERROR(IF(INDEX(TblTribes[Tribe],32)="","",INDEX(TblTribes[Tribe],32)),"")</f>
        <v/>
      </c>
      <c r="C65" s="21" t="str">
        <f aca="false">IF($B65="","",INDEX(TblTribes[Domaine de la tribe],32))</f>
        <v/>
      </c>
      <c r="D65" s="21" t="str">
        <f aca="false">IF($B65="","",COUNTIFS(TblApplications[Tribe],$B65,TblApplications[Action],"Migré",TblApplications[Environnement],av_envc,TblApplications[Domaine],av_domc,TblApplications[Tribe],av_tric))</f>
        <v/>
      </c>
      <c r="E65" s="21" t="str">
        <f aca="false">IF($B65="","",COUNTIFS(TblApplications[Tribe],$B65,TblApplications[Action],"À migrer",TblApplications[Environnement],av_envc,TblApplications[Domaine],av_domc,TblApplications[Tribe],av_tric))</f>
        <v/>
      </c>
      <c r="F65" s="21" t="str">
        <f aca="false">IF($B65="","",COUNTIFS(TblApplications[Tribe],$B65,TblApplications[Action],"À décommissionner",TblApplications[Environnement],av_envc,TblApplications[Domaine],av_domc,TblApplications[Tribe],av_tric))</f>
        <v/>
      </c>
      <c r="G65" s="21" t="str">
        <f aca="false">IF($B65="","",COUNTIFS(TblApplications[Tribe],$B65,TblApplications[Action],"Décommissionné",TblApplications[Environnement],av_envc,TblApplications[Domaine],av_domc,TblApplications[Tribe],av_tric))</f>
        <v/>
      </c>
      <c r="H65" s="21" t="str">
        <f aca="false">IF($B65="","",SUM(D65:G65))</f>
        <v/>
      </c>
      <c r="AV65" s="39" t="n">
        <f aca="false">IF(3&gt;p_horizon,"",EDATE(p_debut,2))</f>
        <v>46357</v>
      </c>
      <c r="AW65" s="40" t="n">
        <f aca="false">IF(3&gt;p_horizon,"",COUNTIFS(TblApplications[Action],"À migrer",TblApplications[Mois bascule],"&gt;="&amp;AV65,TblApplications[Mois bascule],"&lt;"&amp;EDATE(AV65,1),TblApplications[Environnement],av_envc,TblApplications[Domaine],av_domc,TblApplications[Tribe],av_tric))</f>
        <v>0</v>
      </c>
      <c r="AX65" s="40" t="n">
        <f aca="false">IF(3&gt;p_horizon,"",COUNTIFS(TblApplications[Action],"À décommissionner",TblApplications[Mois lib (calc)],AV65,TblApplications[Environnement],av_envc,TblApplications[Domaine],av_domc,TblApplications[Tribe],av_tric))</f>
        <v>0</v>
      </c>
      <c r="AY65" s="40" t="n">
        <f aca="false">IF(3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(calc)],"&lt;="&amp;AV65,TblApplications[Environnement],av_envc,TblApplications[Domaine],av_domc,TblApplications[Tribe],av_tric)+COUNTIFS(TblApplications[Action],"À décommissionner",TblApplications[Mois lib (calc)],"&lt;="&amp;AV65,TblApplications[Environnement],av_envc,TblApplications[Domaine],av_domc,TblApplications[Tribe],av_tric))</f>
        <v>2</v>
      </c>
      <c r="AZ65" s="41" t="n">
        <f aca="false">IF(3&gt;p_horizon,"",IFERROR(AY65/COUNTIFS(TblApplications[ID],"&lt;&gt;",TblApplications[Environnement],av_envc,TblApplications[Domaine],av_domc,TblApplications[Tribe],av_tric),0))</f>
        <v>0.153846153846154</v>
      </c>
    </row>
    <row r="66" customFormat="false" ht="15" hidden="false" customHeight="false" outlineLevel="0" collapsed="false">
      <c r="B66" s="21" t="str">
        <f aca="false">IFERROR(IF(INDEX(TblTribes[Tribe],33)="","",INDEX(TblTribes[Tribe],33)),"")</f>
        <v/>
      </c>
      <c r="C66" s="21" t="str">
        <f aca="false">IF($B66="","",INDEX(TblTribes[Domaine de la tribe],33))</f>
        <v/>
      </c>
      <c r="D66" s="21" t="str">
        <f aca="false">IF($B66="","",COUNTIFS(TblApplications[Tribe],$B66,TblApplications[Action],"Migré",TblApplications[Environnement],av_envc,TblApplications[Domaine],av_domc,TblApplications[Tribe],av_tric))</f>
        <v/>
      </c>
      <c r="E66" s="21" t="str">
        <f aca="false">IF($B66="","",COUNTIFS(TblApplications[Tribe],$B66,TblApplications[Action],"À migrer",TblApplications[Environnement],av_envc,TblApplications[Domaine],av_domc,TblApplications[Tribe],av_tric))</f>
        <v/>
      </c>
      <c r="F66" s="21" t="str">
        <f aca="false">IF($B66="","",COUNTIFS(TblApplications[Tribe],$B66,TblApplications[Action],"À décommissionner",TblApplications[Environnement],av_envc,TblApplications[Domaine],av_domc,TblApplications[Tribe],av_tric))</f>
        <v/>
      </c>
      <c r="G66" s="21" t="str">
        <f aca="false">IF($B66="","",COUNTIFS(TblApplications[Tribe],$B66,TblApplications[Action],"Décommissionné",TblApplications[Environnement],av_envc,TblApplications[Domaine],av_domc,TblApplications[Tribe],av_tric))</f>
        <v/>
      </c>
      <c r="H66" s="21" t="str">
        <f aca="false">IF($B66="","",SUM(D66:G66))</f>
        <v/>
      </c>
      <c r="AV66" s="39" t="n">
        <f aca="false">IF(4&gt;p_horizon,"",EDATE(p_debut,3))</f>
        <v>46388</v>
      </c>
      <c r="AW66" s="40" t="n">
        <f aca="false">IF(4&gt;p_horizon,"",COUNTIFS(TblApplications[Action],"À migrer",TblApplications[Mois bascule],"&gt;="&amp;AV66,TblApplications[Mois bascule],"&lt;"&amp;EDATE(AV66,1),TblApplications[Environnement],av_envc,TblApplications[Domaine],av_domc,TblApplications[Tribe],av_tric))</f>
        <v>1</v>
      </c>
      <c r="AX66" s="40" t="n">
        <f aca="false">IF(4&gt;p_horizon,"",COUNTIFS(TblApplications[Action],"À décommissionner",TblApplications[Mois lib (calc)],AV66,TblApplications[Environnement],av_envc,TblApplications[Domaine],av_domc,TblApplications[Tribe],av_tric))</f>
        <v>0</v>
      </c>
      <c r="AY66" s="40" t="n">
        <f aca="false">IF(4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(calc)],"&lt;="&amp;AV66,TblApplications[Environnement],av_envc,TblApplications[Domaine],av_domc,TblApplications[Tribe],av_tric)+COUNTIFS(TblApplications[Action],"À décommissionner",TblApplications[Mois lib (calc)],"&lt;="&amp;AV66,TblApplications[Environnement],av_envc,TblApplications[Domaine],av_domc,TblApplications[Tribe],av_tric))</f>
        <v>2</v>
      </c>
      <c r="AZ66" s="41" t="n">
        <f aca="false">IF(4&gt;p_horizon,"",IFERROR(AY66/COUNTIFS(TblApplications[ID],"&lt;&gt;",TblApplications[Environnement],av_envc,TblApplications[Domaine],av_domc,TblApplications[Tribe],av_tric),0))</f>
        <v>0.153846153846154</v>
      </c>
    </row>
    <row r="67" customFormat="false" ht="15" hidden="false" customHeight="false" outlineLevel="0" collapsed="false">
      <c r="B67" s="21" t="str">
        <f aca="false">IFERROR(IF(INDEX(TblTribes[Tribe],34)="","",INDEX(TblTribes[Tribe],34)),"")</f>
        <v/>
      </c>
      <c r="C67" s="21" t="str">
        <f aca="false">IF($B67="","",INDEX(TblTribes[Domaine de la tribe],34))</f>
        <v/>
      </c>
      <c r="D67" s="21" t="str">
        <f aca="false">IF($B67="","",COUNTIFS(TblApplications[Tribe],$B67,TblApplications[Action],"Migré",TblApplications[Environnement],av_envc,TblApplications[Domaine],av_domc,TblApplications[Tribe],av_tric))</f>
        <v/>
      </c>
      <c r="E67" s="21" t="str">
        <f aca="false">IF($B67="","",COUNTIFS(TblApplications[Tribe],$B67,TblApplications[Action],"À migrer",TblApplications[Environnement],av_envc,TblApplications[Domaine],av_domc,TblApplications[Tribe],av_tric))</f>
        <v/>
      </c>
      <c r="F67" s="21" t="str">
        <f aca="false">IF($B67="","",COUNTIFS(TblApplications[Tribe],$B67,TblApplications[Action],"À décommissionner",TblApplications[Environnement],av_envc,TblApplications[Domaine],av_domc,TblApplications[Tribe],av_tric))</f>
        <v/>
      </c>
      <c r="G67" s="21" t="str">
        <f aca="false">IF($B67="","",COUNTIFS(TblApplications[Tribe],$B67,TblApplications[Action],"Décommissionné",TblApplications[Environnement],av_envc,TblApplications[Domaine],av_domc,TblApplications[Tribe],av_tric))</f>
        <v/>
      </c>
      <c r="H67" s="21" t="str">
        <f aca="false">IF($B67="","",SUM(D67:G67))</f>
        <v/>
      </c>
      <c r="AV67" s="39" t="n">
        <f aca="false">IF(5&gt;p_horizon,"",EDATE(p_debut,4))</f>
        <v>46419</v>
      </c>
      <c r="AW67" s="40" t="n">
        <f aca="false">IF(5&gt;p_horizon,"",COUNTIFS(TblApplications[Action],"À migrer",TblApplications[Mois bascule],"&gt;="&amp;AV67,TblApplications[Mois bascule],"&lt;"&amp;EDATE(AV67,1),TblApplications[Environnement],av_envc,TblApplications[Domaine],av_domc,TblApplications[Tribe],av_tric))</f>
        <v>1</v>
      </c>
      <c r="AX67" s="40" t="n">
        <f aca="false">IF(5&gt;p_horizon,"",COUNTIFS(TblApplications[Action],"À décommissionner",TblApplications[Mois lib (calc)],AV67,TblApplications[Environnement],av_envc,TblApplications[Domaine],av_domc,TblApplications[Tribe],av_tric))</f>
        <v>0</v>
      </c>
      <c r="AY67" s="40" t="n">
        <f aca="false">IF(5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(calc)],"&lt;="&amp;AV67,TblApplications[Environnement],av_envc,TblApplications[Domaine],av_domc,TblApplications[Tribe],av_tric)+COUNTIFS(TblApplications[Action],"À décommissionner",TblApplications[Mois lib (calc)],"&lt;="&amp;AV67,TblApplications[Environnement],av_envc,TblApplications[Domaine],av_domc,TblApplications[Tribe],av_tric))</f>
        <v>3</v>
      </c>
      <c r="AZ67" s="41" t="n">
        <f aca="false">IF(5&gt;p_horizon,"",IFERROR(AY67/COUNTIFS(TblApplications[ID],"&lt;&gt;",TblApplications[Environnement],av_envc,TblApplications[Domaine],av_domc,TblApplications[Tribe],av_tric),0))</f>
        <v>0.230769230769231</v>
      </c>
    </row>
    <row r="68" customFormat="false" ht="15" hidden="false" customHeight="false" outlineLevel="0" collapsed="false">
      <c r="B68" s="21" t="str">
        <f aca="false">IFERROR(IF(INDEX(TblTribes[Tribe],35)="","",INDEX(TblTribes[Tribe],35)),"")</f>
        <v/>
      </c>
      <c r="C68" s="21" t="str">
        <f aca="false">IF($B68="","",INDEX(TblTribes[Domaine de la tribe],35))</f>
        <v/>
      </c>
      <c r="D68" s="21" t="str">
        <f aca="false">IF($B68="","",COUNTIFS(TblApplications[Tribe],$B68,TblApplications[Action],"Migré",TblApplications[Environnement],av_envc,TblApplications[Domaine],av_domc,TblApplications[Tribe],av_tric))</f>
        <v/>
      </c>
      <c r="E68" s="21" t="str">
        <f aca="false">IF($B68="","",COUNTIFS(TblApplications[Tribe],$B68,TblApplications[Action],"À migrer",TblApplications[Environnement],av_envc,TblApplications[Domaine],av_domc,TblApplications[Tribe],av_tric))</f>
        <v/>
      </c>
      <c r="F68" s="21" t="str">
        <f aca="false">IF($B68="","",COUNTIFS(TblApplications[Tribe],$B68,TblApplications[Action],"À décommissionner",TblApplications[Environnement],av_envc,TblApplications[Domaine],av_domc,TblApplications[Tribe],av_tric))</f>
        <v/>
      </c>
      <c r="G68" s="21" t="str">
        <f aca="false">IF($B68="","",COUNTIFS(TblApplications[Tribe],$B68,TblApplications[Action],"Décommissionné",TblApplications[Environnement],av_envc,TblApplications[Domaine],av_domc,TblApplications[Tribe],av_tric))</f>
        <v/>
      </c>
      <c r="H68" s="21" t="str">
        <f aca="false">IF($B68="","",SUM(D68:G68))</f>
        <v/>
      </c>
      <c r="AV68" s="39" t="n">
        <f aca="false">IF(6&gt;p_horizon,"",EDATE(p_debut,5))</f>
        <v>46447</v>
      </c>
      <c r="AW68" s="40" t="n">
        <f aca="false">IF(6&gt;p_horizon,"",COUNTIFS(TblApplications[Action],"À migrer",TblApplications[Mois bascule],"&gt;="&amp;AV68,TblApplications[Mois bascule],"&lt;"&amp;EDATE(AV68,1),TblApplications[Environnement],av_envc,TblApplications[Domaine],av_domc,TblApplications[Tribe],av_tric))</f>
        <v>0</v>
      </c>
      <c r="AX68" s="40" t="n">
        <f aca="false">IF(6&gt;p_horizon,"",COUNTIFS(TblApplications[Action],"À décommissionner",TblApplications[Mois lib (calc)],AV68,TblApplications[Environnement],av_envc,TblApplications[Domaine],av_domc,TblApplications[Tribe],av_tric))</f>
        <v>0</v>
      </c>
      <c r="AY68" s="40" t="n">
        <f aca="false">IF(6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(calc)],"&lt;="&amp;AV68,TblApplications[Environnement],av_envc,TblApplications[Domaine],av_domc,TblApplications[Tribe],av_tric)+COUNTIFS(TblApplications[Action],"À décommissionner",TblApplications[Mois lib (calc)],"&lt;="&amp;AV68,TblApplications[Environnement],av_envc,TblApplications[Domaine],av_domc,TblApplications[Tribe],av_tric))</f>
        <v>4</v>
      </c>
      <c r="AZ68" s="41" t="n">
        <f aca="false">IF(6&gt;p_horizon,"",IFERROR(AY68/COUNTIFS(TblApplications[ID],"&lt;&gt;",TblApplications[Environnement],av_envc,TblApplications[Domaine],av_domc,TblApplications[Tribe],av_tric),0))</f>
        <v>0.307692307692308</v>
      </c>
    </row>
    <row r="69" customFormat="false" ht="15" hidden="false" customHeight="false" outlineLevel="0" collapsed="false">
      <c r="B69" s="21" t="str">
        <f aca="false">IFERROR(IF(INDEX(TblTribes[Tribe],36)="","",INDEX(TblTribes[Tribe],36)),"")</f>
        <v/>
      </c>
      <c r="C69" s="21" t="str">
        <f aca="false">IF($B69="","",INDEX(TblTribes[Domaine de la tribe],36))</f>
        <v/>
      </c>
      <c r="D69" s="21" t="str">
        <f aca="false">IF($B69="","",COUNTIFS(TblApplications[Tribe],$B69,TblApplications[Action],"Migré",TblApplications[Environnement],av_envc,TblApplications[Domaine],av_domc,TblApplications[Tribe],av_tric))</f>
        <v/>
      </c>
      <c r="E69" s="21" t="str">
        <f aca="false">IF($B69="","",COUNTIFS(TblApplications[Tribe],$B69,TblApplications[Action],"À migrer",TblApplications[Environnement],av_envc,TblApplications[Domaine],av_domc,TblApplications[Tribe],av_tric))</f>
        <v/>
      </c>
      <c r="F69" s="21" t="str">
        <f aca="false">IF($B69="","",COUNTIFS(TblApplications[Tribe],$B69,TblApplications[Action],"À décommissionner",TblApplications[Environnement],av_envc,TblApplications[Domaine],av_domc,TblApplications[Tribe],av_tric))</f>
        <v/>
      </c>
      <c r="G69" s="21" t="str">
        <f aca="false">IF($B69="","",COUNTIFS(TblApplications[Tribe],$B69,TblApplications[Action],"Décommissionné",TblApplications[Environnement],av_envc,TblApplications[Domaine],av_domc,TblApplications[Tribe],av_tric))</f>
        <v/>
      </c>
      <c r="H69" s="21" t="str">
        <f aca="false">IF($B69="","",SUM(D69:G69))</f>
        <v/>
      </c>
      <c r="AV69" s="39" t="n">
        <f aca="false">IF(7&gt;p_horizon,"",EDATE(p_debut,6))</f>
        <v>46478</v>
      </c>
      <c r="AW69" s="40" t="n">
        <f aca="false">IF(7&gt;p_horizon,"",COUNTIFS(TblApplications[Action],"À migrer",TblApplications[Mois bascule],"&gt;="&amp;AV69,TblApplications[Mois bascule],"&lt;"&amp;EDATE(AV69,1),TblApplications[Environnement],av_envc,TblApplications[Domaine],av_domc,TblApplications[Tribe],av_tric))</f>
        <v>0</v>
      </c>
      <c r="AX69" s="40" t="n">
        <f aca="false">IF(7&gt;p_horizon,"",COUNTIFS(TblApplications[Action],"À décommissionner",TblApplications[Mois lib (calc)],AV69,TblApplications[Environnement],av_envc,TblApplications[Domaine],av_domc,TblApplications[Tribe],av_tric))</f>
        <v>0</v>
      </c>
      <c r="AY69" s="40" t="n">
        <f aca="false">IF(7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(calc)],"&lt;="&amp;AV69,TblApplications[Environnement],av_envc,TblApplications[Domaine],av_domc,TblApplications[Tribe],av_tric)+COUNTIFS(TblApplications[Action],"À décommissionner",TblApplications[Mois lib (calc)],"&lt;="&amp;AV69,TblApplications[Environnement],av_envc,TblApplications[Domaine],av_domc,TblApplications[Tribe],av_tric))</f>
        <v>4</v>
      </c>
      <c r="AZ69" s="41" t="n">
        <f aca="false">IF(7&gt;p_horizon,"",IFERROR(AY69/COUNTIFS(TblApplications[ID],"&lt;&gt;",TblApplications[Environnement],av_envc,TblApplications[Domaine],av_domc,TblApplications[Tribe],av_tric),0))</f>
        <v>0.307692307692308</v>
      </c>
    </row>
    <row r="70" customFormat="false" ht="15" hidden="false" customHeight="false" outlineLevel="0" collapsed="false">
      <c r="B70" s="21" t="str">
        <f aca="false">IFERROR(IF(INDEX(TblTribes[Tribe],37)="","",INDEX(TblTribes[Tribe],37)),"")</f>
        <v/>
      </c>
      <c r="C70" s="21" t="str">
        <f aca="false">IF($B70="","",INDEX(TblTribes[Domaine de la tribe],37))</f>
        <v/>
      </c>
      <c r="D70" s="21" t="str">
        <f aca="false">IF($B70="","",COUNTIFS(TblApplications[Tribe],$B70,TblApplications[Action],"Migré",TblApplications[Environnement],av_envc,TblApplications[Domaine],av_domc,TblApplications[Tribe],av_tric))</f>
        <v/>
      </c>
      <c r="E70" s="21" t="str">
        <f aca="false">IF($B70="","",COUNTIFS(TblApplications[Tribe],$B70,TblApplications[Action],"À migrer",TblApplications[Environnement],av_envc,TblApplications[Domaine],av_domc,TblApplications[Tribe],av_tric))</f>
        <v/>
      </c>
      <c r="F70" s="21" t="str">
        <f aca="false">IF($B70="","",COUNTIFS(TblApplications[Tribe],$B70,TblApplications[Action],"À décommissionner",TblApplications[Environnement],av_envc,TblApplications[Domaine],av_domc,TblApplications[Tribe],av_tric))</f>
        <v/>
      </c>
      <c r="G70" s="21" t="str">
        <f aca="false">IF($B70="","",COUNTIFS(TblApplications[Tribe],$B70,TblApplications[Action],"Décommissionné",TblApplications[Environnement],av_envc,TblApplications[Domaine],av_domc,TblApplications[Tribe],av_tric))</f>
        <v/>
      </c>
      <c r="H70" s="21" t="str">
        <f aca="false">IF($B70="","",SUM(D70:G70))</f>
        <v/>
      </c>
      <c r="AV70" s="39" t="n">
        <f aca="false">IF(8&gt;p_horizon,"",EDATE(p_debut,7))</f>
        <v>46508</v>
      </c>
      <c r="AW70" s="40" t="n">
        <f aca="false">IF(8&gt;p_horizon,"",COUNTIFS(TblApplications[Action],"À migrer",TblApplications[Mois bascule],"&gt;="&amp;AV70,TblApplications[Mois bascule],"&lt;"&amp;EDATE(AV70,1),TblApplications[Environnement],av_envc,TblApplications[Domaine],av_domc,TblApplications[Tribe],av_tric))</f>
        <v>1</v>
      </c>
      <c r="AX70" s="40" t="n">
        <f aca="false">IF(8&gt;p_horizon,"",COUNTIFS(TblApplications[Action],"À décommissionner",TblApplications[Mois lib (calc)],AV70,TblApplications[Environnement],av_envc,TblApplications[Domaine],av_domc,TblApplications[Tribe],av_tric))</f>
        <v>0</v>
      </c>
      <c r="AY70" s="40" t="n">
        <f aca="false">IF(8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(calc)],"&lt;="&amp;AV70,TblApplications[Environnement],av_envc,TblApplications[Domaine],av_domc,TblApplications[Tribe],av_tric)+COUNTIFS(TblApplications[Action],"À décommissionner",TblApplications[Mois lib (calc)],"&lt;="&amp;AV70,TblApplications[Environnement],av_envc,TblApplications[Domaine],av_domc,TblApplications[Tribe],av_tric))</f>
        <v>4</v>
      </c>
      <c r="AZ70" s="41" t="n">
        <f aca="false">IF(8&gt;p_horizon,"",IFERROR(AY70/COUNTIFS(TblApplications[ID],"&lt;&gt;",TblApplications[Environnement],av_envc,TblApplications[Domaine],av_domc,TblApplications[Tribe],av_tric),0))</f>
        <v>0.307692307692308</v>
      </c>
    </row>
    <row r="71" customFormat="false" ht="15" hidden="false" customHeight="false" outlineLevel="0" collapsed="false">
      <c r="B71" s="21" t="str">
        <f aca="false">IFERROR(IF(INDEX(TblTribes[Tribe],38)="","",INDEX(TblTribes[Tribe],38)),"")</f>
        <v/>
      </c>
      <c r="C71" s="21" t="str">
        <f aca="false">IF($B71="","",INDEX(TblTribes[Domaine de la tribe],38))</f>
        <v/>
      </c>
      <c r="D71" s="21" t="str">
        <f aca="false">IF($B71="","",COUNTIFS(TblApplications[Tribe],$B71,TblApplications[Action],"Migré",TblApplications[Environnement],av_envc,TblApplications[Domaine],av_domc,TblApplications[Tribe],av_tric))</f>
        <v/>
      </c>
      <c r="E71" s="21" t="str">
        <f aca="false">IF($B71="","",COUNTIFS(TblApplications[Tribe],$B71,TblApplications[Action],"À migrer",TblApplications[Environnement],av_envc,TblApplications[Domaine],av_domc,TblApplications[Tribe],av_tric))</f>
        <v/>
      </c>
      <c r="F71" s="21" t="str">
        <f aca="false">IF($B71="","",COUNTIFS(TblApplications[Tribe],$B71,TblApplications[Action],"À décommissionner",TblApplications[Environnement],av_envc,TblApplications[Domaine],av_domc,TblApplications[Tribe],av_tric))</f>
        <v/>
      </c>
      <c r="G71" s="21" t="str">
        <f aca="false">IF($B71="","",COUNTIFS(TblApplications[Tribe],$B71,TblApplications[Action],"Décommissionné",TblApplications[Environnement],av_envc,TblApplications[Domaine],av_domc,TblApplications[Tribe],av_tric))</f>
        <v/>
      </c>
      <c r="H71" s="21" t="str">
        <f aca="false">IF($B71="","",SUM(D71:G71))</f>
        <v/>
      </c>
      <c r="AV71" s="39" t="n">
        <f aca="false">IF(9&gt;p_horizon,"",EDATE(p_debut,8))</f>
        <v>46539</v>
      </c>
      <c r="AW71" s="40" t="n">
        <f aca="false">IF(9&gt;p_horizon,"",COUNTIFS(TblApplications[Action],"À migrer",TblApplications[Mois bascule],"&gt;="&amp;AV71,TblApplications[Mois bascule],"&lt;"&amp;EDATE(AV71,1),TblApplications[Environnement],av_envc,TblApplications[Domaine],av_domc,TblApplications[Tribe],av_tric))</f>
        <v>0</v>
      </c>
      <c r="AX71" s="40" t="n">
        <f aca="false">IF(9&gt;p_horizon,"",COUNTIFS(TblApplications[Action],"À décommissionner",TblApplications[Mois lib (calc)],AV71,TblApplications[Environnement],av_envc,TblApplications[Domaine],av_domc,TblApplications[Tribe],av_tric))</f>
        <v>1</v>
      </c>
      <c r="AY71" s="40" t="n">
        <f aca="false">IF(9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(calc)],"&lt;="&amp;AV71,TblApplications[Environnement],av_envc,TblApplications[Domaine],av_domc,TblApplications[Tribe],av_tric)+COUNTIFS(TblApplications[Action],"À décommissionner",TblApplications[Mois lib (calc)],"&lt;="&amp;AV71,TblApplications[Environnement],av_envc,TblApplications[Domaine],av_domc,TblApplications[Tribe],av_tric))</f>
        <v>5</v>
      </c>
      <c r="AZ71" s="41" t="n">
        <f aca="false">IF(9&gt;p_horizon,"",IFERROR(AY71/COUNTIFS(TblApplications[ID],"&lt;&gt;",TblApplications[Environnement],av_envc,TblApplications[Domaine],av_domc,TblApplications[Tribe],av_tric),0))</f>
        <v>0.384615384615385</v>
      </c>
    </row>
    <row r="72" customFormat="false" ht="15" hidden="false" customHeight="false" outlineLevel="0" collapsed="false">
      <c r="B72" s="21" t="str">
        <f aca="false">IFERROR(IF(INDEX(TblTribes[Tribe],39)="","",INDEX(TblTribes[Tribe],39)),"")</f>
        <v/>
      </c>
      <c r="C72" s="21" t="str">
        <f aca="false">IF($B72="","",INDEX(TblTribes[Domaine de la tribe],39))</f>
        <v/>
      </c>
      <c r="D72" s="21" t="str">
        <f aca="false">IF($B72="","",COUNTIFS(TblApplications[Tribe],$B72,TblApplications[Action],"Migré",TblApplications[Environnement],av_envc,TblApplications[Domaine],av_domc,TblApplications[Tribe],av_tric))</f>
        <v/>
      </c>
      <c r="E72" s="21" t="str">
        <f aca="false">IF($B72="","",COUNTIFS(TblApplications[Tribe],$B72,TblApplications[Action],"À migrer",TblApplications[Environnement],av_envc,TblApplications[Domaine],av_domc,TblApplications[Tribe],av_tric))</f>
        <v/>
      </c>
      <c r="F72" s="21" t="str">
        <f aca="false">IF($B72="","",COUNTIFS(TblApplications[Tribe],$B72,TblApplications[Action],"À décommissionner",TblApplications[Environnement],av_envc,TblApplications[Domaine],av_domc,TblApplications[Tribe],av_tric))</f>
        <v/>
      </c>
      <c r="G72" s="21" t="str">
        <f aca="false">IF($B72="","",COUNTIFS(TblApplications[Tribe],$B72,TblApplications[Action],"Décommissionné",TblApplications[Environnement],av_envc,TblApplications[Domaine],av_domc,TblApplications[Tribe],av_tric))</f>
        <v/>
      </c>
      <c r="H72" s="21" t="str">
        <f aca="false">IF($B72="","",SUM(D72:G72))</f>
        <v/>
      </c>
      <c r="AV72" s="39" t="n">
        <f aca="false">IF(10&gt;p_horizon,"",EDATE(p_debut,9))</f>
        <v>46569</v>
      </c>
      <c r="AW72" s="40" t="n">
        <f aca="false">IF(10&gt;p_horizon,"",COUNTIFS(TblApplications[Action],"À migrer",TblApplications[Mois bascule],"&gt;="&amp;AV72,TblApplications[Mois bascule],"&lt;"&amp;EDATE(AV72,1),TblApplications[Environnement],av_envc,TblApplications[Domaine],av_domc,TblApplications[Tribe],av_tric))</f>
        <v>0</v>
      </c>
      <c r="AX72" s="40" t="n">
        <f aca="false">IF(10&gt;p_horizon,"",COUNTIFS(TblApplications[Action],"À décommissionner",TblApplications[Mois lib (calc)],AV72,TblApplications[Environnement],av_envc,TblApplications[Domaine],av_domc,TblApplications[Tribe],av_tric))</f>
        <v>0</v>
      </c>
      <c r="AY72" s="40" t="n">
        <f aca="false">IF(10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(calc)],"&lt;="&amp;AV72,TblApplications[Environnement],av_envc,TblApplications[Domaine],av_domc,TblApplications[Tribe],av_tric)+COUNTIFS(TblApplications[Action],"À décommissionner",TblApplications[Mois lib (calc)],"&lt;="&amp;AV72,TblApplications[Environnement],av_envc,TblApplications[Domaine],av_domc,TblApplications[Tribe],av_tric))</f>
        <v>6</v>
      </c>
      <c r="AZ72" s="41" t="n">
        <f aca="false">IF(10&gt;p_horizon,"",IFERROR(AY72/COUNTIFS(TblApplications[ID],"&lt;&gt;",TblApplications[Environnement],av_envc,TblApplications[Domaine],av_domc,TblApplications[Tribe],av_tric),0))</f>
        <v>0.461538461538462</v>
      </c>
    </row>
    <row r="73" customFormat="false" ht="15" hidden="false" customHeight="false" outlineLevel="0" collapsed="false">
      <c r="B73" s="21" t="str">
        <f aca="false">IFERROR(IF(INDEX(TblTribes[Tribe],40)="","",INDEX(TblTribes[Tribe],40)),"")</f>
        <v/>
      </c>
      <c r="C73" s="21" t="str">
        <f aca="false">IF($B73="","",INDEX(TblTribes[Domaine de la tribe],40))</f>
        <v/>
      </c>
      <c r="D73" s="21" t="str">
        <f aca="false">IF($B73="","",COUNTIFS(TblApplications[Tribe],$B73,TblApplications[Action],"Migré",TblApplications[Environnement],av_envc,TblApplications[Domaine],av_domc,TblApplications[Tribe],av_tric))</f>
        <v/>
      </c>
      <c r="E73" s="21" t="str">
        <f aca="false">IF($B73="","",COUNTIFS(TblApplications[Tribe],$B73,TblApplications[Action],"À migrer",TblApplications[Environnement],av_envc,TblApplications[Domaine],av_domc,TblApplications[Tribe],av_tric))</f>
        <v/>
      </c>
      <c r="F73" s="21" t="str">
        <f aca="false">IF($B73="","",COUNTIFS(TblApplications[Tribe],$B73,TblApplications[Action],"À décommissionner",TblApplications[Environnement],av_envc,TblApplications[Domaine],av_domc,TblApplications[Tribe],av_tric))</f>
        <v/>
      </c>
      <c r="G73" s="21" t="str">
        <f aca="false">IF($B73="","",COUNTIFS(TblApplications[Tribe],$B73,TblApplications[Action],"Décommissionné",TblApplications[Environnement],av_envc,TblApplications[Domaine],av_domc,TblApplications[Tribe],av_tric))</f>
        <v/>
      </c>
      <c r="H73" s="21" t="str">
        <f aca="false">IF($B73="","",SUM(D73:G73))</f>
        <v/>
      </c>
      <c r="AV73" s="39" t="n">
        <f aca="false">IF(11&gt;p_horizon,"",EDATE(p_debut,10))</f>
        <v>46600</v>
      </c>
      <c r="AW73" s="40" t="n">
        <f aca="false">IF(11&gt;p_horizon,"",COUNTIFS(TblApplications[Action],"À migrer",TblApplications[Mois bascule],"&gt;="&amp;AV73,TblApplications[Mois bascule],"&lt;"&amp;EDATE(AV73,1),TblApplications[Environnement],av_envc,TblApplications[Domaine],av_domc,TblApplications[Tribe],av_tric))</f>
        <v>0</v>
      </c>
      <c r="AX73" s="40" t="n">
        <f aca="false">IF(11&gt;p_horizon,"",COUNTIFS(TblApplications[Action],"À décommissionner",TblApplications[Mois lib (calc)],AV73,TblApplications[Environnement],av_envc,TblApplications[Domaine],av_domc,TblApplications[Tribe],av_tric))</f>
        <v>0</v>
      </c>
      <c r="AY73" s="40" t="n">
        <f aca="false">IF(11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(calc)],"&lt;="&amp;AV73,TblApplications[Environnement],av_envc,TblApplications[Domaine],av_domc,TblApplications[Tribe],av_tric)+COUNTIFS(TblApplications[Action],"À décommissionner",TblApplications[Mois lib (calc)],"&lt;="&amp;AV73,TblApplications[Environnement],av_envc,TblApplications[Domaine],av_domc,TblApplications[Tribe],av_tric))</f>
        <v>6</v>
      </c>
      <c r="AZ73" s="41" t="n">
        <f aca="false">IF(11&gt;p_horizon,"",IFERROR(AY73/COUNTIFS(TblApplications[ID],"&lt;&gt;",TblApplications[Environnement],av_envc,TblApplications[Domaine],av_domc,TblApplications[Tribe],av_tric),0))</f>
        <v>0.461538461538462</v>
      </c>
    </row>
    <row r="74" customFormat="false" ht="15" hidden="false" customHeight="false" outlineLevel="0" collapsed="false">
      <c r="AV74" s="39" t="n">
        <f aca="false">IF(12&gt;p_horizon,"",EDATE(p_debut,11))</f>
        <v>46631</v>
      </c>
      <c r="AW74" s="40" t="n">
        <f aca="false">IF(12&gt;p_horizon,"",COUNTIFS(TblApplications[Action],"À migrer",TblApplications[Mois bascule],"&gt;="&amp;AV74,TblApplications[Mois bascule],"&lt;"&amp;EDATE(AV74,1),TblApplications[Environnement],av_envc,TblApplications[Domaine],av_domc,TblApplications[Tribe],av_tric))</f>
        <v>1</v>
      </c>
      <c r="AX74" s="40" t="n">
        <f aca="false">IF(12&gt;p_horizon,"",COUNTIFS(TblApplications[Action],"À décommissionner",TblApplications[Mois lib (calc)],AV74,TblApplications[Environnement],av_envc,TblApplications[Domaine],av_domc,TblApplications[Tribe],av_tric))</f>
        <v>0</v>
      </c>
      <c r="AY74" s="40" t="n">
        <f aca="false">IF(12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(calc)],"&lt;="&amp;AV74,TblApplications[Environnement],av_envc,TblApplications[Domaine],av_domc,TblApplications[Tribe],av_tric)+COUNTIFS(TblApplications[Action],"À décommissionner",TblApplications[Mois lib (calc)],"&lt;="&amp;AV74,TblApplications[Environnement],av_envc,TblApplications[Domaine],av_domc,TblApplications[Tribe],av_tric))</f>
        <v>6</v>
      </c>
      <c r="AZ74" s="41" t="n">
        <f aca="false">IF(12&gt;p_horizon,"",IFERROR(AY74/COUNTIFS(TblApplications[ID],"&lt;&gt;",TblApplications[Environnement],av_envc,TblApplications[Domaine],av_domc,TblApplications[Tribe],av_tric),0))</f>
        <v>0.461538461538462</v>
      </c>
    </row>
    <row r="75" customFormat="false" ht="15" hidden="false" customHeight="false" outlineLevel="0" collapsed="false">
      <c r="AV75" s="39" t="n">
        <f aca="false">IF(13&gt;p_horizon,"",EDATE(p_debut,12))</f>
        <v>46661</v>
      </c>
      <c r="AW75" s="40" t="n">
        <f aca="false">IF(13&gt;p_horizon,"",COUNTIFS(TblApplications[Action],"À migrer",TblApplications[Mois bascule],"&gt;="&amp;AV75,TblApplications[Mois bascule],"&lt;"&amp;EDATE(AV75,1),TblApplications[Environnement],av_envc,TblApplications[Domaine],av_domc,TblApplications[Tribe],av_tric))</f>
        <v>2</v>
      </c>
      <c r="AX75" s="40" t="n">
        <f aca="false">IF(13&gt;p_horizon,"",COUNTIFS(TblApplications[Action],"À décommissionner",TblApplications[Mois lib (calc)],AV75,TblApplications[Environnement],av_envc,TblApplications[Domaine],av_domc,TblApplications[Tribe],av_tric))</f>
        <v>0</v>
      </c>
      <c r="AY75" s="40" t="n">
        <f aca="false">IF(13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(calc)],"&lt;="&amp;AV75,TblApplications[Environnement],av_envc,TblApplications[Domaine],av_domc,TblApplications[Tribe],av_tric)+COUNTIFS(TblApplications[Action],"À décommissionner",TblApplications[Mois lib (calc)],"&lt;="&amp;AV75,TblApplications[Environnement],av_envc,TblApplications[Domaine],av_domc,TblApplications[Tribe],av_tric))</f>
        <v>8</v>
      </c>
      <c r="AZ75" s="41" t="n">
        <f aca="false">IF(13&gt;p_horizon,"",IFERROR(AY75/COUNTIFS(TblApplications[ID],"&lt;&gt;",TblApplications[Environnement],av_envc,TblApplications[Domaine],av_domc,TblApplications[Tribe],av_tric),0))</f>
        <v>0.615384615384615</v>
      </c>
    </row>
    <row r="76" customFormat="false" ht="15" hidden="false" customHeight="false" outlineLevel="0" collapsed="false">
      <c r="B76" s="17" t="s">
        <v>47</v>
      </c>
      <c r="AV76" s="39" t="n">
        <f aca="false">IF(14&gt;p_horizon,"",EDATE(p_debut,13))</f>
        <v>46692</v>
      </c>
      <c r="AW76" s="40" t="n">
        <f aca="false">IF(14&gt;p_horizon,"",COUNTIFS(TblApplications[Action],"À migrer",TblApplications[Mois bascule],"&gt;="&amp;AV76,TblApplications[Mois bascule],"&lt;"&amp;EDATE(AV76,1),TblApplications[Environnement],av_envc,TblApplications[Domaine],av_domc,TblApplications[Tribe],av_tric))</f>
        <v>0</v>
      </c>
      <c r="AX76" s="40" t="n">
        <f aca="false">IF(14&gt;p_horizon,"",COUNTIFS(TblApplications[Action],"À décommissionner",TblApplications[Mois lib (calc)],AV76,TblApplications[Environnement],av_envc,TblApplications[Domaine],av_domc,TblApplications[Tribe],av_tric))</f>
        <v>0</v>
      </c>
      <c r="AY76" s="40" t="n">
        <f aca="false">IF(14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(calc)],"&lt;="&amp;AV76,TblApplications[Environnement],av_envc,TblApplications[Domaine],av_domc,TblApplications[Tribe],av_tric)+COUNTIFS(TblApplications[Action],"À décommissionner",TblApplications[Mois lib (calc)],"&lt;="&amp;AV76,TblApplications[Environnement],av_envc,TblApplications[Domaine],av_domc,TblApplications[Tribe],av_tric))</f>
        <v>9</v>
      </c>
      <c r="AZ76" s="41" t="n">
        <f aca="false">IF(14&gt;p_horizon,"",IFERROR(AY76/COUNTIFS(TblApplications[ID],"&lt;&gt;",TblApplications[Environnement],av_envc,TblApplications[Domaine],av_domc,TblApplications[Tribe],av_tric),0))</f>
        <v>0.692307692307692</v>
      </c>
    </row>
    <row r="77" customFormat="false" ht="15" hidden="false" customHeight="false" outlineLevel="0" collapsed="false">
      <c r="AV77" s="39" t="n">
        <f aca="false">IF(15&gt;p_horizon,"",EDATE(p_debut,14))</f>
        <v>46722</v>
      </c>
      <c r="AW77" s="40" t="n">
        <f aca="false">IF(15&gt;p_horizon,"",COUNTIFS(TblApplications[Action],"À migrer",TblApplications[Mois bascule],"&gt;="&amp;AV77,TblApplications[Mois bascule],"&lt;"&amp;EDATE(AV77,1),TblApplications[Environnement],av_envc,TblApplications[Domaine],av_domc,TblApplications[Tribe],av_tric))</f>
        <v>0</v>
      </c>
      <c r="AX77" s="40" t="n">
        <f aca="false">IF(15&gt;p_horizon,"",COUNTIFS(TblApplications[Action],"À décommissionner",TblApplications[Mois lib (calc)],AV77,TblApplications[Environnement],av_envc,TblApplications[Domaine],av_domc,TblApplications[Tribe],av_tric))</f>
        <v>0</v>
      </c>
      <c r="AY77" s="40" t="n">
        <f aca="false">IF(15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(calc)],"&lt;="&amp;AV77,TblApplications[Environnement],av_envc,TblApplications[Domaine],av_domc,TblApplications[Tribe],av_tric)+COUNTIFS(TblApplications[Action],"À décommissionner",TblApplications[Mois lib (calc)],"&lt;="&amp;AV77,TblApplications[Environnement],av_envc,TblApplications[Domaine],av_domc,TblApplications[Tribe],av_tric))</f>
        <v>9</v>
      </c>
      <c r="AZ77" s="41" t="n">
        <f aca="false">IF(15&gt;p_horizon,"",IFERROR(AY77/COUNTIFS(TblApplications[ID],"&lt;&gt;",TblApplications[Environnement],av_envc,TblApplications[Domaine],av_domc,TblApplications[Tribe],av_tric),0))</f>
        <v>0.692307692307692</v>
      </c>
    </row>
    <row r="78" customFormat="false" ht="15" hidden="false" customHeight="false" outlineLevel="0" collapsed="false">
      <c r="AV78" s="39" t="n">
        <f aca="false">IF(16&gt;p_horizon,"",EDATE(p_debut,15))</f>
        <v>46753</v>
      </c>
      <c r="AW78" s="40" t="n">
        <f aca="false">IF(16&gt;p_horizon,"",COUNTIFS(TblApplications[Action],"À migrer",TblApplications[Mois bascule],"&gt;="&amp;AV78,TblApplications[Mois bascule],"&lt;"&amp;EDATE(AV78,1),TblApplications[Environnement],av_envc,TblApplications[Domaine],av_domc,TblApplications[Tribe],av_tric))</f>
        <v>0</v>
      </c>
      <c r="AX78" s="40" t="n">
        <f aca="false">IF(16&gt;p_horizon,"",COUNTIFS(TblApplications[Action],"À décommissionner",TblApplications[Mois lib (calc)],AV78,TblApplications[Environnement],av_envc,TblApplications[Domaine],av_domc,TblApplications[Tribe],av_tric))</f>
        <v>0</v>
      </c>
      <c r="AY78" s="40" t="n">
        <f aca="false">IF(16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(calc)],"&lt;="&amp;AV78,TblApplications[Environnement],av_envc,TblApplications[Domaine],av_domc,TblApplications[Tribe],av_tric)+COUNTIFS(TblApplications[Action],"À décommissionner",TblApplications[Mois lib (calc)],"&lt;="&amp;AV78,TblApplications[Environnement],av_envc,TblApplications[Domaine],av_domc,TblApplications[Tribe],av_tric))</f>
        <v>9</v>
      </c>
      <c r="AZ78" s="41" t="n">
        <f aca="false">IF(16&gt;p_horizon,"",IFERROR(AY78/COUNTIFS(TblApplications[ID],"&lt;&gt;",TblApplications[Environnement],av_envc,TblApplications[Domaine],av_domc,TblApplications[Tribe],av_tric),0))</f>
        <v>0.692307692307692</v>
      </c>
    </row>
    <row r="79" customFormat="false" ht="15" hidden="false" customHeight="false" outlineLevel="0" collapsed="false">
      <c r="AV79" s="39" t="n">
        <f aca="false">IF(17&gt;p_horizon,"",EDATE(p_debut,16))</f>
        <v>46784</v>
      </c>
      <c r="AW79" s="40" t="n">
        <f aca="false">IF(17&gt;p_horizon,"",COUNTIFS(TblApplications[Action],"À migrer",TblApplications[Mois bascule],"&gt;="&amp;AV79,TblApplications[Mois bascule],"&lt;"&amp;EDATE(AV79,1),TblApplications[Environnement],av_envc,TblApplications[Domaine],av_domc,TblApplications[Tribe],av_tric))</f>
        <v>1</v>
      </c>
      <c r="AX79" s="40" t="n">
        <f aca="false">IF(17&gt;p_horizon,"",COUNTIFS(TblApplications[Action],"À décommissionner",TblApplications[Mois lib (calc)],AV79,TblApplications[Environnement],av_envc,TblApplications[Domaine],av_domc,TblApplications[Tribe],av_tric))</f>
        <v>0</v>
      </c>
      <c r="AY79" s="40" t="n">
        <f aca="false">IF(17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(calc)],"&lt;="&amp;AV79,TblApplications[Environnement],av_envc,TblApplications[Domaine],av_domc,TblApplications[Tribe],av_tric)+COUNTIFS(TblApplications[Action],"À décommissionner",TblApplications[Mois lib (calc)],"&lt;="&amp;AV79,TblApplications[Environnement],av_envc,TblApplications[Domaine],av_domc,TblApplications[Tribe],av_tric))</f>
        <v>9</v>
      </c>
      <c r="AZ79" s="41" t="n">
        <f aca="false">IF(17&gt;p_horizon,"",IFERROR(AY79/COUNTIFS(TblApplications[ID],"&lt;&gt;",TblApplications[Environnement],av_envc,TblApplications[Domaine],av_domc,TblApplications[Tribe],av_tric),0))</f>
        <v>0.692307692307692</v>
      </c>
    </row>
    <row r="80" customFormat="false" ht="15" hidden="false" customHeight="false" outlineLevel="0" collapsed="false">
      <c r="AV80" s="39" t="n">
        <f aca="false">IF(18&gt;p_horizon,"",EDATE(p_debut,17))</f>
        <v>46813</v>
      </c>
      <c r="AW80" s="40" t="n">
        <f aca="false">IF(18&gt;p_horizon,"",COUNTIFS(TblApplications[Action],"À migrer",TblApplications[Mois bascule],"&gt;="&amp;AV80,TblApplications[Mois bascule],"&lt;"&amp;EDATE(AV80,1),TblApplications[Environnement],av_envc,TblApplications[Domaine],av_domc,TblApplications[Tribe],av_tric))</f>
        <v>0</v>
      </c>
      <c r="AX80" s="40" t="n">
        <f aca="false">IF(18&gt;p_horizon,"",COUNTIFS(TblApplications[Action],"À décommissionner",TblApplications[Mois lib (calc)],AV80,TblApplications[Environnement],av_envc,TblApplications[Domaine],av_domc,TblApplications[Tribe],av_tric))</f>
        <v>0</v>
      </c>
      <c r="AY80" s="40" t="n">
        <f aca="false">IF(18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(calc)],"&lt;="&amp;AV80,TblApplications[Environnement],av_envc,TblApplications[Domaine],av_domc,TblApplications[Tribe],av_tric)+COUNTIFS(TblApplications[Action],"À décommissionner",TblApplications[Mois lib (calc)],"&lt;="&amp;AV80,TblApplications[Environnement],av_envc,TblApplications[Domaine],av_domc,TblApplications[Tribe],av_tric))</f>
        <v>10</v>
      </c>
      <c r="AZ80" s="41" t="n">
        <f aca="false">IF(18&gt;p_horizon,"",IFERROR(AY80/COUNTIFS(TblApplications[ID],"&lt;&gt;",TblApplications[Environnement],av_envc,TblApplications[Domaine],av_domc,TblApplications[Tribe],av_tric),0))</f>
        <v>0.769230769230769</v>
      </c>
    </row>
    <row r="81" customFormat="false" ht="15" hidden="false" customHeight="false" outlineLevel="0" collapsed="false">
      <c r="AV81" s="39" t="n">
        <f aca="false">IF(19&gt;p_horizon,"",EDATE(p_debut,18))</f>
        <v>46844</v>
      </c>
      <c r="AW81" s="40" t="n">
        <f aca="false">IF(19&gt;p_horizon,"",COUNTIFS(TblApplications[Action],"À migrer",TblApplications[Mois bascule],"&gt;="&amp;AV81,TblApplications[Mois bascule],"&lt;"&amp;EDATE(AV81,1),TblApplications[Environnement],av_envc,TblApplications[Domaine],av_domc,TblApplications[Tribe],av_tric))</f>
        <v>0</v>
      </c>
      <c r="AX81" s="40" t="n">
        <f aca="false">IF(19&gt;p_horizon,"",COUNTIFS(TblApplications[Action],"À décommissionner",TblApplications[Mois lib (calc)],AV81,TblApplications[Environnement],av_envc,TblApplications[Domaine],av_domc,TblApplications[Tribe],av_tric))</f>
        <v>0</v>
      </c>
      <c r="AY81" s="40" t="n">
        <f aca="false">IF(19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(calc)],"&lt;="&amp;AV81,TblApplications[Environnement],av_envc,TblApplications[Domaine],av_domc,TblApplications[Tribe],av_tric)+COUNTIFS(TblApplications[Action],"À décommissionner",TblApplications[Mois lib (calc)],"&lt;="&amp;AV81,TblApplications[Environnement],av_envc,TblApplications[Domaine],av_domc,TblApplications[Tribe],av_tric))</f>
        <v>10</v>
      </c>
      <c r="AZ81" s="41" t="n">
        <f aca="false">IF(19&gt;p_horizon,"",IFERROR(AY81/COUNTIFS(TblApplications[ID],"&lt;&gt;",TblApplications[Environnement],av_envc,TblApplications[Domaine],av_domc,TblApplications[Tribe],av_tric),0))</f>
        <v>0.769230769230769</v>
      </c>
    </row>
    <row r="82" customFormat="false" ht="15" hidden="false" customHeight="false" outlineLevel="0" collapsed="false">
      <c r="AV82" s="39" t="n">
        <f aca="false">IF(20&gt;p_horizon,"",EDATE(p_debut,19))</f>
        <v>46874</v>
      </c>
      <c r="AW82" s="40" t="n">
        <f aca="false">IF(20&gt;p_horizon,"",COUNTIFS(TblApplications[Action],"À migrer",TblApplications[Mois bascule],"&gt;="&amp;AV82,TblApplications[Mois bascule],"&lt;"&amp;EDATE(AV82,1),TblApplications[Environnement],av_envc,TblApplications[Domaine],av_domc,TblApplications[Tribe],av_tric))</f>
        <v>2</v>
      </c>
      <c r="AX82" s="40" t="n">
        <f aca="false">IF(20&gt;p_horizon,"",COUNTIFS(TblApplications[Action],"À décommissionner",TblApplications[Mois lib (calc)],AV82,TblApplications[Environnement],av_envc,TblApplications[Domaine],av_domc,TblApplications[Tribe],av_tric))</f>
        <v>0</v>
      </c>
      <c r="AY82" s="40" t="n">
        <f aca="false">IF(20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(calc)],"&lt;="&amp;AV82,TblApplications[Environnement],av_envc,TblApplications[Domaine],av_domc,TblApplications[Tribe],av_tric)+COUNTIFS(TblApplications[Action],"À décommissionner",TblApplications[Mois lib (calc)],"&lt;="&amp;AV82,TblApplications[Environnement],av_envc,TblApplications[Domaine],av_domc,TblApplications[Tribe],av_tric))</f>
        <v>10</v>
      </c>
      <c r="AZ82" s="41" t="n">
        <f aca="false">IF(20&gt;p_horizon,"",IFERROR(AY82/COUNTIFS(TblApplications[ID],"&lt;&gt;",TblApplications[Environnement],av_envc,TblApplications[Domaine],av_domc,TblApplications[Tribe],av_tric),0))</f>
        <v>0.769230769230769</v>
      </c>
    </row>
    <row r="83" customFormat="false" ht="15" hidden="false" customHeight="false" outlineLevel="0" collapsed="false">
      <c r="AV83" s="39" t="n">
        <f aca="false">IF(21&gt;p_horizon,"",EDATE(p_debut,20))</f>
        <v>46905</v>
      </c>
      <c r="AW83" s="40" t="n">
        <f aca="false">IF(21&gt;p_horizon,"",COUNTIFS(TblApplications[Action],"À migrer",TblApplications[Mois bascule],"&gt;="&amp;AV83,TblApplications[Mois bascule],"&lt;"&amp;EDATE(AV83,1),TblApplications[Environnement],av_envc,TblApplications[Domaine],av_domc,TblApplications[Tribe],av_tric))</f>
        <v>0</v>
      </c>
      <c r="AX83" s="40" t="n">
        <f aca="false">IF(21&gt;p_horizon,"",COUNTIFS(TblApplications[Action],"À décommissionner",TblApplications[Mois lib (calc)],AV83,TblApplications[Environnement],av_envc,TblApplications[Domaine],av_domc,TblApplications[Tribe],av_tric))</f>
        <v>0</v>
      </c>
      <c r="AY83" s="40" t="n">
        <f aca="false">IF(21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(calc)],"&lt;="&amp;AV83,TblApplications[Environnement],av_envc,TblApplications[Domaine],av_domc,TblApplications[Tribe],av_tric)+COUNTIFS(TblApplications[Action],"À décommissionner",TblApplications[Mois lib (calc)],"&lt;="&amp;AV83,TblApplications[Environnement],av_envc,TblApplications[Domaine],av_domc,TblApplications[Tribe],av_tric))</f>
        <v>12</v>
      </c>
      <c r="AZ83" s="41" t="n">
        <f aca="false">IF(21&gt;p_horizon,"",IFERROR(AY83/COUNTIFS(TblApplications[ID],"&lt;&gt;",TblApplications[Environnement],av_envc,TblApplications[Domaine],av_domc,TblApplications[Tribe],av_tric),0))</f>
        <v>0.923076923076923</v>
      </c>
    </row>
    <row r="84" customFormat="false" ht="15" hidden="false" customHeight="false" outlineLevel="0" collapsed="false">
      <c r="AV84" s="39" t="n">
        <f aca="false">IF(22&gt;p_horizon,"",EDATE(p_debut,21))</f>
        <v>46935</v>
      </c>
      <c r="AW84" s="40" t="n">
        <f aca="false">IF(22&gt;p_horizon,"",COUNTIFS(TblApplications[Action],"À migrer",TblApplications[Mois bascule],"&gt;="&amp;AV84,TblApplications[Mois bascule],"&lt;"&amp;EDATE(AV84,1),TblApplications[Environnement],av_envc,TblApplications[Domaine],av_domc,TblApplications[Tribe],av_tric))</f>
        <v>0</v>
      </c>
      <c r="AX84" s="40" t="n">
        <f aca="false">IF(22&gt;p_horizon,"",COUNTIFS(TblApplications[Action],"À décommissionner",TblApplications[Mois lib (calc)],AV84,TblApplications[Environnement],av_envc,TblApplications[Domaine],av_domc,TblApplications[Tribe],av_tric))</f>
        <v>0</v>
      </c>
      <c r="AY84" s="40" t="n">
        <f aca="false">IF(22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(calc)],"&lt;="&amp;AV84,TblApplications[Environnement],av_envc,TblApplications[Domaine],av_domc,TblApplications[Tribe],av_tric)+COUNTIFS(TblApplications[Action],"À décommissionner",TblApplications[Mois lib (calc)],"&lt;="&amp;AV84,TblApplications[Environnement],av_envc,TblApplications[Domaine],av_domc,TblApplications[Tribe],av_tric))</f>
        <v>12</v>
      </c>
      <c r="AZ84" s="41" t="n">
        <f aca="false">IF(22&gt;p_horizon,"",IFERROR(AY84/COUNTIFS(TblApplications[ID],"&lt;&gt;",TblApplications[Environnement],av_envc,TblApplications[Domaine],av_domc,TblApplications[Tribe],av_tric),0))</f>
        <v>0.923076923076923</v>
      </c>
    </row>
    <row r="85" customFormat="false" ht="15" hidden="false" customHeight="false" outlineLevel="0" collapsed="false">
      <c r="AV85" s="39" t="n">
        <f aca="false">IF(23&gt;p_horizon,"",EDATE(p_debut,22))</f>
        <v>46966</v>
      </c>
      <c r="AW85" s="40" t="n">
        <f aca="false">IF(23&gt;p_horizon,"",COUNTIFS(TblApplications[Action],"À migrer",TblApplications[Mois bascule],"&gt;="&amp;AV85,TblApplications[Mois bascule],"&lt;"&amp;EDATE(AV85,1),TblApplications[Environnement],av_envc,TblApplications[Domaine],av_domc,TblApplications[Tribe],av_tric))</f>
        <v>0</v>
      </c>
      <c r="AX85" s="40" t="n">
        <f aca="false">IF(23&gt;p_horizon,"",COUNTIFS(TblApplications[Action],"À décommissionner",TblApplications[Mois lib (calc)],AV85,TblApplications[Environnement],av_envc,TblApplications[Domaine],av_domc,TblApplications[Tribe],av_tric))</f>
        <v>0</v>
      </c>
      <c r="AY85" s="40" t="n">
        <f aca="false">IF(23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(calc)],"&lt;="&amp;AV85,TblApplications[Environnement],av_envc,TblApplications[Domaine],av_domc,TblApplications[Tribe],av_tric)+COUNTIFS(TblApplications[Action],"À décommissionner",TblApplications[Mois lib (calc)],"&lt;="&amp;AV85,TblApplications[Environnement],av_envc,TblApplications[Domaine],av_domc,TblApplications[Tribe],av_tric))</f>
        <v>12</v>
      </c>
      <c r="AZ85" s="41" t="n">
        <f aca="false">IF(23&gt;p_horizon,"",IFERROR(AY85/COUNTIFS(TblApplications[ID],"&lt;&gt;",TblApplications[Environnement],av_envc,TblApplications[Domaine],av_domc,TblApplications[Tribe],av_tric),0))</f>
        <v>0.923076923076923</v>
      </c>
    </row>
    <row r="86" customFormat="false" ht="15" hidden="false" customHeight="false" outlineLevel="0" collapsed="false">
      <c r="AV86" s="39" t="n">
        <f aca="false">IF(24&gt;p_horizon,"",EDATE(p_debut,23))</f>
        <v>46997</v>
      </c>
      <c r="AW86" s="40" t="n">
        <f aca="false">IF(24&gt;p_horizon,"",COUNTIFS(TblApplications[Action],"À migrer",TblApplications[Mois bascule],"&gt;="&amp;AV86,TblApplications[Mois bascule],"&lt;"&amp;EDATE(AV86,1),TblApplications[Environnement],av_envc,TblApplications[Domaine],av_domc,TblApplications[Tribe],av_tric))</f>
        <v>0</v>
      </c>
      <c r="AX86" s="40" t="n">
        <f aca="false">IF(24&gt;p_horizon,"",COUNTIFS(TblApplications[Action],"À décommissionner",TblApplications[Mois lib (calc)],AV86,TblApplications[Environnement],av_envc,TblApplications[Domaine],av_domc,TblApplications[Tribe],av_tric))</f>
        <v>0</v>
      </c>
      <c r="AY86" s="40" t="n">
        <f aca="false">IF(24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(calc)],"&lt;="&amp;AV86,TblApplications[Environnement],av_envc,TblApplications[Domaine],av_domc,TblApplications[Tribe],av_tric)+COUNTIFS(TblApplications[Action],"À décommissionner",TblApplications[Mois lib (calc)],"&lt;="&amp;AV86,TblApplications[Environnement],av_envc,TblApplications[Domaine],av_domc,TblApplications[Tribe],av_tric))</f>
        <v>12</v>
      </c>
      <c r="AZ86" s="41" t="n">
        <f aca="false">IF(24&gt;p_horizon,"",IFERROR(AY86/COUNTIFS(TblApplications[ID],"&lt;&gt;",TblApplications[Environnement],av_envc,TblApplications[Domaine],av_domc,TblApplications[Tribe],av_tric),0))</f>
        <v>0.923076923076923</v>
      </c>
    </row>
    <row r="87" customFormat="false" ht="15" hidden="false" customHeight="false" outlineLevel="0" collapsed="false">
      <c r="AV87" s="39" t="n">
        <f aca="false">IF(25&gt;p_horizon,"",EDATE(p_debut,24))</f>
        <v>47027</v>
      </c>
      <c r="AW87" s="40" t="n">
        <f aca="false">IF(25&gt;p_horizon,"",COUNTIFS(TblApplications[Action],"À migrer",TblApplications[Mois bascule],"&gt;="&amp;AV87,TblApplications[Mois bascule],"&lt;"&amp;EDATE(AV87,1),TblApplications[Environnement],av_envc,TblApplications[Domaine],av_domc,TblApplications[Tribe],av_tric))</f>
        <v>1</v>
      </c>
      <c r="AX87" s="40" t="n">
        <f aca="false">IF(25&gt;p_horizon,"",COUNTIFS(TblApplications[Action],"À décommissionner",TblApplications[Mois lib (calc)],AV87,TblApplications[Environnement],av_envc,TblApplications[Domaine],av_domc,TblApplications[Tribe],av_tric))</f>
        <v>0</v>
      </c>
      <c r="AY87" s="40" t="n">
        <f aca="false">IF(25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(calc)],"&lt;="&amp;AV87,TblApplications[Environnement],av_envc,TblApplications[Domaine],av_domc,TblApplications[Tribe],av_tric)+COUNTIFS(TblApplications[Action],"À décommissionner",TblApplications[Mois lib (calc)],"&lt;="&amp;AV87,TblApplications[Environnement],av_envc,TblApplications[Domaine],av_domc,TblApplications[Tribe],av_tric))</f>
        <v>12</v>
      </c>
      <c r="AZ87" s="41" t="n">
        <f aca="false">IF(25&gt;p_horizon,"",IFERROR(AY87/COUNTIFS(TblApplications[ID],"&lt;&gt;",TblApplications[Environnement],av_envc,TblApplications[Domaine],av_domc,TblApplications[Tribe],av_tric),0))</f>
        <v>0.923076923076923</v>
      </c>
    </row>
    <row r="88" customFormat="false" ht="15" hidden="false" customHeight="false" outlineLevel="0" collapsed="false">
      <c r="AV88" s="39" t="n">
        <f aca="false">IF(26&gt;p_horizon,"",EDATE(p_debut,25))</f>
        <v>47058</v>
      </c>
      <c r="AW88" s="40" t="n">
        <f aca="false">IF(26&gt;p_horizon,"",COUNTIFS(TblApplications[Action],"À migrer",TblApplications[Mois bascule],"&gt;="&amp;AV88,TblApplications[Mois bascule],"&lt;"&amp;EDATE(AV88,1),TblApplications[Environnement],av_envc,TblApplications[Domaine],av_domc,TblApplications[Tribe],av_tric))</f>
        <v>0</v>
      </c>
      <c r="AX88" s="40" t="n">
        <f aca="false">IF(26&gt;p_horizon,"",COUNTIFS(TblApplications[Action],"À décommissionner",TblApplications[Mois lib (calc)],AV88,TblApplications[Environnement],av_envc,TblApplications[Domaine],av_domc,TblApplications[Tribe],av_tric))</f>
        <v>0</v>
      </c>
      <c r="AY88" s="40" t="n">
        <f aca="false">IF(26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(calc)],"&lt;="&amp;AV88,TblApplications[Environnement],av_envc,TblApplications[Domaine],av_domc,TblApplications[Tribe],av_tric)+COUNTIFS(TblApplications[Action],"À décommissionner",TblApplications[Mois lib (calc)],"&lt;="&amp;AV88,TblApplications[Environnement],av_envc,TblApplications[Domaine],av_domc,TblApplications[Tribe],av_tric))</f>
        <v>12</v>
      </c>
      <c r="AZ88" s="41" t="n">
        <f aca="false">IF(26&gt;p_horizon,"",IFERROR(AY88/COUNTIFS(TblApplications[ID],"&lt;&gt;",TblApplications[Environnement],av_envc,TblApplications[Domaine],av_domc,TblApplications[Tribe],av_tric),0))</f>
        <v>0.923076923076923</v>
      </c>
    </row>
    <row r="89" customFormat="false" ht="15" hidden="false" customHeight="false" outlineLevel="0" collapsed="false">
      <c r="AV89" s="39" t="n">
        <f aca="false">IF(27&gt;p_horizon,"",EDATE(p_debut,26))</f>
        <v>47088</v>
      </c>
      <c r="AW89" s="40" t="n">
        <f aca="false">IF(27&gt;p_horizon,"",COUNTIFS(TblApplications[Action],"À migrer",TblApplications[Mois bascule],"&gt;="&amp;AV89,TblApplications[Mois bascule],"&lt;"&amp;EDATE(AV89,1),TblApplications[Environnement],av_envc,TblApplications[Domaine],av_domc,TblApplications[Tribe],av_tric))</f>
        <v>0</v>
      </c>
      <c r="AX89" s="40" t="n">
        <f aca="false">IF(27&gt;p_horizon,"",COUNTIFS(TblApplications[Action],"À décommissionner",TblApplications[Mois lib (calc)],AV89,TblApplications[Environnement],av_envc,TblApplications[Domaine],av_domc,TblApplications[Tribe],av_tric))</f>
        <v>0</v>
      </c>
      <c r="AY89" s="40" t="n">
        <f aca="false">IF(27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(calc)],"&lt;="&amp;AV89,TblApplications[Environnement],av_envc,TblApplications[Domaine],av_domc,TblApplications[Tribe],av_tric)+COUNTIFS(TblApplications[Action],"À décommissionner",TblApplications[Mois lib (calc)],"&lt;="&amp;AV89,TblApplications[Environnement],av_envc,TblApplications[Domaine],av_domc,TblApplications[Tribe],av_tric))</f>
        <v>13</v>
      </c>
      <c r="AZ89" s="41" t="n">
        <f aca="false">IF(27&gt;p_horizon,"",IFERROR(AY89/COUNTIFS(TblApplications[ID],"&lt;&gt;",TblApplications[Environnement],av_envc,TblApplications[Domaine],av_domc,TblApplications[Tribe],av_tric),0))</f>
        <v>1</v>
      </c>
    </row>
    <row r="90" customFormat="false" ht="15" hidden="false" customHeight="false" outlineLevel="0" collapsed="false">
      <c r="AV90" s="39" t="n">
        <f aca="false">IF(28&gt;p_horizon,"",EDATE(p_debut,27))</f>
        <v>47119</v>
      </c>
      <c r="AW90" s="40" t="n">
        <f aca="false">IF(28&gt;p_horizon,"",COUNTIFS(TblApplications[Action],"À migrer",TblApplications[Mois bascule],"&gt;="&amp;AV90,TblApplications[Mois bascule],"&lt;"&amp;EDATE(AV90,1),TblApplications[Environnement],av_envc,TblApplications[Domaine],av_domc,TblApplications[Tribe],av_tric))</f>
        <v>0</v>
      </c>
      <c r="AX90" s="40" t="n">
        <f aca="false">IF(28&gt;p_horizon,"",COUNTIFS(TblApplications[Action],"À décommissionner",TblApplications[Mois lib (calc)],AV90,TblApplications[Environnement],av_envc,TblApplications[Domaine],av_domc,TblApplications[Tribe],av_tric))</f>
        <v>0</v>
      </c>
      <c r="AY90" s="40" t="n">
        <f aca="false">IF(28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(calc)],"&lt;="&amp;AV90,TblApplications[Environnement],av_envc,TblApplications[Domaine],av_domc,TblApplications[Tribe],av_tric)+COUNTIFS(TblApplications[Action],"À décommissionner",TblApplications[Mois lib (calc)],"&lt;="&amp;AV90,TblApplications[Environnement],av_envc,TblApplications[Domaine],av_domc,TblApplications[Tribe],av_tric))</f>
        <v>13</v>
      </c>
      <c r="AZ90" s="41" t="n">
        <f aca="false">IF(28&gt;p_horizon,"",IFERROR(AY90/COUNTIFS(TblApplications[ID],"&lt;&gt;",TblApplications[Environnement],av_envc,TblApplications[Domaine],av_domc,TblApplications[Tribe],av_tric),0))</f>
        <v>1</v>
      </c>
    </row>
    <row r="91" customFormat="false" ht="15" hidden="false" customHeight="false" outlineLevel="0" collapsed="false">
      <c r="AV91" s="39" t="n">
        <f aca="false">IF(29&gt;p_horizon,"",EDATE(p_debut,28))</f>
        <v>47150</v>
      </c>
      <c r="AW91" s="40" t="n">
        <f aca="false">IF(29&gt;p_horizon,"",COUNTIFS(TblApplications[Action],"À migrer",TblApplications[Mois bascule],"&gt;="&amp;AV91,TblApplications[Mois bascule],"&lt;"&amp;EDATE(AV91,1),TblApplications[Environnement],av_envc,TblApplications[Domaine],av_domc,TblApplications[Tribe],av_tric))</f>
        <v>0</v>
      </c>
      <c r="AX91" s="40" t="n">
        <f aca="false">IF(29&gt;p_horizon,"",COUNTIFS(TblApplications[Action],"À décommissionner",TblApplications[Mois lib (calc)],AV91,TblApplications[Environnement],av_envc,TblApplications[Domaine],av_domc,TblApplications[Tribe],av_tric))</f>
        <v>0</v>
      </c>
      <c r="AY91" s="40" t="n">
        <f aca="false">IF(29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(calc)],"&lt;="&amp;AV91,TblApplications[Environnement],av_envc,TblApplications[Domaine],av_domc,TblApplications[Tribe],av_tric)+COUNTIFS(TblApplications[Action],"À décommissionner",TblApplications[Mois lib (calc)],"&lt;="&amp;AV91,TblApplications[Environnement],av_envc,TblApplications[Domaine],av_domc,TblApplications[Tribe],av_tric))</f>
        <v>13</v>
      </c>
      <c r="AZ91" s="41" t="n">
        <f aca="false">IF(29&gt;p_horizon,"",IFERROR(AY91/COUNTIFS(TblApplications[ID],"&lt;&gt;",TblApplications[Environnement],av_envc,TblApplications[Domaine],av_domc,TblApplications[Tribe],av_tric),0))</f>
        <v>1</v>
      </c>
    </row>
    <row r="92" customFormat="false" ht="15" hidden="false" customHeight="false" outlineLevel="0" collapsed="false">
      <c r="AV92" s="39" t="n">
        <f aca="false">IF(30&gt;p_horizon,"",EDATE(p_debut,29))</f>
        <v>47178</v>
      </c>
      <c r="AW92" s="40" t="n">
        <f aca="false">IF(30&gt;p_horizon,"",COUNTIFS(TblApplications[Action],"À migrer",TblApplications[Mois bascule],"&gt;="&amp;AV92,TblApplications[Mois bascule],"&lt;"&amp;EDATE(AV92,1),TblApplications[Environnement],av_envc,TblApplications[Domaine],av_domc,TblApplications[Tribe],av_tric))</f>
        <v>0</v>
      </c>
      <c r="AX92" s="40" t="n">
        <f aca="false">IF(30&gt;p_horizon,"",COUNTIFS(TblApplications[Action],"À décommissionner",TblApplications[Mois lib (calc)],AV92,TblApplications[Environnement],av_envc,TblApplications[Domaine],av_domc,TblApplications[Tribe],av_tric))</f>
        <v>0</v>
      </c>
      <c r="AY92" s="40" t="n">
        <f aca="false">IF(30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(calc)],"&lt;="&amp;AV92,TblApplications[Environnement],av_envc,TblApplications[Domaine],av_domc,TblApplications[Tribe],av_tric)+COUNTIFS(TblApplications[Action],"À décommissionner",TblApplications[Mois lib (calc)],"&lt;="&amp;AV92,TblApplications[Environnement],av_envc,TblApplications[Domaine],av_domc,TblApplications[Tribe],av_tric))</f>
        <v>13</v>
      </c>
      <c r="AZ92" s="41" t="n">
        <f aca="false">IF(30&gt;p_horizon,"",IFERROR(AY92/COUNTIFS(TblApplications[ID],"&lt;&gt;",TblApplications[Environnement],av_envc,TblApplications[Domaine],av_domc,TblApplications[Tribe],av_tric),0))</f>
        <v>1</v>
      </c>
    </row>
    <row r="93" customFormat="false" ht="15" hidden="false" customHeight="false" outlineLevel="0" collapsed="false">
      <c r="AV93" s="39" t="n">
        <f aca="false">IF(31&gt;p_horizon,"",EDATE(p_debut,30))</f>
        <v>47209</v>
      </c>
      <c r="AW93" s="40" t="n">
        <f aca="false">IF(31&gt;p_horizon,"",COUNTIFS(TblApplications[Action],"À migrer",TblApplications[Mois bascule],"&gt;="&amp;AV93,TblApplications[Mois bascule],"&lt;"&amp;EDATE(AV93,1),TblApplications[Environnement],av_envc,TblApplications[Domaine],av_domc,TblApplications[Tribe],av_tric))</f>
        <v>0</v>
      </c>
      <c r="AX93" s="40" t="n">
        <f aca="false">IF(31&gt;p_horizon,"",COUNTIFS(TblApplications[Action],"À décommissionner",TblApplications[Mois lib (calc)],AV93,TblApplications[Environnement],av_envc,TblApplications[Domaine],av_domc,TblApplications[Tribe],av_tric))</f>
        <v>0</v>
      </c>
      <c r="AY93" s="40" t="n">
        <f aca="false">IF(31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(calc)],"&lt;="&amp;AV93,TblApplications[Environnement],av_envc,TblApplications[Domaine],av_domc,TblApplications[Tribe],av_tric)+COUNTIFS(TblApplications[Action],"À décommissionner",TblApplications[Mois lib (calc)],"&lt;="&amp;AV93,TblApplications[Environnement],av_envc,TblApplications[Domaine],av_domc,TblApplications[Tribe],av_tric))</f>
        <v>13</v>
      </c>
      <c r="AZ93" s="41" t="n">
        <f aca="false">IF(31&gt;p_horizon,"",IFERROR(AY93/COUNTIFS(TblApplications[ID],"&lt;&gt;",TblApplications[Environnement],av_envc,TblApplications[Domaine],av_domc,TblApplications[Tribe],av_tric),0))</f>
        <v>1</v>
      </c>
    </row>
    <row r="94" customFormat="false" ht="15" hidden="false" customHeight="false" outlineLevel="0" collapsed="false">
      <c r="AV94" s="39" t="n">
        <f aca="false">IF(32&gt;p_horizon,"",EDATE(p_debut,31))</f>
        <v>47239</v>
      </c>
      <c r="AW94" s="40" t="n">
        <f aca="false">IF(32&gt;p_horizon,"",COUNTIFS(TblApplications[Action],"À migrer",TblApplications[Mois bascule],"&gt;="&amp;AV94,TblApplications[Mois bascule],"&lt;"&amp;EDATE(AV94,1),TblApplications[Environnement],av_envc,TblApplications[Domaine],av_domc,TblApplications[Tribe],av_tric))</f>
        <v>0</v>
      </c>
      <c r="AX94" s="40" t="n">
        <f aca="false">IF(32&gt;p_horizon,"",COUNTIFS(TblApplications[Action],"À décommissionner",TblApplications[Mois lib (calc)],AV94,TblApplications[Environnement],av_envc,TblApplications[Domaine],av_domc,TblApplications[Tribe],av_tric))</f>
        <v>0</v>
      </c>
      <c r="AY94" s="40" t="n">
        <f aca="false">IF(32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(calc)],"&lt;="&amp;AV94,TblApplications[Environnement],av_envc,TblApplications[Domaine],av_domc,TblApplications[Tribe],av_tric)+COUNTIFS(TblApplications[Action],"À décommissionner",TblApplications[Mois lib (calc)],"&lt;="&amp;AV94,TblApplications[Environnement],av_envc,TblApplications[Domaine],av_domc,TblApplications[Tribe],av_tric))</f>
        <v>13</v>
      </c>
      <c r="AZ94" s="41" t="n">
        <f aca="false">IF(32&gt;p_horizon,"",IFERROR(AY94/COUNTIFS(TblApplications[ID],"&lt;&gt;",TblApplications[Environnement],av_envc,TblApplications[Domaine],av_domc,TblApplications[Tribe],av_tric),0))</f>
        <v>1</v>
      </c>
    </row>
    <row r="95" customFormat="false" ht="15" hidden="false" customHeight="false" outlineLevel="0" collapsed="false">
      <c r="AV95" s="39" t="n">
        <f aca="false">IF(33&gt;p_horizon,"",EDATE(p_debut,32))</f>
        <v>47270</v>
      </c>
      <c r="AW95" s="40" t="n">
        <f aca="false">IF(33&gt;p_horizon,"",COUNTIFS(TblApplications[Action],"À migrer",TblApplications[Mois bascule],"&gt;="&amp;AV95,TblApplications[Mois bascule],"&lt;"&amp;EDATE(AV95,1),TblApplications[Environnement],av_envc,TblApplications[Domaine],av_domc,TblApplications[Tribe],av_tric))</f>
        <v>0</v>
      </c>
      <c r="AX95" s="40" t="n">
        <f aca="false">IF(33&gt;p_horizon,"",COUNTIFS(TblApplications[Action],"À décommissionner",TblApplications[Mois lib (calc)],AV95,TblApplications[Environnement],av_envc,TblApplications[Domaine],av_domc,TblApplications[Tribe],av_tric))</f>
        <v>0</v>
      </c>
      <c r="AY95" s="40" t="n">
        <f aca="false">IF(33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(calc)],"&lt;="&amp;AV95,TblApplications[Environnement],av_envc,TblApplications[Domaine],av_domc,TblApplications[Tribe],av_tric)+COUNTIFS(TblApplications[Action],"À décommissionner",TblApplications[Mois lib (calc)],"&lt;="&amp;AV95,TblApplications[Environnement],av_envc,TblApplications[Domaine],av_domc,TblApplications[Tribe],av_tric))</f>
        <v>13</v>
      </c>
      <c r="AZ95" s="41" t="n">
        <f aca="false">IF(33&gt;p_horizon,"",IFERROR(AY95/COUNTIFS(TblApplications[ID],"&lt;&gt;",TblApplications[Environnement],av_envc,TblApplications[Domaine],av_domc,TblApplications[Tribe],av_tric),0))</f>
        <v>1</v>
      </c>
    </row>
    <row r="96" customFormat="false" ht="15" hidden="false" customHeight="false" outlineLevel="0" collapsed="false">
      <c r="B96" s="2" t="s">
        <v>48</v>
      </c>
      <c r="AV96" s="39" t="n">
        <f aca="false">IF(34&gt;p_horizon,"",EDATE(p_debut,33))</f>
        <v>47300</v>
      </c>
      <c r="AW96" s="40" t="n">
        <f aca="false">IF(34&gt;p_horizon,"",COUNTIFS(TblApplications[Action],"À migrer",TblApplications[Mois bascule],"&gt;="&amp;AV96,TblApplications[Mois bascule],"&lt;"&amp;EDATE(AV96,1),TblApplications[Environnement],av_envc,TblApplications[Domaine],av_domc,TblApplications[Tribe],av_tric))</f>
        <v>0</v>
      </c>
      <c r="AX96" s="40" t="n">
        <f aca="false">IF(34&gt;p_horizon,"",COUNTIFS(TblApplications[Action],"À décommissionner",TblApplications[Mois lib (calc)],AV96,TblApplications[Environnement],av_envc,TblApplications[Domaine],av_domc,TblApplications[Tribe],av_tric))</f>
        <v>0</v>
      </c>
      <c r="AY96" s="40" t="n">
        <f aca="false">IF(34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(calc)],"&lt;="&amp;AV96,TblApplications[Environnement],av_envc,TblApplications[Domaine],av_domc,TblApplications[Tribe],av_tric)+COUNTIFS(TblApplications[Action],"À décommissionner",TblApplications[Mois lib (calc)],"&lt;="&amp;AV96,TblApplications[Environnement],av_envc,TblApplications[Domaine],av_domc,TblApplications[Tribe],av_tric))</f>
        <v>13</v>
      </c>
      <c r="AZ96" s="41" t="n">
        <f aca="false">IF(34&gt;p_horizon,"",IFERROR(AY96/COUNTIFS(TblApplications[ID],"&lt;&gt;",TblApplications[Environnement],av_envc,TblApplications[Domaine],av_domc,TblApplications[Tribe],av_tric),0))</f>
        <v>1</v>
      </c>
    </row>
    <row r="97" customFormat="false" ht="15" hidden="false" customHeight="false" outlineLevel="0" collapsed="false">
      <c r="AV97" s="39" t="n">
        <f aca="false">IF(35&gt;p_horizon,"",EDATE(p_debut,34))</f>
        <v>47331</v>
      </c>
      <c r="AW97" s="40" t="n">
        <f aca="false">IF(35&gt;p_horizon,"",COUNTIFS(TblApplications[Action],"À migrer",TblApplications[Mois bascule],"&gt;="&amp;AV97,TblApplications[Mois bascule],"&lt;"&amp;EDATE(AV97,1),TblApplications[Environnement],av_envc,TblApplications[Domaine],av_domc,TblApplications[Tribe],av_tric))</f>
        <v>0</v>
      </c>
      <c r="AX97" s="40" t="n">
        <f aca="false">IF(35&gt;p_horizon,"",COUNTIFS(TblApplications[Action],"À décommissionner",TblApplications[Mois lib (calc)],AV97,TblApplications[Environnement],av_envc,TblApplications[Domaine],av_domc,TblApplications[Tribe],av_tric))</f>
        <v>0</v>
      </c>
      <c r="AY97" s="40" t="n">
        <f aca="false">IF(35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(calc)],"&lt;="&amp;AV97,TblApplications[Environnement],av_envc,TblApplications[Domaine],av_domc,TblApplications[Tribe],av_tric)+COUNTIFS(TblApplications[Action],"À décommissionner",TblApplications[Mois lib (calc)],"&lt;="&amp;AV97,TblApplications[Environnement],av_envc,TblApplications[Domaine],av_domc,TblApplications[Tribe],av_tric))</f>
        <v>13</v>
      </c>
      <c r="AZ97" s="41" t="n">
        <f aca="false">IF(35&gt;p_horizon,"",IFERROR(AY97/COUNTIFS(TblApplications[ID],"&lt;&gt;",TblApplications[Environnement],av_envc,TblApplications[Domaine],av_domc,TblApplications[Tribe],av_tric),0))</f>
        <v>1</v>
      </c>
    </row>
    <row r="98" customFormat="false" ht="15" hidden="false" customHeight="false" outlineLevel="0" collapsed="false">
      <c r="AV98" s="39" t="n">
        <f aca="false">IF(36&gt;p_horizon,"",EDATE(p_debut,35))</f>
        <v>47362</v>
      </c>
      <c r="AW98" s="40" t="n">
        <f aca="false">IF(36&gt;p_horizon,"",COUNTIFS(TblApplications[Action],"À migrer",TblApplications[Mois bascule],"&gt;="&amp;AV98,TblApplications[Mois bascule],"&lt;"&amp;EDATE(AV98,1),TblApplications[Environnement],av_envc,TblApplications[Domaine],av_domc,TblApplications[Tribe],av_tric))</f>
        <v>0</v>
      </c>
      <c r="AX98" s="40" t="n">
        <f aca="false">IF(36&gt;p_horizon,"",COUNTIFS(TblApplications[Action],"À décommissionner",TblApplications[Mois lib (calc)],AV98,TblApplications[Environnement],av_envc,TblApplications[Domaine],av_domc,TblApplications[Tribe],av_tric))</f>
        <v>0</v>
      </c>
      <c r="AY98" s="40" t="n">
        <f aca="false">IF(36&gt;p_horizon,"",COUNTIFS(TblApplications[Action],"Migré",TblApplications[Environnement],av_envc,TblApplications[Domaine],av_domc,TblApplications[Tribe],av_tric)+COUNTIFS(TblApplications[Action],"Décommissionné",TblApplications[Environnement],av_envc,TblApplications[Domaine],av_domc,TblApplications[Tribe],av_tric)+COUNTIFS(TblApplications[Action],"À migrer",TblApplications[Mois lib (calc)],"&lt;="&amp;AV98,TblApplications[Environnement],av_envc,TblApplications[Domaine],av_domc,TblApplications[Tribe],av_tric)+COUNTIFS(TblApplications[Action],"À décommissionner",TblApplications[Mois lib (calc)],"&lt;="&amp;AV98,TblApplications[Environnement],av_envc,TblApplications[Domaine],av_domc,TblApplications[Tribe],av_tric))</f>
        <v>13</v>
      </c>
      <c r="AZ98" s="41" t="n">
        <f aca="false">IF(36&gt;p_horizon,"",IFERROR(AY98/COUNTIFS(TblApplications[ID],"&lt;&gt;",TblApplications[Environnement],av_envc,TblApplications[Domaine],av_domc,TblApplications[Tribe],av_tric),0))</f>
        <v>1</v>
      </c>
    </row>
  </sheetData>
  <mergeCells count="12"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</mergeCells>
  <dataValidations count="4">
    <dataValidation allowBlank="false" error="Choisir une valeur de la liste" errorStyle="stop" operator="between" showDropDown="false" showErrorMessage="true" showInputMessage="false" sqref="C4" type="list">
      <formula1>"Tous,PRD,NPRD"</formula1>
      <formula2>0</formula2>
    </dataValidation>
    <dataValidation allowBlank="false" error="Choisir une valeur de la liste" errorStyle="stop" operator="between" showDropDown="false" showErrorMessage="true" showInputMessage="false" sqref="F4" type="list">
      <formula1>'Paramètres &amp; ABS'!$O$21:$O$41</formula1>
      <formula2>0</formula2>
    </dataValidation>
    <dataValidation allowBlank="false" error="Choisir une valeur de la liste" errorStyle="stop" operator="between" showDropDown="false" showErrorMessage="true" showInputMessage="false" sqref="I4" type="list">
      <formula1>'Paramètres &amp; ABS'!$P$21:$P$61</formula1>
      <formula2>0</formula2>
    </dataValidation>
    <dataValidation allowBlank="false" error="Saisir un mois" errorStyle="stop" operator="greaterThan" showDropDown="false" showErrorMessage="true" showInputMessage="false" sqref="L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3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8" topLeftCell="G9" activePane="bottomRight" state="frozen"/>
      <selection pane="topLeft" activeCell="A1" activeCellId="0" sqref="A1"/>
      <selection pane="topRight" activeCell="G1" activeCellId="0" sqref="G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42" min="7" style="0" width="4"/>
    <col collapsed="false" customWidth="true" hidden="true" outlineLevel="0" max="45" min="43" style="0" width="13"/>
  </cols>
  <sheetData>
    <row r="1" customFormat="false" ht="19.7" hidden="false" customHeight="false" outlineLevel="0" collapsed="false">
      <c r="B1" s="1" t="s">
        <v>49</v>
      </c>
    </row>
    <row r="2" customFormat="false" ht="15" hidden="false" customHeight="false" outlineLevel="0" collapsed="false">
      <c r="B2" s="2" t="s">
        <v>50</v>
      </c>
    </row>
    <row r="4" customFormat="false" ht="15" hidden="false" customHeight="false" outlineLevel="0" collapsed="false">
      <c r="B4" s="42" t="str">
        <f aca="false">"Filtres actifs (onglet Avancement) : environnement "&amp;Avancement!C4&amp;" · domaine "&amp;Avancement!F4&amp;" · tribe "&amp;Avancement!I4&amp;" · mois de référence "&amp;TEXT(MONTH(av_mois),"00")&amp;"/"&amp;YEAR(av_mois)</f>
        <v>Filtres actifs (onglet Avancement) : environnement Tous · domaine Tous · tribe Tous · mois de référence 12/2027</v>
      </c>
    </row>
    <row r="6" customFormat="false" ht="15" hidden="false" customHeight="false" outlineLevel="0" collapsed="false">
      <c r="B6" s="17" t="s">
        <v>51</v>
      </c>
    </row>
    <row r="7" customFormat="false" ht="15" hidden="false" customHeight="false" outlineLevel="0" collapsed="false">
      <c r="G7" s="43" t="s">
        <v>52</v>
      </c>
      <c r="I7" s="44" t="s">
        <v>53</v>
      </c>
      <c r="K7" s="45" t="s">
        <v>54</v>
      </c>
      <c r="M7" s="46" t="s">
        <v>55</v>
      </c>
      <c r="O7" s="47" t="s">
        <v>56</v>
      </c>
    </row>
    <row r="8" customFormat="false" ht="48" hidden="false" customHeight="true" outlineLevel="0" collapsed="false">
      <c r="B8" s="20" t="s">
        <v>57</v>
      </c>
      <c r="C8" s="20" t="s">
        <v>58</v>
      </c>
      <c r="D8" s="20" t="s">
        <v>59</v>
      </c>
      <c r="E8" s="20" t="s">
        <v>60</v>
      </c>
      <c r="F8" s="20" t="s">
        <v>61</v>
      </c>
      <c r="G8" s="48" t="n">
        <f aca="false">IF(1&gt;p_horizon,"",EDATE(p_debut,0))</f>
        <v>46296</v>
      </c>
      <c r="H8" s="48" t="n">
        <f aca="false">IF(2&gt;p_horizon,"",EDATE(p_debut,1))</f>
        <v>46327</v>
      </c>
      <c r="I8" s="48" t="n">
        <f aca="false">IF(3&gt;p_horizon,"",EDATE(p_debut,2))</f>
        <v>46357</v>
      </c>
      <c r="J8" s="48" t="n">
        <f aca="false">IF(4&gt;p_horizon,"",EDATE(p_debut,3))</f>
        <v>46388</v>
      </c>
      <c r="K8" s="48" t="n">
        <f aca="false">IF(5&gt;p_horizon,"",EDATE(p_debut,4))</f>
        <v>46419</v>
      </c>
      <c r="L8" s="48" t="n">
        <f aca="false">IF(6&gt;p_horizon,"",EDATE(p_debut,5))</f>
        <v>46447</v>
      </c>
      <c r="M8" s="48" t="n">
        <f aca="false">IF(7&gt;p_horizon,"",EDATE(p_debut,6))</f>
        <v>46478</v>
      </c>
      <c r="N8" s="48" t="n">
        <f aca="false">IF(8&gt;p_horizon,"",EDATE(p_debut,7))</f>
        <v>46508</v>
      </c>
      <c r="O8" s="48" t="n">
        <f aca="false">IF(9&gt;p_horizon,"",EDATE(p_debut,8))</f>
        <v>46539</v>
      </c>
      <c r="P8" s="48" t="n">
        <f aca="false">IF(10&gt;p_horizon,"",EDATE(p_debut,9))</f>
        <v>46569</v>
      </c>
      <c r="Q8" s="48" t="n">
        <f aca="false">IF(11&gt;p_horizon,"",EDATE(p_debut,10))</f>
        <v>46600</v>
      </c>
      <c r="R8" s="48" t="n">
        <f aca="false">IF(12&gt;p_horizon,"",EDATE(p_debut,11))</f>
        <v>46631</v>
      </c>
      <c r="S8" s="48" t="n">
        <f aca="false">IF(13&gt;p_horizon,"",EDATE(p_debut,12))</f>
        <v>46661</v>
      </c>
      <c r="T8" s="48" t="n">
        <f aca="false">IF(14&gt;p_horizon,"",EDATE(p_debut,13))</f>
        <v>46692</v>
      </c>
      <c r="U8" s="48" t="n">
        <f aca="false">IF(15&gt;p_horizon,"",EDATE(p_debut,14))</f>
        <v>46722</v>
      </c>
      <c r="V8" s="48" t="n">
        <f aca="false">IF(16&gt;p_horizon,"",EDATE(p_debut,15))</f>
        <v>46753</v>
      </c>
      <c r="W8" s="48" t="n">
        <f aca="false">IF(17&gt;p_horizon,"",EDATE(p_debut,16))</f>
        <v>46784</v>
      </c>
      <c r="X8" s="48" t="n">
        <f aca="false">IF(18&gt;p_horizon,"",EDATE(p_debut,17))</f>
        <v>46813</v>
      </c>
      <c r="Y8" s="48" t="n">
        <f aca="false">IF(19&gt;p_horizon,"",EDATE(p_debut,18))</f>
        <v>46844</v>
      </c>
      <c r="Z8" s="48" t="n">
        <f aca="false">IF(20&gt;p_horizon,"",EDATE(p_debut,19))</f>
        <v>46874</v>
      </c>
      <c r="AA8" s="48" t="n">
        <f aca="false">IF(21&gt;p_horizon,"",EDATE(p_debut,20))</f>
        <v>46905</v>
      </c>
      <c r="AB8" s="48" t="n">
        <f aca="false">IF(22&gt;p_horizon,"",EDATE(p_debut,21))</f>
        <v>46935</v>
      </c>
      <c r="AC8" s="48" t="n">
        <f aca="false">IF(23&gt;p_horizon,"",EDATE(p_debut,22))</f>
        <v>46966</v>
      </c>
      <c r="AD8" s="48" t="n">
        <f aca="false">IF(24&gt;p_horizon,"",EDATE(p_debut,23))</f>
        <v>46997</v>
      </c>
      <c r="AE8" s="48" t="n">
        <f aca="false">IF(25&gt;p_horizon,"",EDATE(p_debut,24))</f>
        <v>47027</v>
      </c>
      <c r="AF8" s="48" t="n">
        <f aca="false">IF(26&gt;p_horizon,"",EDATE(p_debut,25))</f>
        <v>47058</v>
      </c>
      <c r="AG8" s="48" t="n">
        <f aca="false">IF(27&gt;p_horizon,"",EDATE(p_debut,26))</f>
        <v>47088</v>
      </c>
      <c r="AH8" s="48" t="n">
        <f aca="false">IF(28&gt;p_horizon,"",EDATE(p_debut,27))</f>
        <v>47119</v>
      </c>
      <c r="AI8" s="48" t="n">
        <f aca="false">IF(29&gt;p_horizon,"",EDATE(p_debut,28))</f>
        <v>47150</v>
      </c>
      <c r="AJ8" s="48" t="n">
        <f aca="false">IF(30&gt;p_horizon,"",EDATE(p_debut,29))</f>
        <v>47178</v>
      </c>
      <c r="AK8" s="48" t="n">
        <f aca="false">IF(31&gt;p_horizon,"",EDATE(p_debut,30))</f>
        <v>47209</v>
      </c>
      <c r="AL8" s="48" t="n">
        <f aca="false">IF(32&gt;p_horizon,"",EDATE(p_debut,31))</f>
        <v>47239</v>
      </c>
      <c r="AM8" s="48" t="n">
        <f aca="false">IF(33&gt;p_horizon,"",EDATE(p_debut,32))</f>
        <v>47270</v>
      </c>
      <c r="AN8" s="48" t="n">
        <f aca="false">IF(34&gt;p_horizon,"",EDATE(p_debut,33))</f>
        <v>47300</v>
      </c>
      <c r="AO8" s="48" t="n">
        <f aca="false">IF(35&gt;p_horizon,"",EDATE(p_debut,34))</f>
        <v>47331</v>
      </c>
      <c r="AP8" s="48" t="n">
        <f aca="false">IF(36&gt;p_horizon,"",EDATE(p_debut,35))</f>
        <v>47362</v>
      </c>
    </row>
    <row r="9" customFormat="false" ht="15" hidden="false" customHeight="false" outlineLevel="0" collapsed="false">
      <c r="A9" s="49" t="n">
        <f aca="false">IFERROR(MATCH(1,TblApplications[Rang frise],0),"")</f>
        <v>1</v>
      </c>
      <c r="B9" s="50" t="str">
        <f aca="false">IF($A9="","",INDEX(TblApplications[ID],$A9))</f>
        <v>APP-01</v>
      </c>
      <c r="C9" s="50" t="str">
        <f aca="false">IF($A9="","",INDEX(TblApplications[Application],$A9))</f>
        <v>Portail assuré (démo)</v>
      </c>
      <c r="D9" s="50" t="str">
        <f aca="false">IF($A9="","",INDEX(TblApplications[Environnement],$A9))</f>
        <v>NPRD</v>
      </c>
      <c r="E9" s="50" t="str">
        <f aca="false">IF($A9="","",INDEX(TblApplications[Couloir],$A9))</f>
        <v>DEV1</v>
      </c>
      <c r="F9" s="50" t="str">
        <f aca="false">IF($A9="","",INDEX(TblApplications[Action],$A9))</f>
        <v>À migrer</v>
      </c>
      <c r="G9" s="51" t="str">
        <f aca="false">IF(OR($A9="",G$8=""),"",IF($F9="Migré","ROKS",IF($F9="À décommissionner",IF(G$8&lt;$AS9,"IKS","Décom."),IF(OR($AQ9="",$AS9=""),"",IF(G$8&lt;$AQ9,"IKS",IF(G$8&lt;$AS9,IF(G$8=$AR9,"Bascule","Double run"),"ROKS"))))))</f>
        <v>IKS</v>
      </c>
      <c r="H9" s="51" t="str">
        <f aca="false">IF(OR($A9="",H$8=""),"",IF($F9="Migré","ROKS",IF($F9="À décommissionner",IF(H$8&lt;$AS9,"IKS","Décom."),IF(OR($AQ9="",$AS9=""),"",IF(H$8&lt;$AQ9,"IKS",IF(H$8&lt;$AS9,IF(H$8=$AR9,"Bascule","Double run"),"ROKS"))))))</f>
        <v>IKS</v>
      </c>
      <c r="I9" s="51" t="str">
        <f aca="false">IF(OR($A9="",I$8=""),"",IF($F9="Migré","ROKS",IF($F9="À décommissionner",IF(I$8&lt;$AS9,"IKS","Décom."),IF(OR($AQ9="",$AS9=""),"",IF(I$8&lt;$AQ9,"IKS",IF(I$8&lt;$AS9,IF(I$8=$AR9,"Bascule","Double run"),"ROKS"))))))</f>
        <v>IKS</v>
      </c>
      <c r="J9" s="51" t="str">
        <f aca="false">IF(OR($A9="",J$8=""),"",IF($F9="Migré","ROKS",IF($F9="À décommissionner",IF(J$8&lt;$AS9,"IKS","Décom."),IF(OR($AQ9="",$AS9=""),"",IF(J$8&lt;$AQ9,"IKS",IF(J$8&lt;$AS9,IF(J$8=$AR9,"Bascule","Double run"),"ROKS"))))))</f>
        <v>Bascule</v>
      </c>
      <c r="K9" s="51" t="str">
        <f aca="false">IF(OR($A9="",K$8=""),"",IF($F9="Migré","ROKS",IF($F9="À décommissionner",IF(K$8&lt;$AS9,"IKS","Décom."),IF(OR($AQ9="",$AS9=""),"",IF(K$8&lt;$AQ9,"IKS",IF(K$8&lt;$AS9,IF(K$8=$AR9,"Bascule","Double run"),"ROKS"))))))</f>
        <v>ROKS</v>
      </c>
      <c r="L9" s="51" t="str">
        <f aca="false">IF(OR($A9="",L$8=""),"",IF($F9="Migré","ROKS",IF($F9="À décommissionner",IF(L$8&lt;$AS9,"IKS","Décom."),IF(OR($AQ9="",$AS9=""),"",IF(L$8&lt;$AQ9,"IKS",IF(L$8&lt;$AS9,IF(L$8=$AR9,"Bascule","Double run"),"ROKS"))))))</f>
        <v>ROKS</v>
      </c>
      <c r="M9" s="51" t="str">
        <f aca="false">IF(OR($A9="",M$8=""),"",IF($F9="Migré","ROKS",IF($F9="À décommissionner",IF(M$8&lt;$AS9,"IKS","Décom."),IF(OR($AQ9="",$AS9=""),"",IF(M$8&lt;$AQ9,"IKS",IF(M$8&lt;$AS9,IF(M$8=$AR9,"Bascule","Double run"),"ROKS"))))))</f>
        <v>ROKS</v>
      </c>
      <c r="N9" s="51" t="str">
        <f aca="false">IF(OR($A9="",N$8=""),"",IF($F9="Migré","ROKS",IF($F9="À décommissionner",IF(N$8&lt;$AS9,"IKS","Décom."),IF(OR($AQ9="",$AS9=""),"",IF(N$8&lt;$AQ9,"IKS",IF(N$8&lt;$AS9,IF(N$8=$AR9,"Bascule","Double run"),"ROKS"))))))</f>
        <v>ROKS</v>
      </c>
      <c r="O9" s="51" t="str">
        <f aca="false">IF(OR($A9="",O$8=""),"",IF($F9="Migré","ROKS",IF($F9="À décommissionner",IF(O$8&lt;$AS9,"IKS","Décom."),IF(OR($AQ9="",$AS9=""),"",IF(O$8&lt;$AQ9,"IKS",IF(O$8&lt;$AS9,IF(O$8=$AR9,"Bascule","Double run"),"ROKS"))))))</f>
        <v>ROKS</v>
      </c>
      <c r="P9" s="51" t="str">
        <f aca="false">IF(OR($A9="",P$8=""),"",IF($F9="Migré","ROKS",IF($F9="À décommissionner",IF(P$8&lt;$AS9,"IKS","Décom."),IF(OR($AQ9="",$AS9=""),"",IF(P$8&lt;$AQ9,"IKS",IF(P$8&lt;$AS9,IF(P$8=$AR9,"Bascule","Double run"),"ROKS"))))))</f>
        <v>ROKS</v>
      </c>
      <c r="Q9" s="51" t="str">
        <f aca="false">IF(OR($A9="",Q$8=""),"",IF($F9="Migré","ROKS",IF($F9="À décommissionner",IF(Q$8&lt;$AS9,"IKS","Décom."),IF(OR($AQ9="",$AS9=""),"",IF(Q$8&lt;$AQ9,"IKS",IF(Q$8&lt;$AS9,IF(Q$8=$AR9,"Bascule","Double run"),"ROKS"))))))</f>
        <v>ROKS</v>
      </c>
      <c r="R9" s="51" t="str">
        <f aca="false">IF(OR($A9="",R$8=""),"",IF($F9="Migré","ROKS",IF($F9="À décommissionner",IF(R$8&lt;$AS9,"IKS","Décom."),IF(OR($AQ9="",$AS9=""),"",IF(R$8&lt;$AQ9,"IKS",IF(R$8&lt;$AS9,IF(R$8=$AR9,"Bascule","Double run"),"ROKS"))))))</f>
        <v>ROKS</v>
      </c>
      <c r="S9" s="51" t="str">
        <f aca="false">IF(OR($A9="",S$8=""),"",IF($F9="Migré","ROKS",IF($F9="À décommissionner",IF(S$8&lt;$AS9,"IKS","Décom."),IF(OR($AQ9="",$AS9=""),"",IF(S$8&lt;$AQ9,"IKS",IF(S$8&lt;$AS9,IF(S$8=$AR9,"Bascule","Double run"),"ROKS"))))))</f>
        <v>ROKS</v>
      </c>
      <c r="T9" s="51" t="str">
        <f aca="false">IF(OR($A9="",T$8=""),"",IF($F9="Migré","ROKS",IF($F9="À décommissionner",IF(T$8&lt;$AS9,"IKS","Décom."),IF(OR($AQ9="",$AS9=""),"",IF(T$8&lt;$AQ9,"IKS",IF(T$8&lt;$AS9,IF(T$8=$AR9,"Bascule","Double run"),"ROKS"))))))</f>
        <v>ROKS</v>
      </c>
      <c r="U9" s="51" t="str">
        <f aca="false">IF(OR($A9="",U$8=""),"",IF($F9="Migré","ROKS",IF($F9="À décommissionner",IF(U$8&lt;$AS9,"IKS","Décom."),IF(OR($AQ9="",$AS9=""),"",IF(U$8&lt;$AQ9,"IKS",IF(U$8&lt;$AS9,IF(U$8=$AR9,"Bascule","Double run"),"ROKS"))))))</f>
        <v>ROKS</v>
      </c>
      <c r="V9" s="51" t="str">
        <f aca="false">IF(OR($A9="",V$8=""),"",IF($F9="Migré","ROKS",IF($F9="À décommissionner",IF(V$8&lt;$AS9,"IKS","Décom."),IF(OR($AQ9="",$AS9=""),"",IF(V$8&lt;$AQ9,"IKS",IF(V$8&lt;$AS9,IF(V$8=$AR9,"Bascule","Double run"),"ROKS"))))))</f>
        <v>ROKS</v>
      </c>
      <c r="W9" s="51" t="str">
        <f aca="false">IF(OR($A9="",W$8=""),"",IF($F9="Migré","ROKS",IF($F9="À décommissionner",IF(W$8&lt;$AS9,"IKS","Décom."),IF(OR($AQ9="",$AS9=""),"",IF(W$8&lt;$AQ9,"IKS",IF(W$8&lt;$AS9,IF(W$8=$AR9,"Bascule","Double run"),"ROKS"))))))</f>
        <v>ROKS</v>
      </c>
      <c r="X9" s="51" t="str">
        <f aca="false">IF(OR($A9="",X$8=""),"",IF($F9="Migré","ROKS",IF($F9="À décommissionner",IF(X$8&lt;$AS9,"IKS","Décom."),IF(OR($AQ9="",$AS9=""),"",IF(X$8&lt;$AQ9,"IKS",IF(X$8&lt;$AS9,IF(X$8=$AR9,"Bascule","Double run"),"ROKS"))))))</f>
        <v>ROKS</v>
      </c>
      <c r="Y9" s="51" t="str">
        <f aca="false">IF(OR($A9="",Y$8=""),"",IF($F9="Migré","ROKS",IF($F9="À décommissionner",IF(Y$8&lt;$AS9,"IKS","Décom."),IF(OR($AQ9="",$AS9=""),"",IF(Y$8&lt;$AQ9,"IKS",IF(Y$8&lt;$AS9,IF(Y$8=$AR9,"Bascule","Double run"),"ROKS"))))))</f>
        <v>ROKS</v>
      </c>
      <c r="Z9" s="51" t="str">
        <f aca="false">IF(OR($A9="",Z$8=""),"",IF($F9="Migré","ROKS",IF($F9="À décommissionner",IF(Z$8&lt;$AS9,"IKS","Décom."),IF(OR($AQ9="",$AS9=""),"",IF(Z$8&lt;$AQ9,"IKS",IF(Z$8&lt;$AS9,IF(Z$8=$AR9,"Bascule","Double run"),"ROKS"))))))</f>
        <v>ROKS</v>
      </c>
      <c r="AA9" s="51" t="str">
        <f aca="false">IF(OR($A9="",AA$8=""),"",IF($F9="Migré","ROKS",IF($F9="À décommissionner",IF(AA$8&lt;$AS9,"IKS","Décom."),IF(OR($AQ9="",$AS9=""),"",IF(AA$8&lt;$AQ9,"IKS",IF(AA$8&lt;$AS9,IF(AA$8=$AR9,"Bascule","Double run"),"ROKS"))))))</f>
        <v>ROKS</v>
      </c>
      <c r="AB9" s="51" t="str">
        <f aca="false">IF(OR($A9="",AB$8=""),"",IF($F9="Migré","ROKS",IF($F9="À décommissionner",IF(AB$8&lt;$AS9,"IKS","Décom."),IF(OR($AQ9="",$AS9=""),"",IF(AB$8&lt;$AQ9,"IKS",IF(AB$8&lt;$AS9,IF(AB$8=$AR9,"Bascule","Double run"),"ROKS"))))))</f>
        <v>ROKS</v>
      </c>
      <c r="AC9" s="51" t="str">
        <f aca="false">IF(OR($A9="",AC$8=""),"",IF($F9="Migré","ROKS",IF($F9="À décommissionner",IF(AC$8&lt;$AS9,"IKS","Décom."),IF(OR($AQ9="",$AS9=""),"",IF(AC$8&lt;$AQ9,"IKS",IF(AC$8&lt;$AS9,IF(AC$8=$AR9,"Bascule","Double run"),"ROKS"))))))</f>
        <v>ROKS</v>
      </c>
      <c r="AD9" s="51" t="str">
        <f aca="false">IF(OR($A9="",AD$8=""),"",IF($F9="Migré","ROKS",IF($F9="À décommissionner",IF(AD$8&lt;$AS9,"IKS","Décom."),IF(OR($AQ9="",$AS9=""),"",IF(AD$8&lt;$AQ9,"IKS",IF(AD$8&lt;$AS9,IF(AD$8=$AR9,"Bascule","Double run"),"ROKS"))))))</f>
        <v>ROKS</v>
      </c>
      <c r="AE9" s="51" t="str">
        <f aca="false">IF(OR($A9="",AE$8=""),"",IF($F9="Migré","ROKS",IF($F9="À décommissionner",IF(AE$8&lt;$AS9,"IKS","Décom."),IF(OR($AQ9="",$AS9=""),"",IF(AE$8&lt;$AQ9,"IKS",IF(AE$8&lt;$AS9,IF(AE$8=$AR9,"Bascule","Double run"),"ROKS"))))))</f>
        <v>ROKS</v>
      </c>
      <c r="AF9" s="51" t="str">
        <f aca="false">IF(OR($A9="",AF$8=""),"",IF($F9="Migré","ROKS",IF($F9="À décommissionner",IF(AF$8&lt;$AS9,"IKS","Décom."),IF(OR($AQ9="",$AS9=""),"",IF(AF$8&lt;$AQ9,"IKS",IF(AF$8&lt;$AS9,IF(AF$8=$AR9,"Bascule","Double run"),"ROKS"))))))</f>
        <v>ROKS</v>
      </c>
      <c r="AG9" s="51" t="str">
        <f aca="false">IF(OR($A9="",AG$8=""),"",IF($F9="Migré","ROKS",IF($F9="À décommissionner",IF(AG$8&lt;$AS9,"IKS","Décom."),IF(OR($AQ9="",$AS9=""),"",IF(AG$8&lt;$AQ9,"IKS",IF(AG$8&lt;$AS9,IF(AG$8=$AR9,"Bascule","Double run"),"ROKS"))))))</f>
        <v>ROKS</v>
      </c>
      <c r="AH9" s="51" t="str">
        <f aca="false">IF(OR($A9="",AH$8=""),"",IF($F9="Migré","ROKS",IF($F9="À décommissionner",IF(AH$8&lt;$AS9,"IKS","Décom."),IF(OR($AQ9="",$AS9=""),"",IF(AH$8&lt;$AQ9,"IKS",IF(AH$8&lt;$AS9,IF(AH$8=$AR9,"Bascule","Double run"),"ROKS"))))))</f>
        <v>ROKS</v>
      </c>
      <c r="AI9" s="51" t="str">
        <f aca="false">IF(OR($A9="",AI$8=""),"",IF($F9="Migré","ROKS",IF($F9="À décommissionner",IF(AI$8&lt;$AS9,"IKS","Décom."),IF(OR($AQ9="",$AS9=""),"",IF(AI$8&lt;$AQ9,"IKS",IF(AI$8&lt;$AS9,IF(AI$8=$AR9,"Bascule","Double run"),"ROKS"))))))</f>
        <v>ROKS</v>
      </c>
      <c r="AJ9" s="51" t="str">
        <f aca="false">IF(OR($A9="",AJ$8=""),"",IF($F9="Migré","ROKS",IF($F9="À décommissionner",IF(AJ$8&lt;$AS9,"IKS","Décom."),IF(OR($AQ9="",$AS9=""),"",IF(AJ$8&lt;$AQ9,"IKS",IF(AJ$8&lt;$AS9,IF(AJ$8=$AR9,"Bascule","Double run"),"ROKS"))))))</f>
        <v>ROKS</v>
      </c>
      <c r="AK9" s="51" t="str">
        <f aca="false">IF(OR($A9="",AK$8=""),"",IF($F9="Migré","ROKS",IF($F9="À décommissionner",IF(AK$8&lt;$AS9,"IKS","Décom."),IF(OR($AQ9="",$AS9=""),"",IF(AK$8&lt;$AQ9,"IKS",IF(AK$8&lt;$AS9,IF(AK$8=$AR9,"Bascule","Double run"),"ROKS"))))))</f>
        <v>ROKS</v>
      </c>
      <c r="AL9" s="51" t="str">
        <f aca="false">IF(OR($A9="",AL$8=""),"",IF($F9="Migré","ROKS",IF($F9="À décommissionner",IF(AL$8&lt;$AS9,"IKS","Décom."),IF(OR($AQ9="",$AS9=""),"",IF(AL$8&lt;$AQ9,"IKS",IF(AL$8&lt;$AS9,IF(AL$8=$AR9,"Bascule","Double run"),"ROKS"))))))</f>
        <v>ROKS</v>
      </c>
      <c r="AM9" s="51" t="str">
        <f aca="false">IF(OR($A9="",AM$8=""),"",IF($F9="Migré","ROKS",IF($F9="À décommissionner",IF(AM$8&lt;$AS9,"IKS","Décom."),IF(OR($AQ9="",$AS9=""),"",IF(AM$8&lt;$AQ9,"IKS",IF(AM$8&lt;$AS9,IF(AM$8=$AR9,"Bascule","Double run"),"ROKS"))))))</f>
        <v>ROKS</v>
      </c>
      <c r="AN9" s="51" t="str">
        <f aca="false">IF(OR($A9="",AN$8=""),"",IF($F9="Migré","ROKS",IF($F9="À décommissionner",IF(AN$8&lt;$AS9,"IKS","Décom."),IF(OR($AQ9="",$AS9=""),"",IF(AN$8&lt;$AQ9,"IKS",IF(AN$8&lt;$AS9,IF(AN$8=$AR9,"Bascule","Double run"),"ROKS"))))))</f>
        <v>ROKS</v>
      </c>
      <c r="AO9" s="51" t="str">
        <f aca="false">IF(OR($A9="",AO$8=""),"",IF($F9="Migré","ROKS",IF($F9="À décommissionner",IF(AO$8&lt;$AS9,"IKS","Décom."),IF(OR($AQ9="",$AS9=""),"",IF(AO$8&lt;$AQ9,"IKS",IF(AO$8&lt;$AS9,IF(AO$8=$AR9,"Bascule","Double run"),"ROKS"))))))</f>
        <v>ROKS</v>
      </c>
      <c r="AP9" s="51" t="str">
        <f aca="false">IF(OR($A9="",AP$8=""),"",IF($F9="Migré","ROKS",IF($F9="À décommissionner",IF(AP$8&lt;$AS9,"IKS","Décom."),IF(OR($AQ9="",$AS9=""),"",IF(AP$8&lt;$AQ9,"IKS",IF(AP$8&lt;$AS9,IF(AP$8=$AR9,"Bascule","Double run"),"ROKS"))))))</f>
        <v>ROKS</v>
      </c>
      <c r="AQ9" s="52" t="n">
        <f aca="false">IF($A9="","",INDEX(TblApplications[Mois prov (calc)],$A9))</f>
        <v>46388</v>
      </c>
      <c r="AR9" s="53" t="n">
        <f aca="false">IF($A9="","",IFERROR(DATE(YEAR(INDEX(TblApplications[Mois bascule],$A9)),MONTH(INDEX(TblApplications[Mois bascule],$A9)),1),""))</f>
        <v>46388</v>
      </c>
      <c r="AS9" s="52" t="n">
        <f aca="false">IF($A9="","",INDEX(TblApplications[Mois lib (calc)],$A9))</f>
        <v>46419</v>
      </c>
    </row>
    <row r="10" customFormat="false" ht="15" hidden="false" customHeight="false" outlineLevel="0" collapsed="false">
      <c r="A10" s="49" t="n">
        <f aca="false">IFERROR(MATCH(2,TblApplications[Rang frise],0),"")</f>
        <v>2</v>
      </c>
      <c r="B10" s="50" t="str">
        <f aca="false">IF($A10="","",INDEX(TblApplications[ID],$A10))</f>
        <v>APP-01</v>
      </c>
      <c r="C10" s="50" t="str">
        <f aca="false">IF($A10="","",INDEX(TblApplications[Application],$A10))</f>
        <v>Portail assuré (démo)</v>
      </c>
      <c r="D10" s="50" t="str">
        <f aca="false">IF($A10="","",INDEX(TblApplications[Environnement],$A10))</f>
        <v>NPRD</v>
      </c>
      <c r="E10" s="50" t="str">
        <f aca="false">IF($A10="","",INDEX(TblApplications[Couloir],$A10))</f>
        <v>INT1</v>
      </c>
      <c r="F10" s="50" t="str">
        <f aca="false">IF($A10="","",INDEX(TblApplications[Action],$A10))</f>
        <v>À migrer</v>
      </c>
      <c r="G10" s="51" t="str">
        <f aca="false">IF(OR($A10="",G$8=""),"",IF($F10="Migré","ROKS",IF($F10="À décommissionner",IF(G$8&lt;$AS10,"IKS","Décom."),IF(OR($AQ10="",$AS10=""),"",IF(G$8&lt;$AQ10,"IKS",IF(G$8&lt;$AS10,IF(G$8=$AR10,"Bascule","Double run"),"ROKS"))))))</f>
        <v>IKS</v>
      </c>
      <c r="H10" s="51" t="str">
        <f aca="false">IF(OR($A10="",H$8=""),"",IF($F10="Migré","ROKS",IF($F10="À décommissionner",IF(H$8&lt;$AS10,"IKS","Décom."),IF(OR($AQ10="",$AS10=""),"",IF(H$8&lt;$AQ10,"IKS",IF(H$8&lt;$AS10,IF(H$8=$AR10,"Bascule","Double run"),"ROKS"))))))</f>
        <v>IKS</v>
      </c>
      <c r="I10" s="51" t="str">
        <f aca="false">IF(OR($A10="",I$8=""),"",IF($F10="Migré","ROKS",IF($F10="À décommissionner",IF(I$8&lt;$AS10,"IKS","Décom."),IF(OR($AQ10="",$AS10=""),"",IF(I$8&lt;$AQ10,"IKS",IF(I$8&lt;$AS10,IF(I$8=$AR10,"Bascule","Double run"),"ROKS"))))))</f>
        <v>IKS</v>
      </c>
      <c r="J10" s="51" t="str">
        <f aca="false">IF(OR($A10="",J$8=""),"",IF($F10="Migré","ROKS",IF($F10="À décommissionner",IF(J$8&lt;$AS10,"IKS","Décom."),IF(OR($AQ10="",$AS10=""),"",IF(J$8&lt;$AQ10,"IKS",IF(J$8&lt;$AS10,IF(J$8=$AR10,"Bascule","Double run"),"ROKS"))))))</f>
        <v>Double run</v>
      </c>
      <c r="K10" s="51" t="str">
        <f aca="false">IF(OR($A10="",K$8=""),"",IF($F10="Migré","ROKS",IF($F10="À décommissionner",IF(K$8&lt;$AS10,"IKS","Décom."),IF(OR($AQ10="",$AS10=""),"",IF(K$8&lt;$AQ10,"IKS",IF(K$8&lt;$AS10,IF(K$8=$AR10,"Bascule","Double run"),"ROKS"))))))</f>
        <v>Bascule</v>
      </c>
      <c r="L10" s="51" t="str">
        <f aca="false">IF(OR($A10="",L$8=""),"",IF($F10="Migré","ROKS",IF($F10="À décommissionner",IF(L$8&lt;$AS10,"IKS","Décom."),IF(OR($AQ10="",$AS10=""),"",IF(L$8&lt;$AQ10,"IKS",IF(L$8&lt;$AS10,IF(L$8=$AR10,"Bascule","Double run"),"ROKS"))))))</f>
        <v>ROKS</v>
      </c>
      <c r="M10" s="51" t="str">
        <f aca="false">IF(OR($A10="",M$8=""),"",IF($F10="Migré","ROKS",IF($F10="À décommissionner",IF(M$8&lt;$AS10,"IKS","Décom."),IF(OR($AQ10="",$AS10=""),"",IF(M$8&lt;$AQ10,"IKS",IF(M$8&lt;$AS10,IF(M$8=$AR10,"Bascule","Double run"),"ROKS"))))))</f>
        <v>ROKS</v>
      </c>
      <c r="N10" s="51" t="str">
        <f aca="false">IF(OR($A10="",N$8=""),"",IF($F10="Migré","ROKS",IF($F10="À décommissionner",IF(N$8&lt;$AS10,"IKS","Décom."),IF(OR($AQ10="",$AS10=""),"",IF(N$8&lt;$AQ10,"IKS",IF(N$8&lt;$AS10,IF(N$8=$AR10,"Bascule","Double run"),"ROKS"))))))</f>
        <v>ROKS</v>
      </c>
      <c r="O10" s="51" t="str">
        <f aca="false">IF(OR($A10="",O$8=""),"",IF($F10="Migré","ROKS",IF($F10="À décommissionner",IF(O$8&lt;$AS10,"IKS","Décom."),IF(OR($AQ10="",$AS10=""),"",IF(O$8&lt;$AQ10,"IKS",IF(O$8&lt;$AS10,IF(O$8=$AR10,"Bascule","Double run"),"ROKS"))))))</f>
        <v>ROKS</v>
      </c>
      <c r="P10" s="51" t="str">
        <f aca="false">IF(OR($A10="",P$8=""),"",IF($F10="Migré","ROKS",IF($F10="À décommissionner",IF(P$8&lt;$AS10,"IKS","Décom."),IF(OR($AQ10="",$AS10=""),"",IF(P$8&lt;$AQ10,"IKS",IF(P$8&lt;$AS10,IF(P$8=$AR10,"Bascule","Double run"),"ROKS"))))))</f>
        <v>ROKS</v>
      </c>
      <c r="Q10" s="51" t="str">
        <f aca="false">IF(OR($A10="",Q$8=""),"",IF($F10="Migré","ROKS",IF($F10="À décommissionner",IF(Q$8&lt;$AS10,"IKS","Décom."),IF(OR($AQ10="",$AS10=""),"",IF(Q$8&lt;$AQ10,"IKS",IF(Q$8&lt;$AS10,IF(Q$8=$AR10,"Bascule","Double run"),"ROKS"))))))</f>
        <v>ROKS</v>
      </c>
      <c r="R10" s="51" t="str">
        <f aca="false">IF(OR($A10="",R$8=""),"",IF($F10="Migré","ROKS",IF($F10="À décommissionner",IF(R$8&lt;$AS10,"IKS","Décom."),IF(OR($AQ10="",$AS10=""),"",IF(R$8&lt;$AQ10,"IKS",IF(R$8&lt;$AS10,IF(R$8=$AR10,"Bascule","Double run"),"ROKS"))))))</f>
        <v>ROKS</v>
      </c>
      <c r="S10" s="51" t="str">
        <f aca="false">IF(OR($A10="",S$8=""),"",IF($F10="Migré","ROKS",IF($F10="À décommissionner",IF(S$8&lt;$AS10,"IKS","Décom."),IF(OR($AQ10="",$AS10=""),"",IF(S$8&lt;$AQ10,"IKS",IF(S$8&lt;$AS10,IF(S$8=$AR10,"Bascule","Double run"),"ROKS"))))))</f>
        <v>ROKS</v>
      </c>
      <c r="T10" s="51" t="str">
        <f aca="false">IF(OR($A10="",T$8=""),"",IF($F10="Migré","ROKS",IF($F10="À décommissionner",IF(T$8&lt;$AS10,"IKS","Décom."),IF(OR($AQ10="",$AS10=""),"",IF(T$8&lt;$AQ10,"IKS",IF(T$8&lt;$AS10,IF(T$8=$AR10,"Bascule","Double run"),"ROKS"))))))</f>
        <v>ROKS</v>
      </c>
      <c r="U10" s="51" t="str">
        <f aca="false">IF(OR($A10="",U$8=""),"",IF($F10="Migré","ROKS",IF($F10="À décommissionner",IF(U$8&lt;$AS10,"IKS","Décom."),IF(OR($AQ10="",$AS10=""),"",IF(U$8&lt;$AQ10,"IKS",IF(U$8&lt;$AS10,IF(U$8=$AR10,"Bascule","Double run"),"ROKS"))))))</f>
        <v>ROKS</v>
      </c>
      <c r="V10" s="51" t="str">
        <f aca="false">IF(OR($A10="",V$8=""),"",IF($F10="Migré","ROKS",IF($F10="À décommissionner",IF(V$8&lt;$AS10,"IKS","Décom."),IF(OR($AQ10="",$AS10=""),"",IF(V$8&lt;$AQ10,"IKS",IF(V$8&lt;$AS10,IF(V$8=$AR10,"Bascule","Double run"),"ROKS"))))))</f>
        <v>ROKS</v>
      </c>
      <c r="W10" s="51" t="str">
        <f aca="false">IF(OR($A10="",W$8=""),"",IF($F10="Migré","ROKS",IF($F10="À décommissionner",IF(W$8&lt;$AS10,"IKS","Décom."),IF(OR($AQ10="",$AS10=""),"",IF(W$8&lt;$AQ10,"IKS",IF(W$8&lt;$AS10,IF(W$8=$AR10,"Bascule","Double run"),"ROKS"))))))</f>
        <v>ROKS</v>
      </c>
      <c r="X10" s="51" t="str">
        <f aca="false">IF(OR($A10="",X$8=""),"",IF($F10="Migré","ROKS",IF($F10="À décommissionner",IF(X$8&lt;$AS10,"IKS","Décom."),IF(OR($AQ10="",$AS10=""),"",IF(X$8&lt;$AQ10,"IKS",IF(X$8&lt;$AS10,IF(X$8=$AR10,"Bascule","Double run"),"ROKS"))))))</f>
        <v>ROKS</v>
      </c>
      <c r="Y10" s="51" t="str">
        <f aca="false">IF(OR($A10="",Y$8=""),"",IF($F10="Migré","ROKS",IF($F10="À décommissionner",IF(Y$8&lt;$AS10,"IKS","Décom."),IF(OR($AQ10="",$AS10=""),"",IF(Y$8&lt;$AQ10,"IKS",IF(Y$8&lt;$AS10,IF(Y$8=$AR10,"Bascule","Double run"),"ROKS"))))))</f>
        <v>ROKS</v>
      </c>
      <c r="Z10" s="51" t="str">
        <f aca="false">IF(OR($A10="",Z$8=""),"",IF($F10="Migré","ROKS",IF($F10="À décommissionner",IF(Z$8&lt;$AS10,"IKS","Décom."),IF(OR($AQ10="",$AS10=""),"",IF(Z$8&lt;$AQ10,"IKS",IF(Z$8&lt;$AS10,IF(Z$8=$AR10,"Bascule","Double run"),"ROKS"))))))</f>
        <v>ROKS</v>
      </c>
      <c r="AA10" s="51" t="str">
        <f aca="false">IF(OR($A10="",AA$8=""),"",IF($F10="Migré","ROKS",IF($F10="À décommissionner",IF(AA$8&lt;$AS10,"IKS","Décom."),IF(OR($AQ10="",$AS10=""),"",IF(AA$8&lt;$AQ10,"IKS",IF(AA$8&lt;$AS10,IF(AA$8=$AR10,"Bascule","Double run"),"ROKS"))))))</f>
        <v>ROKS</v>
      </c>
      <c r="AB10" s="51" t="str">
        <f aca="false">IF(OR($A10="",AB$8=""),"",IF($F10="Migré","ROKS",IF($F10="À décommissionner",IF(AB$8&lt;$AS10,"IKS","Décom."),IF(OR($AQ10="",$AS10=""),"",IF(AB$8&lt;$AQ10,"IKS",IF(AB$8&lt;$AS10,IF(AB$8=$AR10,"Bascule","Double run"),"ROKS"))))))</f>
        <v>ROKS</v>
      </c>
      <c r="AC10" s="51" t="str">
        <f aca="false">IF(OR($A10="",AC$8=""),"",IF($F10="Migré","ROKS",IF($F10="À décommissionner",IF(AC$8&lt;$AS10,"IKS","Décom."),IF(OR($AQ10="",$AS10=""),"",IF(AC$8&lt;$AQ10,"IKS",IF(AC$8&lt;$AS10,IF(AC$8=$AR10,"Bascule","Double run"),"ROKS"))))))</f>
        <v>ROKS</v>
      </c>
      <c r="AD10" s="51" t="str">
        <f aca="false">IF(OR($A10="",AD$8=""),"",IF($F10="Migré","ROKS",IF($F10="À décommissionner",IF(AD$8&lt;$AS10,"IKS","Décom."),IF(OR($AQ10="",$AS10=""),"",IF(AD$8&lt;$AQ10,"IKS",IF(AD$8&lt;$AS10,IF(AD$8=$AR10,"Bascule","Double run"),"ROKS"))))))</f>
        <v>ROKS</v>
      </c>
      <c r="AE10" s="51" t="str">
        <f aca="false">IF(OR($A10="",AE$8=""),"",IF($F10="Migré","ROKS",IF($F10="À décommissionner",IF(AE$8&lt;$AS10,"IKS","Décom."),IF(OR($AQ10="",$AS10=""),"",IF(AE$8&lt;$AQ10,"IKS",IF(AE$8&lt;$AS10,IF(AE$8=$AR10,"Bascule","Double run"),"ROKS"))))))</f>
        <v>ROKS</v>
      </c>
      <c r="AF10" s="51" t="str">
        <f aca="false">IF(OR($A10="",AF$8=""),"",IF($F10="Migré","ROKS",IF($F10="À décommissionner",IF(AF$8&lt;$AS10,"IKS","Décom."),IF(OR($AQ10="",$AS10=""),"",IF(AF$8&lt;$AQ10,"IKS",IF(AF$8&lt;$AS10,IF(AF$8=$AR10,"Bascule","Double run"),"ROKS"))))))</f>
        <v>ROKS</v>
      </c>
      <c r="AG10" s="51" t="str">
        <f aca="false">IF(OR($A10="",AG$8=""),"",IF($F10="Migré","ROKS",IF($F10="À décommissionner",IF(AG$8&lt;$AS10,"IKS","Décom."),IF(OR($AQ10="",$AS10=""),"",IF(AG$8&lt;$AQ10,"IKS",IF(AG$8&lt;$AS10,IF(AG$8=$AR10,"Bascule","Double run"),"ROKS"))))))</f>
        <v>ROKS</v>
      </c>
      <c r="AH10" s="51" t="str">
        <f aca="false">IF(OR($A10="",AH$8=""),"",IF($F10="Migré","ROKS",IF($F10="À décommissionner",IF(AH$8&lt;$AS10,"IKS","Décom."),IF(OR($AQ10="",$AS10=""),"",IF(AH$8&lt;$AQ10,"IKS",IF(AH$8&lt;$AS10,IF(AH$8=$AR10,"Bascule","Double run"),"ROKS"))))))</f>
        <v>ROKS</v>
      </c>
      <c r="AI10" s="51" t="str">
        <f aca="false">IF(OR($A10="",AI$8=""),"",IF($F10="Migré","ROKS",IF($F10="À décommissionner",IF(AI$8&lt;$AS10,"IKS","Décom."),IF(OR($AQ10="",$AS10=""),"",IF(AI$8&lt;$AQ10,"IKS",IF(AI$8&lt;$AS10,IF(AI$8=$AR10,"Bascule","Double run"),"ROKS"))))))</f>
        <v>ROKS</v>
      </c>
      <c r="AJ10" s="51" t="str">
        <f aca="false">IF(OR($A10="",AJ$8=""),"",IF($F10="Migré","ROKS",IF($F10="À décommissionner",IF(AJ$8&lt;$AS10,"IKS","Décom."),IF(OR($AQ10="",$AS10=""),"",IF(AJ$8&lt;$AQ10,"IKS",IF(AJ$8&lt;$AS10,IF(AJ$8=$AR10,"Bascule","Double run"),"ROKS"))))))</f>
        <v>ROKS</v>
      </c>
      <c r="AK10" s="51" t="str">
        <f aca="false">IF(OR($A10="",AK$8=""),"",IF($F10="Migré","ROKS",IF($F10="À décommissionner",IF(AK$8&lt;$AS10,"IKS","Décom."),IF(OR($AQ10="",$AS10=""),"",IF(AK$8&lt;$AQ10,"IKS",IF(AK$8&lt;$AS10,IF(AK$8=$AR10,"Bascule","Double run"),"ROKS"))))))</f>
        <v>ROKS</v>
      </c>
      <c r="AL10" s="51" t="str">
        <f aca="false">IF(OR($A10="",AL$8=""),"",IF($F10="Migré","ROKS",IF($F10="À décommissionner",IF(AL$8&lt;$AS10,"IKS","Décom."),IF(OR($AQ10="",$AS10=""),"",IF(AL$8&lt;$AQ10,"IKS",IF(AL$8&lt;$AS10,IF(AL$8=$AR10,"Bascule","Double run"),"ROKS"))))))</f>
        <v>ROKS</v>
      </c>
      <c r="AM10" s="51" t="str">
        <f aca="false">IF(OR($A10="",AM$8=""),"",IF($F10="Migré","ROKS",IF($F10="À décommissionner",IF(AM$8&lt;$AS10,"IKS","Décom."),IF(OR($AQ10="",$AS10=""),"",IF(AM$8&lt;$AQ10,"IKS",IF(AM$8&lt;$AS10,IF(AM$8=$AR10,"Bascule","Double run"),"ROKS"))))))</f>
        <v>ROKS</v>
      </c>
      <c r="AN10" s="51" t="str">
        <f aca="false">IF(OR($A10="",AN$8=""),"",IF($F10="Migré","ROKS",IF($F10="À décommissionner",IF(AN$8&lt;$AS10,"IKS","Décom."),IF(OR($AQ10="",$AS10=""),"",IF(AN$8&lt;$AQ10,"IKS",IF(AN$8&lt;$AS10,IF(AN$8=$AR10,"Bascule","Double run"),"ROKS"))))))</f>
        <v>ROKS</v>
      </c>
      <c r="AO10" s="51" t="str">
        <f aca="false">IF(OR($A10="",AO$8=""),"",IF($F10="Migré","ROKS",IF($F10="À décommissionner",IF(AO$8&lt;$AS10,"IKS","Décom."),IF(OR($AQ10="",$AS10=""),"",IF(AO$8&lt;$AQ10,"IKS",IF(AO$8&lt;$AS10,IF(AO$8=$AR10,"Bascule","Double run"),"ROKS"))))))</f>
        <v>ROKS</v>
      </c>
      <c r="AP10" s="51" t="str">
        <f aca="false">IF(OR($A10="",AP$8=""),"",IF($F10="Migré","ROKS",IF($F10="À décommissionner",IF(AP$8&lt;$AS10,"IKS","Décom."),IF(OR($AQ10="",$AS10=""),"",IF(AP$8&lt;$AQ10,"IKS",IF(AP$8&lt;$AS10,IF(AP$8=$AR10,"Bascule","Double run"),"ROKS"))))))</f>
        <v>ROKS</v>
      </c>
      <c r="AQ10" s="52" t="n">
        <f aca="false">IF($A10="","",INDEX(TblApplications[Mois prov (calc)],$A10))</f>
        <v>46388</v>
      </c>
      <c r="AR10" s="53" t="n">
        <f aca="false">IF($A10="","",IFERROR(DATE(YEAR(INDEX(TblApplications[Mois bascule],$A10)),MONTH(INDEX(TblApplications[Mois bascule],$A10)),1),""))</f>
        <v>46419</v>
      </c>
      <c r="AS10" s="52" t="n">
        <f aca="false">IF($A10="","",INDEX(TblApplications[Mois lib (calc)],$A10))</f>
        <v>46447</v>
      </c>
    </row>
    <row r="11" customFormat="false" ht="15" hidden="false" customHeight="false" outlineLevel="0" collapsed="false">
      <c r="A11" s="49" t="n">
        <f aca="false">IFERROR(MATCH(3,TblApplications[Rang frise],0),"")</f>
        <v>3</v>
      </c>
      <c r="B11" s="50" t="str">
        <f aca="false">IF($A11="","",INDEX(TblApplications[ID],$A11))</f>
        <v>APP-01</v>
      </c>
      <c r="C11" s="50" t="str">
        <f aca="false">IF($A11="","",INDEX(TblApplications[Application],$A11))</f>
        <v>Portail assuré (démo)</v>
      </c>
      <c r="D11" s="50" t="str">
        <f aca="false">IF($A11="","",INDEX(TblApplications[Environnement],$A11))</f>
        <v>PRD</v>
      </c>
      <c r="E11" s="50" t="str">
        <f aca="false">IF($A11="","",INDEX(TblApplications[Couloir],$A11))</f>
        <v>PRD</v>
      </c>
      <c r="F11" s="50" t="str">
        <f aca="false">IF($A11="","",INDEX(TblApplications[Action],$A11))</f>
        <v>À migrer</v>
      </c>
      <c r="G11" s="51" t="str">
        <f aca="false">IF(OR($A11="",G$8=""),"",IF($F11="Migré","ROKS",IF($F11="À décommissionner",IF(G$8&lt;$AS11,"IKS","Décom."),IF(OR($AQ11="",$AS11=""),"",IF(G$8&lt;$AQ11,"IKS",IF(G$8&lt;$AS11,IF(G$8=$AR11,"Bascule","Double run"),"ROKS"))))))</f>
        <v>IKS</v>
      </c>
      <c r="H11" s="51" t="str">
        <f aca="false">IF(OR($A11="",H$8=""),"",IF($F11="Migré","ROKS",IF($F11="À décommissionner",IF(H$8&lt;$AS11,"IKS","Décom."),IF(OR($AQ11="",$AS11=""),"",IF(H$8&lt;$AQ11,"IKS",IF(H$8&lt;$AS11,IF(H$8=$AR11,"Bascule","Double run"),"ROKS"))))))</f>
        <v>IKS</v>
      </c>
      <c r="I11" s="51" t="str">
        <f aca="false">IF(OR($A11="",I$8=""),"",IF($F11="Migré","ROKS",IF($F11="À décommissionner",IF(I$8&lt;$AS11,"IKS","Décom."),IF(OR($AQ11="",$AS11=""),"",IF(I$8&lt;$AQ11,"IKS",IF(I$8&lt;$AS11,IF(I$8=$AR11,"Bascule","Double run"),"ROKS"))))))</f>
        <v>IKS</v>
      </c>
      <c r="J11" s="51" t="str">
        <f aca="false">IF(OR($A11="",J$8=""),"",IF($F11="Migré","ROKS",IF($F11="À décommissionner",IF(J$8&lt;$AS11,"IKS","Décom."),IF(OR($AQ11="",$AS11=""),"",IF(J$8&lt;$AQ11,"IKS",IF(J$8&lt;$AS11,IF(J$8=$AR11,"Bascule","Double run"),"ROKS"))))))</f>
        <v>IKS</v>
      </c>
      <c r="K11" s="51" t="str">
        <f aca="false">IF(OR($A11="",K$8=""),"",IF($F11="Migré","ROKS",IF($F11="À décommissionner",IF(K$8&lt;$AS11,"IKS","Décom."),IF(OR($AQ11="",$AS11=""),"",IF(K$8&lt;$AQ11,"IKS",IF(K$8&lt;$AS11,IF(K$8=$AR11,"Bascule","Double run"),"ROKS"))))))</f>
        <v>IKS</v>
      </c>
      <c r="L11" s="51" t="str">
        <f aca="false">IF(OR($A11="",L$8=""),"",IF($F11="Migré","ROKS",IF($F11="À décommissionner",IF(L$8&lt;$AS11,"IKS","Décom."),IF(OR($AQ11="",$AS11=""),"",IF(L$8&lt;$AQ11,"IKS",IF(L$8&lt;$AS11,IF(L$8=$AR11,"Bascule","Double run"),"ROKS"))))))</f>
        <v>IKS</v>
      </c>
      <c r="M11" s="51" t="str">
        <f aca="false">IF(OR($A11="",M$8=""),"",IF($F11="Migré","ROKS",IF($F11="À décommissionner",IF(M$8&lt;$AS11,"IKS","Décom."),IF(OR($AQ11="",$AS11=""),"",IF(M$8&lt;$AQ11,"IKS",IF(M$8&lt;$AS11,IF(M$8=$AR11,"Bascule","Double run"),"ROKS"))))))</f>
        <v>Double run</v>
      </c>
      <c r="N11" s="51" t="str">
        <f aca="false">IF(OR($A11="",N$8=""),"",IF($F11="Migré","ROKS",IF($F11="À décommissionner",IF(N$8&lt;$AS11,"IKS","Décom."),IF(OR($AQ11="",$AS11=""),"",IF(N$8&lt;$AQ11,"IKS",IF(N$8&lt;$AS11,IF(N$8=$AR11,"Bascule","Double run"),"ROKS"))))))</f>
        <v>Bascule</v>
      </c>
      <c r="O11" s="51" t="str">
        <f aca="false">IF(OR($A11="",O$8=""),"",IF($F11="Migré","ROKS",IF($F11="À décommissionner",IF(O$8&lt;$AS11,"IKS","Décom."),IF(OR($AQ11="",$AS11=""),"",IF(O$8&lt;$AQ11,"IKS",IF(O$8&lt;$AS11,IF(O$8=$AR11,"Bascule","Double run"),"ROKS"))))))</f>
        <v>Double run</v>
      </c>
      <c r="P11" s="51" t="str">
        <f aca="false">IF(OR($A11="",P$8=""),"",IF($F11="Migré","ROKS",IF($F11="À décommissionner",IF(P$8&lt;$AS11,"IKS","Décom."),IF(OR($AQ11="",$AS11=""),"",IF(P$8&lt;$AQ11,"IKS",IF(P$8&lt;$AS11,IF(P$8=$AR11,"Bascule","Double run"),"ROKS"))))))</f>
        <v>ROKS</v>
      </c>
      <c r="Q11" s="51" t="str">
        <f aca="false">IF(OR($A11="",Q$8=""),"",IF($F11="Migré","ROKS",IF($F11="À décommissionner",IF(Q$8&lt;$AS11,"IKS","Décom."),IF(OR($AQ11="",$AS11=""),"",IF(Q$8&lt;$AQ11,"IKS",IF(Q$8&lt;$AS11,IF(Q$8=$AR11,"Bascule","Double run"),"ROKS"))))))</f>
        <v>ROKS</v>
      </c>
      <c r="R11" s="51" t="str">
        <f aca="false">IF(OR($A11="",R$8=""),"",IF($F11="Migré","ROKS",IF($F11="À décommissionner",IF(R$8&lt;$AS11,"IKS","Décom."),IF(OR($AQ11="",$AS11=""),"",IF(R$8&lt;$AQ11,"IKS",IF(R$8&lt;$AS11,IF(R$8=$AR11,"Bascule","Double run"),"ROKS"))))))</f>
        <v>ROKS</v>
      </c>
      <c r="S11" s="51" t="str">
        <f aca="false">IF(OR($A11="",S$8=""),"",IF($F11="Migré","ROKS",IF($F11="À décommissionner",IF(S$8&lt;$AS11,"IKS","Décom."),IF(OR($AQ11="",$AS11=""),"",IF(S$8&lt;$AQ11,"IKS",IF(S$8&lt;$AS11,IF(S$8=$AR11,"Bascule","Double run"),"ROKS"))))))</f>
        <v>ROKS</v>
      </c>
      <c r="T11" s="51" t="str">
        <f aca="false">IF(OR($A11="",T$8=""),"",IF($F11="Migré","ROKS",IF($F11="À décommissionner",IF(T$8&lt;$AS11,"IKS","Décom."),IF(OR($AQ11="",$AS11=""),"",IF(T$8&lt;$AQ11,"IKS",IF(T$8&lt;$AS11,IF(T$8=$AR11,"Bascule","Double run"),"ROKS"))))))</f>
        <v>ROKS</v>
      </c>
      <c r="U11" s="51" t="str">
        <f aca="false">IF(OR($A11="",U$8=""),"",IF($F11="Migré","ROKS",IF($F11="À décommissionner",IF(U$8&lt;$AS11,"IKS","Décom."),IF(OR($AQ11="",$AS11=""),"",IF(U$8&lt;$AQ11,"IKS",IF(U$8&lt;$AS11,IF(U$8=$AR11,"Bascule","Double run"),"ROKS"))))))</f>
        <v>ROKS</v>
      </c>
      <c r="V11" s="51" t="str">
        <f aca="false">IF(OR($A11="",V$8=""),"",IF($F11="Migré","ROKS",IF($F11="À décommissionner",IF(V$8&lt;$AS11,"IKS","Décom."),IF(OR($AQ11="",$AS11=""),"",IF(V$8&lt;$AQ11,"IKS",IF(V$8&lt;$AS11,IF(V$8=$AR11,"Bascule","Double run"),"ROKS"))))))</f>
        <v>ROKS</v>
      </c>
      <c r="W11" s="51" t="str">
        <f aca="false">IF(OR($A11="",W$8=""),"",IF($F11="Migré","ROKS",IF($F11="À décommissionner",IF(W$8&lt;$AS11,"IKS","Décom."),IF(OR($AQ11="",$AS11=""),"",IF(W$8&lt;$AQ11,"IKS",IF(W$8&lt;$AS11,IF(W$8=$AR11,"Bascule","Double run"),"ROKS"))))))</f>
        <v>ROKS</v>
      </c>
      <c r="X11" s="51" t="str">
        <f aca="false">IF(OR($A11="",X$8=""),"",IF($F11="Migré","ROKS",IF($F11="À décommissionner",IF(X$8&lt;$AS11,"IKS","Décom."),IF(OR($AQ11="",$AS11=""),"",IF(X$8&lt;$AQ11,"IKS",IF(X$8&lt;$AS11,IF(X$8=$AR11,"Bascule","Double run"),"ROKS"))))))</f>
        <v>ROKS</v>
      </c>
      <c r="Y11" s="51" t="str">
        <f aca="false">IF(OR($A11="",Y$8=""),"",IF($F11="Migré","ROKS",IF($F11="À décommissionner",IF(Y$8&lt;$AS11,"IKS","Décom."),IF(OR($AQ11="",$AS11=""),"",IF(Y$8&lt;$AQ11,"IKS",IF(Y$8&lt;$AS11,IF(Y$8=$AR11,"Bascule","Double run"),"ROKS"))))))</f>
        <v>ROKS</v>
      </c>
      <c r="Z11" s="51" t="str">
        <f aca="false">IF(OR($A11="",Z$8=""),"",IF($F11="Migré","ROKS",IF($F11="À décommissionner",IF(Z$8&lt;$AS11,"IKS","Décom."),IF(OR($AQ11="",$AS11=""),"",IF(Z$8&lt;$AQ11,"IKS",IF(Z$8&lt;$AS11,IF(Z$8=$AR11,"Bascule","Double run"),"ROKS"))))))</f>
        <v>ROKS</v>
      </c>
      <c r="AA11" s="51" t="str">
        <f aca="false">IF(OR($A11="",AA$8=""),"",IF($F11="Migré","ROKS",IF($F11="À décommissionner",IF(AA$8&lt;$AS11,"IKS","Décom."),IF(OR($AQ11="",$AS11=""),"",IF(AA$8&lt;$AQ11,"IKS",IF(AA$8&lt;$AS11,IF(AA$8=$AR11,"Bascule","Double run"),"ROKS"))))))</f>
        <v>ROKS</v>
      </c>
      <c r="AB11" s="51" t="str">
        <f aca="false">IF(OR($A11="",AB$8=""),"",IF($F11="Migré","ROKS",IF($F11="À décommissionner",IF(AB$8&lt;$AS11,"IKS","Décom."),IF(OR($AQ11="",$AS11=""),"",IF(AB$8&lt;$AQ11,"IKS",IF(AB$8&lt;$AS11,IF(AB$8=$AR11,"Bascule","Double run"),"ROKS"))))))</f>
        <v>ROKS</v>
      </c>
      <c r="AC11" s="51" t="str">
        <f aca="false">IF(OR($A11="",AC$8=""),"",IF($F11="Migré","ROKS",IF($F11="À décommissionner",IF(AC$8&lt;$AS11,"IKS","Décom."),IF(OR($AQ11="",$AS11=""),"",IF(AC$8&lt;$AQ11,"IKS",IF(AC$8&lt;$AS11,IF(AC$8=$AR11,"Bascule","Double run"),"ROKS"))))))</f>
        <v>ROKS</v>
      </c>
      <c r="AD11" s="51" t="str">
        <f aca="false">IF(OR($A11="",AD$8=""),"",IF($F11="Migré","ROKS",IF($F11="À décommissionner",IF(AD$8&lt;$AS11,"IKS","Décom."),IF(OR($AQ11="",$AS11=""),"",IF(AD$8&lt;$AQ11,"IKS",IF(AD$8&lt;$AS11,IF(AD$8=$AR11,"Bascule","Double run"),"ROKS"))))))</f>
        <v>ROKS</v>
      </c>
      <c r="AE11" s="51" t="str">
        <f aca="false">IF(OR($A11="",AE$8=""),"",IF($F11="Migré","ROKS",IF($F11="À décommissionner",IF(AE$8&lt;$AS11,"IKS","Décom."),IF(OR($AQ11="",$AS11=""),"",IF(AE$8&lt;$AQ11,"IKS",IF(AE$8&lt;$AS11,IF(AE$8=$AR11,"Bascule","Double run"),"ROKS"))))))</f>
        <v>ROKS</v>
      </c>
      <c r="AF11" s="51" t="str">
        <f aca="false">IF(OR($A11="",AF$8=""),"",IF($F11="Migré","ROKS",IF($F11="À décommissionner",IF(AF$8&lt;$AS11,"IKS","Décom."),IF(OR($AQ11="",$AS11=""),"",IF(AF$8&lt;$AQ11,"IKS",IF(AF$8&lt;$AS11,IF(AF$8=$AR11,"Bascule","Double run"),"ROKS"))))))</f>
        <v>ROKS</v>
      </c>
      <c r="AG11" s="51" t="str">
        <f aca="false">IF(OR($A11="",AG$8=""),"",IF($F11="Migré","ROKS",IF($F11="À décommissionner",IF(AG$8&lt;$AS11,"IKS","Décom."),IF(OR($AQ11="",$AS11=""),"",IF(AG$8&lt;$AQ11,"IKS",IF(AG$8&lt;$AS11,IF(AG$8=$AR11,"Bascule","Double run"),"ROKS"))))))</f>
        <v>ROKS</v>
      </c>
      <c r="AH11" s="51" t="str">
        <f aca="false">IF(OR($A11="",AH$8=""),"",IF($F11="Migré","ROKS",IF($F11="À décommissionner",IF(AH$8&lt;$AS11,"IKS","Décom."),IF(OR($AQ11="",$AS11=""),"",IF(AH$8&lt;$AQ11,"IKS",IF(AH$8&lt;$AS11,IF(AH$8=$AR11,"Bascule","Double run"),"ROKS"))))))</f>
        <v>ROKS</v>
      </c>
      <c r="AI11" s="51" t="str">
        <f aca="false">IF(OR($A11="",AI$8=""),"",IF($F11="Migré","ROKS",IF($F11="À décommissionner",IF(AI$8&lt;$AS11,"IKS","Décom."),IF(OR($AQ11="",$AS11=""),"",IF(AI$8&lt;$AQ11,"IKS",IF(AI$8&lt;$AS11,IF(AI$8=$AR11,"Bascule","Double run"),"ROKS"))))))</f>
        <v>ROKS</v>
      </c>
      <c r="AJ11" s="51" t="str">
        <f aca="false">IF(OR($A11="",AJ$8=""),"",IF($F11="Migré","ROKS",IF($F11="À décommissionner",IF(AJ$8&lt;$AS11,"IKS","Décom."),IF(OR($AQ11="",$AS11=""),"",IF(AJ$8&lt;$AQ11,"IKS",IF(AJ$8&lt;$AS11,IF(AJ$8=$AR11,"Bascule","Double run"),"ROKS"))))))</f>
        <v>ROKS</v>
      </c>
      <c r="AK11" s="51" t="str">
        <f aca="false">IF(OR($A11="",AK$8=""),"",IF($F11="Migré","ROKS",IF($F11="À décommissionner",IF(AK$8&lt;$AS11,"IKS","Décom."),IF(OR($AQ11="",$AS11=""),"",IF(AK$8&lt;$AQ11,"IKS",IF(AK$8&lt;$AS11,IF(AK$8=$AR11,"Bascule","Double run"),"ROKS"))))))</f>
        <v>ROKS</v>
      </c>
      <c r="AL11" s="51" t="str">
        <f aca="false">IF(OR($A11="",AL$8=""),"",IF($F11="Migré","ROKS",IF($F11="À décommissionner",IF(AL$8&lt;$AS11,"IKS","Décom."),IF(OR($AQ11="",$AS11=""),"",IF(AL$8&lt;$AQ11,"IKS",IF(AL$8&lt;$AS11,IF(AL$8=$AR11,"Bascule","Double run"),"ROKS"))))))</f>
        <v>ROKS</v>
      </c>
      <c r="AM11" s="51" t="str">
        <f aca="false">IF(OR($A11="",AM$8=""),"",IF($F11="Migré","ROKS",IF($F11="À décommissionner",IF(AM$8&lt;$AS11,"IKS","Décom."),IF(OR($AQ11="",$AS11=""),"",IF(AM$8&lt;$AQ11,"IKS",IF(AM$8&lt;$AS11,IF(AM$8=$AR11,"Bascule","Double run"),"ROKS"))))))</f>
        <v>ROKS</v>
      </c>
      <c r="AN11" s="51" t="str">
        <f aca="false">IF(OR($A11="",AN$8=""),"",IF($F11="Migré","ROKS",IF($F11="À décommissionner",IF(AN$8&lt;$AS11,"IKS","Décom."),IF(OR($AQ11="",$AS11=""),"",IF(AN$8&lt;$AQ11,"IKS",IF(AN$8&lt;$AS11,IF(AN$8=$AR11,"Bascule","Double run"),"ROKS"))))))</f>
        <v>ROKS</v>
      </c>
      <c r="AO11" s="51" t="str">
        <f aca="false">IF(OR($A11="",AO$8=""),"",IF($F11="Migré","ROKS",IF($F11="À décommissionner",IF(AO$8&lt;$AS11,"IKS","Décom."),IF(OR($AQ11="",$AS11=""),"",IF(AO$8&lt;$AQ11,"IKS",IF(AO$8&lt;$AS11,IF(AO$8=$AR11,"Bascule","Double run"),"ROKS"))))))</f>
        <v>ROKS</v>
      </c>
      <c r="AP11" s="51" t="str">
        <f aca="false">IF(OR($A11="",AP$8=""),"",IF($F11="Migré","ROKS",IF($F11="À décommissionner",IF(AP$8&lt;$AS11,"IKS","Décom."),IF(OR($AQ11="",$AS11=""),"",IF(AP$8&lt;$AQ11,"IKS",IF(AP$8&lt;$AS11,IF(AP$8=$AR11,"Bascule","Double run"),"ROKS"))))))</f>
        <v>ROKS</v>
      </c>
      <c r="AQ11" s="52" t="n">
        <f aca="false">IF($A11="","",INDEX(TblApplications[Mois prov (calc)],$A11))</f>
        <v>46478</v>
      </c>
      <c r="AR11" s="53" t="n">
        <f aca="false">IF($A11="","",IFERROR(DATE(YEAR(INDEX(TblApplications[Mois bascule],$A11)),MONTH(INDEX(TblApplications[Mois bascule],$A11)),1),""))</f>
        <v>46508</v>
      </c>
      <c r="AS11" s="52" t="n">
        <f aca="false">IF($A11="","",INDEX(TblApplications[Mois lib (calc)],$A11))</f>
        <v>46569</v>
      </c>
    </row>
    <row r="12" customFormat="false" ht="15" hidden="false" customHeight="false" outlineLevel="0" collapsed="false">
      <c r="A12" s="49" t="n">
        <f aca="false">IFERROR(MATCH(4,TblApplications[Rang frise],0),"")</f>
        <v>4</v>
      </c>
      <c r="B12" s="50" t="str">
        <f aca="false">IF($A12="","",INDEX(TblApplications[ID],$A12))</f>
        <v>APP-02</v>
      </c>
      <c r="C12" s="50" t="str">
        <f aca="false">IF($A12="","",INDEX(TblApplications[Application],$A12))</f>
        <v>Moteur tarification (démo)</v>
      </c>
      <c r="D12" s="50" t="str">
        <f aca="false">IF($A12="","",INDEX(TblApplications[Environnement],$A12))</f>
        <v>NPRD</v>
      </c>
      <c r="E12" s="50" t="str">
        <f aca="false">IF($A12="","",INDEX(TblApplications[Couloir],$A12))</f>
        <v>DEV1</v>
      </c>
      <c r="F12" s="50" t="str">
        <f aca="false">IF($A12="","",INDEX(TblApplications[Action],$A12))</f>
        <v>À migrer</v>
      </c>
      <c r="G12" s="51" t="str">
        <f aca="false">IF(OR($A12="",G$8=""),"",IF($F12="Migré","ROKS",IF($F12="À décommissionner",IF(G$8&lt;$AS12,"IKS","Décom."),IF(OR($AQ12="",$AS12=""),"",IF(G$8&lt;$AQ12,"IKS",IF(G$8&lt;$AS12,IF(G$8=$AR12,"Bascule","Double run"),"ROKS"))))))</f>
        <v>IKS</v>
      </c>
      <c r="H12" s="51" t="str">
        <f aca="false">IF(OR($A12="",H$8=""),"",IF($F12="Migré","ROKS",IF($F12="À décommissionner",IF(H$8&lt;$AS12,"IKS","Décom."),IF(OR($AQ12="",$AS12=""),"",IF(H$8&lt;$AQ12,"IKS",IF(H$8&lt;$AS12,IF(H$8=$AR12,"Bascule","Double run"),"ROKS"))))))</f>
        <v>IKS</v>
      </c>
      <c r="I12" s="51" t="str">
        <f aca="false">IF(OR($A12="",I$8=""),"",IF($F12="Migré","ROKS",IF($F12="À décommissionner",IF(I$8&lt;$AS12,"IKS","Décom."),IF(OR($AQ12="",$AS12=""),"",IF(I$8&lt;$AQ12,"IKS",IF(I$8&lt;$AS12,IF(I$8=$AR12,"Bascule","Double run"),"ROKS"))))))</f>
        <v>IKS</v>
      </c>
      <c r="J12" s="51" t="str">
        <f aca="false">IF(OR($A12="",J$8=""),"",IF($F12="Migré","ROKS",IF($F12="À décommissionner",IF(J$8&lt;$AS12,"IKS","Décom."),IF(OR($AQ12="",$AS12=""),"",IF(J$8&lt;$AQ12,"IKS",IF(J$8&lt;$AS12,IF(J$8=$AR12,"Bascule","Double run"),"ROKS"))))))</f>
        <v>IKS</v>
      </c>
      <c r="K12" s="51" t="str">
        <f aca="false">IF(OR($A12="",K$8=""),"",IF($F12="Migré","ROKS",IF($F12="À décommissionner",IF(K$8&lt;$AS12,"IKS","Décom."),IF(OR($AQ12="",$AS12=""),"",IF(K$8&lt;$AQ12,"IKS",IF(K$8&lt;$AS12,IF(K$8=$AR12,"Bascule","Double run"),"ROKS"))))))</f>
        <v>IKS</v>
      </c>
      <c r="L12" s="51" t="str">
        <f aca="false">IF(OR($A12="",L$8=""),"",IF($F12="Migré","ROKS",IF($F12="À décommissionner",IF(L$8&lt;$AS12,"IKS","Décom."),IF(OR($AQ12="",$AS12=""),"",IF(L$8&lt;$AQ12,"IKS",IF(L$8&lt;$AS12,IF(L$8=$AR12,"Bascule","Double run"),"ROKS"))))))</f>
        <v>IKS</v>
      </c>
      <c r="M12" s="51" t="str">
        <f aca="false">IF(OR($A12="",M$8=""),"",IF($F12="Migré","ROKS",IF($F12="À décommissionner",IF(M$8&lt;$AS12,"IKS","Décom."),IF(OR($AQ12="",$AS12=""),"",IF(M$8&lt;$AQ12,"IKS",IF(M$8&lt;$AS12,IF(M$8=$AR12,"Bascule","Double run"),"ROKS"))))))</f>
        <v>IKS</v>
      </c>
      <c r="N12" s="51" t="str">
        <f aca="false">IF(OR($A12="",N$8=""),"",IF($F12="Migré","ROKS",IF($F12="À décommissionner",IF(N$8&lt;$AS12,"IKS","Décom."),IF(OR($AQ12="",$AS12=""),"",IF(N$8&lt;$AQ12,"IKS",IF(N$8&lt;$AS12,IF(N$8=$AR12,"Bascule","Double run"),"ROKS"))))))</f>
        <v>IKS</v>
      </c>
      <c r="O12" s="51" t="str">
        <f aca="false">IF(OR($A12="",O$8=""),"",IF($F12="Migré","ROKS",IF($F12="À décommissionner",IF(O$8&lt;$AS12,"IKS","Décom."),IF(OR($AQ12="",$AS12=""),"",IF(O$8&lt;$AQ12,"IKS",IF(O$8&lt;$AS12,IF(O$8=$AR12,"Bascule","Double run"),"ROKS"))))))</f>
        <v>IKS</v>
      </c>
      <c r="P12" s="51" t="str">
        <f aca="false">IF(OR($A12="",P$8=""),"",IF($F12="Migré","ROKS",IF($F12="À décommissionner",IF(P$8&lt;$AS12,"IKS","Décom."),IF(OR($AQ12="",$AS12=""),"",IF(P$8&lt;$AQ12,"IKS",IF(P$8&lt;$AS12,IF(P$8=$AR12,"Bascule","Double run"),"ROKS"))))))</f>
        <v>IKS</v>
      </c>
      <c r="Q12" s="51" t="str">
        <f aca="false">IF(OR($A12="",Q$8=""),"",IF($F12="Migré","ROKS",IF($F12="À décommissionner",IF(Q$8&lt;$AS12,"IKS","Décom."),IF(OR($AQ12="",$AS12=""),"",IF(Q$8&lt;$AQ12,"IKS",IF(Q$8&lt;$AS12,IF(Q$8=$AR12,"Bascule","Double run"),"ROKS"))))))</f>
        <v>IKS</v>
      </c>
      <c r="R12" s="51" t="str">
        <f aca="false">IF(OR($A12="",R$8=""),"",IF($F12="Migré","ROKS",IF($F12="À décommissionner",IF(R$8&lt;$AS12,"IKS","Décom."),IF(OR($AQ12="",$AS12=""),"",IF(R$8&lt;$AQ12,"IKS",IF(R$8&lt;$AS12,IF(R$8=$AR12,"Bascule","Double run"),"ROKS"))))))</f>
        <v>Bascule</v>
      </c>
      <c r="S12" s="51" t="str">
        <f aca="false">IF(OR($A12="",S$8=""),"",IF($F12="Migré","ROKS",IF($F12="À décommissionner",IF(S$8&lt;$AS12,"IKS","Décom."),IF(OR($AQ12="",$AS12=""),"",IF(S$8&lt;$AQ12,"IKS",IF(S$8&lt;$AS12,IF(S$8=$AR12,"Bascule","Double run"),"ROKS"))))))</f>
        <v>ROKS</v>
      </c>
      <c r="T12" s="51" t="str">
        <f aca="false">IF(OR($A12="",T$8=""),"",IF($F12="Migré","ROKS",IF($F12="À décommissionner",IF(T$8&lt;$AS12,"IKS","Décom."),IF(OR($AQ12="",$AS12=""),"",IF(T$8&lt;$AQ12,"IKS",IF(T$8&lt;$AS12,IF(T$8=$AR12,"Bascule","Double run"),"ROKS"))))))</f>
        <v>ROKS</v>
      </c>
      <c r="U12" s="51" t="str">
        <f aca="false">IF(OR($A12="",U$8=""),"",IF($F12="Migré","ROKS",IF($F12="À décommissionner",IF(U$8&lt;$AS12,"IKS","Décom."),IF(OR($AQ12="",$AS12=""),"",IF(U$8&lt;$AQ12,"IKS",IF(U$8&lt;$AS12,IF(U$8=$AR12,"Bascule","Double run"),"ROKS"))))))</f>
        <v>ROKS</v>
      </c>
      <c r="V12" s="51" t="str">
        <f aca="false">IF(OR($A12="",V$8=""),"",IF($F12="Migré","ROKS",IF($F12="À décommissionner",IF(V$8&lt;$AS12,"IKS","Décom."),IF(OR($AQ12="",$AS12=""),"",IF(V$8&lt;$AQ12,"IKS",IF(V$8&lt;$AS12,IF(V$8=$AR12,"Bascule","Double run"),"ROKS"))))))</f>
        <v>ROKS</v>
      </c>
      <c r="W12" s="51" t="str">
        <f aca="false">IF(OR($A12="",W$8=""),"",IF($F12="Migré","ROKS",IF($F12="À décommissionner",IF(W$8&lt;$AS12,"IKS","Décom."),IF(OR($AQ12="",$AS12=""),"",IF(W$8&lt;$AQ12,"IKS",IF(W$8&lt;$AS12,IF(W$8=$AR12,"Bascule","Double run"),"ROKS"))))))</f>
        <v>ROKS</v>
      </c>
      <c r="X12" s="51" t="str">
        <f aca="false">IF(OR($A12="",X$8=""),"",IF($F12="Migré","ROKS",IF($F12="À décommissionner",IF(X$8&lt;$AS12,"IKS","Décom."),IF(OR($AQ12="",$AS12=""),"",IF(X$8&lt;$AQ12,"IKS",IF(X$8&lt;$AS12,IF(X$8=$AR12,"Bascule","Double run"),"ROKS"))))))</f>
        <v>ROKS</v>
      </c>
      <c r="Y12" s="51" t="str">
        <f aca="false">IF(OR($A12="",Y$8=""),"",IF($F12="Migré","ROKS",IF($F12="À décommissionner",IF(Y$8&lt;$AS12,"IKS","Décom."),IF(OR($AQ12="",$AS12=""),"",IF(Y$8&lt;$AQ12,"IKS",IF(Y$8&lt;$AS12,IF(Y$8=$AR12,"Bascule","Double run"),"ROKS"))))))</f>
        <v>ROKS</v>
      </c>
      <c r="Z12" s="51" t="str">
        <f aca="false">IF(OR($A12="",Z$8=""),"",IF($F12="Migré","ROKS",IF($F12="À décommissionner",IF(Z$8&lt;$AS12,"IKS","Décom."),IF(OR($AQ12="",$AS12=""),"",IF(Z$8&lt;$AQ12,"IKS",IF(Z$8&lt;$AS12,IF(Z$8=$AR12,"Bascule","Double run"),"ROKS"))))))</f>
        <v>ROKS</v>
      </c>
      <c r="AA12" s="51" t="str">
        <f aca="false">IF(OR($A12="",AA$8=""),"",IF($F12="Migré","ROKS",IF($F12="À décommissionner",IF(AA$8&lt;$AS12,"IKS","Décom."),IF(OR($AQ12="",$AS12=""),"",IF(AA$8&lt;$AQ12,"IKS",IF(AA$8&lt;$AS12,IF(AA$8=$AR12,"Bascule","Double run"),"ROKS"))))))</f>
        <v>ROKS</v>
      </c>
      <c r="AB12" s="51" t="str">
        <f aca="false">IF(OR($A12="",AB$8=""),"",IF($F12="Migré","ROKS",IF($F12="À décommissionner",IF(AB$8&lt;$AS12,"IKS","Décom."),IF(OR($AQ12="",$AS12=""),"",IF(AB$8&lt;$AQ12,"IKS",IF(AB$8&lt;$AS12,IF(AB$8=$AR12,"Bascule","Double run"),"ROKS"))))))</f>
        <v>ROKS</v>
      </c>
      <c r="AC12" s="51" t="str">
        <f aca="false">IF(OR($A12="",AC$8=""),"",IF($F12="Migré","ROKS",IF($F12="À décommissionner",IF(AC$8&lt;$AS12,"IKS","Décom."),IF(OR($AQ12="",$AS12=""),"",IF(AC$8&lt;$AQ12,"IKS",IF(AC$8&lt;$AS12,IF(AC$8=$AR12,"Bascule","Double run"),"ROKS"))))))</f>
        <v>ROKS</v>
      </c>
      <c r="AD12" s="51" t="str">
        <f aca="false">IF(OR($A12="",AD$8=""),"",IF($F12="Migré","ROKS",IF($F12="À décommissionner",IF(AD$8&lt;$AS12,"IKS","Décom."),IF(OR($AQ12="",$AS12=""),"",IF(AD$8&lt;$AQ12,"IKS",IF(AD$8&lt;$AS12,IF(AD$8=$AR12,"Bascule","Double run"),"ROKS"))))))</f>
        <v>ROKS</v>
      </c>
      <c r="AE12" s="51" t="str">
        <f aca="false">IF(OR($A12="",AE$8=""),"",IF($F12="Migré","ROKS",IF($F12="À décommissionner",IF(AE$8&lt;$AS12,"IKS","Décom."),IF(OR($AQ12="",$AS12=""),"",IF(AE$8&lt;$AQ12,"IKS",IF(AE$8&lt;$AS12,IF(AE$8=$AR12,"Bascule","Double run"),"ROKS"))))))</f>
        <v>ROKS</v>
      </c>
      <c r="AF12" s="51" t="str">
        <f aca="false">IF(OR($A12="",AF$8=""),"",IF($F12="Migré","ROKS",IF($F12="À décommissionner",IF(AF$8&lt;$AS12,"IKS","Décom."),IF(OR($AQ12="",$AS12=""),"",IF(AF$8&lt;$AQ12,"IKS",IF(AF$8&lt;$AS12,IF(AF$8=$AR12,"Bascule","Double run"),"ROKS"))))))</f>
        <v>ROKS</v>
      </c>
      <c r="AG12" s="51" t="str">
        <f aca="false">IF(OR($A12="",AG$8=""),"",IF($F12="Migré","ROKS",IF($F12="À décommissionner",IF(AG$8&lt;$AS12,"IKS","Décom."),IF(OR($AQ12="",$AS12=""),"",IF(AG$8&lt;$AQ12,"IKS",IF(AG$8&lt;$AS12,IF(AG$8=$AR12,"Bascule","Double run"),"ROKS"))))))</f>
        <v>ROKS</v>
      </c>
      <c r="AH12" s="51" t="str">
        <f aca="false">IF(OR($A12="",AH$8=""),"",IF($F12="Migré","ROKS",IF($F12="À décommissionner",IF(AH$8&lt;$AS12,"IKS","Décom."),IF(OR($AQ12="",$AS12=""),"",IF(AH$8&lt;$AQ12,"IKS",IF(AH$8&lt;$AS12,IF(AH$8=$AR12,"Bascule","Double run"),"ROKS"))))))</f>
        <v>ROKS</v>
      </c>
      <c r="AI12" s="51" t="str">
        <f aca="false">IF(OR($A12="",AI$8=""),"",IF($F12="Migré","ROKS",IF($F12="À décommissionner",IF(AI$8&lt;$AS12,"IKS","Décom."),IF(OR($AQ12="",$AS12=""),"",IF(AI$8&lt;$AQ12,"IKS",IF(AI$8&lt;$AS12,IF(AI$8=$AR12,"Bascule","Double run"),"ROKS"))))))</f>
        <v>ROKS</v>
      </c>
      <c r="AJ12" s="51" t="str">
        <f aca="false">IF(OR($A12="",AJ$8=""),"",IF($F12="Migré","ROKS",IF($F12="À décommissionner",IF(AJ$8&lt;$AS12,"IKS","Décom."),IF(OR($AQ12="",$AS12=""),"",IF(AJ$8&lt;$AQ12,"IKS",IF(AJ$8&lt;$AS12,IF(AJ$8=$AR12,"Bascule","Double run"),"ROKS"))))))</f>
        <v>ROKS</v>
      </c>
      <c r="AK12" s="51" t="str">
        <f aca="false">IF(OR($A12="",AK$8=""),"",IF($F12="Migré","ROKS",IF($F12="À décommissionner",IF(AK$8&lt;$AS12,"IKS","Décom."),IF(OR($AQ12="",$AS12=""),"",IF(AK$8&lt;$AQ12,"IKS",IF(AK$8&lt;$AS12,IF(AK$8=$AR12,"Bascule","Double run"),"ROKS"))))))</f>
        <v>ROKS</v>
      </c>
      <c r="AL12" s="51" t="str">
        <f aca="false">IF(OR($A12="",AL$8=""),"",IF($F12="Migré","ROKS",IF($F12="À décommissionner",IF(AL$8&lt;$AS12,"IKS","Décom."),IF(OR($AQ12="",$AS12=""),"",IF(AL$8&lt;$AQ12,"IKS",IF(AL$8&lt;$AS12,IF(AL$8=$AR12,"Bascule","Double run"),"ROKS"))))))</f>
        <v>ROKS</v>
      </c>
      <c r="AM12" s="51" t="str">
        <f aca="false">IF(OR($A12="",AM$8=""),"",IF($F12="Migré","ROKS",IF($F12="À décommissionner",IF(AM$8&lt;$AS12,"IKS","Décom."),IF(OR($AQ12="",$AS12=""),"",IF(AM$8&lt;$AQ12,"IKS",IF(AM$8&lt;$AS12,IF(AM$8=$AR12,"Bascule","Double run"),"ROKS"))))))</f>
        <v>ROKS</v>
      </c>
      <c r="AN12" s="51" t="str">
        <f aca="false">IF(OR($A12="",AN$8=""),"",IF($F12="Migré","ROKS",IF($F12="À décommissionner",IF(AN$8&lt;$AS12,"IKS","Décom."),IF(OR($AQ12="",$AS12=""),"",IF(AN$8&lt;$AQ12,"IKS",IF(AN$8&lt;$AS12,IF(AN$8=$AR12,"Bascule","Double run"),"ROKS"))))))</f>
        <v>ROKS</v>
      </c>
      <c r="AO12" s="51" t="str">
        <f aca="false">IF(OR($A12="",AO$8=""),"",IF($F12="Migré","ROKS",IF($F12="À décommissionner",IF(AO$8&lt;$AS12,"IKS","Décom."),IF(OR($AQ12="",$AS12=""),"",IF(AO$8&lt;$AQ12,"IKS",IF(AO$8&lt;$AS12,IF(AO$8=$AR12,"Bascule","Double run"),"ROKS"))))))</f>
        <v>ROKS</v>
      </c>
      <c r="AP12" s="51" t="str">
        <f aca="false">IF(OR($A12="",AP$8=""),"",IF($F12="Migré","ROKS",IF($F12="À décommissionner",IF(AP$8&lt;$AS12,"IKS","Décom."),IF(OR($AQ12="",$AS12=""),"",IF(AP$8&lt;$AQ12,"IKS",IF(AP$8&lt;$AS12,IF(AP$8=$AR12,"Bascule","Double run"),"ROKS"))))))</f>
        <v>ROKS</v>
      </c>
      <c r="AQ12" s="52" t="n">
        <f aca="false">IF($A12="","",INDEX(TblApplications[Mois prov (calc)],$A12))</f>
        <v>46631</v>
      </c>
      <c r="AR12" s="53" t="n">
        <f aca="false">IF($A12="","",IFERROR(DATE(YEAR(INDEX(TblApplications[Mois bascule],$A12)),MONTH(INDEX(TblApplications[Mois bascule],$A12)),1),""))</f>
        <v>46631</v>
      </c>
      <c r="AS12" s="52" t="n">
        <f aca="false">IF($A12="","",INDEX(TblApplications[Mois lib (calc)],$A12))</f>
        <v>46661</v>
      </c>
    </row>
    <row r="13" customFormat="false" ht="15" hidden="false" customHeight="false" outlineLevel="0" collapsed="false">
      <c r="A13" s="49" t="n">
        <f aca="false">IFERROR(MATCH(5,TblApplications[Rang frise],0),"")</f>
        <v>5</v>
      </c>
      <c r="B13" s="50" t="str">
        <f aca="false">IF($A13="","",INDEX(TblApplications[ID],$A13))</f>
        <v>APP-02</v>
      </c>
      <c r="C13" s="50" t="str">
        <f aca="false">IF($A13="","",INDEX(TblApplications[Application],$A13))</f>
        <v>Moteur tarification (démo)</v>
      </c>
      <c r="D13" s="50" t="str">
        <f aca="false">IF($A13="","",INDEX(TblApplications[Environnement],$A13))</f>
        <v>NPRD</v>
      </c>
      <c r="E13" s="50" t="str">
        <f aca="false">IF($A13="","",INDEX(TblApplications[Couloir],$A13))</f>
        <v>DEV2</v>
      </c>
      <c r="F13" s="50" t="str">
        <f aca="false">IF($A13="","",INDEX(TblApplications[Action],$A13))</f>
        <v>À migrer</v>
      </c>
      <c r="G13" s="51" t="str">
        <f aca="false">IF(OR($A13="",G$8=""),"",IF($F13="Migré","ROKS",IF($F13="À décommissionner",IF(G$8&lt;$AS13,"IKS","Décom."),IF(OR($AQ13="",$AS13=""),"",IF(G$8&lt;$AQ13,"IKS",IF(G$8&lt;$AS13,IF(G$8=$AR13,"Bascule","Double run"),"ROKS"))))))</f>
        <v>IKS</v>
      </c>
      <c r="H13" s="51" t="str">
        <f aca="false">IF(OR($A13="",H$8=""),"",IF($F13="Migré","ROKS",IF($F13="À décommissionner",IF(H$8&lt;$AS13,"IKS","Décom."),IF(OR($AQ13="",$AS13=""),"",IF(H$8&lt;$AQ13,"IKS",IF(H$8&lt;$AS13,IF(H$8=$AR13,"Bascule","Double run"),"ROKS"))))))</f>
        <v>IKS</v>
      </c>
      <c r="I13" s="51" t="str">
        <f aca="false">IF(OR($A13="",I$8=""),"",IF($F13="Migré","ROKS",IF($F13="À décommissionner",IF(I$8&lt;$AS13,"IKS","Décom."),IF(OR($AQ13="",$AS13=""),"",IF(I$8&lt;$AQ13,"IKS",IF(I$8&lt;$AS13,IF(I$8=$AR13,"Bascule","Double run"),"ROKS"))))))</f>
        <v>IKS</v>
      </c>
      <c r="J13" s="51" t="str">
        <f aca="false">IF(OR($A13="",J$8=""),"",IF($F13="Migré","ROKS",IF($F13="À décommissionner",IF(J$8&lt;$AS13,"IKS","Décom."),IF(OR($AQ13="",$AS13=""),"",IF(J$8&lt;$AQ13,"IKS",IF(J$8&lt;$AS13,IF(J$8=$AR13,"Bascule","Double run"),"ROKS"))))))</f>
        <v>IKS</v>
      </c>
      <c r="K13" s="51" t="str">
        <f aca="false">IF(OR($A13="",K$8=""),"",IF($F13="Migré","ROKS",IF($F13="À décommissionner",IF(K$8&lt;$AS13,"IKS","Décom."),IF(OR($AQ13="",$AS13=""),"",IF(K$8&lt;$AQ13,"IKS",IF(K$8&lt;$AS13,IF(K$8=$AR13,"Bascule","Double run"),"ROKS"))))))</f>
        <v>IKS</v>
      </c>
      <c r="L13" s="51" t="str">
        <f aca="false">IF(OR($A13="",L$8=""),"",IF($F13="Migré","ROKS",IF($F13="À décommissionner",IF(L$8&lt;$AS13,"IKS","Décom."),IF(OR($AQ13="",$AS13=""),"",IF(L$8&lt;$AQ13,"IKS",IF(L$8&lt;$AS13,IF(L$8=$AR13,"Bascule","Double run"),"ROKS"))))))</f>
        <v>IKS</v>
      </c>
      <c r="M13" s="51" t="str">
        <f aca="false">IF(OR($A13="",M$8=""),"",IF($F13="Migré","ROKS",IF($F13="À décommissionner",IF(M$8&lt;$AS13,"IKS","Décom."),IF(OR($AQ13="",$AS13=""),"",IF(M$8&lt;$AQ13,"IKS",IF(M$8&lt;$AS13,IF(M$8=$AR13,"Bascule","Double run"),"ROKS"))))))</f>
        <v>IKS</v>
      </c>
      <c r="N13" s="51" t="str">
        <f aca="false">IF(OR($A13="",N$8=""),"",IF($F13="Migré","ROKS",IF($F13="À décommissionner",IF(N$8&lt;$AS13,"IKS","Décom."),IF(OR($AQ13="",$AS13=""),"",IF(N$8&lt;$AQ13,"IKS",IF(N$8&lt;$AS13,IF(N$8=$AR13,"Bascule","Double run"),"ROKS"))))))</f>
        <v>IKS</v>
      </c>
      <c r="O13" s="51" t="str">
        <f aca="false">IF(OR($A13="",O$8=""),"",IF($F13="Migré","ROKS",IF($F13="À décommissionner",IF(O$8&lt;$AS13,"IKS","Décom."),IF(OR($AQ13="",$AS13=""),"",IF(O$8&lt;$AQ13,"IKS",IF(O$8&lt;$AS13,IF(O$8=$AR13,"Bascule","Double run"),"ROKS"))))))</f>
        <v>IKS</v>
      </c>
      <c r="P13" s="51" t="str">
        <f aca="false">IF(OR($A13="",P$8=""),"",IF($F13="Migré","ROKS",IF($F13="À décommissionner",IF(P$8&lt;$AS13,"IKS","Décom."),IF(OR($AQ13="",$AS13=""),"",IF(P$8&lt;$AQ13,"IKS",IF(P$8&lt;$AS13,IF(P$8=$AR13,"Bascule","Double run"),"ROKS"))))))</f>
        <v>IKS</v>
      </c>
      <c r="Q13" s="51" t="str">
        <f aca="false">IF(OR($A13="",Q$8=""),"",IF($F13="Migré","ROKS",IF($F13="À décommissionner",IF(Q$8&lt;$AS13,"IKS","Décom."),IF(OR($AQ13="",$AS13=""),"",IF(Q$8&lt;$AQ13,"IKS",IF(Q$8&lt;$AS13,IF(Q$8=$AR13,"Bascule","Double run"),"ROKS"))))))</f>
        <v>IKS</v>
      </c>
      <c r="R13" s="51" t="str">
        <f aca="false">IF(OR($A13="",R$8=""),"",IF($F13="Migré","ROKS",IF($F13="À décommissionner",IF(R$8&lt;$AS13,"IKS","Décom."),IF(OR($AQ13="",$AS13=""),"",IF(R$8&lt;$AQ13,"IKS",IF(R$8&lt;$AS13,IF(R$8=$AR13,"Bascule","Double run"),"ROKS"))))))</f>
        <v>Double run</v>
      </c>
      <c r="S13" s="51" t="str">
        <f aca="false">IF(OR($A13="",S$8=""),"",IF($F13="Migré","ROKS",IF($F13="À décommissionner",IF(S$8&lt;$AS13,"IKS","Décom."),IF(OR($AQ13="",$AS13=""),"",IF(S$8&lt;$AQ13,"IKS",IF(S$8&lt;$AS13,IF(S$8=$AR13,"Bascule","Double run"),"ROKS"))))))</f>
        <v>ROKS</v>
      </c>
      <c r="T13" s="51" t="str">
        <f aca="false">IF(OR($A13="",T$8=""),"",IF($F13="Migré","ROKS",IF($F13="À décommissionner",IF(T$8&lt;$AS13,"IKS","Décom."),IF(OR($AQ13="",$AS13=""),"",IF(T$8&lt;$AQ13,"IKS",IF(T$8&lt;$AS13,IF(T$8=$AR13,"Bascule","Double run"),"ROKS"))))))</f>
        <v>ROKS</v>
      </c>
      <c r="U13" s="51" t="str">
        <f aca="false">IF(OR($A13="",U$8=""),"",IF($F13="Migré","ROKS",IF($F13="À décommissionner",IF(U$8&lt;$AS13,"IKS","Décom."),IF(OR($AQ13="",$AS13=""),"",IF(U$8&lt;$AQ13,"IKS",IF(U$8&lt;$AS13,IF(U$8=$AR13,"Bascule","Double run"),"ROKS"))))))</f>
        <v>ROKS</v>
      </c>
      <c r="V13" s="51" t="str">
        <f aca="false">IF(OR($A13="",V$8=""),"",IF($F13="Migré","ROKS",IF($F13="À décommissionner",IF(V$8&lt;$AS13,"IKS","Décom."),IF(OR($AQ13="",$AS13=""),"",IF(V$8&lt;$AQ13,"IKS",IF(V$8&lt;$AS13,IF(V$8=$AR13,"Bascule","Double run"),"ROKS"))))))</f>
        <v>ROKS</v>
      </c>
      <c r="W13" s="51" t="str">
        <f aca="false">IF(OR($A13="",W$8=""),"",IF($F13="Migré","ROKS",IF($F13="À décommissionner",IF(W$8&lt;$AS13,"IKS","Décom."),IF(OR($AQ13="",$AS13=""),"",IF(W$8&lt;$AQ13,"IKS",IF(W$8&lt;$AS13,IF(W$8=$AR13,"Bascule","Double run"),"ROKS"))))))</f>
        <v>ROKS</v>
      </c>
      <c r="X13" s="51" t="str">
        <f aca="false">IF(OR($A13="",X$8=""),"",IF($F13="Migré","ROKS",IF($F13="À décommissionner",IF(X$8&lt;$AS13,"IKS","Décom."),IF(OR($AQ13="",$AS13=""),"",IF(X$8&lt;$AQ13,"IKS",IF(X$8&lt;$AS13,IF(X$8=$AR13,"Bascule","Double run"),"ROKS"))))))</f>
        <v>ROKS</v>
      </c>
      <c r="Y13" s="51" t="str">
        <f aca="false">IF(OR($A13="",Y$8=""),"",IF($F13="Migré","ROKS",IF($F13="À décommissionner",IF(Y$8&lt;$AS13,"IKS","Décom."),IF(OR($AQ13="",$AS13=""),"",IF(Y$8&lt;$AQ13,"IKS",IF(Y$8&lt;$AS13,IF(Y$8=$AR13,"Bascule","Double run"),"ROKS"))))))</f>
        <v>ROKS</v>
      </c>
      <c r="Z13" s="51" t="str">
        <f aca="false">IF(OR($A13="",Z$8=""),"",IF($F13="Migré","ROKS",IF($F13="À décommissionner",IF(Z$8&lt;$AS13,"IKS","Décom."),IF(OR($AQ13="",$AS13=""),"",IF(Z$8&lt;$AQ13,"IKS",IF(Z$8&lt;$AS13,IF(Z$8=$AR13,"Bascule","Double run"),"ROKS"))))))</f>
        <v>ROKS</v>
      </c>
      <c r="AA13" s="51" t="str">
        <f aca="false">IF(OR($A13="",AA$8=""),"",IF($F13="Migré","ROKS",IF($F13="À décommissionner",IF(AA$8&lt;$AS13,"IKS","Décom."),IF(OR($AQ13="",$AS13=""),"",IF(AA$8&lt;$AQ13,"IKS",IF(AA$8&lt;$AS13,IF(AA$8=$AR13,"Bascule","Double run"),"ROKS"))))))</f>
        <v>ROKS</v>
      </c>
      <c r="AB13" s="51" t="str">
        <f aca="false">IF(OR($A13="",AB$8=""),"",IF($F13="Migré","ROKS",IF($F13="À décommissionner",IF(AB$8&lt;$AS13,"IKS","Décom."),IF(OR($AQ13="",$AS13=""),"",IF(AB$8&lt;$AQ13,"IKS",IF(AB$8&lt;$AS13,IF(AB$8=$AR13,"Bascule","Double run"),"ROKS"))))))</f>
        <v>ROKS</v>
      </c>
      <c r="AC13" s="51" t="str">
        <f aca="false">IF(OR($A13="",AC$8=""),"",IF($F13="Migré","ROKS",IF($F13="À décommissionner",IF(AC$8&lt;$AS13,"IKS","Décom."),IF(OR($AQ13="",$AS13=""),"",IF(AC$8&lt;$AQ13,"IKS",IF(AC$8&lt;$AS13,IF(AC$8=$AR13,"Bascule","Double run"),"ROKS"))))))</f>
        <v>ROKS</v>
      </c>
      <c r="AD13" s="51" t="str">
        <f aca="false">IF(OR($A13="",AD$8=""),"",IF($F13="Migré","ROKS",IF($F13="À décommissionner",IF(AD$8&lt;$AS13,"IKS","Décom."),IF(OR($AQ13="",$AS13=""),"",IF(AD$8&lt;$AQ13,"IKS",IF(AD$8&lt;$AS13,IF(AD$8=$AR13,"Bascule","Double run"),"ROKS"))))))</f>
        <v>ROKS</v>
      </c>
      <c r="AE13" s="51" t="str">
        <f aca="false">IF(OR($A13="",AE$8=""),"",IF($F13="Migré","ROKS",IF($F13="À décommissionner",IF(AE$8&lt;$AS13,"IKS","Décom."),IF(OR($AQ13="",$AS13=""),"",IF(AE$8&lt;$AQ13,"IKS",IF(AE$8&lt;$AS13,IF(AE$8=$AR13,"Bascule","Double run"),"ROKS"))))))</f>
        <v>ROKS</v>
      </c>
      <c r="AF13" s="51" t="str">
        <f aca="false">IF(OR($A13="",AF$8=""),"",IF($F13="Migré","ROKS",IF($F13="À décommissionner",IF(AF$8&lt;$AS13,"IKS","Décom."),IF(OR($AQ13="",$AS13=""),"",IF(AF$8&lt;$AQ13,"IKS",IF(AF$8&lt;$AS13,IF(AF$8=$AR13,"Bascule","Double run"),"ROKS"))))))</f>
        <v>ROKS</v>
      </c>
      <c r="AG13" s="51" t="str">
        <f aca="false">IF(OR($A13="",AG$8=""),"",IF($F13="Migré","ROKS",IF($F13="À décommissionner",IF(AG$8&lt;$AS13,"IKS","Décom."),IF(OR($AQ13="",$AS13=""),"",IF(AG$8&lt;$AQ13,"IKS",IF(AG$8&lt;$AS13,IF(AG$8=$AR13,"Bascule","Double run"),"ROKS"))))))</f>
        <v>ROKS</v>
      </c>
      <c r="AH13" s="51" t="str">
        <f aca="false">IF(OR($A13="",AH$8=""),"",IF($F13="Migré","ROKS",IF($F13="À décommissionner",IF(AH$8&lt;$AS13,"IKS","Décom."),IF(OR($AQ13="",$AS13=""),"",IF(AH$8&lt;$AQ13,"IKS",IF(AH$8&lt;$AS13,IF(AH$8=$AR13,"Bascule","Double run"),"ROKS"))))))</f>
        <v>ROKS</v>
      </c>
      <c r="AI13" s="51" t="str">
        <f aca="false">IF(OR($A13="",AI$8=""),"",IF($F13="Migré","ROKS",IF($F13="À décommissionner",IF(AI$8&lt;$AS13,"IKS","Décom."),IF(OR($AQ13="",$AS13=""),"",IF(AI$8&lt;$AQ13,"IKS",IF(AI$8&lt;$AS13,IF(AI$8=$AR13,"Bascule","Double run"),"ROKS"))))))</f>
        <v>ROKS</v>
      </c>
      <c r="AJ13" s="51" t="str">
        <f aca="false">IF(OR($A13="",AJ$8=""),"",IF($F13="Migré","ROKS",IF($F13="À décommissionner",IF(AJ$8&lt;$AS13,"IKS","Décom."),IF(OR($AQ13="",$AS13=""),"",IF(AJ$8&lt;$AQ13,"IKS",IF(AJ$8&lt;$AS13,IF(AJ$8=$AR13,"Bascule","Double run"),"ROKS"))))))</f>
        <v>ROKS</v>
      </c>
      <c r="AK13" s="51" t="str">
        <f aca="false">IF(OR($A13="",AK$8=""),"",IF($F13="Migré","ROKS",IF($F13="À décommissionner",IF(AK$8&lt;$AS13,"IKS","Décom."),IF(OR($AQ13="",$AS13=""),"",IF(AK$8&lt;$AQ13,"IKS",IF(AK$8&lt;$AS13,IF(AK$8=$AR13,"Bascule","Double run"),"ROKS"))))))</f>
        <v>ROKS</v>
      </c>
      <c r="AL13" s="51" t="str">
        <f aca="false">IF(OR($A13="",AL$8=""),"",IF($F13="Migré","ROKS",IF($F13="À décommissionner",IF(AL$8&lt;$AS13,"IKS","Décom."),IF(OR($AQ13="",$AS13=""),"",IF(AL$8&lt;$AQ13,"IKS",IF(AL$8&lt;$AS13,IF(AL$8=$AR13,"Bascule","Double run"),"ROKS"))))))</f>
        <v>ROKS</v>
      </c>
      <c r="AM13" s="51" t="str">
        <f aca="false">IF(OR($A13="",AM$8=""),"",IF($F13="Migré","ROKS",IF($F13="À décommissionner",IF(AM$8&lt;$AS13,"IKS","Décom."),IF(OR($AQ13="",$AS13=""),"",IF(AM$8&lt;$AQ13,"IKS",IF(AM$8&lt;$AS13,IF(AM$8=$AR13,"Bascule","Double run"),"ROKS"))))))</f>
        <v>ROKS</v>
      </c>
      <c r="AN13" s="51" t="str">
        <f aca="false">IF(OR($A13="",AN$8=""),"",IF($F13="Migré","ROKS",IF($F13="À décommissionner",IF(AN$8&lt;$AS13,"IKS","Décom."),IF(OR($AQ13="",$AS13=""),"",IF(AN$8&lt;$AQ13,"IKS",IF(AN$8&lt;$AS13,IF(AN$8=$AR13,"Bascule","Double run"),"ROKS"))))))</f>
        <v>ROKS</v>
      </c>
      <c r="AO13" s="51" t="str">
        <f aca="false">IF(OR($A13="",AO$8=""),"",IF($F13="Migré","ROKS",IF($F13="À décommissionner",IF(AO$8&lt;$AS13,"IKS","Décom."),IF(OR($AQ13="",$AS13=""),"",IF(AO$8&lt;$AQ13,"IKS",IF(AO$8&lt;$AS13,IF(AO$8=$AR13,"Bascule","Double run"),"ROKS"))))))</f>
        <v>ROKS</v>
      </c>
      <c r="AP13" s="51" t="str">
        <f aca="false">IF(OR($A13="",AP$8=""),"",IF($F13="Migré","ROKS",IF($F13="À décommissionner",IF(AP$8&lt;$AS13,"IKS","Décom."),IF(OR($AQ13="",$AS13=""),"",IF(AP$8&lt;$AQ13,"IKS",IF(AP$8&lt;$AS13,IF(AP$8=$AR13,"Bascule","Double run"),"ROKS"))))))</f>
        <v>ROKS</v>
      </c>
      <c r="AQ13" s="52" t="n">
        <f aca="false">IF($A13="","",INDEX(TblApplications[Mois prov (calc)],$A13))</f>
        <v>46631</v>
      </c>
      <c r="AR13" s="53" t="n">
        <f aca="false">IF($A13="","",IFERROR(DATE(YEAR(INDEX(TblApplications[Mois bascule],$A13)),MONTH(INDEX(TblApplications[Mois bascule],$A13)),1),""))</f>
        <v>46661</v>
      </c>
      <c r="AS13" s="52" t="n">
        <f aca="false">IF($A13="","",INDEX(TblApplications[Mois lib (calc)],$A13))</f>
        <v>46661</v>
      </c>
    </row>
    <row r="14" customFormat="false" ht="15" hidden="false" customHeight="false" outlineLevel="0" collapsed="false">
      <c r="A14" s="49" t="n">
        <f aca="false">IFERROR(MATCH(6,TblApplications[Rang frise],0),"")</f>
        <v>6</v>
      </c>
      <c r="B14" s="50" t="str">
        <f aca="false">IF($A14="","",INDEX(TblApplications[ID],$A14))</f>
        <v>APP-02</v>
      </c>
      <c r="C14" s="50" t="str">
        <f aca="false">IF($A14="","",INDEX(TblApplications[Application],$A14))</f>
        <v>Moteur tarification (démo)</v>
      </c>
      <c r="D14" s="50" t="str">
        <f aca="false">IF($A14="","",INDEX(TblApplications[Environnement],$A14))</f>
        <v>NPRD</v>
      </c>
      <c r="E14" s="50" t="str">
        <f aca="false">IF($A14="","",INDEX(TblApplications[Couloir],$A14))</f>
        <v>INT1</v>
      </c>
      <c r="F14" s="50" t="str">
        <f aca="false">IF($A14="","",INDEX(TblApplications[Action],$A14))</f>
        <v>À migrer</v>
      </c>
      <c r="G14" s="51" t="str">
        <f aca="false">IF(OR($A14="",G$8=""),"",IF($F14="Migré","ROKS",IF($F14="À décommissionner",IF(G$8&lt;$AS14,"IKS","Décom."),IF(OR($AQ14="",$AS14=""),"",IF(G$8&lt;$AQ14,"IKS",IF(G$8&lt;$AS14,IF(G$8=$AR14,"Bascule","Double run"),"ROKS"))))))</f>
        <v>IKS</v>
      </c>
      <c r="H14" s="51" t="str">
        <f aca="false">IF(OR($A14="",H$8=""),"",IF($F14="Migré","ROKS",IF($F14="À décommissionner",IF(H$8&lt;$AS14,"IKS","Décom."),IF(OR($AQ14="",$AS14=""),"",IF(H$8&lt;$AQ14,"IKS",IF(H$8&lt;$AS14,IF(H$8=$AR14,"Bascule","Double run"),"ROKS"))))))</f>
        <v>IKS</v>
      </c>
      <c r="I14" s="51" t="str">
        <f aca="false">IF(OR($A14="",I$8=""),"",IF($F14="Migré","ROKS",IF($F14="À décommissionner",IF(I$8&lt;$AS14,"IKS","Décom."),IF(OR($AQ14="",$AS14=""),"",IF(I$8&lt;$AQ14,"IKS",IF(I$8&lt;$AS14,IF(I$8=$AR14,"Bascule","Double run"),"ROKS"))))))</f>
        <v>IKS</v>
      </c>
      <c r="J14" s="51" t="str">
        <f aca="false">IF(OR($A14="",J$8=""),"",IF($F14="Migré","ROKS",IF($F14="À décommissionner",IF(J$8&lt;$AS14,"IKS","Décom."),IF(OR($AQ14="",$AS14=""),"",IF(J$8&lt;$AQ14,"IKS",IF(J$8&lt;$AS14,IF(J$8=$AR14,"Bascule","Double run"),"ROKS"))))))</f>
        <v>IKS</v>
      </c>
      <c r="K14" s="51" t="str">
        <f aca="false">IF(OR($A14="",K$8=""),"",IF($F14="Migré","ROKS",IF($F14="À décommissionner",IF(K$8&lt;$AS14,"IKS","Décom."),IF(OR($AQ14="",$AS14=""),"",IF(K$8&lt;$AQ14,"IKS",IF(K$8&lt;$AS14,IF(K$8=$AR14,"Bascule","Double run"),"ROKS"))))))</f>
        <v>IKS</v>
      </c>
      <c r="L14" s="51" t="str">
        <f aca="false">IF(OR($A14="",L$8=""),"",IF($F14="Migré","ROKS",IF($F14="À décommissionner",IF(L$8&lt;$AS14,"IKS","Décom."),IF(OR($AQ14="",$AS14=""),"",IF(L$8&lt;$AQ14,"IKS",IF(L$8&lt;$AS14,IF(L$8=$AR14,"Bascule","Double run"),"ROKS"))))))</f>
        <v>IKS</v>
      </c>
      <c r="M14" s="51" t="str">
        <f aca="false">IF(OR($A14="",M$8=""),"",IF($F14="Migré","ROKS",IF($F14="À décommissionner",IF(M$8&lt;$AS14,"IKS","Décom."),IF(OR($AQ14="",$AS14=""),"",IF(M$8&lt;$AQ14,"IKS",IF(M$8&lt;$AS14,IF(M$8=$AR14,"Bascule","Double run"),"ROKS"))))))</f>
        <v>IKS</v>
      </c>
      <c r="N14" s="51" t="str">
        <f aca="false">IF(OR($A14="",N$8=""),"",IF($F14="Migré","ROKS",IF($F14="À décommissionner",IF(N$8&lt;$AS14,"IKS","Décom."),IF(OR($AQ14="",$AS14=""),"",IF(N$8&lt;$AQ14,"IKS",IF(N$8&lt;$AS14,IF(N$8=$AR14,"Bascule","Double run"),"ROKS"))))))</f>
        <v>IKS</v>
      </c>
      <c r="O14" s="51" t="str">
        <f aca="false">IF(OR($A14="",O$8=""),"",IF($F14="Migré","ROKS",IF($F14="À décommissionner",IF(O$8&lt;$AS14,"IKS","Décom."),IF(OR($AQ14="",$AS14=""),"",IF(O$8&lt;$AQ14,"IKS",IF(O$8&lt;$AS14,IF(O$8=$AR14,"Bascule","Double run"),"ROKS"))))))</f>
        <v>IKS</v>
      </c>
      <c r="P14" s="51" t="str">
        <f aca="false">IF(OR($A14="",P$8=""),"",IF($F14="Migré","ROKS",IF($F14="À décommissionner",IF(P$8&lt;$AS14,"IKS","Décom."),IF(OR($AQ14="",$AS14=""),"",IF(P$8&lt;$AQ14,"IKS",IF(P$8&lt;$AS14,IF(P$8=$AR14,"Bascule","Double run"),"ROKS"))))))</f>
        <v>IKS</v>
      </c>
      <c r="Q14" s="51" t="str">
        <f aca="false">IF(OR($A14="",Q$8=""),"",IF($F14="Migré","ROKS",IF($F14="À décommissionner",IF(Q$8&lt;$AS14,"IKS","Décom."),IF(OR($AQ14="",$AS14=""),"",IF(Q$8&lt;$AQ14,"IKS",IF(Q$8&lt;$AS14,IF(Q$8=$AR14,"Bascule","Double run"),"ROKS"))))))</f>
        <v>IKS</v>
      </c>
      <c r="R14" s="51" t="str">
        <f aca="false">IF(OR($A14="",R$8=""),"",IF($F14="Migré","ROKS",IF($F14="À décommissionner",IF(R$8&lt;$AS14,"IKS","Décom."),IF(OR($AQ14="",$AS14=""),"",IF(R$8&lt;$AQ14,"IKS",IF(R$8&lt;$AS14,IF(R$8=$AR14,"Bascule","Double run"),"ROKS"))))))</f>
        <v>IKS</v>
      </c>
      <c r="S14" s="51" t="str">
        <f aca="false">IF(OR($A14="",S$8=""),"",IF($F14="Migré","ROKS",IF($F14="À décommissionner",IF(S$8&lt;$AS14,"IKS","Décom."),IF(OR($AQ14="",$AS14=""),"",IF(S$8&lt;$AQ14,"IKS",IF(S$8&lt;$AS14,IF(S$8=$AR14,"Bascule","Double run"),"ROKS"))))))</f>
        <v>Bascule</v>
      </c>
      <c r="T14" s="51" t="str">
        <f aca="false">IF(OR($A14="",T$8=""),"",IF($F14="Migré","ROKS",IF($F14="À décommissionner",IF(T$8&lt;$AS14,"IKS","Décom."),IF(OR($AQ14="",$AS14=""),"",IF(T$8&lt;$AQ14,"IKS",IF(T$8&lt;$AS14,IF(T$8=$AR14,"Bascule","Double run"),"ROKS"))))))</f>
        <v>ROKS</v>
      </c>
      <c r="U14" s="51" t="str">
        <f aca="false">IF(OR($A14="",U$8=""),"",IF($F14="Migré","ROKS",IF($F14="À décommissionner",IF(U$8&lt;$AS14,"IKS","Décom."),IF(OR($AQ14="",$AS14=""),"",IF(U$8&lt;$AQ14,"IKS",IF(U$8&lt;$AS14,IF(U$8=$AR14,"Bascule","Double run"),"ROKS"))))))</f>
        <v>ROKS</v>
      </c>
      <c r="V14" s="51" t="str">
        <f aca="false">IF(OR($A14="",V$8=""),"",IF($F14="Migré","ROKS",IF($F14="À décommissionner",IF(V$8&lt;$AS14,"IKS","Décom."),IF(OR($AQ14="",$AS14=""),"",IF(V$8&lt;$AQ14,"IKS",IF(V$8&lt;$AS14,IF(V$8=$AR14,"Bascule","Double run"),"ROKS"))))))</f>
        <v>ROKS</v>
      </c>
      <c r="W14" s="51" t="str">
        <f aca="false">IF(OR($A14="",W$8=""),"",IF($F14="Migré","ROKS",IF($F14="À décommissionner",IF(W$8&lt;$AS14,"IKS","Décom."),IF(OR($AQ14="",$AS14=""),"",IF(W$8&lt;$AQ14,"IKS",IF(W$8&lt;$AS14,IF(W$8=$AR14,"Bascule","Double run"),"ROKS"))))))</f>
        <v>ROKS</v>
      </c>
      <c r="X14" s="51" t="str">
        <f aca="false">IF(OR($A14="",X$8=""),"",IF($F14="Migré","ROKS",IF($F14="À décommissionner",IF(X$8&lt;$AS14,"IKS","Décom."),IF(OR($AQ14="",$AS14=""),"",IF(X$8&lt;$AQ14,"IKS",IF(X$8&lt;$AS14,IF(X$8=$AR14,"Bascule","Double run"),"ROKS"))))))</f>
        <v>ROKS</v>
      </c>
      <c r="Y14" s="51" t="str">
        <f aca="false">IF(OR($A14="",Y$8=""),"",IF($F14="Migré","ROKS",IF($F14="À décommissionner",IF(Y$8&lt;$AS14,"IKS","Décom."),IF(OR($AQ14="",$AS14=""),"",IF(Y$8&lt;$AQ14,"IKS",IF(Y$8&lt;$AS14,IF(Y$8=$AR14,"Bascule","Double run"),"ROKS"))))))</f>
        <v>ROKS</v>
      </c>
      <c r="Z14" s="51" t="str">
        <f aca="false">IF(OR($A14="",Z$8=""),"",IF($F14="Migré","ROKS",IF($F14="À décommissionner",IF(Z$8&lt;$AS14,"IKS","Décom."),IF(OR($AQ14="",$AS14=""),"",IF(Z$8&lt;$AQ14,"IKS",IF(Z$8&lt;$AS14,IF(Z$8=$AR14,"Bascule","Double run"),"ROKS"))))))</f>
        <v>ROKS</v>
      </c>
      <c r="AA14" s="51" t="str">
        <f aca="false">IF(OR($A14="",AA$8=""),"",IF($F14="Migré","ROKS",IF($F14="À décommissionner",IF(AA$8&lt;$AS14,"IKS","Décom."),IF(OR($AQ14="",$AS14=""),"",IF(AA$8&lt;$AQ14,"IKS",IF(AA$8&lt;$AS14,IF(AA$8=$AR14,"Bascule","Double run"),"ROKS"))))))</f>
        <v>ROKS</v>
      </c>
      <c r="AB14" s="51" t="str">
        <f aca="false">IF(OR($A14="",AB$8=""),"",IF($F14="Migré","ROKS",IF($F14="À décommissionner",IF(AB$8&lt;$AS14,"IKS","Décom."),IF(OR($AQ14="",$AS14=""),"",IF(AB$8&lt;$AQ14,"IKS",IF(AB$8&lt;$AS14,IF(AB$8=$AR14,"Bascule","Double run"),"ROKS"))))))</f>
        <v>ROKS</v>
      </c>
      <c r="AC14" s="51" t="str">
        <f aca="false">IF(OR($A14="",AC$8=""),"",IF($F14="Migré","ROKS",IF($F14="À décommissionner",IF(AC$8&lt;$AS14,"IKS","Décom."),IF(OR($AQ14="",$AS14=""),"",IF(AC$8&lt;$AQ14,"IKS",IF(AC$8&lt;$AS14,IF(AC$8=$AR14,"Bascule","Double run"),"ROKS"))))))</f>
        <v>ROKS</v>
      </c>
      <c r="AD14" s="51" t="str">
        <f aca="false">IF(OR($A14="",AD$8=""),"",IF($F14="Migré","ROKS",IF($F14="À décommissionner",IF(AD$8&lt;$AS14,"IKS","Décom."),IF(OR($AQ14="",$AS14=""),"",IF(AD$8&lt;$AQ14,"IKS",IF(AD$8&lt;$AS14,IF(AD$8=$AR14,"Bascule","Double run"),"ROKS"))))))</f>
        <v>ROKS</v>
      </c>
      <c r="AE14" s="51" t="str">
        <f aca="false">IF(OR($A14="",AE$8=""),"",IF($F14="Migré","ROKS",IF($F14="À décommissionner",IF(AE$8&lt;$AS14,"IKS","Décom."),IF(OR($AQ14="",$AS14=""),"",IF(AE$8&lt;$AQ14,"IKS",IF(AE$8&lt;$AS14,IF(AE$8=$AR14,"Bascule","Double run"),"ROKS"))))))</f>
        <v>ROKS</v>
      </c>
      <c r="AF14" s="51" t="str">
        <f aca="false">IF(OR($A14="",AF$8=""),"",IF($F14="Migré","ROKS",IF($F14="À décommissionner",IF(AF$8&lt;$AS14,"IKS","Décom."),IF(OR($AQ14="",$AS14=""),"",IF(AF$8&lt;$AQ14,"IKS",IF(AF$8&lt;$AS14,IF(AF$8=$AR14,"Bascule","Double run"),"ROKS"))))))</f>
        <v>ROKS</v>
      </c>
      <c r="AG14" s="51" t="str">
        <f aca="false">IF(OR($A14="",AG$8=""),"",IF($F14="Migré","ROKS",IF($F14="À décommissionner",IF(AG$8&lt;$AS14,"IKS","Décom."),IF(OR($AQ14="",$AS14=""),"",IF(AG$8&lt;$AQ14,"IKS",IF(AG$8&lt;$AS14,IF(AG$8=$AR14,"Bascule","Double run"),"ROKS"))))))</f>
        <v>ROKS</v>
      </c>
      <c r="AH14" s="51" t="str">
        <f aca="false">IF(OR($A14="",AH$8=""),"",IF($F14="Migré","ROKS",IF($F14="À décommissionner",IF(AH$8&lt;$AS14,"IKS","Décom."),IF(OR($AQ14="",$AS14=""),"",IF(AH$8&lt;$AQ14,"IKS",IF(AH$8&lt;$AS14,IF(AH$8=$AR14,"Bascule","Double run"),"ROKS"))))))</f>
        <v>ROKS</v>
      </c>
      <c r="AI14" s="51" t="str">
        <f aca="false">IF(OR($A14="",AI$8=""),"",IF($F14="Migré","ROKS",IF($F14="À décommissionner",IF(AI$8&lt;$AS14,"IKS","Décom."),IF(OR($AQ14="",$AS14=""),"",IF(AI$8&lt;$AQ14,"IKS",IF(AI$8&lt;$AS14,IF(AI$8=$AR14,"Bascule","Double run"),"ROKS"))))))</f>
        <v>ROKS</v>
      </c>
      <c r="AJ14" s="51" t="str">
        <f aca="false">IF(OR($A14="",AJ$8=""),"",IF($F14="Migré","ROKS",IF($F14="À décommissionner",IF(AJ$8&lt;$AS14,"IKS","Décom."),IF(OR($AQ14="",$AS14=""),"",IF(AJ$8&lt;$AQ14,"IKS",IF(AJ$8&lt;$AS14,IF(AJ$8=$AR14,"Bascule","Double run"),"ROKS"))))))</f>
        <v>ROKS</v>
      </c>
      <c r="AK14" s="51" t="str">
        <f aca="false">IF(OR($A14="",AK$8=""),"",IF($F14="Migré","ROKS",IF($F14="À décommissionner",IF(AK$8&lt;$AS14,"IKS","Décom."),IF(OR($AQ14="",$AS14=""),"",IF(AK$8&lt;$AQ14,"IKS",IF(AK$8&lt;$AS14,IF(AK$8=$AR14,"Bascule","Double run"),"ROKS"))))))</f>
        <v>ROKS</v>
      </c>
      <c r="AL14" s="51" t="str">
        <f aca="false">IF(OR($A14="",AL$8=""),"",IF($F14="Migré","ROKS",IF($F14="À décommissionner",IF(AL$8&lt;$AS14,"IKS","Décom."),IF(OR($AQ14="",$AS14=""),"",IF(AL$8&lt;$AQ14,"IKS",IF(AL$8&lt;$AS14,IF(AL$8=$AR14,"Bascule","Double run"),"ROKS"))))))</f>
        <v>ROKS</v>
      </c>
      <c r="AM14" s="51" t="str">
        <f aca="false">IF(OR($A14="",AM$8=""),"",IF($F14="Migré","ROKS",IF($F14="À décommissionner",IF(AM$8&lt;$AS14,"IKS","Décom."),IF(OR($AQ14="",$AS14=""),"",IF(AM$8&lt;$AQ14,"IKS",IF(AM$8&lt;$AS14,IF(AM$8=$AR14,"Bascule","Double run"),"ROKS"))))))</f>
        <v>ROKS</v>
      </c>
      <c r="AN14" s="51" t="str">
        <f aca="false">IF(OR($A14="",AN$8=""),"",IF($F14="Migré","ROKS",IF($F14="À décommissionner",IF(AN$8&lt;$AS14,"IKS","Décom."),IF(OR($AQ14="",$AS14=""),"",IF(AN$8&lt;$AQ14,"IKS",IF(AN$8&lt;$AS14,IF(AN$8=$AR14,"Bascule","Double run"),"ROKS"))))))</f>
        <v>ROKS</v>
      </c>
      <c r="AO14" s="51" t="str">
        <f aca="false">IF(OR($A14="",AO$8=""),"",IF($F14="Migré","ROKS",IF($F14="À décommissionner",IF(AO$8&lt;$AS14,"IKS","Décom."),IF(OR($AQ14="",$AS14=""),"",IF(AO$8&lt;$AQ14,"IKS",IF(AO$8&lt;$AS14,IF(AO$8=$AR14,"Bascule","Double run"),"ROKS"))))))</f>
        <v>ROKS</v>
      </c>
      <c r="AP14" s="51" t="str">
        <f aca="false">IF(OR($A14="",AP$8=""),"",IF($F14="Migré","ROKS",IF($F14="À décommissionner",IF(AP$8&lt;$AS14,"IKS","Décom."),IF(OR($AQ14="",$AS14=""),"",IF(AP$8&lt;$AQ14,"IKS",IF(AP$8&lt;$AS14,IF(AP$8=$AR14,"Bascule","Double run"),"ROKS"))))))</f>
        <v>ROKS</v>
      </c>
      <c r="AQ14" s="52" t="n">
        <f aca="false">IF($A14="","",INDEX(TblApplications[Mois prov (calc)],$A14))</f>
        <v>46661</v>
      </c>
      <c r="AR14" s="53" t="n">
        <f aca="false">IF($A14="","",IFERROR(DATE(YEAR(INDEX(TblApplications[Mois bascule],$A14)),MONTH(INDEX(TblApplications[Mois bascule],$A14)),1),""))</f>
        <v>46661</v>
      </c>
      <c r="AS14" s="52" t="n">
        <f aca="false">IF($A14="","",INDEX(TblApplications[Mois lib (calc)],$A14))</f>
        <v>46692</v>
      </c>
    </row>
    <row r="15" customFormat="false" ht="15" hidden="false" customHeight="false" outlineLevel="0" collapsed="false">
      <c r="A15" s="49" t="n">
        <f aca="false">IFERROR(MATCH(7,TblApplications[Rang frise],0),"")</f>
        <v>7</v>
      </c>
      <c r="B15" s="50" t="str">
        <f aca="false">IF($A15="","",INDEX(TblApplications[ID],$A15))</f>
        <v>APP-02</v>
      </c>
      <c r="C15" s="50" t="str">
        <f aca="false">IF($A15="","",INDEX(TblApplications[Application],$A15))</f>
        <v>Moteur tarification (démo)</v>
      </c>
      <c r="D15" s="50" t="str">
        <f aca="false">IF($A15="","",INDEX(TblApplications[Environnement],$A15))</f>
        <v>PRD</v>
      </c>
      <c r="E15" s="50" t="str">
        <f aca="false">IF($A15="","",INDEX(TblApplications[Couloir],$A15))</f>
        <v>PRD</v>
      </c>
      <c r="F15" s="50" t="str">
        <f aca="false">IF($A15="","",INDEX(TblApplications[Action],$A15))</f>
        <v>À migrer</v>
      </c>
      <c r="G15" s="51" t="str">
        <f aca="false">IF(OR($A15="",G$8=""),"",IF($F15="Migré","ROKS",IF($F15="À décommissionner",IF(G$8&lt;$AS15,"IKS","Décom."),IF(OR($AQ15="",$AS15=""),"",IF(G$8&lt;$AQ15,"IKS",IF(G$8&lt;$AS15,IF(G$8=$AR15,"Bascule","Double run"),"ROKS"))))))</f>
        <v>IKS</v>
      </c>
      <c r="H15" s="51" t="str">
        <f aca="false">IF(OR($A15="",H$8=""),"",IF($F15="Migré","ROKS",IF($F15="À décommissionner",IF(H$8&lt;$AS15,"IKS","Décom."),IF(OR($AQ15="",$AS15=""),"",IF(H$8&lt;$AQ15,"IKS",IF(H$8&lt;$AS15,IF(H$8=$AR15,"Bascule","Double run"),"ROKS"))))))</f>
        <v>IKS</v>
      </c>
      <c r="I15" s="51" t="str">
        <f aca="false">IF(OR($A15="",I$8=""),"",IF($F15="Migré","ROKS",IF($F15="À décommissionner",IF(I$8&lt;$AS15,"IKS","Décom."),IF(OR($AQ15="",$AS15=""),"",IF(I$8&lt;$AQ15,"IKS",IF(I$8&lt;$AS15,IF(I$8=$AR15,"Bascule","Double run"),"ROKS"))))))</f>
        <v>IKS</v>
      </c>
      <c r="J15" s="51" t="str">
        <f aca="false">IF(OR($A15="",J$8=""),"",IF($F15="Migré","ROKS",IF($F15="À décommissionner",IF(J$8&lt;$AS15,"IKS","Décom."),IF(OR($AQ15="",$AS15=""),"",IF(J$8&lt;$AQ15,"IKS",IF(J$8&lt;$AS15,IF(J$8=$AR15,"Bascule","Double run"),"ROKS"))))))</f>
        <v>IKS</v>
      </c>
      <c r="K15" s="51" t="str">
        <f aca="false">IF(OR($A15="",K$8=""),"",IF($F15="Migré","ROKS",IF($F15="À décommissionner",IF(K$8&lt;$AS15,"IKS","Décom."),IF(OR($AQ15="",$AS15=""),"",IF(K$8&lt;$AQ15,"IKS",IF(K$8&lt;$AS15,IF(K$8=$AR15,"Bascule","Double run"),"ROKS"))))))</f>
        <v>IKS</v>
      </c>
      <c r="L15" s="51" t="str">
        <f aca="false">IF(OR($A15="",L$8=""),"",IF($F15="Migré","ROKS",IF($F15="À décommissionner",IF(L$8&lt;$AS15,"IKS","Décom."),IF(OR($AQ15="",$AS15=""),"",IF(L$8&lt;$AQ15,"IKS",IF(L$8&lt;$AS15,IF(L$8=$AR15,"Bascule","Double run"),"ROKS"))))))</f>
        <v>IKS</v>
      </c>
      <c r="M15" s="51" t="str">
        <f aca="false">IF(OR($A15="",M$8=""),"",IF($F15="Migré","ROKS",IF($F15="À décommissionner",IF(M$8&lt;$AS15,"IKS","Décom."),IF(OR($AQ15="",$AS15=""),"",IF(M$8&lt;$AQ15,"IKS",IF(M$8&lt;$AS15,IF(M$8=$AR15,"Bascule","Double run"),"ROKS"))))))</f>
        <v>IKS</v>
      </c>
      <c r="N15" s="51" t="str">
        <f aca="false">IF(OR($A15="",N$8=""),"",IF($F15="Migré","ROKS",IF($F15="À décommissionner",IF(N$8&lt;$AS15,"IKS","Décom."),IF(OR($AQ15="",$AS15=""),"",IF(N$8&lt;$AQ15,"IKS",IF(N$8&lt;$AS15,IF(N$8=$AR15,"Bascule","Double run"),"ROKS"))))))</f>
        <v>IKS</v>
      </c>
      <c r="O15" s="51" t="str">
        <f aca="false">IF(OR($A15="",O$8=""),"",IF($F15="Migré","ROKS",IF($F15="À décommissionner",IF(O$8&lt;$AS15,"IKS","Décom."),IF(OR($AQ15="",$AS15=""),"",IF(O$8&lt;$AQ15,"IKS",IF(O$8&lt;$AS15,IF(O$8=$AR15,"Bascule","Double run"),"ROKS"))))))</f>
        <v>IKS</v>
      </c>
      <c r="P15" s="51" t="str">
        <f aca="false">IF(OR($A15="",P$8=""),"",IF($F15="Migré","ROKS",IF($F15="À décommissionner",IF(P$8&lt;$AS15,"IKS","Décom."),IF(OR($AQ15="",$AS15=""),"",IF(P$8&lt;$AQ15,"IKS",IF(P$8&lt;$AS15,IF(P$8=$AR15,"Bascule","Double run"),"ROKS"))))))</f>
        <v>IKS</v>
      </c>
      <c r="Q15" s="51" t="str">
        <f aca="false">IF(OR($A15="",Q$8=""),"",IF($F15="Migré","ROKS",IF($F15="À décommissionner",IF(Q$8&lt;$AS15,"IKS","Décom."),IF(OR($AQ15="",$AS15=""),"",IF(Q$8&lt;$AQ15,"IKS",IF(Q$8&lt;$AS15,IF(Q$8=$AR15,"Bascule","Double run"),"ROKS"))))))</f>
        <v>IKS</v>
      </c>
      <c r="R15" s="51" t="str">
        <f aca="false">IF(OR($A15="",R$8=""),"",IF($F15="Migré","ROKS",IF($F15="À décommissionner",IF(R$8&lt;$AS15,"IKS","Décom."),IF(OR($AQ15="",$AS15=""),"",IF(R$8&lt;$AQ15,"IKS",IF(R$8&lt;$AS15,IF(R$8=$AR15,"Bascule","Double run"),"ROKS"))))))</f>
        <v>IKS</v>
      </c>
      <c r="S15" s="51" t="str">
        <f aca="false">IF(OR($A15="",S$8=""),"",IF($F15="Migré","ROKS",IF($F15="À décommissionner",IF(S$8&lt;$AS15,"IKS","Décom."),IF(OR($AQ15="",$AS15=""),"",IF(S$8&lt;$AQ15,"IKS",IF(S$8&lt;$AS15,IF(S$8=$AR15,"Bascule","Double run"),"ROKS"))))))</f>
        <v>IKS</v>
      </c>
      <c r="T15" s="51" t="str">
        <f aca="false">IF(OR($A15="",T$8=""),"",IF($F15="Migré","ROKS",IF($F15="À décommissionner",IF(T$8&lt;$AS15,"IKS","Décom."),IF(OR($AQ15="",$AS15=""),"",IF(T$8&lt;$AQ15,"IKS",IF(T$8&lt;$AS15,IF(T$8=$AR15,"Bascule","Double run"),"ROKS"))))))</f>
        <v>IKS</v>
      </c>
      <c r="U15" s="51" t="str">
        <f aca="false">IF(OR($A15="",U$8=""),"",IF($F15="Migré","ROKS",IF($F15="À décommissionner",IF(U$8&lt;$AS15,"IKS","Décom."),IF(OR($AQ15="",$AS15=""),"",IF(U$8&lt;$AQ15,"IKS",IF(U$8&lt;$AS15,IF(U$8=$AR15,"Bascule","Double run"),"ROKS"))))))</f>
        <v>IKS</v>
      </c>
      <c r="V15" s="51" t="str">
        <f aca="false">IF(OR($A15="",V$8=""),"",IF($F15="Migré","ROKS",IF($F15="À décommissionner",IF(V$8&lt;$AS15,"IKS","Décom."),IF(OR($AQ15="",$AS15=""),"",IF(V$8&lt;$AQ15,"IKS",IF(V$8&lt;$AS15,IF(V$8=$AR15,"Bascule","Double run"),"ROKS"))))))</f>
        <v>Double run</v>
      </c>
      <c r="W15" s="51" t="str">
        <f aca="false">IF(OR($A15="",W$8=""),"",IF($F15="Migré","ROKS",IF($F15="À décommissionner",IF(W$8&lt;$AS15,"IKS","Décom."),IF(OR($AQ15="",$AS15=""),"",IF(W$8&lt;$AQ15,"IKS",IF(W$8&lt;$AS15,IF(W$8=$AR15,"Bascule","Double run"),"ROKS"))))))</f>
        <v>Bascule</v>
      </c>
      <c r="X15" s="51" t="str">
        <f aca="false">IF(OR($A15="",X$8=""),"",IF($F15="Migré","ROKS",IF($F15="À décommissionner",IF(X$8&lt;$AS15,"IKS","Décom."),IF(OR($AQ15="",$AS15=""),"",IF(X$8&lt;$AQ15,"IKS",IF(X$8&lt;$AS15,IF(X$8=$AR15,"Bascule","Double run"),"ROKS"))))))</f>
        <v>ROKS</v>
      </c>
      <c r="Y15" s="51" t="str">
        <f aca="false">IF(OR($A15="",Y$8=""),"",IF($F15="Migré","ROKS",IF($F15="À décommissionner",IF(Y$8&lt;$AS15,"IKS","Décom."),IF(OR($AQ15="",$AS15=""),"",IF(Y$8&lt;$AQ15,"IKS",IF(Y$8&lt;$AS15,IF(Y$8=$AR15,"Bascule","Double run"),"ROKS"))))))</f>
        <v>ROKS</v>
      </c>
      <c r="Z15" s="51" t="str">
        <f aca="false">IF(OR($A15="",Z$8=""),"",IF($F15="Migré","ROKS",IF($F15="À décommissionner",IF(Z$8&lt;$AS15,"IKS","Décom."),IF(OR($AQ15="",$AS15=""),"",IF(Z$8&lt;$AQ15,"IKS",IF(Z$8&lt;$AS15,IF(Z$8=$AR15,"Bascule","Double run"),"ROKS"))))))</f>
        <v>ROKS</v>
      </c>
      <c r="AA15" s="51" t="str">
        <f aca="false">IF(OR($A15="",AA$8=""),"",IF($F15="Migré","ROKS",IF($F15="À décommissionner",IF(AA$8&lt;$AS15,"IKS","Décom."),IF(OR($AQ15="",$AS15=""),"",IF(AA$8&lt;$AQ15,"IKS",IF(AA$8&lt;$AS15,IF(AA$8=$AR15,"Bascule","Double run"),"ROKS"))))))</f>
        <v>ROKS</v>
      </c>
      <c r="AB15" s="51" t="str">
        <f aca="false">IF(OR($A15="",AB$8=""),"",IF($F15="Migré","ROKS",IF($F15="À décommissionner",IF(AB$8&lt;$AS15,"IKS","Décom."),IF(OR($AQ15="",$AS15=""),"",IF(AB$8&lt;$AQ15,"IKS",IF(AB$8&lt;$AS15,IF(AB$8=$AR15,"Bascule","Double run"),"ROKS"))))))</f>
        <v>ROKS</v>
      </c>
      <c r="AC15" s="51" t="str">
        <f aca="false">IF(OR($A15="",AC$8=""),"",IF($F15="Migré","ROKS",IF($F15="À décommissionner",IF(AC$8&lt;$AS15,"IKS","Décom."),IF(OR($AQ15="",$AS15=""),"",IF(AC$8&lt;$AQ15,"IKS",IF(AC$8&lt;$AS15,IF(AC$8=$AR15,"Bascule","Double run"),"ROKS"))))))</f>
        <v>ROKS</v>
      </c>
      <c r="AD15" s="51" t="str">
        <f aca="false">IF(OR($A15="",AD$8=""),"",IF($F15="Migré","ROKS",IF($F15="À décommissionner",IF(AD$8&lt;$AS15,"IKS","Décom."),IF(OR($AQ15="",$AS15=""),"",IF(AD$8&lt;$AQ15,"IKS",IF(AD$8&lt;$AS15,IF(AD$8=$AR15,"Bascule","Double run"),"ROKS"))))))</f>
        <v>ROKS</v>
      </c>
      <c r="AE15" s="51" t="str">
        <f aca="false">IF(OR($A15="",AE$8=""),"",IF($F15="Migré","ROKS",IF($F15="À décommissionner",IF(AE$8&lt;$AS15,"IKS","Décom."),IF(OR($AQ15="",$AS15=""),"",IF(AE$8&lt;$AQ15,"IKS",IF(AE$8&lt;$AS15,IF(AE$8=$AR15,"Bascule","Double run"),"ROKS"))))))</f>
        <v>ROKS</v>
      </c>
      <c r="AF15" s="51" t="str">
        <f aca="false">IF(OR($A15="",AF$8=""),"",IF($F15="Migré","ROKS",IF($F15="À décommissionner",IF(AF$8&lt;$AS15,"IKS","Décom."),IF(OR($AQ15="",$AS15=""),"",IF(AF$8&lt;$AQ15,"IKS",IF(AF$8&lt;$AS15,IF(AF$8=$AR15,"Bascule","Double run"),"ROKS"))))))</f>
        <v>ROKS</v>
      </c>
      <c r="AG15" s="51" t="str">
        <f aca="false">IF(OR($A15="",AG$8=""),"",IF($F15="Migré","ROKS",IF($F15="À décommissionner",IF(AG$8&lt;$AS15,"IKS","Décom."),IF(OR($AQ15="",$AS15=""),"",IF(AG$8&lt;$AQ15,"IKS",IF(AG$8&lt;$AS15,IF(AG$8=$AR15,"Bascule","Double run"),"ROKS"))))))</f>
        <v>ROKS</v>
      </c>
      <c r="AH15" s="51" t="str">
        <f aca="false">IF(OR($A15="",AH$8=""),"",IF($F15="Migré","ROKS",IF($F15="À décommissionner",IF(AH$8&lt;$AS15,"IKS","Décom."),IF(OR($AQ15="",$AS15=""),"",IF(AH$8&lt;$AQ15,"IKS",IF(AH$8&lt;$AS15,IF(AH$8=$AR15,"Bascule","Double run"),"ROKS"))))))</f>
        <v>ROKS</v>
      </c>
      <c r="AI15" s="51" t="str">
        <f aca="false">IF(OR($A15="",AI$8=""),"",IF($F15="Migré","ROKS",IF($F15="À décommissionner",IF(AI$8&lt;$AS15,"IKS","Décom."),IF(OR($AQ15="",$AS15=""),"",IF(AI$8&lt;$AQ15,"IKS",IF(AI$8&lt;$AS15,IF(AI$8=$AR15,"Bascule","Double run"),"ROKS"))))))</f>
        <v>ROKS</v>
      </c>
      <c r="AJ15" s="51" t="str">
        <f aca="false">IF(OR($A15="",AJ$8=""),"",IF($F15="Migré","ROKS",IF($F15="À décommissionner",IF(AJ$8&lt;$AS15,"IKS","Décom."),IF(OR($AQ15="",$AS15=""),"",IF(AJ$8&lt;$AQ15,"IKS",IF(AJ$8&lt;$AS15,IF(AJ$8=$AR15,"Bascule","Double run"),"ROKS"))))))</f>
        <v>ROKS</v>
      </c>
      <c r="AK15" s="51" t="str">
        <f aca="false">IF(OR($A15="",AK$8=""),"",IF($F15="Migré","ROKS",IF($F15="À décommissionner",IF(AK$8&lt;$AS15,"IKS","Décom."),IF(OR($AQ15="",$AS15=""),"",IF(AK$8&lt;$AQ15,"IKS",IF(AK$8&lt;$AS15,IF(AK$8=$AR15,"Bascule","Double run"),"ROKS"))))))</f>
        <v>ROKS</v>
      </c>
      <c r="AL15" s="51" t="str">
        <f aca="false">IF(OR($A15="",AL$8=""),"",IF($F15="Migré","ROKS",IF($F15="À décommissionner",IF(AL$8&lt;$AS15,"IKS","Décom."),IF(OR($AQ15="",$AS15=""),"",IF(AL$8&lt;$AQ15,"IKS",IF(AL$8&lt;$AS15,IF(AL$8=$AR15,"Bascule","Double run"),"ROKS"))))))</f>
        <v>ROKS</v>
      </c>
      <c r="AM15" s="51" t="str">
        <f aca="false">IF(OR($A15="",AM$8=""),"",IF($F15="Migré","ROKS",IF($F15="À décommissionner",IF(AM$8&lt;$AS15,"IKS","Décom."),IF(OR($AQ15="",$AS15=""),"",IF(AM$8&lt;$AQ15,"IKS",IF(AM$8&lt;$AS15,IF(AM$8=$AR15,"Bascule","Double run"),"ROKS"))))))</f>
        <v>ROKS</v>
      </c>
      <c r="AN15" s="51" t="str">
        <f aca="false">IF(OR($A15="",AN$8=""),"",IF($F15="Migré","ROKS",IF($F15="À décommissionner",IF(AN$8&lt;$AS15,"IKS","Décom."),IF(OR($AQ15="",$AS15=""),"",IF(AN$8&lt;$AQ15,"IKS",IF(AN$8&lt;$AS15,IF(AN$8=$AR15,"Bascule","Double run"),"ROKS"))))))</f>
        <v>ROKS</v>
      </c>
      <c r="AO15" s="51" t="str">
        <f aca="false">IF(OR($A15="",AO$8=""),"",IF($F15="Migré","ROKS",IF($F15="À décommissionner",IF(AO$8&lt;$AS15,"IKS","Décom."),IF(OR($AQ15="",$AS15=""),"",IF(AO$8&lt;$AQ15,"IKS",IF(AO$8&lt;$AS15,IF(AO$8=$AR15,"Bascule","Double run"),"ROKS"))))))</f>
        <v>ROKS</v>
      </c>
      <c r="AP15" s="51" t="str">
        <f aca="false">IF(OR($A15="",AP$8=""),"",IF($F15="Migré","ROKS",IF($F15="À décommissionner",IF(AP$8&lt;$AS15,"IKS","Décom."),IF(OR($AQ15="",$AS15=""),"",IF(AP$8&lt;$AQ15,"IKS",IF(AP$8&lt;$AS15,IF(AP$8=$AR15,"Bascule","Double run"),"ROKS"))))))</f>
        <v>ROKS</v>
      </c>
      <c r="AQ15" s="52" t="n">
        <f aca="false">IF($A15="","",INDEX(TblApplications[Mois prov (calc)],$A15))</f>
        <v>46753</v>
      </c>
      <c r="AR15" s="53" t="n">
        <f aca="false">IF($A15="","",IFERROR(DATE(YEAR(INDEX(TblApplications[Mois bascule],$A15)),MONTH(INDEX(TblApplications[Mois bascule],$A15)),1),""))</f>
        <v>46784</v>
      </c>
      <c r="AS15" s="52" t="n">
        <f aca="false">IF($A15="","",INDEX(TblApplications[Mois lib (calc)],$A15))</f>
        <v>46813</v>
      </c>
    </row>
    <row r="16" customFormat="false" ht="15" hidden="false" customHeight="false" outlineLevel="0" collapsed="false">
      <c r="A16" s="49" t="n">
        <f aca="false">IFERROR(MATCH(8,TblApplications[Rang frise],0),"")</f>
        <v>8</v>
      </c>
      <c r="B16" s="50" t="str">
        <f aca="false">IF($A16="","",INDEX(TblApplications[ID],$A16))</f>
        <v>APP-03</v>
      </c>
      <c r="C16" s="50" t="str">
        <f aca="false">IF($A16="","",INDEX(TblApplications[Application],$A16))</f>
        <v>API sinistres (démo)</v>
      </c>
      <c r="D16" s="50" t="str">
        <f aca="false">IF($A16="","",INDEX(TblApplications[Environnement],$A16))</f>
        <v>NPRD</v>
      </c>
      <c r="E16" s="50" t="str">
        <f aca="false">IF($A16="","",INDEX(TblApplications[Couloir],$A16))</f>
        <v>INT1</v>
      </c>
      <c r="F16" s="50" t="str">
        <f aca="false">IF($A16="","",INDEX(TblApplications[Action],$A16))</f>
        <v>À migrer</v>
      </c>
      <c r="G16" s="51" t="str">
        <f aca="false">IF(OR($A16="",G$8=""),"",IF($F16="Migré","ROKS",IF($F16="À décommissionner",IF(G$8&lt;$AS16,"IKS","Décom."),IF(OR($AQ16="",$AS16=""),"",IF(G$8&lt;$AQ16,"IKS",IF(G$8&lt;$AS16,IF(G$8=$AR16,"Bascule","Double run"),"ROKS"))))))</f>
        <v>IKS</v>
      </c>
      <c r="H16" s="51" t="str">
        <f aca="false">IF(OR($A16="",H$8=""),"",IF($F16="Migré","ROKS",IF($F16="À décommissionner",IF(H$8&lt;$AS16,"IKS","Décom."),IF(OR($AQ16="",$AS16=""),"",IF(H$8&lt;$AQ16,"IKS",IF(H$8&lt;$AS16,IF(H$8=$AR16,"Bascule","Double run"),"ROKS"))))))</f>
        <v>IKS</v>
      </c>
      <c r="I16" s="51" t="str">
        <f aca="false">IF(OR($A16="",I$8=""),"",IF($F16="Migré","ROKS",IF($F16="À décommissionner",IF(I$8&lt;$AS16,"IKS","Décom."),IF(OR($AQ16="",$AS16=""),"",IF(I$8&lt;$AQ16,"IKS",IF(I$8&lt;$AS16,IF(I$8=$AR16,"Bascule","Double run"),"ROKS"))))))</f>
        <v>IKS</v>
      </c>
      <c r="J16" s="51" t="str">
        <f aca="false">IF(OR($A16="",J$8=""),"",IF($F16="Migré","ROKS",IF($F16="À décommissionner",IF(J$8&lt;$AS16,"IKS","Décom."),IF(OR($AQ16="",$AS16=""),"",IF(J$8&lt;$AQ16,"IKS",IF(J$8&lt;$AS16,IF(J$8=$AR16,"Bascule","Double run"),"ROKS"))))))</f>
        <v>IKS</v>
      </c>
      <c r="K16" s="51" t="str">
        <f aca="false">IF(OR($A16="",K$8=""),"",IF($F16="Migré","ROKS",IF($F16="À décommissionner",IF(K$8&lt;$AS16,"IKS","Décom."),IF(OR($AQ16="",$AS16=""),"",IF(K$8&lt;$AQ16,"IKS",IF(K$8&lt;$AS16,IF(K$8=$AR16,"Bascule","Double run"),"ROKS"))))))</f>
        <v>IKS</v>
      </c>
      <c r="L16" s="51" t="str">
        <f aca="false">IF(OR($A16="",L$8=""),"",IF($F16="Migré","ROKS",IF($F16="À décommissionner",IF(L$8&lt;$AS16,"IKS","Décom."),IF(OR($AQ16="",$AS16=""),"",IF(L$8&lt;$AQ16,"IKS",IF(L$8&lt;$AS16,IF(L$8=$AR16,"Bascule","Double run"),"ROKS"))))))</f>
        <v>IKS</v>
      </c>
      <c r="M16" s="51" t="str">
        <f aca="false">IF(OR($A16="",M$8=""),"",IF($F16="Migré","ROKS",IF($F16="À décommissionner",IF(M$8&lt;$AS16,"IKS","Décom."),IF(OR($AQ16="",$AS16=""),"",IF(M$8&lt;$AQ16,"IKS",IF(M$8&lt;$AS16,IF(M$8=$AR16,"Bascule","Double run"),"ROKS"))))))</f>
        <v>IKS</v>
      </c>
      <c r="N16" s="51" t="str">
        <f aca="false">IF(OR($A16="",N$8=""),"",IF($F16="Migré","ROKS",IF($F16="À décommissionner",IF(N$8&lt;$AS16,"IKS","Décom."),IF(OR($AQ16="",$AS16=""),"",IF(N$8&lt;$AQ16,"IKS",IF(N$8&lt;$AS16,IF(N$8=$AR16,"Bascule","Double run"),"ROKS"))))))</f>
        <v>IKS</v>
      </c>
      <c r="O16" s="51" t="str">
        <f aca="false">IF(OR($A16="",O$8=""),"",IF($F16="Migré","ROKS",IF($F16="À décommissionner",IF(O$8&lt;$AS16,"IKS","Décom."),IF(OR($AQ16="",$AS16=""),"",IF(O$8&lt;$AQ16,"IKS",IF(O$8&lt;$AS16,IF(O$8=$AR16,"Bascule","Double run"),"ROKS"))))))</f>
        <v>IKS</v>
      </c>
      <c r="P16" s="51" t="str">
        <f aca="false">IF(OR($A16="",P$8=""),"",IF($F16="Migré","ROKS",IF($F16="À décommissionner",IF(P$8&lt;$AS16,"IKS","Décom."),IF(OR($AQ16="",$AS16=""),"",IF(P$8&lt;$AQ16,"IKS",IF(P$8&lt;$AS16,IF(P$8=$AR16,"Bascule","Double run"),"ROKS"))))))</f>
        <v>IKS</v>
      </c>
      <c r="Q16" s="51" t="str">
        <f aca="false">IF(OR($A16="",Q$8=""),"",IF($F16="Migré","ROKS",IF($F16="À décommissionner",IF(Q$8&lt;$AS16,"IKS","Décom."),IF(OR($AQ16="",$AS16=""),"",IF(Q$8&lt;$AQ16,"IKS",IF(Q$8&lt;$AS16,IF(Q$8=$AR16,"Bascule","Double run"),"ROKS"))))))</f>
        <v>IKS</v>
      </c>
      <c r="R16" s="51" t="str">
        <f aca="false">IF(OR($A16="",R$8=""),"",IF($F16="Migré","ROKS",IF($F16="À décommissionner",IF(R$8&lt;$AS16,"IKS","Décom."),IF(OR($AQ16="",$AS16=""),"",IF(R$8&lt;$AQ16,"IKS",IF(R$8&lt;$AS16,IF(R$8=$AR16,"Bascule","Double run"),"ROKS"))))))</f>
        <v>IKS</v>
      </c>
      <c r="S16" s="51" t="str">
        <f aca="false">IF(OR($A16="",S$8=""),"",IF($F16="Migré","ROKS",IF($F16="À décommissionner",IF(S$8&lt;$AS16,"IKS","Décom."),IF(OR($AQ16="",$AS16=""),"",IF(S$8&lt;$AQ16,"IKS",IF(S$8&lt;$AS16,IF(S$8=$AR16,"Bascule","Double run"),"ROKS"))))))</f>
        <v>IKS</v>
      </c>
      <c r="T16" s="51" t="str">
        <f aca="false">IF(OR($A16="",T$8=""),"",IF($F16="Migré","ROKS",IF($F16="À décommissionner",IF(T$8&lt;$AS16,"IKS","Décom."),IF(OR($AQ16="",$AS16=""),"",IF(T$8&lt;$AQ16,"IKS",IF(T$8&lt;$AS16,IF(T$8=$AR16,"Bascule","Double run"),"ROKS"))))))</f>
        <v>IKS</v>
      </c>
      <c r="U16" s="51" t="str">
        <f aca="false">IF(OR($A16="",U$8=""),"",IF($F16="Migré","ROKS",IF($F16="À décommissionner",IF(U$8&lt;$AS16,"IKS","Décom."),IF(OR($AQ16="",$AS16=""),"",IF(U$8&lt;$AQ16,"IKS",IF(U$8&lt;$AS16,IF(U$8=$AR16,"Bascule","Double run"),"ROKS"))))))</f>
        <v>IKS</v>
      </c>
      <c r="V16" s="51" t="str">
        <f aca="false">IF(OR($A16="",V$8=""),"",IF($F16="Migré","ROKS",IF($F16="À décommissionner",IF(V$8&lt;$AS16,"IKS","Décom."),IF(OR($AQ16="",$AS16=""),"",IF(V$8&lt;$AQ16,"IKS",IF(V$8&lt;$AS16,IF(V$8=$AR16,"Bascule","Double run"),"ROKS"))))))</f>
        <v>IKS</v>
      </c>
      <c r="W16" s="51" t="str">
        <f aca="false">IF(OR($A16="",W$8=""),"",IF($F16="Migré","ROKS",IF($F16="À décommissionner",IF(W$8&lt;$AS16,"IKS","Décom."),IF(OR($AQ16="",$AS16=""),"",IF(W$8&lt;$AQ16,"IKS",IF(W$8&lt;$AS16,IF(W$8=$AR16,"Bascule","Double run"),"ROKS"))))))</f>
        <v>IKS</v>
      </c>
      <c r="X16" s="51" t="str">
        <f aca="false">IF(OR($A16="",X$8=""),"",IF($F16="Migré","ROKS",IF($F16="À décommissionner",IF(X$8&lt;$AS16,"IKS","Décom."),IF(OR($AQ16="",$AS16=""),"",IF(X$8&lt;$AQ16,"IKS",IF(X$8&lt;$AS16,IF(X$8=$AR16,"Bascule","Double run"),"ROKS"))))))</f>
        <v>IKS</v>
      </c>
      <c r="Y16" s="51" t="str">
        <f aca="false">IF(OR($A16="",Y$8=""),"",IF($F16="Migré","ROKS",IF($F16="À décommissionner",IF(Y$8&lt;$AS16,"IKS","Décom."),IF(OR($AQ16="",$AS16=""),"",IF(Y$8&lt;$AQ16,"IKS",IF(Y$8&lt;$AS16,IF(Y$8=$AR16,"Bascule","Double run"),"ROKS"))))))</f>
        <v>Double run</v>
      </c>
      <c r="Z16" s="51" t="str">
        <f aca="false">IF(OR($A16="",Z$8=""),"",IF($F16="Migré","ROKS",IF($F16="À décommissionner",IF(Z$8&lt;$AS16,"IKS","Décom."),IF(OR($AQ16="",$AS16=""),"",IF(Z$8&lt;$AQ16,"IKS",IF(Z$8&lt;$AS16,IF(Z$8=$AR16,"Bascule","Double run"),"ROKS"))))))</f>
        <v>Bascule</v>
      </c>
      <c r="AA16" s="51" t="str">
        <f aca="false">IF(OR($A16="",AA$8=""),"",IF($F16="Migré","ROKS",IF($F16="À décommissionner",IF(AA$8&lt;$AS16,"IKS","Décom."),IF(OR($AQ16="",$AS16=""),"",IF(AA$8&lt;$AQ16,"IKS",IF(AA$8&lt;$AS16,IF(AA$8=$AR16,"Bascule","Double run"),"ROKS"))))))</f>
        <v>ROKS</v>
      </c>
      <c r="AB16" s="51" t="str">
        <f aca="false">IF(OR($A16="",AB$8=""),"",IF($F16="Migré","ROKS",IF($F16="À décommissionner",IF(AB$8&lt;$AS16,"IKS","Décom."),IF(OR($AQ16="",$AS16=""),"",IF(AB$8&lt;$AQ16,"IKS",IF(AB$8&lt;$AS16,IF(AB$8=$AR16,"Bascule","Double run"),"ROKS"))))))</f>
        <v>ROKS</v>
      </c>
      <c r="AC16" s="51" t="str">
        <f aca="false">IF(OR($A16="",AC$8=""),"",IF($F16="Migré","ROKS",IF($F16="À décommissionner",IF(AC$8&lt;$AS16,"IKS","Décom."),IF(OR($AQ16="",$AS16=""),"",IF(AC$8&lt;$AQ16,"IKS",IF(AC$8&lt;$AS16,IF(AC$8=$AR16,"Bascule","Double run"),"ROKS"))))))</f>
        <v>ROKS</v>
      </c>
      <c r="AD16" s="51" t="str">
        <f aca="false">IF(OR($A16="",AD$8=""),"",IF($F16="Migré","ROKS",IF($F16="À décommissionner",IF(AD$8&lt;$AS16,"IKS","Décom."),IF(OR($AQ16="",$AS16=""),"",IF(AD$8&lt;$AQ16,"IKS",IF(AD$8&lt;$AS16,IF(AD$8=$AR16,"Bascule","Double run"),"ROKS"))))))</f>
        <v>ROKS</v>
      </c>
      <c r="AE16" s="51" t="str">
        <f aca="false">IF(OR($A16="",AE$8=""),"",IF($F16="Migré","ROKS",IF($F16="À décommissionner",IF(AE$8&lt;$AS16,"IKS","Décom."),IF(OR($AQ16="",$AS16=""),"",IF(AE$8&lt;$AQ16,"IKS",IF(AE$8&lt;$AS16,IF(AE$8=$AR16,"Bascule","Double run"),"ROKS"))))))</f>
        <v>ROKS</v>
      </c>
      <c r="AF16" s="51" t="str">
        <f aca="false">IF(OR($A16="",AF$8=""),"",IF($F16="Migré","ROKS",IF($F16="À décommissionner",IF(AF$8&lt;$AS16,"IKS","Décom."),IF(OR($AQ16="",$AS16=""),"",IF(AF$8&lt;$AQ16,"IKS",IF(AF$8&lt;$AS16,IF(AF$8=$AR16,"Bascule","Double run"),"ROKS"))))))</f>
        <v>ROKS</v>
      </c>
      <c r="AG16" s="51" t="str">
        <f aca="false">IF(OR($A16="",AG$8=""),"",IF($F16="Migré","ROKS",IF($F16="À décommissionner",IF(AG$8&lt;$AS16,"IKS","Décom."),IF(OR($AQ16="",$AS16=""),"",IF(AG$8&lt;$AQ16,"IKS",IF(AG$8&lt;$AS16,IF(AG$8=$AR16,"Bascule","Double run"),"ROKS"))))))</f>
        <v>ROKS</v>
      </c>
      <c r="AH16" s="51" t="str">
        <f aca="false">IF(OR($A16="",AH$8=""),"",IF($F16="Migré","ROKS",IF($F16="À décommissionner",IF(AH$8&lt;$AS16,"IKS","Décom."),IF(OR($AQ16="",$AS16=""),"",IF(AH$8&lt;$AQ16,"IKS",IF(AH$8&lt;$AS16,IF(AH$8=$AR16,"Bascule","Double run"),"ROKS"))))))</f>
        <v>ROKS</v>
      </c>
      <c r="AI16" s="51" t="str">
        <f aca="false">IF(OR($A16="",AI$8=""),"",IF($F16="Migré","ROKS",IF($F16="À décommissionner",IF(AI$8&lt;$AS16,"IKS","Décom."),IF(OR($AQ16="",$AS16=""),"",IF(AI$8&lt;$AQ16,"IKS",IF(AI$8&lt;$AS16,IF(AI$8=$AR16,"Bascule","Double run"),"ROKS"))))))</f>
        <v>ROKS</v>
      </c>
      <c r="AJ16" s="51" t="str">
        <f aca="false">IF(OR($A16="",AJ$8=""),"",IF($F16="Migré","ROKS",IF($F16="À décommissionner",IF(AJ$8&lt;$AS16,"IKS","Décom."),IF(OR($AQ16="",$AS16=""),"",IF(AJ$8&lt;$AQ16,"IKS",IF(AJ$8&lt;$AS16,IF(AJ$8=$AR16,"Bascule","Double run"),"ROKS"))))))</f>
        <v>ROKS</v>
      </c>
      <c r="AK16" s="51" t="str">
        <f aca="false">IF(OR($A16="",AK$8=""),"",IF($F16="Migré","ROKS",IF($F16="À décommissionner",IF(AK$8&lt;$AS16,"IKS","Décom."),IF(OR($AQ16="",$AS16=""),"",IF(AK$8&lt;$AQ16,"IKS",IF(AK$8&lt;$AS16,IF(AK$8=$AR16,"Bascule","Double run"),"ROKS"))))))</f>
        <v>ROKS</v>
      </c>
      <c r="AL16" s="51" t="str">
        <f aca="false">IF(OR($A16="",AL$8=""),"",IF($F16="Migré","ROKS",IF($F16="À décommissionner",IF(AL$8&lt;$AS16,"IKS","Décom."),IF(OR($AQ16="",$AS16=""),"",IF(AL$8&lt;$AQ16,"IKS",IF(AL$8&lt;$AS16,IF(AL$8=$AR16,"Bascule","Double run"),"ROKS"))))))</f>
        <v>ROKS</v>
      </c>
      <c r="AM16" s="51" t="str">
        <f aca="false">IF(OR($A16="",AM$8=""),"",IF($F16="Migré","ROKS",IF($F16="À décommissionner",IF(AM$8&lt;$AS16,"IKS","Décom."),IF(OR($AQ16="",$AS16=""),"",IF(AM$8&lt;$AQ16,"IKS",IF(AM$8&lt;$AS16,IF(AM$8=$AR16,"Bascule","Double run"),"ROKS"))))))</f>
        <v>ROKS</v>
      </c>
      <c r="AN16" s="51" t="str">
        <f aca="false">IF(OR($A16="",AN$8=""),"",IF($F16="Migré","ROKS",IF($F16="À décommissionner",IF(AN$8&lt;$AS16,"IKS","Décom."),IF(OR($AQ16="",$AS16=""),"",IF(AN$8&lt;$AQ16,"IKS",IF(AN$8&lt;$AS16,IF(AN$8=$AR16,"Bascule","Double run"),"ROKS"))))))</f>
        <v>ROKS</v>
      </c>
      <c r="AO16" s="51" t="str">
        <f aca="false">IF(OR($A16="",AO$8=""),"",IF($F16="Migré","ROKS",IF($F16="À décommissionner",IF(AO$8&lt;$AS16,"IKS","Décom."),IF(OR($AQ16="",$AS16=""),"",IF(AO$8&lt;$AQ16,"IKS",IF(AO$8&lt;$AS16,IF(AO$8=$AR16,"Bascule","Double run"),"ROKS"))))))</f>
        <v>ROKS</v>
      </c>
      <c r="AP16" s="51" t="str">
        <f aca="false">IF(OR($A16="",AP$8=""),"",IF($F16="Migré","ROKS",IF($F16="À décommissionner",IF(AP$8&lt;$AS16,"IKS","Décom."),IF(OR($AQ16="",$AS16=""),"",IF(AP$8&lt;$AQ16,"IKS",IF(AP$8&lt;$AS16,IF(AP$8=$AR16,"Bascule","Double run"),"ROKS"))))))</f>
        <v>ROKS</v>
      </c>
      <c r="AQ16" s="52" t="n">
        <f aca="false">IF($A16="","",INDEX(TblApplications[Mois prov (calc)],$A16))</f>
        <v>46844</v>
      </c>
      <c r="AR16" s="53" t="n">
        <f aca="false">IF($A16="","",IFERROR(DATE(YEAR(INDEX(TblApplications[Mois bascule],$A16)),MONTH(INDEX(TblApplications[Mois bascule],$A16)),1),""))</f>
        <v>46874</v>
      </c>
      <c r="AS16" s="52" t="n">
        <f aca="false">IF($A16="","",INDEX(TblApplications[Mois lib (calc)],$A16))</f>
        <v>46905</v>
      </c>
    </row>
    <row r="17" customFormat="false" ht="15" hidden="false" customHeight="false" outlineLevel="0" collapsed="false">
      <c r="A17" s="49" t="n">
        <f aca="false">IFERROR(MATCH(9,TblApplications[Rang frise],0),"")</f>
        <v>9</v>
      </c>
      <c r="B17" s="50" t="str">
        <f aca="false">IF($A17="","",INDEX(TblApplications[ID],$A17))</f>
        <v>APP-03</v>
      </c>
      <c r="C17" s="50" t="str">
        <f aca="false">IF($A17="","",INDEX(TblApplications[Application],$A17))</f>
        <v>API sinistres (démo)</v>
      </c>
      <c r="D17" s="50" t="str">
        <f aca="false">IF($A17="","",INDEX(TblApplications[Environnement],$A17))</f>
        <v>NPRD</v>
      </c>
      <c r="E17" s="50" t="str">
        <f aca="false">IF($A17="","",INDEX(TblApplications[Couloir],$A17))</f>
        <v>INT2</v>
      </c>
      <c r="F17" s="50" t="str">
        <f aca="false">IF($A17="","",INDEX(TblApplications[Action],$A17))</f>
        <v>À migrer</v>
      </c>
      <c r="G17" s="51" t="str">
        <f aca="false">IF(OR($A17="",G$8=""),"",IF($F17="Migré","ROKS",IF($F17="À décommissionner",IF(G$8&lt;$AS17,"IKS","Décom."),IF(OR($AQ17="",$AS17=""),"",IF(G$8&lt;$AQ17,"IKS",IF(G$8&lt;$AS17,IF(G$8=$AR17,"Bascule","Double run"),"ROKS"))))))</f>
        <v>IKS</v>
      </c>
      <c r="H17" s="51" t="str">
        <f aca="false">IF(OR($A17="",H$8=""),"",IF($F17="Migré","ROKS",IF($F17="À décommissionner",IF(H$8&lt;$AS17,"IKS","Décom."),IF(OR($AQ17="",$AS17=""),"",IF(H$8&lt;$AQ17,"IKS",IF(H$8&lt;$AS17,IF(H$8=$AR17,"Bascule","Double run"),"ROKS"))))))</f>
        <v>IKS</v>
      </c>
      <c r="I17" s="51" t="str">
        <f aca="false">IF(OR($A17="",I$8=""),"",IF($F17="Migré","ROKS",IF($F17="À décommissionner",IF(I$8&lt;$AS17,"IKS","Décom."),IF(OR($AQ17="",$AS17=""),"",IF(I$8&lt;$AQ17,"IKS",IF(I$8&lt;$AS17,IF(I$8=$AR17,"Bascule","Double run"),"ROKS"))))))</f>
        <v>IKS</v>
      </c>
      <c r="J17" s="51" t="str">
        <f aca="false">IF(OR($A17="",J$8=""),"",IF($F17="Migré","ROKS",IF($F17="À décommissionner",IF(J$8&lt;$AS17,"IKS","Décom."),IF(OR($AQ17="",$AS17=""),"",IF(J$8&lt;$AQ17,"IKS",IF(J$8&lt;$AS17,IF(J$8=$AR17,"Bascule","Double run"),"ROKS"))))))</f>
        <v>IKS</v>
      </c>
      <c r="K17" s="51" t="str">
        <f aca="false">IF(OR($A17="",K$8=""),"",IF($F17="Migré","ROKS",IF($F17="À décommissionner",IF(K$8&lt;$AS17,"IKS","Décom."),IF(OR($AQ17="",$AS17=""),"",IF(K$8&lt;$AQ17,"IKS",IF(K$8&lt;$AS17,IF(K$8=$AR17,"Bascule","Double run"),"ROKS"))))))</f>
        <v>IKS</v>
      </c>
      <c r="L17" s="51" t="str">
        <f aca="false">IF(OR($A17="",L$8=""),"",IF($F17="Migré","ROKS",IF($F17="À décommissionner",IF(L$8&lt;$AS17,"IKS","Décom."),IF(OR($AQ17="",$AS17=""),"",IF(L$8&lt;$AQ17,"IKS",IF(L$8&lt;$AS17,IF(L$8=$AR17,"Bascule","Double run"),"ROKS"))))))</f>
        <v>IKS</v>
      </c>
      <c r="M17" s="51" t="str">
        <f aca="false">IF(OR($A17="",M$8=""),"",IF($F17="Migré","ROKS",IF($F17="À décommissionner",IF(M$8&lt;$AS17,"IKS","Décom."),IF(OR($AQ17="",$AS17=""),"",IF(M$8&lt;$AQ17,"IKS",IF(M$8&lt;$AS17,IF(M$8=$AR17,"Bascule","Double run"),"ROKS"))))))</f>
        <v>IKS</v>
      </c>
      <c r="N17" s="51" t="str">
        <f aca="false">IF(OR($A17="",N$8=""),"",IF($F17="Migré","ROKS",IF($F17="À décommissionner",IF(N$8&lt;$AS17,"IKS","Décom."),IF(OR($AQ17="",$AS17=""),"",IF(N$8&lt;$AQ17,"IKS",IF(N$8&lt;$AS17,IF(N$8=$AR17,"Bascule","Double run"),"ROKS"))))))</f>
        <v>IKS</v>
      </c>
      <c r="O17" s="51" t="str">
        <f aca="false">IF(OR($A17="",O$8=""),"",IF($F17="Migré","ROKS",IF($F17="À décommissionner",IF(O$8&lt;$AS17,"IKS","Décom."),IF(OR($AQ17="",$AS17=""),"",IF(O$8&lt;$AQ17,"IKS",IF(O$8&lt;$AS17,IF(O$8=$AR17,"Bascule","Double run"),"ROKS"))))))</f>
        <v>IKS</v>
      </c>
      <c r="P17" s="51" t="str">
        <f aca="false">IF(OR($A17="",P$8=""),"",IF($F17="Migré","ROKS",IF($F17="À décommissionner",IF(P$8&lt;$AS17,"IKS","Décom."),IF(OR($AQ17="",$AS17=""),"",IF(P$8&lt;$AQ17,"IKS",IF(P$8&lt;$AS17,IF(P$8=$AR17,"Bascule","Double run"),"ROKS"))))))</f>
        <v>IKS</v>
      </c>
      <c r="Q17" s="51" t="str">
        <f aca="false">IF(OR($A17="",Q$8=""),"",IF($F17="Migré","ROKS",IF($F17="À décommissionner",IF(Q$8&lt;$AS17,"IKS","Décom."),IF(OR($AQ17="",$AS17=""),"",IF(Q$8&lt;$AQ17,"IKS",IF(Q$8&lt;$AS17,IF(Q$8=$AR17,"Bascule","Double run"),"ROKS"))))))</f>
        <v>IKS</v>
      </c>
      <c r="R17" s="51" t="str">
        <f aca="false">IF(OR($A17="",R$8=""),"",IF($F17="Migré","ROKS",IF($F17="À décommissionner",IF(R$8&lt;$AS17,"IKS","Décom."),IF(OR($AQ17="",$AS17=""),"",IF(R$8&lt;$AQ17,"IKS",IF(R$8&lt;$AS17,IF(R$8=$AR17,"Bascule","Double run"),"ROKS"))))))</f>
        <v>IKS</v>
      </c>
      <c r="S17" s="51" t="str">
        <f aca="false">IF(OR($A17="",S$8=""),"",IF($F17="Migré","ROKS",IF($F17="À décommissionner",IF(S$8&lt;$AS17,"IKS","Décom."),IF(OR($AQ17="",$AS17=""),"",IF(S$8&lt;$AQ17,"IKS",IF(S$8&lt;$AS17,IF(S$8=$AR17,"Bascule","Double run"),"ROKS"))))))</f>
        <v>IKS</v>
      </c>
      <c r="T17" s="51" t="str">
        <f aca="false">IF(OR($A17="",T$8=""),"",IF($F17="Migré","ROKS",IF($F17="À décommissionner",IF(T$8&lt;$AS17,"IKS","Décom."),IF(OR($AQ17="",$AS17=""),"",IF(T$8&lt;$AQ17,"IKS",IF(T$8&lt;$AS17,IF(T$8=$AR17,"Bascule","Double run"),"ROKS"))))))</f>
        <v>IKS</v>
      </c>
      <c r="U17" s="51" t="str">
        <f aca="false">IF(OR($A17="",U$8=""),"",IF($F17="Migré","ROKS",IF($F17="À décommissionner",IF(U$8&lt;$AS17,"IKS","Décom."),IF(OR($AQ17="",$AS17=""),"",IF(U$8&lt;$AQ17,"IKS",IF(U$8&lt;$AS17,IF(U$8=$AR17,"Bascule","Double run"),"ROKS"))))))</f>
        <v>IKS</v>
      </c>
      <c r="V17" s="51" t="str">
        <f aca="false">IF(OR($A17="",V$8=""),"",IF($F17="Migré","ROKS",IF($F17="À décommissionner",IF(V$8&lt;$AS17,"IKS","Décom."),IF(OR($AQ17="",$AS17=""),"",IF(V$8&lt;$AQ17,"IKS",IF(V$8&lt;$AS17,IF(V$8=$AR17,"Bascule","Double run"),"ROKS"))))))</f>
        <v>IKS</v>
      </c>
      <c r="W17" s="51" t="str">
        <f aca="false">IF(OR($A17="",W$8=""),"",IF($F17="Migré","ROKS",IF($F17="À décommissionner",IF(W$8&lt;$AS17,"IKS","Décom."),IF(OR($AQ17="",$AS17=""),"",IF(W$8&lt;$AQ17,"IKS",IF(W$8&lt;$AS17,IF(W$8=$AR17,"Bascule","Double run"),"ROKS"))))))</f>
        <v>IKS</v>
      </c>
      <c r="X17" s="51" t="str">
        <f aca="false">IF(OR($A17="",X$8=""),"",IF($F17="Migré","ROKS",IF($F17="À décommissionner",IF(X$8&lt;$AS17,"IKS","Décom."),IF(OR($AQ17="",$AS17=""),"",IF(X$8&lt;$AQ17,"IKS",IF(X$8&lt;$AS17,IF(X$8=$AR17,"Bascule","Double run"),"ROKS"))))))</f>
        <v>IKS</v>
      </c>
      <c r="Y17" s="51" t="str">
        <f aca="false">IF(OR($A17="",Y$8=""),"",IF($F17="Migré","ROKS",IF($F17="À décommissionner",IF(Y$8&lt;$AS17,"IKS","Décom."),IF(OR($AQ17="",$AS17=""),"",IF(Y$8&lt;$AQ17,"IKS",IF(Y$8&lt;$AS17,IF(Y$8=$AR17,"Bascule","Double run"),"ROKS"))))))</f>
        <v>Double run</v>
      </c>
      <c r="Z17" s="51" t="str">
        <f aca="false">IF(OR($A17="",Z$8=""),"",IF($F17="Migré","ROKS",IF($F17="À décommissionner",IF(Z$8&lt;$AS17,"IKS","Décom."),IF(OR($AQ17="",$AS17=""),"",IF(Z$8&lt;$AQ17,"IKS",IF(Z$8&lt;$AS17,IF(Z$8=$AR17,"Bascule","Double run"),"ROKS"))))))</f>
        <v>Bascule</v>
      </c>
      <c r="AA17" s="51" t="str">
        <f aca="false">IF(OR($A17="",AA$8=""),"",IF($F17="Migré","ROKS",IF($F17="À décommissionner",IF(AA$8&lt;$AS17,"IKS","Décom."),IF(OR($AQ17="",$AS17=""),"",IF(AA$8&lt;$AQ17,"IKS",IF(AA$8&lt;$AS17,IF(AA$8=$AR17,"Bascule","Double run"),"ROKS"))))))</f>
        <v>ROKS</v>
      </c>
      <c r="AB17" s="51" t="str">
        <f aca="false">IF(OR($A17="",AB$8=""),"",IF($F17="Migré","ROKS",IF($F17="À décommissionner",IF(AB$8&lt;$AS17,"IKS","Décom."),IF(OR($AQ17="",$AS17=""),"",IF(AB$8&lt;$AQ17,"IKS",IF(AB$8&lt;$AS17,IF(AB$8=$AR17,"Bascule","Double run"),"ROKS"))))))</f>
        <v>ROKS</v>
      </c>
      <c r="AC17" s="51" t="str">
        <f aca="false">IF(OR($A17="",AC$8=""),"",IF($F17="Migré","ROKS",IF($F17="À décommissionner",IF(AC$8&lt;$AS17,"IKS","Décom."),IF(OR($AQ17="",$AS17=""),"",IF(AC$8&lt;$AQ17,"IKS",IF(AC$8&lt;$AS17,IF(AC$8=$AR17,"Bascule","Double run"),"ROKS"))))))</f>
        <v>ROKS</v>
      </c>
      <c r="AD17" s="51" t="str">
        <f aca="false">IF(OR($A17="",AD$8=""),"",IF($F17="Migré","ROKS",IF($F17="À décommissionner",IF(AD$8&lt;$AS17,"IKS","Décom."),IF(OR($AQ17="",$AS17=""),"",IF(AD$8&lt;$AQ17,"IKS",IF(AD$8&lt;$AS17,IF(AD$8=$AR17,"Bascule","Double run"),"ROKS"))))))</f>
        <v>ROKS</v>
      </c>
      <c r="AE17" s="51" t="str">
        <f aca="false">IF(OR($A17="",AE$8=""),"",IF($F17="Migré","ROKS",IF($F17="À décommissionner",IF(AE$8&lt;$AS17,"IKS","Décom."),IF(OR($AQ17="",$AS17=""),"",IF(AE$8&lt;$AQ17,"IKS",IF(AE$8&lt;$AS17,IF(AE$8=$AR17,"Bascule","Double run"),"ROKS"))))))</f>
        <v>ROKS</v>
      </c>
      <c r="AF17" s="51" t="str">
        <f aca="false">IF(OR($A17="",AF$8=""),"",IF($F17="Migré","ROKS",IF($F17="À décommissionner",IF(AF$8&lt;$AS17,"IKS","Décom."),IF(OR($AQ17="",$AS17=""),"",IF(AF$8&lt;$AQ17,"IKS",IF(AF$8&lt;$AS17,IF(AF$8=$AR17,"Bascule","Double run"),"ROKS"))))))</f>
        <v>ROKS</v>
      </c>
      <c r="AG17" s="51" t="str">
        <f aca="false">IF(OR($A17="",AG$8=""),"",IF($F17="Migré","ROKS",IF($F17="À décommissionner",IF(AG$8&lt;$AS17,"IKS","Décom."),IF(OR($AQ17="",$AS17=""),"",IF(AG$8&lt;$AQ17,"IKS",IF(AG$8&lt;$AS17,IF(AG$8=$AR17,"Bascule","Double run"),"ROKS"))))))</f>
        <v>ROKS</v>
      </c>
      <c r="AH17" s="51" t="str">
        <f aca="false">IF(OR($A17="",AH$8=""),"",IF($F17="Migré","ROKS",IF($F17="À décommissionner",IF(AH$8&lt;$AS17,"IKS","Décom."),IF(OR($AQ17="",$AS17=""),"",IF(AH$8&lt;$AQ17,"IKS",IF(AH$8&lt;$AS17,IF(AH$8=$AR17,"Bascule","Double run"),"ROKS"))))))</f>
        <v>ROKS</v>
      </c>
      <c r="AI17" s="51" t="str">
        <f aca="false">IF(OR($A17="",AI$8=""),"",IF($F17="Migré","ROKS",IF($F17="À décommissionner",IF(AI$8&lt;$AS17,"IKS","Décom."),IF(OR($AQ17="",$AS17=""),"",IF(AI$8&lt;$AQ17,"IKS",IF(AI$8&lt;$AS17,IF(AI$8=$AR17,"Bascule","Double run"),"ROKS"))))))</f>
        <v>ROKS</v>
      </c>
      <c r="AJ17" s="51" t="str">
        <f aca="false">IF(OR($A17="",AJ$8=""),"",IF($F17="Migré","ROKS",IF($F17="À décommissionner",IF(AJ$8&lt;$AS17,"IKS","Décom."),IF(OR($AQ17="",$AS17=""),"",IF(AJ$8&lt;$AQ17,"IKS",IF(AJ$8&lt;$AS17,IF(AJ$8=$AR17,"Bascule","Double run"),"ROKS"))))))</f>
        <v>ROKS</v>
      </c>
      <c r="AK17" s="51" t="str">
        <f aca="false">IF(OR($A17="",AK$8=""),"",IF($F17="Migré","ROKS",IF($F17="À décommissionner",IF(AK$8&lt;$AS17,"IKS","Décom."),IF(OR($AQ17="",$AS17=""),"",IF(AK$8&lt;$AQ17,"IKS",IF(AK$8&lt;$AS17,IF(AK$8=$AR17,"Bascule","Double run"),"ROKS"))))))</f>
        <v>ROKS</v>
      </c>
      <c r="AL17" s="51" t="str">
        <f aca="false">IF(OR($A17="",AL$8=""),"",IF($F17="Migré","ROKS",IF($F17="À décommissionner",IF(AL$8&lt;$AS17,"IKS","Décom."),IF(OR($AQ17="",$AS17=""),"",IF(AL$8&lt;$AQ17,"IKS",IF(AL$8&lt;$AS17,IF(AL$8=$AR17,"Bascule","Double run"),"ROKS"))))))</f>
        <v>ROKS</v>
      </c>
      <c r="AM17" s="51" t="str">
        <f aca="false">IF(OR($A17="",AM$8=""),"",IF($F17="Migré","ROKS",IF($F17="À décommissionner",IF(AM$8&lt;$AS17,"IKS","Décom."),IF(OR($AQ17="",$AS17=""),"",IF(AM$8&lt;$AQ17,"IKS",IF(AM$8&lt;$AS17,IF(AM$8=$AR17,"Bascule","Double run"),"ROKS"))))))</f>
        <v>ROKS</v>
      </c>
      <c r="AN17" s="51" t="str">
        <f aca="false">IF(OR($A17="",AN$8=""),"",IF($F17="Migré","ROKS",IF($F17="À décommissionner",IF(AN$8&lt;$AS17,"IKS","Décom."),IF(OR($AQ17="",$AS17=""),"",IF(AN$8&lt;$AQ17,"IKS",IF(AN$8&lt;$AS17,IF(AN$8=$AR17,"Bascule","Double run"),"ROKS"))))))</f>
        <v>ROKS</v>
      </c>
      <c r="AO17" s="51" t="str">
        <f aca="false">IF(OR($A17="",AO$8=""),"",IF($F17="Migré","ROKS",IF($F17="À décommissionner",IF(AO$8&lt;$AS17,"IKS","Décom."),IF(OR($AQ17="",$AS17=""),"",IF(AO$8&lt;$AQ17,"IKS",IF(AO$8&lt;$AS17,IF(AO$8=$AR17,"Bascule","Double run"),"ROKS"))))))</f>
        <v>ROKS</v>
      </c>
      <c r="AP17" s="51" t="str">
        <f aca="false">IF(OR($A17="",AP$8=""),"",IF($F17="Migré","ROKS",IF($F17="À décommissionner",IF(AP$8&lt;$AS17,"IKS","Décom."),IF(OR($AQ17="",$AS17=""),"",IF(AP$8&lt;$AQ17,"IKS",IF(AP$8&lt;$AS17,IF(AP$8=$AR17,"Bascule","Double run"),"ROKS"))))))</f>
        <v>ROKS</v>
      </c>
      <c r="AQ17" s="52" t="n">
        <f aca="false">IF($A17="","",INDEX(TblApplications[Mois prov (calc)],$A17))</f>
        <v>46844</v>
      </c>
      <c r="AR17" s="53" t="n">
        <f aca="false">IF($A17="","",IFERROR(DATE(YEAR(INDEX(TblApplications[Mois bascule],$A17)),MONTH(INDEX(TblApplications[Mois bascule],$A17)),1),""))</f>
        <v>46874</v>
      </c>
      <c r="AS17" s="52" t="n">
        <f aca="false">IF($A17="","",INDEX(TblApplications[Mois lib (calc)],$A17))</f>
        <v>46905</v>
      </c>
    </row>
    <row r="18" customFormat="false" ht="15" hidden="false" customHeight="false" outlineLevel="0" collapsed="false">
      <c r="A18" s="49" t="n">
        <f aca="false">IFERROR(MATCH(10,TblApplications[Rang frise],0),"")</f>
        <v>10</v>
      </c>
      <c r="B18" s="50" t="str">
        <f aca="false">IF($A18="","",INDEX(TblApplications[ID],$A18))</f>
        <v>APP-03</v>
      </c>
      <c r="C18" s="50" t="str">
        <f aca="false">IF($A18="","",INDEX(TblApplications[Application],$A18))</f>
        <v>API sinistres (démo)</v>
      </c>
      <c r="D18" s="50" t="str">
        <f aca="false">IF($A18="","",INDEX(TblApplications[Environnement],$A18))</f>
        <v>PRD</v>
      </c>
      <c r="E18" s="50" t="str">
        <f aca="false">IF($A18="","",INDEX(TblApplications[Couloir],$A18))</f>
        <v>PRD</v>
      </c>
      <c r="F18" s="50" t="str">
        <f aca="false">IF($A18="","",INDEX(TblApplications[Action],$A18))</f>
        <v>À migrer</v>
      </c>
      <c r="G18" s="51" t="str">
        <f aca="false">IF(OR($A18="",G$8=""),"",IF($F18="Migré","ROKS",IF($F18="À décommissionner",IF(G$8&lt;$AS18,"IKS","Décom."),IF(OR($AQ18="",$AS18=""),"",IF(G$8&lt;$AQ18,"IKS",IF(G$8&lt;$AS18,IF(G$8=$AR18,"Bascule","Double run"),"ROKS"))))))</f>
        <v>IKS</v>
      </c>
      <c r="H18" s="51" t="str">
        <f aca="false">IF(OR($A18="",H$8=""),"",IF($F18="Migré","ROKS",IF($F18="À décommissionner",IF(H$8&lt;$AS18,"IKS","Décom."),IF(OR($AQ18="",$AS18=""),"",IF(H$8&lt;$AQ18,"IKS",IF(H$8&lt;$AS18,IF(H$8=$AR18,"Bascule","Double run"),"ROKS"))))))</f>
        <v>IKS</v>
      </c>
      <c r="I18" s="51" t="str">
        <f aca="false">IF(OR($A18="",I$8=""),"",IF($F18="Migré","ROKS",IF($F18="À décommissionner",IF(I$8&lt;$AS18,"IKS","Décom."),IF(OR($AQ18="",$AS18=""),"",IF(I$8&lt;$AQ18,"IKS",IF(I$8&lt;$AS18,IF(I$8=$AR18,"Bascule","Double run"),"ROKS"))))))</f>
        <v>IKS</v>
      </c>
      <c r="J18" s="51" t="str">
        <f aca="false">IF(OR($A18="",J$8=""),"",IF($F18="Migré","ROKS",IF($F18="À décommissionner",IF(J$8&lt;$AS18,"IKS","Décom."),IF(OR($AQ18="",$AS18=""),"",IF(J$8&lt;$AQ18,"IKS",IF(J$8&lt;$AS18,IF(J$8=$AR18,"Bascule","Double run"),"ROKS"))))))</f>
        <v>IKS</v>
      </c>
      <c r="K18" s="51" t="str">
        <f aca="false">IF(OR($A18="",K$8=""),"",IF($F18="Migré","ROKS",IF($F18="À décommissionner",IF(K$8&lt;$AS18,"IKS","Décom."),IF(OR($AQ18="",$AS18=""),"",IF(K$8&lt;$AQ18,"IKS",IF(K$8&lt;$AS18,IF(K$8=$AR18,"Bascule","Double run"),"ROKS"))))))</f>
        <v>IKS</v>
      </c>
      <c r="L18" s="51" t="str">
        <f aca="false">IF(OR($A18="",L$8=""),"",IF($F18="Migré","ROKS",IF($F18="À décommissionner",IF(L$8&lt;$AS18,"IKS","Décom."),IF(OR($AQ18="",$AS18=""),"",IF(L$8&lt;$AQ18,"IKS",IF(L$8&lt;$AS18,IF(L$8=$AR18,"Bascule","Double run"),"ROKS"))))))</f>
        <v>IKS</v>
      </c>
      <c r="M18" s="51" t="str">
        <f aca="false">IF(OR($A18="",M$8=""),"",IF($F18="Migré","ROKS",IF($F18="À décommissionner",IF(M$8&lt;$AS18,"IKS","Décom."),IF(OR($AQ18="",$AS18=""),"",IF(M$8&lt;$AQ18,"IKS",IF(M$8&lt;$AS18,IF(M$8=$AR18,"Bascule","Double run"),"ROKS"))))))</f>
        <v>IKS</v>
      </c>
      <c r="N18" s="51" t="str">
        <f aca="false">IF(OR($A18="",N$8=""),"",IF($F18="Migré","ROKS",IF($F18="À décommissionner",IF(N$8&lt;$AS18,"IKS","Décom."),IF(OR($AQ18="",$AS18=""),"",IF(N$8&lt;$AQ18,"IKS",IF(N$8&lt;$AS18,IF(N$8=$AR18,"Bascule","Double run"),"ROKS"))))))</f>
        <v>IKS</v>
      </c>
      <c r="O18" s="51" t="str">
        <f aca="false">IF(OR($A18="",O$8=""),"",IF($F18="Migré","ROKS",IF($F18="À décommissionner",IF(O$8&lt;$AS18,"IKS","Décom."),IF(OR($AQ18="",$AS18=""),"",IF(O$8&lt;$AQ18,"IKS",IF(O$8&lt;$AS18,IF(O$8=$AR18,"Bascule","Double run"),"ROKS"))))))</f>
        <v>IKS</v>
      </c>
      <c r="P18" s="51" t="str">
        <f aca="false">IF(OR($A18="",P$8=""),"",IF($F18="Migré","ROKS",IF($F18="À décommissionner",IF(P$8&lt;$AS18,"IKS","Décom."),IF(OR($AQ18="",$AS18=""),"",IF(P$8&lt;$AQ18,"IKS",IF(P$8&lt;$AS18,IF(P$8=$AR18,"Bascule","Double run"),"ROKS"))))))</f>
        <v>IKS</v>
      </c>
      <c r="Q18" s="51" t="str">
        <f aca="false">IF(OR($A18="",Q$8=""),"",IF($F18="Migré","ROKS",IF($F18="À décommissionner",IF(Q$8&lt;$AS18,"IKS","Décom."),IF(OR($AQ18="",$AS18=""),"",IF(Q$8&lt;$AQ18,"IKS",IF(Q$8&lt;$AS18,IF(Q$8=$AR18,"Bascule","Double run"),"ROKS"))))))</f>
        <v>IKS</v>
      </c>
      <c r="R18" s="51" t="str">
        <f aca="false">IF(OR($A18="",R$8=""),"",IF($F18="Migré","ROKS",IF($F18="À décommissionner",IF(R$8&lt;$AS18,"IKS","Décom."),IF(OR($AQ18="",$AS18=""),"",IF(R$8&lt;$AQ18,"IKS",IF(R$8&lt;$AS18,IF(R$8=$AR18,"Bascule","Double run"),"ROKS"))))))</f>
        <v>IKS</v>
      </c>
      <c r="S18" s="51" t="str">
        <f aca="false">IF(OR($A18="",S$8=""),"",IF($F18="Migré","ROKS",IF($F18="À décommissionner",IF(S$8&lt;$AS18,"IKS","Décom."),IF(OR($AQ18="",$AS18=""),"",IF(S$8&lt;$AQ18,"IKS",IF(S$8&lt;$AS18,IF(S$8=$AR18,"Bascule","Double run"),"ROKS"))))))</f>
        <v>IKS</v>
      </c>
      <c r="T18" s="51" t="str">
        <f aca="false">IF(OR($A18="",T$8=""),"",IF($F18="Migré","ROKS",IF($F18="À décommissionner",IF(T$8&lt;$AS18,"IKS","Décom."),IF(OR($AQ18="",$AS18=""),"",IF(T$8&lt;$AQ18,"IKS",IF(T$8&lt;$AS18,IF(T$8=$AR18,"Bascule","Double run"),"ROKS"))))))</f>
        <v>IKS</v>
      </c>
      <c r="U18" s="51" t="str">
        <f aca="false">IF(OR($A18="",U$8=""),"",IF($F18="Migré","ROKS",IF($F18="À décommissionner",IF(U$8&lt;$AS18,"IKS","Décom."),IF(OR($AQ18="",$AS18=""),"",IF(U$8&lt;$AQ18,"IKS",IF(U$8&lt;$AS18,IF(U$8=$AR18,"Bascule","Double run"),"ROKS"))))))</f>
        <v>IKS</v>
      </c>
      <c r="V18" s="51" t="str">
        <f aca="false">IF(OR($A18="",V$8=""),"",IF($F18="Migré","ROKS",IF($F18="À décommissionner",IF(V$8&lt;$AS18,"IKS","Décom."),IF(OR($AQ18="",$AS18=""),"",IF(V$8&lt;$AQ18,"IKS",IF(V$8&lt;$AS18,IF(V$8=$AR18,"Bascule","Double run"),"ROKS"))))))</f>
        <v>IKS</v>
      </c>
      <c r="W18" s="51" t="str">
        <f aca="false">IF(OR($A18="",W$8=""),"",IF($F18="Migré","ROKS",IF($F18="À décommissionner",IF(W$8&lt;$AS18,"IKS","Décom."),IF(OR($AQ18="",$AS18=""),"",IF(W$8&lt;$AQ18,"IKS",IF(W$8&lt;$AS18,IF(W$8=$AR18,"Bascule","Double run"),"ROKS"))))))</f>
        <v>IKS</v>
      </c>
      <c r="X18" s="51" t="str">
        <f aca="false">IF(OR($A18="",X$8=""),"",IF($F18="Migré","ROKS",IF($F18="À décommissionner",IF(X$8&lt;$AS18,"IKS","Décom."),IF(OR($AQ18="",$AS18=""),"",IF(X$8&lt;$AQ18,"IKS",IF(X$8&lt;$AS18,IF(X$8=$AR18,"Bascule","Double run"),"ROKS"))))))</f>
        <v>IKS</v>
      </c>
      <c r="Y18" s="51" t="str">
        <f aca="false">IF(OR($A18="",Y$8=""),"",IF($F18="Migré","ROKS",IF($F18="À décommissionner",IF(Y$8&lt;$AS18,"IKS","Décom."),IF(OR($AQ18="",$AS18=""),"",IF(Y$8&lt;$AQ18,"IKS",IF(Y$8&lt;$AS18,IF(Y$8=$AR18,"Bascule","Double run"),"ROKS"))))))</f>
        <v>IKS</v>
      </c>
      <c r="Z18" s="51" t="str">
        <f aca="false">IF(OR($A18="",Z$8=""),"",IF($F18="Migré","ROKS",IF($F18="À décommissionner",IF(Z$8&lt;$AS18,"IKS","Décom."),IF(OR($AQ18="",$AS18=""),"",IF(Z$8&lt;$AQ18,"IKS",IF(Z$8&lt;$AS18,IF(Z$8=$AR18,"Bascule","Double run"),"ROKS"))))))</f>
        <v>IKS</v>
      </c>
      <c r="AA18" s="51" t="str">
        <f aca="false">IF(OR($A18="",AA$8=""),"",IF($F18="Migré","ROKS",IF($F18="À décommissionner",IF(AA$8&lt;$AS18,"IKS","Décom."),IF(OR($AQ18="",$AS18=""),"",IF(AA$8&lt;$AQ18,"IKS",IF(AA$8&lt;$AS18,IF(AA$8=$AR18,"Bascule","Double run"),"ROKS"))))))</f>
        <v>IKS</v>
      </c>
      <c r="AB18" s="51" t="str">
        <f aca="false">IF(OR($A18="",AB$8=""),"",IF($F18="Migré","ROKS",IF($F18="À décommissionner",IF(AB$8&lt;$AS18,"IKS","Décom."),IF(OR($AQ18="",$AS18=""),"",IF(AB$8&lt;$AQ18,"IKS",IF(AB$8&lt;$AS18,IF(AB$8=$AR18,"Bascule","Double run"),"ROKS"))))))</f>
        <v>IKS</v>
      </c>
      <c r="AC18" s="51" t="str">
        <f aca="false">IF(OR($A18="",AC$8=""),"",IF($F18="Migré","ROKS",IF($F18="À décommissionner",IF(AC$8&lt;$AS18,"IKS","Décom."),IF(OR($AQ18="",$AS18=""),"",IF(AC$8&lt;$AQ18,"IKS",IF(AC$8&lt;$AS18,IF(AC$8=$AR18,"Bascule","Double run"),"ROKS"))))))</f>
        <v>IKS</v>
      </c>
      <c r="AD18" s="51" t="str">
        <f aca="false">IF(OR($A18="",AD$8=""),"",IF($F18="Migré","ROKS",IF($F18="À décommissionner",IF(AD$8&lt;$AS18,"IKS","Décom."),IF(OR($AQ18="",$AS18=""),"",IF(AD$8&lt;$AQ18,"IKS",IF(AD$8&lt;$AS18,IF(AD$8=$AR18,"Bascule","Double run"),"ROKS"))))))</f>
        <v>Double run</v>
      </c>
      <c r="AE18" s="51" t="str">
        <f aca="false">IF(OR($A18="",AE$8=""),"",IF($F18="Migré","ROKS",IF($F18="À décommissionner",IF(AE$8&lt;$AS18,"IKS","Décom."),IF(OR($AQ18="",$AS18=""),"",IF(AE$8&lt;$AQ18,"IKS",IF(AE$8&lt;$AS18,IF(AE$8=$AR18,"Bascule","Double run"),"ROKS"))))))</f>
        <v>Bascule</v>
      </c>
      <c r="AF18" s="51" t="str">
        <f aca="false">IF(OR($A18="",AF$8=""),"",IF($F18="Migré","ROKS",IF($F18="À décommissionner",IF(AF$8&lt;$AS18,"IKS","Décom."),IF(OR($AQ18="",$AS18=""),"",IF(AF$8&lt;$AQ18,"IKS",IF(AF$8&lt;$AS18,IF(AF$8=$AR18,"Bascule","Double run"),"ROKS"))))))</f>
        <v>Double run</v>
      </c>
      <c r="AG18" s="51" t="str">
        <f aca="false">IF(OR($A18="",AG$8=""),"",IF($F18="Migré","ROKS",IF($F18="À décommissionner",IF(AG$8&lt;$AS18,"IKS","Décom."),IF(OR($AQ18="",$AS18=""),"",IF(AG$8&lt;$AQ18,"IKS",IF(AG$8&lt;$AS18,IF(AG$8=$AR18,"Bascule","Double run"),"ROKS"))))))</f>
        <v>ROKS</v>
      </c>
      <c r="AH18" s="51" t="str">
        <f aca="false">IF(OR($A18="",AH$8=""),"",IF($F18="Migré","ROKS",IF($F18="À décommissionner",IF(AH$8&lt;$AS18,"IKS","Décom."),IF(OR($AQ18="",$AS18=""),"",IF(AH$8&lt;$AQ18,"IKS",IF(AH$8&lt;$AS18,IF(AH$8=$AR18,"Bascule","Double run"),"ROKS"))))))</f>
        <v>ROKS</v>
      </c>
      <c r="AI18" s="51" t="str">
        <f aca="false">IF(OR($A18="",AI$8=""),"",IF($F18="Migré","ROKS",IF($F18="À décommissionner",IF(AI$8&lt;$AS18,"IKS","Décom."),IF(OR($AQ18="",$AS18=""),"",IF(AI$8&lt;$AQ18,"IKS",IF(AI$8&lt;$AS18,IF(AI$8=$AR18,"Bascule","Double run"),"ROKS"))))))</f>
        <v>ROKS</v>
      </c>
      <c r="AJ18" s="51" t="str">
        <f aca="false">IF(OR($A18="",AJ$8=""),"",IF($F18="Migré","ROKS",IF($F18="À décommissionner",IF(AJ$8&lt;$AS18,"IKS","Décom."),IF(OR($AQ18="",$AS18=""),"",IF(AJ$8&lt;$AQ18,"IKS",IF(AJ$8&lt;$AS18,IF(AJ$8=$AR18,"Bascule","Double run"),"ROKS"))))))</f>
        <v>ROKS</v>
      </c>
      <c r="AK18" s="51" t="str">
        <f aca="false">IF(OR($A18="",AK$8=""),"",IF($F18="Migré","ROKS",IF($F18="À décommissionner",IF(AK$8&lt;$AS18,"IKS","Décom."),IF(OR($AQ18="",$AS18=""),"",IF(AK$8&lt;$AQ18,"IKS",IF(AK$8&lt;$AS18,IF(AK$8=$AR18,"Bascule","Double run"),"ROKS"))))))</f>
        <v>ROKS</v>
      </c>
      <c r="AL18" s="51" t="str">
        <f aca="false">IF(OR($A18="",AL$8=""),"",IF($F18="Migré","ROKS",IF($F18="À décommissionner",IF(AL$8&lt;$AS18,"IKS","Décom."),IF(OR($AQ18="",$AS18=""),"",IF(AL$8&lt;$AQ18,"IKS",IF(AL$8&lt;$AS18,IF(AL$8=$AR18,"Bascule","Double run"),"ROKS"))))))</f>
        <v>ROKS</v>
      </c>
      <c r="AM18" s="51" t="str">
        <f aca="false">IF(OR($A18="",AM$8=""),"",IF($F18="Migré","ROKS",IF($F18="À décommissionner",IF(AM$8&lt;$AS18,"IKS","Décom."),IF(OR($AQ18="",$AS18=""),"",IF(AM$8&lt;$AQ18,"IKS",IF(AM$8&lt;$AS18,IF(AM$8=$AR18,"Bascule","Double run"),"ROKS"))))))</f>
        <v>ROKS</v>
      </c>
      <c r="AN18" s="51" t="str">
        <f aca="false">IF(OR($A18="",AN$8=""),"",IF($F18="Migré","ROKS",IF($F18="À décommissionner",IF(AN$8&lt;$AS18,"IKS","Décom."),IF(OR($AQ18="",$AS18=""),"",IF(AN$8&lt;$AQ18,"IKS",IF(AN$8&lt;$AS18,IF(AN$8=$AR18,"Bascule","Double run"),"ROKS"))))))</f>
        <v>ROKS</v>
      </c>
      <c r="AO18" s="51" t="str">
        <f aca="false">IF(OR($A18="",AO$8=""),"",IF($F18="Migré","ROKS",IF($F18="À décommissionner",IF(AO$8&lt;$AS18,"IKS","Décom."),IF(OR($AQ18="",$AS18=""),"",IF(AO$8&lt;$AQ18,"IKS",IF(AO$8&lt;$AS18,IF(AO$8=$AR18,"Bascule","Double run"),"ROKS"))))))</f>
        <v>ROKS</v>
      </c>
      <c r="AP18" s="51" t="str">
        <f aca="false">IF(OR($A18="",AP$8=""),"",IF($F18="Migré","ROKS",IF($F18="À décommissionner",IF(AP$8&lt;$AS18,"IKS","Décom."),IF(OR($AQ18="",$AS18=""),"",IF(AP$8&lt;$AQ18,"IKS",IF(AP$8&lt;$AS18,IF(AP$8=$AR18,"Bascule","Double run"),"ROKS"))))))</f>
        <v>ROKS</v>
      </c>
      <c r="AQ18" s="52" t="n">
        <f aca="false">IF($A18="","",INDEX(TblApplications[Mois prov (calc)],$A18))</f>
        <v>46997</v>
      </c>
      <c r="AR18" s="53" t="n">
        <f aca="false">IF($A18="","",IFERROR(DATE(YEAR(INDEX(TblApplications[Mois bascule],$A18)),MONTH(INDEX(TblApplications[Mois bascule],$A18)),1),""))</f>
        <v>47027</v>
      </c>
      <c r="AS18" s="52" t="n">
        <f aca="false">IF($A18="","",INDEX(TblApplications[Mois lib (calc)],$A18))</f>
        <v>47088</v>
      </c>
    </row>
    <row r="19" customFormat="false" ht="15" hidden="false" customHeight="false" outlineLevel="0" collapsed="false">
      <c r="A19" s="49" t="n">
        <f aca="false">IFERROR(MATCH(11,TblApplications[Rang frise],0),"")</f>
        <v>11</v>
      </c>
      <c r="B19" s="50" t="str">
        <f aca="false">IF($A19="","",INDEX(TblApplications[ID],$A19))</f>
        <v>APP-04</v>
      </c>
      <c r="C19" s="50" t="str">
        <f aca="false">IF($A19="","",INDEX(TblApplications[Application],$A19))</f>
        <v>Extranet partenaires (démo)</v>
      </c>
      <c r="D19" s="50" t="str">
        <f aca="false">IF($A19="","",INDEX(TblApplications[Environnement],$A19))</f>
        <v>NPRD</v>
      </c>
      <c r="E19" s="50" t="str">
        <f aca="false">IF($A19="","",INDEX(TblApplications[Couloir],$A19))</f>
        <v>INT1</v>
      </c>
      <c r="F19" s="50" t="str">
        <f aca="false">IF($A19="","",INDEX(TblApplications[Action],$A19))</f>
        <v>À décommissionner</v>
      </c>
      <c r="G19" s="51" t="str">
        <f aca="false">IF(OR($A19="",G$8=""),"",IF($F19="Migré","ROKS",IF($F19="À décommissionner",IF(G$8&lt;$AS19,"IKS","Décom."),IF(OR($AQ19="",$AS19=""),"",IF(G$8&lt;$AQ19,"IKS",IF(G$8&lt;$AS19,IF(G$8=$AR19,"Bascule","Double run"),"ROKS"))))))</f>
        <v>IKS</v>
      </c>
      <c r="H19" s="51" t="str">
        <f aca="false">IF(OR($A19="",H$8=""),"",IF($F19="Migré","ROKS",IF($F19="À décommissionner",IF(H$8&lt;$AS19,"IKS","Décom."),IF(OR($AQ19="",$AS19=""),"",IF(H$8&lt;$AQ19,"IKS",IF(H$8&lt;$AS19,IF(H$8=$AR19,"Bascule","Double run"),"ROKS"))))))</f>
        <v>IKS</v>
      </c>
      <c r="I19" s="51" t="str">
        <f aca="false">IF(OR($A19="",I$8=""),"",IF($F19="Migré","ROKS",IF($F19="À décommissionner",IF(I$8&lt;$AS19,"IKS","Décom."),IF(OR($AQ19="",$AS19=""),"",IF(I$8&lt;$AQ19,"IKS",IF(I$8&lt;$AS19,IF(I$8=$AR19,"Bascule","Double run"),"ROKS"))))))</f>
        <v>IKS</v>
      </c>
      <c r="J19" s="51" t="str">
        <f aca="false">IF(OR($A19="",J$8=""),"",IF($F19="Migré","ROKS",IF($F19="À décommissionner",IF(J$8&lt;$AS19,"IKS","Décom."),IF(OR($AQ19="",$AS19=""),"",IF(J$8&lt;$AQ19,"IKS",IF(J$8&lt;$AS19,IF(J$8=$AR19,"Bascule","Double run"),"ROKS"))))))</f>
        <v>IKS</v>
      </c>
      <c r="K19" s="51" t="str">
        <f aca="false">IF(OR($A19="",K$8=""),"",IF($F19="Migré","ROKS",IF($F19="À décommissionner",IF(K$8&lt;$AS19,"IKS","Décom."),IF(OR($AQ19="",$AS19=""),"",IF(K$8&lt;$AQ19,"IKS",IF(K$8&lt;$AS19,IF(K$8=$AR19,"Bascule","Double run"),"ROKS"))))))</f>
        <v>IKS</v>
      </c>
      <c r="L19" s="51" t="str">
        <f aca="false">IF(OR($A19="",L$8=""),"",IF($F19="Migré","ROKS",IF($F19="À décommissionner",IF(L$8&lt;$AS19,"IKS","Décom."),IF(OR($AQ19="",$AS19=""),"",IF(L$8&lt;$AQ19,"IKS",IF(L$8&lt;$AS19,IF(L$8=$AR19,"Bascule","Double run"),"ROKS"))))))</f>
        <v>IKS</v>
      </c>
      <c r="M19" s="51" t="str">
        <f aca="false">IF(OR($A19="",M$8=""),"",IF($F19="Migré","ROKS",IF($F19="À décommissionner",IF(M$8&lt;$AS19,"IKS","Décom."),IF(OR($AQ19="",$AS19=""),"",IF(M$8&lt;$AQ19,"IKS",IF(M$8&lt;$AS19,IF(M$8=$AR19,"Bascule","Double run"),"ROKS"))))))</f>
        <v>IKS</v>
      </c>
      <c r="N19" s="51" t="str">
        <f aca="false">IF(OR($A19="",N$8=""),"",IF($F19="Migré","ROKS",IF($F19="À décommissionner",IF(N$8&lt;$AS19,"IKS","Décom."),IF(OR($AQ19="",$AS19=""),"",IF(N$8&lt;$AQ19,"IKS",IF(N$8&lt;$AS19,IF(N$8=$AR19,"Bascule","Double run"),"ROKS"))))))</f>
        <v>IKS</v>
      </c>
      <c r="O19" s="51" t="str">
        <f aca="false">IF(OR($A19="",O$8=""),"",IF($F19="Migré","ROKS",IF($F19="À décommissionner",IF(O$8&lt;$AS19,"IKS","Décom."),IF(OR($AQ19="",$AS19=""),"",IF(O$8&lt;$AQ19,"IKS",IF(O$8&lt;$AS19,IF(O$8=$AR19,"Bascule","Double run"),"ROKS"))))))</f>
        <v>Décom.</v>
      </c>
      <c r="P19" s="51" t="str">
        <f aca="false">IF(OR($A19="",P$8=""),"",IF($F19="Migré","ROKS",IF($F19="À décommissionner",IF(P$8&lt;$AS19,"IKS","Décom."),IF(OR($AQ19="",$AS19=""),"",IF(P$8&lt;$AQ19,"IKS",IF(P$8&lt;$AS19,IF(P$8=$AR19,"Bascule","Double run"),"ROKS"))))))</f>
        <v>Décom.</v>
      </c>
      <c r="Q19" s="51" t="str">
        <f aca="false">IF(OR($A19="",Q$8=""),"",IF($F19="Migré","ROKS",IF($F19="À décommissionner",IF(Q$8&lt;$AS19,"IKS","Décom."),IF(OR($AQ19="",$AS19=""),"",IF(Q$8&lt;$AQ19,"IKS",IF(Q$8&lt;$AS19,IF(Q$8=$AR19,"Bascule","Double run"),"ROKS"))))))</f>
        <v>Décom.</v>
      </c>
      <c r="R19" s="51" t="str">
        <f aca="false">IF(OR($A19="",R$8=""),"",IF($F19="Migré","ROKS",IF($F19="À décommissionner",IF(R$8&lt;$AS19,"IKS","Décom."),IF(OR($AQ19="",$AS19=""),"",IF(R$8&lt;$AQ19,"IKS",IF(R$8&lt;$AS19,IF(R$8=$AR19,"Bascule","Double run"),"ROKS"))))))</f>
        <v>Décom.</v>
      </c>
      <c r="S19" s="51" t="str">
        <f aca="false">IF(OR($A19="",S$8=""),"",IF($F19="Migré","ROKS",IF($F19="À décommissionner",IF(S$8&lt;$AS19,"IKS","Décom."),IF(OR($AQ19="",$AS19=""),"",IF(S$8&lt;$AQ19,"IKS",IF(S$8&lt;$AS19,IF(S$8=$AR19,"Bascule","Double run"),"ROKS"))))))</f>
        <v>Décom.</v>
      </c>
      <c r="T19" s="51" t="str">
        <f aca="false">IF(OR($A19="",T$8=""),"",IF($F19="Migré","ROKS",IF($F19="À décommissionner",IF(T$8&lt;$AS19,"IKS","Décom."),IF(OR($AQ19="",$AS19=""),"",IF(T$8&lt;$AQ19,"IKS",IF(T$8&lt;$AS19,IF(T$8=$AR19,"Bascule","Double run"),"ROKS"))))))</f>
        <v>Décom.</v>
      </c>
      <c r="U19" s="51" t="str">
        <f aca="false">IF(OR($A19="",U$8=""),"",IF($F19="Migré","ROKS",IF($F19="À décommissionner",IF(U$8&lt;$AS19,"IKS","Décom."),IF(OR($AQ19="",$AS19=""),"",IF(U$8&lt;$AQ19,"IKS",IF(U$8&lt;$AS19,IF(U$8=$AR19,"Bascule","Double run"),"ROKS"))))))</f>
        <v>Décom.</v>
      </c>
      <c r="V19" s="51" t="str">
        <f aca="false">IF(OR($A19="",V$8=""),"",IF($F19="Migré","ROKS",IF($F19="À décommissionner",IF(V$8&lt;$AS19,"IKS","Décom."),IF(OR($AQ19="",$AS19=""),"",IF(V$8&lt;$AQ19,"IKS",IF(V$8&lt;$AS19,IF(V$8=$AR19,"Bascule","Double run"),"ROKS"))))))</f>
        <v>Décom.</v>
      </c>
      <c r="W19" s="51" t="str">
        <f aca="false">IF(OR($A19="",W$8=""),"",IF($F19="Migré","ROKS",IF($F19="À décommissionner",IF(W$8&lt;$AS19,"IKS","Décom."),IF(OR($AQ19="",$AS19=""),"",IF(W$8&lt;$AQ19,"IKS",IF(W$8&lt;$AS19,IF(W$8=$AR19,"Bascule","Double run"),"ROKS"))))))</f>
        <v>Décom.</v>
      </c>
      <c r="X19" s="51" t="str">
        <f aca="false">IF(OR($A19="",X$8=""),"",IF($F19="Migré","ROKS",IF($F19="À décommissionner",IF(X$8&lt;$AS19,"IKS","Décom."),IF(OR($AQ19="",$AS19=""),"",IF(X$8&lt;$AQ19,"IKS",IF(X$8&lt;$AS19,IF(X$8=$AR19,"Bascule","Double run"),"ROKS"))))))</f>
        <v>Décom.</v>
      </c>
      <c r="Y19" s="51" t="str">
        <f aca="false">IF(OR($A19="",Y$8=""),"",IF($F19="Migré","ROKS",IF($F19="À décommissionner",IF(Y$8&lt;$AS19,"IKS","Décom."),IF(OR($AQ19="",$AS19=""),"",IF(Y$8&lt;$AQ19,"IKS",IF(Y$8&lt;$AS19,IF(Y$8=$AR19,"Bascule","Double run"),"ROKS"))))))</f>
        <v>Décom.</v>
      </c>
      <c r="Z19" s="51" t="str">
        <f aca="false">IF(OR($A19="",Z$8=""),"",IF($F19="Migré","ROKS",IF($F19="À décommissionner",IF(Z$8&lt;$AS19,"IKS","Décom."),IF(OR($AQ19="",$AS19=""),"",IF(Z$8&lt;$AQ19,"IKS",IF(Z$8&lt;$AS19,IF(Z$8=$AR19,"Bascule","Double run"),"ROKS"))))))</f>
        <v>Décom.</v>
      </c>
      <c r="AA19" s="51" t="str">
        <f aca="false">IF(OR($A19="",AA$8=""),"",IF($F19="Migré","ROKS",IF($F19="À décommissionner",IF(AA$8&lt;$AS19,"IKS","Décom."),IF(OR($AQ19="",$AS19=""),"",IF(AA$8&lt;$AQ19,"IKS",IF(AA$8&lt;$AS19,IF(AA$8=$AR19,"Bascule","Double run"),"ROKS"))))))</f>
        <v>Décom.</v>
      </c>
      <c r="AB19" s="51" t="str">
        <f aca="false">IF(OR($A19="",AB$8=""),"",IF($F19="Migré","ROKS",IF($F19="À décommissionner",IF(AB$8&lt;$AS19,"IKS","Décom."),IF(OR($AQ19="",$AS19=""),"",IF(AB$8&lt;$AQ19,"IKS",IF(AB$8&lt;$AS19,IF(AB$8=$AR19,"Bascule","Double run"),"ROKS"))))))</f>
        <v>Décom.</v>
      </c>
      <c r="AC19" s="51" t="str">
        <f aca="false">IF(OR($A19="",AC$8=""),"",IF($F19="Migré","ROKS",IF($F19="À décommissionner",IF(AC$8&lt;$AS19,"IKS","Décom."),IF(OR($AQ19="",$AS19=""),"",IF(AC$8&lt;$AQ19,"IKS",IF(AC$8&lt;$AS19,IF(AC$8=$AR19,"Bascule","Double run"),"ROKS"))))))</f>
        <v>Décom.</v>
      </c>
      <c r="AD19" s="51" t="str">
        <f aca="false">IF(OR($A19="",AD$8=""),"",IF($F19="Migré","ROKS",IF($F19="À décommissionner",IF(AD$8&lt;$AS19,"IKS","Décom."),IF(OR($AQ19="",$AS19=""),"",IF(AD$8&lt;$AQ19,"IKS",IF(AD$8&lt;$AS19,IF(AD$8=$AR19,"Bascule","Double run"),"ROKS"))))))</f>
        <v>Décom.</v>
      </c>
      <c r="AE19" s="51" t="str">
        <f aca="false">IF(OR($A19="",AE$8=""),"",IF($F19="Migré","ROKS",IF($F19="À décommissionner",IF(AE$8&lt;$AS19,"IKS","Décom."),IF(OR($AQ19="",$AS19=""),"",IF(AE$8&lt;$AQ19,"IKS",IF(AE$8&lt;$AS19,IF(AE$8=$AR19,"Bascule","Double run"),"ROKS"))))))</f>
        <v>Décom.</v>
      </c>
      <c r="AF19" s="51" t="str">
        <f aca="false">IF(OR($A19="",AF$8=""),"",IF($F19="Migré","ROKS",IF($F19="À décommissionner",IF(AF$8&lt;$AS19,"IKS","Décom."),IF(OR($AQ19="",$AS19=""),"",IF(AF$8&lt;$AQ19,"IKS",IF(AF$8&lt;$AS19,IF(AF$8=$AR19,"Bascule","Double run"),"ROKS"))))))</f>
        <v>Décom.</v>
      </c>
      <c r="AG19" s="51" t="str">
        <f aca="false">IF(OR($A19="",AG$8=""),"",IF($F19="Migré","ROKS",IF($F19="À décommissionner",IF(AG$8&lt;$AS19,"IKS","Décom."),IF(OR($AQ19="",$AS19=""),"",IF(AG$8&lt;$AQ19,"IKS",IF(AG$8&lt;$AS19,IF(AG$8=$AR19,"Bascule","Double run"),"ROKS"))))))</f>
        <v>Décom.</v>
      </c>
      <c r="AH19" s="51" t="str">
        <f aca="false">IF(OR($A19="",AH$8=""),"",IF($F19="Migré","ROKS",IF($F19="À décommissionner",IF(AH$8&lt;$AS19,"IKS","Décom."),IF(OR($AQ19="",$AS19=""),"",IF(AH$8&lt;$AQ19,"IKS",IF(AH$8&lt;$AS19,IF(AH$8=$AR19,"Bascule","Double run"),"ROKS"))))))</f>
        <v>Décom.</v>
      </c>
      <c r="AI19" s="51" t="str">
        <f aca="false">IF(OR($A19="",AI$8=""),"",IF($F19="Migré","ROKS",IF($F19="À décommissionner",IF(AI$8&lt;$AS19,"IKS","Décom."),IF(OR($AQ19="",$AS19=""),"",IF(AI$8&lt;$AQ19,"IKS",IF(AI$8&lt;$AS19,IF(AI$8=$AR19,"Bascule","Double run"),"ROKS"))))))</f>
        <v>Décom.</v>
      </c>
      <c r="AJ19" s="51" t="str">
        <f aca="false">IF(OR($A19="",AJ$8=""),"",IF($F19="Migré","ROKS",IF($F19="À décommissionner",IF(AJ$8&lt;$AS19,"IKS","Décom."),IF(OR($AQ19="",$AS19=""),"",IF(AJ$8&lt;$AQ19,"IKS",IF(AJ$8&lt;$AS19,IF(AJ$8=$AR19,"Bascule","Double run"),"ROKS"))))))</f>
        <v>Décom.</v>
      </c>
      <c r="AK19" s="51" t="str">
        <f aca="false">IF(OR($A19="",AK$8=""),"",IF($F19="Migré","ROKS",IF($F19="À décommissionner",IF(AK$8&lt;$AS19,"IKS","Décom."),IF(OR($AQ19="",$AS19=""),"",IF(AK$8&lt;$AQ19,"IKS",IF(AK$8&lt;$AS19,IF(AK$8=$AR19,"Bascule","Double run"),"ROKS"))))))</f>
        <v>Décom.</v>
      </c>
      <c r="AL19" s="51" t="str">
        <f aca="false">IF(OR($A19="",AL$8=""),"",IF($F19="Migré","ROKS",IF($F19="À décommissionner",IF(AL$8&lt;$AS19,"IKS","Décom."),IF(OR($AQ19="",$AS19=""),"",IF(AL$8&lt;$AQ19,"IKS",IF(AL$8&lt;$AS19,IF(AL$8=$AR19,"Bascule","Double run"),"ROKS"))))))</f>
        <v>Décom.</v>
      </c>
      <c r="AM19" s="51" t="str">
        <f aca="false">IF(OR($A19="",AM$8=""),"",IF($F19="Migré","ROKS",IF($F19="À décommissionner",IF(AM$8&lt;$AS19,"IKS","Décom."),IF(OR($AQ19="",$AS19=""),"",IF(AM$8&lt;$AQ19,"IKS",IF(AM$8&lt;$AS19,IF(AM$8=$AR19,"Bascule","Double run"),"ROKS"))))))</f>
        <v>Décom.</v>
      </c>
      <c r="AN19" s="51" t="str">
        <f aca="false">IF(OR($A19="",AN$8=""),"",IF($F19="Migré","ROKS",IF($F19="À décommissionner",IF(AN$8&lt;$AS19,"IKS","Décom."),IF(OR($AQ19="",$AS19=""),"",IF(AN$8&lt;$AQ19,"IKS",IF(AN$8&lt;$AS19,IF(AN$8=$AR19,"Bascule","Double run"),"ROKS"))))))</f>
        <v>Décom.</v>
      </c>
      <c r="AO19" s="51" t="str">
        <f aca="false">IF(OR($A19="",AO$8=""),"",IF($F19="Migré","ROKS",IF($F19="À décommissionner",IF(AO$8&lt;$AS19,"IKS","Décom."),IF(OR($AQ19="",$AS19=""),"",IF(AO$8&lt;$AQ19,"IKS",IF(AO$8&lt;$AS19,IF(AO$8=$AR19,"Bascule","Double run"),"ROKS"))))))</f>
        <v>Décom.</v>
      </c>
      <c r="AP19" s="51" t="str">
        <f aca="false">IF(OR($A19="",AP$8=""),"",IF($F19="Migré","ROKS",IF($F19="À décommissionner",IF(AP$8&lt;$AS19,"IKS","Décom."),IF(OR($AQ19="",$AS19=""),"",IF(AP$8&lt;$AQ19,"IKS",IF(AP$8&lt;$AS19,IF(AP$8=$AR19,"Bascule","Double run"),"ROKS"))))))</f>
        <v>Décom.</v>
      </c>
      <c r="AQ19" s="0" t="str">
        <f aca="false">IF($A19="","",INDEX(TblApplications[Mois prov (calc)],$A19))</f>
        <v/>
      </c>
      <c r="AR19" s="53" t="n">
        <f aca="false">IF($A19="","",IFERROR(DATE(YEAR(INDEX(TblApplications[Mois bascule],$A19)),MONTH(INDEX(TblApplications[Mois bascule],$A19)),1),""))</f>
        <v>-29</v>
      </c>
      <c r="AS19" s="52" t="n">
        <f aca="false">IF($A19="","",INDEX(TblApplications[Mois lib (calc)],$A19))</f>
        <v>46539</v>
      </c>
    </row>
    <row r="20" customFormat="false" ht="15" hidden="false" customHeight="false" outlineLevel="0" collapsed="false">
      <c r="A20" s="49" t="n">
        <f aca="false">IFERROR(MATCH(12,TblApplications[Rang frise],0),"")</f>
        <v>12</v>
      </c>
      <c r="B20" s="50" t="str">
        <f aca="false">IF($A20="","",INDEX(TblApplications[ID],$A20))</f>
        <v>APP-05</v>
      </c>
      <c r="C20" s="50" t="str">
        <f aca="false">IF($A20="","",INDEX(TblApplications[Application],$A20))</f>
        <v>Batch éditique (démo)</v>
      </c>
      <c r="D20" s="50" t="str">
        <f aca="false">IF($A20="","",INDEX(TblApplications[Environnement],$A20))</f>
        <v>PRD</v>
      </c>
      <c r="E20" s="50" t="str">
        <f aca="false">IF($A20="","",INDEX(TblApplications[Couloir],$A20))</f>
        <v>PRD</v>
      </c>
      <c r="F20" s="50" t="str">
        <f aca="false">IF($A20="","",INDEX(TblApplications[Action],$A20))</f>
        <v>Migré</v>
      </c>
      <c r="G20" s="51" t="str">
        <f aca="false">IF(OR($A20="",G$8=""),"",IF($F20="Migré","ROKS",IF($F20="À décommissionner",IF(G$8&lt;$AS20,"IKS","Décom."),IF(OR($AQ20="",$AS20=""),"",IF(G$8&lt;$AQ20,"IKS",IF(G$8&lt;$AS20,IF(G$8=$AR20,"Bascule","Double run"),"ROKS"))))))</f>
        <v>ROKS</v>
      </c>
      <c r="H20" s="51" t="str">
        <f aca="false">IF(OR($A20="",H$8=""),"",IF($F20="Migré","ROKS",IF($F20="À décommissionner",IF(H$8&lt;$AS20,"IKS","Décom."),IF(OR($AQ20="",$AS20=""),"",IF(H$8&lt;$AQ20,"IKS",IF(H$8&lt;$AS20,IF(H$8=$AR20,"Bascule","Double run"),"ROKS"))))))</f>
        <v>ROKS</v>
      </c>
      <c r="I20" s="51" t="str">
        <f aca="false">IF(OR($A20="",I$8=""),"",IF($F20="Migré","ROKS",IF($F20="À décommissionner",IF(I$8&lt;$AS20,"IKS","Décom."),IF(OR($AQ20="",$AS20=""),"",IF(I$8&lt;$AQ20,"IKS",IF(I$8&lt;$AS20,IF(I$8=$AR20,"Bascule","Double run"),"ROKS"))))))</f>
        <v>ROKS</v>
      </c>
      <c r="J20" s="51" t="str">
        <f aca="false">IF(OR($A20="",J$8=""),"",IF($F20="Migré","ROKS",IF($F20="À décommissionner",IF(J$8&lt;$AS20,"IKS","Décom."),IF(OR($AQ20="",$AS20=""),"",IF(J$8&lt;$AQ20,"IKS",IF(J$8&lt;$AS20,IF(J$8=$AR20,"Bascule","Double run"),"ROKS"))))))</f>
        <v>ROKS</v>
      </c>
      <c r="K20" s="51" t="str">
        <f aca="false">IF(OR($A20="",K$8=""),"",IF($F20="Migré","ROKS",IF($F20="À décommissionner",IF(K$8&lt;$AS20,"IKS","Décom."),IF(OR($AQ20="",$AS20=""),"",IF(K$8&lt;$AQ20,"IKS",IF(K$8&lt;$AS20,IF(K$8=$AR20,"Bascule","Double run"),"ROKS"))))))</f>
        <v>ROKS</v>
      </c>
      <c r="L20" s="51" t="str">
        <f aca="false">IF(OR($A20="",L$8=""),"",IF($F20="Migré","ROKS",IF($F20="À décommissionner",IF(L$8&lt;$AS20,"IKS","Décom."),IF(OR($AQ20="",$AS20=""),"",IF(L$8&lt;$AQ20,"IKS",IF(L$8&lt;$AS20,IF(L$8=$AR20,"Bascule","Double run"),"ROKS"))))))</f>
        <v>ROKS</v>
      </c>
      <c r="M20" s="51" t="str">
        <f aca="false">IF(OR($A20="",M$8=""),"",IF($F20="Migré","ROKS",IF($F20="À décommissionner",IF(M$8&lt;$AS20,"IKS","Décom."),IF(OR($AQ20="",$AS20=""),"",IF(M$8&lt;$AQ20,"IKS",IF(M$8&lt;$AS20,IF(M$8=$AR20,"Bascule","Double run"),"ROKS"))))))</f>
        <v>ROKS</v>
      </c>
      <c r="N20" s="51" t="str">
        <f aca="false">IF(OR($A20="",N$8=""),"",IF($F20="Migré","ROKS",IF($F20="À décommissionner",IF(N$8&lt;$AS20,"IKS","Décom."),IF(OR($AQ20="",$AS20=""),"",IF(N$8&lt;$AQ20,"IKS",IF(N$8&lt;$AS20,IF(N$8=$AR20,"Bascule","Double run"),"ROKS"))))))</f>
        <v>ROKS</v>
      </c>
      <c r="O20" s="51" t="str">
        <f aca="false">IF(OR($A20="",O$8=""),"",IF($F20="Migré","ROKS",IF($F20="À décommissionner",IF(O$8&lt;$AS20,"IKS","Décom."),IF(OR($AQ20="",$AS20=""),"",IF(O$8&lt;$AQ20,"IKS",IF(O$8&lt;$AS20,IF(O$8=$AR20,"Bascule","Double run"),"ROKS"))))))</f>
        <v>ROKS</v>
      </c>
      <c r="P20" s="51" t="str">
        <f aca="false">IF(OR($A20="",P$8=""),"",IF($F20="Migré","ROKS",IF($F20="À décommissionner",IF(P$8&lt;$AS20,"IKS","Décom."),IF(OR($AQ20="",$AS20=""),"",IF(P$8&lt;$AQ20,"IKS",IF(P$8&lt;$AS20,IF(P$8=$AR20,"Bascule","Double run"),"ROKS"))))))</f>
        <v>ROKS</v>
      </c>
      <c r="Q20" s="51" t="str">
        <f aca="false">IF(OR($A20="",Q$8=""),"",IF($F20="Migré","ROKS",IF($F20="À décommissionner",IF(Q$8&lt;$AS20,"IKS","Décom."),IF(OR($AQ20="",$AS20=""),"",IF(Q$8&lt;$AQ20,"IKS",IF(Q$8&lt;$AS20,IF(Q$8=$AR20,"Bascule","Double run"),"ROKS"))))))</f>
        <v>ROKS</v>
      </c>
      <c r="R20" s="51" t="str">
        <f aca="false">IF(OR($A20="",R$8=""),"",IF($F20="Migré","ROKS",IF($F20="À décommissionner",IF(R$8&lt;$AS20,"IKS","Décom."),IF(OR($AQ20="",$AS20=""),"",IF(R$8&lt;$AQ20,"IKS",IF(R$8&lt;$AS20,IF(R$8=$AR20,"Bascule","Double run"),"ROKS"))))))</f>
        <v>ROKS</v>
      </c>
      <c r="S20" s="51" t="str">
        <f aca="false">IF(OR($A20="",S$8=""),"",IF($F20="Migré","ROKS",IF($F20="À décommissionner",IF(S$8&lt;$AS20,"IKS","Décom."),IF(OR($AQ20="",$AS20=""),"",IF(S$8&lt;$AQ20,"IKS",IF(S$8&lt;$AS20,IF(S$8=$AR20,"Bascule","Double run"),"ROKS"))))))</f>
        <v>ROKS</v>
      </c>
      <c r="T20" s="51" t="str">
        <f aca="false">IF(OR($A20="",T$8=""),"",IF($F20="Migré","ROKS",IF($F20="À décommissionner",IF(T$8&lt;$AS20,"IKS","Décom."),IF(OR($AQ20="",$AS20=""),"",IF(T$8&lt;$AQ20,"IKS",IF(T$8&lt;$AS20,IF(T$8=$AR20,"Bascule","Double run"),"ROKS"))))))</f>
        <v>ROKS</v>
      </c>
      <c r="U20" s="51" t="str">
        <f aca="false">IF(OR($A20="",U$8=""),"",IF($F20="Migré","ROKS",IF($F20="À décommissionner",IF(U$8&lt;$AS20,"IKS","Décom."),IF(OR($AQ20="",$AS20=""),"",IF(U$8&lt;$AQ20,"IKS",IF(U$8&lt;$AS20,IF(U$8=$AR20,"Bascule","Double run"),"ROKS"))))))</f>
        <v>ROKS</v>
      </c>
      <c r="V20" s="51" t="str">
        <f aca="false">IF(OR($A20="",V$8=""),"",IF($F20="Migré","ROKS",IF($F20="À décommissionner",IF(V$8&lt;$AS20,"IKS","Décom."),IF(OR($AQ20="",$AS20=""),"",IF(V$8&lt;$AQ20,"IKS",IF(V$8&lt;$AS20,IF(V$8=$AR20,"Bascule","Double run"),"ROKS"))))))</f>
        <v>ROKS</v>
      </c>
      <c r="W20" s="51" t="str">
        <f aca="false">IF(OR($A20="",W$8=""),"",IF($F20="Migré","ROKS",IF($F20="À décommissionner",IF(W$8&lt;$AS20,"IKS","Décom."),IF(OR($AQ20="",$AS20=""),"",IF(W$8&lt;$AQ20,"IKS",IF(W$8&lt;$AS20,IF(W$8=$AR20,"Bascule","Double run"),"ROKS"))))))</f>
        <v>ROKS</v>
      </c>
      <c r="X20" s="51" t="str">
        <f aca="false">IF(OR($A20="",X$8=""),"",IF($F20="Migré","ROKS",IF($F20="À décommissionner",IF(X$8&lt;$AS20,"IKS","Décom."),IF(OR($AQ20="",$AS20=""),"",IF(X$8&lt;$AQ20,"IKS",IF(X$8&lt;$AS20,IF(X$8=$AR20,"Bascule","Double run"),"ROKS"))))))</f>
        <v>ROKS</v>
      </c>
      <c r="Y20" s="51" t="str">
        <f aca="false">IF(OR($A20="",Y$8=""),"",IF($F20="Migré","ROKS",IF($F20="À décommissionner",IF(Y$8&lt;$AS20,"IKS","Décom."),IF(OR($AQ20="",$AS20=""),"",IF(Y$8&lt;$AQ20,"IKS",IF(Y$8&lt;$AS20,IF(Y$8=$AR20,"Bascule","Double run"),"ROKS"))))))</f>
        <v>ROKS</v>
      </c>
      <c r="Z20" s="51" t="str">
        <f aca="false">IF(OR($A20="",Z$8=""),"",IF($F20="Migré","ROKS",IF($F20="À décommissionner",IF(Z$8&lt;$AS20,"IKS","Décom."),IF(OR($AQ20="",$AS20=""),"",IF(Z$8&lt;$AQ20,"IKS",IF(Z$8&lt;$AS20,IF(Z$8=$AR20,"Bascule","Double run"),"ROKS"))))))</f>
        <v>ROKS</v>
      </c>
      <c r="AA20" s="51" t="str">
        <f aca="false">IF(OR($A20="",AA$8=""),"",IF($F20="Migré","ROKS",IF($F20="À décommissionner",IF(AA$8&lt;$AS20,"IKS","Décom."),IF(OR($AQ20="",$AS20=""),"",IF(AA$8&lt;$AQ20,"IKS",IF(AA$8&lt;$AS20,IF(AA$8=$AR20,"Bascule","Double run"),"ROKS"))))))</f>
        <v>ROKS</v>
      </c>
      <c r="AB20" s="51" t="str">
        <f aca="false">IF(OR($A20="",AB$8=""),"",IF($F20="Migré","ROKS",IF($F20="À décommissionner",IF(AB$8&lt;$AS20,"IKS","Décom."),IF(OR($AQ20="",$AS20=""),"",IF(AB$8&lt;$AQ20,"IKS",IF(AB$8&lt;$AS20,IF(AB$8=$AR20,"Bascule","Double run"),"ROKS"))))))</f>
        <v>ROKS</v>
      </c>
      <c r="AC20" s="51" t="str">
        <f aca="false">IF(OR($A20="",AC$8=""),"",IF($F20="Migré","ROKS",IF($F20="À décommissionner",IF(AC$8&lt;$AS20,"IKS","Décom."),IF(OR($AQ20="",$AS20=""),"",IF(AC$8&lt;$AQ20,"IKS",IF(AC$8&lt;$AS20,IF(AC$8=$AR20,"Bascule","Double run"),"ROKS"))))))</f>
        <v>ROKS</v>
      </c>
      <c r="AD20" s="51" t="str">
        <f aca="false">IF(OR($A20="",AD$8=""),"",IF($F20="Migré","ROKS",IF($F20="À décommissionner",IF(AD$8&lt;$AS20,"IKS","Décom."),IF(OR($AQ20="",$AS20=""),"",IF(AD$8&lt;$AQ20,"IKS",IF(AD$8&lt;$AS20,IF(AD$8=$AR20,"Bascule","Double run"),"ROKS"))))))</f>
        <v>ROKS</v>
      </c>
      <c r="AE20" s="51" t="str">
        <f aca="false">IF(OR($A20="",AE$8=""),"",IF($F20="Migré","ROKS",IF($F20="À décommissionner",IF(AE$8&lt;$AS20,"IKS","Décom."),IF(OR($AQ20="",$AS20=""),"",IF(AE$8&lt;$AQ20,"IKS",IF(AE$8&lt;$AS20,IF(AE$8=$AR20,"Bascule","Double run"),"ROKS"))))))</f>
        <v>ROKS</v>
      </c>
      <c r="AF20" s="51" t="str">
        <f aca="false">IF(OR($A20="",AF$8=""),"",IF($F20="Migré","ROKS",IF($F20="À décommissionner",IF(AF$8&lt;$AS20,"IKS","Décom."),IF(OR($AQ20="",$AS20=""),"",IF(AF$8&lt;$AQ20,"IKS",IF(AF$8&lt;$AS20,IF(AF$8=$AR20,"Bascule","Double run"),"ROKS"))))))</f>
        <v>ROKS</v>
      </c>
      <c r="AG20" s="51" t="str">
        <f aca="false">IF(OR($A20="",AG$8=""),"",IF($F20="Migré","ROKS",IF($F20="À décommissionner",IF(AG$8&lt;$AS20,"IKS","Décom."),IF(OR($AQ20="",$AS20=""),"",IF(AG$8&lt;$AQ20,"IKS",IF(AG$8&lt;$AS20,IF(AG$8=$AR20,"Bascule","Double run"),"ROKS"))))))</f>
        <v>ROKS</v>
      </c>
      <c r="AH20" s="51" t="str">
        <f aca="false">IF(OR($A20="",AH$8=""),"",IF($F20="Migré","ROKS",IF($F20="À décommissionner",IF(AH$8&lt;$AS20,"IKS","Décom."),IF(OR($AQ20="",$AS20=""),"",IF(AH$8&lt;$AQ20,"IKS",IF(AH$8&lt;$AS20,IF(AH$8=$AR20,"Bascule","Double run"),"ROKS"))))))</f>
        <v>ROKS</v>
      </c>
      <c r="AI20" s="51" t="str">
        <f aca="false">IF(OR($A20="",AI$8=""),"",IF($F20="Migré","ROKS",IF($F20="À décommissionner",IF(AI$8&lt;$AS20,"IKS","Décom."),IF(OR($AQ20="",$AS20=""),"",IF(AI$8&lt;$AQ20,"IKS",IF(AI$8&lt;$AS20,IF(AI$8=$AR20,"Bascule","Double run"),"ROKS"))))))</f>
        <v>ROKS</v>
      </c>
      <c r="AJ20" s="51" t="str">
        <f aca="false">IF(OR($A20="",AJ$8=""),"",IF($F20="Migré","ROKS",IF($F20="À décommissionner",IF(AJ$8&lt;$AS20,"IKS","Décom."),IF(OR($AQ20="",$AS20=""),"",IF(AJ$8&lt;$AQ20,"IKS",IF(AJ$8&lt;$AS20,IF(AJ$8=$AR20,"Bascule","Double run"),"ROKS"))))))</f>
        <v>ROKS</v>
      </c>
      <c r="AK20" s="51" t="str">
        <f aca="false">IF(OR($A20="",AK$8=""),"",IF($F20="Migré","ROKS",IF($F20="À décommissionner",IF(AK$8&lt;$AS20,"IKS","Décom."),IF(OR($AQ20="",$AS20=""),"",IF(AK$8&lt;$AQ20,"IKS",IF(AK$8&lt;$AS20,IF(AK$8=$AR20,"Bascule","Double run"),"ROKS"))))))</f>
        <v>ROKS</v>
      </c>
      <c r="AL20" s="51" t="str">
        <f aca="false">IF(OR($A20="",AL$8=""),"",IF($F20="Migré","ROKS",IF($F20="À décommissionner",IF(AL$8&lt;$AS20,"IKS","Décom."),IF(OR($AQ20="",$AS20=""),"",IF(AL$8&lt;$AQ20,"IKS",IF(AL$8&lt;$AS20,IF(AL$8=$AR20,"Bascule","Double run"),"ROKS"))))))</f>
        <v>ROKS</v>
      </c>
      <c r="AM20" s="51" t="str">
        <f aca="false">IF(OR($A20="",AM$8=""),"",IF($F20="Migré","ROKS",IF($F20="À décommissionner",IF(AM$8&lt;$AS20,"IKS","Décom."),IF(OR($AQ20="",$AS20=""),"",IF(AM$8&lt;$AQ20,"IKS",IF(AM$8&lt;$AS20,IF(AM$8=$AR20,"Bascule","Double run"),"ROKS"))))))</f>
        <v>ROKS</v>
      </c>
      <c r="AN20" s="51" t="str">
        <f aca="false">IF(OR($A20="",AN$8=""),"",IF($F20="Migré","ROKS",IF($F20="À décommissionner",IF(AN$8&lt;$AS20,"IKS","Décom."),IF(OR($AQ20="",$AS20=""),"",IF(AN$8&lt;$AQ20,"IKS",IF(AN$8&lt;$AS20,IF(AN$8=$AR20,"Bascule","Double run"),"ROKS"))))))</f>
        <v>ROKS</v>
      </c>
      <c r="AO20" s="51" t="str">
        <f aca="false">IF(OR($A20="",AO$8=""),"",IF($F20="Migré","ROKS",IF($F20="À décommissionner",IF(AO$8&lt;$AS20,"IKS","Décom."),IF(OR($AQ20="",$AS20=""),"",IF(AO$8&lt;$AQ20,"IKS",IF(AO$8&lt;$AS20,IF(AO$8=$AR20,"Bascule","Double run"),"ROKS"))))))</f>
        <v>ROKS</v>
      </c>
      <c r="AP20" s="51" t="str">
        <f aca="false">IF(OR($A20="",AP$8=""),"",IF($F20="Migré","ROKS",IF($F20="À décommissionner",IF(AP$8&lt;$AS20,"IKS","Décom."),IF(OR($AQ20="",$AS20=""),"",IF(AP$8&lt;$AQ20,"IKS",IF(AP$8&lt;$AS20,IF(AP$8=$AR20,"Bascule","Double run"),"ROKS"))))))</f>
        <v>ROKS</v>
      </c>
      <c r="AQ20" s="0" t="str">
        <f aca="false">IF($A20="","",INDEX(TblApplications[Mois prov (calc)],$A20))</f>
        <v/>
      </c>
      <c r="AR20" s="53" t="n">
        <f aca="false">IF($A20="","",IFERROR(DATE(YEAR(INDEX(TblApplications[Mois bascule],$A20)),MONTH(INDEX(TblApplications[Mois bascule],$A20)),1),""))</f>
        <v>-29</v>
      </c>
      <c r="AS20" s="0" t="str">
        <f aca="false">IF($A20="","",INDEX(TblApplications[Mois lib (calc)],$A20))</f>
        <v/>
      </c>
    </row>
    <row r="21" customFormat="false" ht="15" hidden="false" customHeight="false" outlineLevel="0" collapsed="false">
      <c r="A21" s="49" t="str">
        <f aca="false">IFERROR(MATCH(13,TblApplications[Rang frise],0),"")</f>
        <v/>
      </c>
      <c r="B21" s="50" t="str">
        <f aca="false">IF($A21="","",INDEX(TblApplications[ID],$A21))</f>
        <v/>
      </c>
      <c r="C21" s="50" t="str">
        <f aca="false">IF($A21="","",INDEX(TblApplications[Application],$A21))</f>
        <v/>
      </c>
      <c r="D21" s="50" t="str">
        <f aca="false">IF($A21="","",INDEX(TblApplications[Environnement],$A21))</f>
        <v/>
      </c>
      <c r="E21" s="50" t="str">
        <f aca="false">IF($A21="","",INDEX(TblApplications[Couloir],$A21))</f>
        <v/>
      </c>
      <c r="F21" s="50" t="str">
        <f aca="false">IF($A21="","",INDEX(TblApplications[Action],$A21))</f>
        <v/>
      </c>
      <c r="G21" s="51" t="str">
        <f aca="false">IF(OR($A21="",G$8=""),"",IF($F21="Migré","ROKS",IF($F21="À décommissionner",IF(G$8&lt;$AS21,"IKS","Décom."),IF(OR($AQ21="",$AS21=""),"",IF(G$8&lt;$AQ21,"IKS",IF(G$8&lt;$AS21,IF(G$8=$AR21,"Bascule","Double run"),"ROKS"))))))</f>
        <v/>
      </c>
      <c r="H21" s="51" t="str">
        <f aca="false">IF(OR($A21="",H$8=""),"",IF($F21="Migré","ROKS",IF($F21="À décommissionner",IF(H$8&lt;$AS21,"IKS","Décom."),IF(OR($AQ21="",$AS21=""),"",IF(H$8&lt;$AQ21,"IKS",IF(H$8&lt;$AS21,IF(H$8=$AR21,"Bascule","Double run"),"ROKS"))))))</f>
        <v/>
      </c>
      <c r="I21" s="51" t="str">
        <f aca="false">IF(OR($A21="",I$8=""),"",IF($F21="Migré","ROKS",IF($F21="À décommissionner",IF(I$8&lt;$AS21,"IKS","Décom."),IF(OR($AQ21="",$AS21=""),"",IF(I$8&lt;$AQ21,"IKS",IF(I$8&lt;$AS21,IF(I$8=$AR21,"Bascule","Double run"),"ROKS"))))))</f>
        <v/>
      </c>
      <c r="J21" s="51" t="str">
        <f aca="false">IF(OR($A21="",J$8=""),"",IF($F21="Migré","ROKS",IF($F21="À décommissionner",IF(J$8&lt;$AS21,"IKS","Décom."),IF(OR($AQ21="",$AS21=""),"",IF(J$8&lt;$AQ21,"IKS",IF(J$8&lt;$AS21,IF(J$8=$AR21,"Bascule","Double run"),"ROKS"))))))</f>
        <v/>
      </c>
      <c r="K21" s="51" t="str">
        <f aca="false">IF(OR($A21="",K$8=""),"",IF($F21="Migré","ROKS",IF($F21="À décommissionner",IF(K$8&lt;$AS21,"IKS","Décom."),IF(OR($AQ21="",$AS21=""),"",IF(K$8&lt;$AQ21,"IKS",IF(K$8&lt;$AS21,IF(K$8=$AR21,"Bascule","Double run"),"ROKS"))))))</f>
        <v/>
      </c>
      <c r="L21" s="51" t="str">
        <f aca="false">IF(OR($A21="",L$8=""),"",IF($F21="Migré","ROKS",IF($F21="À décommissionner",IF(L$8&lt;$AS21,"IKS","Décom."),IF(OR($AQ21="",$AS21=""),"",IF(L$8&lt;$AQ21,"IKS",IF(L$8&lt;$AS21,IF(L$8=$AR21,"Bascule","Double run"),"ROKS"))))))</f>
        <v/>
      </c>
      <c r="M21" s="51" t="str">
        <f aca="false">IF(OR($A21="",M$8=""),"",IF($F21="Migré","ROKS",IF($F21="À décommissionner",IF(M$8&lt;$AS21,"IKS","Décom."),IF(OR($AQ21="",$AS21=""),"",IF(M$8&lt;$AQ21,"IKS",IF(M$8&lt;$AS21,IF(M$8=$AR21,"Bascule","Double run"),"ROKS"))))))</f>
        <v/>
      </c>
      <c r="N21" s="51" t="str">
        <f aca="false">IF(OR($A21="",N$8=""),"",IF($F21="Migré","ROKS",IF($F21="À décommissionner",IF(N$8&lt;$AS21,"IKS","Décom."),IF(OR($AQ21="",$AS21=""),"",IF(N$8&lt;$AQ21,"IKS",IF(N$8&lt;$AS21,IF(N$8=$AR21,"Bascule","Double run"),"ROKS"))))))</f>
        <v/>
      </c>
      <c r="O21" s="51" t="str">
        <f aca="false">IF(OR($A21="",O$8=""),"",IF($F21="Migré","ROKS",IF($F21="À décommissionner",IF(O$8&lt;$AS21,"IKS","Décom."),IF(OR($AQ21="",$AS21=""),"",IF(O$8&lt;$AQ21,"IKS",IF(O$8&lt;$AS21,IF(O$8=$AR21,"Bascule","Double run"),"ROKS"))))))</f>
        <v/>
      </c>
      <c r="P21" s="51" t="str">
        <f aca="false">IF(OR($A21="",P$8=""),"",IF($F21="Migré","ROKS",IF($F21="À décommissionner",IF(P$8&lt;$AS21,"IKS","Décom."),IF(OR($AQ21="",$AS21=""),"",IF(P$8&lt;$AQ21,"IKS",IF(P$8&lt;$AS21,IF(P$8=$AR21,"Bascule","Double run"),"ROKS"))))))</f>
        <v/>
      </c>
      <c r="Q21" s="51" t="str">
        <f aca="false">IF(OR($A21="",Q$8=""),"",IF($F21="Migré","ROKS",IF($F21="À décommissionner",IF(Q$8&lt;$AS21,"IKS","Décom."),IF(OR($AQ21="",$AS21=""),"",IF(Q$8&lt;$AQ21,"IKS",IF(Q$8&lt;$AS21,IF(Q$8=$AR21,"Bascule","Double run"),"ROKS"))))))</f>
        <v/>
      </c>
      <c r="R21" s="51" t="str">
        <f aca="false">IF(OR($A21="",R$8=""),"",IF($F21="Migré","ROKS",IF($F21="À décommissionner",IF(R$8&lt;$AS21,"IKS","Décom."),IF(OR($AQ21="",$AS21=""),"",IF(R$8&lt;$AQ21,"IKS",IF(R$8&lt;$AS21,IF(R$8=$AR21,"Bascule","Double run"),"ROKS"))))))</f>
        <v/>
      </c>
      <c r="S21" s="51" t="str">
        <f aca="false">IF(OR($A21="",S$8=""),"",IF($F21="Migré","ROKS",IF($F21="À décommissionner",IF(S$8&lt;$AS21,"IKS","Décom."),IF(OR($AQ21="",$AS21=""),"",IF(S$8&lt;$AQ21,"IKS",IF(S$8&lt;$AS21,IF(S$8=$AR21,"Bascule","Double run"),"ROKS"))))))</f>
        <v/>
      </c>
      <c r="T21" s="51" t="str">
        <f aca="false">IF(OR($A21="",T$8=""),"",IF($F21="Migré","ROKS",IF($F21="À décommissionner",IF(T$8&lt;$AS21,"IKS","Décom."),IF(OR($AQ21="",$AS21=""),"",IF(T$8&lt;$AQ21,"IKS",IF(T$8&lt;$AS21,IF(T$8=$AR21,"Bascule","Double run"),"ROKS"))))))</f>
        <v/>
      </c>
      <c r="U21" s="51" t="str">
        <f aca="false">IF(OR($A21="",U$8=""),"",IF($F21="Migré","ROKS",IF($F21="À décommissionner",IF(U$8&lt;$AS21,"IKS","Décom."),IF(OR($AQ21="",$AS21=""),"",IF(U$8&lt;$AQ21,"IKS",IF(U$8&lt;$AS21,IF(U$8=$AR21,"Bascule","Double run"),"ROKS"))))))</f>
        <v/>
      </c>
      <c r="V21" s="51" t="str">
        <f aca="false">IF(OR($A21="",V$8=""),"",IF($F21="Migré","ROKS",IF($F21="À décommissionner",IF(V$8&lt;$AS21,"IKS","Décom."),IF(OR($AQ21="",$AS21=""),"",IF(V$8&lt;$AQ21,"IKS",IF(V$8&lt;$AS21,IF(V$8=$AR21,"Bascule","Double run"),"ROKS"))))))</f>
        <v/>
      </c>
      <c r="W21" s="51" t="str">
        <f aca="false">IF(OR($A21="",W$8=""),"",IF($F21="Migré","ROKS",IF($F21="À décommissionner",IF(W$8&lt;$AS21,"IKS","Décom."),IF(OR($AQ21="",$AS21=""),"",IF(W$8&lt;$AQ21,"IKS",IF(W$8&lt;$AS21,IF(W$8=$AR21,"Bascule","Double run"),"ROKS"))))))</f>
        <v/>
      </c>
      <c r="X21" s="51" t="str">
        <f aca="false">IF(OR($A21="",X$8=""),"",IF($F21="Migré","ROKS",IF($F21="À décommissionner",IF(X$8&lt;$AS21,"IKS","Décom."),IF(OR($AQ21="",$AS21=""),"",IF(X$8&lt;$AQ21,"IKS",IF(X$8&lt;$AS21,IF(X$8=$AR21,"Bascule","Double run"),"ROKS"))))))</f>
        <v/>
      </c>
      <c r="Y21" s="51" t="str">
        <f aca="false">IF(OR($A21="",Y$8=""),"",IF($F21="Migré","ROKS",IF($F21="À décommissionner",IF(Y$8&lt;$AS21,"IKS","Décom."),IF(OR($AQ21="",$AS21=""),"",IF(Y$8&lt;$AQ21,"IKS",IF(Y$8&lt;$AS21,IF(Y$8=$AR21,"Bascule","Double run"),"ROKS"))))))</f>
        <v/>
      </c>
      <c r="Z21" s="51" t="str">
        <f aca="false">IF(OR($A21="",Z$8=""),"",IF($F21="Migré","ROKS",IF($F21="À décommissionner",IF(Z$8&lt;$AS21,"IKS","Décom."),IF(OR($AQ21="",$AS21=""),"",IF(Z$8&lt;$AQ21,"IKS",IF(Z$8&lt;$AS21,IF(Z$8=$AR21,"Bascule","Double run"),"ROKS"))))))</f>
        <v/>
      </c>
      <c r="AA21" s="51" t="str">
        <f aca="false">IF(OR($A21="",AA$8=""),"",IF($F21="Migré","ROKS",IF($F21="À décommissionner",IF(AA$8&lt;$AS21,"IKS","Décom."),IF(OR($AQ21="",$AS21=""),"",IF(AA$8&lt;$AQ21,"IKS",IF(AA$8&lt;$AS21,IF(AA$8=$AR21,"Bascule","Double run"),"ROKS"))))))</f>
        <v/>
      </c>
      <c r="AB21" s="51" t="str">
        <f aca="false">IF(OR($A21="",AB$8=""),"",IF($F21="Migré","ROKS",IF($F21="À décommissionner",IF(AB$8&lt;$AS21,"IKS","Décom."),IF(OR($AQ21="",$AS21=""),"",IF(AB$8&lt;$AQ21,"IKS",IF(AB$8&lt;$AS21,IF(AB$8=$AR21,"Bascule","Double run"),"ROKS"))))))</f>
        <v/>
      </c>
      <c r="AC21" s="51" t="str">
        <f aca="false">IF(OR($A21="",AC$8=""),"",IF($F21="Migré","ROKS",IF($F21="À décommissionner",IF(AC$8&lt;$AS21,"IKS","Décom."),IF(OR($AQ21="",$AS21=""),"",IF(AC$8&lt;$AQ21,"IKS",IF(AC$8&lt;$AS21,IF(AC$8=$AR21,"Bascule","Double run"),"ROKS"))))))</f>
        <v/>
      </c>
      <c r="AD21" s="51" t="str">
        <f aca="false">IF(OR($A21="",AD$8=""),"",IF($F21="Migré","ROKS",IF($F21="À décommissionner",IF(AD$8&lt;$AS21,"IKS","Décom."),IF(OR($AQ21="",$AS21=""),"",IF(AD$8&lt;$AQ21,"IKS",IF(AD$8&lt;$AS21,IF(AD$8=$AR21,"Bascule","Double run"),"ROKS"))))))</f>
        <v/>
      </c>
      <c r="AE21" s="51" t="str">
        <f aca="false">IF(OR($A21="",AE$8=""),"",IF($F21="Migré","ROKS",IF($F21="À décommissionner",IF(AE$8&lt;$AS21,"IKS","Décom."),IF(OR($AQ21="",$AS21=""),"",IF(AE$8&lt;$AQ21,"IKS",IF(AE$8&lt;$AS21,IF(AE$8=$AR21,"Bascule","Double run"),"ROKS"))))))</f>
        <v/>
      </c>
      <c r="AF21" s="51" t="str">
        <f aca="false">IF(OR($A21="",AF$8=""),"",IF($F21="Migré","ROKS",IF($F21="À décommissionner",IF(AF$8&lt;$AS21,"IKS","Décom."),IF(OR($AQ21="",$AS21=""),"",IF(AF$8&lt;$AQ21,"IKS",IF(AF$8&lt;$AS21,IF(AF$8=$AR21,"Bascule","Double run"),"ROKS"))))))</f>
        <v/>
      </c>
      <c r="AG21" s="51" t="str">
        <f aca="false">IF(OR($A21="",AG$8=""),"",IF($F21="Migré","ROKS",IF($F21="À décommissionner",IF(AG$8&lt;$AS21,"IKS","Décom."),IF(OR($AQ21="",$AS21=""),"",IF(AG$8&lt;$AQ21,"IKS",IF(AG$8&lt;$AS21,IF(AG$8=$AR21,"Bascule","Double run"),"ROKS"))))))</f>
        <v/>
      </c>
      <c r="AH21" s="51" t="str">
        <f aca="false">IF(OR($A21="",AH$8=""),"",IF($F21="Migré","ROKS",IF($F21="À décommissionner",IF(AH$8&lt;$AS21,"IKS","Décom."),IF(OR($AQ21="",$AS21=""),"",IF(AH$8&lt;$AQ21,"IKS",IF(AH$8&lt;$AS21,IF(AH$8=$AR21,"Bascule","Double run"),"ROKS"))))))</f>
        <v/>
      </c>
      <c r="AI21" s="51" t="str">
        <f aca="false">IF(OR($A21="",AI$8=""),"",IF($F21="Migré","ROKS",IF($F21="À décommissionner",IF(AI$8&lt;$AS21,"IKS","Décom."),IF(OR($AQ21="",$AS21=""),"",IF(AI$8&lt;$AQ21,"IKS",IF(AI$8&lt;$AS21,IF(AI$8=$AR21,"Bascule","Double run"),"ROKS"))))))</f>
        <v/>
      </c>
      <c r="AJ21" s="51" t="str">
        <f aca="false">IF(OR($A21="",AJ$8=""),"",IF($F21="Migré","ROKS",IF($F21="À décommissionner",IF(AJ$8&lt;$AS21,"IKS","Décom."),IF(OR($AQ21="",$AS21=""),"",IF(AJ$8&lt;$AQ21,"IKS",IF(AJ$8&lt;$AS21,IF(AJ$8=$AR21,"Bascule","Double run"),"ROKS"))))))</f>
        <v/>
      </c>
      <c r="AK21" s="51" t="str">
        <f aca="false">IF(OR($A21="",AK$8=""),"",IF($F21="Migré","ROKS",IF($F21="À décommissionner",IF(AK$8&lt;$AS21,"IKS","Décom."),IF(OR($AQ21="",$AS21=""),"",IF(AK$8&lt;$AQ21,"IKS",IF(AK$8&lt;$AS21,IF(AK$8=$AR21,"Bascule","Double run"),"ROKS"))))))</f>
        <v/>
      </c>
      <c r="AL21" s="51" t="str">
        <f aca="false">IF(OR($A21="",AL$8=""),"",IF($F21="Migré","ROKS",IF($F21="À décommissionner",IF(AL$8&lt;$AS21,"IKS","Décom."),IF(OR($AQ21="",$AS21=""),"",IF(AL$8&lt;$AQ21,"IKS",IF(AL$8&lt;$AS21,IF(AL$8=$AR21,"Bascule","Double run"),"ROKS"))))))</f>
        <v/>
      </c>
      <c r="AM21" s="51" t="str">
        <f aca="false">IF(OR($A21="",AM$8=""),"",IF($F21="Migré","ROKS",IF($F21="À décommissionner",IF(AM$8&lt;$AS21,"IKS","Décom."),IF(OR($AQ21="",$AS21=""),"",IF(AM$8&lt;$AQ21,"IKS",IF(AM$8&lt;$AS21,IF(AM$8=$AR21,"Bascule","Double run"),"ROKS"))))))</f>
        <v/>
      </c>
      <c r="AN21" s="51" t="str">
        <f aca="false">IF(OR($A21="",AN$8=""),"",IF($F21="Migré","ROKS",IF($F21="À décommissionner",IF(AN$8&lt;$AS21,"IKS","Décom."),IF(OR($AQ21="",$AS21=""),"",IF(AN$8&lt;$AQ21,"IKS",IF(AN$8&lt;$AS21,IF(AN$8=$AR21,"Bascule","Double run"),"ROKS"))))))</f>
        <v/>
      </c>
      <c r="AO21" s="51" t="str">
        <f aca="false">IF(OR($A21="",AO$8=""),"",IF($F21="Migré","ROKS",IF($F21="À décommissionner",IF(AO$8&lt;$AS21,"IKS","Décom."),IF(OR($AQ21="",$AS21=""),"",IF(AO$8&lt;$AQ21,"IKS",IF(AO$8&lt;$AS21,IF(AO$8=$AR21,"Bascule","Double run"),"ROKS"))))))</f>
        <v/>
      </c>
      <c r="AP21" s="51" t="str">
        <f aca="false">IF(OR($A21="",AP$8=""),"",IF($F21="Migré","ROKS",IF($F21="À décommissionner",IF(AP$8&lt;$AS21,"IKS","Décom."),IF(OR($AQ21="",$AS21=""),"",IF(AP$8&lt;$AQ21,"IKS",IF(AP$8&lt;$AS21,IF(AP$8=$AR21,"Bascule","Double run"),"ROKS"))))))</f>
        <v/>
      </c>
      <c r="AQ21" s="0" t="str">
        <f aca="false">IF($A21="","",INDEX(TblApplications[Mois prov (calc)],$A21))</f>
        <v/>
      </c>
      <c r="AR21" s="0" t="str">
        <f aca="false">IF($A21="","",IFERROR(DATE(YEAR(INDEX(TblApplications[Mois bascule],$A21)),MONTH(INDEX(TblApplications[Mois bascule],$A21)),1),""))</f>
        <v/>
      </c>
      <c r="AS21" s="0" t="str">
        <f aca="false">IF($A21="","",INDEX(TblApplications[Mois lib (calc)],$A21))</f>
        <v/>
      </c>
    </row>
    <row r="22" customFormat="false" ht="15" hidden="false" customHeight="false" outlineLevel="0" collapsed="false">
      <c r="A22" s="49" t="str">
        <f aca="false">IFERROR(MATCH(14,TblApplications[Rang frise],0),"")</f>
        <v/>
      </c>
      <c r="B22" s="50" t="str">
        <f aca="false">IF($A22="","",INDEX(TblApplications[ID],$A22))</f>
        <v/>
      </c>
      <c r="C22" s="50" t="str">
        <f aca="false">IF($A22="","",INDEX(TblApplications[Application],$A22))</f>
        <v/>
      </c>
      <c r="D22" s="50" t="str">
        <f aca="false">IF($A22="","",INDEX(TblApplications[Environnement],$A22))</f>
        <v/>
      </c>
      <c r="E22" s="50" t="str">
        <f aca="false">IF($A22="","",INDEX(TblApplications[Couloir],$A22))</f>
        <v/>
      </c>
      <c r="F22" s="50" t="str">
        <f aca="false">IF($A22="","",INDEX(TblApplications[Action],$A22))</f>
        <v/>
      </c>
      <c r="G22" s="51" t="str">
        <f aca="false">IF(OR($A22="",G$8=""),"",IF($F22="Migré","ROKS",IF($F22="À décommissionner",IF(G$8&lt;$AS22,"IKS","Décom."),IF(OR($AQ22="",$AS22=""),"",IF(G$8&lt;$AQ22,"IKS",IF(G$8&lt;$AS22,IF(G$8=$AR22,"Bascule","Double run"),"ROKS"))))))</f>
        <v/>
      </c>
      <c r="H22" s="51" t="str">
        <f aca="false">IF(OR($A22="",H$8=""),"",IF($F22="Migré","ROKS",IF($F22="À décommissionner",IF(H$8&lt;$AS22,"IKS","Décom."),IF(OR($AQ22="",$AS22=""),"",IF(H$8&lt;$AQ22,"IKS",IF(H$8&lt;$AS22,IF(H$8=$AR22,"Bascule","Double run"),"ROKS"))))))</f>
        <v/>
      </c>
      <c r="I22" s="51" t="str">
        <f aca="false">IF(OR($A22="",I$8=""),"",IF($F22="Migré","ROKS",IF($F22="À décommissionner",IF(I$8&lt;$AS22,"IKS","Décom."),IF(OR($AQ22="",$AS22=""),"",IF(I$8&lt;$AQ22,"IKS",IF(I$8&lt;$AS22,IF(I$8=$AR22,"Bascule","Double run"),"ROKS"))))))</f>
        <v/>
      </c>
      <c r="J22" s="51" t="str">
        <f aca="false">IF(OR($A22="",J$8=""),"",IF($F22="Migré","ROKS",IF($F22="À décommissionner",IF(J$8&lt;$AS22,"IKS","Décom."),IF(OR($AQ22="",$AS22=""),"",IF(J$8&lt;$AQ22,"IKS",IF(J$8&lt;$AS22,IF(J$8=$AR22,"Bascule","Double run"),"ROKS"))))))</f>
        <v/>
      </c>
      <c r="K22" s="51" t="str">
        <f aca="false">IF(OR($A22="",K$8=""),"",IF($F22="Migré","ROKS",IF($F22="À décommissionner",IF(K$8&lt;$AS22,"IKS","Décom."),IF(OR($AQ22="",$AS22=""),"",IF(K$8&lt;$AQ22,"IKS",IF(K$8&lt;$AS22,IF(K$8=$AR22,"Bascule","Double run"),"ROKS"))))))</f>
        <v/>
      </c>
      <c r="L22" s="51" t="str">
        <f aca="false">IF(OR($A22="",L$8=""),"",IF($F22="Migré","ROKS",IF($F22="À décommissionner",IF(L$8&lt;$AS22,"IKS","Décom."),IF(OR($AQ22="",$AS22=""),"",IF(L$8&lt;$AQ22,"IKS",IF(L$8&lt;$AS22,IF(L$8=$AR22,"Bascule","Double run"),"ROKS"))))))</f>
        <v/>
      </c>
      <c r="M22" s="51" t="str">
        <f aca="false">IF(OR($A22="",M$8=""),"",IF($F22="Migré","ROKS",IF($F22="À décommissionner",IF(M$8&lt;$AS22,"IKS","Décom."),IF(OR($AQ22="",$AS22=""),"",IF(M$8&lt;$AQ22,"IKS",IF(M$8&lt;$AS22,IF(M$8=$AR22,"Bascule","Double run"),"ROKS"))))))</f>
        <v/>
      </c>
      <c r="N22" s="51" t="str">
        <f aca="false">IF(OR($A22="",N$8=""),"",IF($F22="Migré","ROKS",IF($F22="À décommissionner",IF(N$8&lt;$AS22,"IKS","Décom."),IF(OR($AQ22="",$AS22=""),"",IF(N$8&lt;$AQ22,"IKS",IF(N$8&lt;$AS22,IF(N$8=$AR22,"Bascule","Double run"),"ROKS"))))))</f>
        <v/>
      </c>
      <c r="O22" s="51" t="str">
        <f aca="false">IF(OR($A22="",O$8=""),"",IF($F22="Migré","ROKS",IF($F22="À décommissionner",IF(O$8&lt;$AS22,"IKS","Décom."),IF(OR($AQ22="",$AS22=""),"",IF(O$8&lt;$AQ22,"IKS",IF(O$8&lt;$AS22,IF(O$8=$AR22,"Bascule","Double run"),"ROKS"))))))</f>
        <v/>
      </c>
      <c r="P22" s="51" t="str">
        <f aca="false">IF(OR($A22="",P$8=""),"",IF($F22="Migré","ROKS",IF($F22="À décommissionner",IF(P$8&lt;$AS22,"IKS","Décom."),IF(OR($AQ22="",$AS22=""),"",IF(P$8&lt;$AQ22,"IKS",IF(P$8&lt;$AS22,IF(P$8=$AR22,"Bascule","Double run"),"ROKS"))))))</f>
        <v/>
      </c>
      <c r="Q22" s="51" t="str">
        <f aca="false">IF(OR($A22="",Q$8=""),"",IF($F22="Migré","ROKS",IF($F22="À décommissionner",IF(Q$8&lt;$AS22,"IKS","Décom."),IF(OR($AQ22="",$AS22=""),"",IF(Q$8&lt;$AQ22,"IKS",IF(Q$8&lt;$AS22,IF(Q$8=$AR22,"Bascule","Double run"),"ROKS"))))))</f>
        <v/>
      </c>
      <c r="R22" s="51" t="str">
        <f aca="false">IF(OR($A22="",R$8=""),"",IF($F22="Migré","ROKS",IF($F22="À décommissionner",IF(R$8&lt;$AS22,"IKS","Décom."),IF(OR($AQ22="",$AS22=""),"",IF(R$8&lt;$AQ22,"IKS",IF(R$8&lt;$AS22,IF(R$8=$AR22,"Bascule","Double run"),"ROKS"))))))</f>
        <v/>
      </c>
      <c r="S22" s="51" t="str">
        <f aca="false">IF(OR($A22="",S$8=""),"",IF($F22="Migré","ROKS",IF($F22="À décommissionner",IF(S$8&lt;$AS22,"IKS","Décom."),IF(OR($AQ22="",$AS22=""),"",IF(S$8&lt;$AQ22,"IKS",IF(S$8&lt;$AS22,IF(S$8=$AR22,"Bascule","Double run"),"ROKS"))))))</f>
        <v/>
      </c>
      <c r="T22" s="51" t="str">
        <f aca="false">IF(OR($A22="",T$8=""),"",IF($F22="Migré","ROKS",IF($F22="À décommissionner",IF(T$8&lt;$AS22,"IKS","Décom."),IF(OR($AQ22="",$AS22=""),"",IF(T$8&lt;$AQ22,"IKS",IF(T$8&lt;$AS22,IF(T$8=$AR22,"Bascule","Double run"),"ROKS"))))))</f>
        <v/>
      </c>
      <c r="U22" s="51" t="str">
        <f aca="false">IF(OR($A22="",U$8=""),"",IF($F22="Migré","ROKS",IF($F22="À décommissionner",IF(U$8&lt;$AS22,"IKS","Décom."),IF(OR($AQ22="",$AS22=""),"",IF(U$8&lt;$AQ22,"IKS",IF(U$8&lt;$AS22,IF(U$8=$AR22,"Bascule","Double run"),"ROKS"))))))</f>
        <v/>
      </c>
      <c r="V22" s="51" t="str">
        <f aca="false">IF(OR($A22="",V$8=""),"",IF($F22="Migré","ROKS",IF($F22="À décommissionner",IF(V$8&lt;$AS22,"IKS","Décom."),IF(OR($AQ22="",$AS22=""),"",IF(V$8&lt;$AQ22,"IKS",IF(V$8&lt;$AS22,IF(V$8=$AR22,"Bascule","Double run"),"ROKS"))))))</f>
        <v/>
      </c>
      <c r="W22" s="51" t="str">
        <f aca="false">IF(OR($A22="",W$8=""),"",IF($F22="Migré","ROKS",IF($F22="À décommissionner",IF(W$8&lt;$AS22,"IKS","Décom."),IF(OR($AQ22="",$AS22=""),"",IF(W$8&lt;$AQ22,"IKS",IF(W$8&lt;$AS22,IF(W$8=$AR22,"Bascule","Double run"),"ROKS"))))))</f>
        <v/>
      </c>
      <c r="X22" s="51" t="str">
        <f aca="false">IF(OR($A22="",X$8=""),"",IF($F22="Migré","ROKS",IF($F22="À décommissionner",IF(X$8&lt;$AS22,"IKS","Décom."),IF(OR($AQ22="",$AS22=""),"",IF(X$8&lt;$AQ22,"IKS",IF(X$8&lt;$AS22,IF(X$8=$AR22,"Bascule","Double run"),"ROKS"))))))</f>
        <v/>
      </c>
      <c r="Y22" s="51" t="str">
        <f aca="false">IF(OR($A22="",Y$8=""),"",IF($F22="Migré","ROKS",IF($F22="À décommissionner",IF(Y$8&lt;$AS22,"IKS","Décom."),IF(OR($AQ22="",$AS22=""),"",IF(Y$8&lt;$AQ22,"IKS",IF(Y$8&lt;$AS22,IF(Y$8=$AR22,"Bascule","Double run"),"ROKS"))))))</f>
        <v/>
      </c>
      <c r="Z22" s="51" t="str">
        <f aca="false">IF(OR($A22="",Z$8=""),"",IF($F22="Migré","ROKS",IF($F22="À décommissionner",IF(Z$8&lt;$AS22,"IKS","Décom."),IF(OR($AQ22="",$AS22=""),"",IF(Z$8&lt;$AQ22,"IKS",IF(Z$8&lt;$AS22,IF(Z$8=$AR22,"Bascule","Double run"),"ROKS"))))))</f>
        <v/>
      </c>
      <c r="AA22" s="51" t="str">
        <f aca="false">IF(OR($A22="",AA$8=""),"",IF($F22="Migré","ROKS",IF($F22="À décommissionner",IF(AA$8&lt;$AS22,"IKS","Décom."),IF(OR($AQ22="",$AS22=""),"",IF(AA$8&lt;$AQ22,"IKS",IF(AA$8&lt;$AS22,IF(AA$8=$AR22,"Bascule","Double run"),"ROKS"))))))</f>
        <v/>
      </c>
      <c r="AB22" s="51" t="str">
        <f aca="false">IF(OR($A22="",AB$8=""),"",IF($F22="Migré","ROKS",IF($F22="À décommissionner",IF(AB$8&lt;$AS22,"IKS","Décom."),IF(OR($AQ22="",$AS22=""),"",IF(AB$8&lt;$AQ22,"IKS",IF(AB$8&lt;$AS22,IF(AB$8=$AR22,"Bascule","Double run"),"ROKS"))))))</f>
        <v/>
      </c>
      <c r="AC22" s="51" t="str">
        <f aca="false">IF(OR($A22="",AC$8=""),"",IF($F22="Migré","ROKS",IF($F22="À décommissionner",IF(AC$8&lt;$AS22,"IKS","Décom."),IF(OR($AQ22="",$AS22=""),"",IF(AC$8&lt;$AQ22,"IKS",IF(AC$8&lt;$AS22,IF(AC$8=$AR22,"Bascule","Double run"),"ROKS"))))))</f>
        <v/>
      </c>
      <c r="AD22" s="51" t="str">
        <f aca="false">IF(OR($A22="",AD$8=""),"",IF($F22="Migré","ROKS",IF($F22="À décommissionner",IF(AD$8&lt;$AS22,"IKS","Décom."),IF(OR($AQ22="",$AS22=""),"",IF(AD$8&lt;$AQ22,"IKS",IF(AD$8&lt;$AS22,IF(AD$8=$AR22,"Bascule","Double run"),"ROKS"))))))</f>
        <v/>
      </c>
      <c r="AE22" s="51" t="str">
        <f aca="false">IF(OR($A22="",AE$8=""),"",IF($F22="Migré","ROKS",IF($F22="À décommissionner",IF(AE$8&lt;$AS22,"IKS","Décom."),IF(OR($AQ22="",$AS22=""),"",IF(AE$8&lt;$AQ22,"IKS",IF(AE$8&lt;$AS22,IF(AE$8=$AR22,"Bascule","Double run"),"ROKS"))))))</f>
        <v/>
      </c>
      <c r="AF22" s="51" t="str">
        <f aca="false">IF(OR($A22="",AF$8=""),"",IF($F22="Migré","ROKS",IF($F22="À décommissionner",IF(AF$8&lt;$AS22,"IKS","Décom."),IF(OR($AQ22="",$AS22=""),"",IF(AF$8&lt;$AQ22,"IKS",IF(AF$8&lt;$AS22,IF(AF$8=$AR22,"Bascule","Double run"),"ROKS"))))))</f>
        <v/>
      </c>
      <c r="AG22" s="51" t="str">
        <f aca="false">IF(OR($A22="",AG$8=""),"",IF($F22="Migré","ROKS",IF($F22="À décommissionner",IF(AG$8&lt;$AS22,"IKS","Décom."),IF(OR($AQ22="",$AS22=""),"",IF(AG$8&lt;$AQ22,"IKS",IF(AG$8&lt;$AS22,IF(AG$8=$AR22,"Bascule","Double run"),"ROKS"))))))</f>
        <v/>
      </c>
      <c r="AH22" s="51" t="str">
        <f aca="false">IF(OR($A22="",AH$8=""),"",IF($F22="Migré","ROKS",IF($F22="À décommissionner",IF(AH$8&lt;$AS22,"IKS","Décom."),IF(OR($AQ22="",$AS22=""),"",IF(AH$8&lt;$AQ22,"IKS",IF(AH$8&lt;$AS22,IF(AH$8=$AR22,"Bascule","Double run"),"ROKS"))))))</f>
        <v/>
      </c>
      <c r="AI22" s="51" t="str">
        <f aca="false">IF(OR($A22="",AI$8=""),"",IF($F22="Migré","ROKS",IF($F22="À décommissionner",IF(AI$8&lt;$AS22,"IKS","Décom."),IF(OR($AQ22="",$AS22=""),"",IF(AI$8&lt;$AQ22,"IKS",IF(AI$8&lt;$AS22,IF(AI$8=$AR22,"Bascule","Double run"),"ROKS"))))))</f>
        <v/>
      </c>
      <c r="AJ22" s="51" t="str">
        <f aca="false">IF(OR($A22="",AJ$8=""),"",IF($F22="Migré","ROKS",IF($F22="À décommissionner",IF(AJ$8&lt;$AS22,"IKS","Décom."),IF(OR($AQ22="",$AS22=""),"",IF(AJ$8&lt;$AQ22,"IKS",IF(AJ$8&lt;$AS22,IF(AJ$8=$AR22,"Bascule","Double run"),"ROKS"))))))</f>
        <v/>
      </c>
      <c r="AK22" s="51" t="str">
        <f aca="false">IF(OR($A22="",AK$8=""),"",IF($F22="Migré","ROKS",IF($F22="À décommissionner",IF(AK$8&lt;$AS22,"IKS","Décom."),IF(OR($AQ22="",$AS22=""),"",IF(AK$8&lt;$AQ22,"IKS",IF(AK$8&lt;$AS22,IF(AK$8=$AR22,"Bascule","Double run"),"ROKS"))))))</f>
        <v/>
      </c>
      <c r="AL22" s="51" t="str">
        <f aca="false">IF(OR($A22="",AL$8=""),"",IF($F22="Migré","ROKS",IF($F22="À décommissionner",IF(AL$8&lt;$AS22,"IKS","Décom."),IF(OR($AQ22="",$AS22=""),"",IF(AL$8&lt;$AQ22,"IKS",IF(AL$8&lt;$AS22,IF(AL$8=$AR22,"Bascule","Double run"),"ROKS"))))))</f>
        <v/>
      </c>
      <c r="AM22" s="51" t="str">
        <f aca="false">IF(OR($A22="",AM$8=""),"",IF($F22="Migré","ROKS",IF($F22="À décommissionner",IF(AM$8&lt;$AS22,"IKS","Décom."),IF(OR($AQ22="",$AS22=""),"",IF(AM$8&lt;$AQ22,"IKS",IF(AM$8&lt;$AS22,IF(AM$8=$AR22,"Bascule","Double run"),"ROKS"))))))</f>
        <v/>
      </c>
      <c r="AN22" s="51" t="str">
        <f aca="false">IF(OR($A22="",AN$8=""),"",IF($F22="Migré","ROKS",IF($F22="À décommissionner",IF(AN$8&lt;$AS22,"IKS","Décom."),IF(OR($AQ22="",$AS22=""),"",IF(AN$8&lt;$AQ22,"IKS",IF(AN$8&lt;$AS22,IF(AN$8=$AR22,"Bascule","Double run"),"ROKS"))))))</f>
        <v/>
      </c>
      <c r="AO22" s="51" t="str">
        <f aca="false">IF(OR($A22="",AO$8=""),"",IF($F22="Migré","ROKS",IF($F22="À décommissionner",IF(AO$8&lt;$AS22,"IKS","Décom."),IF(OR($AQ22="",$AS22=""),"",IF(AO$8&lt;$AQ22,"IKS",IF(AO$8&lt;$AS22,IF(AO$8=$AR22,"Bascule","Double run"),"ROKS"))))))</f>
        <v/>
      </c>
      <c r="AP22" s="51" t="str">
        <f aca="false">IF(OR($A22="",AP$8=""),"",IF($F22="Migré","ROKS",IF($F22="À décommissionner",IF(AP$8&lt;$AS22,"IKS","Décom."),IF(OR($AQ22="",$AS22=""),"",IF(AP$8&lt;$AQ22,"IKS",IF(AP$8&lt;$AS22,IF(AP$8=$AR22,"Bascule","Double run"),"ROKS"))))))</f>
        <v/>
      </c>
      <c r="AQ22" s="0" t="str">
        <f aca="false">IF($A22="","",INDEX(TblApplications[Mois prov (calc)],$A22))</f>
        <v/>
      </c>
      <c r="AR22" s="0" t="str">
        <f aca="false">IF($A22="","",IFERROR(DATE(YEAR(INDEX(TblApplications[Mois bascule],$A22)),MONTH(INDEX(TblApplications[Mois bascule],$A22)),1),""))</f>
        <v/>
      </c>
      <c r="AS22" s="0" t="str">
        <f aca="false">IF($A22="","",INDEX(TblApplications[Mois lib (calc)],$A22))</f>
        <v/>
      </c>
    </row>
    <row r="23" customFormat="false" ht="15" hidden="false" customHeight="false" outlineLevel="0" collapsed="false">
      <c r="A23" s="49" t="str">
        <f aca="false">IFERROR(MATCH(15,TblApplications[Rang frise],0),"")</f>
        <v/>
      </c>
      <c r="B23" s="50" t="str">
        <f aca="false">IF($A23="","",INDEX(TblApplications[ID],$A23))</f>
        <v/>
      </c>
      <c r="C23" s="50" t="str">
        <f aca="false">IF($A23="","",INDEX(TblApplications[Application],$A23))</f>
        <v/>
      </c>
      <c r="D23" s="50" t="str">
        <f aca="false">IF($A23="","",INDEX(TblApplications[Environnement],$A23))</f>
        <v/>
      </c>
      <c r="E23" s="50" t="str">
        <f aca="false">IF($A23="","",INDEX(TblApplications[Couloir],$A23))</f>
        <v/>
      </c>
      <c r="F23" s="50" t="str">
        <f aca="false">IF($A23="","",INDEX(TblApplications[Action],$A23))</f>
        <v/>
      </c>
      <c r="G23" s="51" t="str">
        <f aca="false">IF(OR($A23="",G$8=""),"",IF($F23="Migré","ROKS",IF($F23="À décommissionner",IF(G$8&lt;$AS23,"IKS","Décom."),IF(OR($AQ23="",$AS23=""),"",IF(G$8&lt;$AQ23,"IKS",IF(G$8&lt;$AS23,IF(G$8=$AR23,"Bascule","Double run"),"ROKS"))))))</f>
        <v/>
      </c>
      <c r="H23" s="51" t="str">
        <f aca="false">IF(OR($A23="",H$8=""),"",IF($F23="Migré","ROKS",IF($F23="À décommissionner",IF(H$8&lt;$AS23,"IKS","Décom."),IF(OR($AQ23="",$AS23=""),"",IF(H$8&lt;$AQ23,"IKS",IF(H$8&lt;$AS23,IF(H$8=$AR23,"Bascule","Double run"),"ROKS"))))))</f>
        <v/>
      </c>
      <c r="I23" s="51" t="str">
        <f aca="false">IF(OR($A23="",I$8=""),"",IF($F23="Migré","ROKS",IF($F23="À décommissionner",IF(I$8&lt;$AS23,"IKS","Décom."),IF(OR($AQ23="",$AS23=""),"",IF(I$8&lt;$AQ23,"IKS",IF(I$8&lt;$AS23,IF(I$8=$AR23,"Bascule","Double run"),"ROKS"))))))</f>
        <v/>
      </c>
      <c r="J23" s="51" t="str">
        <f aca="false">IF(OR($A23="",J$8=""),"",IF($F23="Migré","ROKS",IF($F23="À décommissionner",IF(J$8&lt;$AS23,"IKS","Décom."),IF(OR($AQ23="",$AS23=""),"",IF(J$8&lt;$AQ23,"IKS",IF(J$8&lt;$AS23,IF(J$8=$AR23,"Bascule","Double run"),"ROKS"))))))</f>
        <v/>
      </c>
      <c r="K23" s="51" t="str">
        <f aca="false">IF(OR($A23="",K$8=""),"",IF($F23="Migré","ROKS",IF($F23="À décommissionner",IF(K$8&lt;$AS23,"IKS","Décom."),IF(OR($AQ23="",$AS23=""),"",IF(K$8&lt;$AQ23,"IKS",IF(K$8&lt;$AS23,IF(K$8=$AR23,"Bascule","Double run"),"ROKS"))))))</f>
        <v/>
      </c>
      <c r="L23" s="51" t="str">
        <f aca="false">IF(OR($A23="",L$8=""),"",IF($F23="Migré","ROKS",IF($F23="À décommissionner",IF(L$8&lt;$AS23,"IKS","Décom."),IF(OR($AQ23="",$AS23=""),"",IF(L$8&lt;$AQ23,"IKS",IF(L$8&lt;$AS23,IF(L$8=$AR23,"Bascule","Double run"),"ROKS"))))))</f>
        <v/>
      </c>
      <c r="M23" s="51" t="str">
        <f aca="false">IF(OR($A23="",M$8=""),"",IF($F23="Migré","ROKS",IF($F23="À décommissionner",IF(M$8&lt;$AS23,"IKS","Décom."),IF(OR($AQ23="",$AS23=""),"",IF(M$8&lt;$AQ23,"IKS",IF(M$8&lt;$AS23,IF(M$8=$AR23,"Bascule","Double run"),"ROKS"))))))</f>
        <v/>
      </c>
      <c r="N23" s="51" t="str">
        <f aca="false">IF(OR($A23="",N$8=""),"",IF($F23="Migré","ROKS",IF($F23="À décommissionner",IF(N$8&lt;$AS23,"IKS","Décom."),IF(OR($AQ23="",$AS23=""),"",IF(N$8&lt;$AQ23,"IKS",IF(N$8&lt;$AS23,IF(N$8=$AR23,"Bascule","Double run"),"ROKS"))))))</f>
        <v/>
      </c>
      <c r="O23" s="51" t="str">
        <f aca="false">IF(OR($A23="",O$8=""),"",IF($F23="Migré","ROKS",IF($F23="À décommissionner",IF(O$8&lt;$AS23,"IKS","Décom."),IF(OR($AQ23="",$AS23=""),"",IF(O$8&lt;$AQ23,"IKS",IF(O$8&lt;$AS23,IF(O$8=$AR23,"Bascule","Double run"),"ROKS"))))))</f>
        <v/>
      </c>
      <c r="P23" s="51" t="str">
        <f aca="false">IF(OR($A23="",P$8=""),"",IF($F23="Migré","ROKS",IF($F23="À décommissionner",IF(P$8&lt;$AS23,"IKS","Décom."),IF(OR($AQ23="",$AS23=""),"",IF(P$8&lt;$AQ23,"IKS",IF(P$8&lt;$AS23,IF(P$8=$AR23,"Bascule","Double run"),"ROKS"))))))</f>
        <v/>
      </c>
      <c r="Q23" s="51" t="str">
        <f aca="false">IF(OR($A23="",Q$8=""),"",IF($F23="Migré","ROKS",IF($F23="À décommissionner",IF(Q$8&lt;$AS23,"IKS","Décom."),IF(OR($AQ23="",$AS23=""),"",IF(Q$8&lt;$AQ23,"IKS",IF(Q$8&lt;$AS23,IF(Q$8=$AR23,"Bascule","Double run"),"ROKS"))))))</f>
        <v/>
      </c>
      <c r="R23" s="51" t="str">
        <f aca="false">IF(OR($A23="",R$8=""),"",IF($F23="Migré","ROKS",IF($F23="À décommissionner",IF(R$8&lt;$AS23,"IKS","Décom."),IF(OR($AQ23="",$AS23=""),"",IF(R$8&lt;$AQ23,"IKS",IF(R$8&lt;$AS23,IF(R$8=$AR23,"Bascule","Double run"),"ROKS"))))))</f>
        <v/>
      </c>
      <c r="S23" s="51" t="str">
        <f aca="false">IF(OR($A23="",S$8=""),"",IF($F23="Migré","ROKS",IF($F23="À décommissionner",IF(S$8&lt;$AS23,"IKS","Décom."),IF(OR($AQ23="",$AS23=""),"",IF(S$8&lt;$AQ23,"IKS",IF(S$8&lt;$AS23,IF(S$8=$AR23,"Bascule","Double run"),"ROKS"))))))</f>
        <v/>
      </c>
      <c r="T23" s="51" t="str">
        <f aca="false">IF(OR($A23="",T$8=""),"",IF($F23="Migré","ROKS",IF($F23="À décommissionner",IF(T$8&lt;$AS23,"IKS","Décom."),IF(OR($AQ23="",$AS23=""),"",IF(T$8&lt;$AQ23,"IKS",IF(T$8&lt;$AS23,IF(T$8=$AR23,"Bascule","Double run"),"ROKS"))))))</f>
        <v/>
      </c>
      <c r="U23" s="51" t="str">
        <f aca="false">IF(OR($A23="",U$8=""),"",IF($F23="Migré","ROKS",IF($F23="À décommissionner",IF(U$8&lt;$AS23,"IKS","Décom."),IF(OR($AQ23="",$AS23=""),"",IF(U$8&lt;$AQ23,"IKS",IF(U$8&lt;$AS23,IF(U$8=$AR23,"Bascule","Double run"),"ROKS"))))))</f>
        <v/>
      </c>
      <c r="V23" s="51" t="str">
        <f aca="false">IF(OR($A23="",V$8=""),"",IF($F23="Migré","ROKS",IF($F23="À décommissionner",IF(V$8&lt;$AS23,"IKS","Décom."),IF(OR($AQ23="",$AS23=""),"",IF(V$8&lt;$AQ23,"IKS",IF(V$8&lt;$AS23,IF(V$8=$AR23,"Bascule","Double run"),"ROKS"))))))</f>
        <v/>
      </c>
      <c r="W23" s="51" t="str">
        <f aca="false">IF(OR($A23="",W$8=""),"",IF($F23="Migré","ROKS",IF($F23="À décommissionner",IF(W$8&lt;$AS23,"IKS","Décom."),IF(OR($AQ23="",$AS23=""),"",IF(W$8&lt;$AQ23,"IKS",IF(W$8&lt;$AS23,IF(W$8=$AR23,"Bascule","Double run"),"ROKS"))))))</f>
        <v/>
      </c>
      <c r="X23" s="51" t="str">
        <f aca="false">IF(OR($A23="",X$8=""),"",IF($F23="Migré","ROKS",IF($F23="À décommissionner",IF(X$8&lt;$AS23,"IKS","Décom."),IF(OR($AQ23="",$AS23=""),"",IF(X$8&lt;$AQ23,"IKS",IF(X$8&lt;$AS23,IF(X$8=$AR23,"Bascule","Double run"),"ROKS"))))))</f>
        <v/>
      </c>
      <c r="Y23" s="51" t="str">
        <f aca="false">IF(OR($A23="",Y$8=""),"",IF($F23="Migré","ROKS",IF($F23="À décommissionner",IF(Y$8&lt;$AS23,"IKS","Décom."),IF(OR($AQ23="",$AS23=""),"",IF(Y$8&lt;$AQ23,"IKS",IF(Y$8&lt;$AS23,IF(Y$8=$AR23,"Bascule","Double run"),"ROKS"))))))</f>
        <v/>
      </c>
      <c r="Z23" s="51" t="str">
        <f aca="false">IF(OR($A23="",Z$8=""),"",IF($F23="Migré","ROKS",IF($F23="À décommissionner",IF(Z$8&lt;$AS23,"IKS","Décom."),IF(OR($AQ23="",$AS23=""),"",IF(Z$8&lt;$AQ23,"IKS",IF(Z$8&lt;$AS23,IF(Z$8=$AR23,"Bascule","Double run"),"ROKS"))))))</f>
        <v/>
      </c>
      <c r="AA23" s="51" t="str">
        <f aca="false">IF(OR($A23="",AA$8=""),"",IF($F23="Migré","ROKS",IF($F23="À décommissionner",IF(AA$8&lt;$AS23,"IKS","Décom."),IF(OR($AQ23="",$AS23=""),"",IF(AA$8&lt;$AQ23,"IKS",IF(AA$8&lt;$AS23,IF(AA$8=$AR23,"Bascule","Double run"),"ROKS"))))))</f>
        <v/>
      </c>
      <c r="AB23" s="51" t="str">
        <f aca="false">IF(OR($A23="",AB$8=""),"",IF($F23="Migré","ROKS",IF($F23="À décommissionner",IF(AB$8&lt;$AS23,"IKS","Décom."),IF(OR($AQ23="",$AS23=""),"",IF(AB$8&lt;$AQ23,"IKS",IF(AB$8&lt;$AS23,IF(AB$8=$AR23,"Bascule","Double run"),"ROKS"))))))</f>
        <v/>
      </c>
      <c r="AC23" s="51" t="str">
        <f aca="false">IF(OR($A23="",AC$8=""),"",IF($F23="Migré","ROKS",IF($F23="À décommissionner",IF(AC$8&lt;$AS23,"IKS","Décom."),IF(OR($AQ23="",$AS23=""),"",IF(AC$8&lt;$AQ23,"IKS",IF(AC$8&lt;$AS23,IF(AC$8=$AR23,"Bascule","Double run"),"ROKS"))))))</f>
        <v/>
      </c>
      <c r="AD23" s="51" t="str">
        <f aca="false">IF(OR($A23="",AD$8=""),"",IF($F23="Migré","ROKS",IF($F23="À décommissionner",IF(AD$8&lt;$AS23,"IKS","Décom."),IF(OR($AQ23="",$AS23=""),"",IF(AD$8&lt;$AQ23,"IKS",IF(AD$8&lt;$AS23,IF(AD$8=$AR23,"Bascule","Double run"),"ROKS"))))))</f>
        <v/>
      </c>
      <c r="AE23" s="51" t="str">
        <f aca="false">IF(OR($A23="",AE$8=""),"",IF($F23="Migré","ROKS",IF($F23="À décommissionner",IF(AE$8&lt;$AS23,"IKS","Décom."),IF(OR($AQ23="",$AS23=""),"",IF(AE$8&lt;$AQ23,"IKS",IF(AE$8&lt;$AS23,IF(AE$8=$AR23,"Bascule","Double run"),"ROKS"))))))</f>
        <v/>
      </c>
      <c r="AF23" s="51" t="str">
        <f aca="false">IF(OR($A23="",AF$8=""),"",IF($F23="Migré","ROKS",IF($F23="À décommissionner",IF(AF$8&lt;$AS23,"IKS","Décom."),IF(OR($AQ23="",$AS23=""),"",IF(AF$8&lt;$AQ23,"IKS",IF(AF$8&lt;$AS23,IF(AF$8=$AR23,"Bascule","Double run"),"ROKS"))))))</f>
        <v/>
      </c>
      <c r="AG23" s="51" t="str">
        <f aca="false">IF(OR($A23="",AG$8=""),"",IF($F23="Migré","ROKS",IF($F23="À décommissionner",IF(AG$8&lt;$AS23,"IKS","Décom."),IF(OR($AQ23="",$AS23=""),"",IF(AG$8&lt;$AQ23,"IKS",IF(AG$8&lt;$AS23,IF(AG$8=$AR23,"Bascule","Double run"),"ROKS"))))))</f>
        <v/>
      </c>
      <c r="AH23" s="51" t="str">
        <f aca="false">IF(OR($A23="",AH$8=""),"",IF($F23="Migré","ROKS",IF($F23="À décommissionner",IF(AH$8&lt;$AS23,"IKS","Décom."),IF(OR($AQ23="",$AS23=""),"",IF(AH$8&lt;$AQ23,"IKS",IF(AH$8&lt;$AS23,IF(AH$8=$AR23,"Bascule","Double run"),"ROKS"))))))</f>
        <v/>
      </c>
      <c r="AI23" s="51" t="str">
        <f aca="false">IF(OR($A23="",AI$8=""),"",IF($F23="Migré","ROKS",IF($F23="À décommissionner",IF(AI$8&lt;$AS23,"IKS","Décom."),IF(OR($AQ23="",$AS23=""),"",IF(AI$8&lt;$AQ23,"IKS",IF(AI$8&lt;$AS23,IF(AI$8=$AR23,"Bascule","Double run"),"ROKS"))))))</f>
        <v/>
      </c>
      <c r="AJ23" s="51" t="str">
        <f aca="false">IF(OR($A23="",AJ$8=""),"",IF($F23="Migré","ROKS",IF($F23="À décommissionner",IF(AJ$8&lt;$AS23,"IKS","Décom."),IF(OR($AQ23="",$AS23=""),"",IF(AJ$8&lt;$AQ23,"IKS",IF(AJ$8&lt;$AS23,IF(AJ$8=$AR23,"Bascule","Double run"),"ROKS"))))))</f>
        <v/>
      </c>
      <c r="AK23" s="51" t="str">
        <f aca="false">IF(OR($A23="",AK$8=""),"",IF($F23="Migré","ROKS",IF($F23="À décommissionner",IF(AK$8&lt;$AS23,"IKS","Décom."),IF(OR($AQ23="",$AS23=""),"",IF(AK$8&lt;$AQ23,"IKS",IF(AK$8&lt;$AS23,IF(AK$8=$AR23,"Bascule","Double run"),"ROKS"))))))</f>
        <v/>
      </c>
      <c r="AL23" s="51" t="str">
        <f aca="false">IF(OR($A23="",AL$8=""),"",IF($F23="Migré","ROKS",IF($F23="À décommissionner",IF(AL$8&lt;$AS23,"IKS","Décom."),IF(OR($AQ23="",$AS23=""),"",IF(AL$8&lt;$AQ23,"IKS",IF(AL$8&lt;$AS23,IF(AL$8=$AR23,"Bascule","Double run"),"ROKS"))))))</f>
        <v/>
      </c>
      <c r="AM23" s="51" t="str">
        <f aca="false">IF(OR($A23="",AM$8=""),"",IF($F23="Migré","ROKS",IF($F23="À décommissionner",IF(AM$8&lt;$AS23,"IKS","Décom."),IF(OR($AQ23="",$AS23=""),"",IF(AM$8&lt;$AQ23,"IKS",IF(AM$8&lt;$AS23,IF(AM$8=$AR23,"Bascule","Double run"),"ROKS"))))))</f>
        <v/>
      </c>
      <c r="AN23" s="51" t="str">
        <f aca="false">IF(OR($A23="",AN$8=""),"",IF($F23="Migré","ROKS",IF($F23="À décommissionner",IF(AN$8&lt;$AS23,"IKS","Décom."),IF(OR($AQ23="",$AS23=""),"",IF(AN$8&lt;$AQ23,"IKS",IF(AN$8&lt;$AS23,IF(AN$8=$AR23,"Bascule","Double run"),"ROKS"))))))</f>
        <v/>
      </c>
      <c r="AO23" s="51" t="str">
        <f aca="false">IF(OR($A23="",AO$8=""),"",IF($F23="Migré","ROKS",IF($F23="À décommissionner",IF(AO$8&lt;$AS23,"IKS","Décom."),IF(OR($AQ23="",$AS23=""),"",IF(AO$8&lt;$AQ23,"IKS",IF(AO$8&lt;$AS23,IF(AO$8=$AR23,"Bascule","Double run"),"ROKS"))))))</f>
        <v/>
      </c>
      <c r="AP23" s="51" t="str">
        <f aca="false">IF(OR($A23="",AP$8=""),"",IF($F23="Migré","ROKS",IF($F23="À décommissionner",IF(AP$8&lt;$AS23,"IKS","Décom."),IF(OR($AQ23="",$AS23=""),"",IF(AP$8&lt;$AQ23,"IKS",IF(AP$8&lt;$AS23,IF(AP$8=$AR23,"Bascule","Double run"),"ROKS"))))))</f>
        <v/>
      </c>
      <c r="AQ23" s="0" t="str">
        <f aca="false">IF($A23="","",INDEX(TblApplications[Mois prov (calc)],$A23))</f>
        <v/>
      </c>
      <c r="AR23" s="0" t="str">
        <f aca="false">IF($A23="","",IFERROR(DATE(YEAR(INDEX(TblApplications[Mois bascule],$A23)),MONTH(INDEX(TblApplications[Mois bascule],$A23)),1),""))</f>
        <v/>
      </c>
      <c r="AS23" s="0" t="str">
        <f aca="false">IF($A23="","",INDEX(TblApplications[Mois lib (calc)],$A23))</f>
        <v/>
      </c>
    </row>
    <row r="24" customFormat="false" ht="15" hidden="false" customHeight="false" outlineLevel="0" collapsed="false">
      <c r="A24" s="49" t="str">
        <f aca="false">IFERROR(MATCH(16,TblApplications[Rang frise],0),"")</f>
        <v/>
      </c>
      <c r="B24" s="50" t="str">
        <f aca="false">IF($A24="","",INDEX(TblApplications[ID],$A24))</f>
        <v/>
      </c>
      <c r="C24" s="50" t="str">
        <f aca="false">IF($A24="","",INDEX(TblApplications[Application],$A24))</f>
        <v/>
      </c>
      <c r="D24" s="50" t="str">
        <f aca="false">IF($A24="","",INDEX(TblApplications[Environnement],$A24))</f>
        <v/>
      </c>
      <c r="E24" s="50" t="str">
        <f aca="false">IF($A24="","",INDEX(TblApplications[Couloir],$A24))</f>
        <v/>
      </c>
      <c r="F24" s="50" t="str">
        <f aca="false">IF($A24="","",INDEX(TblApplications[Action],$A24))</f>
        <v/>
      </c>
      <c r="G24" s="51" t="str">
        <f aca="false">IF(OR($A24="",G$8=""),"",IF($F24="Migré","ROKS",IF($F24="À décommissionner",IF(G$8&lt;$AS24,"IKS","Décom."),IF(OR($AQ24="",$AS24=""),"",IF(G$8&lt;$AQ24,"IKS",IF(G$8&lt;$AS24,IF(G$8=$AR24,"Bascule","Double run"),"ROKS"))))))</f>
        <v/>
      </c>
      <c r="H24" s="51" t="str">
        <f aca="false">IF(OR($A24="",H$8=""),"",IF($F24="Migré","ROKS",IF($F24="À décommissionner",IF(H$8&lt;$AS24,"IKS","Décom."),IF(OR($AQ24="",$AS24=""),"",IF(H$8&lt;$AQ24,"IKS",IF(H$8&lt;$AS24,IF(H$8=$AR24,"Bascule","Double run"),"ROKS"))))))</f>
        <v/>
      </c>
      <c r="I24" s="51" t="str">
        <f aca="false">IF(OR($A24="",I$8=""),"",IF($F24="Migré","ROKS",IF($F24="À décommissionner",IF(I$8&lt;$AS24,"IKS","Décom."),IF(OR($AQ24="",$AS24=""),"",IF(I$8&lt;$AQ24,"IKS",IF(I$8&lt;$AS24,IF(I$8=$AR24,"Bascule","Double run"),"ROKS"))))))</f>
        <v/>
      </c>
      <c r="J24" s="51" t="str">
        <f aca="false">IF(OR($A24="",J$8=""),"",IF($F24="Migré","ROKS",IF($F24="À décommissionner",IF(J$8&lt;$AS24,"IKS","Décom."),IF(OR($AQ24="",$AS24=""),"",IF(J$8&lt;$AQ24,"IKS",IF(J$8&lt;$AS24,IF(J$8=$AR24,"Bascule","Double run"),"ROKS"))))))</f>
        <v/>
      </c>
      <c r="K24" s="51" t="str">
        <f aca="false">IF(OR($A24="",K$8=""),"",IF($F24="Migré","ROKS",IF($F24="À décommissionner",IF(K$8&lt;$AS24,"IKS","Décom."),IF(OR($AQ24="",$AS24=""),"",IF(K$8&lt;$AQ24,"IKS",IF(K$8&lt;$AS24,IF(K$8=$AR24,"Bascule","Double run"),"ROKS"))))))</f>
        <v/>
      </c>
      <c r="L24" s="51" t="str">
        <f aca="false">IF(OR($A24="",L$8=""),"",IF($F24="Migré","ROKS",IF($F24="À décommissionner",IF(L$8&lt;$AS24,"IKS","Décom."),IF(OR($AQ24="",$AS24=""),"",IF(L$8&lt;$AQ24,"IKS",IF(L$8&lt;$AS24,IF(L$8=$AR24,"Bascule","Double run"),"ROKS"))))))</f>
        <v/>
      </c>
      <c r="M24" s="51" t="str">
        <f aca="false">IF(OR($A24="",M$8=""),"",IF($F24="Migré","ROKS",IF($F24="À décommissionner",IF(M$8&lt;$AS24,"IKS","Décom."),IF(OR($AQ24="",$AS24=""),"",IF(M$8&lt;$AQ24,"IKS",IF(M$8&lt;$AS24,IF(M$8=$AR24,"Bascule","Double run"),"ROKS"))))))</f>
        <v/>
      </c>
      <c r="N24" s="51" t="str">
        <f aca="false">IF(OR($A24="",N$8=""),"",IF($F24="Migré","ROKS",IF($F24="À décommissionner",IF(N$8&lt;$AS24,"IKS","Décom."),IF(OR($AQ24="",$AS24=""),"",IF(N$8&lt;$AQ24,"IKS",IF(N$8&lt;$AS24,IF(N$8=$AR24,"Bascule","Double run"),"ROKS"))))))</f>
        <v/>
      </c>
      <c r="O24" s="51" t="str">
        <f aca="false">IF(OR($A24="",O$8=""),"",IF($F24="Migré","ROKS",IF($F24="À décommissionner",IF(O$8&lt;$AS24,"IKS","Décom."),IF(OR($AQ24="",$AS24=""),"",IF(O$8&lt;$AQ24,"IKS",IF(O$8&lt;$AS24,IF(O$8=$AR24,"Bascule","Double run"),"ROKS"))))))</f>
        <v/>
      </c>
      <c r="P24" s="51" t="str">
        <f aca="false">IF(OR($A24="",P$8=""),"",IF($F24="Migré","ROKS",IF($F24="À décommissionner",IF(P$8&lt;$AS24,"IKS","Décom."),IF(OR($AQ24="",$AS24=""),"",IF(P$8&lt;$AQ24,"IKS",IF(P$8&lt;$AS24,IF(P$8=$AR24,"Bascule","Double run"),"ROKS"))))))</f>
        <v/>
      </c>
      <c r="Q24" s="51" t="str">
        <f aca="false">IF(OR($A24="",Q$8=""),"",IF($F24="Migré","ROKS",IF($F24="À décommissionner",IF(Q$8&lt;$AS24,"IKS","Décom."),IF(OR($AQ24="",$AS24=""),"",IF(Q$8&lt;$AQ24,"IKS",IF(Q$8&lt;$AS24,IF(Q$8=$AR24,"Bascule","Double run"),"ROKS"))))))</f>
        <v/>
      </c>
      <c r="R24" s="51" t="str">
        <f aca="false">IF(OR($A24="",R$8=""),"",IF($F24="Migré","ROKS",IF($F24="À décommissionner",IF(R$8&lt;$AS24,"IKS","Décom."),IF(OR($AQ24="",$AS24=""),"",IF(R$8&lt;$AQ24,"IKS",IF(R$8&lt;$AS24,IF(R$8=$AR24,"Bascule","Double run"),"ROKS"))))))</f>
        <v/>
      </c>
      <c r="S24" s="51" t="str">
        <f aca="false">IF(OR($A24="",S$8=""),"",IF($F24="Migré","ROKS",IF($F24="À décommissionner",IF(S$8&lt;$AS24,"IKS","Décom."),IF(OR($AQ24="",$AS24=""),"",IF(S$8&lt;$AQ24,"IKS",IF(S$8&lt;$AS24,IF(S$8=$AR24,"Bascule","Double run"),"ROKS"))))))</f>
        <v/>
      </c>
      <c r="T24" s="51" t="str">
        <f aca="false">IF(OR($A24="",T$8=""),"",IF($F24="Migré","ROKS",IF($F24="À décommissionner",IF(T$8&lt;$AS24,"IKS","Décom."),IF(OR($AQ24="",$AS24=""),"",IF(T$8&lt;$AQ24,"IKS",IF(T$8&lt;$AS24,IF(T$8=$AR24,"Bascule","Double run"),"ROKS"))))))</f>
        <v/>
      </c>
      <c r="U24" s="51" t="str">
        <f aca="false">IF(OR($A24="",U$8=""),"",IF($F24="Migré","ROKS",IF($F24="À décommissionner",IF(U$8&lt;$AS24,"IKS","Décom."),IF(OR($AQ24="",$AS24=""),"",IF(U$8&lt;$AQ24,"IKS",IF(U$8&lt;$AS24,IF(U$8=$AR24,"Bascule","Double run"),"ROKS"))))))</f>
        <v/>
      </c>
      <c r="V24" s="51" t="str">
        <f aca="false">IF(OR($A24="",V$8=""),"",IF($F24="Migré","ROKS",IF($F24="À décommissionner",IF(V$8&lt;$AS24,"IKS","Décom."),IF(OR($AQ24="",$AS24=""),"",IF(V$8&lt;$AQ24,"IKS",IF(V$8&lt;$AS24,IF(V$8=$AR24,"Bascule","Double run"),"ROKS"))))))</f>
        <v/>
      </c>
      <c r="W24" s="51" t="str">
        <f aca="false">IF(OR($A24="",W$8=""),"",IF($F24="Migré","ROKS",IF($F24="À décommissionner",IF(W$8&lt;$AS24,"IKS","Décom."),IF(OR($AQ24="",$AS24=""),"",IF(W$8&lt;$AQ24,"IKS",IF(W$8&lt;$AS24,IF(W$8=$AR24,"Bascule","Double run"),"ROKS"))))))</f>
        <v/>
      </c>
      <c r="X24" s="51" t="str">
        <f aca="false">IF(OR($A24="",X$8=""),"",IF($F24="Migré","ROKS",IF($F24="À décommissionner",IF(X$8&lt;$AS24,"IKS","Décom."),IF(OR($AQ24="",$AS24=""),"",IF(X$8&lt;$AQ24,"IKS",IF(X$8&lt;$AS24,IF(X$8=$AR24,"Bascule","Double run"),"ROKS"))))))</f>
        <v/>
      </c>
      <c r="Y24" s="51" t="str">
        <f aca="false">IF(OR($A24="",Y$8=""),"",IF($F24="Migré","ROKS",IF($F24="À décommissionner",IF(Y$8&lt;$AS24,"IKS","Décom."),IF(OR($AQ24="",$AS24=""),"",IF(Y$8&lt;$AQ24,"IKS",IF(Y$8&lt;$AS24,IF(Y$8=$AR24,"Bascule","Double run"),"ROKS"))))))</f>
        <v/>
      </c>
      <c r="Z24" s="51" t="str">
        <f aca="false">IF(OR($A24="",Z$8=""),"",IF($F24="Migré","ROKS",IF($F24="À décommissionner",IF(Z$8&lt;$AS24,"IKS","Décom."),IF(OR($AQ24="",$AS24=""),"",IF(Z$8&lt;$AQ24,"IKS",IF(Z$8&lt;$AS24,IF(Z$8=$AR24,"Bascule","Double run"),"ROKS"))))))</f>
        <v/>
      </c>
      <c r="AA24" s="51" t="str">
        <f aca="false">IF(OR($A24="",AA$8=""),"",IF($F24="Migré","ROKS",IF($F24="À décommissionner",IF(AA$8&lt;$AS24,"IKS","Décom."),IF(OR($AQ24="",$AS24=""),"",IF(AA$8&lt;$AQ24,"IKS",IF(AA$8&lt;$AS24,IF(AA$8=$AR24,"Bascule","Double run"),"ROKS"))))))</f>
        <v/>
      </c>
      <c r="AB24" s="51" t="str">
        <f aca="false">IF(OR($A24="",AB$8=""),"",IF($F24="Migré","ROKS",IF($F24="À décommissionner",IF(AB$8&lt;$AS24,"IKS","Décom."),IF(OR($AQ24="",$AS24=""),"",IF(AB$8&lt;$AQ24,"IKS",IF(AB$8&lt;$AS24,IF(AB$8=$AR24,"Bascule","Double run"),"ROKS"))))))</f>
        <v/>
      </c>
      <c r="AC24" s="51" t="str">
        <f aca="false">IF(OR($A24="",AC$8=""),"",IF($F24="Migré","ROKS",IF($F24="À décommissionner",IF(AC$8&lt;$AS24,"IKS","Décom."),IF(OR($AQ24="",$AS24=""),"",IF(AC$8&lt;$AQ24,"IKS",IF(AC$8&lt;$AS24,IF(AC$8=$AR24,"Bascule","Double run"),"ROKS"))))))</f>
        <v/>
      </c>
      <c r="AD24" s="51" t="str">
        <f aca="false">IF(OR($A24="",AD$8=""),"",IF($F24="Migré","ROKS",IF($F24="À décommissionner",IF(AD$8&lt;$AS24,"IKS","Décom."),IF(OR($AQ24="",$AS24=""),"",IF(AD$8&lt;$AQ24,"IKS",IF(AD$8&lt;$AS24,IF(AD$8=$AR24,"Bascule","Double run"),"ROKS"))))))</f>
        <v/>
      </c>
      <c r="AE24" s="51" t="str">
        <f aca="false">IF(OR($A24="",AE$8=""),"",IF($F24="Migré","ROKS",IF($F24="À décommissionner",IF(AE$8&lt;$AS24,"IKS","Décom."),IF(OR($AQ24="",$AS24=""),"",IF(AE$8&lt;$AQ24,"IKS",IF(AE$8&lt;$AS24,IF(AE$8=$AR24,"Bascule","Double run"),"ROKS"))))))</f>
        <v/>
      </c>
      <c r="AF24" s="51" t="str">
        <f aca="false">IF(OR($A24="",AF$8=""),"",IF($F24="Migré","ROKS",IF($F24="À décommissionner",IF(AF$8&lt;$AS24,"IKS","Décom."),IF(OR($AQ24="",$AS24=""),"",IF(AF$8&lt;$AQ24,"IKS",IF(AF$8&lt;$AS24,IF(AF$8=$AR24,"Bascule","Double run"),"ROKS"))))))</f>
        <v/>
      </c>
      <c r="AG24" s="51" t="str">
        <f aca="false">IF(OR($A24="",AG$8=""),"",IF($F24="Migré","ROKS",IF($F24="À décommissionner",IF(AG$8&lt;$AS24,"IKS","Décom."),IF(OR($AQ24="",$AS24=""),"",IF(AG$8&lt;$AQ24,"IKS",IF(AG$8&lt;$AS24,IF(AG$8=$AR24,"Bascule","Double run"),"ROKS"))))))</f>
        <v/>
      </c>
      <c r="AH24" s="51" t="str">
        <f aca="false">IF(OR($A24="",AH$8=""),"",IF($F24="Migré","ROKS",IF($F24="À décommissionner",IF(AH$8&lt;$AS24,"IKS","Décom."),IF(OR($AQ24="",$AS24=""),"",IF(AH$8&lt;$AQ24,"IKS",IF(AH$8&lt;$AS24,IF(AH$8=$AR24,"Bascule","Double run"),"ROKS"))))))</f>
        <v/>
      </c>
      <c r="AI24" s="51" t="str">
        <f aca="false">IF(OR($A24="",AI$8=""),"",IF($F24="Migré","ROKS",IF($F24="À décommissionner",IF(AI$8&lt;$AS24,"IKS","Décom."),IF(OR($AQ24="",$AS24=""),"",IF(AI$8&lt;$AQ24,"IKS",IF(AI$8&lt;$AS24,IF(AI$8=$AR24,"Bascule","Double run"),"ROKS"))))))</f>
        <v/>
      </c>
      <c r="AJ24" s="51" t="str">
        <f aca="false">IF(OR($A24="",AJ$8=""),"",IF($F24="Migré","ROKS",IF($F24="À décommissionner",IF(AJ$8&lt;$AS24,"IKS","Décom."),IF(OR($AQ24="",$AS24=""),"",IF(AJ$8&lt;$AQ24,"IKS",IF(AJ$8&lt;$AS24,IF(AJ$8=$AR24,"Bascule","Double run"),"ROKS"))))))</f>
        <v/>
      </c>
      <c r="AK24" s="51" t="str">
        <f aca="false">IF(OR($A24="",AK$8=""),"",IF($F24="Migré","ROKS",IF($F24="À décommissionner",IF(AK$8&lt;$AS24,"IKS","Décom."),IF(OR($AQ24="",$AS24=""),"",IF(AK$8&lt;$AQ24,"IKS",IF(AK$8&lt;$AS24,IF(AK$8=$AR24,"Bascule","Double run"),"ROKS"))))))</f>
        <v/>
      </c>
      <c r="AL24" s="51" t="str">
        <f aca="false">IF(OR($A24="",AL$8=""),"",IF($F24="Migré","ROKS",IF($F24="À décommissionner",IF(AL$8&lt;$AS24,"IKS","Décom."),IF(OR($AQ24="",$AS24=""),"",IF(AL$8&lt;$AQ24,"IKS",IF(AL$8&lt;$AS24,IF(AL$8=$AR24,"Bascule","Double run"),"ROKS"))))))</f>
        <v/>
      </c>
      <c r="AM24" s="51" t="str">
        <f aca="false">IF(OR($A24="",AM$8=""),"",IF($F24="Migré","ROKS",IF($F24="À décommissionner",IF(AM$8&lt;$AS24,"IKS","Décom."),IF(OR($AQ24="",$AS24=""),"",IF(AM$8&lt;$AQ24,"IKS",IF(AM$8&lt;$AS24,IF(AM$8=$AR24,"Bascule","Double run"),"ROKS"))))))</f>
        <v/>
      </c>
      <c r="AN24" s="51" t="str">
        <f aca="false">IF(OR($A24="",AN$8=""),"",IF($F24="Migré","ROKS",IF($F24="À décommissionner",IF(AN$8&lt;$AS24,"IKS","Décom."),IF(OR($AQ24="",$AS24=""),"",IF(AN$8&lt;$AQ24,"IKS",IF(AN$8&lt;$AS24,IF(AN$8=$AR24,"Bascule","Double run"),"ROKS"))))))</f>
        <v/>
      </c>
      <c r="AO24" s="51" t="str">
        <f aca="false">IF(OR($A24="",AO$8=""),"",IF($F24="Migré","ROKS",IF($F24="À décommissionner",IF(AO$8&lt;$AS24,"IKS","Décom."),IF(OR($AQ24="",$AS24=""),"",IF(AO$8&lt;$AQ24,"IKS",IF(AO$8&lt;$AS24,IF(AO$8=$AR24,"Bascule","Double run"),"ROKS"))))))</f>
        <v/>
      </c>
      <c r="AP24" s="51" t="str">
        <f aca="false">IF(OR($A24="",AP$8=""),"",IF($F24="Migré","ROKS",IF($F24="À décommissionner",IF(AP$8&lt;$AS24,"IKS","Décom."),IF(OR($AQ24="",$AS24=""),"",IF(AP$8&lt;$AQ24,"IKS",IF(AP$8&lt;$AS24,IF(AP$8=$AR24,"Bascule","Double run"),"ROKS"))))))</f>
        <v/>
      </c>
      <c r="AQ24" s="0" t="str">
        <f aca="false">IF($A24="","",INDEX(TblApplications[Mois prov (calc)],$A24))</f>
        <v/>
      </c>
      <c r="AR24" s="0" t="str">
        <f aca="false">IF($A24="","",IFERROR(DATE(YEAR(INDEX(TblApplications[Mois bascule],$A24)),MONTH(INDEX(TblApplications[Mois bascule],$A24)),1),""))</f>
        <v/>
      </c>
      <c r="AS24" s="0" t="str">
        <f aca="false">IF($A24="","",INDEX(TblApplications[Mois lib (calc)],$A24))</f>
        <v/>
      </c>
    </row>
    <row r="25" customFormat="false" ht="15" hidden="false" customHeight="false" outlineLevel="0" collapsed="false">
      <c r="A25" s="49" t="str">
        <f aca="false">IFERROR(MATCH(17,TblApplications[Rang frise],0),"")</f>
        <v/>
      </c>
      <c r="B25" s="50" t="str">
        <f aca="false">IF($A25="","",INDEX(TblApplications[ID],$A25))</f>
        <v/>
      </c>
      <c r="C25" s="50" t="str">
        <f aca="false">IF($A25="","",INDEX(TblApplications[Application],$A25))</f>
        <v/>
      </c>
      <c r="D25" s="50" t="str">
        <f aca="false">IF($A25="","",INDEX(TblApplications[Environnement],$A25))</f>
        <v/>
      </c>
      <c r="E25" s="50" t="str">
        <f aca="false">IF($A25="","",INDEX(TblApplications[Couloir],$A25))</f>
        <v/>
      </c>
      <c r="F25" s="50" t="str">
        <f aca="false">IF($A25="","",INDEX(TblApplications[Action],$A25))</f>
        <v/>
      </c>
      <c r="G25" s="51" t="str">
        <f aca="false">IF(OR($A25="",G$8=""),"",IF($F25="Migré","ROKS",IF($F25="À décommissionner",IF(G$8&lt;$AS25,"IKS","Décom."),IF(OR($AQ25="",$AS25=""),"",IF(G$8&lt;$AQ25,"IKS",IF(G$8&lt;$AS25,IF(G$8=$AR25,"Bascule","Double run"),"ROKS"))))))</f>
        <v/>
      </c>
      <c r="H25" s="51" t="str">
        <f aca="false">IF(OR($A25="",H$8=""),"",IF($F25="Migré","ROKS",IF($F25="À décommissionner",IF(H$8&lt;$AS25,"IKS","Décom."),IF(OR($AQ25="",$AS25=""),"",IF(H$8&lt;$AQ25,"IKS",IF(H$8&lt;$AS25,IF(H$8=$AR25,"Bascule","Double run"),"ROKS"))))))</f>
        <v/>
      </c>
      <c r="I25" s="51" t="str">
        <f aca="false">IF(OR($A25="",I$8=""),"",IF($F25="Migré","ROKS",IF($F25="À décommissionner",IF(I$8&lt;$AS25,"IKS","Décom."),IF(OR($AQ25="",$AS25=""),"",IF(I$8&lt;$AQ25,"IKS",IF(I$8&lt;$AS25,IF(I$8=$AR25,"Bascule","Double run"),"ROKS"))))))</f>
        <v/>
      </c>
      <c r="J25" s="51" t="str">
        <f aca="false">IF(OR($A25="",J$8=""),"",IF($F25="Migré","ROKS",IF($F25="À décommissionner",IF(J$8&lt;$AS25,"IKS","Décom."),IF(OR($AQ25="",$AS25=""),"",IF(J$8&lt;$AQ25,"IKS",IF(J$8&lt;$AS25,IF(J$8=$AR25,"Bascule","Double run"),"ROKS"))))))</f>
        <v/>
      </c>
      <c r="K25" s="51" t="str">
        <f aca="false">IF(OR($A25="",K$8=""),"",IF($F25="Migré","ROKS",IF($F25="À décommissionner",IF(K$8&lt;$AS25,"IKS","Décom."),IF(OR($AQ25="",$AS25=""),"",IF(K$8&lt;$AQ25,"IKS",IF(K$8&lt;$AS25,IF(K$8=$AR25,"Bascule","Double run"),"ROKS"))))))</f>
        <v/>
      </c>
      <c r="L25" s="51" t="str">
        <f aca="false">IF(OR($A25="",L$8=""),"",IF($F25="Migré","ROKS",IF($F25="À décommissionner",IF(L$8&lt;$AS25,"IKS","Décom."),IF(OR($AQ25="",$AS25=""),"",IF(L$8&lt;$AQ25,"IKS",IF(L$8&lt;$AS25,IF(L$8=$AR25,"Bascule","Double run"),"ROKS"))))))</f>
        <v/>
      </c>
      <c r="M25" s="51" t="str">
        <f aca="false">IF(OR($A25="",M$8=""),"",IF($F25="Migré","ROKS",IF($F25="À décommissionner",IF(M$8&lt;$AS25,"IKS","Décom."),IF(OR($AQ25="",$AS25=""),"",IF(M$8&lt;$AQ25,"IKS",IF(M$8&lt;$AS25,IF(M$8=$AR25,"Bascule","Double run"),"ROKS"))))))</f>
        <v/>
      </c>
      <c r="N25" s="51" t="str">
        <f aca="false">IF(OR($A25="",N$8=""),"",IF($F25="Migré","ROKS",IF($F25="À décommissionner",IF(N$8&lt;$AS25,"IKS","Décom."),IF(OR($AQ25="",$AS25=""),"",IF(N$8&lt;$AQ25,"IKS",IF(N$8&lt;$AS25,IF(N$8=$AR25,"Bascule","Double run"),"ROKS"))))))</f>
        <v/>
      </c>
      <c r="O25" s="51" t="str">
        <f aca="false">IF(OR($A25="",O$8=""),"",IF($F25="Migré","ROKS",IF($F25="À décommissionner",IF(O$8&lt;$AS25,"IKS","Décom."),IF(OR($AQ25="",$AS25=""),"",IF(O$8&lt;$AQ25,"IKS",IF(O$8&lt;$AS25,IF(O$8=$AR25,"Bascule","Double run"),"ROKS"))))))</f>
        <v/>
      </c>
      <c r="P25" s="51" t="str">
        <f aca="false">IF(OR($A25="",P$8=""),"",IF($F25="Migré","ROKS",IF($F25="À décommissionner",IF(P$8&lt;$AS25,"IKS","Décom."),IF(OR($AQ25="",$AS25=""),"",IF(P$8&lt;$AQ25,"IKS",IF(P$8&lt;$AS25,IF(P$8=$AR25,"Bascule","Double run"),"ROKS"))))))</f>
        <v/>
      </c>
      <c r="Q25" s="51" t="str">
        <f aca="false">IF(OR($A25="",Q$8=""),"",IF($F25="Migré","ROKS",IF($F25="À décommissionner",IF(Q$8&lt;$AS25,"IKS","Décom."),IF(OR($AQ25="",$AS25=""),"",IF(Q$8&lt;$AQ25,"IKS",IF(Q$8&lt;$AS25,IF(Q$8=$AR25,"Bascule","Double run"),"ROKS"))))))</f>
        <v/>
      </c>
      <c r="R25" s="51" t="str">
        <f aca="false">IF(OR($A25="",R$8=""),"",IF($F25="Migré","ROKS",IF($F25="À décommissionner",IF(R$8&lt;$AS25,"IKS","Décom."),IF(OR($AQ25="",$AS25=""),"",IF(R$8&lt;$AQ25,"IKS",IF(R$8&lt;$AS25,IF(R$8=$AR25,"Bascule","Double run"),"ROKS"))))))</f>
        <v/>
      </c>
      <c r="S25" s="51" t="str">
        <f aca="false">IF(OR($A25="",S$8=""),"",IF($F25="Migré","ROKS",IF($F25="À décommissionner",IF(S$8&lt;$AS25,"IKS","Décom."),IF(OR($AQ25="",$AS25=""),"",IF(S$8&lt;$AQ25,"IKS",IF(S$8&lt;$AS25,IF(S$8=$AR25,"Bascule","Double run"),"ROKS"))))))</f>
        <v/>
      </c>
      <c r="T25" s="51" t="str">
        <f aca="false">IF(OR($A25="",T$8=""),"",IF($F25="Migré","ROKS",IF($F25="À décommissionner",IF(T$8&lt;$AS25,"IKS","Décom."),IF(OR($AQ25="",$AS25=""),"",IF(T$8&lt;$AQ25,"IKS",IF(T$8&lt;$AS25,IF(T$8=$AR25,"Bascule","Double run"),"ROKS"))))))</f>
        <v/>
      </c>
      <c r="U25" s="51" t="str">
        <f aca="false">IF(OR($A25="",U$8=""),"",IF($F25="Migré","ROKS",IF($F25="À décommissionner",IF(U$8&lt;$AS25,"IKS","Décom."),IF(OR($AQ25="",$AS25=""),"",IF(U$8&lt;$AQ25,"IKS",IF(U$8&lt;$AS25,IF(U$8=$AR25,"Bascule","Double run"),"ROKS"))))))</f>
        <v/>
      </c>
      <c r="V25" s="51" t="str">
        <f aca="false">IF(OR($A25="",V$8=""),"",IF($F25="Migré","ROKS",IF($F25="À décommissionner",IF(V$8&lt;$AS25,"IKS","Décom."),IF(OR($AQ25="",$AS25=""),"",IF(V$8&lt;$AQ25,"IKS",IF(V$8&lt;$AS25,IF(V$8=$AR25,"Bascule","Double run"),"ROKS"))))))</f>
        <v/>
      </c>
      <c r="W25" s="51" t="str">
        <f aca="false">IF(OR($A25="",W$8=""),"",IF($F25="Migré","ROKS",IF($F25="À décommissionner",IF(W$8&lt;$AS25,"IKS","Décom."),IF(OR($AQ25="",$AS25=""),"",IF(W$8&lt;$AQ25,"IKS",IF(W$8&lt;$AS25,IF(W$8=$AR25,"Bascule","Double run"),"ROKS"))))))</f>
        <v/>
      </c>
      <c r="X25" s="51" t="str">
        <f aca="false">IF(OR($A25="",X$8=""),"",IF($F25="Migré","ROKS",IF($F25="À décommissionner",IF(X$8&lt;$AS25,"IKS","Décom."),IF(OR($AQ25="",$AS25=""),"",IF(X$8&lt;$AQ25,"IKS",IF(X$8&lt;$AS25,IF(X$8=$AR25,"Bascule","Double run"),"ROKS"))))))</f>
        <v/>
      </c>
      <c r="Y25" s="51" t="str">
        <f aca="false">IF(OR($A25="",Y$8=""),"",IF($F25="Migré","ROKS",IF($F25="À décommissionner",IF(Y$8&lt;$AS25,"IKS","Décom."),IF(OR($AQ25="",$AS25=""),"",IF(Y$8&lt;$AQ25,"IKS",IF(Y$8&lt;$AS25,IF(Y$8=$AR25,"Bascule","Double run"),"ROKS"))))))</f>
        <v/>
      </c>
      <c r="Z25" s="51" t="str">
        <f aca="false">IF(OR($A25="",Z$8=""),"",IF($F25="Migré","ROKS",IF($F25="À décommissionner",IF(Z$8&lt;$AS25,"IKS","Décom."),IF(OR($AQ25="",$AS25=""),"",IF(Z$8&lt;$AQ25,"IKS",IF(Z$8&lt;$AS25,IF(Z$8=$AR25,"Bascule","Double run"),"ROKS"))))))</f>
        <v/>
      </c>
      <c r="AA25" s="51" t="str">
        <f aca="false">IF(OR($A25="",AA$8=""),"",IF($F25="Migré","ROKS",IF($F25="À décommissionner",IF(AA$8&lt;$AS25,"IKS","Décom."),IF(OR($AQ25="",$AS25=""),"",IF(AA$8&lt;$AQ25,"IKS",IF(AA$8&lt;$AS25,IF(AA$8=$AR25,"Bascule","Double run"),"ROKS"))))))</f>
        <v/>
      </c>
      <c r="AB25" s="51" t="str">
        <f aca="false">IF(OR($A25="",AB$8=""),"",IF($F25="Migré","ROKS",IF($F25="À décommissionner",IF(AB$8&lt;$AS25,"IKS","Décom."),IF(OR($AQ25="",$AS25=""),"",IF(AB$8&lt;$AQ25,"IKS",IF(AB$8&lt;$AS25,IF(AB$8=$AR25,"Bascule","Double run"),"ROKS"))))))</f>
        <v/>
      </c>
      <c r="AC25" s="51" t="str">
        <f aca="false">IF(OR($A25="",AC$8=""),"",IF($F25="Migré","ROKS",IF($F25="À décommissionner",IF(AC$8&lt;$AS25,"IKS","Décom."),IF(OR($AQ25="",$AS25=""),"",IF(AC$8&lt;$AQ25,"IKS",IF(AC$8&lt;$AS25,IF(AC$8=$AR25,"Bascule","Double run"),"ROKS"))))))</f>
        <v/>
      </c>
      <c r="AD25" s="51" t="str">
        <f aca="false">IF(OR($A25="",AD$8=""),"",IF($F25="Migré","ROKS",IF($F25="À décommissionner",IF(AD$8&lt;$AS25,"IKS","Décom."),IF(OR($AQ25="",$AS25=""),"",IF(AD$8&lt;$AQ25,"IKS",IF(AD$8&lt;$AS25,IF(AD$8=$AR25,"Bascule","Double run"),"ROKS"))))))</f>
        <v/>
      </c>
      <c r="AE25" s="51" t="str">
        <f aca="false">IF(OR($A25="",AE$8=""),"",IF($F25="Migré","ROKS",IF($F25="À décommissionner",IF(AE$8&lt;$AS25,"IKS","Décom."),IF(OR($AQ25="",$AS25=""),"",IF(AE$8&lt;$AQ25,"IKS",IF(AE$8&lt;$AS25,IF(AE$8=$AR25,"Bascule","Double run"),"ROKS"))))))</f>
        <v/>
      </c>
      <c r="AF25" s="51" t="str">
        <f aca="false">IF(OR($A25="",AF$8=""),"",IF($F25="Migré","ROKS",IF($F25="À décommissionner",IF(AF$8&lt;$AS25,"IKS","Décom."),IF(OR($AQ25="",$AS25=""),"",IF(AF$8&lt;$AQ25,"IKS",IF(AF$8&lt;$AS25,IF(AF$8=$AR25,"Bascule","Double run"),"ROKS"))))))</f>
        <v/>
      </c>
      <c r="AG25" s="51" t="str">
        <f aca="false">IF(OR($A25="",AG$8=""),"",IF($F25="Migré","ROKS",IF($F25="À décommissionner",IF(AG$8&lt;$AS25,"IKS","Décom."),IF(OR($AQ25="",$AS25=""),"",IF(AG$8&lt;$AQ25,"IKS",IF(AG$8&lt;$AS25,IF(AG$8=$AR25,"Bascule","Double run"),"ROKS"))))))</f>
        <v/>
      </c>
      <c r="AH25" s="51" t="str">
        <f aca="false">IF(OR($A25="",AH$8=""),"",IF($F25="Migré","ROKS",IF($F25="À décommissionner",IF(AH$8&lt;$AS25,"IKS","Décom."),IF(OR($AQ25="",$AS25=""),"",IF(AH$8&lt;$AQ25,"IKS",IF(AH$8&lt;$AS25,IF(AH$8=$AR25,"Bascule","Double run"),"ROKS"))))))</f>
        <v/>
      </c>
      <c r="AI25" s="51" t="str">
        <f aca="false">IF(OR($A25="",AI$8=""),"",IF($F25="Migré","ROKS",IF($F25="À décommissionner",IF(AI$8&lt;$AS25,"IKS","Décom."),IF(OR($AQ25="",$AS25=""),"",IF(AI$8&lt;$AQ25,"IKS",IF(AI$8&lt;$AS25,IF(AI$8=$AR25,"Bascule","Double run"),"ROKS"))))))</f>
        <v/>
      </c>
      <c r="AJ25" s="51" t="str">
        <f aca="false">IF(OR($A25="",AJ$8=""),"",IF($F25="Migré","ROKS",IF($F25="À décommissionner",IF(AJ$8&lt;$AS25,"IKS","Décom."),IF(OR($AQ25="",$AS25=""),"",IF(AJ$8&lt;$AQ25,"IKS",IF(AJ$8&lt;$AS25,IF(AJ$8=$AR25,"Bascule","Double run"),"ROKS"))))))</f>
        <v/>
      </c>
      <c r="AK25" s="51" t="str">
        <f aca="false">IF(OR($A25="",AK$8=""),"",IF($F25="Migré","ROKS",IF($F25="À décommissionner",IF(AK$8&lt;$AS25,"IKS","Décom."),IF(OR($AQ25="",$AS25=""),"",IF(AK$8&lt;$AQ25,"IKS",IF(AK$8&lt;$AS25,IF(AK$8=$AR25,"Bascule","Double run"),"ROKS"))))))</f>
        <v/>
      </c>
      <c r="AL25" s="51" t="str">
        <f aca="false">IF(OR($A25="",AL$8=""),"",IF($F25="Migré","ROKS",IF($F25="À décommissionner",IF(AL$8&lt;$AS25,"IKS","Décom."),IF(OR($AQ25="",$AS25=""),"",IF(AL$8&lt;$AQ25,"IKS",IF(AL$8&lt;$AS25,IF(AL$8=$AR25,"Bascule","Double run"),"ROKS"))))))</f>
        <v/>
      </c>
      <c r="AM25" s="51" t="str">
        <f aca="false">IF(OR($A25="",AM$8=""),"",IF($F25="Migré","ROKS",IF($F25="À décommissionner",IF(AM$8&lt;$AS25,"IKS","Décom."),IF(OR($AQ25="",$AS25=""),"",IF(AM$8&lt;$AQ25,"IKS",IF(AM$8&lt;$AS25,IF(AM$8=$AR25,"Bascule","Double run"),"ROKS"))))))</f>
        <v/>
      </c>
      <c r="AN25" s="51" t="str">
        <f aca="false">IF(OR($A25="",AN$8=""),"",IF($F25="Migré","ROKS",IF($F25="À décommissionner",IF(AN$8&lt;$AS25,"IKS","Décom."),IF(OR($AQ25="",$AS25=""),"",IF(AN$8&lt;$AQ25,"IKS",IF(AN$8&lt;$AS25,IF(AN$8=$AR25,"Bascule","Double run"),"ROKS"))))))</f>
        <v/>
      </c>
      <c r="AO25" s="51" t="str">
        <f aca="false">IF(OR($A25="",AO$8=""),"",IF($F25="Migré","ROKS",IF($F25="À décommissionner",IF(AO$8&lt;$AS25,"IKS","Décom."),IF(OR($AQ25="",$AS25=""),"",IF(AO$8&lt;$AQ25,"IKS",IF(AO$8&lt;$AS25,IF(AO$8=$AR25,"Bascule","Double run"),"ROKS"))))))</f>
        <v/>
      </c>
      <c r="AP25" s="51" t="str">
        <f aca="false">IF(OR($A25="",AP$8=""),"",IF($F25="Migré","ROKS",IF($F25="À décommissionner",IF(AP$8&lt;$AS25,"IKS","Décom."),IF(OR($AQ25="",$AS25=""),"",IF(AP$8&lt;$AQ25,"IKS",IF(AP$8&lt;$AS25,IF(AP$8=$AR25,"Bascule","Double run"),"ROKS"))))))</f>
        <v/>
      </c>
      <c r="AQ25" s="0" t="str">
        <f aca="false">IF($A25="","",INDEX(TblApplications[Mois prov (calc)],$A25))</f>
        <v/>
      </c>
      <c r="AR25" s="0" t="str">
        <f aca="false">IF($A25="","",IFERROR(DATE(YEAR(INDEX(TblApplications[Mois bascule],$A25)),MONTH(INDEX(TblApplications[Mois bascule],$A25)),1),""))</f>
        <v/>
      </c>
      <c r="AS25" s="0" t="str">
        <f aca="false">IF($A25="","",INDEX(TblApplications[Mois lib (calc)],$A25))</f>
        <v/>
      </c>
    </row>
    <row r="26" customFormat="false" ht="15" hidden="false" customHeight="false" outlineLevel="0" collapsed="false">
      <c r="A26" s="49" t="str">
        <f aca="false">IFERROR(MATCH(18,TblApplications[Rang frise],0),"")</f>
        <v/>
      </c>
      <c r="B26" s="50" t="str">
        <f aca="false">IF($A26="","",INDEX(TblApplications[ID],$A26))</f>
        <v/>
      </c>
      <c r="C26" s="50" t="str">
        <f aca="false">IF($A26="","",INDEX(TblApplications[Application],$A26))</f>
        <v/>
      </c>
      <c r="D26" s="50" t="str">
        <f aca="false">IF($A26="","",INDEX(TblApplications[Environnement],$A26))</f>
        <v/>
      </c>
      <c r="E26" s="50" t="str">
        <f aca="false">IF($A26="","",INDEX(TblApplications[Couloir],$A26))</f>
        <v/>
      </c>
      <c r="F26" s="50" t="str">
        <f aca="false">IF($A26="","",INDEX(TblApplications[Action],$A26))</f>
        <v/>
      </c>
      <c r="G26" s="51" t="str">
        <f aca="false">IF(OR($A26="",G$8=""),"",IF($F26="Migré","ROKS",IF($F26="À décommissionner",IF(G$8&lt;$AS26,"IKS","Décom."),IF(OR($AQ26="",$AS26=""),"",IF(G$8&lt;$AQ26,"IKS",IF(G$8&lt;$AS26,IF(G$8=$AR26,"Bascule","Double run"),"ROKS"))))))</f>
        <v/>
      </c>
      <c r="H26" s="51" t="str">
        <f aca="false">IF(OR($A26="",H$8=""),"",IF($F26="Migré","ROKS",IF($F26="À décommissionner",IF(H$8&lt;$AS26,"IKS","Décom."),IF(OR($AQ26="",$AS26=""),"",IF(H$8&lt;$AQ26,"IKS",IF(H$8&lt;$AS26,IF(H$8=$AR26,"Bascule","Double run"),"ROKS"))))))</f>
        <v/>
      </c>
      <c r="I26" s="51" t="str">
        <f aca="false">IF(OR($A26="",I$8=""),"",IF($F26="Migré","ROKS",IF($F26="À décommissionner",IF(I$8&lt;$AS26,"IKS","Décom."),IF(OR($AQ26="",$AS26=""),"",IF(I$8&lt;$AQ26,"IKS",IF(I$8&lt;$AS26,IF(I$8=$AR26,"Bascule","Double run"),"ROKS"))))))</f>
        <v/>
      </c>
      <c r="J26" s="51" t="str">
        <f aca="false">IF(OR($A26="",J$8=""),"",IF($F26="Migré","ROKS",IF($F26="À décommissionner",IF(J$8&lt;$AS26,"IKS","Décom."),IF(OR($AQ26="",$AS26=""),"",IF(J$8&lt;$AQ26,"IKS",IF(J$8&lt;$AS26,IF(J$8=$AR26,"Bascule","Double run"),"ROKS"))))))</f>
        <v/>
      </c>
      <c r="K26" s="51" t="str">
        <f aca="false">IF(OR($A26="",K$8=""),"",IF($F26="Migré","ROKS",IF($F26="À décommissionner",IF(K$8&lt;$AS26,"IKS","Décom."),IF(OR($AQ26="",$AS26=""),"",IF(K$8&lt;$AQ26,"IKS",IF(K$8&lt;$AS26,IF(K$8=$AR26,"Bascule","Double run"),"ROKS"))))))</f>
        <v/>
      </c>
      <c r="L26" s="51" t="str">
        <f aca="false">IF(OR($A26="",L$8=""),"",IF($F26="Migré","ROKS",IF($F26="À décommissionner",IF(L$8&lt;$AS26,"IKS","Décom."),IF(OR($AQ26="",$AS26=""),"",IF(L$8&lt;$AQ26,"IKS",IF(L$8&lt;$AS26,IF(L$8=$AR26,"Bascule","Double run"),"ROKS"))))))</f>
        <v/>
      </c>
      <c r="M26" s="51" t="str">
        <f aca="false">IF(OR($A26="",M$8=""),"",IF($F26="Migré","ROKS",IF($F26="À décommissionner",IF(M$8&lt;$AS26,"IKS","Décom."),IF(OR($AQ26="",$AS26=""),"",IF(M$8&lt;$AQ26,"IKS",IF(M$8&lt;$AS26,IF(M$8=$AR26,"Bascule","Double run"),"ROKS"))))))</f>
        <v/>
      </c>
      <c r="N26" s="51" t="str">
        <f aca="false">IF(OR($A26="",N$8=""),"",IF($F26="Migré","ROKS",IF($F26="À décommissionner",IF(N$8&lt;$AS26,"IKS","Décom."),IF(OR($AQ26="",$AS26=""),"",IF(N$8&lt;$AQ26,"IKS",IF(N$8&lt;$AS26,IF(N$8=$AR26,"Bascule","Double run"),"ROKS"))))))</f>
        <v/>
      </c>
      <c r="O26" s="51" t="str">
        <f aca="false">IF(OR($A26="",O$8=""),"",IF($F26="Migré","ROKS",IF($F26="À décommissionner",IF(O$8&lt;$AS26,"IKS","Décom."),IF(OR($AQ26="",$AS26=""),"",IF(O$8&lt;$AQ26,"IKS",IF(O$8&lt;$AS26,IF(O$8=$AR26,"Bascule","Double run"),"ROKS"))))))</f>
        <v/>
      </c>
      <c r="P26" s="51" t="str">
        <f aca="false">IF(OR($A26="",P$8=""),"",IF($F26="Migré","ROKS",IF($F26="À décommissionner",IF(P$8&lt;$AS26,"IKS","Décom."),IF(OR($AQ26="",$AS26=""),"",IF(P$8&lt;$AQ26,"IKS",IF(P$8&lt;$AS26,IF(P$8=$AR26,"Bascule","Double run"),"ROKS"))))))</f>
        <v/>
      </c>
      <c r="Q26" s="51" t="str">
        <f aca="false">IF(OR($A26="",Q$8=""),"",IF($F26="Migré","ROKS",IF($F26="À décommissionner",IF(Q$8&lt;$AS26,"IKS","Décom."),IF(OR($AQ26="",$AS26=""),"",IF(Q$8&lt;$AQ26,"IKS",IF(Q$8&lt;$AS26,IF(Q$8=$AR26,"Bascule","Double run"),"ROKS"))))))</f>
        <v/>
      </c>
      <c r="R26" s="51" t="str">
        <f aca="false">IF(OR($A26="",R$8=""),"",IF($F26="Migré","ROKS",IF($F26="À décommissionner",IF(R$8&lt;$AS26,"IKS","Décom."),IF(OR($AQ26="",$AS26=""),"",IF(R$8&lt;$AQ26,"IKS",IF(R$8&lt;$AS26,IF(R$8=$AR26,"Bascule","Double run"),"ROKS"))))))</f>
        <v/>
      </c>
      <c r="S26" s="51" t="str">
        <f aca="false">IF(OR($A26="",S$8=""),"",IF($F26="Migré","ROKS",IF($F26="À décommissionner",IF(S$8&lt;$AS26,"IKS","Décom."),IF(OR($AQ26="",$AS26=""),"",IF(S$8&lt;$AQ26,"IKS",IF(S$8&lt;$AS26,IF(S$8=$AR26,"Bascule","Double run"),"ROKS"))))))</f>
        <v/>
      </c>
      <c r="T26" s="51" t="str">
        <f aca="false">IF(OR($A26="",T$8=""),"",IF($F26="Migré","ROKS",IF($F26="À décommissionner",IF(T$8&lt;$AS26,"IKS","Décom."),IF(OR($AQ26="",$AS26=""),"",IF(T$8&lt;$AQ26,"IKS",IF(T$8&lt;$AS26,IF(T$8=$AR26,"Bascule","Double run"),"ROKS"))))))</f>
        <v/>
      </c>
      <c r="U26" s="51" t="str">
        <f aca="false">IF(OR($A26="",U$8=""),"",IF($F26="Migré","ROKS",IF($F26="À décommissionner",IF(U$8&lt;$AS26,"IKS","Décom."),IF(OR($AQ26="",$AS26=""),"",IF(U$8&lt;$AQ26,"IKS",IF(U$8&lt;$AS26,IF(U$8=$AR26,"Bascule","Double run"),"ROKS"))))))</f>
        <v/>
      </c>
      <c r="V26" s="51" t="str">
        <f aca="false">IF(OR($A26="",V$8=""),"",IF($F26="Migré","ROKS",IF($F26="À décommissionner",IF(V$8&lt;$AS26,"IKS","Décom."),IF(OR($AQ26="",$AS26=""),"",IF(V$8&lt;$AQ26,"IKS",IF(V$8&lt;$AS26,IF(V$8=$AR26,"Bascule","Double run"),"ROKS"))))))</f>
        <v/>
      </c>
      <c r="W26" s="51" t="str">
        <f aca="false">IF(OR($A26="",W$8=""),"",IF($F26="Migré","ROKS",IF($F26="À décommissionner",IF(W$8&lt;$AS26,"IKS","Décom."),IF(OR($AQ26="",$AS26=""),"",IF(W$8&lt;$AQ26,"IKS",IF(W$8&lt;$AS26,IF(W$8=$AR26,"Bascule","Double run"),"ROKS"))))))</f>
        <v/>
      </c>
      <c r="X26" s="51" t="str">
        <f aca="false">IF(OR($A26="",X$8=""),"",IF($F26="Migré","ROKS",IF($F26="À décommissionner",IF(X$8&lt;$AS26,"IKS","Décom."),IF(OR($AQ26="",$AS26=""),"",IF(X$8&lt;$AQ26,"IKS",IF(X$8&lt;$AS26,IF(X$8=$AR26,"Bascule","Double run"),"ROKS"))))))</f>
        <v/>
      </c>
      <c r="Y26" s="51" t="str">
        <f aca="false">IF(OR($A26="",Y$8=""),"",IF($F26="Migré","ROKS",IF($F26="À décommissionner",IF(Y$8&lt;$AS26,"IKS","Décom."),IF(OR($AQ26="",$AS26=""),"",IF(Y$8&lt;$AQ26,"IKS",IF(Y$8&lt;$AS26,IF(Y$8=$AR26,"Bascule","Double run"),"ROKS"))))))</f>
        <v/>
      </c>
      <c r="Z26" s="51" t="str">
        <f aca="false">IF(OR($A26="",Z$8=""),"",IF($F26="Migré","ROKS",IF($F26="À décommissionner",IF(Z$8&lt;$AS26,"IKS","Décom."),IF(OR($AQ26="",$AS26=""),"",IF(Z$8&lt;$AQ26,"IKS",IF(Z$8&lt;$AS26,IF(Z$8=$AR26,"Bascule","Double run"),"ROKS"))))))</f>
        <v/>
      </c>
      <c r="AA26" s="51" t="str">
        <f aca="false">IF(OR($A26="",AA$8=""),"",IF($F26="Migré","ROKS",IF($F26="À décommissionner",IF(AA$8&lt;$AS26,"IKS","Décom."),IF(OR($AQ26="",$AS26=""),"",IF(AA$8&lt;$AQ26,"IKS",IF(AA$8&lt;$AS26,IF(AA$8=$AR26,"Bascule","Double run"),"ROKS"))))))</f>
        <v/>
      </c>
      <c r="AB26" s="51" t="str">
        <f aca="false">IF(OR($A26="",AB$8=""),"",IF($F26="Migré","ROKS",IF($F26="À décommissionner",IF(AB$8&lt;$AS26,"IKS","Décom."),IF(OR($AQ26="",$AS26=""),"",IF(AB$8&lt;$AQ26,"IKS",IF(AB$8&lt;$AS26,IF(AB$8=$AR26,"Bascule","Double run"),"ROKS"))))))</f>
        <v/>
      </c>
      <c r="AC26" s="51" t="str">
        <f aca="false">IF(OR($A26="",AC$8=""),"",IF($F26="Migré","ROKS",IF($F26="À décommissionner",IF(AC$8&lt;$AS26,"IKS","Décom."),IF(OR($AQ26="",$AS26=""),"",IF(AC$8&lt;$AQ26,"IKS",IF(AC$8&lt;$AS26,IF(AC$8=$AR26,"Bascule","Double run"),"ROKS"))))))</f>
        <v/>
      </c>
      <c r="AD26" s="51" t="str">
        <f aca="false">IF(OR($A26="",AD$8=""),"",IF($F26="Migré","ROKS",IF($F26="À décommissionner",IF(AD$8&lt;$AS26,"IKS","Décom."),IF(OR($AQ26="",$AS26=""),"",IF(AD$8&lt;$AQ26,"IKS",IF(AD$8&lt;$AS26,IF(AD$8=$AR26,"Bascule","Double run"),"ROKS"))))))</f>
        <v/>
      </c>
      <c r="AE26" s="51" t="str">
        <f aca="false">IF(OR($A26="",AE$8=""),"",IF($F26="Migré","ROKS",IF($F26="À décommissionner",IF(AE$8&lt;$AS26,"IKS","Décom."),IF(OR($AQ26="",$AS26=""),"",IF(AE$8&lt;$AQ26,"IKS",IF(AE$8&lt;$AS26,IF(AE$8=$AR26,"Bascule","Double run"),"ROKS"))))))</f>
        <v/>
      </c>
      <c r="AF26" s="51" t="str">
        <f aca="false">IF(OR($A26="",AF$8=""),"",IF($F26="Migré","ROKS",IF($F26="À décommissionner",IF(AF$8&lt;$AS26,"IKS","Décom."),IF(OR($AQ26="",$AS26=""),"",IF(AF$8&lt;$AQ26,"IKS",IF(AF$8&lt;$AS26,IF(AF$8=$AR26,"Bascule","Double run"),"ROKS"))))))</f>
        <v/>
      </c>
      <c r="AG26" s="51" t="str">
        <f aca="false">IF(OR($A26="",AG$8=""),"",IF($F26="Migré","ROKS",IF($F26="À décommissionner",IF(AG$8&lt;$AS26,"IKS","Décom."),IF(OR($AQ26="",$AS26=""),"",IF(AG$8&lt;$AQ26,"IKS",IF(AG$8&lt;$AS26,IF(AG$8=$AR26,"Bascule","Double run"),"ROKS"))))))</f>
        <v/>
      </c>
      <c r="AH26" s="51" t="str">
        <f aca="false">IF(OR($A26="",AH$8=""),"",IF($F26="Migré","ROKS",IF($F26="À décommissionner",IF(AH$8&lt;$AS26,"IKS","Décom."),IF(OR($AQ26="",$AS26=""),"",IF(AH$8&lt;$AQ26,"IKS",IF(AH$8&lt;$AS26,IF(AH$8=$AR26,"Bascule","Double run"),"ROKS"))))))</f>
        <v/>
      </c>
      <c r="AI26" s="51" t="str">
        <f aca="false">IF(OR($A26="",AI$8=""),"",IF($F26="Migré","ROKS",IF($F26="À décommissionner",IF(AI$8&lt;$AS26,"IKS","Décom."),IF(OR($AQ26="",$AS26=""),"",IF(AI$8&lt;$AQ26,"IKS",IF(AI$8&lt;$AS26,IF(AI$8=$AR26,"Bascule","Double run"),"ROKS"))))))</f>
        <v/>
      </c>
      <c r="AJ26" s="51" t="str">
        <f aca="false">IF(OR($A26="",AJ$8=""),"",IF($F26="Migré","ROKS",IF($F26="À décommissionner",IF(AJ$8&lt;$AS26,"IKS","Décom."),IF(OR($AQ26="",$AS26=""),"",IF(AJ$8&lt;$AQ26,"IKS",IF(AJ$8&lt;$AS26,IF(AJ$8=$AR26,"Bascule","Double run"),"ROKS"))))))</f>
        <v/>
      </c>
      <c r="AK26" s="51" t="str">
        <f aca="false">IF(OR($A26="",AK$8=""),"",IF($F26="Migré","ROKS",IF($F26="À décommissionner",IF(AK$8&lt;$AS26,"IKS","Décom."),IF(OR($AQ26="",$AS26=""),"",IF(AK$8&lt;$AQ26,"IKS",IF(AK$8&lt;$AS26,IF(AK$8=$AR26,"Bascule","Double run"),"ROKS"))))))</f>
        <v/>
      </c>
      <c r="AL26" s="51" t="str">
        <f aca="false">IF(OR($A26="",AL$8=""),"",IF($F26="Migré","ROKS",IF($F26="À décommissionner",IF(AL$8&lt;$AS26,"IKS","Décom."),IF(OR($AQ26="",$AS26=""),"",IF(AL$8&lt;$AQ26,"IKS",IF(AL$8&lt;$AS26,IF(AL$8=$AR26,"Bascule","Double run"),"ROKS"))))))</f>
        <v/>
      </c>
      <c r="AM26" s="51" t="str">
        <f aca="false">IF(OR($A26="",AM$8=""),"",IF($F26="Migré","ROKS",IF($F26="À décommissionner",IF(AM$8&lt;$AS26,"IKS","Décom."),IF(OR($AQ26="",$AS26=""),"",IF(AM$8&lt;$AQ26,"IKS",IF(AM$8&lt;$AS26,IF(AM$8=$AR26,"Bascule","Double run"),"ROKS"))))))</f>
        <v/>
      </c>
      <c r="AN26" s="51" t="str">
        <f aca="false">IF(OR($A26="",AN$8=""),"",IF($F26="Migré","ROKS",IF($F26="À décommissionner",IF(AN$8&lt;$AS26,"IKS","Décom."),IF(OR($AQ26="",$AS26=""),"",IF(AN$8&lt;$AQ26,"IKS",IF(AN$8&lt;$AS26,IF(AN$8=$AR26,"Bascule","Double run"),"ROKS"))))))</f>
        <v/>
      </c>
      <c r="AO26" s="51" t="str">
        <f aca="false">IF(OR($A26="",AO$8=""),"",IF($F26="Migré","ROKS",IF($F26="À décommissionner",IF(AO$8&lt;$AS26,"IKS","Décom."),IF(OR($AQ26="",$AS26=""),"",IF(AO$8&lt;$AQ26,"IKS",IF(AO$8&lt;$AS26,IF(AO$8=$AR26,"Bascule","Double run"),"ROKS"))))))</f>
        <v/>
      </c>
      <c r="AP26" s="51" t="str">
        <f aca="false">IF(OR($A26="",AP$8=""),"",IF($F26="Migré","ROKS",IF($F26="À décommissionner",IF(AP$8&lt;$AS26,"IKS","Décom."),IF(OR($AQ26="",$AS26=""),"",IF(AP$8&lt;$AQ26,"IKS",IF(AP$8&lt;$AS26,IF(AP$8=$AR26,"Bascule","Double run"),"ROKS"))))))</f>
        <v/>
      </c>
      <c r="AQ26" s="0" t="str">
        <f aca="false">IF($A26="","",INDEX(TblApplications[Mois prov (calc)],$A26))</f>
        <v/>
      </c>
      <c r="AR26" s="0" t="str">
        <f aca="false">IF($A26="","",IFERROR(DATE(YEAR(INDEX(TblApplications[Mois bascule],$A26)),MONTH(INDEX(TblApplications[Mois bascule],$A26)),1),""))</f>
        <v/>
      </c>
      <c r="AS26" s="0" t="str">
        <f aca="false">IF($A26="","",INDEX(TblApplications[Mois lib (calc)],$A26))</f>
        <v/>
      </c>
    </row>
    <row r="27" customFormat="false" ht="15" hidden="false" customHeight="false" outlineLevel="0" collapsed="false">
      <c r="A27" s="49" t="str">
        <f aca="false">IFERROR(MATCH(19,TblApplications[Rang frise],0),"")</f>
        <v/>
      </c>
      <c r="B27" s="50" t="str">
        <f aca="false">IF($A27="","",INDEX(TblApplications[ID],$A27))</f>
        <v/>
      </c>
      <c r="C27" s="50" t="str">
        <f aca="false">IF($A27="","",INDEX(TblApplications[Application],$A27))</f>
        <v/>
      </c>
      <c r="D27" s="50" t="str">
        <f aca="false">IF($A27="","",INDEX(TblApplications[Environnement],$A27))</f>
        <v/>
      </c>
      <c r="E27" s="50" t="str">
        <f aca="false">IF($A27="","",INDEX(TblApplications[Couloir],$A27))</f>
        <v/>
      </c>
      <c r="F27" s="50" t="str">
        <f aca="false">IF($A27="","",INDEX(TblApplications[Action],$A27))</f>
        <v/>
      </c>
      <c r="G27" s="51" t="str">
        <f aca="false">IF(OR($A27="",G$8=""),"",IF($F27="Migré","ROKS",IF($F27="À décommissionner",IF(G$8&lt;$AS27,"IKS","Décom."),IF(OR($AQ27="",$AS27=""),"",IF(G$8&lt;$AQ27,"IKS",IF(G$8&lt;$AS27,IF(G$8=$AR27,"Bascule","Double run"),"ROKS"))))))</f>
        <v/>
      </c>
      <c r="H27" s="51" t="str">
        <f aca="false">IF(OR($A27="",H$8=""),"",IF($F27="Migré","ROKS",IF($F27="À décommissionner",IF(H$8&lt;$AS27,"IKS","Décom."),IF(OR($AQ27="",$AS27=""),"",IF(H$8&lt;$AQ27,"IKS",IF(H$8&lt;$AS27,IF(H$8=$AR27,"Bascule","Double run"),"ROKS"))))))</f>
        <v/>
      </c>
      <c r="I27" s="51" t="str">
        <f aca="false">IF(OR($A27="",I$8=""),"",IF($F27="Migré","ROKS",IF($F27="À décommissionner",IF(I$8&lt;$AS27,"IKS","Décom."),IF(OR($AQ27="",$AS27=""),"",IF(I$8&lt;$AQ27,"IKS",IF(I$8&lt;$AS27,IF(I$8=$AR27,"Bascule","Double run"),"ROKS"))))))</f>
        <v/>
      </c>
      <c r="J27" s="51" t="str">
        <f aca="false">IF(OR($A27="",J$8=""),"",IF($F27="Migré","ROKS",IF($F27="À décommissionner",IF(J$8&lt;$AS27,"IKS","Décom."),IF(OR($AQ27="",$AS27=""),"",IF(J$8&lt;$AQ27,"IKS",IF(J$8&lt;$AS27,IF(J$8=$AR27,"Bascule","Double run"),"ROKS"))))))</f>
        <v/>
      </c>
      <c r="K27" s="51" t="str">
        <f aca="false">IF(OR($A27="",K$8=""),"",IF($F27="Migré","ROKS",IF($F27="À décommissionner",IF(K$8&lt;$AS27,"IKS","Décom."),IF(OR($AQ27="",$AS27=""),"",IF(K$8&lt;$AQ27,"IKS",IF(K$8&lt;$AS27,IF(K$8=$AR27,"Bascule","Double run"),"ROKS"))))))</f>
        <v/>
      </c>
      <c r="L27" s="51" t="str">
        <f aca="false">IF(OR($A27="",L$8=""),"",IF($F27="Migré","ROKS",IF($F27="À décommissionner",IF(L$8&lt;$AS27,"IKS","Décom."),IF(OR($AQ27="",$AS27=""),"",IF(L$8&lt;$AQ27,"IKS",IF(L$8&lt;$AS27,IF(L$8=$AR27,"Bascule","Double run"),"ROKS"))))))</f>
        <v/>
      </c>
      <c r="M27" s="51" t="str">
        <f aca="false">IF(OR($A27="",M$8=""),"",IF($F27="Migré","ROKS",IF($F27="À décommissionner",IF(M$8&lt;$AS27,"IKS","Décom."),IF(OR($AQ27="",$AS27=""),"",IF(M$8&lt;$AQ27,"IKS",IF(M$8&lt;$AS27,IF(M$8=$AR27,"Bascule","Double run"),"ROKS"))))))</f>
        <v/>
      </c>
      <c r="N27" s="51" t="str">
        <f aca="false">IF(OR($A27="",N$8=""),"",IF($F27="Migré","ROKS",IF($F27="À décommissionner",IF(N$8&lt;$AS27,"IKS","Décom."),IF(OR($AQ27="",$AS27=""),"",IF(N$8&lt;$AQ27,"IKS",IF(N$8&lt;$AS27,IF(N$8=$AR27,"Bascule","Double run"),"ROKS"))))))</f>
        <v/>
      </c>
      <c r="O27" s="51" t="str">
        <f aca="false">IF(OR($A27="",O$8=""),"",IF($F27="Migré","ROKS",IF($F27="À décommissionner",IF(O$8&lt;$AS27,"IKS","Décom."),IF(OR($AQ27="",$AS27=""),"",IF(O$8&lt;$AQ27,"IKS",IF(O$8&lt;$AS27,IF(O$8=$AR27,"Bascule","Double run"),"ROKS"))))))</f>
        <v/>
      </c>
      <c r="P27" s="51" t="str">
        <f aca="false">IF(OR($A27="",P$8=""),"",IF($F27="Migré","ROKS",IF($F27="À décommissionner",IF(P$8&lt;$AS27,"IKS","Décom."),IF(OR($AQ27="",$AS27=""),"",IF(P$8&lt;$AQ27,"IKS",IF(P$8&lt;$AS27,IF(P$8=$AR27,"Bascule","Double run"),"ROKS"))))))</f>
        <v/>
      </c>
      <c r="Q27" s="51" t="str">
        <f aca="false">IF(OR($A27="",Q$8=""),"",IF($F27="Migré","ROKS",IF($F27="À décommissionner",IF(Q$8&lt;$AS27,"IKS","Décom."),IF(OR($AQ27="",$AS27=""),"",IF(Q$8&lt;$AQ27,"IKS",IF(Q$8&lt;$AS27,IF(Q$8=$AR27,"Bascule","Double run"),"ROKS"))))))</f>
        <v/>
      </c>
      <c r="R27" s="51" t="str">
        <f aca="false">IF(OR($A27="",R$8=""),"",IF($F27="Migré","ROKS",IF($F27="À décommissionner",IF(R$8&lt;$AS27,"IKS","Décom."),IF(OR($AQ27="",$AS27=""),"",IF(R$8&lt;$AQ27,"IKS",IF(R$8&lt;$AS27,IF(R$8=$AR27,"Bascule","Double run"),"ROKS"))))))</f>
        <v/>
      </c>
      <c r="S27" s="51" t="str">
        <f aca="false">IF(OR($A27="",S$8=""),"",IF($F27="Migré","ROKS",IF($F27="À décommissionner",IF(S$8&lt;$AS27,"IKS","Décom."),IF(OR($AQ27="",$AS27=""),"",IF(S$8&lt;$AQ27,"IKS",IF(S$8&lt;$AS27,IF(S$8=$AR27,"Bascule","Double run"),"ROKS"))))))</f>
        <v/>
      </c>
      <c r="T27" s="51" t="str">
        <f aca="false">IF(OR($A27="",T$8=""),"",IF($F27="Migré","ROKS",IF($F27="À décommissionner",IF(T$8&lt;$AS27,"IKS","Décom."),IF(OR($AQ27="",$AS27=""),"",IF(T$8&lt;$AQ27,"IKS",IF(T$8&lt;$AS27,IF(T$8=$AR27,"Bascule","Double run"),"ROKS"))))))</f>
        <v/>
      </c>
      <c r="U27" s="51" t="str">
        <f aca="false">IF(OR($A27="",U$8=""),"",IF($F27="Migré","ROKS",IF($F27="À décommissionner",IF(U$8&lt;$AS27,"IKS","Décom."),IF(OR($AQ27="",$AS27=""),"",IF(U$8&lt;$AQ27,"IKS",IF(U$8&lt;$AS27,IF(U$8=$AR27,"Bascule","Double run"),"ROKS"))))))</f>
        <v/>
      </c>
      <c r="V27" s="51" t="str">
        <f aca="false">IF(OR($A27="",V$8=""),"",IF($F27="Migré","ROKS",IF($F27="À décommissionner",IF(V$8&lt;$AS27,"IKS","Décom."),IF(OR($AQ27="",$AS27=""),"",IF(V$8&lt;$AQ27,"IKS",IF(V$8&lt;$AS27,IF(V$8=$AR27,"Bascule","Double run"),"ROKS"))))))</f>
        <v/>
      </c>
      <c r="W27" s="51" t="str">
        <f aca="false">IF(OR($A27="",W$8=""),"",IF($F27="Migré","ROKS",IF($F27="À décommissionner",IF(W$8&lt;$AS27,"IKS","Décom."),IF(OR($AQ27="",$AS27=""),"",IF(W$8&lt;$AQ27,"IKS",IF(W$8&lt;$AS27,IF(W$8=$AR27,"Bascule","Double run"),"ROKS"))))))</f>
        <v/>
      </c>
      <c r="X27" s="51" t="str">
        <f aca="false">IF(OR($A27="",X$8=""),"",IF($F27="Migré","ROKS",IF($F27="À décommissionner",IF(X$8&lt;$AS27,"IKS","Décom."),IF(OR($AQ27="",$AS27=""),"",IF(X$8&lt;$AQ27,"IKS",IF(X$8&lt;$AS27,IF(X$8=$AR27,"Bascule","Double run"),"ROKS"))))))</f>
        <v/>
      </c>
      <c r="Y27" s="51" t="str">
        <f aca="false">IF(OR($A27="",Y$8=""),"",IF($F27="Migré","ROKS",IF($F27="À décommissionner",IF(Y$8&lt;$AS27,"IKS","Décom."),IF(OR($AQ27="",$AS27=""),"",IF(Y$8&lt;$AQ27,"IKS",IF(Y$8&lt;$AS27,IF(Y$8=$AR27,"Bascule","Double run"),"ROKS"))))))</f>
        <v/>
      </c>
      <c r="Z27" s="51" t="str">
        <f aca="false">IF(OR($A27="",Z$8=""),"",IF($F27="Migré","ROKS",IF($F27="À décommissionner",IF(Z$8&lt;$AS27,"IKS","Décom."),IF(OR($AQ27="",$AS27=""),"",IF(Z$8&lt;$AQ27,"IKS",IF(Z$8&lt;$AS27,IF(Z$8=$AR27,"Bascule","Double run"),"ROKS"))))))</f>
        <v/>
      </c>
      <c r="AA27" s="51" t="str">
        <f aca="false">IF(OR($A27="",AA$8=""),"",IF($F27="Migré","ROKS",IF($F27="À décommissionner",IF(AA$8&lt;$AS27,"IKS","Décom."),IF(OR($AQ27="",$AS27=""),"",IF(AA$8&lt;$AQ27,"IKS",IF(AA$8&lt;$AS27,IF(AA$8=$AR27,"Bascule","Double run"),"ROKS"))))))</f>
        <v/>
      </c>
      <c r="AB27" s="51" t="str">
        <f aca="false">IF(OR($A27="",AB$8=""),"",IF($F27="Migré","ROKS",IF($F27="À décommissionner",IF(AB$8&lt;$AS27,"IKS","Décom."),IF(OR($AQ27="",$AS27=""),"",IF(AB$8&lt;$AQ27,"IKS",IF(AB$8&lt;$AS27,IF(AB$8=$AR27,"Bascule","Double run"),"ROKS"))))))</f>
        <v/>
      </c>
      <c r="AC27" s="51" t="str">
        <f aca="false">IF(OR($A27="",AC$8=""),"",IF($F27="Migré","ROKS",IF($F27="À décommissionner",IF(AC$8&lt;$AS27,"IKS","Décom."),IF(OR($AQ27="",$AS27=""),"",IF(AC$8&lt;$AQ27,"IKS",IF(AC$8&lt;$AS27,IF(AC$8=$AR27,"Bascule","Double run"),"ROKS"))))))</f>
        <v/>
      </c>
      <c r="AD27" s="51" t="str">
        <f aca="false">IF(OR($A27="",AD$8=""),"",IF($F27="Migré","ROKS",IF($F27="À décommissionner",IF(AD$8&lt;$AS27,"IKS","Décom."),IF(OR($AQ27="",$AS27=""),"",IF(AD$8&lt;$AQ27,"IKS",IF(AD$8&lt;$AS27,IF(AD$8=$AR27,"Bascule","Double run"),"ROKS"))))))</f>
        <v/>
      </c>
      <c r="AE27" s="51" t="str">
        <f aca="false">IF(OR($A27="",AE$8=""),"",IF($F27="Migré","ROKS",IF($F27="À décommissionner",IF(AE$8&lt;$AS27,"IKS","Décom."),IF(OR($AQ27="",$AS27=""),"",IF(AE$8&lt;$AQ27,"IKS",IF(AE$8&lt;$AS27,IF(AE$8=$AR27,"Bascule","Double run"),"ROKS"))))))</f>
        <v/>
      </c>
      <c r="AF27" s="51" t="str">
        <f aca="false">IF(OR($A27="",AF$8=""),"",IF($F27="Migré","ROKS",IF($F27="À décommissionner",IF(AF$8&lt;$AS27,"IKS","Décom."),IF(OR($AQ27="",$AS27=""),"",IF(AF$8&lt;$AQ27,"IKS",IF(AF$8&lt;$AS27,IF(AF$8=$AR27,"Bascule","Double run"),"ROKS"))))))</f>
        <v/>
      </c>
      <c r="AG27" s="51" t="str">
        <f aca="false">IF(OR($A27="",AG$8=""),"",IF($F27="Migré","ROKS",IF($F27="À décommissionner",IF(AG$8&lt;$AS27,"IKS","Décom."),IF(OR($AQ27="",$AS27=""),"",IF(AG$8&lt;$AQ27,"IKS",IF(AG$8&lt;$AS27,IF(AG$8=$AR27,"Bascule","Double run"),"ROKS"))))))</f>
        <v/>
      </c>
      <c r="AH27" s="51" t="str">
        <f aca="false">IF(OR($A27="",AH$8=""),"",IF($F27="Migré","ROKS",IF($F27="À décommissionner",IF(AH$8&lt;$AS27,"IKS","Décom."),IF(OR($AQ27="",$AS27=""),"",IF(AH$8&lt;$AQ27,"IKS",IF(AH$8&lt;$AS27,IF(AH$8=$AR27,"Bascule","Double run"),"ROKS"))))))</f>
        <v/>
      </c>
      <c r="AI27" s="51" t="str">
        <f aca="false">IF(OR($A27="",AI$8=""),"",IF($F27="Migré","ROKS",IF($F27="À décommissionner",IF(AI$8&lt;$AS27,"IKS","Décom."),IF(OR($AQ27="",$AS27=""),"",IF(AI$8&lt;$AQ27,"IKS",IF(AI$8&lt;$AS27,IF(AI$8=$AR27,"Bascule","Double run"),"ROKS"))))))</f>
        <v/>
      </c>
      <c r="AJ27" s="51" t="str">
        <f aca="false">IF(OR($A27="",AJ$8=""),"",IF($F27="Migré","ROKS",IF($F27="À décommissionner",IF(AJ$8&lt;$AS27,"IKS","Décom."),IF(OR($AQ27="",$AS27=""),"",IF(AJ$8&lt;$AQ27,"IKS",IF(AJ$8&lt;$AS27,IF(AJ$8=$AR27,"Bascule","Double run"),"ROKS"))))))</f>
        <v/>
      </c>
      <c r="AK27" s="51" t="str">
        <f aca="false">IF(OR($A27="",AK$8=""),"",IF($F27="Migré","ROKS",IF($F27="À décommissionner",IF(AK$8&lt;$AS27,"IKS","Décom."),IF(OR($AQ27="",$AS27=""),"",IF(AK$8&lt;$AQ27,"IKS",IF(AK$8&lt;$AS27,IF(AK$8=$AR27,"Bascule","Double run"),"ROKS"))))))</f>
        <v/>
      </c>
      <c r="AL27" s="51" t="str">
        <f aca="false">IF(OR($A27="",AL$8=""),"",IF($F27="Migré","ROKS",IF($F27="À décommissionner",IF(AL$8&lt;$AS27,"IKS","Décom."),IF(OR($AQ27="",$AS27=""),"",IF(AL$8&lt;$AQ27,"IKS",IF(AL$8&lt;$AS27,IF(AL$8=$AR27,"Bascule","Double run"),"ROKS"))))))</f>
        <v/>
      </c>
      <c r="AM27" s="51" t="str">
        <f aca="false">IF(OR($A27="",AM$8=""),"",IF($F27="Migré","ROKS",IF($F27="À décommissionner",IF(AM$8&lt;$AS27,"IKS","Décom."),IF(OR($AQ27="",$AS27=""),"",IF(AM$8&lt;$AQ27,"IKS",IF(AM$8&lt;$AS27,IF(AM$8=$AR27,"Bascule","Double run"),"ROKS"))))))</f>
        <v/>
      </c>
      <c r="AN27" s="51" t="str">
        <f aca="false">IF(OR($A27="",AN$8=""),"",IF($F27="Migré","ROKS",IF($F27="À décommissionner",IF(AN$8&lt;$AS27,"IKS","Décom."),IF(OR($AQ27="",$AS27=""),"",IF(AN$8&lt;$AQ27,"IKS",IF(AN$8&lt;$AS27,IF(AN$8=$AR27,"Bascule","Double run"),"ROKS"))))))</f>
        <v/>
      </c>
      <c r="AO27" s="51" t="str">
        <f aca="false">IF(OR($A27="",AO$8=""),"",IF($F27="Migré","ROKS",IF($F27="À décommissionner",IF(AO$8&lt;$AS27,"IKS","Décom."),IF(OR($AQ27="",$AS27=""),"",IF(AO$8&lt;$AQ27,"IKS",IF(AO$8&lt;$AS27,IF(AO$8=$AR27,"Bascule","Double run"),"ROKS"))))))</f>
        <v/>
      </c>
      <c r="AP27" s="51" t="str">
        <f aca="false">IF(OR($A27="",AP$8=""),"",IF($F27="Migré","ROKS",IF($F27="À décommissionner",IF(AP$8&lt;$AS27,"IKS","Décom."),IF(OR($AQ27="",$AS27=""),"",IF(AP$8&lt;$AQ27,"IKS",IF(AP$8&lt;$AS27,IF(AP$8=$AR27,"Bascule","Double run"),"ROKS"))))))</f>
        <v/>
      </c>
      <c r="AQ27" s="0" t="str">
        <f aca="false">IF($A27="","",INDEX(TblApplications[Mois prov (calc)],$A27))</f>
        <v/>
      </c>
      <c r="AR27" s="0" t="str">
        <f aca="false">IF($A27="","",IFERROR(DATE(YEAR(INDEX(TblApplications[Mois bascule],$A27)),MONTH(INDEX(TblApplications[Mois bascule],$A27)),1),""))</f>
        <v/>
      </c>
      <c r="AS27" s="0" t="str">
        <f aca="false">IF($A27="","",INDEX(TblApplications[Mois lib (calc)],$A27))</f>
        <v/>
      </c>
    </row>
    <row r="28" customFormat="false" ht="15" hidden="false" customHeight="false" outlineLevel="0" collapsed="false">
      <c r="A28" s="49" t="str">
        <f aca="false">IFERROR(MATCH(20,TblApplications[Rang frise],0),"")</f>
        <v/>
      </c>
      <c r="B28" s="50" t="str">
        <f aca="false">IF($A28="","",INDEX(TblApplications[ID],$A28))</f>
        <v/>
      </c>
      <c r="C28" s="50" t="str">
        <f aca="false">IF($A28="","",INDEX(TblApplications[Application],$A28))</f>
        <v/>
      </c>
      <c r="D28" s="50" t="str">
        <f aca="false">IF($A28="","",INDEX(TblApplications[Environnement],$A28))</f>
        <v/>
      </c>
      <c r="E28" s="50" t="str">
        <f aca="false">IF($A28="","",INDEX(TblApplications[Couloir],$A28))</f>
        <v/>
      </c>
      <c r="F28" s="50" t="str">
        <f aca="false">IF($A28="","",INDEX(TblApplications[Action],$A28))</f>
        <v/>
      </c>
      <c r="G28" s="51" t="str">
        <f aca="false">IF(OR($A28="",G$8=""),"",IF($F28="Migré","ROKS",IF($F28="À décommissionner",IF(G$8&lt;$AS28,"IKS","Décom."),IF(OR($AQ28="",$AS28=""),"",IF(G$8&lt;$AQ28,"IKS",IF(G$8&lt;$AS28,IF(G$8=$AR28,"Bascule","Double run"),"ROKS"))))))</f>
        <v/>
      </c>
      <c r="H28" s="51" t="str">
        <f aca="false">IF(OR($A28="",H$8=""),"",IF($F28="Migré","ROKS",IF($F28="À décommissionner",IF(H$8&lt;$AS28,"IKS","Décom."),IF(OR($AQ28="",$AS28=""),"",IF(H$8&lt;$AQ28,"IKS",IF(H$8&lt;$AS28,IF(H$8=$AR28,"Bascule","Double run"),"ROKS"))))))</f>
        <v/>
      </c>
      <c r="I28" s="51" t="str">
        <f aca="false">IF(OR($A28="",I$8=""),"",IF($F28="Migré","ROKS",IF($F28="À décommissionner",IF(I$8&lt;$AS28,"IKS","Décom."),IF(OR($AQ28="",$AS28=""),"",IF(I$8&lt;$AQ28,"IKS",IF(I$8&lt;$AS28,IF(I$8=$AR28,"Bascule","Double run"),"ROKS"))))))</f>
        <v/>
      </c>
      <c r="J28" s="51" t="str">
        <f aca="false">IF(OR($A28="",J$8=""),"",IF($F28="Migré","ROKS",IF($F28="À décommissionner",IF(J$8&lt;$AS28,"IKS","Décom."),IF(OR($AQ28="",$AS28=""),"",IF(J$8&lt;$AQ28,"IKS",IF(J$8&lt;$AS28,IF(J$8=$AR28,"Bascule","Double run"),"ROKS"))))))</f>
        <v/>
      </c>
      <c r="K28" s="51" t="str">
        <f aca="false">IF(OR($A28="",K$8=""),"",IF($F28="Migré","ROKS",IF($F28="À décommissionner",IF(K$8&lt;$AS28,"IKS","Décom."),IF(OR($AQ28="",$AS28=""),"",IF(K$8&lt;$AQ28,"IKS",IF(K$8&lt;$AS28,IF(K$8=$AR28,"Bascule","Double run"),"ROKS"))))))</f>
        <v/>
      </c>
      <c r="L28" s="51" t="str">
        <f aca="false">IF(OR($A28="",L$8=""),"",IF($F28="Migré","ROKS",IF($F28="À décommissionner",IF(L$8&lt;$AS28,"IKS","Décom."),IF(OR($AQ28="",$AS28=""),"",IF(L$8&lt;$AQ28,"IKS",IF(L$8&lt;$AS28,IF(L$8=$AR28,"Bascule","Double run"),"ROKS"))))))</f>
        <v/>
      </c>
      <c r="M28" s="51" t="str">
        <f aca="false">IF(OR($A28="",M$8=""),"",IF($F28="Migré","ROKS",IF($F28="À décommissionner",IF(M$8&lt;$AS28,"IKS","Décom."),IF(OR($AQ28="",$AS28=""),"",IF(M$8&lt;$AQ28,"IKS",IF(M$8&lt;$AS28,IF(M$8=$AR28,"Bascule","Double run"),"ROKS"))))))</f>
        <v/>
      </c>
      <c r="N28" s="51" t="str">
        <f aca="false">IF(OR($A28="",N$8=""),"",IF($F28="Migré","ROKS",IF($F28="À décommissionner",IF(N$8&lt;$AS28,"IKS","Décom."),IF(OR($AQ28="",$AS28=""),"",IF(N$8&lt;$AQ28,"IKS",IF(N$8&lt;$AS28,IF(N$8=$AR28,"Bascule","Double run"),"ROKS"))))))</f>
        <v/>
      </c>
      <c r="O28" s="51" t="str">
        <f aca="false">IF(OR($A28="",O$8=""),"",IF($F28="Migré","ROKS",IF($F28="À décommissionner",IF(O$8&lt;$AS28,"IKS","Décom."),IF(OR($AQ28="",$AS28=""),"",IF(O$8&lt;$AQ28,"IKS",IF(O$8&lt;$AS28,IF(O$8=$AR28,"Bascule","Double run"),"ROKS"))))))</f>
        <v/>
      </c>
      <c r="P28" s="51" t="str">
        <f aca="false">IF(OR($A28="",P$8=""),"",IF($F28="Migré","ROKS",IF($F28="À décommissionner",IF(P$8&lt;$AS28,"IKS","Décom."),IF(OR($AQ28="",$AS28=""),"",IF(P$8&lt;$AQ28,"IKS",IF(P$8&lt;$AS28,IF(P$8=$AR28,"Bascule","Double run"),"ROKS"))))))</f>
        <v/>
      </c>
      <c r="Q28" s="51" t="str">
        <f aca="false">IF(OR($A28="",Q$8=""),"",IF($F28="Migré","ROKS",IF($F28="À décommissionner",IF(Q$8&lt;$AS28,"IKS","Décom."),IF(OR($AQ28="",$AS28=""),"",IF(Q$8&lt;$AQ28,"IKS",IF(Q$8&lt;$AS28,IF(Q$8=$AR28,"Bascule","Double run"),"ROKS"))))))</f>
        <v/>
      </c>
      <c r="R28" s="51" t="str">
        <f aca="false">IF(OR($A28="",R$8=""),"",IF($F28="Migré","ROKS",IF($F28="À décommissionner",IF(R$8&lt;$AS28,"IKS","Décom."),IF(OR($AQ28="",$AS28=""),"",IF(R$8&lt;$AQ28,"IKS",IF(R$8&lt;$AS28,IF(R$8=$AR28,"Bascule","Double run"),"ROKS"))))))</f>
        <v/>
      </c>
      <c r="S28" s="51" t="str">
        <f aca="false">IF(OR($A28="",S$8=""),"",IF($F28="Migré","ROKS",IF($F28="À décommissionner",IF(S$8&lt;$AS28,"IKS","Décom."),IF(OR($AQ28="",$AS28=""),"",IF(S$8&lt;$AQ28,"IKS",IF(S$8&lt;$AS28,IF(S$8=$AR28,"Bascule","Double run"),"ROKS"))))))</f>
        <v/>
      </c>
      <c r="T28" s="51" t="str">
        <f aca="false">IF(OR($A28="",T$8=""),"",IF($F28="Migré","ROKS",IF($F28="À décommissionner",IF(T$8&lt;$AS28,"IKS","Décom."),IF(OR($AQ28="",$AS28=""),"",IF(T$8&lt;$AQ28,"IKS",IF(T$8&lt;$AS28,IF(T$8=$AR28,"Bascule","Double run"),"ROKS"))))))</f>
        <v/>
      </c>
      <c r="U28" s="51" t="str">
        <f aca="false">IF(OR($A28="",U$8=""),"",IF($F28="Migré","ROKS",IF($F28="À décommissionner",IF(U$8&lt;$AS28,"IKS","Décom."),IF(OR($AQ28="",$AS28=""),"",IF(U$8&lt;$AQ28,"IKS",IF(U$8&lt;$AS28,IF(U$8=$AR28,"Bascule","Double run"),"ROKS"))))))</f>
        <v/>
      </c>
      <c r="V28" s="51" t="str">
        <f aca="false">IF(OR($A28="",V$8=""),"",IF($F28="Migré","ROKS",IF($F28="À décommissionner",IF(V$8&lt;$AS28,"IKS","Décom."),IF(OR($AQ28="",$AS28=""),"",IF(V$8&lt;$AQ28,"IKS",IF(V$8&lt;$AS28,IF(V$8=$AR28,"Bascule","Double run"),"ROKS"))))))</f>
        <v/>
      </c>
      <c r="W28" s="51" t="str">
        <f aca="false">IF(OR($A28="",W$8=""),"",IF($F28="Migré","ROKS",IF($F28="À décommissionner",IF(W$8&lt;$AS28,"IKS","Décom."),IF(OR($AQ28="",$AS28=""),"",IF(W$8&lt;$AQ28,"IKS",IF(W$8&lt;$AS28,IF(W$8=$AR28,"Bascule","Double run"),"ROKS"))))))</f>
        <v/>
      </c>
      <c r="X28" s="51" t="str">
        <f aca="false">IF(OR($A28="",X$8=""),"",IF($F28="Migré","ROKS",IF($F28="À décommissionner",IF(X$8&lt;$AS28,"IKS","Décom."),IF(OR($AQ28="",$AS28=""),"",IF(X$8&lt;$AQ28,"IKS",IF(X$8&lt;$AS28,IF(X$8=$AR28,"Bascule","Double run"),"ROKS"))))))</f>
        <v/>
      </c>
      <c r="Y28" s="51" t="str">
        <f aca="false">IF(OR($A28="",Y$8=""),"",IF($F28="Migré","ROKS",IF($F28="À décommissionner",IF(Y$8&lt;$AS28,"IKS","Décom."),IF(OR($AQ28="",$AS28=""),"",IF(Y$8&lt;$AQ28,"IKS",IF(Y$8&lt;$AS28,IF(Y$8=$AR28,"Bascule","Double run"),"ROKS"))))))</f>
        <v/>
      </c>
      <c r="Z28" s="51" t="str">
        <f aca="false">IF(OR($A28="",Z$8=""),"",IF($F28="Migré","ROKS",IF($F28="À décommissionner",IF(Z$8&lt;$AS28,"IKS","Décom."),IF(OR($AQ28="",$AS28=""),"",IF(Z$8&lt;$AQ28,"IKS",IF(Z$8&lt;$AS28,IF(Z$8=$AR28,"Bascule","Double run"),"ROKS"))))))</f>
        <v/>
      </c>
      <c r="AA28" s="51" t="str">
        <f aca="false">IF(OR($A28="",AA$8=""),"",IF($F28="Migré","ROKS",IF($F28="À décommissionner",IF(AA$8&lt;$AS28,"IKS","Décom."),IF(OR($AQ28="",$AS28=""),"",IF(AA$8&lt;$AQ28,"IKS",IF(AA$8&lt;$AS28,IF(AA$8=$AR28,"Bascule","Double run"),"ROKS"))))))</f>
        <v/>
      </c>
      <c r="AB28" s="51" t="str">
        <f aca="false">IF(OR($A28="",AB$8=""),"",IF($F28="Migré","ROKS",IF($F28="À décommissionner",IF(AB$8&lt;$AS28,"IKS","Décom."),IF(OR($AQ28="",$AS28=""),"",IF(AB$8&lt;$AQ28,"IKS",IF(AB$8&lt;$AS28,IF(AB$8=$AR28,"Bascule","Double run"),"ROKS"))))))</f>
        <v/>
      </c>
      <c r="AC28" s="51" t="str">
        <f aca="false">IF(OR($A28="",AC$8=""),"",IF($F28="Migré","ROKS",IF($F28="À décommissionner",IF(AC$8&lt;$AS28,"IKS","Décom."),IF(OR($AQ28="",$AS28=""),"",IF(AC$8&lt;$AQ28,"IKS",IF(AC$8&lt;$AS28,IF(AC$8=$AR28,"Bascule","Double run"),"ROKS"))))))</f>
        <v/>
      </c>
      <c r="AD28" s="51" t="str">
        <f aca="false">IF(OR($A28="",AD$8=""),"",IF($F28="Migré","ROKS",IF($F28="À décommissionner",IF(AD$8&lt;$AS28,"IKS","Décom."),IF(OR($AQ28="",$AS28=""),"",IF(AD$8&lt;$AQ28,"IKS",IF(AD$8&lt;$AS28,IF(AD$8=$AR28,"Bascule","Double run"),"ROKS"))))))</f>
        <v/>
      </c>
      <c r="AE28" s="51" t="str">
        <f aca="false">IF(OR($A28="",AE$8=""),"",IF($F28="Migré","ROKS",IF($F28="À décommissionner",IF(AE$8&lt;$AS28,"IKS","Décom."),IF(OR($AQ28="",$AS28=""),"",IF(AE$8&lt;$AQ28,"IKS",IF(AE$8&lt;$AS28,IF(AE$8=$AR28,"Bascule","Double run"),"ROKS"))))))</f>
        <v/>
      </c>
      <c r="AF28" s="51" t="str">
        <f aca="false">IF(OR($A28="",AF$8=""),"",IF($F28="Migré","ROKS",IF($F28="À décommissionner",IF(AF$8&lt;$AS28,"IKS","Décom."),IF(OR($AQ28="",$AS28=""),"",IF(AF$8&lt;$AQ28,"IKS",IF(AF$8&lt;$AS28,IF(AF$8=$AR28,"Bascule","Double run"),"ROKS"))))))</f>
        <v/>
      </c>
      <c r="AG28" s="51" t="str">
        <f aca="false">IF(OR($A28="",AG$8=""),"",IF($F28="Migré","ROKS",IF($F28="À décommissionner",IF(AG$8&lt;$AS28,"IKS","Décom."),IF(OR($AQ28="",$AS28=""),"",IF(AG$8&lt;$AQ28,"IKS",IF(AG$8&lt;$AS28,IF(AG$8=$AR28,"Bascule","Double run"),"ROKS"))))))</f>
        <v/>
      </c>
      <c r="AH28" s="51" t="str">
        <f aca="false">IF(OR($A28="",AH$8=""),"",IF($F28="Migré","ROKS",IF($F28="À décommissionner",IF(AH$8&lt;$AS28,"IKS","Décom."),IF(OR($AQ28="",$AS28=""),"",IF(AH$8&lt;$AQ28,"IKS",IF(AH$8&lt;$AS28,IF(AH$8=$AR28,"Bascule","Double run"),"ROKS"))))))</f>
        <v/>
      </c>
      <c r="AI28" s="51" t="str">
        <f aca="false">IF(OR($A28="",AI$8=""),"",IF($F28="Migré","ROKS",IF($F28="À décommissionner",IF(AI$8&lt;$AS28,"IKS","Décom."),IF(OR($AQ28="",$AS28=""),"",IF(AI$8&lt;$AQ28,"IKS",IF(AI$8&lt;$AS28,IF(AI$8=$AR28,"Bascule","Double run"),"ROKS"))))))</f>
        <v/>
      </c>
      <c r="AJ28" s="51" t="str">
        <f aca="false">IF(OR($A28="",AJ$8=""),"",IF($F28="Migré","ROKS",IF($F28="À décommissionner",IF(AJ$8&lt;$AS28,"IKS","Décom."),IF(OR($AQ28="",$AS28=""),"",IF(AJ$8&lt;$AQ28,"IKS",IF(AJ$8&lt;$AS28,IF(AJ$8=$AR28,"Bascule","Double run"),"ROKS"))))))</f>
        <v/>
      </c>
      <c r="AK28" s="51" t="str">
        <f aca="false">IF(OR($A28="",AK$8=""),"",IF($F28="Migré","ROKS",IF($F28="À décommissionner",IF(AK$8&lt;$AS28,"IKS","Décom."),IF(OR($AQ28="",$AS28=""),"",IF(AK$8&lt;$AQ28,"IKS",IF(AK$8&lt;$AS28,IF(AK$8=$AR28,"Bascule","Double run"),"ROKS"))))))</f>
        <v/>
      </c>
      <c r="AL28" s="51" t="str">
        <f aca="false">IF(OR($A28="",AL$8=""),"",IF($F28="Migré","ROKS",IF($F28="À décommissionner",IF(AL$8&lt;$AS28,"IKS","Décom."),IF(OR($AQ28="",$AS28=""),"",IF(AL$8&lt;$AQ28,"IKS",IF(AL$8&lt;$AS28,IF(AL$8=$AR28,"Bascule","Double run"),"ROKS"))))))</f>
        <v/>
      </c>
      <c r="AM28" s="51" t="str">
        <f aca="false">IF(OR($A28="",AM$8=""),"",IF($F28="Migré","ROKS",IF($F28="À décommissionner",IF(AM$8&lt;$AS28,"IKS","Décom."),IF(OR($AQ28="",$AS28=""),"",IF(AM$8&lt;$AQ28,"IKS",IF(AM$8&lt;$AS28,IF(AM$8=$AR28,"Bascule","Double run"),"ROKS"))))))</f>
        <v/>
      </c>
      <c r="AN28" s="51" t="str">
        <f aca="false">IF(OR($A28="",AN$8=""),"",IF($F28="Migré","ROKS",IF($F28="À décommissionner",IF(AN$8&lt;$AS28,"IKS","Décom."),IF(OR($AQ28="",$AS28=""),"",IF(AN$8&lt;$AQ28,"IKS",IF(AN$8&lt;$AS28,IF(AN$8=$AR28,"Bascule","Double run"),"ROKS"))))))</f>
        <v/>
      </c>
      <c r="AO28" s="51" t="str">
        <f aca="false">IF(OR($A28="",AO$8=""),"",IF($F28="Migré","ROKS",IF($F28="À décommissionner",IF(AO$8&lt;$AS28,"IKS","Décom."),IF(OR($AQ28="",$AS28=""),"",IF(AO$8&lt;$AQ28,"IKS",IF(AO$8&lt;$AS28,IF(AO$8=$AR28,"Bascule","Double run"),"ROKS"))))))</f>
        <v/>
      </c>
      <c r="AP28" s="51" t="str">
        <f aca="false">IF(OR($A28="",AP$8=""),"",IF($F28="Migré","ROKS",IF($F28="À décommissionner",IF(AP$8&lt;$AS28,"IKS","Décom."),IF(OR($AQ28="",$AS28=""),"",IF(AP$8&lt;$AQ28,"IKS",IF(AP$8&lt;$AS28,IF(AP$8=$AR28,"Bascule","Double run"),"ROKS"))))))</f>
        <v/>
      </c>
      <c r="AQ28" s="0" t="str">
        <f aca="false">IF($A28="","",INDEX(TblApplications[Mois prov (calc)],$A28))</f>
        <v/>
      </c>
      <c r="AR28" s="0" t="str">
        <f aca="false">IF($A28="","",IFERROR(DATE(YEAR(INDEX(TblApplications[Mois bascule],$A28)),MONTH(INDEX(TblApplications[Mois bascule],$A28)),1),""))</f>
        <v/>
      </c>
      <c r="AS28" s="0" t="str">
        <f aca="false">IF($A28="","",INDEX(TblApplications[Mois lib (calc)],$A28))</f>
        <v/>
      </c>
    </row>
    <row r="29" customFormat="false" ht="15" hidden="false" customHeight="false" outlineLevel="0" collapsed="false">
      <c r="A29" s="49" t="str">
        <f aca="false">IFERROR(MATCH(21,TblApplications[Rang frise],0),"")</f>
        <v/>
      </c>
      <c r="B29" s="50" t="str">
        <f aca="false">IF($A29="","",INDEX(TblApplications[ID],$A29))</f>
        <v/>
      </c>
      <c r="C29" s="50" t="str">
        <f aca="false">IF($A29="","",INDEX(TblApplications[Application],$A29))</f>
        <v/>
      </c>
      <c r="D29" s="50" t="str">
        <f aca="false">IF($A29="","",INDEX(TblApplications[Environnement],$A29))</f>
        <v/>
      </c>
      <c r="E29" s="50" t="str">
        <f aca="false">IF($A29="","",INDEX(TblApplications[Couloir],$A29))</f>
        <v/>
      </c>
      <c r="F29" s="50" t="str">
        <f aca="false">IF($A29="","",INDEX(TblApplications[Action],$A29))</f>
        <v/>
      </c>
      <c r="G29" s="51" t="str">
        <f aca="false">IF(OR($A29="",G$8=""),"",IF($F29="Migré","ROKS",IF($F29="À décommissionner",IF(G$8&lt;$AS29,"IKS","Décom."),IF(OR($AQ29="",$AS29=""),"",IF(G$8&lt;$AQ29,"IKS",IF(G$8&lt;$AS29,IF(G$8=$AR29,"Bascule","Double run"),"ROKS"))))))</f>
        <v/>
      </c>
      <c r="H29" s="51" t="str">
        <f aca="false">IF(OR($A29="",H$8=""),"",IF($F29="Migré","ROKS",IF($F29="À décommissionner",IF(H$8&lt;$AS29,"IKS","Décom."),IF(OR($AQ29="",$AS29=""),"",IF(H$8&lt;$AQ29,"IKS",IF(H$8&lt;$AS29,IF(H$8=$AR29,"Bascule","Double run"),"ROKS"))))))</f>
        <v/>
      </c>
      <c r="I29" s="51" t="str">
        <f aca="false">IF(OR($A29="",I$8=""),"",IF($F29="Migré","ROKS",IF($F29="À décommissionner",IF(I$8&lt;$AS29,"IKS","Décom."),IF(OR($AQ29="",$AS29=""),"",IF(I$8&lt;$AQ29,"IKS",IF(I$8&lt;$AS29,IF(I$8=$AR29,"Bascule","Double run"),"ROKS"))))))</f>
        <v/>
      </c>
      <c r="J29" s="51" t="str">
        <f aca="false">IF(OR($A29="",J$8=""),"",IF($F29="Migré","ROKS",IF($F29="À décommissionner",IF(J$8&lt;$AS29,"IKS","Décom."),IF(OR($AQ29="",$AS29=""),"",IF(J$8&lt;$AQ29,"IKS",IF(J$8&lt;$AS29,IF(J$8=$AR29,"Bascule","Double run"),"ROKS"))))))</f>
        <v/>
      </c>
      <c r="K29" s="51" t="str">
        <f aca="false">IF(OR($A29="",K$8=""),"",IF($F29="Migré","ROKS",IF($F29="À décommissionner",IF(K$8&lt;$AS29,"IKS","Décom."),IF(OR($AQ29="",$AS29=""),"",IF(K$8&lt;$AQ29,"IKS",IF(K$8&lt;$AS29,IF(K$8=$AR29,"Bascule","Double run"),"ROKS"))))))</f>
        <v/>
      </c>
      <c r="L29" s="51" t="str">
        <f aca="false">IF(OR($A29="",L$8=""),"",IF($F29="Migré","ROKS",IF($F29="À décommissionner",IF(L$8&lt;$AS29,"IKS","Décom."),IF(OR($AQ29="",$AS29=""),"",IF(L$8&lt;$AQ29,"IKS",IF(L$8&lt;$AS29,IF(L$8=$AR29,"Bascule","Double run"),"ROKS"))))))</f>
        <v/>
      </c>
      <c r="M29" s="51" t="str">
        <f aca="false">IF(OR($A29="",M$8=""),"",IF($F29="Migré","ROKS",IF($F29="À décommissionner",IF(M$8&lt;$AS29,"IKS","Décom."),IF(OR($AQ29="",$AS29=""),"",IF(M$8&lt;$AQ29,"IKS",IF(M$8&lt;$AS29,IF(M$8=$AR29,"Bascule","Double run"),"ROKS"))))))</f>
        <v/>
      </c>
      <c r="N29" s="51" t="str">
        <f aca="false">IF(OR($A29="",N$8=""),"",IF($F29="Migré","ROKS",IF($F29="À décommissionner",IF(N$8&lt;$AS29,"IKS","Décom."),IF(OR($AQ29="",$AS29=""),"",IF(N$8&lt;$AQ29,"IKS",IF(N$8&lt;$AS29,IF(N$8=$AR29,"Bascule","Double run"),"ROKS"))))))</f>
        <v/>
      </c>
      <c r="O29" s="51" t="str">
        <f aca="false">IF(OR($A29="",O$8=""),"",IF($F29="Migré","ROKS",IF($F29="À décommissionner",IF(O$8&lt;$AS29,"IKS","Décom."),IF(OR($AQ29="",$AS29=""),"",IF(O$8&lt;$AQ29,"IKS",IF(O$8&lt;$AS29,IF(O$8=$AR29,"Bascule","Double run"),"ROKS"))))))</f>
        <v/>
      </c>
      <c r="P29" s="51" t="str">
        <f aca="false">IF(OR($A29="",P$8=""),"",IF($F29="Migré","ROKS",IF($F29="À décommissionner",IF(P$8&lt;$AS29,"IKS","Décom."),IF(OR($AQ29="",$AS29=""),"",IF(P$8&lt;$AQ29,"IKS",IF(P$8&lt;$AS29,IF(P$8=$AR29,"Bascule","Double run"),"ROKS"))))))</f>
        <v/>
      </c>
      <c r="Q29" s="51" t="str">
        <f aca="false">IF(OR($A29="",Q$8=""),"",IF($F29="Migré","ROKS",IF($F29="À décommissionner",IF(Q$8&lt;$AS29,"IKS","Décom."),IF(OR($AQ29="",$AS29=""),"",IF(Q$8&lt;$AQ29,"IKS",IF(Q$8&lt;$AS29,IF(Q$8=$AR29,"Bascule","Double run"),"ROKS"))))))</f>
        <v/>
      </c>
      <c r="R29" s="51" t="str">
        <f aca="false">IF(OR($A29="",R$8=""),"",IF($F29="Migré","ROKS",IF($F29="À décommissionner",IF(R$8&lt;$AS29,"IKS","Décom."),IF(OR($AQ29="",$AS29=""),"",IF(R$8&lt;$AQ29,"IKS",IF(R$8&lt;$AS29,IF(R$8=$AR29,"Bascule","Double run"),"ROKS"))))))</f>
        <v/>
      </c>
      <c r="S29" s="51" t="str">
        <f aca="false">IF(OR($A29="",S$8=""),"",IF($F29="Migré","ROKS",IF($F29="À décommissionner",IF(S$8&lt;$AS29,"IKS","Décom."),IF(OR($AQ29="",$AS29=""),"",IF(S$8&lt;$AQ29,"IKS",IF(S$8&lt;$AS29,IF(S$8=$AR29,"Bascule","Double run"),"ROKS"))))))</f>
        <v/>
      </c>
      <c r="T29" s="51" t="str">
        <f aca="false">IF(OR($A29="",T$8=""),"",IF($F29="Migré","ROKS",IF($F29="À décommissionner",IF(T$8&lt;$AS29,"IKS","Décom."),IF(OR($AQ29="",$AS29=""),"",IF(T$8&lt;$AQ29,"IKS",IF(T$8&lt;$AS29,IF(T$8=$AR29,"Bascule","Double run"),"ROKS"))))))</f>
        <v/>
      </c>
      <c r="U29" s="51" t="str">
        <f aca="false">IF(OR($A29="",U$8=""),"",IF($F29="Migré","ROKS",IF($F29="À décommissionner",IF(U$8&lt;$AS29,"IKS","Décom."),IF(OR($AQ29="",$AS29=""),"",IF(U$8&lt;$AQ29,"IKS",IF(U$8&lt;$AS29,IF(U$8=$AR29,"Bascule","Double run"),"ROKS"))))))</f>
        <v/>
      </c>
      <c r="V29" s="51" t="str">
        <f aca="false">IF(OR($A29="",V$8=""),"",IF($F29="Migré","ROKS",IF($F29="À décommissionner",IF(V$8&lt;$AS29,"IKS","Décom."),IF(OR($AQ29="",$AS29=""),"",IF(V$8&lt;$AQ29,"IKS",IF(V$8&lt;$AS29,IF(V$8=$AR29,"Bascule","Double run"),"ROKS"))))))</f>
        <v/>
      </c>
      <c r="W29" s="51" t="str">
        <f aca="false">IF(OR($A29="",W$8=""),"",IF($F29="Migré","ROKS",IF($F29="À décommissionner",IF(W$8&lt;$AS29,"IKS","Décom."),IF(OR($AQ29="",$AS29=""),"",IF(W$8&lt;$AQ29,"IKS",IF(W$8&lt;$AS29,IF(W$8=$AR29,"Bascule","Double run"),"ROKS"))))))</f>
        <v/>
      </c>
      <c r="X29" s="51" t="str">
        <f aca="false">IF(OR($A29="",X$8=""),"",IF($F29="Migré","ROKS",IF($F29="À décommissionner",IF(X$8&lt;$AS29,"IKS","Décom."),IF(OR($AQ29="",$AS29=""),"",IF(X$8&lt;$AQ29,"IKS",IF(X$8&lt;$AS29,IF(X$8=$AR29,"Bascule","Double run"),"ROKS"))))))</f>
        <v/>
      </c>
      <c r="Y29" s="51" t="str">
        <f aca="false">IF(OR($A29="",Y$8=""),"",IF($F29="Migré","ROKS",IF($F29="À décommissionner",IF(Y$8&lt;$AS29,"IKS","Décom."),IF(OR($AQ29="",$AS29=""),"",IF(Y$8&lt;$AQ29,"IKS",IF(Y$8&lt;$AS29,IF(Y$8=$AR29,"Bascule","Double run"),"ROKS"))))))</f>
        <v/>
      </c>
      <c r="Z29" s="51" t="str">
        <f aca="false">IF(OR($A29="",Z$8=""),"",IF($F29="Migré","ROKS",IF($F29="À décommissionner",IF(Z$8&lt;$AS29,"IKS","Décom."),IF(OR($AQ29="",$AS29=""),"",IF(Z$8&lt;$AQ29,"IKS",IF(Z$8&lt;$AS29,IF(Z$8=$AR29,"Bascule","Double run"),"ROKS"))))))</f>
        <v/>
      </c>
      <c r="AA29" s="51" t="str">
        <f aca="false">IF(OR($A29="",AA$8=""),"",IF($F29="Migré","ROKS",IF($F29="À décommissionner",IF(AA$8&lt;$AS29,"IKS","Décom."),IF(OR($AQ29="",$AS29=""),"",IF(AA$8&lt;$AQ29,"IKS",IF(AA$8&lt;$AS29,IF(AA$8=$AR29,"Bascule","Double run"),"ROKS"))))))</f>
        <v/>
      </c>
      <c r="AB29" s="51" t="str">
        <f aca="false">IF(OR($A29="",AB$8=""),"",IF($F29="Migré","ROKS",IF($F29="À décommissionner",IF(AB$8&lt;$AS29,"IKS","Décom."),IF(OR($AQ29="",$AS29=""),"",IF(AB$8&lt;$AQ29,"IKS",IF(AB$8&lt;$AS29,IF(AB$8=$AR29,"Bascule","Double run"),"ROKS"))))))</f>
        <v/>
      </c>
      <c r="AC29" s="51" t="str">
        <f aca="false">IF(OR($A29="",AC$8=""),"",IF($F29="Migré","ROKS",IF($F29="À décommissionner",IF(AC$8&lt;$AS29,"IKS","Décom."),IF(OR($AQ29="",$AS29=""),"",IF(AC$8&lt;$AQ29,"IKS",IF(AC$8&lt;$AS29,IF(AC$8=$AR29,"Bascule","Double run"),"ROKS"))))))</f>
        <v/>
      </c>
      <c r="AD29" s="51" t="str">
        <f aca="false">IF(OR($A29="",AD$8=""),"",IF($F29="Migré","ROKS",IF($F29="À décommissionner",IF(AD$8&lt;$AS29,"IKS","Décom."),IF(OR($AQ29="",$AS29=""),"",IF(AD$8&lt;$AQ29,"IKS",IF(AD$8&lt;$AS29,IF(AD$8=$AR29,"Bascule","Double run"),"ROKS"))))))</f>
        <v/>
      </c>
      <c r="AE29" s="51" t="str">
        <f aca="false">IF(OR($A29="",AE$8=""),"",IF($F29="Migré","ROKS",IF($F29="À décommissionner",IF(AE$8&lt;$AS29,"IKS","Décom."),IF(OR($AQ29="",$AS29=""),"",IF(AE$8&lt;$AQ29,"IKS",IF(AE$8&lt;$AS29,IF(AE$8=$AR29,"Bascule","Double run"),"ROKS"))))))</f>
        <v/>
      </c>
      <c r="AF29" s="51" t="str">
        <f aca="false">IF(OR($A29="",AF$8=""),"",IF($F29="Migré","ROKS",IF($F29="À décommissionner",IF(AF$8&lt;$AS29,"IKS","Décom."),IF(OR($AQ29="",$AS29=""),"",IF(AF$8&lt;$AQ29,"IKS",IF(AF$8&lt;$AS29,IF(AF$8=$AR29,"Bascule","Double run"),"ROKS"))))))</f>
        <v/>
      </c>
      <c r="AG29" s="51" t="str">
        <f aca="false">IF(OR($A29="",AG$8=""),"",IF($F29="Migré","ROKS",IF($F29="À décommissionner",IF(AG$8&lt;$AS29,"IKS","Décom."),IF(OR($AQ29="",$AS29=""),"",IF(AG$8&lt;$AQ29,"IKS",IF(AG$8&lt;$AS29,IF(AG$8=$AR29,"Bascule","Double run"),"ROKS"))))))</f>
        <v/>
      </c>
      <c r="AH29" s="51" t="str">
        <f aca="false">IF(OR($A29="",AH$8=""),"",IF($F29="Migré","ROKS",IF($F29="À décommissionner",IF(AH$8&lt;$AS29,"IKS","Décom."),IF(OR($AQ29="",$AS29=""),"",IF(AH$8&lt;$AQ29,"IKS",IF(AH$8&lt;$AS29,IF(AH$8=$AR29,"Bascule","Double run"),"ROKS"))))))</f>
        <v/>
      </c>
      <c r="AI29" s="51" t="str">
        <f aca="false">IF(OR($A29="",AI$8=""),"",IF($F29="Migré","ROKS",IF($F29="À décommissionner",IF(AI$8&lt;$AS29,"IKS","Décom."),IF(OR($AQ29="",$AS29=""),"",IF(AI$8&lt;$AQ29,"IKS",IF(AI$8&lt;$AS29,IF(AI$8=$AR29,"Bascule","Double run"),"ROKS"))))))</f>
        <v/>
      </c>
      <c r="AJ29" s="51" t="str">
        <f aca="false">IF(OR($A29="",AJ$8=""),"",IF($F29="Migré","ROKS",IF($F29="À décommissionner",IF(AJ$8&lt;$AS29,"IKS","Décom."),IF(OR($AQ29="",$AS29=""),"",IF(AJ$8&lt;$AQ29,"IKS",IF(AJ$8&lt;$AS29,IF(AJ$8=$AR29,"Bascule","Double run"),"ROKS"))))))</f>
        <v/>
      </c>
      <c r="AK29" s="51" t="str">
        <f aca="false">IF(OR($A29="",AK$8=""),"",IF($F29="Migré","ROKS",IF($F29="À décommissionner",IF(AK$8&lt;$AS29,"IKS","Décom."),IF(OR($AQ29="",$AS29=""),"",IF(AK$8&lt;$AQ29,"IKS",IF(AK$8&lt;$AS29,IF(AK$8=$AR29,"Bascule","Double run"),"ROKS"))))))</f>
        <v/>
      </c>
      <c r="AL29" s="51" t="str">
        <f aca="false">IF(OR($A29="",AL$8=""),"",IF($F29="Migré","ROKS",IF($F29="À décommissionner",IF(AL$8&lt;$AS29,"IKS","Décom."),IF(OR($AQ29="",$AS29=""),"",IF(AL$8&lt;$AQ29,"IKS",IF(AL$8&lt;$AS29,IF(AL$8=$AR29,"Bascule","Double run"),"ROKS"))))))</f>
        <v/>
      </c>
      <c r="AM29" s="51" t="str">
        <f aca="false">IF(OR($A29="",AM$8=""),"",IF($F29="Migré","ROKS",IF($F29="À décommissionner",IF(AM$8&lt;$AS29,"IKS","Décom."),IF(OR($AQ29="",$AS29=""),"",IF(AM$8&lt;$AQ29,"IKS",IF(AM$8&lt;$AS29,IF(AM$8=$AR29,"Bascule","Double run"),"ROKS"))))))</f>
        <v/>
      </c>
      <c r="AN29" s="51" t="str">
        <f aca="false">IF(OR($A29="",AN$8=""),"",IF($F29="Migré","ROKS",IF($F29="À décommissionner",IF(AN$8&lt;$AS29,"IKS","Décom."),IF(OR($AQ29="",$AS29=""),"",IF(AN$8&lt;$AQ29,"IKS",IF(AN$8&lt;$AS29,IF(AN$8=$AR29,"Bascule","Double run"),"ROKS"))))))</f>
        <v/>
      </c>
      <c r="AO29" s="51" t="str">
        <f aca="false">IF(OR($A29="",AO$8=""),"",IF($F29="Migré","ROKS",IF($F29="À décommissionner",IF(AO$8&lt;$AS29,"IKS","Décom."),IF(OR($AQ29="",$AS29=""),"",IF(AO$8&lt;$AQ29,"IKS",IF(AO$8&lt;$AS29,IF(AO$8=$AR29,"Bascule","Double run"),"ROKS"))))))</f>
        <v/>
      </c>
      <c r="AP29" s="51" t="str">
        <f aca="false">IF(OR($A29="",AP$8=""),"",IF($F29="Migré","ROKS",IF($F29="À décommissionner",IF(AP$8&lt;$AS29,"IKS","Décom."),IF(OR($AQ29="",$AS29=""),"",IF(AP$8&lt;$AQ29,"IKS",IF(AP$8&lt;$AS29,IF(AP$8=$AR29,"Bascule","Double run"),"ROKS"))))))</f>
        <v/>
      </c>
      <c r="AQ29" s="0" t="str">
        <f aca="false">IF($A29="","",INDEX(TblApplications[Mois prov (calc)],$A29))</f>
        <v/>
      </c>
      <c r="AR29" s="0" t="str">
        <f aca="false">IF($A29="","",IFERROR(DATE(YEAR(INDEX(TblApplications[Mois bascule],$A29)),MONTH(INDEX(TblApplications[Mois bascule],$A29)),1),""))</f>
        <v/>
      </c>
      <c r="AS29" s="0" t="str">
        <f aca="false">IF($A29="","",INDEX(TblApplications[Mois lib (calc)],$A29))</f>
        <v/>
      </c>
    </row>
    <row r="30" customFormat="false" ht="15" hidden="false" customHeight="false" outlineLevel="0" collapsed="false">
      <c r="A30" s="49" t="str">
        <f aca="false">IFERROR(MATCH(22,TblApplications[Rang frise],0),"")</f>
        <v/>
      </c>
      <c r="B30" s="50" t="str">
        <f aca="false">IF($A30="","",INDEX(TblApplications[ID],$A30))</f>
        <v/>
      </c>
      <c r="C30" s="50" t="str">
        <f aca="false">IF($A30="","",INDEX(TblApplications[Application],$A30))</f>
        <v/>
      </c>
      <c r="D30" s="50" t="str">
        <f aca="false">IF($A30="","",INDEX(TblApplications[Environnement],$A30))</f>
        <v/>
      </c>
      <c r="E30" s="50" t="str">
        <f aca="false">IF($A30="","",INDEX(TblApplications[Couloir],$A30))</f>
        <v/>
      </c>
      <c r="F30" s="50" t="str">
        <f aca="false">IF($A30="","",INDEX(TblApplications[Action],$A30))</f>
        <v/>
      </c>
      <c r="G30" s="51" t="str">
        <f aca="false">IF(OR($A30="",G$8=""),"",IF($F30="Migré","ROKS",IF($F30="À décommissionner",IF(G$8&lt;$AS30,"IKS","Décom."),IF(OR($AQ30="",$AS30=""),"",IF(G$8&lt;$AQ30,"IKS",IF(G$8&lt;$AS30,IF(G$8=$AR30,"Bascule","Double run"),"ROKS"))))))</f>
        <v/>
      </c>
      <c r="H30" s="51" t="str">
        <f aca="false">IF(OR($A30="",H$8=""),"",IF($F30="Migré","ROKS",IF($F30="À décommissionner",IF(H$8&lt;$AS30,"IKS","Décom."),IF(OR($AQ30="",$AS30=""),"",IF(H$8&lt;$AQ30,"IKS",IF(H$8&lt;$AS30,IF(H$8=$AR30,"Bascule","Double run"),"ROKS"))))))</f>
        <v/>
      </c>
      <c r="I30" s="51" t="str">
        <f aca="false">IF(OR($A30="",I$8=""),"",IF($F30="Migré","ROKS",IF($F30="À décommissionner",IF(I$8&lt;$AS30,"IKS","Décom."),IF(OR($AQ30="",$AS30=""),"",IF(I$8&lt;$AQ30,"IKS",IF(I$8&lt;$AS30,IF(I$8=$AR30,"Bascule","Double run"),"ROKS"))))))</f>
        <v/>
      </c>
      <c r="J30" s="51" t="str">
        <f aca="false">IF(OR($A30="",J$8=""),"",IF($F30="Migré","ROKS",IF($F30="À décommissionner",IF(J$8&lt;$AS30,"IKS","Décom."),IF(OR($AQ30="",$AS30=""),"",IF(J$8&lt;$AQ30,"IKS",IF(J$8&lt;$AS30,IF(J$8=$AR30,"Bascule","Double run"),"ROKS"))))))</f>
        <v/>
      </c>
      <c r="K30" s="51" t="str">
        <f aca="false">IF(OR($A30="",K$8=""),"",IF($F30="Migré","ROKS",IF($F30="À décommissionner",IF(K$8&lt;$AS30,"IKS","Décom."),IF(OR($AQ30="",$AS30=""),"",IF(K$8&lt;$AQ30,"IKS",IF(K$8&lt;$AS30,IF(K$8=$AR30,"Bascule","Double run"),"ROKS"))))))</f>
        <v/>
      </c>
      <c r="L30" s="51" t="str">
        <f aca="false">IF(OR($A30="",L$8=""),"",IF($F30="Migré","ROKS",IF($F30="À décommissionner",IF(L$8&lt;$AS30,"IKS","Décom."),IF(OR($AQ30="",$AS30=""),"",IF(L$8&lt;$AQ30,"IKS",IF(L$8&lt;$AS30,IF(L$8=$AR30,"Bascule","Double run"),"ROKS"))))))</f>
        <v/>
      </c>
      <c r="M30" s="51" t="str">
        <f aca="false">IF(OR($A30="",M$8=""),"",IF($F30="Migré","ROKS",IF($F30="À décommissionner",IF(M$8&lt;$AS30,"IKS","Décom."),IF(OR($AQ30="",$AS30=""),"",IF(M$8&lt;$AQ30,"IKS",IF(M$8&lt;$AS30,IF(M$8=$AR30,"Bascule","Double run"),"ROKS"))))))</f>
        <v/>
      </c>
      <c r="N30" s="51" t="str">
        <f aca="false">IF(OR($A30="",N$8=""),"",IF($F30="Migré","ROKS",IF($F30="À décommissionner",IF(N$8&lt;$AS30,"IKS","Décom."),IF(OR($AQ30="",$AS30=""),"",IF(N$8&lt;$AQ30,"IKS",IF(N$8&lt;$AS30,IF(N$8=$AR30,"Bascule","Double run"),"ROKS"))))))</f>
        <v/>
      </c>
      <c r="O30" s="51" t="str">
        <f aca="false">IF(OR($A30="",O$8=""),"",IF($F30="Migré","ROKS",IF($F30="À décommissionner",IF(O$8&lt;$AS30,"IKS","Décom."),IF(OR($AQ30="",$AS30=""),"",IF(O$8&lt;$AQ30,"IKS",IF(O$8&lt;$AS30,IF(O$8=$AR30,"Bascule","Double run"),"ROKS"))))))</f>
        <v/>
      </c>
      <c r="P30" s="51" t="str">
        <f aca="false">IF(OR($A30="",P$8=""),"",IF($F30="Migré","ROKS",IF($F30="À décommissionner",IF(P$8&lt;$AS30,"IKS","Décom."),IF(OR($AQ30="",$AS30=""),"",IF(P$8&lt;$AQ30,"IKS",IF(P$8&lt;$AS30,IF(P$8=$AR30,"Bascule","Double run"),"ROKS"))))))</f>
        <v/>
      </c>
      <c r="Q30" s="51" t="str">
        <f aca="false">IF(OR($A30="",Q$8=""),"",IF($F30="Migré","ROKS",IF($F30="À décommissionner",IF(Q$8&lt;$AS30,"IKS","Décom."),IF(OR($AQ30="",$AS30=""),"",IF(Q$8&lt;$AQ30,"IKS",IF(Q$8&lt;$AS30,IF(Q$8=$AR30,"Bascule","Double run"),"ROKS"))))))</f>
        <v/>
      </c>
      <c r="R30" s="51" t="str">
        <f aca="false">IF(OR($A30="",R$8=""),"",IF($F30="Migré","ROKS",IF($F30="À décommissionner",IF(R$8&lt;$AS30,"IKS","Décom."),IF(OR($AQ30="",$AS30=""),"",IF(R$8&lt;$AQ30,"IKS",IF(R$8&lt;$AS30,IF(R$8=$AR30,"Bascule","Double run"),"ROKS"))))))</f>
        <v/>
      </c>
      <c r="S30" s="51" t="str">
        <f aca="false">IF(OR($A30="",S$8=""),"",IF($F30="Migré","ROKS",IF($F30="À décommissionner",IF(S$8&lt;$AS30,"IKS","Décom."),IF(OR($AQ30="",$AS30=""),"",IF(S$8&lt;$AQ30,"IKS",IF(S$8&lt;$AS30,IF(S$8=$AR30,"Bascule","Double run"),"ROKS"))))))</f>
        <v/>
      </c>
      <c r="T30" s="51" t="str">
        <f aca="false">IF(OR($A30="",T$8=""),"",IF($F30="Migré","ROKS",IF($F30="À décommissionner",IF(T$8&lt;$AS30,"IKS","Décom."),IF(OR($AQ30="",$AS30=""),"",IF(T$8&lt;$AQ30,"IKS",IF(T$8&lt;$AS30,IF(T$8=$AR30,"Bascule","Double run"),"ROKS"))))))</f>
        <v/>
      </c>
      <c r="U30" s="51" t="str">
        <f aca="false">IF(OR($A30="",U$8=""),"",IF($F30="Migré","ROKS",IF($F30="À décommissionner",IF(U$8&lt;$AS30,"IKS","Décom."),IF(OR($AQ30="",$AS30=""),"",IF(U$8&lt;$AQ30,"IKS",IF(U$8&lt;$AS30,IF(U$8=$AR30,"Bascule","Double run"),"ROKS"))))))</f>
        <v/>
      </c>
      <c r="V30" s="51" t="str">
        <f aca="false">IF(OR($A30="",V$8=""),"",IF($F30="Migré","ROKS",IF($F30="À décommissionner",IF(V$8&lt;$AS30,"IKS","Décom."),IF(OR($AQ30="",$AS30=""),"",IF(V$8&lt;$AQ30,"IKS",IF(V$8&lt;$AS30,IF(V$8=$AR30,"Bascule","Double run"),"ROKS"))))))</f>
        <v/>
      </c>
      <c r="W30" s="51" t="str">
        <f aca="false">IF(OR($A30="",W$8=""),"",IF($F30="Migré","ROKS",IF($F30="À décommissionner",IF(W$8&lt;$AS30,"IKS","Décom."),IF(OR($AQ30="",$AS30=""),"",IF(W$8&lt;$AQ30,"IKS",IF(W$8&lt;$AS30,IF(W$8=$AR30,"Bascule","Double run"),"ROKS"))))))</f>
        <v/>
      </c>
      <c r="X30" s="51" t="str">
        <f aca="false">IF(OR($A30="",X$8=""),"",IF($F30="Migré","ROKS",IF($F30="À décommissionner",IF(X$8&lt;$AS30,"IKS","Décom."),IF(OR($AQ30="",$AS30=""),"",IF(X$8&lt;$AQ30,"IKS",IF(X$8&lt;$AS30,IF(X$8=$AR30,"Bascule","Double run"),"ROKS"))))))</f>
        <v/>
      </c>
      <c r="Y30" s="51" t="str">
        <f aca="false">IF(OR($A30="",Y$8=""),"",IF($F30="Migré","ROKS",IF($F30="À décommissionner",IF(Y$8&lt;$AS30,"IKS","Décom."),IF(OR($AQ30="",$AS30=""),"",IF(Y$8&lt;$AQ30,"IKS",IF(Y$8&lt;$AS30,IF(Y$8=$AR30,"Bascule","Double run"),"ROKS"))))))</f>
        <v/>
      </c>
      <c r="Z30" s="51" t="str">
        <f aca="false">IF(OR($A30="",Z$8=""),"",IF($F30="Migré","ROKS",IF($F30="À décommissionner",IF(Z$8&lt;$AS30,"IKS","Décom."),IF(OR($AQ30="",$AS30=""),"",IF(Z$8&lt;$AQ30,"IKS",IF(Z$8&lt;$AS30,IF(Z$8=$AR30,"Bascule","Double run"),"ROKS"))))))</f>
        <v/>
      </c>
      <c r="AA30" s="51" t="str">
        <f aca="false">IF(OR($A30="",AA$8=""),"",IF($F30="Migré","ROKS",IF($F30="À décommissionner",IF(AA$8&lt;$AS30,"IKS","Décom."),IF(OR($AQ30="",$AS30=""),"",IF(AA$8&lt;$AQ30,"IKS",IF(AA$8&lt;$AS30,IF(AA$8=$AR30,"Bascule","Double run"),"ROKS"))))))</f>
        <v/>
      </c>
      <c r="AB30" s="51" t="str">
        <f aca="false">IF(OR($A30="",AB$8=""),"",IF($F30="Migré","ROKS",IF($F30="À décommissionner",IF(AB$8&lt;$AS30,"IKS","Décom."),IF(OR($AQ30="",$AS30=""),"",IF(AB$8&lt;$AQ30,"IKS",IF(AB$8&lt;$AS30,IF(AB$8=$AR30,"Bascule","Double run"),"ROKS"))))))</f>
        <v/>
      </c>
      <c r="AC30" s="51" t="str">
        <f aca="false">IF(OR($A30="",AC$8=""),"",IF($F30="Migré","ROKS",IF($F30="À décommissionner",IF(AC$8&lt;$AS30,"IKS","Décom."),IF(OR($AQ30="",$AS30=""),"",IF(AC$8&lt;$AQ30,"IKS",IF(AC$8&lt;$AS30,IF(AC$8=$AR30,"Bascule","Double run"),"ROKS"))))))</f>
        <v/>
      </c>
      <c r="AD30" s="51" t="str">
        <f aca="false">IF(OR($A30="",AD$8=""),"",IF($F30="Migré","ROKS",IF($F30="À décommissionner",IF(AD$8&lt;$AS30,"IKS","Décom."),IF(OR($AQ30="",$AS30=""),"",IF(AD$8&lt;$AQ30,"IKS",IF(AD$8&lt;$AS30,IF(AD$8=$AR30,"Bascule","Double run"),"ROKS"))))))</f>
        <v/>
      </c>
      <c r="AE30" s="51" t="str">
        <f aca="false">IF(OR($A30="",AE$8=""),"",IF($F30="Migré","ROKS",IF($F30="À décommissionner",IF(AE$8&lt;$AS30,"IKS","Décom."),IF(OR($AQ30="",$AS30=""),"",IF(AE$8&lt;$AQ30,"IKS",IF(AE$8&lt;$AS30,IF(AE$8=$AR30,"Bascule","Double run"),"ROKS"))))))</f>
        <v/>
      </c>
      <c r="AF30" s="51" t="str">
        <f aca="false">IF(OR($A30="",AF$8=""),"",IF($F30="Migré","ROKS",IF($F30="À décommissionner",IF(AF$8&lt;$AS30,"IKS","Décom."),IF(OR($AQ30="",$AS30=""),"",IF(AF$8&lt;$AQ30,"IKS",IF(AF$8&lt;$AS30,IF(AF$8=$AR30,"Bascule","Double run"),"ROKS"))))))</f>
        <v/>
      </c>
      <c r="AG30" s="51" t="str">
        <f aca="false">IF(OR($A30="",AG$8=""),"",IF($F30="Migré","ROKS",IF($F30="À décommissionner",IF(AG$8&lt;$AS30,"IKS","Décom."),IF(OR($AQ30="",$AS30=""),"",IF(AG$8&lt;$AQ30,"IKS",IF(AG$8&lt;$AS30,IF(AG$8=$AR30,"Bascule","Double run"),"ROKS"))))))</f>
        <v/>
      </c>
      <c r="AH30" s="51" t="str">
        <f aca="false">IF(OR($A30="",AH$8=""),"",IF($F30="Migré","ROKS",IF($F30="À décommissionner",IF(AH$8&lt;$AS30,"IKS","Décom."),IF(OR($AQ30="",$AS30=""),"",IF(AH$8&lt;$AQ30,"IKS",IF(AH$8&lt;$AS30,IF(AH$8=$AR30,"Bascule","Double run"),"ROKS"))))))</f>
        <v/>
      </c>
      <c r="AI30" s="51" t="str">
        <f aca="false">IF(OR($A30="",AI$8=""),"",IF($F30="Migré","ROKS",IF($F30="À décommissionner",IF(AI$8&lt;$AS30,"IKS","Décom."),IF(OR($AQ30="",$AS30=""),"",IF(AI$8&lt;$AQ30,"IKS",IF(AI$8&lt;$AS30,IF(AI$8=$AR30,"Bascule","Double run"),"ROKS"))))))</f>
        <v/>
      </c>
      <c r="AJ30" s="51" t="str">
        <f aca="false">IF(OR($A30="",AJ$8=""),"",IF($F30="Migré","ROKS",IF($F30="À décommissionner",IF(AJ$8&lt;$AS30,"IKS","Décom."),IF(OR($AQ30="",$AS30=""),"",IF(AJ$8&lt;$AQ30,"IKS",IF(AJ$8&lt;$AS30,IF(AJ$8=$AR30,"Bascule","Double run"),"ROKS"))))))</f>
        <v/>
      </c>
      <c r="AK30" s="51" t="str">
        <f aca="false">IF(OR($A30="",AK$8=""),"",IF($F30="Migré","ROKS",IF($F30="À décommissionner",IF(AK$8&lt;$AS30,"IKS","Décom."),IF(OR($AQ30="",$AS30=""),"",IF(AK$8&lt;$AQ30,"IKS",IF(AK$8&lt;$AS30,IF(AK$8=$AR30,"Bascule","Double run"),"ROKS"))))))</f>
        <v/>
      </c>
      <c r="AL30" s="51" t="str">
        <f aca="false">IF(OR($A30="",AL$8=""),"",IF($F30="Migré","ROKS",IF($F30="À décommissionner",IF(AL$8&lt;$AS30,"IKS","Décom."),IF(OR($AQ30="",$AS30=""),"",IF(AL$8&lt;$AQ30,"IKS",IF(AL$8&lt;$AS30,IF(AL$8=$AR30,"Bascule","Double run"),"ROKS"))))))</f>
        <v/>
      </c>
      <c r="AM30" s="51" t="str">
        <f aca="false">IF(OR($A30="",AM$8=""),"",IF($F30="Migré","ROKS",IF($F30="À décommissionner",IF(AM$8&lt;$AS30,"IKS","Décom."),IF(OR($AQ30="",$AS30=""),"",IF(AM$8&lt;$AQ30,"IKS",IF(AM$8&lt;$AS30,IF(AM$8=$AR30,"Bascule","Double run"),"ROKS"))))))</f>
        <v/>
      </c>
      <c r="AN30" s="51" t="str">
        <f aca="false">IF(OR($A30="",AN$8=""),"",IF($F30="Migré","ROKS",IF($F30="À décommissionner",IF(AN$8&lt;$AS30,"IKS","Décom."),IF(OR($AQ30="",$AS30=""),"",IF(AN$8&lt;$AQ30,"IKS",IF(AN$8&lt;$AS30,IF(AN$8=$AR30,"Bascule","Double run"),"ROKS"))))))</f>
        <v/>
      </c>
      <c r="AO30" s="51" t="str">
        <f aca="false">IF(OR($A30="",AO$8=""),"",IF($F30="Migré","ROKS",IF($F30="À décommissionner",IF(AO$8&lt;$AS30,"IKS","Décom."),IF(OR($AQ30="",$AS30=""),"",IF(AO$8&lt;$AQ30,"IKS",IF(AO$8&lt;$AS30,IF(AO$8=$AR30,"Bascule","Double run"),"ROKS"))))))</f>
        <v/>
      </c>
      <c r="AP30" s="51" t="str">
        <f aca="false">IF(OR($A30="",AP$8=""),"",IF($F30="Migré","ROKS",IF($F30="À décommissionner",IF(AP$8&lt;$AS30,"IKS","Décom."),IF(OR($AQ30="",$AS30=""),"",IF(AP$8&lt;$AQ30,"IKS",IF(AP$8&lt;$AS30,IF(AP$8=$AR30,"Bascule","Double run"),"ROKS"))))))</f>
        <v/>
      </c>
      <c r="AQ30" s="0" t="str">
        <f aca="false">IF($A30="","",INDEX(TblApplications[Mois prov (calc)],$A30))</f>
        <v/>
      </c>
      <c r="AR30" s="0" t="str">
        <f aca="false">IF($A30="","",IFERROR(DATE(YEAR(INDEX(TblApplications[Mois bascule],$A30)),MONTH(INDEX(TblApplications[Mois bascule],$A30)),1),""))</f>
        <v/>
      </c>
      <c r="AS30" s="0" t="str">
        <f aca="false">IF($A30="","",INDEX(TblApplications[Mois lib (calc)],$A30))</f>
        <v/>
      </c>
    </row>
    <row r="31" customFormat="false" ht="15" hidden="false" customHeight="false" outlineLevel="0" collapsed="false">
      <c r="A31" s="49" t="str">
        <f aca="false">IFERROR(MATCH(23,TblApplications[Rang frise],0),"")</f>
        <v/>
      </c>
      <c r="B31" s="50" t="str">
        <f aca="false">IF($A31="","",INDEX(TblApplications[ID],$A31))</f>
        <v/>
      </c>
      <c r="C31" s="50" t="str">
        <f aca="false">IF($A31="","",INDEX(TblApplications[Application],$A31))</f>
        <v/>
      </c>
      <c r="D31" s="50" t="str">
        <f aca="false">IF($A31="","",INDEX(TblApplications[Environnement],$A31))</f>
        <v/>
      </c>
      <c r="E31" s="50" t="str">
        <f aca="false">IF($A31="","",INDEX(TblApplications[Couloir],$A31))</f>
        <v/>
      </c>
      <c r="F31" s="50" t="str">
        <f aca="false">IF($A31="","",INDEX(TblApplications[Action],$A31))</f>
        <v/>
      </c>
      <c r="G31" s="51" t="str">
        <f aca="false">IF(OR($A31="",G$8=""),"",IF($F31="Migré","ROKS",IF($F31="À décommissionner",IF(G$8&lt;$AS31,"IKS","Décom."),IF(OR($AQ31="",$AS31=""),"",IF(G$8&lt;$AQ31,"IKS",IF(G$8&lt;$AS31,IF(G$8=$AR31,"Bascule","Double run"),"ROKS"))))))</f>
        <v/>
      </c>
      <c r="H31" s="51" t="str">
        <f aca="false">IF(OR($A31="",H$8=""),"",IF($F31="Migré","ROKS",IF($F31="À décommissionner",IF(H$8&lt;$AS31,"IKS","Décom."),IF(OR($AQ31="",$AS31=""),"",IF(H$8&lt;$AQ31,"IKS",IF(H$8&lt;$AS31,IF(H$8=$AR31,"Bascule","Double run"),"ROKS"))))))</f>
        <v/>
      </c>
      <c r="I31" s="51" t="str">
        <f aca="false">IF(OR($A31="",I$8=""),"",IF($F31="Migré","ROKS",IF($F31="À décommissionner",IF(I$8&lt;$AS31,"IKS","Décom."),IF(OR($AQ31="",$AS31=""),"",IF(I$8&lt;$AQ31,"IKS",IF(I$8&lt;$AS31,IF(I$8=$AR31,"Bascule","Double run"),"ROKS"))))))</f>
        <v/>
      </c>
      <c r="J31" s="51" t="str">
        <f aca="false">IF(OR($A31="",J$8=""),"",IF($F31="Migré","ROKS",IF($F31="À décommissionner",IF(J$8&lt;$AS31,"IKS","Décom."),IF(OR($AQ31="",$AS31=""),"",IF(J$8&lt;$AQ31,"IKS",IF(J$8&lt;$AS31,IF(J$8=$AR31,"Bascule","Double run"),"ROKS"))))))</f>
        <v/>
      </c>
      <c r="K31" s="51" t="str">
        <f aca="false">IF(OR($A31="",K$8=""),"",IF($F31="Migré","ROKS",IF($F31="À décommissionner",IF(K$8&lt;$AS31,"IKS","Décom."),IF(OR($AQ31="",$AS31=""),"",IF(K$8&lt;$AQ31,"IKS",IF(K$8&lt;$AS31,IF(K$8=$AR31,"Bascule","Double run"),"ROKS"))))))</f>
        <v/>
      </c>
      <c r="L31" s="51" t="str">
        <f aca="false">IF(OR($A31="",L$8=""),"",IF($F31="Migré","ROKS",IF($F31="À décommissionner",IF(L$8&lt;$AS31,"IKS","Décom."),IF(OR($AQ31="",$AS31=""),"",IF(L$8&lt;$AQ31,"IKS",IF(L$8&lt;$AS31,IF(L$8=$AR31,"Bascule","Double run"),"ROKS"))))))</f>
        <v/>
      </c>
      <c r="M31" s="51" t="str">
        <f aca="false">IF(OR($A31="",M$8=""),"",IF($F31="Migré","ROKS",IF($F31="À décommissionner",IF(M$8&lt;$AS31,"IKS","Décom."),IF(OR($AQ31="",$AS31=""),"",IF(M$8&lt;$AQ31,"IKS",IF(M$8&lt;$AS31,IF(M$8=$AR31,"Bascule","Double run"),"ROKS"))))))</f>
        <v/>
      </c>
      <c r="N31" s="51" t="str">
        <f aca="false">IF(OR($A31="",N$8=""),"",IF($F31="Migré","ROKS",IF($F31="À décommissionner",IF(N$8&lt;$AS31,"IKS","Décom."),IF(OR($AQ31="",$AS31=""),"",IF(N$8&lt;$AQ31,"IKS",IF(N$8&lt;$AS31,IF(N$8=$AR31,"Bascule","Double run"),"ROKS"))))))</f>
        <v/>
      </c>
      <c r="O31" s="51" t="str">
        <f aca="false">IF(OR($A31="",O$8=""),"",IF($F31="Migré","ROKS",IF($F31="À décommissionner",IF(O$8&lt;$AS31,"IKS","Décom."),IF(OR($AQ31="",$AS31=""),"",IF(O$8&lt;$AQ31,"IKS",IF(O$8&lt;$AS31,IF(O$8=$AR31,"Bascule","Double run"),"ROKS"))))))</f>
        <v/>
      </c>
      <c r="P31" s="51" t="str">
        <f aca="false">IF(OR($A31="",P$8=""),"",IF($F31="Migré","ROKS",IF($F31="À décommissionner",IF(P$8&lt;$AS31,"IKS","Décom."),IF(OR($AQ31="",$AS31=""),"",IF(P$8&lt;$AQ31,"IKS",IF(P$8&lt;$AS31,IF(P$8=$AR31,"Bascule","Double run"),"ROKS"))))))</f>
        <v/>
      </c>
      <c r="Q31" s="51" t="str">
        <f aca="false">IF(OR($A31="",Q$8=""),"",IF($F31="Migré","ROKS",IF($F31="À décommissionner",IF(Q$8&lt;$AS31,"IKS","Décom."),IF(OR($AQ31="",$AS31=""),"",IF(Q$8&lt;$AQ31,"IKS",IF(Q$8&lt;$AS31,IF(Q$8=$AR31,"Bascule","Double run"),"ROKS"))))))</f>
        <v/>
      </c>
      <c r="R31" s="51" t="str">
        <f aca="false">IF(OR($A31="",R$8=""),"",IF($F31="Migré","ROKS",IF($F31="À décommissionner",IF(R$8&lt;$AS31,"IKS","Décom."),IF(OR($AQ31="",$AS31=""),"",IF(R$8&lt;$AQ31,"IKS",IF(R$8&lt;$AS31,IF(R$8=$AR31,"Bascule","Double run"),"ROKS"))))))</f>
        <v/>
      </c>
      <c r="S31" s="51" t="str">
        <f aca="false">IF(OR($A31="",S$8=""),"",IF($F31="Migré","ROKS",IF($F31="À décommissionner",IF(S$8&lt;$AS31,"IKS","Décom."),IF(OR($AQ31="",$AS31=""),"",IF(S$8&lt;$AQ31,"IKS",IF(S$8&lt;$AS31,IF(S$8=$AR31,"Bascule","Double run"),"ROKS"))))))</f>
        <v/>
      </c>
      <c r="T31" s="51" t="str">
        <f aca="false">IF(OR($A31="",T$8=""),"",IF($F31="Migré","ROKS",IF($F31="À décommissionner",IF(T$8&lt;$AS31,"IKS","Décom."),IF(OR($AQ31="",$AS31=""),"",IF(T$8&lt;$AQ31,"IKS",IF(T$8&lt;$AS31,IF(T$8=$AR31,"Bascule","Double run"),"ROKS"))))))</f>
        <v/>
      </c>
      <c r="U31" s="51" t="str">
        <f aca="false">IF(OR($A31="",U$8=""),"",IF($F31="Migré","ROKS",IF($F31="À décommissionner",IF(U$8&lt;$AS31,"IKS","Décom."),IF(OR($AQ31="",$AS31=""),"",IF(U$8&lt;$AQ31,"IKS",IF(U$8&lt;$AS31,IF(U$8=$AR31,"Bascule","Double run"),"ROKS"))))))</f>
        <v/>
      </c>
      <c r="V31" s="51" t="str">
        <f aca="false">IF(OR($A31="",V$8=""),"",IF($F31="Migré","ROKS",IF($F31="À décommissionner",IF(V$8&lt;$AS31,"IKS","Décom."),IF(OR($AQ31="",$AS31=""),"",IF(V$8&lt;$AQ31,"IKS",IF(V$8&lt;$AS31,IF(V$8=$AR31,"Bascule","Double run"),"ROKS"))))))</f>
        <v/>
      </c>
      <c r="W31" s="51" t="str">
        <f aca="false">IF(OR($A31="",W$8=""),"",IF($F31="Migré","ROKS",IF($F31="À décommissionner",IF(W$8&lt;$AS31,"IKS","Décom."),IF(OR($AQ31="",$AS31=""),"",IF(W$8&lt;$AQ31,"IKS",IF(W$8&lt;$AS31,IF(W$8=$AR31,"Bascule","Double run"),"ROKS"))))))</f>
        <v/>
      </c>
      <c r="X31" s="51" t="str">
        <f aca="false">IF(OR($A31="",X$8=""),"",IF($F31="Migré","ROKS",IF($F31="À décommissionner",IF(X$8&lt;$AS31,"IKS","Décom."),IF(OR($AQ31="",$AS31=""),"",IF(X$8&lt;$AQ31,"IKS",IF(X$8&lt;$AS31,IF(X$8=$AR31,"Bascule","Double run"),"ROKS"))))))</f>
        <v/>
      </c>
      <c r="Y31" s="51" t="str">
        <f aca="false">IF(OR($A31="",Y$8=""),"",IF($F31="Migré","ROKS",IF($F31="À décommissionner",IF(Y$8&lt;$AS31,"IKS","Décom."),IF(OR($AQ31="",$AS31=""),"",IF(Y$8&lt;$AQ31,"IKS",IF(Y$8&lt;$AS31,IF(Y$8=$AR31,"Bascule","Double run"),"ROKS"))))))</f>
        <v/>
      </c>
      <c r="Z31" s="51" t="str">
        <f aca="false">IF(OR($A31="",Z$8=""),"",IF($F31="Migré","ROKS",IF($F31="À décommissionner",IF(Z$8&lt;$AS31,"IKS","Décom."),IF(OR($AQ31="",$AS31=""),"",IF(Z$8&lt;$AQ31,"IKS",IF(Z$8&lt;$AS31,IF(Z$8=$AR31,"Bascule","Double run"),"ROKS"))))))</f>
        <v/>
      </c>
      <c r="AA31" s="51" t="str">
        <f aca="false">IF(OR($A31="",AA$8=""),"",IF($F31="Migré","ROKS",IF($F31="À décommissionner",IF(AA$8&lt;$AS31,"IKS","Décom."),IF(OR($AQ31="",$AS31=""),"",IF(AA$8&lt;$AQ31,"IKS",IF(AA$8&lt;$AS31,IF(AA$8=$AR31,"Bascule","Double run"),"ROKS"))))))</f>
        <v/>
      </c>
      <c r="AB31" s="51" t="str">
        <f aca="false">IF(OR($A31="",AB$8=""),"",IF($F31="Migré","ROKS",IF($F31="À décommissionner",IF(AB$8&lt;$AS31,"IKS","Décom."),IF(OR($AQ31="",$AS31=""),"",IF(AB$8&lt;$AQ31,"IKS",IF(AB$8&lt;$AS31,IF(AB$8=$AR31,"Bascule","Double run"),"ROKS"))))))</f>
        <v/>
      </c>
      <c r="AC31" s="51" t="str">
        <f aca="false">IF(OR($A31="",AC$8=""),"",IF($F31="Migré","ROKS",IF($F31="À décommissionner",IF(AC$8&lt;$AS31,"IKS","Décom."),IF(OR($AQ31="",$AS31=""),"",IF(AC$8&lt;$AQ31,"IKS",IF(AC$8&lt;$AS31,IF(AC$8=$AR31,"Bascule","Double run"),"ROKS"))))))</f>
        <v/>
      </c>
      <c r="AD31" s="51" t="str">
        <f aca="false">IF(OR($A31="",AD$8=""),"",IF($F31="Migré","ROKS",IF($F31="À décommissionner",IF(AD$8&lt;$AS31,"IKS","Décom."),IF(OR($AQ31="",$AS31=""),"",IF(AD$8&lt;$AQ31,"IKS",IF(AD$8&lt;$AS31,IF(AD$8=$AR31,"Bascule","Double run"),"ROKS"))))))</f>
        <v/>
      </c>
      <c r="AE31" s="51" t="str">
        <f aca="false">IF(OR($A31="",AE$8=""),"",IF($F31="Migré","ROKS",IF($F31="À décommissionner",IF(AE$8&lt;$AS31,"IKS","Décom."),IF(OR($AQ31="",$AS31=""),"",IF(AE$8&lt;$AQ31,"IKS",IF(AE$8&lt;$AS31,IF(AE$8=$AR31,"Bascule","Double run"),"ROKS"))))))</f>
        <v/>
      </c>
      <c r="AF31" s="51" t="str">
        <f aca="false">IF(OR($A31="",AF$8=""),"",IF($F31="Migré","ROKS",IF($F31="À décommissionner",IF(AF$8&lt;$AS31,"IKS","Décom."),IF(OR($AQ31="",$AS31=""),"",IF(AF$8&lt;$AQ31,"IKS",IF(AF$8&lt;$AS31,IF(AF$8=$AR31,"Bascule","Double run"),"ROKS"))))))</f>
        <v/>
      </c>
      <c r="AG31" s="51" t="str">
        <f aca="false">IF(OR($A31="",AG$8=""),"",IF($F31="Migré","ROKS",IF($F31="À décommissionner",IF(AG$8&lt;$AS31,"IKS","Décom."),IF(OR($AQ31="",$AS31=""),"",IF(AG$8&lt;$AQ31,"IKS",IF(AG$8&lt;$AS31,IF(AG$8=$AR31,"Bascule","Double run"),"ROKS"))))))</f>
        <v/>
      </c>
      <c r="AH31" s="51" t="str">
        <f aca="false">IF(OR($A31="",AH$8=""),"",IF($F31="Migré","ROKS",IF($F31="À décommissionner",IF(AH$8&lt;$AS31,"IKS","Décom."),IF(OR($AQ31="",$AS31=""),"",IF(AH$8&lt;$AQ31,"IKS",IF(AH$8&lt;$AS31,IF(AH$8=$AR31,"Bascule","Double run"),"ROKS"))))))</f>
        <v/>
      </c>
      <c r="AI31" s="51" t="str">
        <f aca="false">IF(OR($A31="",AI$8=""),"",IF($F31="Migré","ROKS",IF($F31="À décommissionner",IF(AI$8&lt;$AS31,"IKS","Décom."),IF(OR($AQ31="",$AS31=""),"",IF(AI$8&lt;$AQ31,"IKS",IF(AI$8&lt;$AS31,IF(AI$8=$AR31,"Bascule","Double run"),"ROKS"))))))</f>
        <v/>
      </c>
      <c r="AJ31" s="51" t="str">
        <f aca="false">IF(OR($A31="",AJ$8=""),"",IF($F31="Migré","ROKS",IF($F31="À décommissionner",IF(AJ$8&lt;$AS31,"IKS","Décom."),IF(OR($AQ31="",$AS31=""),"",IF(AJ$8&lt;$AQ31,"IKS",IF(AJ$8&lt;$AS31,IF(AJ$8=$AR31,"Bascule","Double run"),"ROKS"))))))</f>
        <v/>
      </c>
      <c r="AK31" s="51" t="str">
        <f aca="false">IF(OR($A31="",AK$8=""),"",IF($F31="Migré","ROKS",IF($F31="À décommissionner",IF(AK$8&lt;$AS31,"IKS","Décom."),IF(OR($AQ31="",$AS31=""),"",IF(AK$8&lt;$AQ31,"IKS",IF(AK$8&lt;$AS31,IF(AK$8=$AR31,"Bascule","Double run"),"ROKS"))))))</f>
        <v/>
      </c>
      <c r="AL31" s="51" t="str">
        <f aca="false">IF(OR($A31="",AL$8=""),"",IF($F31="Migré","ROKS",IF($F31="À décommissionner",IF(AL$8&lt;$AS31,"IKS","Décom."),IF(OR($AQ31="",$AS31=""),"",IF(AL$8&lt;$AQ31,"IKS",IF(AL$8&lt;$AS31,IF(AL$8=$AR31,"Bascule","Double run"),"ROKS"))))))</f>
        <v/>
      </c>
      <c r="AM31" s="51" t="str">
        <f aca="false">IF(OR($A31="",AM$8=""),"",IF($F31="Migré","ROKS",IF($F31="À décommissionner",IF(AM$8&lt;$AS31,"IKS","Décom."),IF(OR($AQ31="",$AS31=""),"",IF(AM$8&lt;$AQ31,"IKS",IF(AM$8&lt;$AS31,IF(AM$8=$AR31,"Bascule","Double run"),"ROKS"))))))</f>
        <v/>
      </c>
      <c r="AN31" s="51" t="str">
        <f aca="false">IF(OR($A31="",AN$8=""),"",IF($F31="Migré","ROKS",IF($F31="À décommissionner",IF(AN$8&lt;$AS31,"IKS","Décom."),IF(OR($AQ31="",$AS31=""),"",IF(AN$8&lt;$AQ31,"IKS",IF(AN$8&lt;$AS31,IF(AN$8=$AR31,"Bascule","Double run"),"ROKS"))))))</f>
        <v/>
      </c>
      <c r="AO31" s="51" t="str">
        <f aca="false">IF(OR($A31="",AO$8=""),"",IF($F31="Migré","ROKS",IF($F31="À décommissionner",IF(AO$8&lt;$AS31,"IKS","Décom."),IF(OR($AQ31="",$AS31=""),"",IF(AO$8&lt;$AQ31,"IKS",IF(AO$8&lt;$AS31,IF(AO$8=$AR31,"Bascule","Double run"),"ROKS"))))))</f>
        <v/>
      </c>
      <c r="AP31" s="51" t="str">
        <f aca="false">IF(OR($A31="",AP$8=""),"",IF($F31="Migré","ROKS",IF($F31="À décommissionner",IF(AP$8&lt;$AS31,"IKS","Décom."),IF(OR($AQ31="",$AS31=""),"",IF(AP$8&lt;$AQ31,"IKS",IF(AP$8&lt;$AS31,IF(AP$8=$AR31,"Bascule","Double run"),"ROKS"))))))</f>
        <v/>
      </c>
      <c r="AQ31" s="0" t="str">
        <f aca="false">IF($A31="","",INDEX(TblApplications[Mois prov (calc)],$A31))</f>
        <v/>
      </c>
      <c r="AR31" s="0" t="str">
        <f aca="false">IF($A31="","",IFERROR(DATE(YEAR(INDEX(TblApplications[Mois bascule],$A31)),MONTH(INDEX(TblApplications[Mois bascule],$A31)),1),""))</f>
        <v/>
      </c>
      <c r="AS31" s="0" t="str">
        <f aca="false">IF($A31="","",INDEX(TblApplications[Mois lib (calc)],$A31))</f>
        <v/>
      </c>
    </row>
    <row r="32" customFormat="false" ht="15" hidden="false" customHeight="false" outlineLevel="0" collapsed="false">
      <c r="A32" s="49" t="str">
        <f aca="false">IFERROR(MATCH(24,TblApplications[Rang frise],0),"")</f>
        <v/>
      </c>
      <c r="B32" s="50" t="str">
        <f aca="false">IF($A32="","",INDEX(TblApplications[ID],$A32))</f>
        <v/>
      </c>
      <c r="C32" s="50" t="str">
        <f aca="false">IF($A32="","",INDEX(TblApplications[Application],$A32))</f>
        <v/>
      </c>
      <c r="D32" s="50" t="str">
        <f aca="false">IF($A32="","",INDEX(TblApplications[Environnement],$A32))</f>
        <v/>
      </c>
      <c r="E32" s="50" t="str">
        <f aca="false">IF($A32="","",INDEX(TblApplications[Couloir],$A32))</f>
        <v/>
      </c>
      <c r="F32" s="50" t="str">
        <f aca="false">IF($A32="","",INDEX(TblApplications[Action],$A32))</f>
        <v/>
      </c>
      <c r="G32" s="51" t="str">
        <f aca="false">IF(OR($A32="",G$8=""),"",IF($F32="Migré","ROKS",IF($F32="À décommissionner",IF(G$8&lt;$AS32,"IKS","Décom."),IF(OR($AQ32="",$AS32=""),"",IF(G$8&lt;$AQ32,"IKS",IF(G$8&lt;$AS32,IF(G$8=$AR32,"Bascule","Double run"),"ROKS"))))))</f>
        <v/>
      </c>
      <c r="H32" s="51" t="str">
        <f aca="false">IF(OR($A32="",H$8=""),"",IF($F32="Migré","ROKS",IF($F32="À décommissionner",IF(H$8&lt;$AS32,"IKS","Décom."),IF(OR($AQ32="",$AS32=""),"",IF(H$8&lt;$AQ32,"IKS",IF(H$8&lt;$AS32,IF(H$8=$AR32,"Bascule","Double run"),"ROKS"))))))</f>
        <v/>
      </c>
      <c r="I32" s="51" t="str">
        <f aca="false">IF(OR($A32="",I$8=""),"",IF($F32="Migré","ROKS",IF($F32="À décommissionner",IF(I$8&lt;$AS32,"IKS","Décom."),IF(OR($AQ32="",$AS32=""),"",IF(I$8&lt;$AQ32,"IKS",IF(I$8&lt;$AS32,IF(I$8=$AR32,"Bascule","Double run"),"ROKS"))))))</f>
        <v/>
      </c>
      <c r="J32" s="51" t="str">
        <f aca="false">IF(OR($A32="",J$8=""),"",IF($F32="Migré","ROKS",IF($F32="À décommissionner",IF(J$8&lt;$AS32,"IKS","Décom."),IF(OR($AQ32="",$AS32=""),"",IF(J$8&lt;$AQ32,"IKS",IF(J$8&lt;$AS32,IF(J$8=$AR32,"Bascule","Double run"),"ROKS"))))))</f>
        <v/>
      </c>
      <c r="K32" s="51" t="str">
        <f aca="false">IF(OR($A32="",K$8=""),"",IF($F32="Migré","ROKS",IF($F32="À décommissionner",IF(K$8&lt;$AS32,"IKS","Décom."),IF(OR($AQ32="",$AS32=""),"",IF(K$8&lt;$AQ32,"IKS",IF(K$8&lt;$AS32,IF(K$8=$AR32,"Bascule","Double run"),"ROKS"))))))</f>
        <v/>
      </c>
      <c r="L32" s="51" t="str">
        <f aca="false">IF(OR($A32="",L$8=""),"",IF($F32="Migré","ROKS",IF($F32="À décommissionner",IF(L$8&lt;$AS32,"IKS","Décom."),IF(OR($AQ32="",$AS32=""),"",IF(L$8&lt;$AQ32,"IKS",IF(L$8&lt;$AS32,IF(L$8=$AR32,"Bascule","Double run"),"ROKS"))))))</f>
        <v/>
      </c>
      <c r="M32" s="51" t="str">
        <f aca="false">IF(OR($A32="",M$8=""),"",IF($F32="Migré","ROKS",IF($F32="À décommissionner",IF(M$8&lt;$AS32,"IKS","Décom."),IF(OR($AQ32="",$AS32=""),"",IF(M$8&lt;$AQ32,"IKS",IF(M$8&lt;$AS32,IF(M$8=$AR32,"Bascule","Double run"),"ROKS"))))))</f>
        <v/>
      </c>
      <c r="N32" s="51" t="str">
        <f aca="false">IF(OR($A32="",N$8=""),"",IF($F32="Migré","ROKS",IF($F32="À décommissionner",IF(N$8&lt;$AS32,"IKS","Décom."),IF(OR($AQ32="",$AS32=""),"",IF(N$8&lt;$AQ32,"IKS",IF(N$8&lt;$AS32,IF(N$8=$AR32,"Bascule","Double run"),"ROKS"))))))</f>
        <v/>
      </c>
      <c r="O32" s="51" t="str">
        <f aca="false">IF(OR($A32="",O$8=""),"",IF($F32="Migré","ROKS",IF($F32="À décommissionner",IF(O$8&lt;$AS32,"IKS","Décom."),IF(OR($AQ32="",$AS32=""),"",IF(O$8&lt;$AQ32,"IKS",IF(O$8&lt;$AS32,IF(O$8=$AR32,"Bascule","Double run"),"ROKS"))))))</f>
        <v/>
      </c>
      <c r="P32" s="51" t="str">
        <f aca="false">IF(OR($A32="",P$8=""),"",IF($F32="Migré","ROKS",IF($F32="À décommissionner",IF(P$8&lt;$AS32,"IKS","Décom."),IF(OR($AQ32="",$AS32=""),"",IF(P$8&lt;$AQ32,"IKS",IF(P$8&lt;$AS32,IF(P$8=$AR32,"Bascule","Double run"),"ROKS"))))))</f>
        <v/>
      </c>
      <c r="Q32" s="51" t="str">
        <f aca="false">IF(OR($A32="",Q$8=""),"",IF($F32="Migré","ROKS",IF($F32="À décommissionner",IF(Q$8&lt;$AS32,"IKS","Décom."),IF(OR($AQ32="",$AS32=""),"",IF(Q$8&lt;$AQ32,"IKS",IF(Q$8&lt;$AS32,IF(Q$8=$AR32,"Bascule","Double run"),"ROKS"))))))</f>
        <v/>
      </c>
      <c r="R32" s="51" t="str">
        <f aca="false">IF(OR($A32="",R$8=""),"",IF($F32="Migré","ROKS",IF($F32="À décommissionner",IF(R$8&lt;$AS32,"IKS","Décom."),IF(OR($AQ32="",$AS32=""),"",IF(R$8&lt;$AQ32,"IKS",IF(R$8&lt;$AS32,IF(R$8=$AR32,"Bascule","Double run"),"ROKS"))))))</f>
        <v/>
      </c>
      <c r="S32" s="51" t="str">
        <f aca="false">IF(OR($A32="",S$8=""),"",IF($F32="Migré","ROKS",IF($F32="À décommissionner",IF(S$8&lt;$AS32,"IKS","Décom."),IF(OR($AQ32="",$AS32=""),"",IF(S$8&lt;$AQ32,"IKS",IF(S$8&lt;$AS32,IF(S$8=$AR32,"Bascule","Double run"),"ROKS"))))))</f>
        <v/>
      </c>
      <c r="T32" s="51" t="str">
        <f aca="false">IF(OR($A32="",T$8=""),"",IF($F32="Migré","ROKS",IF($F32="À décommissionner",IF(T$8&lt;$AS32,"IKS","Décom."),IF(OR($AQ32="",$AS32=""),"",IF(T$8&lt;$AQ32,"IKS",IF(T$8&lt;$AS32,IF(T$8=$AR32,"Bascule","Double run"),"ROKS"))))))</f>
        <v/>
      </c>
      <c r="U32" s="51" t="str">
        <f aca="false">IF(OR($A32="",U$8=""),"",IF($F32="Migré","ROKS",IF($F32="À décommissionner",IF(U$8&lt;$AS32,"IKS","Décom."),IF(OR($AQ32="",$AS32=""),"",IF(U$8&lt;$AQ32,"IKS",IF(U$8&lt;$AS32,IF(U$8=$AR32,"Bascule","Double run"),"ROKS"))))))</f>
        <v/>
      </c>
      <c r="V32" s="51" t="str">
        <f aca="false">IF(OR($A32="",V$8=""),"",IF($F32="Migré","ROKS",IF($F32="À décommissionner",IF(V$8&lt;$AS32,"IKS","Décom."),IF(OR($AQ32="",$AS32=""),"",IF(V$8&lt;$AQ32,"IKS",IF(V$8&lt;$AS32,IF(V$8=$AR32,"Bascule","Double run"),"ROKS"))))))</f>
        <v/>
      </c>
      <c r="W32" s="51" t="str">
        <f aca="false">IF(OR($A32="",W$8=""),"",IF($F32="Migré","ROKS",IF($F32="À décommissionner",IF(W$8&lt;$AS32,"IKS","Décom."),IF(OR($AQ32="",$AS32=""),"",IF(W$8&lt;$AQ32,"IKS",IF(W$8&lt;$AS32,IF(W$8=$AR32,"Bascule","Double run"),"ROKS"))))))</f>
        <v/>
      </c>
      <c r="X32" s="51" t="str">
        <f aca="false">IF(OR($A32="",X$8=""),"",IF($F32="Migré","ROKS",IF($F32="À décommissionner",IF(X$8&lt;$AS32,"IKS","Décom."),IF(OR($AQ32="",$AS32=""),"",IF(X$8&lt;$AQ32,"IKS",IF(X$8&lt;$AS32,IF(X$8=$AR32,"Bascule","Double run"),"ROKS"))))))</f>
        <v/>
      </c>
      <c r="Y32" s="51" t="str">
        <f aca="false">IF(OR($A32="",Y$8=""),"",IF($F32="Migré","ROKS",IF($F32="À décommissionner",IF(Y$8&lt;$AS32,"IKS","Décom."),IF(OR($AQ32="",$AS32=""),"",IF(Y$8&lt;$AQ32,"IKS",IF(Y$8&lt;$AS32,IF(Y$8=$AR32,"Bascule","Double run"),"ROKS"))))))</f>
        <v/>
      </c>
      <c r="Z32" s="51" t="str">
        <f aca="false">IF(OR($A32="",Z$8=""),"",IF($F32="Migré","ROKS",IF($F32="À décommissionner",IF(Z$8&lt;$AS32,"IKS","Décom."),IF(OR($AQ32="",$AS32=""),"",IF(Z$8&lt;$AQ32,"IKS",IF(Z$8&lt;$AS32,IF(Z$8=$AR32,"Bascule","Double run"),"ROKS"))))))</f>
        <v/>
      </c>
      <c r="AA32" s="51" t="str">
        <f aca="false">IF(OR($A32="",AA$8=""),"",IF($F32="Migré","ROKS",IF($F32="À décommissionner",IF(AA$8&lt;$AS32,"IKS","Décom."),IF(OR($AQ32="",$AS32=""),"",IF(AA$8&lt;$AQ32,"IKS",IF(AA$8&lt;$AS32,IF(AA$8=$AR32,"Bascule","Double run"),"ROKS"))))))</f>
        <v/>
      </c>
      <c r="AB32" s="51" t="str">
        <f aca="false">IF(OR($A32="",AB$8=""),"",IF($F32="Migré","ROKS",IF($F32="À décommissionner",IF(AB$8&lt;$AS32,"IKS","Décom."),IF(OR($AQ32="",$AS32=""),"",IF(AB$8&lt;$AQ32,"IKS",IF(AB$8&lt;$AS32,IF(AB$8=$AR32,"Bascule","Double run"),"ROKS"))))))</f>
        <v/>
      </c>
      <c r="AC32" s="51" t="str">
        <f aca="false">IF(OR($A32="",AC$8=""),"",IF($F32="Migré","ROKS",IF($F32="À décommissionner",IF(AC$8&lt;$AS32,"IKS","Décom."),IF(OR($AQ32="",$AS32=""),"",IF(AC$8&lt;$AQ32,"IKS",IF(AC$8&lt;$AS32,IF(AC$8=$AR32,"Bascule","Double run"),"ROKS"))))))</f>
        <v/>
      </c>
      <c r="AD32" s="51" t="str">
        <f aca="false">IF(OR($A32="",AD$8=""),"",IF($F32="Migré","ROKS",IF($F32="À décommissionner",IF(AD$8&lt;$AS32,"IKS","Décom."),IF(OR($AQ32="",$AS32=""),"",IF(AD$8&lt;$AQ32,"IKS",IF(AD$8&lt;$AS32,IF(AD$8=$AR32,"Bascule","Double run"),"ROKS"))))))</f>
        <v/>
      </c>
      <c r="AE32" s="51" t="str">
        <f aca="false">IF(OR($A32="",AE$8=""),"",IF($F32="Migré","ROKS",IF($F32="À décommissionner",IF(AE$8&lt;$AS32,"IKS","Décom."),IF(OR($AQ32="",$AS32=""),"",IF(AE$8&lt;$AQ32,"IKS",IF(AE$8&lt;$AS32,IF(AE$8=$AR32,"Bascule","Double run"),"ROKS"))))))</f>
        <v/>
      </c>
      <c r="AF32" s="51" t="str">
        <f aca="false">IF(OR($A32="",AF$8=""),"",IF($F32="Migré","ROKS",IF($F32="À décommissionner",IF(AF$8&lt;$AS32,"IKS","Décom."),IF(OR($AQ32="",$AS32=""),"",IF(AF$8&lt;$AQ32,"IKS",IF(AF$8&lt;$AS32,IF(AF$8=$AR32,"Bascule","Double run"),"ROKS"))))))</f>
        <v/>
      </c>
      <c r="AG32" s="51" t="str">
        <f aca="false">IF(OR($A32="",AG$8=""),"",IF($F32="Migré","ROKS",IF($F32="À décommissionner",IF(AG$8&lt;$AS32,"IKS","Décom."),IF(OR($AQ32="",$AS32=""),"",IF(AG$8&lt;$AQ32,"IKS",IF(AG$8&lt;$AS32,IF(AG$8=$AR32,"Bascule","Double run"),"ROKS"))))))</f>
        <v/>
      </c>
      <c r="AH32" s="51" t="str">
        <f aca="false">IF(OR($A32="",AH$8=""),"",IF($F32="Migré","ROKS",IF($F32="À décommissionner",IF(AH$8&lt;$AS32,"IKS","Décom."),IF(OR($AQ32="",$AS32=""),"",IF(AH$8&lt;$AQ32,"IKS",IF(AH$8&lt;$AS32,IF(AH$8=$AR32,"Bascule","Double run"),"ROKS"))))))</f>
        <v/>
      </c>
      <c r="AI32" s="51" t="str">
        <f aca="false">IF(OR($A32="",AI$8=""),"",IF($F32="Migré","ROKS",IF($F32="À décommissionner",IF(AI$8&lt;$AS32,"IKS","Décom."),IF(OR($AQ32="",$AS32=""),"",IF(AI$8&lt;$AQ32,"IKS",IF(AI$8&lt;$AS32,IF(AI$8=$AR32,"Bascule","Double run"),"ROKS"))))))</f>
        <v/>
      </c>
      <c r="AJ32" s="51" t="str">
        <f aca="false">IF(OR($A32="",AJ$8=""),"",IF($F32="Migré","ROKS",IF($F32="À décommissionner",IF(AJ$8&lt;$AS32,"IKS","Décom."),IF(OR($AQ32="",$AS32=""),"",IF(AJ$8&lt;$AQ32,"IKS",IF(AJ$8&lt;$AS32,IF(AJ$8=$AR32,"Bascule","Double run"),"ROKS"))))))</f>
        <v/>
      </c>
      <c r="AK32" s="51" t="str">
        <f aca="false">IF(OR($A32="",AK$8=""),"",IF($F32="Migré","ROKS",IF($F32="À décommissionner",IF(AK$8&lt;$AS32,"IKS","Décom."),IF(OR($AQ32="",$AS32=""),"",IF(AK$8&lt;$AQ32,"IKS",IF(AK$8&lt;$AS32,IF(AK$8=$AR32,"Bascule","Double run"),"ROKS"))))))</f>
        <v/>
      </c>
      <c r="AL32" s="51" t="str">
        <f aca="false">IF(OR($A32="",AL$8=""),"",IF($F32="Migré","ROKS",IF($F32="À décommissionner",IF(AL$8&lt;$AS32,"IKS","Décom."),IF(OR($AQ32="",$AS32=""),"",IF(AL$8&lt;$AQ32,"IKS",IF(AL$8&lt;$AS32,IF(AL$8=$AR32,"Bascule","Double run"),"ROKS"))))))</f>
        <v/>
      </c>
      <c r="AM32" s="51" t="str">
        <f aca="false">IF(OR($A32="",AM$8=""),"",IF($F32="Migré","ROKS",IF($F32="À décommissionner",IF(AM$8&lt;$AS32,"IKS","Décom."),IF(OR($AQ32="",$AS32=""),"",IF(AM$8&lt;$AQ32,"IKS",IF(AM$8&lt;$AS32,IF(AM$8=$AR32,"Bascule","Double run"),"ROKS"))))))</f>
        <v/>
      </c>
      <c r="AN32" s="51" t="str">
        <f aca="false">IF(OR($A32="",AN$8=""),"",IF($F32="Migré","ROKS",IF($F32="À décommissionner",IF(AN$8&lt;$AS32,"IKS","Décom."),IF(OR($AQ32="",$AS32=""),"",IF(AN$8&lt;$AQ32,"IKS",IF(AN$8&lt;$AS32,IF(AN$8=$AR32,"Bascule","Double run"),"ROKS"))))))</f>
        <v/>
      </c>
      <c r="AO32" s="51" t="str">
        <f aca="false">IF(OR($A32="",AO$8=""),"",IF($F32="Migré","ROKS",IF($F32="À décommissionner",IF(AO$8&lt;$AS32,"IKS","Décom."),IF(OR($AQ32="",$AS32=""),"",IF(AO$8&lt;$AQ32,"IKS",IF(AO$8&lt;$AS32,IF(AO$8=$AR32,"Bascule","Double run"),"ROKS"))))))</f>
        <v/>
      </c>
      <c r="AP32" s="51" t="str">
        <f aca="false">IF(OR($A32="",AP$8=""),"",IF($F32="Migré","ROKS",IF($F32="À décommissionner",IF(AP$8&lt;$AS32,"IKS","Décom."),IF(OR($AQ32="",$AS32=""),"",IF(AP$8&lt;$AQ32,"IKS",IF(AP$8&lt;$AS32,IF(AP$8=$AR32,"Bascule","Double run"),"ROKS"))))))</f>
        <v/>
      </c>
      <c r="AQ32" s="0" t="str">
        <f aca="false">IF($A32="","",INDEX(TblApplications[Mois prov (calc)],$A32))</f>
        <v/>
      </c>
      <c r="AR32" s="0" t="str">
        <f aca="false">IF($A32="","",IFERROR(DATE(YEAR(INDEX(TblApplications[Mois bascule],$A32)),MONTH(INDEX(TblApplications[Mois bascule],$A32)),1),""))</f>
        <v/>
      </c>
      <c r="AS32" s="0" t="str">
        <f aca="false">IF($A32="","",INDEX(TblApplications[Mois lib (calc)],$A32))</f>
        <v/>
      </c>
    </row>
    <row r="33" customFormat="false" ht="15" hidden="false" customHeight="false" outlineLevel="0" collapsed="false">
      <c r="A33" s="49" t="str">
        <f aca="false">IFERROR(MATCH(25,TblApplications[Rang frise],0),"")</f>
        <v/>
      </c>
      <c r="B33" s="50" t="str">
        <f aca="false">IF($A33="","",INDEX(TblApplications[ID],$A33))</f>
        <v/>
      </c>
      <c r="C33" s="50" t="str">
        <f aca="false">IF($A33="","",INDEX(TblApplications[Application],$A33))</f>
        <v/>
      </c>
      <c r="D33" s="50" t="str">
        <f aca="false">IF($A33="","",INDEX(TblApplications[Environnement],$A33))</f>
        <v/>
      </c>
      <c r="E33" s="50" t="str">
        <f aca="false">IF($A33="","",INDEX(TblApplications[Couloir],$A33))</f>
        <v/>
      </c>
      <c r="F33" s="50" t="str">
        <f aca="false">IF($A33="","",INDEX(TblApplications[Action],$A33))</f>
        <v/>
      </c>
      <c r="G33" s="51" t="str">
        <f aca="false">IF(OR($A33="",G$8=""),"",IF($F33="Migré","ROKS",IF($F33="À décommissionner",IF(G$8&lt;$AS33,"IKS","Décom."),IF(OR($AQ33="",$AS33=""),"",IF(G$8&lt;$AQ33,"IKS",IF(G$8&lt;$AS33,IF(G$8=$AR33,"Bascule","Double run"),"ROKS"))))))</f>
        <v/>
      </c>
      <c r="H33" s="51" t="str">
        <f aca="false">IF(OR($A33="",H$8=""),"",IF($F33="Migré","ROKS",IF($F33="À décommissionner",IF(H$8&lt;$AS33,"IKS","Décom."),IF(OR($AQ33="",$AS33=""),"",IF(H$8&lt;$AQ33,"IKS",IF(H$8&lt;$AS33,IF(H$8=$AR33,"Bascule","Double run"),"ROKS"))))))</f>
        <v/>
      </c>
      <c r="I33" s="51" t="str">
        <f aca="false">IF(OR($A33="",I$8=""),"",IF($F33="Migré","ROKS",IF($F33="À décommissionner",IF(I$8&lt;$AS33,"IKS","Décom."),IF(OR($AQ33="",$AS33=""),"",IF(I$8&lt;$AQ33,"IKS",IF(I$8&lt;$AS33,IF(I$8=$AR33,"Bascule","Double run"),"ROKS"))))))</f>
        <v/>
      </c>
      <c r="J33" s="51" t="str">
        <f aca="false">IF(OR($A33="",J$8=""),"",IF($F33="Migré","ROKS",IF($F33="À décommissionner",IF(J$8&lt;$AS33,"IKS","Décom."),IF(OR($AQ33="",$AS33=""),"",IF(J$8&lt;$AQ33,"IKS",IF(J$8&lt;$AS33,IF(J$8=$AR33,"Bascule","Double run"),"ROKS"))))))</f>
        <v/>
      </c>
      <c r="K33" s="51" t="str">
        <f aca="false">IF(OR($A33="",K$8=""),"",IF($F33="Migré","ROKS",IF($F33="À décommissionner",IF(K$8&lt;$AS33,"IKS","Décom."),IF(OR($AQ33="",$AS33=""),"",IF(K$8&lt;$AQ33,"IKS",IF(K$8&lt;$AS33,IF(K$8=$AR33,"Bascule","Double run"),"ROKS"))))))</f>
        <v/>
      </c>
      <c r="L33" s="51" t="str">
        <f aca="false">IF(OR($A33="",L$8=""),"",IF($F33="Migré","ROKS",IF($F33="À décommissionner",IF(L$8&lt;$AS33,"IKS","Décom."),IF(OR($AQ33="",$AS33=""),"",IF(L$8&lt;$AQ33,"IKS",IF(L$8&lt;$AS33,IF(L$8=$AR33,"Bascule","Double run"),"ROKS"))))))</f>
        <v/>
      </c>
      <c r="M33" s="51" t="str">
        <f aca="false">IF(OR($A33="",M$8=""),"",IF($F33="Migré","ROKS",IF($F33="À décommissionner",IF(M$8&lt;$AS33,"IKS","Décom."),IF(OR($AQ33="",$AS33=""),"",IF(M$8&lt;$AQ33,"IKS",IF(M$8&lt;$AS33,IF(M$8=$AR33,"Bascule","Double run"),"ROKS"))))))</f>
        <v/>
      </c>
      <c r="N33" s="51" t="str">
        <f aca="false">IF(OR($A33="",N$8=""),"",IF($F33="Migré","ROKS",IF($F33="À décommissionner",IF(N$8&lt;$AS33,"IKS","Décom."),IF(OR($AQ33="",$AS33=""),"",IF(N$8&lt;$AQ33,"IKS",IF(N$8&lt;$AS33,IF(N$8=$AR33,"Bascule","Double run"),"ROKS"))))))</f>
        <v/>
      </c>
      <c r="O33" s="51" t="str">
        <f aca="false">IF(OR($A33="",O$8=""),"",IF($F33="Migré","ROKS",IF($F33="À décommissionner",IF(O$8&lt;$AS33,"IKS","Décom."),IF(OR($AQ33="",$AS33=""),"",IF(O$8&lt;$AQ33,"IKS",IF(O$8&lt;$AS33,IF(O$8=$AR33,"Bascule","Double run"),"ROKS"))))))</f>
        <v/>
      </c>
      <c r="P33" s="51" t="str">
        <f aca="false">IF(OR($A33="",P$8=""),"",IF($F33="Migré","ROKS",IF($F33="À décommissionner",IF(P$8&lt;$AS33,"IKS","Décom."),IF(OR($AQ33="",$AS33=""),"",IF(P$8&lt;$AQ33,"IKS",IF(P$8&lt;$AS33,IF(P$8=$AR33,"Bascule","Double run"),"ROKS"))))))</f>
        <v/>
      </c>
      <c r="Q33" s="51" t="str">
        <f aca="false">IF(OR($A33="",Q$8=""),"",IF($F33="Migré","ROKS",IF($F33="À décommissionner",IF(Q$8&lt;$AS33,"IKS","Décom."),IF(OR($AQ33="",$AS33=""),"",IF(Q$8&lt;$AQ33,"IKS",IF(Q$8&lt;$AS33,IF(Q$8=$AR33,"Bascule","Double run"),"ROKS"))))))</f>
        <v/>
      </c>
      <c r="R33" s="51" t="str">
        <f aca="false">IF(OR($A33="",R$8=""),"",IF($F33="Migré","ROKS",IF($F33="À décommissionner",IF(R$8&lt;$AS33,"IKS","Décom."),IF(OR($AQ33="",$AS33=""),"",IF(R$8&lt;$AQ33,"IKS",IF(R$8&lt;$AS33,IF(R$8=$AR33,"Bascule","Double run"),"ROKS"))))))</f>
        <v/>
      </c>
      <c r="S33" s="51" t="str">
        <f aca="false">IF(OR($A33="",S$8=""),"",IF($F33="Migré","ROKS",IF($F33="À décommissionner",IF(S$8&lt;$AS33,"IKS","Décom."),IF(OR($AQ33="",$AS33=""),"",IF(S$8&lt;$AQ33,"IKS",IF(S$8&lt;$AS33,IF(S$8=$AR33,"Bascule","Double run"),"ROKS"))))))</f>
        <v/>
      </c>
      <c r="T33" s="51" t="str">
        <f aca="false">IF(OR($A33="",T$8=""),"",IF($F33="Migré","ROKS",IF($F33="À décommissionner",IF(T$8&lt;$AS33,"IKS","Décom."),IF(OR($AQ33="",$AS33=""),"",IF(T$8&lt;$AQ33,"IKS",IF(T$8&lt;$AS33,IF(T$8=$AR33,"Bascule","Double run"),"ROKS"))))))</f>
        <v/>
      </c>
      <c r="U33" s="51" t="str">
        <f aca="false">IF(OR($A33="",U$8=""),"",IF($F33="Migré","ROKS",IF($F33="À décommissionner",IF(U$8&lt;$AS33,"IKS","Décom."),IF(OR($AQ33="",$AS33=""),"",IF(U$8&lt;$AQ33,"IKS",IF(U$8&lt;$AS33,IF(U$8=$AR33,"Bascule","Double run"),"ROKS"))))))</f>
        <v/>
      </c>
      <c r="V33" s="51" t="str">
        <f aca="false">IF(OR($A33="",V$8=""),"",IF($F33="Migré","ROKS",IF($F33="À décommissionner",IF(V$8&lt;$AS33,"IKS","Décom."),IF(OR($AQ33="",$AS33=""),"",IF(V$8&lt;$AQ33,"IKS",IF(V$8&lt;$AS33,IF(V$8=$AR33,"Bascule","Double run"),"ROKS"))))))</f>
        <v/>
      </c>
      <c r="W33" s="51" t="str">
        <f aca="false">IF(OR($A33="",W$8=""),"",IF($F33="Migré","ROKS",IF($F33="À décommissionner",IF(W$8&lt;$AS33,"IKS","Décom."),IF(OR($AQ33="",$AS33=""),"",IF(W$8&lt;$AQ33,"IKS",IF(W$8&lt;$AS33,IF(W$8=$AR33,"Bascule","Double run"),"ROKS"))))))</f>
        <v/>
      </c>
      <c r="X33" s="51" t="str">
        <f aca="false">IF(OR($A33="",X$8=""),"",IF($F33="Migré","ROKS",IF($F33="À décommissionner",IF(X$8&lt;$AS33,"IKS","Décom."),IF(OR($AQ33="",$AS33=""),"",IF(X$8&lt;$AQ33,"IKS",IF(X$8&lt;$AS33,IF(X$8=$AR33,"Bascule","Double run"),"ROKS"))))))</f>
        <v/>
      </c>
      <c r="Y33" s="51" t="str">
        <f aca="false">IF(OR($A33="",Y$8=""),"",IF($F33="Migré","ROKS",IF($F33="À décommissionner",IF(Y$8&lt;$AS33,"IKS","Décom."),IF(OR($AQ33="",$AS33=""),"",IF(Y$8&lt;$AQ33,"IKS",IF(Y$8&lt;$AS33,IF(Y$8=$AR33,"Bascule","Double run"),"ROKS"))))))</f>
        <v/>
      </c>
      <c r="Z33" s="51" t="str">
        <f aca="false">IF(OR($A33="",Z$8=""),"",IF($F33="Migré","ROKS",IF($F33="À décommissionner",IF(Z$8&lt;$AS33,"IKS","Décom."),IF(OR($AQ33="",$AS33=""),"",IF(Z$8&lt;$AQ33,"IKS",IF(Z$8&lt;$AS33,IF(Z$8=$AR33,"Bascule","Double run"),"ROKS"))))))</f>
        <v/>
      </c>
      <c r="AA33" s="51" t="str">
        <f aca="false">IF(OR($A33="",AA$8=""),"",IF($F33="Migré","ROKS",IF($F33="À décommissionner",IF(AA$8&lt;$AS33,"IKS","Décom."),IF(OR($AQ33="",$AS33=""),"",IF(AA$8&lt;$AQ33,"IKS",IF(AA$8&lt;$AS33,IF(AA$8=$AR33,"Bascule","Double run"),"ROKS"))))))</f>
        <v/>
      </c>
      <c r="AB33" s="51" t="str">
        <f aca="false">IF(OR($A33="",AB$8=""),"",IF($F33="Migré","ROKS",IF($F33="À décommissionner",IF(AB$8&lt;$AS33,"IKS","Décom."),IF(OR($AQ33="",$AS33=""),"",IF(AB$8&lt;$AQ33,"IKS",IF(AB$8&lt;$AS33,IF(AB$8=$AR33,"Bascule","Double run"),"ROKS"))))))</f>
        <v/>
      </c>
      <c r="AC33" s="51" t="str">
        <f aca="false">IF(OR($A33="",AC$8=""),"",IF($F33="Migré","ROKS",IF($F33="À décommissionner",IF(AC$8&lt;$AS33,"IKS","Décom."),IF(OR($AQ33="",$AS33=""),"",IF(AC$8&lt;$AQ33,"IKS",IF(AC$8&lt;$AS33,IF(AC$8=$AR33,"Bascule","Double run"),"ROKS"))))))</f>
        <v/>
      </c>
      <c r="AD33" s="51" t="str">
        <f aca="false">IF(OR($A33="",AD$8=""),"",IF($F33="Migré","ROKS",IF($F33="À décommissionner",IF(AD$8&lt;$AS33,"IKS","Décom."),IF(OR($AQ33="",$AS33=""),"",IF(AD$8&lt;$AQ33,"IKS",IF(AD$8&lt;$AS33,IF(AD$8=$AR33,"Bascule","Double run"),"ROKS"))))))</f>
        <v/>
      </c>
      <c r="AE33" s="51" t="str">
        <f aca="false">IF(OR($A33="",AE$8=""),"",IF($F33="Migré","ROKS",IF($F33="À décommissionner",IF(AE$8&lt;$AS33,"IKS","Décom."),IF(OR($AQ33="",$AS33=""),"",IF(AE$8&lt;$AQ33,"IKS",IF(AE$8&lt;$AS33,IF(AE$8=$AR33,"Bascule","Double run"),"ROKS"))))))</f>
        <v/>
      </c>
      <c r="AF33" s="51" t="str">
        <f aca="false">IF(OR($A33="",AF$8=""),"",IF($F33="Migré","ROKS",IF($F33="À décommissionner",IF(AF$8&lt;$AS33,"IKS","Décom."),IF(OR($AQ33="",$AS33=""),"",IF(AF$8&lt;$AQ33,"IKS",IF(AF$8&lt;$AS33,IF(AF$8=$AR33,"Bascule","Double run"),"ROKS"))))))</f>
        <v/>
      </c>
      <c r="AG33" s="51" t="str">
        <f aca="false">IF(OR($A33="",AG$8=""),"",IF($F33="Migré","ROKS",IF($F33="À décommissionner",IF(AG$8&lt;$AS33,"IKS","Décom."),IF(OR($AQ33="",$AS33=""),"",IF(AG$8&lt;$AQ33,"IKS",IF(AG$8&lt;$AS33,IF(AG$8=$AR33,"Bascule","Double run"),"ROKS"))))))</f>
        <v/>
      </c>
      <c r="AH33" s="51" t="str">
        <f aca="false">IF(OR($A33="",AH$8=""),"",IF($F33="Migré","ROKS",IF($F33="À décommissionner",IF(AH$8&lt;$AS33,"IKS","Décom."),IF(OR($AQ33="",$AS33=""),"",IF(AH$8&lt;$AQ33,"IKS",IF(AH$8&lt;$AS33,IF(AH$8=$AR33,"Bascule","Double run"),"ROKS"))))))</f>
        <v/>
      </c>
      <c r="AI33" s="51" t="str">
        <f aca="false">IF(OR($A33="",AI$8=""),"",IF($F33="Migré","ROKS",IF($F33="À décommissionner",IF(AI$8&lt;$AS33,"IKS","Décom."),IF(OR($AQ33="",$AS33=""),"",IF(AI$8&lt;$AQ33,"IKS",IF(AI$8&lt;$AS33,IF(AI$8=$AR33,"Bascule","Double run"),"ROKS"))))))</f>
        <v/>
      </c>
      <c r="AJ33" s="51" t="str">
        <f aca="false">IF(OR($A33="",AJ$8=""),"",IF($F33="Migré","ROKS",IF($F33="À décommissionner",IF(AJ$8&lt;$AS33,"IKS","Décom."),IF(OR($AQ33="",$AS33=""),"",IF(AJ$8&lt;$AQ33,"IKS",IF(AJ$8&lt;$AS33,IF(AJ$8=$AR33,"Bascule","Double run"),"ROKS"))))))</f>
        <v/>
      </c>
      <c r="AK33" s="51" t="str">
        <f aca="false">IF(OR($A33="",AK$8=""),"",IF($F33="Migré","ROKS",IF($F33="À décommissionner",IF(AK$8&lt;$AS33,"IKS","Décom."),IF(OR($AQ33="",$AS33=""),"",IF(AK$8&lt;$AQ33,"IKS",IF(AK$8&lt;$AS33,IF(AK$8=$AR33,"Bascule","Double run"),"ROKS"))))))</f>
        <v/>
      </c>
      <c r="AL33" s="51" t="str">
        <f aca="false">IF(OR($A33="",AL$8=""),"",IF($F33="Migré","ROKS",IF($F33="À décommissionner",IF(AL$8&lt;$AS33,"IKS","Décom."),IF(OR($AQ33="",$AS33=""),"",IF(AL$8&lt;$AQ33,"IKS",IF(AL$8&lt;$AS33,IF(AL$8=$AR33,"Bascule","Double run"),"ROKS"))))))</f>
        <v/>
      </c>
      <c r="AM33" s="51" t="str">
        <f aca="false">IF(OR($A33="",AM$8=""),"",IF($F33="Migré","ROKS",IF($F33="À décommissionner",IF(AM$8&lt;$AS33,"IKS","Décom."),IF(OR($AQ33="",$AS33=""),"",IF(AM$8&lt;$AQ33,"IKS",IF(AM$8&lt;$AS33,IF(AM$8=$AR33,"Bascule","Double run"),"ROKS"))))))</f>
        <v/>
      </c>
      <c r="AN33" s="51" t="str">
        <f aca="false">IF(OR($A33="",AN$8=""),"",IF($F33="Migré","ROKS",IF($F33="À décommissionner",IF(AN$8&lt;$AS33,"IKS","Décom."),IF(OR($AQ33="",$AS33=""),"",IF(AN$8&lt;$AQ33,"IKS",IF(AN$8&lt;$AS33,IF(AN$8=$AR33,"Bascule","Double run"),"ROKS"))))))</f>
        <v/>
      </c>
      <c r="AO33" s="51" t="str">
        <f aca="false">IF(OR($A33="",AO$8=""),"",IF($F33="Migré","ROKS",IF($F33="À décommissionner",IF(AO$8&lt;$AS33,"IKS","Décom."),IF(OR($AQ33="",$AS33=""),"",IF(AO$8&lt;$AQ33,"IKS",IF(AO$8&lt;$AS33,IF(AO$8=$AR33,"Bascule","Double run"),"ROKS"))))))</f>
        <v/>
      </c>
      <c r="AP33" s="51" t="str">
        <f aca="false">IF(OR($A33="",AP$8=""),"",IF($F33="Migré","ROKS",IF($F33="À décommissionner",IF(AP$8&lt;$AS33,"IKS","Décom."),IF(OR($AQ33="",$AS33=""),"",IF(AP$8&lt;$AQ33,"IKS",IF(AP$8&lt;$AS33,IF(AP$8=$AR33,"Bascule","Double run"),"ROKS"))))))</f>
        <v/>
      </c>
      <c r="AQ33" s="0" t="str">
        <f aca="false">IF($A33="","",INDEX(TblApplications[Mois prov (calc)],$A33))</f>
        <v/>
      </c>
      <c r="AR33" s="0" t="str">
        <f aca="false">IF($A33="","",IFERROR(DATE(YEAR(INDEX(TblApplications[Mois bascule],$A33)),MONTH(INDEX(TblApplications[Mois bascule],$A33)),1),""))</f>
        <v/>
      </c>
      <c r="AS33" s="0" t="str">
        <f aca="false">IF($A33="","",INDEX(TblApplications[Mois lib (calc)],$A33))</f>
        <v/>
      </c>
    </row>
    <row r="34" customFormat="false" ht="15" hidden="false" customHeight="false" outlineLevel="0" collapsed="false">
      <c r="A34" s="49" t="str">
        <f aca="false">IFERROR(MATCH(26,TblApplications[Rang frise],0),"")</f>
        <v/>
      </c>
      <c r="B34" s="50" t="str">
        <f aca="false">IF($A34="","",INDEX(TblApplications[ID],$A34))</f>
        <v/>
      </c>
      <c r="C34" s="50" t="str">
        <f aca="false">IF($A34="","",INDEX(TblApplications[Application],$A34))</f>
        <v/>
      </c>
      <c r="D34" s="50" t="str">
        <f aca="false">IF($A34="","",INDEX(TblApplications[Environnement],$A34))</f>
        <v/>
      </c>
      <c r="E34" s="50" t="str">
        <f aca="false">IF($A34="","",INDEX(TblApplications[Couloir],$A34))</f>
        <v/>
      </c>
      <c r="F34" s="50" t="str">
        <f aca="false">IF($A34="","",INDEX(TblApplications[Action],$A34))</f>
        <v/>
      </c>
      <c r="G34" s="51" t="str">
        <f aca="false">IF(OR($A34="",G$8=""),"",IF($F34="Migré","ROKS",IF($F34="À décommissionner",IF(G$8&lt;$AS34,"IKS","Décom."),IF(OR($AQ34="",$AS34=""),"",IF(G$8&lt;$AQ34,"IKS",IF(G$8&lt;$AS34,IF(G$8=$AR34,"Bascule","Double run"),"ROKS"))))))</f>
        <v/>
      </c>
      <c r="H34" s="51" t="str">
        <f aca="false">IF(OR($A34="",H$8=""),"",IF($F34="Migré","ROKS",IF($F34="À décommissionner",IF(H$8&lt;$AS34,"IKS","Décom."),IF(OR($AQ34="",$AS34=""),"",IF(H$8&lt;$AQ34,"IKS",IF(H$8&lt;$AS34,IF(H$8=$AR34,"Bascule","Double run"),"ROKS"))))))</f>
        <v/>
      </c>
      <c r="I34" s="51" t="str">
        <f aca="false">IF(OR($A34="",I$8=""),"",IF($F34="Migré","ROKS",IF($F34="À décommissionner",IF(I$8&lt;$AS34,"IKS","Décom."),IF(OR($AQ34="",$AS34=""),"",IF(I$8&lt;$AQ34,"IKS",IF(I$8&lt;$AS34,IF(I$8=$AR34,"Bascule","Double run"),"ROKS"))))))</f>
        <v/>
      </c>
      <c r="J34" s="51" t="str">
        <f aca="false">IF(OR($A34="",J$8=""),"",IF($F34="Migré","ROKS",IF($F34="À décommissionner",IF(J$8&lt;$AS34,"IKS","Décom."),IF(OR($AQ34="",$AS34=""),"",IF(J$8&lt;$AQ34,"IKS",IF(J$8&lt;$AS34,IF(J$8=$AR34,"Bascule","Double run"),"ROKS"))))))</f>
        <v/>
      </c>
      <c r="K34" s="51" t="str">
        <f aca="false">IF(OR($A34="",K$8=""),"",IF($F34="Migré","ROKS",IF($F34="À décommissionner",IF(K$8&lt;$AS34,"IKS","Décom."),IF(OR($AQ34="",$AS34=""),"",IF(K$8&lt;$AQ34,"IKS",IF(K$8&lt;$AS34,IF(K$8=$AR34,"Bascule","Double run"),"ROKS"))))))</f>
        <v/>
      </c>
      <c r="L34" s="51" t="str">
        <f aca="false">IF(OR($A34="",L$8=""),"",IF($F34="Migré","ROKS",IF($F34="À décommissionner",IF(L$8&lt;$AS34,"IKS","Décom."),IF(OR($AQ34="",$AS34=""),"",IF(L$8&lt;$AQ34,"IKS",IF(L$8&lt;$AS34,IF(L$8=$AR34,"Bascule","Double run"),"ROKS"))))))</f>
        <v/>
      </c>
      <c r="M34" s="51" t="str">
        <f aca="false">IF(OR($A34="",M$8=""),"",IF($F34="Migré","ROKS",IF($F34="À décommissionner",IF(M$8&lt;$AS34,"IKS","Décom."),IF(OR($AQ34="",$AS34=""),"",IF(M$8&lt;$AQ34,"IKS",IF(M$8&lt;$AS34,IF(M$8=$AR34,"Bascule","Double run"),"ROKS"))))))</f>
        <v/>
      </c>
      <c r="N34" s="51" t="str">
        <f aca="false">IF(OR($A34="",N$8=""),"",IF($F34="Migré","ROKS",IF($F34="À décommissionner",IF(N$8&lt;$AS34,"IKS","Décom."),IF(OR($AQ34="",$AS34=""),"",IF(N$8&lt;$AQ34,"IKS",IF(N$8&lt;$AS34,IF(N$8=$AR34,"Bascule","Double run"),"ROKS"))))))</f>
        <v/>
      </c>
      <c r="O34" s="51" t="str">
        <f aca="false">IF(OR($A34="",O$8=""),"",IF($F34="Migré","ROKS",IF($F34="À décommissionner",IF(O$8&lt;$AS34,"IKS","Décom."),IF(OR($AQ34="",$AS34=""),"",IF(O$8&lt;$AQ34,"IKS",IF(O$8&lt;$AS34,IF(O$8=$AR34,"Bascule","Double run"),"ROKS"))))))</f>
        <v/>
      </c>
      <c r="P34" s="51" t="str">
        <f aca="false">IF(OR($A34="",P$8=""),"",IF($F34="Migré","ROKS",IF($F34="À décommissionner",IF(P$8&lt;$AS34,"IKS","Décom."),IF(OR($AQ34="",$AS34=""),"",IF(P$8&lt;$AQ34,"IKS",IF(P$8&lt;$AS34,IF(P$8=$AR34,"Bascule","Double run"),"ROKS"))))))</f>
        <v/>
      </c>
      <c r="Q34" s="51" t="str">
        <f aca="false">IF(OR($A34="",Q$8=""),"",IF($F34="Migré","ROKS",IF($F34="À décommissionner",IF(Q$8&lt;$AS34,"IKS","Décom."),IF(OR($AQ34="",$AS34=""),"",IF(Q$8&lt;$AQ34,"IKS",IF(Q$8&lt;$AS34,IF(Q$8=$AR34,"Bascule","Double run"),"ROKS"))))))</f>
        <v/>
      </c>
      <c r="R34" s="51" t="str">
        <f aca="false">IF(OR($A34="",R$8=""),"",IF($F34="Migré","ROKS",IF($F34="À décommissionner",IF(R$8&lt;$AS34,"IKS","Décom."),IF(OR($AQ34="",$AS34=""),"",IF(R$8&lt;$AQ34,"IKS",IF(R$8&lt;$AS34,IF(R$8=$AR34,"Bascule","Double run"),"ROKS"))))))</f>
        <v/>
      </c>
      <c r="S34" s="51" t="str">
        <f aca="false">IF(OR($A34="",S$8=""),"",IF($F34="Migré","ROKS",IF($F34="À décommissionner",IF(S$8&lt;$AS34,"IKS","Décom."),IF(OR($AQ34="",$AS34=""),"",IF(S$8&lt;$AQ34,"IKS",IF(S$8&lt;$AS34,IF(S$8=$AR34,"Bascule","Double run"),"ROKS"))))))</f>
        <v/>
      </c>
      <c r="T34" s="51" t="str">
        <f aca="false">IF(OR($A34="",T$8=""),"",IF($F34="Migré","ROKS",IF($F34="À décommissionner",IF(T$8&lt;$AS34,"IKS","Décom."),IF(OR($AQ34="",$AS34=""),"",IF(T$8&lt;$AQ34,"IKS",IF(T$8&lt;$AS34,IF(T$8=$AR34,"Bascule","Double run"),"ROKS"))))))</f>
        <v/>
      </c>
      <c r="U34" s="51" t="str">
        <f aca="false">IF(OR($A34="",U$8=""),"",IF($F34="Migré","ROKS",IF($F34="À décommissionner",IF(U$8&lt;$AS34,"IKS","Décom."),IF(OR($AQ34="",$AS34=""),"",IF(U$8&lt;$AQ34,"IKS",IF(U$8&lt;$AS34,IF(U$8=$AR34,"Bascule","Double run"),"ROKS"))))))</f>
        <v/>
      </c>
      <c r="V34" s="51" t="str">
        <f aca="false">IF(OR($A34="",V$8=""),"",IF($F34="Migré","ROKS",IF($F34="À décommissionner",IF(V$8&lt;$AS34,"IKS","Décom."),IF(OR($AQ34="",$AS34=""),"",IF(V$8&lt;$AQ34,"IKS",IF(V$8&lt;$AS34,IF(V$8=$AR34,"Bascule","Double run"),"ROKS"))))))</f>
        <v/>
      </c>
      <c r="W34" s="51" t="str">
        <f aca="false">IF(OR($A34="",W$8=""),"",IF($F34="Migré","ROKS",IF($F34="À décommissionner",IF(W$8&lt;$AS34,"IKS","Décom."),IF(OR($AQ34="",$AS34=""),"",IF(W$8&lt;$AQ34,"IKS",IF(W$8&lt;$AS34,IF(W$8=$AR34,"Bascule","Double run"),"ROKS"))))))</f>
        <v/>
      </c>
      <c r="X34" s="51" t="str">
        <f aca="false">IF(OR($A34="",X$8=""),"",IF($F34="Migré","ROKS",IF($F34="À décommissionner",IF(X$8&lt;$AS34,"IKS","Décom."),IF(OR($AQ34="",$AS34=""),"",IF(X$8&lt;$AQ34,"IKS",IF(X$8&lt;$AS34,IF(X$8=$AR34,"Bascule","Double run"),"ROKS"))))))</f>
        <v/>
      </c>
      <c r="Y34" s="51" t="str">
        <f aca="false">IF(OR($A34="",Y$8=""),"",IF($F34="Migré","ROKS",IF($F34="À décommissionner",IF(Y$8&lt;$AS34,"IKS","Décom."),IF(OR($AQ34="",$AS34=""),"",IF(Y$8&lt;$AQ34,"IKS",IF(Y$8&lt;$AS34,IF(Y$8=$AR34,"Bascule","Double run"),"ROKS"))))))</f>
        <v/>
      </c>
      <c r="Z34" s="51" t="str">
        <f aca="false">IF(OR($A34="",Z$8=""),"",IF($F34="Migré","ROKS",IF($F34="À décommissionner",IF(Z$8&lt;$AS34,"IKS","Décom."),IF(OR($AQ34="",$AS34=""),"",IF(Z$8&lt;$AQ34,"IKS",IF(Z$8&lt;$AS34,IF(Z$8=$AR34,"Bascule","Double run"),"ROKS"))))))</f>
        <v/>
      </c>
      <c r="AA34" s="51" t="str">
        <f aca="false">IF(OR($A34="",AA$8=""),"",IF($F34="Migré","ROKS",IF($F34="À décommissionner",IF(AA$8&lt;$AS34,"IKS","Décom."),IF(OR($AQ34="",$AS34=""),"",IF(AA$8&lt;$AQ34,"IKS",IF(AA$8&lt;$AS34,IF(AA$8=$AR34,"Bascule","Double run"),"ROKS"))))))</f>
        <v/>
      </c>
      <c r="AB34" s="51" t="str">
        <f aca="false">IF(OR($A34="",AB$8=""),"",IF($F34="Migré","ROKS",IF($F34="À décommissionner",IF(AB$8&lt;$AS34,"IKS","Décom."),IF(OR($AQ34="",$AS34=""),"",IF(AB$8&lt;$AQ34,"IKS",IF(AB$8&lt;$AS34,IF(AB$8=$AR34,"Bascule","Double run"),"ROKS"))))))</f>
        <v/>
      </c>
      <c r="AC34" s="51" t="str">
        <f aca="false">IF(OR($A34="",AC$8=""),"",IF($F34="Migré","ROKS",IF($F34="À décommissionner",IF(AC$8&lt;$AS34,"IKS","Décom."),IF(OR($AQ34="",$AS34=""),"",IF(AC$8&lt;$AQ34,"IKS",IF(AC$8&lt;$AS34,IF(AC$8=$AR34,"Bascule","Double run"),"ROKS"))))))</f>
        <v/>
      </c>
      <c r="AD34" s="51" t="str">
        <f aca="false">IF(OR($A34="",AD$8=""),"",IF($F34="Migré","ROKS",IF($F34="À décommissionner",IF(AD$8&lt;$AS34,"IKS","Décom."),IF(OR($AQ34="",$AS34=""),"",IF(AD$8&lt;$AQ34,"IKS",IF(AD$8&lt;$AS34,IF(AD$8=$AR34,"Bascule","Double run"),"ROKS"))))))</f>
        <v/>
      </c>
      <c r="AE34" s="51" t="str">
        <f aca="false">IF(OR($A34="",AE$8=""),"",IF($F34="Migré","ROKS",IF($F34="À décommissionner",IF(AE$8&lt;$AS34,"IKS","Décom."),IF(OR($AQ34="",$AS34=""),"",IF(AE$8&lt;$AQ34,"IKS",IF(AE$8&lt;$AS34,IF(AE$8=$AR34,"Bascule","Double run"),"ROKS"))))))</f>
        <v/>
      </c>
      <c r="AF34" s="51" t="str">
        <f aca="false">IF(OR($A34="",AF$8=""),"",IF($F34="Migré","ROKS",IF($F34="À décommissionner",IF(AF$8&lt;$AS34,"IKS","Décom."),IF(OR($AQ34="",$AS34=""),"",IF(AF$8&lt;$AQ34,"IKS",IF(AF$8&lt;$AS34,IF(AF$8=$AR34,"Bascule","Double run"),"ROKS"))))))</f>
        <v/>
      </c>
      <c r="AG34" s="51" t="str">
        <f aca="false">IF(OR($A34="",AG$8=""),"",IF($F34="Migré","ROKS",IF($F34="À décommissionner",IF(AG$8&lt;$AS34,"IKS","Décom."),IF(OR($AQ34="",$AS34=""),"",IF(AG$8&lt;$AQ34,"IKS",IF(AG$8&lt;$AS34,IF(AG$8=$AR34,"Bascule","Double run"),"ROKS"))))))</f>
        <v/>
      </c>
      <c r="AH34" s="51" t="str">
        <f aca="false">IF(OR($A34="",AH$8=""),"",IF($F34="Migré","ROKS",IF($F34="À décommissionner",IF(AH$8&lt;$AS34,"IKS","Décom."),IF(OR($AQ34="",$AS34=""),"",IF(AH$8&lt;$AQ34,"IKS",IF(AH$8&lt;$AS34,IF(AH$8=$AR34,"Bascule","Double run"),"ROKS"))))))</f>
        <v/>
      </c>
      <c r="AI34" s="51" t="str">
        <f aca="false">IF(OR($A34="",AI$8=""),"",IF($F34="Migré","ROKS",IF($F34="À décommissionner",IF(AI$8&lt;$AS34,"IKS","Décom."),IF(OR($AQ34="",$AS34=""),"",IF(AI$8&lt;$AQ34,"IKS",IF(AI$8&lt;$AS34,IF(AI$8=$AR34,"Bascule","Double run"),"ROKS"))))))</f>
        <v/>
      </c>
      <c r="AJ34" s="51" t="str">
        <f aca="false">IF(OR($A34="",AJ$8=""),"",IF($F34="Migré","ROKS",IF($F34="À décommissionner",IF(AJ$8&lt;$AS34,"IKS","Décom."),IF(OR($AQ34="",$AS34=""),"",IF(AJ$8&lt;$AQ34,"IKS",IF(AJ$8&lt;$AS34,IF(AJ$8=$AR34,"Bascule","Double run"),"ROKS"))))))</f>
        <v/>
      </c>
      <c r="AK34" s="51" t="str">
        <f aca="false">IF(OR($A34="",AK$8=""),"",IF($F34="Migré","ROKS",IF($F34="À décommissionner",IF(AK$8&lt;$AS34,"IKS","Décom."),IF(OR($AQ34="",$AS34=""),"",IF(AK$8&lt;$AQ34,"IKS",IF(AK$8&lt;$AS34,IF(AK$8=$AR34,"Bascule","Double run"),"ROKS"))))))</f>
        <v/>
      </c>
      <c r="AL34" s="51" t="str">
        <f aca="false">IF(OR($A34="",AL$8=""),"",IF($F34="Migré","ROKS",IF($F34="À décommissionner",IF(AL$8&lt;$AS34,"IKS","Décom."),IF(OR($AQ34="",$AS34=""),"",IF(AL$8&lt;$AQ34,"IKS",IF(AL$8&lt;$AS34,IF(AL$8=$AR34,"Bascule","Double run"),"ROKS"))))))</f>
        <v/>
      </c>
      <c r="AM34" s="51" t="str">
        <f aca="false">IF(OR($A34="",AM$8=""),"",IF($F34="Migré","ROKS",IF($F34="À décommissionner",IF(AM$8&lt;$AS34,"IKS","Décom."),IF(OR($AQ34="",$AS34=""),"",IF(AM$8&lt;$AQ34,"IKS",IF(AM$8&lt;$AS34,IF(AM$8=$AR34,"Bascule","Double run"),"ROKS"))))))</f>
        <v/>
      </c>
      <c r="AN34" s="51" t="str">
        <f aca="false">IF(OR($A34="",AN$8=""),"",IF($F34="Migré","ROKS",IF($F34="À décommissionner",IF(AN$8&lt;$AS34,"IKS","Décom."),IF(OR($AQ34="",$AS34=""),"",IF(AN$8&lt;$AQ34,"IKS",IF(AN$8&lt;$AS34,IF(AN$8=$AR34,"Bascule","Double run"),"ROKS"))))))</f>
        <v/>
      </c>
      <c r="AO34" s="51" t="str">
        <f aca="false">IF(OR($A34="",AO$8=""),"",IF($F34="Migré","ROKS",IF($F34="À décommissionner",IF(AO$8&lt;$AS34,"IKS","Décom."),IF(OR($AQ34="",$AS34=""),"",IF(AO$8&lt;$AQ34,"IKS",IF(AO$8&lt;$AS34,IF(AO$8=$AR34,"Bascule","Double run"),"ROKS"))))))</f>
        <v/>
      </c>
      <c r="AP34" s="51" t="str">
        <f aca="false">IF(OR($A34="",AP$8=""),"",IF($F34="Migré","ROKS",IF($F34="À décommissionner",IF(AP$8&lt;$AS34,"IKS","Décom."),IF(OR($AQ34="",$AS34=""),"",IF(AP$8&lt;$AQ34,"IKS",IF(AP$8&lt;$AS34,IF(AP$8=$AR34,"Bascule","Double run"),"ROKS"))))))</f>
        <v/>
      </c>
      <c r="AQ34" s="0" t="str">
        <f aca="false">IF($A34="","",INDEX(TblApplications[Mois prov (calc)],$A34))</f>
        <v/>
      </c>
      <c r="AR34" s="0" t="str">
        <f aca="false">IF($A34="","",IFERROR(DATE(YEAR(INDEX(TblApplications[Mois bascule],$A34)),MONTH(INDEX(TblApplications[Mois bascule],$A34)),1),""))</f>
        <v/>
      </c>
      <c r="AS34" s="0" t="str">
        <f aca="false">IF($A34="","",INDEX(TblApplications[Mois lib (calc)],$A34))</f>
        <v/>
      </c>
    </row>
    <row r="35" customFormat="false" ht="15" hidden="false" customHeight="false" outlineLevel="0" collapsed="false">
      <c r="A35" s="49" t="str">
        <f aca="false">IFERROR(MATCH(27,TblApplications[Rang frise],0),"")</f>
        <v/>
      </c>
      <c r="B35" s="50" t="str">
        <f aca="false">IF($A35="","",INDEX(TblApplications[ID],$A35))</f>
        <v/>
      </c>
      <c r="C35" s="50" t="str">
        <f aca="false">IF($A35="","",INDEX(TblApplications[Application],$A35))</f>
        <v/>
      </c>
      <c r="D35" s="50" t="str">
        <f aca="false">IF($A35="","",INDEX(TblApplications[Environnement],$A35))</f>
        <v/>
      </c>
      <c r="E35" s="50" t="str">
        <f aca="false">IF($A35="","",INDEX(TblApplications[Couloir],$A35))</f>
        <v/>
      </c>
      <c r="F35" s="50" t="str">
        <f aca="false">IF($A35="","",INDEX(TblApplications[Action],$A35))</f>
        <v/>
      </c>
      <c r="G35" s="51" t="str">
        <f aca="false">IF(OR($A35="",G$8=""),"",IF($F35="Migré","ROKS",IF($F35="À décommissionner",IF(G$8&lt;$AS35,"IKS","Décom."),IF(OR($AQ35="",$AS35=""),"",IF(G$8&lt;$AQ35,"IKS",IF(G$8&lt;$AS35,IF(G$8=$AR35,"Bascule","Double run"),"ROKS"))))))</f>
        <v/>
      </c>
      <c r="H35" s="51" t="str">
        <f aca="false">IF(OR($A35="",H$8=""),"",IF($F35="Migré","ROKS",IF($F35="À décommissionner",IF(H$8&lt;$AS35,"IKS","Décom."),IF(OR($AQ35="",$AS35=""),"",IF(H$8&lt;$AQ35,"IKS",IF(H$8&lt;$AS35,IF(H$8=$AR35,"Bascule","Double run"),"ROKS"))))))</f>
        <v/>
      </c>
      <c r="I35" s="51" t="str">
        <f aca="false">IF(OR($A35="",I$8=""),"",IF($F35="Migré","ROKS",IF($F35="À décommissionner",IF(I$8&lt;$AS35,"IKS","Décom."),IF(OR($AQ35="",$AS35=""),"",IF(I$8&lt;$AQ35,"IKS",IF(I$8&lt;$AS35,IF(I$8=$AR35,"Bascule","Double run"),"ROKS"))))))</f>
        <v/>
      </c>
      <c r="J35" s="51" t="str">
        <f aca="false">IF(OR($A35="",J$8=""),"",IF($F35="Migré","ROKS",IF($F35="À décommissionner",IF(J$8&lt;$AS35,"IKS","Décom."),IF(OR($AQ35="",$AS35=""),"",IF(J$8&lt;$AQ35,"IKS",IF(J$8&lt;$AS35,IF(J$8=$AR35,"Bascule","Double run"),"ROKS"))))))</f>
        <v/>
      </c>
      <c r="K35" s="51" t="str">
        <f aca="false">IF(OR($A35="",K$8=""),"",IF($F35="Migré","ROKS",IF($F35="À décommissionner",IF(K$8&lt;$AS35,"IKS","Décom."),IF(OR($AQ35="",$AS35=""),"",IF(K$8&lt;$AQ35,"IKS",IF(K$8&lt;$AS35,IF(K$8=$AR35,"Bascule","Double run"),"ROKS"))))))</f>
        <v/>
      </c>
      <c r="L35" s="51" t="str">
        <f aca="false">IF(OR($A35="",L$8=""),"",IF($F35="Migré","ROKS",IF($F35="À décommissionner",IF(L$8&lt;$AS35,"IKS","Décom."),IF(OR($AQ35="",$AS35=""),"",IF(L$8&lt;$AQ35,"IKS",IF(L$8&lt;$AS35,IF(L$8=$AR35,"Bascule","Double run"),"ROKS"))))))</f>
        <v/>
      </c>
      <c r="M35" s="51" t="str">
        <f aca="false">IF(OR($A35="",M$8=""),"",IF($F35="Migré","ROKS",IF($F35="À décommissionner",IF(M$8&lt;$AS35,"IKS","Décom."),IF(OR($AQ35="",$AS35=""),"",IF(M$8&lt;$AQ35,"IKS",IF(M$8&lt;$AS35,IF(M$8=$AR35,"Bascule","Double run"),"ROKS"))))))</f>
        <v/>
      </c>
      <c r="N35" s="51" t="str">
        <f aca="false">IF(OR($A35="",N$8=""),"",IF($F35="Migré","ROKS",IF($F35="À décommissionner",IF(N$8&lt;$AS35,"IKS","Décom."),IF(OR($AQ35="",$AS35=""),"",IF(N$8&lt;$AQ35,"IKS",IF(N$8&lt;$AS35,IF(N$8=$AR35,"Bascule","Double run"),"ROKS"))))))</f>
        <v/>
      </c>
      <c r="O35" s="51" t="str">
        <f aca="false">IF(OR($A35="",O$8=""),"",IF($F35="Migré","ROKS",IF($F35="À décommissionner",IF(O$8&lt;$AS35,"IKS","Décom."),IF(OR($AQ35="",$AS35=""),"",IF(O$8&lt;$AQ35,"IKS",IF(O$8&lt;$AS35,IF(O$8=$AR35,"Bascule","Double run"),"ROKS"))))))</f>
        <v/>
      </c>
      <c r="P35" s="51" t="str">
        <f aca="false">IF(OR($A35="",P$8=""),"",IF($F35="Migré","ROKS",IF($F35="À décommissionner",IF(P$8&lt;$AS35,"IKS","Décom."),IF(OR($AQ35="",$AS35=""),"",IF(P$8&lt;$AQ35,"IKS",IF(P$8&lt;$AS35,IF(P$8=$AR35,"Bascule","Double run"),"ROKS"))))))</f>
        <v/>
      </c>
      <c r="Q35" s="51" t="str">
        <f aca="false">IF(OR($A35="",Q$8=""),"",IF($F35="Migré","ROKS",IF($F35="À décommissionner",IF(Q$8&lt;$AS35,"IKS","Décom."),IF(OR($AQ35="",$AS35=""),"",IF(Q$8&lt;$AQ35,"IKS",IF(Q$8&lt;$AS35,IF(Q$8=$AR35,"Bascule","Double run"),"ROKS"))))))</f>
        <v/>
      </c>
      <c r="R35" s="51" t="str">
        <f aca="false">IF(OR($A35="",R$8=""),"",IF($F35="Migré","ROKS",IF($F35="À décommissionner",IF(R$8&lt;$AS35,"IKS","Décom."),IF(OR($AQ35="",$AS35=""),"",IF(R$8&lt;$AQ35,"IKS",IF(R$8&lt;$AS35,IF(R$8=$AR35,"Bascule","Double run"),"ROKS"))))))</f>
        <v/>
      </c>
      <c r="S35" s="51" t="str">
        <f aca="false">IF(OR($A35="",S$8=""),"",IF($F35="Migré","ROKS",IF($F35="À décommissionner",IF(S$8&lt;$AS35,"IKS","Décom."),IF(OR($AQ35="",$AS35=""),"",IF(S$8&lt;$AQ35,"IKS",IF(S$8&lt;$AS35,IF(S$8=$AR35,"Bascule","Double run"),"ROKS"))))))</f>
        <v/>
      </c>
      <c r="T35" s="51" t="str">
        <f aca="false">IF(OR($A35="",T$8=""),"",IF($F35="Migré","ROKS",IF($F35="À décommissionner",IF(T$8&lt;$AS35,"IKS","Décom."),IF(OR($AQ35="",$AS35=""),"",IF(T$8&lt;$AQ35,"IKS",IF(T$8&lt;$AS35,IF(T$8=$AR35,"Bascule","Double run"),"ROKS"))))))</f>
        <v/>
      </c>
      <c r="U35" s="51" t="str">
        <f aca="false">IF(OR($A35="",U$8=""),"",IF($F35="Migré","ROKS",IF($F35="À décommissionner",IF(U$8&lt;$AS35,"IKS","Décom."),IF(OR($AQ35="",$AS35=""),"",IF(U$8&lt;$AQ35,"IKS",IF(U$8&lt;$AS35,IF(U$8=$AR35,"Bascule","Double run"),"ROKS"))))))</f>
        <v/>
      </c>
      <c r="V35" s="51" t="str">
        <f aca="false">IF(OR($A35="",V$8=""),"",IF($F35="Migré","ROKS",IF($F35="À décommissionner",IF(V$8&lt;$AS35,"IKS","Décom."),IF(OR($AQ35="",$AS35=""),"",IF(V$8&lt;$AQ35,"IKS",IF(V$8&lt;$AS35,IF(V$8=$AR35,"Bascule","Double run"),"ROKS"))))))</f>
        <v/>
      </c>
      <c r="W35" s="51" t="str">
        <f aca="false">IF(OR($A35="",W$8=""),"",IF($F35="Migré","ROKS",IF($F35="À décommissionner",IF(W$8&lt;$AS35,"IKS","Décom."),IF(OR($AQ35="",$AS35=""),"",IF(W$8&lt;$AQ35,"IKS",IF(W$8&lt;$AS35,IF(W$8=$AR35,"Bascule","Double run"),"ROKS"))))))</f>
        <v/>
      </c>
      <c r="X35" s="51" t="str">
        <f aca="false">IF(OR($A35="",X$8=""),"",IF($F35="Migré","ROKS",IF($F35="À décommissionner",IF(X$8&lt;$AS35,"IKS","Décom."),IF(OR($AQ35="",$AS35=""),"",IF(X$8&lt;$AQ35,"IKS",IF(X$8&lt;$AS35,IF(X$8=$AR35,"Bascule","Double run"),"ROKS"))))))</f>
        <v/>
      </c>
      <c r="Y35" s="51" t="str">
        <f aca="false">IF(OR($A35="",Y$8=""),"",IF($F35="Migré","ROKS",IF($F35="À décommissionner",IF(Y$8&lt;$AS35,"IKS","Décom."),IF(OR($AQ35="",$AS35=""),"",IF(Y$8&lt;$AQ35,"IKS",IF(Y$8&lt;$AS35,IF(Y$8=$AR35,"Bascule","Double run"),"ROKS"))))))</f>
        <v/>
      </c>
      <c r="Z35" s="51" t="str">
        <f aca="false">IF(OR($A35="",Z$8=""),"",IF($F35="Migré","ROKS",IF($F35="À décommissionner",IF(Z$8&lt;$AS35,"IKS","Décom."),IF(OR($AQ35="",$AS35=""),"",IF(Z$8&lt;$AQ35,"IKS",IF(Z$8&lt;$AS35,IF(Z$8=$AR35,"Bascule","Double run"),"ROKS"))))))</f>
        <v/>
      </c>
      <c r="AA35" s="51" t="str">
        <f aca="false">IF(OR($A35="",AA$8=""),"",IF($F35="Migré","ROKS",IF($F35="À décommissionner",IF(AA$8&lt;$AS35,"IKS","Décom."),IF(OR($AQ35="",$AS35=""),"",IF(AA$8&lt;$AQ35,"IKS",IF(AA$8&lt;$AS35,IF(AA$8=$AR35,"Bascule","Double run"),"ROKS"))))))</f>
        <v/>
      </c>
      <c r="AB35" s="51" t="str">
        <f aca="false">IF(OR($A35="",AB$8=""),"",IF($F35="Migré","ROKS",IF($F35="À décommissionner",IF(AB$8&lt;$AS35,"IKS","Décom."),IF(OR($AQ35="",$AS35=""),"",IF(AB$8&lt;$AQ35,"IKS",IF(AB$8&lt;$AS35,IF(AB$8=$AR35,"Bascule","Double run"),"ROKS"))))))</f>
        <v/>
      </c>
      <c r="AC35" s="51" t="str">
        <f aca="false">IF(OR($A35="",AC$8=""),"",IF($F35="Migré","ROKS",IF($F35="À décommissionner",IF(AC$8&lt;$AS35,"IKS","Décom."),IF(OR($AQ35="",$AS35=""),"",IF(AC$8&lt;$AQ35,"IKS",IF(AC$8&lt;$AS35,IF(AC$8=$AR35,"Bascule","Double run"),"ROKS"))))))</f>
        <v/>
      </c>
      <c r="AD35" s="51" t="str">
        <f aca="false">IF(OR($A35="",AD$8=""),"",IF($F35="Migré","ROKS",IF($F35="À décommissionner",IF(AD$8&lt;$AS35,"IKS","Décom."),IF(OR($AQ35="",$AS35=""),"",IF(AD$8&lt;$AQ35,"IKS",IF(AD$8&lt;$AS35,IF(AD$8=$AR35,"Bascule","Double run"),"ROKS"))))))</f>
        <v/>
      </c>
      <c r="AE35" s="51" t="str">
        <f aca="false">IF(OR($A35="",AE$8=""),"",IF($F35="Migré","ROKS",IF($F35="À décommissionner",IF(AE$8&lt;$AS35,"IKS","Décom."),IF(OR($AQ35="",$AS35=""),"",IF(AE$8&lt;$AQ35,"IKS",IF(AE$8&lt;$AS35,IF(AE$8=$AR35,"Bascule","Double run"),"ROKS"))))))</f>
        <v/>
      </c>
      <c r="AF35" s="51" t="str">
        <f aca="false">IF(OR($A35="",AF$8=""),"",IF($F35="Migré","ROKS",IF($F35="À décommissionner",IF(AF$8&lt;$AS35,"IKS","Décom."),IF(OR($AQ35="",$AS35=""),"",IF(AF$8&lt;$AQ35,"IKS",IF(AF$8&lt;$AS35,IF(AF$8=$AR35,"Bascule","Double run"),"ROKS"))))))</f>
        <v/>
      </c>
      <c r="AG35" s="51" t="str">
        <f aca="false">IF(OR($A35="",AG$8=""),"",IF($F35="Migré","ROKS",IF($F35="À décommissionner",IF(AG$8&lt;$AS35,"IKS","Décom."),IF(OR($AQ35="",$AS35=""),"",IF(AG$8&lt;$AQ35,"IKS",IF(AG$8&lt;$AS35,IF(AG$8=$AR35,"Bascule","Double run"),"ROKS"))))))</f>
        <v/>
      </c>
      <c r="AH35" s="51" t="str">
        <f aca="false">IF(OR($A35="",AH$8=""),"",IF($F35="Migré","ROKS",IF($F35="À décommissionner",IF(AH$8&lt;$AS35,"IKS","Décom."),IF(OR($AQ35="",$AS35=""),"",IF(AH$8&lt;$AQ35,"IKS",IF(AH$8&lt;$AS35,IF(AH$8=$AR35,"Bascule","Double run"),"ROKS"))))))</f>
        <v/>
      </c>
      <c r="AI35" s="51" t="str">
        <f aca="false">IF(OR($A35="",AI$8=""),"",IF($F35="Migré","ROKS",IF($F35="À décommissionner",IF(AI$8&lt;$AS35,"IKS","Décom."),IF(OR($AQ35="",$AS35=""),"",IF(AI$8&lt;$AQ35,"IKS",IF(AI$8&lt;$AS35,IF(AI$8=$AR35,"Bascule","Double run"),"ROKS"))))))</f>
        <v/>
      </c>
      <c r="AJ35" s="51" t="str">
        <f aca="false">IF(OR($A35="",AJ$8=""),"",IF($F35="Migré","ROKS",IF($F35="À décommissionner",IF(AJ$8&lt;$AS35,"IKS","Décom."),IF(OR($AQ35="",$AS35=""),"",IF(AJ$8&lt;$AQ35,"IKS",IF(AJ$8&lt;$AS35,IF(AJ$8=$AR35,"Bascule","Double run"),"ROKS"))))))</f>
        <v/>
      </c>
      <c r="AK35" s="51" t="str">
        <f aca="false">IF(OR($A35="",AK$8=""),"",IF($F35="Migré","ROKS",IF($F35="À décommissionner",IF(AK$8&lt;$AS35,"IKS","Décom."),IF(OR($AQ35="",$AS35=""),"",IF(AK$8&lt;$AQ35,"IKS",IF(AK$8&lt;$AS35,IF(AK$8=$AR35,"Bascule","Double run"),"ROKS"))))))</f>
        <v/>
      </c>
      <c r="AL35" s="51" t="str">
        <f aca="false">IF(OR($A35="",AL$8=""),"",IF($F35="Migré","ROKS",IF($F35="À décommissionner",IF(AL$8&lt;$AS35,"IKS","Décom."),IF(OR($AQ35="",$AS35=""),"",IF(AL$8&lt;$AQ35,"IKS",IF(AL$8&lt;$AS35,IF(AL$8=$AR35,"Bascule","Double run"),"ROKS"))))))</f>
        <v/>
      </c>
      <c r="AM35" s="51" t="str">
        <f aca="false">IF(OR($A35="",AM$8=""),"",IF($F35="Migré","ROKS",IF($F35="À décommissionner",IF(AM$8&lt;$AS35,"IKS","Décom."),IF(OR($AQ35="",$AS35=""),"",IF(AM$8&lt;$AQ35,"IKS",IF(AM$8&lt;$AS35,IF(AM$8=$AR35,"Bascule","Double run"),"ROKS"))))))</f>
        <v/>
      </c>
      <c r="AN35" s="51" t="str">
        <f aca="false">IF(OR($A35="",AN$8=""),"",IF($F35="Migré","ROKS",IF($F35="À décommissionner",IF(AN$8&lt;$AS35,"IKS","Décom."),IF(OR($AQ35="",$AS35=""),"",IF(AN$8&lt;$AQ35,"IKS",IF(AN$8&lt;$AS35,IF(AN$8=$AR35,"Bascule","Double run"),"ROKS"))))))</f>
        <v/>
      </c>
      <c r="AO35" s="51" t="str">
        <f aca="false">IF(OR($A35="",AO$8=""),"",IF($F35="Migré","ROKS",IF($F35="À décommissionner",IF(AO$8&lt;$AS35,"IKS","Décom."),IF(OR($AQ35="",$AS35=""),"",IF(AO$8&lt;$AQ35,"IKS",IF(AO$8&lt;$AS35,IF(AO$8=$AR35,"Bascule","Double run"),"ROKS"))))))</f>
        <v/>
      </c>
      <c r="AP35" s="51" t="str">
        <f aca="false">IF(OR($A35="",AP$8=""),"",IF($F35="Migré","ROKS",IF($F35="À décommissionner",IF(AP$8&lt;$AS35,"IKS","Décom."),IF(OR($AQ35="",$AS35=""),"",IF(AP$8&lt;$AQ35,"IKS",IF(AP$8&lt;$AS35,IF(AP$8=$AR35,"Bascule","Double run"),"ROKS"))))))</f>
        <v/>
      </c>
      <c r="AQ35" s="0" t="str">
        <f aca="false">IF($A35="","",INDEX(TblApplications[Mois prov (calc)],$A35))</f>
        <v/>
      </c>
      <c r="AR35" s="0" t="str">
        <f aca="false">IF($A35="","",IFERROR(DATE(YEAR(INDEX(TblApplications[Mois bascule],$A35)),MONTH(INDEX(TblApplications[Mois bascule],$A35)),1),""))</f>
        <v/>
      </c>
      <c r="AS35" s="0" t="str">
        <f aca="false">IF($A35="","",INDEX(TblApplications[Mois lib (calc)],$A35))</f>
        <v/>
      </c>
    </row>
    <row r="36" customFormat="false" ht="15" hidden="false" customHeight="false" outlineLevel="0" collapsed="false">
      <c r="A36" s="49" t="str">
        <f aca="false">IFERROR(MATCH(28,TblApplications[Rang frise],0),"")</f>
        <v/>
      </c>
      <c r="B36" s="50" t="str">
        <f aca="false">IF($A36="","",INDEX(TblApplications[ID],$A36))</f>
        <v/>
      </c>
      <c r="C36" s="50" t="str">
        <f aca="false">IF($A36="","",INDEX(TblApplications[Application],$A36))</f>
        <v/>
      </c>
      <c r="D36" s="50" t="str">
        <f aca="false">IF($A36="","",INDEX(TblApplications[Environnement],$A36))</f>
        <v/>
      </c>
      <c r="E36" s="50" t="str">
        <f aca="false">IF($A36="","",INDEX(TblApplications[Couloir],$A36))</f>
        <v/>
      </c>
      <c r="F36" s="50" t="str">
        <f aca="false">IF($A36="","",INDEX(TblApplications[Action],$A36))</f>
        <v/>
      </c>
      <c r="G36" s="51" t="str">
        <f aca="false">IF(OR($A36="",G$8=""),"",IF($F36="Migré","ROKS",IF($F36="À décommissionner",IF(G$8&lt;$AS36,"IKS","Décom."),IF(OR($AQ36="",$AS36=""),"",IF(G$8&lt;$AQ36,"IKS",IF(G$8&lt;$AS36,IF(G$8=$AR36,"Bascule","Double run"),"ROKS"))))))</f>
        <v/>
      </c>
      <c r="H36" s="51" t="str">
        <f aca="false">IF(OR($A36="",H$8=""),"",IF($F36="Migré","ROKS",IF($F36="À décommissionner",IF(H$8&lt;$AS36,"IKS","Décom."),IF(OR($AQ36="",$AS36=""),"",IF(H$8&lt;$AQ36,"IKS",IF(H$8&lt;$AS36,IF(H$8=$AR36,"Bascule","Double run"),"ROKS"))))))</f>
        <v/>
      </c>
      <c r="I36" s="51" t="str">
        <f aca="false">IF(OR($A36="",I$8=""),"",IF($F36="Migré","ROKS",IF($F36="À décommissionner",IF(I$8&lt;$AS36,"IKS","Décom."),IF(OR($AQ36="",$AS36=""),"",IF(I$8&lt;$AQ36,"IKS",IF(I$8&lt;$AS36,IF(I$8=$AR36,"Bascule","Double run"),"ROKS"))))))</f>
        <v/>
      </c>
      <c r="J36" s="51" t="str">
        <f aca="false">IF(OR($A36="",J$8=""),"",IF($F36="Migré","ROKS",IF($F36="À décommissionner",IF(J$8&lt;$AS36,"IKS","Décom."),IF(OR($AQ36="",$AS36=""),"",IF(J$8&lt;$AQ36,"IKS",IF(J$8&lt;$AS36,IF(J$8=$AR36,"Bascule","Double run"),"ROKS"))))))</f>
        <v/>
      </c>
      <c r="K36" s="51" t="str">
        <f aca="false">IF(OR($A36="",K$8=""),"",IF($F36="Migré","ROKS",IF($F36="À décommissionner",IF(K$8&lt;$AS36,"IKS","Décom."),IF(OR($AQ36="",$AS36=""),"",IF(K$8&lt;$AQ36,"IKS",IF(K$8&lt;$AS36,IF(K$8=$AR36,"Bascule","Double run"),"ROKS"))))))</f>
        <v/>
      </c>
      <c r="L36" s="51" t="str">
        <f aca="false">IF(OR($A36="",L$8=""),"",IF($F36="Migré","ROKS",IF($F36="À décommissionner",IF(L$8&lt;$AS36,"IKS","Décom."),IF(OR($AQ36="",$AS36=""),"",IF(L$8&lt;$AQ36,"IKS",IF(L$8&lt;$AS36,IF(L$8=$AR36,"Bascule","Double run"),"ROKS"))))))</f>
        <v/>
      </c>
      <c r="M36" s="51" t="str">
        <f aca="false">IF(OR($A36="",M$8=""),"",IF($F36="Migré","ROKS",IF($F36="À décommissionner",IF(M$8&lt;$AS36,"IKS","Décom."),IF(OR($AQ36="",$AS36=""),"",IF(M$8&lt;$AQ36,"IKS",IF(M$8&lt;$AS36,IF(M$8=$AR36,"Bascule","Double run"),"ROKS"))))))</f>
        <v/>
      </c>
      <c r="N36" s="51" t="str">
        <f aca="false">IF(OR($A36="",N$8=""),"",IF($F36="Migré","ROKS",IF($F36="À décommissionner",IF(N$8&lt;$AS36,"IKS","Décom."),IF(OR($AQ36="",$AS36=""),"",IF(N$8&lt;$AQ36,"IKS",IF(N$8&lt;$AS36,IF(N$8=$AR36,"Bascule","Double run"),"ROKS"))))))</f>
        <v/>
      </c>
      <c r="O36" s="51" t="str">
        <f aca="false">IF(OR($A36="",O$8=""),"",IF($F36="Migré","ROKS",IF($F36="À décommissionner",IF(O$8&lt;$AS36,"IKS","Décom."),IF(OR($AQ36="",$AS36=""),"",IF(O$8&lt;$AQ36,"IKS",IF(O$8&lt;$AS36,IF(O$8=$AR36,"Bascule","Double run"),"ROKS"))))))</f>
        <v/>
      </c>
      <c r="P36" s="51" t="str">
        <f aca="false">IF(OR($A36="",P$8=""),"",IF($F36="Migré","ROKS",IF($F36="À décommissionner",IF(P$8&lt;$AS36,"IKS","Décom."),IF(OR($AQ36="",$AS36=""),"",IF(P$8&lt;$AQ36,"IKS",IF(P$8&lt;$AS36,IF(P$8=$AR36,"Bascule","Double run"),"ROKS"))))))</f>
        <v/>
      </c>
      <c r="Q36" s="51" t="str">
        <f aca="false">IF(OR($A36="",Q$8=""),"",IF($F36="Migré","ROKS",IF($F36="À décommissionner",IF(Q$8&lt;$AS36,"IKS","Décom."),IF(OR($AQ36="",$AS36=""),"",IF(Q$8&lt;$AQ36,"IKS",IF(Q$8&lt;$AS36,IF(Q$8=$AR36,"Bascule","Double run"),"ROKS"))))))</f>
        <v/>
      </c>
      <c r="R36" s="51" t="str">
        <f aca="false">IF(OR($A36="",R$8=""),"",IF($F36="Migré","ROKS",IF($F36="À décommissionner",IF(R$8&lt;$AS36,"IKS","Décom."),IF(OR($AQ36="",$AS36=""),"",IF(R$8&lt;$AQ36,"IKS",IF(R$8&lt;$AS36,IF(R$8=$AR36,"Bascule","Double run"),"ROKS"))))))</f>
        <v/>
      </c>
      <c r="S36" s="51" t="str">
        <f aca="false">IF(OR($A36="",S$8=""),"",IF($F36="Migré","ROKS",IF($F36="À décommissionner",IF(S$8&lt;$AS36,"IKS","Décom."),IF(OR($AQ36="",$AS36=""),"",IF(S$8&lt;$AQ36,"IKS",IF(S$8&lt;$AS36,IF(S$8=$AR36,"Bascule","Double run"),"ROKS"))))))</f>
        <v/>
      </c>
      <c r="T36" s="51" t="str">
        <f aca="false">IF(OR($A36="",T$8=""),"",IF($F36="Migré","ROKS",IF($F36="À décommissionner",IF(T$8&lt;$AS36,"IKS","Décom."),IF(OR($AQ36="",$AS36=""),"",IF(T$8&lt;$AQ36,"IKS",IF(T$8&lt;$AS36,IF(T$8=$AR36,"Bascule","Double run"),"ROKS"))))))</f>
        <v/>
      </c>
      <c r="U36" s="51" t="str">
        <f aca="false">IF(OR($A36="",U$8=""),"",IF($F36="Migré","ROKS",IF($F36="À décommissionner",IF(U$8&lt;$AS36,"IKS","Décom."),IF(OR($AQ36="",$AS36=""),"",IF(U$8&lt;$AQ36,"IKS",IF(U$8&lt;$AS36,IF(U$8=$AR36,"Bascule","Double run"),"ROKS"))))))</f>
        <v/>
      </c>
      <c r="V36" s="51" t="str">
        <f aca="false">IF(OR($A36="",V$8=""),"",IF($F36="Migré","ROKS",IF($F36="À décommissionner",IF(V$8&lt;$AS36,"IKS","Décom."),IF(OR($AQ36="",$AS36=""),"",IF(V$8&lt;$AQ36,"IKS",IF(V$8&lt;$AS36,IF(V$8=$AR36,"Bascule","Double run"),"ROKS"))))))</f>
        <v/>
      </c>
      <c r="W36" s="51" t="str">
        <f aca="false">IF(OR($A36="",W$8=""),"",IF($F36="Migré","ROKS",IF($F36="À décommissionner",IF(W$8&lt;$AS36,"IKS","Décom."),IF(OR($AQ36="",$AS36=""),"",IF(W$8&lt;$AQ36,"IKS",IF(W$8&lt;$AS36,IF(W$8=$AR36,"Bascule","Double run"),"ROKS"))))))</f>
        <v/>
      </c>
      <c r="X36" s="51" t="str">
        <f aca="false">IF(OR($A36="",X$8=""),"",IF($F36="Migré","ROKS",IF($F36="À décommissionner",IF(X$8&lt;$AS36,"IKS","Décom."),IF(OR($AQ36="",$AS36=""),"",IF(X$8&lt;$AQ36,"IKS",IF(X$8&lt;$AS36,IF(X$8=$AR36,"Bascule","Double run"),"ROKS"))))))</f>
        <v/>
      </c>
      <c r="Y36" s="51" t="str">
        <f aca="false">IF(OR($A36="",Y$8=""),"",IF($F36="Migré","ROKS",IF($F36="À décommissionner",IF(Y$8&lt;$AS36,"IKS","Décom."),IF(OR($AQ36="",$AS36=""),"",IF(Y$8&lt;$AQ36,"IKS",IF(Y$8&lt;$AS36,IF(Y$8=$AR36,"Bascule","Double run"),"ROKS"))))))</f>
        <v/>
      </c>
      <c r="Z36" s="51" t="str">
        <f aca="false">IF(OR($A36="",Z$8=""),"",IF($F36="Migré","ROKS",IF($F36="À décommissionner",IF(Z$8&lt;$AS36,"IKS","Décom."),IF(OR($AQ36="",$AS36=""),"",IF(Z$8&lt;$AQ36,"IKS",IF(Z$8&lt;$AS36,IF(Z$8=$AR36,"Bascule","Double run"),"ROKS"))))))</f>
        <v/>
      </c>
      <c r="AA36" s="51" t="str">
        <f aca="false">IF(OR($A36="",AA$8=""),"",IF($F36="Migré","ROKS",IF($F36="À décommissionner",IF(AA$8&lt;$AS36,"IKS","Décom."),IF(OR($AQ36="",$AS36=""),"",IF(AA$8&lt;$AQ36,"IKS",IF(AA$8&lt;$AS36,IF(AA$8=$AR36,"Bascule","Double run"),"ROKS"))))))</f>
        <v/>
      </c>
      <c r="AB36" s="51" t="str">
        <f aca="false">IF(OR($A36="",AB$8=""),"",IF($F36="Migré","ROKS",IF($F36="À décommissionner",IF(AB$8&lt;$AS36,"IKS","Décom."),IF(OR($AQ36="",$AS36=""),"",IF(AB$8&lt;$AQ36,"IKS",IF(AB$8&lt;$AS36,IF(AB$8=$AR36,"Bascule","Double run"),"ROKS"))))))</f>
        <v/>
      </c>
      <c r="AC36" s="51" t="str">
        <f aca="false">IF(OR($A36="",AC$8=""),"",IF($F36="Migré","ROKS",IF($F36="À décommissionner",IF(AC$8&lt;$AS36,"IKS","Décom."),IF(OR($AQ36="",$AS36=""),"",IF(AC$8&lt;$AQ36,"IKS",IF(AC$8&lt;$AS36,IF(AC$8=$AR36,"Bascule","Double run"),"ROKS"))))))</f>
        <v/>
      </c>
      <c r="AD36" s="51" t="str">
        <f aca="false">IF(OR($A36="",AD$8=""),"",IF($F36="Migré","ROKS",IF($F36="À décommissionner",IF(AD$8&lt;$AS36,"IKS","Décom."),IF(OR($AQ36="",$AS36=""),"",IF(AD$8&lt;$AQ36,"IKS",IF(AD$8&lt;$AS36,IF(AD$8=$AR36,"Bascule","Double run"),"ROKS"))))))</f>
        <v/>
      </c>
      <c r="AE36" s="51" t="str">
        <f aca="false">IF(OR($A36="",AE$8=""),"",IF($F36="Migré","ROKS",IF($F36="À décommissionner",IF(AE$8&lt;$AS36,"IKS","Décom."),IF(OR($AQ36="",$AS36=""),"",IF(AE$8&lt;$AQ36,"IKS",IF(AE$8&lt;$AS36,IF(AE$8=$AR36,"Bascule","Double run"),"ROKS"))))))</f>
        <v/>
      </c>
      <c r="AF36" s="51" t="str">
        <f aca="false">IF(OR($A36="",AF$8=""),"",IF($F36="Migré","ROKS",IF($F36="À décommissionner",IF(AF$8&lt;$AS36,"IKS","Décom."),IF(OR($AQ36="",$AS36=""),"",IF(AF$8&lt;$AQ36,"IKS",IF(AF$8&lt;$AS36,IF(AF$8=$AR36,"Bascule","Double run"),"ROKS"))))))</f>
        <v/>
      </c>
      <c r="AG36" s="51" t="str">
        <f aca="false">IF(OR($A36="",AG$8=""),"",IF($F36="Migré","ROKS",IF($F36="À décommissionner",IF(AG$8&lt;$AS36,"IKS","Décom."),IF(OR($AQ36="",$AS36=""),"",IF(AG$8&lt;$AQ36,"IKS",IF(AG$8&lt;$AS36,IF(AG$8=$AR36,"Bascule","Double run"),"ROKS"))))))</f>
        <v/>
      </c>
      <c r="AH36" s="51" t="str">
        <f aca="false">IF(OR($A36="",AH$8=""),"",IF($F36="Migré","ROKS",IF($F36="À décommissionner",IF(AH$8&lt;$AS36,"IKS","Décom."),IF(OR($AQ36="",$AS36=""),"",IF(AH$8&lt;$AQ36,"IKS",IF(AH$8&lt;$AS36,IF(AH$8=$AR36,"Bascule","Double run"),"ROKS"))))))</f>
        <v/>
      </c>
      <c r="AI36" s="51" t="str">
        <f aca="false">IF(OR($A36="",AI$8=""),"",IF($F36="Migré","ROKS",IF($F36="À décommissionner",IF(AI$8&lt;$AS36,"IKS","Décom."),IF(OR($AQ36="",$AS36=""),"",IF(AI$8&lt;$AQ36,"IKS",IF(AI$8&lt;$AS36,IF(AI$8=$AR36,"Bascule","Double run"),"ROKS"))))))</f>
        <v/>
      </c>
      <c r="AJ36" s="51" t="str">
        <f aca="false">IF(OR($A36="",AJ$8=""),"",IF($F36="Migré","ROKS",IF($F36="À décommissionner",IF(AJ$8&lt;$AS36,"IKS","Décom."),IF(OR($AQ36="",$AS36=""),"",IF(AJ$8&lt;$AQ36,"IKS",IF(AJ$8&lt;$AS36,IF(AJ$8=$AR36,"Bascule","Double run"),"ROKS"))))))</f>
        <v/>
      </c>
      <c r="AK36" s="51" t="str">
        <f aca="false">IF(OR($A36="",AK$8=""),"",IF($F36="Migré","ROKS",IF($F36="À décommissionner",IF(AK$8&lt;$AS36,"IKS","Décom."),IF(OR($AQ36="",$AS36=""),"",IF(AK$8&lt;$AQ36,"IKS",IF(AK$8&lt;$AS36,IF(AK$8=$AR36,"Bascule","Double run"),"ROKS"))))))</f>
        <v/>
      </c>
      <c r="AL36" s="51" t="str">
        <f aca="false">IF(OR($A36="",AL$8=""),"",IF($F36="Migré","ROKS",IF($F36="À décommissionner",IF(AL$8&lt;$AS36,"IKS","Décom."),IF(OR($AQ36="",$AS36=""),"",IF(AL$8&lt;$AQ36,"IKS",IF(AL$8&lt;$AS36,IF(AL$8=$AR36,"Bascule","Double run"),"ROKS"))))))</f>
        <v/>
      </c>
      <c r="AM36" s="51" t="str">
        <f aca="false">IF(OR($A36="",AM$8=""),"",IF($F36="Migré","ROKS",IF($F36="À décommissionner",IF(AM$8&lt;$AS36,"IKS","Décom."),IF(OR($AQ36="",$AS36=""),"",IF(AM$8&lt;$AQ36,"IKS",IF(AM$8&lt;$AS36,IF(AM$8=$AR36,"Bascule","Double run"),"ROKS"))))))</f>
        <v/>
      </c>
      <c r="AN36" s="51" t="str">
        <f aca="false">IF(OR($A36="",AN$8=""),"",IF($F36="Migré","ROKS",IF($F36="À décommissionner",IF(AN$8&lt;$AS36,"IKS","Décom."),IF(OR($AQ36="",$AS36=""),"",IF(AN$8&lt;$AQ36,"IKS",IF(AN$8&lt;$AS36,IF(AN$8=$AR36,"Bascule","Double run"),"ROKS"))))))</f>
        <v/>
      </c>
      <c r="AO36" s="51" t="str">
        <f aca="false">IF(OR($A36="",AO$8=""),"",IF($F36="Migré","ROKS",IF($F36="À décommissionner",IF(AO$8&lt;$AS36,"IKS","Décom."),IF(OR($AQ36="",$AS36=""),"",IF(AO$8&lt;$AQ36,"IKS",IF(AO$8&lt;$AS36,IF(AO$8=$AR36,"Bascule","Double run"),"ROKS"))))))</f>
        <v/>
      </c>
      <c r="AP36" s="51" t="str">
        <f aca="false">IF(OR($A36="",AP$8=""),"",IF($F36="Migré","ROKS",IF($F36="À décommissionner",IF(AP$8&lt;$AS36,"IKS","Décom."),IF(OR($AQ36="",$AS36=""),"",IF(AP$8&lt;$AQ36,"IKS",IF(AP$8&lt;$AS36,IF(AP$8=$AR36,"Bascule","Double run"),"ROKS"))))))</f>
        <v/>
      </c>
      <c r="AQ36" s="0" t="str">
        <f aca="false">IF($A36="","",INDEX(TblApplications[Mois prov (calc)],$A36))</f>
        <v/>
      </c>
      <c r="AR36" s="0" t="str">
        <f aca="false">IF($A36="","",IFERROR(DATE(YEAR(INDEX(TblApplications[Mois bascule],$A36)),MONTH(INDEX(TblApplications[Mois bascule],$A36)),1),""))</f>
        <v/>
      </c>
      <c r="AS36" s="0" t="str">
        <f aca="false">IF($A36="","",INDEX(TblApplications[Mois lib (calc)],$A36))</f>
        <v/>
      </c>
    </row>
    <row r="37" customFormat="false" ht="15" hidden="false" customHeight="false" outlineLevel="0" collapsed="false">
      <c r="A37" s="49" t="str">
        <f aca="false">IFERROR(MATCH(29,TblApplications[Rang frise],0),"")</f>
        <v/>
      </c>
      <c r="B37" s="50" t="str">
        <f aca="false">IF($A37="","",INDEX(TblApplications[ID],$A37))</f>
        <v/>
      </c>
      <c r="C37" s="50" t="str">
        <f aca="false">IF($A37="","",INDEX(TblApplications[Application],$A37))</f>
        <v/>
      </c>
      <c r="D37" s="50" t="str">
        <f aca="false">IF($A37="","",INDEX(TblApplications[Environnement],$A37))</f>
        <v/>
      </c>
      <c r="E37" s="50" t="str">
        <f aca="false">IF($A37="","",INDEX(TblApplications[Couloir],$A37))</f>
        <v/>
      </c>
      <c r="F37" s="50" t="str">
        <f aca="false">IF($A37="","",INDEX(TblApplications[Action],$A37))</f>
        <v/>
      </c>
      <c r="G37" s="51" t="str">
        <f aca="false">IF(OR($A37="",G$8=""),"",IF($F37="Migré","ROKS",IF($F37="À décommissionner",IF(G$8&lt;$AS37,"IKS","Décom."),IF(OR($AQ37="",$AS37=""),"",IF(G$8&lt;$AQ37,"IKS",IF(G$8&lt;$AS37,IF(G$8=$AR37,"Bascule","Double run"),"ROKS"))))))</f>
        <v/>
      </c>
      <c r="H37" s="51" t="str">
        <f aca="false">IF(OR($A37="",H$8=""),"",IF($F37="Migré","ROKS",IF($F37="À décommissionner",IF(H$8&lt;$AS37,"IKS","Décom."),IF(OR($AQ37="",$AS37=""),"",IF(H$8&lt;$AQ37,"IKS",IF(H$8&lt;$AS37,IF(H$8=$AR37,"Bascule","Double run"),"ROKS"))))))</f>
        <v/>
      </c>
      <c r="I37" s="51" t="str">
        <f aca="false">IF(OR($A37="",I$8=""),"",IF($F37="Migré","ROKS",IF($F37="À décommissionner",IF(I$8&lt;$AS37,"IKS","Décom."),IF(OR($AQ37="",$AS37=""),"",IF(I$8&lt;$AQ37,"IKS",IF(I$8&lt;$AS37,IF(I$8=$AR37,"Bascule","Double run"),"ROKS"))))))</f>
        <v/>
      </c>
      <c r="J37" s="51" t="str">
        <f aca="false">IF(OR($A37="",J$8=""),"",IF($F37="Migré","ROKS",IF($F37="À décommissionner",IF(J$8&lt;$AS37,"IKS","Décom."),IF(OR($AQ37="",$AS37=""),"",IF(J$8&lt;$AQ37,"IKS",IF(J$8&lt;$AS37,IF(J$8=$AR37,"Bascule","Double run"),"ROKS"))))))</f>
        <v/>
      </c>
      <c r="K37" s="51" t="str">
        <f aca="false">IF(OR($A37="",K$8=""),"",IF($F37="Migré","ROKS",IF($F37="À décommissionner",IF(K$8&lt;$AS37,"IKS","Décom."),IF(OR($AQ37="",$AS37=""),"",IF(K$8&lt;$AQ37,"IKS",IF(K$8&lt;$AS37,IF(K$8=$AR37,"Bascule","Double run"),"ROKS"))))))</f>
        <v/>
      </c>
      <c r="L37" s="51" t="str">
        <f aca="false">IF(OR($A37="",L$8=""),"",IF($F37="Migré","ROKS",IF($F37="À décommissionner",IF(L$8&lt;$AS37,"IKS","Décom."),IF(OR($AQ37="",$AS37=""),"",IF(L$8&lt;$AQ37,"IKS",IF(L$8&lt;$AS37,IF(L$8=$AR37,"Bascule","Double run"),"ROKS"))))))</f>
        <v/>
      </c>
      <c r="M37" s="51" t="str">
        <f aca="false">IF(OR($A37="",M$8=""),"",IF($F37="Migré","ROKS",IF($F37="À décommissionner",IF(M$8&lt;$AS37,"IKS","Décom."),IF(OR($AQ37="",$AS37=""),"",IF(M$8&lt;$AQ37,"IKS",IF(M$8&lt;$AS37,IF(M$8=$AR37,"Bascule","Double run"),"ROKS"))))))</f>
        <v/>
      </c>
      <c r="N37" s="51" t="str">
        <f aca="false">IF(OR($A37="",N$8=""),"",IF($F37="Migré","ROKS",IF($F37="À décommissionner",IF(N$8&lt;$AS37,"IKS","Décom."),IF(OR($AQ37="",$AS37=""),"",IF(N$8&lt;$AQ37,"IKS",IF(N$8&lt;$AS37,IF(N$8=$AR37,"Bascule","Double run"),"ROKS"))))))</f>
        <v/>
      </c>
      <c r="O37" s="51" t="str">
        <f aca="false">IF(OR($A37="",O$8=""),"",IF($F37="Migré","ROKS",IF($F37="À décommissionner",IF(O$8&lt;$AS37,"IKS","Décom."),IF(OR($AQ37="",$AS37=""),"",IF(O$8&lt;$AQ37,"IKS",IF(O$8&lt;$AS37,IF(O$8=$AR37,"Bascule","Double run"),"ROKS"))))))</f>
        <v/>
      </c>
      <c r="P37" s="51" t="str">
        <f aca="false">IF(OR($A37="",P$8=""),"",IF($F37="Migré","ROKS",IF($F37="À décommissionner",IF(P$8&lt;$AS37,"IKS","Décom."),IF(OR($AQ37="",$AS37=""),"",IF(P$8&lt;$AQ37,"IKS",IF(P$8&lt;$AS37,IF(P$8=$AR37,"Bascule","Double run"),"ROKS"))))))</f>
        <v/>
      </c>
      <c r="Q37" s="51" t="str">
        <f aca="false">IF(OR($A37="",Q$8=""),"",IF($F37="Migré","ROKS",IF($F37="À décommissionner",IF(Q$8&lt;$AS37,"IKS","Décom."),IF(OR($AQ37="",$AS37=""),"",IF(Q$8&lt;$AQ37,"IKS",IF(Q$8&lt;$AS37,IF(Q$8=$AR37,"Bascule","Double run"),"ROKS"))))))</f>
        <v/>
      </c>
      <c r="R37" s="51" t="str">
        <f aca="false">IF(OR($A37="",R$8=""),"",IF($F37="Migré","ROKS",IF($F37="À décommissionner",IF(R$8&lt;$AS37,"IKS","Décom."),IF(OR($AQ37="",$AS37=""),"",IF(R$8&lt;$AQ37,"IKS",IF(R$8&lt;$AS37,IF(R$8=$AR37,"Bascule","Double run"),"ROKS"))))))</f>
        <v/>
      </c>
      <c r="S37" s="51" t="str">
        <f aca="false">IF(OR($A37="",S$8=""),"",IF($F37="Migré","ROKS",IF($F37="À décommissionner",IF(S$8&lt;$AS37,"IKS","Décom."),IF(OR($AQ37="",$AS37=""),"",IF(S$8&lt;$AQ37,"IKS",IF(S$8&lt;$AS37,IF(S$8=$AR37,"Bascule","Double run"),"ROKS"))))))</f>
        <v/>
      </c>
      <c r="T37" s="51" t="str">
        <f aca="false">IF(OR($A37="",T$8=""),"",IF($F37="Migré","ROKS",IF($F37="À décommissionner",IF(T$8&lt;$AS37,"IKS","Décom."),IF(OR($AQ37="",$AS37=""),"",IF(T$8&lt;$AQ37,"IKS",IF(T$8&lt;$AS37,IF(T$8=$AR37,"Bascule","Double run"),"ROKS"))))))</f>
        <v/>
      </c>
      <c r="U37" s="51" t="str">
        <f aca="false">IF(OR($A37="",U$8=""),"",IF($F37="Migré","ROKS",IF($F37="À décommissionner",IF(U$8&lt;$AS37,"IKS","Décom."),IF(OR($AQ37="",$AS37=""),"",IF(U$8&lt;$AQ37,"IKS",IF(U$8&lt;$AS37,IF(U$8=$AR37,"Bascule","Double run"),"ROKS"))))))</f>
        <v/>
      </c>
      <c r="V37" s="51" t="str">
        <f aca="false">IF(OR($A37="",V$8=""),"",IF($F37="Migré","ROKS",IF($F37="À décommissionner",IF(V$8&lt;$AS37,"IKS","Décom."),IF(OR($AQ37="",$AS37=""),"",IF(V$8&lt;$AQ37,"IKS",IF(V$8&lt;$AS37,IF(V$8=$AR37,"Bascule","Double run"),"ROKS"))))))</f>
        <v/>
      </c>
      <c r="W37" s="51" t="str">
        <f aca="false">IF(OR($A37="",W$8=""),"",IF($F37="Migré","ROKS",IF($F37="À décommissionner",IF(W$8&lt;$AS37,"IKS","Décom."),IF(OR($AQ37="",$AS37=""),"",IF(W$8&lt;$AQ37,"IKS",IF(W$8&lt;$AS37,IF(W$8=$AR37,"Bascule","Double run"),"ROKS"))))))</f>
        <v/>
      </c>
      <c r="X37" s="51" t="str">
        <f aca="false">IF(OR($A37="",X$8=""),"",IF($F37="Migré","ROKS",IF($F37="À décommissionner",IF(X$8&lt;$AS37,"IKS","Décom."),IF(OR($AQ37="",$AS37=""),"",IF(X$8&lt;$AQ37,"IKS",IF(X$8&lt;$AS37,IF(X$8=$AR37,"Bascule","Double run"),"ROKS"))))))</f>
        <v/>
      </c>
      <c r="Y37" s="51" t="str">
        <f aca="false">IF(OR($A37="",Y$8=""),"",IF($F37="Migré","ROKS",IF($F37="À décommissionner",IF(Y$8&lt;$AS37,"IKS","Décom."),IF(OR($AQ37="",$AS37=""),"",IF(Y$8&lt;$AQ37,"IKS",IF(Y$8&lt;$AS37,IF(Y$8=$AR37,"Bascule","Double run"),"ROKS"))))))</f>
        <v/>
      </c>
      <c r="Z37" s="51" t="str">
        <f aca="false">IF(OR($A37="",Z$8=""),"",IF($F37="Migré","ROKS",IF($F37="À décommissionner",IF(Z$8&lt;$AS37,"IKS","Décom."),IF(OR($AQ37="",$AS37=""),"",IF(Z$8&lt;$AQ37,"IKS",IF(Z$8&lt;$AS37,IF(Z$8=$AR37,"Bascule","Double run"),"ROKS"))))))</f>
        <v/>
      </c>
      <c r="AA37" s="51" t="str">
        <f aca="false">IF(OR($A37="",AA$8=""),"",IF($F37="Migré","ROKS",IF($F37="À décommissionner",IF(AA$8&lt;$AS37,"IKS","Décom."),IF(OR($AQ37="",$AS37=""),"",IF(AA$8&lt;$AQ37,"IKS",IF(AA$8&lt;$AS37,IF(AA$8=$AR37,"Bascule","Double run"),"ROKS"))))))</f>
        <v/>
      </c>
      <c r="AB37" s="51" t="str">
        <f aca="false">IF(OR($A37="",AB$8=""),"",IF($F37="Migré","ROKS",IF($F37="À décommissionner",IF(AB$8&lt;$AS37,"IKS","Décom."),IF(OR($AQ37="",$AS37=""),"",IF(AB$8&lt;$AQ37,"IKS",IF(AB$8&lt;$AS37,IF(AB$8=$AR37,"Bascule","Double run"),"ROKS"))))))</f>
        <v/>
      </c>
      <c r="AC37" s="51" t="str">
        <f aca="false">IF(OR($A37="",AC$8=""),"",IF($F37="Migré","ROKS",IF($F37="À décommissionner",IF(AC$8&lt;$AS37,"IKS","Décom."),IF(OR($AQ37="",$AS37=""),"",IF(AC$8&lt;$AQ37,"IKS",IF(AC$8&lt;$AS37,IF(AC$8=$AR37,"Bascule","Double run"),"ROKS"))))))</f>
        <v/>
      </c>
      <c r="AD37" s="51" t="str">
        <f aca="false">IF(OR($A37="",AD$8=""),"",IF($F37="Migré","ROKS",IF($F37="À décommissionner",IF(AD$8&lt;$AS37,"IKS","Décom."),IF(OR($AQ37="",$AS37=""),"",IF(AD$8&lt;$AQ37,"IKS",IF(AD$8&lt;$AS37,IF(AD$8=$AR37,"Bascule","Double run"),"ROKS"))))))</f>
        <v/>
      </c>
      <c r="AE37" s="51" t="str">
        <f aca="false">IF(OR($A37="",AE$8=""),"",IF($F37="Migré","ROKS",IF($F37="À décommissionner",IF(AE$8&lt;$AS37,"IKS","Décom."),IF(OR($AQ37="",$AS37=""),"",IF(AE$8&lt;$AQ37,"IKS",IF(AE$8&lt;$AS37,IF(AE$8=$AR37,"Bascule","Double run"),"ROKS"))))))</f>
        <v/>
      </c>
      <c r="AF37" s="51" t="str">
        <f aca="false">IF(OR($A37="",AF$8=""),"",IF($F37="Migré","ROKS",IF($F37="À décommissionner",IF(AF$8&lt;$AS37,"IKS","Décom."),IF(OR($AQ37="",$AS37=""),"",IF(AF$8&lt;$AQ37,"IKS",IF(AF$8&lt;$AS37,IF(AF$8=$AR37,"Bascule","Double run"),"ROKS"))))))</f>
        <v/>
      </c>
      <c r="AG37" s="51" t="str">
        <f aca="false">IF(OR($A37="",AG$8=""),"",IF($F37="Migré","ROKS",IF($F37="À décommissionner",IF(AG$8&lt;$AS37,"IKS","Décom."),IF(OR($AQ37="",$AS37=""),"",IF(AG$8&lt;$AQ37,"IKS",IF(AG$8&lt;$AS37,IF(AG$8=$AR37,"Bascule","Double run"),"ROKS"))))))</f>
        <v/>
      </c>
      <c r="AH37" s="51" t="str">
        <f aca="false">IF(OR($A37="",AH$8=""),"",IF($F37="Migré","ROKS",IF($F37="À décommissionner",IF(AH$8&lt;$AS37,"IKS","Décom."),IF(OR($AQ37="",$AS37=""),"",IF(AH$8&lt;$AQ37,"IKS",IF(AH$8&lt;$AS37,IF(AH$8=$AR37,"Bascule","Double run"),"ROKS"))))))</f>
        <v/>
      </c>
      <c r="AI37" s="51" t="str">
        <f aca="false">IF(OR($A37="",AI$8=""),"",IF($F37="Migré","ROKS",IF($F37="À décommissionner",IF(AI$8&lt;$AS37,"IKS","Décom."),IF(OR($AQ37="",$AS37=""),"",IF(AI$8&lt;$AQ37,"IKS",IF(AI$8&lt;$AS37,IF(AI$8=$AR37,"Bascule","Double run"),"ROKS"))))))</f>
        <v/>
      </c>
      <c r="AJ37" s="51" t="str">
        <f aca="false">IF(OR($A37="",AJ$8=""),"",IF($F37="Migré","ROKS",IF($F37="À décommissionner",IF(AJ$8&lt;$AS37,"IKS","Décom."),IF(OR($AQ37="",$AS37=""),"",IF(AJ$8&lt;$AQ37,"IKS",IF(AJ$8&lt;$AS37,IF(AJ$8=$AR37,"Bascule","Double run"),"ROKS"))))))</f>
        <v/>
      </c>
      <c r="AK37" s="51" t="str">
        <f aca="false">IF(OR($A37="",AK$8=""),"",IF($F37="Migré","ROKS",IF($F37="À décommissionner",IF(AK$8&lt;$AS37,"IKS","Décom."),IF(OR($AQ37="",$AS37=""),"",IF(AK$8&lt;$AQ37,"IKS",IF(AK$8&lt;$AS37,IF(AK$8=$AR37,"Bascule","Double run"),"ROKS"))))))</f>
        <v/>
      </c>
      <c r="AL37" s="51" t="str">
        <f aca="false">IF(OR($A37="",AL$8=""),"",IF($F37="Migré","ROKS",IF($F37="À décommissionner",IF(AL$8&lt;$AS37,"IKS","Décom."),IF(OR($AQ37="",$AS37=""),"",IF(AL$8&lt;$AQ37,"IKS",IF(AL$8&lt;$AS37,IF(AL$8=$AR37,"Bascule","Double run"),"ROKS"))))))</f>
        <v/>
      </c>
      <c r="AM37" s="51" t="str">
        <f aca="false">IF(OR($A37="",AM$8=""),"",IF($F37="Migré","ROKS",IF($F37="À décommissionner",IF(AM$8&lt;$AS37,"IKS","Décom."),IF(OR($AQ37="",$AS37=""),"",IF(AM$8&lt;$AQ37,"IKS",IF(AM$8&lt;$AS37,IF(AM$8=$AR37,"Bascule","Double run"),"ROKS"))))))</f>
        <v/>
      </c>
      <c r="AN37" s="51" t="str">
        <f aca="false">IF(OR($A37="",AN$8=""),"",IF($F37="Migré","ROKS",IF($F37="À décommissionner",IF(AN$8&lt;$AS37,"IKS","Décom."),IF(OR($AQ37="",$AS37=""),"",IF(AN$8&lt;$AQ37,"IKS",IF(AN$8&lt;$AS37,IF(AN$8=$AR37,"Bascule","Double run"),"ROKS"))))))</f>
        <v/>
      </c>
      <c r="AO37" s="51" t="str">
        <f aca="false">IF(OR($A37="",AO$8=""),"",IF($F37="Migré","ROKS",IF($F37="À décommissionner",IF(AO$8&lt;$AS37,"IKS","Décom."),IF(OR($AQ37="",$AS37=""),"",IF(AO$8&lt;$AQ37,"IKS",IF(AO$8&lt;$AS37,IF(AO$8=$AR37,"Bascule","Double run"),"ROKS"))))))</f>
        <v/>
      </c>
      <c r="AP37" s="51" t="str">
        <f aca="false">IF(OR($A37="",AP$8=""),"",IF($F37="Migré","ROKS",IF($F37="À décommissionner",IF(AP$8&lt;$AS37,"IKS","Décom."),IF(OR($AQ37="",$AS37=""),"",IF(AP$8&lt;$AQ37,"IKS",IF(AP$8&lt;$AS37,IF(AP$8=$AR37,"Bascule","Double run"),"ROKS"))))))</f>
        <v/>
      </c>
      <c r="AQ37" s="0" t="str">
        <f aca="false">IF($A37="","",INDEX(TblApplications[Mois prov (calc)],$A37))</f>
        <v/>
      </c>
      <c r="AR37" s="0" t="str">
        <f aca="false">IF($A37="","",IFERROR(DATE(YEAR(INDEX(TblApplications[Mois bascule],$A37)),MONTH(INDEX(TblApplications[Mois bascule],$A37)),1),""))</f>
        <v/>
      </c>
      <c r="AS37" s="0" t="str">
        <f aca="false">IF($A37="","",INDEX(TblApplications[Mois lib (calc)],$A37))</f>
        <v/>
      </c>
    </row>
    <row r="38" customFormat="false" ht="15" hidden="false" customHeight="false" outlineLevel="0" collapsed="false">
      <c r="A38" s="49" t="str">
        <f aca="false">IFERROR(MATCH(30,TblApplications[Rang frise],0),"")</f>
        <v/>
      </c>
      <c r="B38" s="50" t="str">
        <f aca="false">IF($A38="","",INDEX(TblApplications[ID],$A38))</f>
        <v/>
      </c>
      <c r="C38" s="50" t="str">
        <f aca="false">IF($A38="","",INDEX(TblApplications[Application],$A38))</f>
        <v/>
      </c>
      <c r="D38" s="50" t="str">
        <f aca="false">IF($A38="","",INDEX(TblApplications[Environnement],$A38))</f>
        <v/>
      </c>
      <c r="E38" s="50" t="str">
        <f aca="false">IF($A38="","",INDEX(TblApplications[Couloir],$A38))</f>
        <v/>
      </c>
      <c r="F38" s="50" t="str">
        <f aca="false">IF($A38="","",INDEX(TblApplications[Action],$A38))</f>
        <v/>
      </c>
      <c r="G38" s="51" t="str">
        <f aca="false">IF(OR($A38="",G$8=""),"",IF($F38="Migré","ROKS",IF($F38="À décommissionner",IF(G$8&lt;$AS38,"IKS","Décom."),IF(OR($AQ38="",$AS38=""),"",IF(G$8&lt;$AQ38,"IKS",IF(G$8&lt;$AS38,IF(G$8=$AR38,"Bascule","Double run"),"ROKS"))))))</f>
        <v/>
      </c>
      <c r="H38" s="51" t="str">
        <f aca="false">IF(OR($A38="",H$8=""),"",IF($F38="Migré","ROKS",IF($F38="À décommissionner",IF(H$8&lt;$AS38,"IKS","Décom."),IF(OR($AQ38="",$AS38=""),"",IF(H$8&lt;$AQ38,"IKS",IF(H$8&lt;$AS38,IF(H$8=$AR38,"Bascule","Double run"),"ROKS"))))))</f>
        <v/>
      </c>
      <c r="I38" s="51" t="str">
        <f aca="false">IF(OR($A38="",I$8=""),"",IF($F38="Migré","ROKS",IF($F38="À décommissionner",IF(I$8&lt;$AS38,"IKS","Décom."),IF(OR($AQ38="",$AS38=""),"",IF(I$8&lt;$AQ38,"IKS",IF(I$8&lt;$AS38,IF(I$8=$AR38,"Bascule","Double run"),"ROKS"))))))</f>
        <v/>
      </c>
      <c r="J38" s="51" t="str">
        <f aca="false">IF(OR($A38="",J$8=""),"",IF($F38="Migré","ROKS",IF($F38="À décommissionner",IF(J$8&lt;$AS38,"IKS","Décom."),IF(OR($AQ38="",$AS38=""),"",IF(J$8&lt;$AQ38,"IKS",IF(J$8&lt;$AS38,IF(J$8=$AR38,"Bascule","Double run"),"ROKS"))))))</f>
        <v/>
      </c>
      <c r="K38" s="51" t="str">
        <f aca="false">IF(OR($A38="",K$8=""),"",IF($F38="Migré","ROKS",IF($F38="À décommissionner",IF(K$8&lt;$AS38,"IKS","Décom."),IF(OR($AQ38="",$AS38=""),"",IF(K$8&lt;$AQ38,"IKS",IF(K$8&lt;$AS38,IF(K$8=$AR38,"Bascule","Double run"),"ROKS"))))))</f>
        <v/>
      </c>
      <c r="L38" s="51" t="str">
        <f aca="false">IF(OR($A38="",L$8=""),"",IF($F38="Migré","ROKS",IF($F38="À décommissionner",IF(L$8&lt;$AS38,"IKS","Décom."),IF(OR($AQ38="",$AS38=""),"",IF(L$8&lt;$AQ38,"IKS",IF(L$8&lt;$AS38,IF(L$8=$AR38,"Bascule","Double run"),"ROKS"))))))</f>
        <v/>
      </c>
      <c r="M38" s="51" t="str">
        <f aca="false">IF(OR($A38="",M$8=""),"",IF($F38="Migré","ROKS",IF($F38="À décommissionner",IF(M$8&lt;$AS38,"IKS","Décom."),IF(OR($AQ38="",$AS38=""),"",IF(M$8&lt;$AQ38,"IKS",IF(M$8&lt;$AS38,IF(M$8=$AR38,"Bascule","Double run"),"ROKS"))))))</f>
        <v/>
      </c>
      <c r="N38" s="51" t="str">
        <f aca="false">IF(OR($A38="",N$8=""),"",IF($F38="Migré","ROKS",IF($F38="À décommissionner",IF(N$8&lt;$AS38,"IKS","Décom."),IF(OR($AQ38="",$AS38=""),"",IF(N$8&lt;$AQ38,"IKS",IF(N$8&lt;$AS38,IF(N$8=$AR38,"Bascule","Double run"),"ROKS"))))))</f>
        <v/>
      </c>
      <c r="O38" s="51" t="str">
        <f aca="false">IF(OR($A38="",O$8=""),"",IF($F38="Migré","ROKS",IF($F38="À décommissionner",IF(O$8&lt;$AS38,"IKS","Décom."),IF(OR($AQ38="",$AS38=""),"",IF(O$8&lt;$AQ38,"IKS",IF(O$8&lt;$AS38,IF(O$8=$AR38,"Bascule","Double run"),"ROKS"))))))</f>
        <v/>
      </c>
      <c r="P38" s="51" t="str">
        <f aca="false">IF(OR($A38="",P$8=""),"",IF($F38="Migré","ROKS",IF($F38="À décommissionner",IF(P$8&lt;$AS38,"IKS","Décom."),IF(OR($AQ38="",$AS38=""),"",IF(P$8&lt;$AQ38,"IKS",IF(P$8&lt;$AS38,IF(P$8=$AR38,"Bascule","Double run"),"ROKS"))))))</f>
        <v/>
      </c>
      <c r="Q38" s="51" t="str">
        <f aca="false">IF(OR($A38="",Q$8=""),"",IF($F38="Migré","ROKS",IF($F38="À décommissionner",IF(Q$8&lt;$AS38,"IKS","Décom."),IF(OR($AQ38="",$AS38=""),"",IF(Q$8&lt;$AQ38,"IKS",IF(Q$8&lt;$AS38,IF(Q$8=$AR38,"Bascule","Double run"),"ROKS"))))))</f>
        <v/>
      </c>
      <c r="R38" s="51" t="str">
        <f aca="false">IF(OR($A38="",R$8=""),"",IF($F38="Migré","ROKS",IF($F38="À décommissionner",IF(R$8&lt;$AS38,"IKS","Décom."),IF(OR($AQ38="",$AS38=""),"",IF(R$8&lt;$AQ38,"IKS",IF(R$8&lt;$AS38,IF(R$8=$AR38,"Bascule","Double run"),"ROKS"))))))</f>
        <v/>
      </c>
      <c r="S38" s="51" t="str">
        <f aca="false">IF(OR($A38="",S$8=""),"",IF($F38="Migré","ROKS",IF($F38="À décommissionner",IF(S$8&lt;$AS38,"IKS","Décom."),IF(OR($AQ38="",$AS38=""),"",IF(S$8&lt;$AQ38,"IKS",IF(S$8&lt;$AS38,IF(S$8=$AR38,"Bascule","Double run"),"ROKS"))))))</f>
        <v/>
      </c>
      <c r="T38" s="51" t="str">
        <f aca="false">IF(OR($A38="",T$8=""),"",IF($F38="Migré","ROKS",IF($F38="À décommissionner",IF(T$8&lt;$AS38,"IKS","Décom."),IF(OR($AQ38="",$AS38=""),"",IF(T$8&lt;$AQ38,"IKS",IF(T$8&lt;$AS38,IF(T$8=$AR38,"Bascule","Double run"),"ROKS"))))))</f>
        <v/>
      </c>
      <c r="U38" s="51" t="str">
        <f aca="false">IF(OR($A38="",U$8=""),"",IF($F38="Migré","ROKS",IF($F38="À décommissionner",IF(U$8&lt;$AS38,"IKS","Décom."),IF(OR($AQ38="",$AS38=""),"",IF(U$8&lt;$AQ38,"IKS",IF(U$8&lt;$AS38,IF(U$8=$AR38,"Bascule","Double run"),"ROKS"))))))</f>
        <v/>
      </c>
      <c r="V38" s="51" t="str">
        <f aca="false">IF(OR($A38="",V$8=""),"",IF($F38="Migré","ROKS",IF($F38="À décommissionner",IF(V$8&lt;$AS38,"IKS","Décom."),IF(OR($AQ38="",$AS38=""),"",IF(V$8&lt;$AQ38,"IKS",IF(V$8&lt;$AS38,IF(V$8=$AR38,"Bascule","Double run"),"ROKS"))))))</f>
        <v/>
      </c>
      <c r="W38" s="51" t="str">
        <f aca="false">IF(OR($A38="",W$8=""),"",IF($F38="Migré","ROKS",IF($F38="À décommissionner",IF(W$8&lt;$AS38,"IKS","Décom."),IF(OR($AQ38="",$AS38=""),"",IF(W$8&lt;$AQ38,"IKS",IF(W$8&lt;$AS38,IF(W$8=$AR38,"Bascule","Double run"),"ROKS"))))))</f>
        <v/>
      </c>
      <c r="X38" s="51" t="str">
        <f aca="false">IF(OR($A38="",X$8=""),"",IF($F38="Migré","ROKS",IF($F38="À décommissionner",IF(X$8&lt;$AS38,"IKS","Décom."),IF(OR($AQ38="",$AS38=""),"",IF(X$8&lt;$AQ38,"IKS",IF(X$8&lt;$AS38,IF(X$8=$AR38,"Bascule","Double run"),"ROKS"))))))</f>
        <v/>
      </c>
      <c r="Y38" s="51" t="str">
        <f aca="false">IF(OR($A38="",Y$8=""),"",IF($F38="Migré","ROKS",IF($F38="À décommissionner",IF(Y$8&lt;$AS38,"IKS","Décom."),IF(OR($AQ38="",$AS38=""),"",IF(Y$8&lt;$AQ38,"IKS",IF(Y$8&lt;$AS38,IF(Y$8=$AR38,"Bascule","Double run"),"ROKS"))))))</f>
        <v/>
      </c>
      <c r="Z38" s="51" t="str">
        <f aca="false">IF(OR($A38="",Z$8=""),"",IF($F38="Migré","ROKS",IF($F38="À décommissionner",IF(Z$8&lt;$AS38,"IKS","Décom."),IF(OR($AQ38="",$AS38=""),"",IF(Z$8&lt;$AQ38,"IKS",IF(Z$8&lt;$AS38,IF(Z$8=$AR38,"Bascule","Double run"),"ROKS"))))))</f>
        <v/>
      </c>
      <c r="AA38" s="51" t="str">
        <f aca="false">IF(OR($A38="",AA$8=""),"",IF($F38="Migré","ROKS",IF($F38="À décommissionner",IF(AA$8&lt;$AS38,"IKS","Décom."),IF(OR($AQ38="",$AS38=""),"",IF(AA$8&lt;$AQ38,"IKS",IF(AA$8&lt;$AS38,IF(AA$8=$AR38,"Bascule","Double run"),"ROKS"))))))</f>
        <v/>
      </c>
      <c r="AB38" s="51" t="str">
        <f aca="false">IF(OR($A38="",AB$8=""),"",IF($F38="Migré","ROKS",IF($F38="À décommissionner",IF(AB$8&lt;$AS38,"IKS","Décom."),IF(OR($AQ38="",$AS38=""),"",IF(AB$8&lt;$AQ38,"IKS",IF(AB$8&lt;$AS38,IF(AB$8=$AR38,"Bascule","Double run"),"ROKS"))))))</f>
        <v/>
      </c>
      <c r="AC38" s="51" t="str">
        <f aca="false">IF(OR($A38="",AC$8=""),"",IF($F38="Migré","ROKS",IF($F38="À décommissionner",IF(AC$8&lt;$AS38,"IKS","Décom."),IF(OR($AQ38="",$AS38=""),"",IF(AC$8&lt;$AQ38,"IKS",IF(AC$8&lt;$AS38,IF(AC$8=$AR38,"Bascule","Double run"),"ROKS"))))))</f>
        <v/>
      </c>
      <c r="AD38" s="51" t="str">
        <f aca="false">IF(OR($A38="",AD$8=""),"",IF($F38="Migré","ROKS",IF($F38="À décommissionner",IF(AD$8&lt;$AS38,"IKS","Décom."),IF(OR($AQ38="",$AS38=""),"",IF(AD$8&lt;$AQ38,"IKS",IF(AD$8&lt;$AS38,IF(AD$8=$AR38,"Bascule","Double run"),"ROKS"))))))</f>
        <v/>
      </c>
      <c r="AE38" s="51" t="str">
        <f aca="false">IF(OR($A38="",AE$8=""),"",IF($F38="Migré","ROKS",IF($F38="À décommissionner",IF(AE$8&lt;$AS38,"IKS","Décom."),IF(OR($AQ38="",$AS38=""),"",IF(AE$8&lt;$AQ38,"IKS",IF(AE$8&lt;$AS38,IF(AE$8=$AR38,"Bascule","Double run"),"ROKS"))))))</f>
        <v/>
      </c>
      <c r="AF38" s="51" t="str">
        <f aca="false">IF(OR($A38="",AF$8=""),"",IF($F38="Migré","ROKS",IF($F38="À décommissionner",IF(AF$8&lt;$AS38,"IKS","Décom."),IF(OR($AQ38="",$AS38=""),"",IF(AF$8&lt;$AQ38,"IKS",IF(AF$8&lt;$AS38,IF(AF$8=$AR38,"Bascule","Double run"),"ROKS"))))))</f>
        <v/>
      </c>
      <c r="AG38" s="51" t="str">
        <f aca="false">IF(OR($A38="",AG$8=""),"",IF($F38="Migré","ROKS",IF($F38="À décommissionner",IF(AG$8&lt;$AS38,"IKS","Décom."),IF(OR($AQ38="",$AS38=""),"",IF(AG$8&lt;$AQ38,"IKS",IF(AG$8&lt;$AS38,IF(AG$8=$AR38,"Bascule","Double run"),"ROKS"))))))</f>
        <v/>
      </c>
      <c r="AH38" s="51" t="str">
        <f aca="false">IF(OR($A38="",AH$8=""),"",IF($F38="Migré","ROKS",IF($F38="À décommissionner",IF(AH$8&lt;$AS38,"IKS","Décom."),IF(OR($AQ38="",$AS38=""),"",IF(AH$8&lt;$AQ38,"IKS",IF(AH$8&lt;$AS38,IF(AH$8=$AR38,"Bascule","Double run"),"ROKS"))))))</f>
        <v/>
      </c>
      <c r="AI38" s="51" t="str">
        <f aca="false">IF(OR($A38="",AI$8=""),"",IF($F38="Migré","ROKS",IF($F38="À décommissionner",IF(AI$8&lt;$AS38,"IKS","Décom."),IF(OR($AQ38="",$AS38=""),"",IF(AI$8&lt;$AQ38,"IKS",IF(AI$8&lt;$AS38,IF(AI$8=$AR38,"Bascule","Double run"),"ROKS"))))))</f>
        <v/>
      </c>
      <c r="AJ38" s="51" t="str">
        <f aca="false">IF(OR($A38="",AJ$8=""),"",IF($F38="Migré","ROKS",IF($F38="À décommissionner",IF(AJ$8&lt;$AS38,"IKS","Décom."),IF(OR($AQ38="",$AS38=""),"",IF(AJ$8&lt;$AQ38,"IKS",IF(AJ$8&lt;$AS38,IF(AJ$8=$AR38,"Bascule","Double run"),"ROKS"))))))</f>
        <v/>
      </c>
      <c r="AK38" s="51" t="str">
        <f aca="false">IF(OR($A38="",AK$8=""),"",IF($F38="Migré","ROKS",IF($F38="À décommissionner",IF(AK$8&lt;$AS38,"IKS","Décom."),IF(OR($AQ38="",$AS38=""),"",IF(AK$8&lt;$AQ38,"IKS",IF(AK$8&lt;$AS38,IF(AK$8=$AR38,"Bascule","Double run"),"ROKS"))))))</f>
        <v/>
      </c>
      <c r="AL38" s="51" t="str">
        <f aca="false">IF(OR($A38="",AL$8=""),"",IF($F38="Migré","ROKS",IF($F38="À décommissionner",IF(AL$8&lt;$AS38,"IKS","Décom."),IF(OR($AQ38="",$AS38=""),"",IF(AL$8&lt;$AQ38,"IKS",IF(AL$8&lt;$AS38,IF(AL$8=$AR38,"Bascule","Double run"),"ROKS"))))))</f>
        <v/>
      </c>
      <c r="AM38" s="51" t="str">
        <f aca="false">IF(OR($A38="",AM$8=""),"",IF($F38="Migré","ROKS",IF($F38="À décommissionner",IF(AM$8&lt;$AS38,"IKS","Décom."),IF(OR($AQ38="",$AS38=""),"",IF(AM$8&lt;$AQ38,"IKS",IF(AM$8&lt;$AS38,IF(AM$8=$AR38,"Bascule","Double run"),"ROKS"))))))</f>
        <v/>
      </c>
      <c r="AN38" s="51" t="str">
        <f aca="false">IF(OR($A38="",AN$8=""),"",IF($F38="Migré","ROKS",IF($F38="À décommissionner",IF(AN$8&lt;$AS38,"IKS","Décom."),IF(OR($AQ38="",$AS38=""),"",IF(AN$8&lt;$AQ38,"IKS",IF(AN$8&lt;$AS38,IF(AN$8=$AR38,"Bascule","Double run"),"ROKS"))))))</f>
        <v/>
      </c>
      <c r="AO38" s="51" t="str">
        <f aca="false">IF(OR($A38="",AO$8=""),"",IF($F38="Migré","ROKS",IF($F38="À décommissionner",IF(AO$8&lt;$AS38,"IKS","Décom."),IF(OR($AQ38="",$AS38=""),"",IF(AO$8&lt;$AQ38,"IKS",IF(AO$8&lt;$AS38,IF(AO$8=$AR38,"Bascule","Double run"),"ROKS"))))))</f>
        <v/>
      </c>
      <c r="AP38" s="51" t="str">
        <f aca="false">IF(OR($A38="",AP$8=""),"",IF($F38="Migré","ROKS",IF($F38="À décommissionner",IF(AP$8&lt;$AS38,"IKS","Décom."),IF(OR($AQ38="",$AS38=""),"",IF(AP$8&lt;$AQ38,"IKS",IF(AP$8&lt;$AS38,IF(AP$8=$AR38,"Bascule","Double run"),"ROKS"))))))</f>
        <v/>
      </c>
      <c r="AQ38" s="0" t="str">
        <f aca="false">IF($A38="","",INDEX(TblApplications[Mois prov (calc)],$A38))</f>
        <v/>
      </c>
      <c r="AR38" s="0" t="str">
        <f aca="false">IF($A38="","",IFERROR(DATE(YEAR(INDEX(TblApplications[Mois bascule],$A38)),MONTH(INDEX(TblApplications[Mois bascule],$A38)),1),""))</f>
        <v/>
      </c>
      <c r="AS38" s="0" t="str">
        <f aca="false">IF($A38="","",INDEX(TblApplications[Mois lib (calc)],$A38))</f>
        <v/>
      </c>
    </row>
    <row r="39" customFormat="false" ht="15" hidden="false" customHeight="false" outlineLevel="0" collapsed="false">
      <c r="A39" s="49" t="str">
        <f aca="false">IFERROR(MATCH(31,TblApplications[Rang frise],0),"")</f>
        <v/>
      </c>
      <c r="B39" s="50" t="str">
        <f aca="false">IF($A39="","",INDEX(TblApplications[ID],$A39))</f>
        <v/>
      </c>
      <c r="C39" s="50" t="str">
        <f aca="false">IF($A39="","",INDEX(TblApplications[Application],$A39))</f>
        <v/>
      </c>
      <c r="D39" s="50" t="str">
        <f aca="false">IF($A39="","",INDEX(TblApplications[Environnement],$A39))</f>
        <v/>
      </c>
      <c r="E39" s="50" t="str">
        <f aca="false">IF($A39="","",INDEX(TblApplications[Couloir],$A39))</f>
        <v/>
      </c>
      <c r="F39" s="50" t="str">
        <f aca="false">IF($A39="","",INDEX(TblApplications[Action],$A39))</f>
        <v/>
      </c>
      <c r="G39" s="51" t="str">
        <f aca="false">IF(OR($A39="",G$8=""),"",IF($F39="Migré","ROKS",IF($F39="À décommissionner",IF(G$8&lt;$AS39,"IKS","Décom."),IF(OR($AQ39="",$AS39=""),"",IF(G$8&lt;$AQ39,"IKS",IF(G$8&lt;$AS39,IF(G$8=$AR39,"Bascule","Double run"),"ROKS"))))))</f>
        <v/>
      </c>
      <c r="H39" s="51" t="str">
        <f aca="false">IF(OR($A39="",H$8=""),"",IF($F39="Migré","ROKS",IF($F39="À décommissionner",IF(H$8&lt;$AS39,"IKS","Décom."),IF(OR($AQ39="",$AS39=""),"",IF(H$8&lt;$AQ39,"IKS",IF(H$8&lt;$AS39,IF(H$8=$AR39,"Bascule","Double run"),"ROKS"))))))</f>
        <v/>
      </c>
      <c r="I39" s="51" t="str">
        <f aca="false">IF(OR($A39="",I$8=""),"",IF($F39="Migré","ROKS",IF($F39="À décommissionner",IF(I$8&lt;$AS39,"IKS","Décom."),IF(OR($AQ39="",$AS39=""),"",IF(I$8&lt;$AQ39,"IKS",IF(I$8&lt;$AS39,IF(I$8=$AR39,"Bascule","Double run"),"ROKS"))))))</f>
        <v/>
      </c>
      <c r="J39" s="51" t="str">
        <f aca="false">IF(OR($A39="",J$8=""),"",IF($F39="Migré","ROKS",IF($F39="À décommissionner",IF(J$8&lt;$AS39,"IKS","Décom."),IF(OR($AQ39="",$AS39=""),"",IF(J$8&lt;$AQ39,"IKS",IF(J$8&lt;$AS39,IF(J$8=$AR39,"Bascule","Double run"),"ROKS"))))))</f>
        <v/>
      </c>
      <c r="K39" s="51" t="str">
        <f aca="false">IF(OR($A39="",K$8=""),"",IF($F39="Migré","ROKS",IF($F39="À décommissionner",IF(K$8&lt;$AS39,"IKS","Décom."),IF(OR($AQ39="",$AS39=""),"",IF(K$8&lt;$AQ39,"IKS",IF(K$8&lt;$AS39,IF(K$8=$AR39,"Bascule","Double run"),"ROKS"))))))</f>
        <v/>
      </c>
      <c r="L39" s="51" t="str">
        <f aca="false">IF(OR($A39="",L$8=""),"",IF($F39="Migré","ROKS",IF($F39="À décommissionner",IF(L$8&lt;$AS39,"IKS","Décom."),IF(OR($AQ39="",$AS39=""),"",IF(L$8&lt;$AQ39,"IKS",IF(L$8&lt;$AS39,IF(L$8=$AR39,"Bascule","Double run"),"ROKS"))))))</f>
        <v/>
      </c>
      <c r="M39" s="51" t="str">
        <f aca="false">IF(OR($A39="",M$8=""),"",IF($F39="Migré","ROKS",IF($F39="À décommissionner",IF(M$8&lt;$AS39,"IKS","Décom."),IF(OR($AQ39="",$AS39=""),"",IF(M$8&lt;$AQ39,"IKS",IF(M$8&lt;$AS39,IF(M$8=$AR39,"Bascule","Double run"),"ROKS"))))))</f>
        <v/>
      </c>
      <c r="N39" s="51" t="str">
        <f aca="false">IF(OR($A39="",N$8=""),"",IF($F39="Migré","ROKS",IF($F39="À décommissionner",IF(N$8&lt;$AS39,"IKS","Décom."),IF(OR($AQ39="",$AS39=""),"",IF(N$8&lt;$AQ39,"IKS",IF(N$8&lt;$AS39,IF(N$8=$AR39,"Bascule","Double run"),"ROKS"))))))</f>
        <v/>
      </c>
      <c r="O39" s="51" t="str">
        <f aca="false">IF(OR($A39="",O$8=""),"",IF($F39="Migré","ROKS",IF($F39="À décommissionner",IF(O$8&lt;$AS39,"IKS","Décom."),IF(OR($AQ39="",$AS39=""),"",IF(O$8&lt;$AQ39,"IKS",IF(O$8&lt;$AS39,IF(O$8=$AR39,"Bascule","Double run"),"ROKS"))))))</f>
        <v/>
      </c>
      <c r="P39" s="51" t="str">
        <f aca="false">IF(OR($A39="",P$8=""),"",IF($F39="Migré","ROKS",IF($F39="À décommissionner",IF(P$8&lt;$AS39,"IKS","Décom."),IF(OR($AQ39="",$AS39=""),"",IF(P$8&lt;$AQ39,"IKS",IF(P$8&lt;$AS39,IF(P$8=$AR39,"Bascule","Double run"),"ROKS"))))))</f>
        <v/>
      </c>
      <c r="Q39" s="51" t="str">
        <f aca="false">IF(OR($A39="",Q$8=""),"",IF($F39="Migré","ROKS",IF($F39="À décommissionner",IF(Q$8&lt;$AS39,"IKS","Décom."),IF(OR($AQ39="",$AS39=""),"",IF(Q$8&lt;$AQ39,"IKS",IF(Q$8&lt;$AS39,IF(Q$8=$AR39,"Bascule","Double run"),"ROKS"))))))</f>
        <v/>
      </c>
      <c r="R39" s="51" t="str">
        <f aca="false">IF(OR($A39="",R$8=""),"",IF($F39="Migré","ROKS",IF($F39="À décommissionner",IF(R$8&lt;$AS39,"IKS","Décom."),IF(OR($AQ39="",$AS39=""),"",IF(R$8&lt;$AQ39,"IKS",IF(R$8&lt;$AS39,IF(R$8=$AR39,"Bascule","Double run"),"ROKS"))))))</f>
        <v/>
      </c>
      <c r="S39" s="51" t="str">
        <f aca="false">IF(OR($A39="",S$8=""),"",IF($F39="Migré","ROKS",IF($F39="À décommissionner",IF(S$8&lt;$AS39,"IKS","Décom."),IF(OR($AQ39="",$AS39=""),"",IF(S$8&lt;$AQ39,"IKS",IF(S$8&lt;$AS39,IF(S$8=$AR39,"Bascule","Double run"),"ROKS"))))))</f>
        <v/>
      </c>
      <c r="T39" s="51" t="str">
        <f aca="false">IF(OR($A39="",T$8=""),"",IF($F39="Migré","ROKS",IF($F39="À décommissionner",IF(T$8&lt;$AS39,"IKS","Décom."),IF(OR($AQ39="",$AS39=""),"",IF(T$8&lt;$AQ39,"IKS",IF(T$8&lt;$AS39,IF(T$8=$AR39,"Bascule","Double run"),"ROKS"))))))</f>
        <v/>
      </c>
      <c r="U39" s="51" t="str">
        <f aca="false">IF(OR($A39="",U$8=""),"",IF($F39="Migré","ROKS",IF($F39="À décommissionner",IF(U$8&lt;$AS39,"IKS","Décom."),IF(OR($AQ39="",$AS39=""),"",IF(U$8&lt;$AQ39,"IKS",IF(U$8&lt;$AS39,IF(U$8=$AR39,"Bascule","Double run"),"ROKS"))))))</f>
        <v/>
      </c>
      <c r="V39" s="51" t="str">
        <f aca="false">IF(OR($A39="",V$8=""),"",IF($F39="Migré","ROKS",IF($F39="À décommissionner",IF(V$8&lt;$AS39,"IKS","Décom."),IF(OR($AQ39="",$AS39=""),"",IF(V$8&lt;$AQ39,"IKS",IF(V$8&lt;$AS39,IF(V$8=$AR39,"Bascule","Double run"),"ROKS"))))))</f>
        <v/>
      </c>
      <c r="W39" s="51" t="str">
        <f aca="false">IF(OR($A39="",W$8=""),"",IF($F39="Migré","ROKS",IF($F39="À décommissionner",IF(W$8&lt;$AS39,"IKS","Décom."),IF(OR($AQ39="",$AS39=""),"",IF(W$8&lt;$AQ39,"IKS",IF(W$8&lt;$AS39,IF(W$8=$AR39,"Bascule","Double run"),"ROKS"))))))</f>
        <v/>
      </c>
      <c r="X39" s="51" t="str">
        <f aca="false">IF(OR($A39="",X$8=""),"",IF($F39="Migré","ROKS",IF($F39="À décommissionner",IF(X$8&lt;$AS39,"IKS","Décom."),IF(OR($AQ39="",$AS39=""),"",IF(X$8&lt;$AQ39,"IKS",IF(X$8&lt;$AS39,IF(X$8=$AR39,"Bascule","Double run"),"ROKS"))))))</f>
        <v/>
      </c>
      <c r="Y39" s="51" t="str">
        <f aca="false">IF(OR($A39="",Y$8=""),"",IF($F39="Migré","ROKS",IF($F39="À décommissionner",IF(Y$8&lt;$AS39,"IKS","Décom."),IF(OR($AQ39="",$AS39=""),"",IF(Y$8&lt;$AQ39,"IKS",IF(Y$8&lt;$AS39,IF(Y$8=$AR39,"Bascule","Double run"),"ROKS"))))))</f>
        <v/>
      </c>
      <c r="Z39" s="51" t="str">
        <f aca="false">IF(OR($A39="",Z$8=""),"",IF($F39="Migré","ROKS",IF($F39="À décommissionner",IF(Z$8&lt;$AS39,"IKS","Décom."),IF(OR($AQ39="",$AS39=""),"",IF(Z$8&lt;$AQ39,"IKS",IF(Z$8&lt;$AS39,IF(Z$8=$AR39,"Bascule","Double run"),"ROKS"))))))</f>
        <v/>
      </c>
      <c r="AA39" s="51" t="str">
        <f aca="false">IF(OR($A39="",AA$8=""),"",IF($F39="Migré","ROKS",IF($F39="À décommissionner",IF(AA$8&lt;$AS39,"IKS","Décom."),IF(OR($AQ39="",$AS39=""),"",IF(AA$8&lt;$AQ39,"IKS",IF(AA$8&lt;$AS39,IF(AA$8=$AR39,"Bascule","Double run"),"ROKS"))))))</f>
        <v/>
      </c>
      <c r="AB39" s="51" t="str">
        <f aca="false">IF(OR($A39="",AB$8=""),"",IF($F39="Migré","ROKS",IF($F39="À décommissionner",IF(AB$8&lt;$AS39,"IKS","Décom."),IF(OR($AQ39="",$AS39=""),"",IF(AB$8&lt;$AQ39,"IKS",IF(AB$8&lt;$AS39,IF(AB$8=$AR39,"Bascule","Double run"),"ROKS"))))))</f>
        <v/>
      </c>
      <c r="AC39" s="51" t="str">
        <f aca="false">IF(OR($A39="",AC$8=""),"",IF($F39="Migré","ROKS",IF($F39="À décommissionner",IF(AC$8&lt;$AS39,"IKS","Décom."),IF(OR($AQ39="",$AS39=""),"",IF(AC$8&lt;$AQ39,"IKS",IF(AC$8&lt;$AS39,IF(AC$8=$AR39,"Bascule","Double run"),"ROKS"))))))</f>
        <v/>
      </c>
      <c r="AD39" s="51" t="str">
        <f aca="false">IF(OR($A39="",AD$8=""),"",IF($F39="Migré","ROKS",IF($F39="À décommissionner",IF(AD$8&lt;$AS39,"IKS","Décom."),IF(OR($AQ39="",$AS39=""),"",IF(AD$8&lt;$AQ39,"IKS",IF(AD$8&lt;$AS39,IF(AD$8=$AR39,"Bascule","Double run"),"ROKS"))))))</f>
        <v/>
      </c>
      <c r="AE39" s="51" t="str">
        <f aca="false">IF(OR($A39="",AE$8=""),"",IF($F39="Migré","ROKS",IF($F39="À décommissionner",IF(AE$8&lt;$AS39,"IKS","Décom."),IF(OR($AQ39="",$AS39=""),"",IF(AE$8&lt;$AQ39,"IKS",IF(AE$8&lt;$AS39,IF(AE$8=$AR39,"Bascule","Double run"),"ROKS"))))))</f>
        <v/>
      </c>
      <c r="AF39" s="51" t="str">
        <f aca="false">IF(OR($A39="",AF$8=""),"",IF($F39="Migré","ROKS",IF($F39="À décommissionner",IF(AF$8&lt;$AS39,"IKS","Décom."),IF(OR($AQ39="",$AS39=""),"",IF(AF$8&lt;$AQ39,"IKS",IF(AF$8&lt;$AS39,IF(AF$8=$AR39,"Bascule","Double run"),"ROKS"))))))</f>
        <v/>
      </c>
      <c r="AG39" s="51" t="str">
        <f aca="false">IF(OR($A39="",AG$8=""),"",IF($F39="Migré","ROKS",IF($F39="À décommissionner",IF(AG$8&lt;$AS39,"IKS","Décom."),IF(OR($AQ39="",$AS39=""),"",IF(AG$8&lt;$AQ39,"IKS",IF(AG$8&lt;$AS39,IF(AG$8=$AR39,"Bascule","Double run"),"ROKS"))))))</f>
        <v/>
      </c>
      <c r="AH39" s="51" t="str">
        <f aca="false">IF(OR($A39="",AH$8=""),"",IF($F39="Migré","ROKS",IF($F39="À décommissionner",IF(AH$8&lt;$AS39,"IKS","Décom."),IF(OR($AQ39="",$AS39=""),"",IF(AH$8&lt;$AQ39,"IKS",IF(AH$8&lt;$AS39,IF(AH$8=$AR39,"Bascule","Double run"),"ROKS"))))))</f>
        <v/>
      </c>
      <c r="AI39" s="51" t="str">
        <f aca="false">IF(OR($A39="",AI$8=""),"",IF($F39="Migré","ROKS",IF($F39="À décommissionner",IF(AI$8&lt;$AS39,"IKS","Décom."),IF(OR($AQ39="",$AS39=""),"",IF(AI$8&lt;$AQ39,"IKS",IF(AI$8&lt;$AS39,IF(AI$8=$AR39,"Bascule","Double run"),"ROKS"))))))</f>
        <v/>
      </c>
      <c r="AJ39" s="51" t="str">
        <f aca="false">IF(OR($A39="",AJ$8=""),"",IF($F39="Migré","ROKS",IF($F39="À décommissionner",IF(AJ$8&lt;$AS39,"IKS","Décom."),IF(OR($AQ39="",$AS39=""),"",IF(AJ$8&lt;$AQ39,"IKS",IF(AJ$8&lt;$AS39,IF(AJ$8=$AR39,"Bascule","Double run"),"ROKS"))))))</f>
        <v/>
      </c>
      <c r="AK39" s="51" t="str">
        <f aca="false">IF(OR($A39="",AK$8=""),"",IF($F39="Migré","ROKS",IF($F39="À décommissionner",IF(AK$8&lt;$AS39,"IKS","Décom."),IF(OR($AQ39="",$AS39=""),"",IF(AK$8&lt;$AQ39,"IKS",IF(AK$8&lt;$AS39,IF(AK$8=$AR39,"Bascule","Double run"),"ROKS"))))))</f>
        <v/>
      </c>
      <c r="AL39" s="51" t="str">
        <f aca="false">IF(OR($A39="",AL$8=""),"",IF($F39="Migré","ROKS",IF($F39="À décommissionner",IF(AL$8&lt;$AS39,"IKS","Décom."),IF(OR($AQ39="",$AS39=""),"",IF(AL$8&lt;$AQ39,"IKS",IF(AL$8&lt;$AS39,IF(AL$8=$AR39,"Bascule","Double run"),"ROKS"))))))</f>
        <v/>
      </c>
      <c r="AM39" s="51" t="str">
        <f aca="false">IF(OR($A39="",AM$8=""),"",IF($F39="Migré","ROKS",IF($F39="À décommissionner",IF(AM$8&lt;$AS39,"IKS","Décom."),IF(OR($AQ39="",$AS39=""),"",IF(AM$8&lt;$AQ39,"IKS",IF(AM$8&lt;$AS39,IF(AM$8=$AR39,"Bascule","Double run"),"ROKS"))))))</f>
        <v/>
      </c>
      <c r="AN39" s="51" t="str">
        <f aca="false">IF(OR($A39="",AN$8=""),"",IF($F39="Migré","ROKS",IF($F39="À décommissionner",IF(AN$8&lt;$AS39,"IKS","Décom."),IF(OR($AQ39="",$AS39=""),"",IF(AN$8&lt;$AQ39,"IKS",IF(AN$8&lt;$AS39,IF(AN$8=$AR39,"Bascule","Double run"),"ROKS"))))))</f>
        <v/>
      </c>
      <c r="AO39" s="51" t="str">
        <f aca="false">IF(OR($A39="",AO$8=""),"",IF($F39="Migré","ROKS",IF($F39="À décommissionner",IF(AO$8&lt;$AS39,"IKS","Décom."),IF(OR($AQ39="",$AS39=""),"",IF(AO$8&lt;$AQ39,"IKS",IF(AO$8&lt;$AS39,IF(AO$8=$AR39,"Bascule","Double run"),"ROKS"))))))</f>
        <v/>
      </c>
      <c r="AP39" s="51" t="str">
        <f aca="false">IF(OR($A39="",AP$8=""),"",IF($F39="Migré","ROKS",IF($F39="À décommissionner",IF(AP$8&lt;$AS39,"IKS","Décom."),IF(OR($AQ39="",$AS39=""),"",IF(AP$8&lt;$AQ39,"IKS",IF(AP$8&lt;$AS39,IF(AP$8=$AR39,"Bascule","Double run"),"ROKS"))))))</f>
        <v/>
      </c>
      <c r="AQ39" s="0" t="str">
        <f aca="false">IF($A39="","",INDEX(TblApplications[Mois prov (calc)],$A39))</f>
        <v/>
      </c>
      <c r="AR39" s="0" t="str">
        <f aca="false">IF($A39="","",IFERROR(DATE(YEAR(INDEX(TblApplications[Mois bascule],$A39)),MONTH(INDEX(TblApplications[Mois bascule],$A39)),1),""))</f>
        <v/>
      </c>
      <c r="AS39" s="0" t="str">
        <f aca="false">IF($A39="","",INDEX(TblApplications[Mois lib (calc)],$A39))</f>
        <v/>
      </c>
    </row>
    <row r="40" customFormat="false" ht="15" hidden="false" customHeight="false" outlineLevel="0" collapsed="false">
      <c r="A40" s="49" t="str">
        <f aca="false">IFERROR(MATCH(32,TblApplications[Rang frise],0),"")</f>
        <v/>
      </c>
      <c r="B40" s="50" t="str">
        <f aca="false">IF($A40="","",INDEX(TblApplications[ID],$A40))</f>
        <v/>
      </c>
      <c r="C40" s="50" t="str">
        <f aca="false">IF($A40="","",INDEX(TblApplications[Application],$A40))</f>
        <v/>
      </c>
      <c r="D40" s="50" t="str">
        <f aca="false">IF($A40="","",INDEX(TblApplications[Environnement],$A40))</f>
        <v/>
      </c>
      <c r="E40" s="50" t="str">
        <f aca="false">IF($A40="","",INDEX(TblApplications[Couloir],$A40))</f>
        <v/>
      </c>
      <c r="F40" s="50" t="str">
        <f aca="false">IF($A40="","",INDEX(TblApplications[Action],$A40))</f>
        <v/>
      </c>
      <c r="G40" s="51" t="str">
        <f aca="false">IF(OR($A40="",G$8=""),"",IF($F40="Migré","ROKS",IF($F40="À décommissionner",IF(G$8&lt;$AS40,"IKS","Décom."),IF(OR($AQ40="",$AS40=""),"",IF(G$8&lt;$AQ40,"IKS",IF(G$8&lt;$AS40,IF(G$8=$AR40,"Bascule","Double run"),"ROKS"))))))</f>
        <v/>
      </c>
      <c r="H40" s="51" t="str">
        <f aca="false">IF(OR($A40="",H$8=""),"",IF($F40="Migré","ROKS",IF($F40="À décommissionner",IF(H$8&lt;$AS40,"IKS","Décom."),IF(OR($AQ40="",$AS40=""),"",IF(H$8&lt;$AQ40,"IKS",IF(H$8&lt;$AS40,IF(H$8=$AR40,"Bascule","Double run"),"ROKS"))))))</f>
        <v/>
      </c>
      <c r="I40" s="51" t="str">
        <f aca="false">IF(OR($A40="",I$8=""),"",IF($F40="Migré","ROKS",IF($F40="À décommissionner",IF(I$8&lt;$AS40,"IKS","Décom."),IF(OR($AQ40="",$AS40=""),"",IF(I$8&lt;$AQ40,"IKS",IF(I$8&lt;$AS40,IF(I$8=$AR40,"Bascule","Double run"),"ROKS"))))))</f>
        <v/>
      </c>
      <c r="J40" s="51" t="str">
        <f aca="false">IF(OR($A40="",J$8=""),"",IF($F40="Migré","ROKS",IF($F40="À décommissionner",IF(J$8&lt;$AS40,"IKS","Décom."),IF(OR($AQ40="",$AS40=""),"",IF(J$8&lt;$AQ40,"IKS",IF(J$8&lt;$AS40,IF(J$8=$AR40,"Bascule","Double run"),"ROKS"))))))</f>
        <v/>
      </c>
      <c r="K40" s="51" t="str">
        <f aca="false">IF(OR($A40="",K$8=""),"",IF($F40="Migré","ROKS",IF($F40="À décommissionner",IF(K$8&lt;$AS40,"IKS","Décom."),IF(OR($AQ40="",$AS40=""),"",IF(K$8&lt;$AQ40,"IKS",IF(K$8&lt;$AS40,IF(K$8=$AR40,"Bascule","Double run"),"ROKS"))))))</f>
        <v/>
      </c>
      <c r="L40" s="51" t="str">
        <f aca="false">IF(OR($A40="",L$8=""),"",IF($F40="Migré","ROKS",IF($F40="À décommissionner",IF(L$8&lt;$AS40,"IKS","Décom."),IF(OR($AQ40="",$AS40=""),"",IF(L$8&lt;$AQ40,"IKS",IF(L$8&lt;$AS40,IF(L$8=$AR40,"Bascule","Double run"),"ROKS"))))))</f>
        <v/>
      </c>
      <c r="M40" s="51" t="str">
        <f aca="false">IF(OR($A40="",M$8=""),"",IF($F40="Migré","ROKS",IF($F40="À décommissionner",IF(M$8&lt;$AS40,"IKS","Décom."),IF(OR($AQ40="",$AS40=""),"",IF(M$8&lt;$AQ40,"IKS",IF(M$8&lt;$AS40,IF(M$8=$AR40,"Bascule","Double run"),"ROKS"))))))</f>
        <v/>
      </c>
      <c r="N40" s="51" t="str">
        <f aca="false">IF(OR($A40="",N$8=""),"",IF($F40="Migré","ROKS",IF($F40="À décommissionner",IF(N$8&lt;$AS40,"IKS","Décom."),IF(OR($AQ40="",$AS40=""),"",IF(N$8&lt;$AQ40,"IKS",IF(N$8&lt;$AS40,IF(N$8=$AR40,"Bascule","Double run"),"ROKS"))))))</f>
        <v/>
      </c>
      <c r="O40" s="51" t="str">
        <f aca="false">IF(OR($A40="",O$8=""),"",IF($F40="Migré","ROKS",IF($F40="À décommissionner",IF(O$8&lt;$AS40,"IKS","Décom."),IF(OR($AQ40="",$AS40=""),"",IF(O$8&lt;$AQ40,"IKS",IF(O$8&lt;$AS40,IF(O$8=$AR40,"Bascule","Double run"),"ROKS"))))))</f>
        <v/>
      </c>
      <c r="P40" s="51" t="str">
        <f aca="false">IF(OR($A40="",P$8=""),"",IF($F40="Migré","ROKS",IF($F40="À décommissionner",IF(P$8&lt;$AS40,"IKS","Décom."),IF(OR($AQ40="",$AS40=""),"",IF(P$8&lt;$AQ40,"IKS",IF(P$8&lt;$AS40,IF(P$8=$AR40,"Bascule","Double run"),"ROKS"))))))</f>
        <v/>
      </c>
      <c r="Q40" s="51" t="str">
        <f aca="false">IF(OR($A40="",Q$8=""),"",IF($F40="Migré","ROKS",IF($F40="À décommissionner",IF(Q$8&lt;$AS40,"IKS","Décom."),IF(OR($AQ40="",$AS40=""),"",IF(Q$8&lt;$AQ40,"IKS",IF(Q$8&lt;$AS40,IF(Q$8=$AR40,"Bascule","Double run"),"ROKS"))))))</f>
        <v/>
      </c>
      <c r="R40" s="51" t="str">
        <f aca="false">IF(OR($A40="",R$8=""),"",IF($F40="Migré","ROKS",IF($F40="À décommissionner",IF(R$8&lt;$AS40,"IKS","Décom."),IF(OR($AQ40="",$AS40=""),"",IF(R$8&lt;$AQ40,"IKS",IF(R$8&lt;$AS40,IF(R$8=$AR40,"Bascule","Double run"),"ROKS"))))))</f>
        <v/>
      </c>
      <c r="S40" s="51" t="str">
        <f aca="false">IF(OR($A40="",S$8=""),"",IF($F40="Migré","ROKS",IF($F40="À décommissionner",IF(S$8&lt;$AS40,"IKS","Décom."),IF(OR($AQ40="",$AS40=""),"",IF(S$8&lt;$AQ40,"IKS",IF(S$8&lt;$AS40,IF(S$8=$AR40,"Bascule","Double run"),"ROKS"))))))</f>
        <v/>
      </c>
      <c r="T40" s="51" t="str">
        <f aca="false">IF(OR($A40="",T$8=""),"",IF($F40="Migré","ROKS",IF($F40="À décommissionner",IF(T$8&lt;$AS40,"IKS","Décom."),IF(OR($AQ40="",$AS40=""),"",IF(T$8&lt;$AQ40,"IKS",IF(T$8&lt;$AS40,IF(T$8=$AR40,"Bascule","Double run"),"ROKS"))))))</f>
        <v/>
      </c>
      <c r="U40" s="51" t="str">
        <f aca="false">IF(OR($A40="",U$8=""),"",IF($F40="Migré","ROKS",IF($F40="À décommissionner",IF(U$8&lt;$AS40,"IKS","Décom."),IF(OR($AQ40="",$AS40=""),"",IF(U$8&lt;$AQ40,"IKS",IF(U$8&lt;$AS40,IF(U$8=$AR40,"Bascule","Double run"),"ROKS"))))))</f>
        <v/>
      </c>
      <c r="V40" s="51" t="str">
        <f aca="false">IF(OR($A40="",V$8=""),"",IF($F40="Migré","ROKS",IF($F40="À décommissionner",IF(V$8&lt;$AS40,"IKS","Décom."),IF(OR($AQ40="",$AS40=""),"",IF(V$8&lt;$AQ40,"IKS",IF(V$8&lt;$AS40,IF(V$8=$AR40,"Bascule","Double run"),"ROKS"))))))</f>
        <v/>
      </c>
      <c r="W40" s="51" t="str">
        <f aca="false">IF(OR($A40="",W$8=""),"",IF($F40="Migré","ROKS",IF($F40="À décommissionner",IF(W$8&lt;$AS40,"IKS","Décom."),IF(OR($AQ40="",$AS40=""),"",IF(W$8&lt;$AQ40,"IKS",IF(W$8&lt;$AS40,IF(W$8=$AR40,"Bascule","Double run"),"ROKS"))))))</f>
        <v/>
      </c>
      <c r="X40" s="51" t="str">
        <f aca="false">IF(OR($A40="",X$8=""),"",IF($F40="Migré","ROKS",IF($F40="À décommissionner",IF(X$8&lt;$AS40,"IKS","Décom."),IF(OR($AQ40="",$AS40=""),"",IF(X$8&lt;$AQ40,"IKS",IF(X$8&lt;$AS40,IF(X$8=$AR40,"Bascule","Double run"),"ROKS"))))))</f>
        <v/>
      </c>
      <c r="Y40" s="51" t="str">
        <f aca="false">IF(OR($A40="",Y$8=""),"",IF($F40="Migré","ROKS",IF($F40="À décommissionner",IF(Y$8&lt;$AS40,"IKS","Décom."),IF(OR($AQ40="",$AS40=""),"",IF(Y$8&lt;$AQ40,"IKS",IF(Y$8&lt;$AS40,IF(Y$8=$AR40,"Bascule","Double run"),"ROKS"))))))</f>
        <v/>
      </c>
      <c r="Z40" s="51" t="str">
        <f aca="false">IF(OR($A40="",Z$8=""),"",IF($F40="Migré","ROKS",IF($F40="À décommissionner",IF(Z$8&lt;$AS40,"IKS","Décom."),IF(OR($AQ40="",$AS40=""),"",IF(Z$8&lt;$AQ40,"IKS",IF(Z$8&lt;$AS40,IF(Z$8=$AR40,"Bascule","Double run"),"ROKS"))))))</f>
        <v/>
      </c>
      <c r="AA40" s="51" t="str">
        <f aca="false">IF(OR($A40="",AA$8=""),"",IF($F40="Migré","ROKS",IF($F40="À décommissionner",IF(AA$8&lt;$AS40,"IKS","Décom."),IF(OR($AQ40="",$AS40=""),"",IF(AA$8&lt;$AQ40,"IKS",IF(AA$8&lt;$AS40,IF(AA$8=$AR40,"Bascule","Double run"),"ROKS"))))))</f>
        <v/>
      </c>
      <c r="AB40" s="51" t="str">
        <f aca="false">IF(OR($A40="",AB$8=""),"",IF($F40="Migré","ROKS",IF($F40="À décommissionner",IF(AB$8&lt;$AS40,"IKS","Décom."),IF(OR($AQ40="",$AS40=""),"",IF(AB$8&lt;$AQ40,"IKS",IF(AB$8&lt;$AS40,IF(AB$8=$AR40,"Bascule","Double run"),"ROKS"))))))</f>
        <v/>
      </c>
      <c r="AC40" s="51" t="str">
        <f aca="false">IF(OR($A40="",AC$8=""),"",IF($F40="Migré","ROKS",IF($F40="À décommissionner",IF(AC$8&lt;$AS40,"IKS","Décom."),IF(OR($AQ40="",$AS40=""),"",IF(AC$8&lt;$AQ40,"IKS",IF(AC$8&lt;$AS40,IF(AC$8=$AR40,"Bascule","Double run"),"ROKS"))))))</f>
        <v/>
      </c>
      <c r="AD40" s="51" t="str">
        <f aca="false">IF(OR($A40="",AD$8=""),"",IF($F40="Migré","ROKS",IF($F40="À décommissionner",IF(AD$8&lt;$AS40,"IKS","Décom."),IF(OR($AQ40="",$AS40=""),"",IF(AD$8&lt;$AQ40,"IKS",IF(AD$8&lt;$AS40,IF(AD$8=$AR40,"Bascule","Double run"),"ROKS"))))))</f>
        <v/>
      </c>
      <c r="AE40" s="51" t="str">
        <f aca="false">IF(OR($A40="",AE$8=""),"",IF($F40="Migré","ROKS",IF($F40="À décommissionner",IF(AE$8&lt;$AS40,"IKS","Décom."),IF(OR($AQ40="",$AS40=""),"",IF(AE$8&lt;$AQ40,"IKS",IF(AE$8&lt;$AS40,IF(AE$8=$AR40,"Bascule","Double run"),"ROKS"))))))</f>
        <v/>
      </c>
      <c r="AF40" s="51" t="str">
        <f aca="false">IF(OR($A40="",AF$8=""),"",IF($F40="Migré","ROKS",IF($F40="À décommissionner",IF(AF$8&lt;$AS40,"IKS","Décom."),IF(OR($AQ40="",$AS40=""),"",IF(AF$8&lt;$AQ40,"IKS",IF(AF$8&lt;$AS40,IF(AF$8=$AR40,"Bascule","Double run"),"ROKS"))))))</f>
        <v/>
      </c>
      <c r="AG40" s="51" t="str">
        <f aca="false">IF(OR($A40="",AG$8=""),"",IF($F40="Migré","ROKS",IF($F40="À décommissionner",IF(AG$8&lt;$AS40,"IKS","Décom."),IF(OR($AQ40="",$AS40=""),"",IF(AG$8&lt;$AQ40,"IKS",IF(AG$8&lt;$AS40,IF(AG$8=$AR40,"Bascule","Double run"),"ROKS"))))))</f>
        <v/>
      </c>
      <c r="AH40" s="51" t="str">
        <f aca="false">IF(OR($A40="",AH$8=""),"",IF($F40="Migré","ROKS",IF($F40="À décommissionner",IF(AH$8&lt;$AS40,"IKS","Décom."),IF(OR($AQ40="",$AS40=""),"",IF(AH$8&lt;$AQ40,"IKS",IF(AH$8&lt;$AS40,IF(AH$8=$AR40,"Bascule","Double run"),"ROKS"))))))</f>
        <v/>
      </c>
      <c r="AI40" s="51" t="str">
        <f aca="false">IF(OR($A40="",AI$8=""),"",IF($F40="Migré","ROKS",IF($F40="À décommissionner",IF(AI$8&lt;$AS40,"IKS","Décom."),IF(OR($AQ40="",$AS40=""),"",IF(AI$8&lt;$AQ40,"IKS",IF(AI$8&lt;$AS40,IF(AI$8=$AR40,"Bascule","Double run"),"ROKS"))))))</f>
        <v/>
      </c>
      <c r="AJ40" s="51" t="str">
        <f aca="false">IF(OR($A40="",AJ$8=""),"",IF($F40="Migré","ROKS",IF($F40="À décommissionner",IF(AJ$8&lt;$AS40,"IKS","Décom."),IF(OR($AQ40="",$AS40=""),"",IF(AJ$8&lt;$AQ40,"IKS",IF(AJ$8&lt;$AS40,IF(AJ$8=$AR40,"Bascule","Double run"),"ROKS"))))))</f>
        <v/>
      </c>
      <c r="AK40" s="51" t="str">
        <f aca="false">IF(OR($A40="",AK$8=""),"",IF($F40="Migré","ROKS",IF($F40="À décommissionner",IF(AK$8&lt;$AS40,"IKS","Décom."),IF(OR($AQ40="",$AS40=""),"",IF(AK$8&lt;$AQ40,"IKS",IF(AK$8&lt;$AS40,IF(AK$8=$AR40,"Bascule","Double run"),"ROKS"))))))</f>
        <v/>
      </c>
      <c r="AL40" s="51" t="str">
        <f aca="false">IF(OR($A40="",AL$8=""),"",IF($F40="Migré","ROKS",IF($F40="À décommissionner",IF(AL$8&lt;$AS40,"IKS","Décom."),IF(OR($AQ40="",$AS40=""),"",IF(AL$8&lt;$AQ40,"IKS",IF(AL$8&lt;$AS40,IF(AL$8=$AR40,"Bascule","Double run"),"ROKS"))))))</f>
        <v/>
      </c>
      <c r="AM40" s="51" t="str">
        <f aca="false">IF(OR($A40="",AM$8=""),"",IF($F40="Migré","ROKS",IF($F40="À décommissionner",IF(AM$8&lt;$AS40,"IKS","Décom."),IF(OR($AQ40="",$AS40=""),"",IF(AM$8&lt;$AQ40,"IKS",IF(AM$8&lt;$AS40,IF(AM$8=$AR40,"Bascule","Double run"),"ROKS"))))))</f>
        <v/>
      </c>
      <c r="AN40" s="51" t="str">
        <f aca="false">IF(OR($A40="",AN$8=""),"",IF($F40="Migré","ROKS",IF($F40="À décommissionner",IF(AN$8&lt;$AS40,"IKS","Décom."),IF(OR($AQ40="",$AS40=""),"",IF(AN$8&lt;$AQ40,"IKS",IF(AN$8&lt;$AS40,IF(AN$8=$AR40,"Bascule","Double run"),"ROKS"))))))</f>
        <v/>
      </c>
      <c r="AO40" s="51" t="str">
        <f aca="false">IF(OR($A40="",AO$8=""),"",IF($F40="Migré","ROKS",IF($F40="À décommissionner",IF(AO$8&lt;$AS40,"IKS","Décom."),IF(OR($AQ40="",$AS40=""),"",IF(AO$8&lt;$AQ40,"IKS",IF(AO$8&lt;$AS40,IF(AO$8=$AR40,"Bascule","Double run"),"ROKS"))))))</f>
        <v/>
      </c>
      <c r="AP40" s="51" t="str">
        <f aca="false">IF(OR($A40="",AP$8=""),"",IF($F40="Migré","ROKS",IF($F40="À décommissionner",IF(AP$8&lt;$AS40,"IKS","Décom."),IF(OR($AQ40="",$AS40=""),"",IF(AP$8&lt;$AQ40,"IKS",IF(AP$8&lt;$AS40,IF(AP$8=$AR40,"Bascule","Double run"),"ROKS"))))))</f>
        <v/>
      </c>
      <c r="AQ40" s="0" t="str">
        <f aca="false">IF($A40="","",INDEX(TblApplications[Mois prov (calc)],$A40))</f>
        <v/>
      </c>
      <c r="AR40" s="0" t="str">
        <f aca="false">IF($A40="","",IFERROR(DATE(YEAR(INDEX(TblApplications[Mois bascule],$A40)),MONTH(INDEX(TblApplications[Mois bascule],$A40)),1),""))</f>
        <v/>
      </c>
      <c r="AS40" s="0" t="str">
        <f aca="false">IF($A40="","",INDEX(TblApplications[Mois lib (calc)],$A40))</f>
        <v/>
      </c>
    </row>
    <row r="41" customFormat="false" ht="15" hidden="false" customHeight="false" outlineLevel="0" collapsed="false">
      <c r="A41" s="49" t="str">
        <f aca="false">IFERROR(MATCH(33,TblApplications[Rang frise],0),"")</f>
        <v/>
      </c>
      <c r="B41" s="50" t="str">
        <f aca="false">IF($A41="","",INDEX(TblApplications[ID],$A41))</f>
        <v/>
      </c>
      <c r="C41" s="50" t="str">
        <f aca="false">IF($A41="","",INDEX(TblApplications[Application],$A41))</f>
        <v/>
      </c>
      <c r="D41" s="50" t="str">
        <f aca="false">IF($A41="","",INDEX(TblApplications[Environnement],$A41))</f>
        <v/>
      </c>
      <c r="E41" s="50" t="str">
        <f aca="false">IF($A41="","",INDEX(TblApplications[Couloir],$A41))</f>
        <v/>
      </c>
      <c r="F41" s="50" t="str">
        <f aca="false">IF($A41="","",INDEX(TblApplications[Action],$A41))</f>
        <v/>
      </c>
      <c r="G41" s="51" t="str">
        <f aca="false">IF(OR($A41="",G$8=""),"",IF($F41="Migré","ROKS",IF($F41="À décommissionner",IF(G$8&lt;$AS41,"IKS","Décom."),IF(OR($AQ41="",$AS41=""),"",IF(G$8&lt;$AQ41,"IKS",IF(G$8&lt;$AS41,IF(G$8=$AR41,"Bascule","Double run"),"ROKS"))))))</f>
        <v/>
      </c>
      <c r="H41" s="51" t="str">
        <f aca="false">IF(OR($A41="",H$8=""),"",IF($F41="Migré","ROKS",IF($F41="À décommissionner",IF(H$8&lt;$AS41,"IKS","Décom."),IF(OR($AQ41="",$AS41=""),"",IF(H$8&lt;$AQ41,"IKS",IF(H$8&lt;$AS41,IF(H$8=$AR41,"Bascule","Double run"),"ROKS"))))))</f>
        <v/>
      </c>
      <c r="I41" s="51" t="str">
        <f aca="false">IF(OR($A41="",I$8=""),"",IF($F41="Migré","ROKS",IF($F41="À décommissionner",IF(I$8&lt;$AS41,"IKS","Décom."),IF(OR($AQ41="",$AS41=""),"",IF(I$8&lt;$AQ41,"IKS",IF(I$8&lt;$AS41,IF(I$8=$AR41,"Bascule","Double run"),"ROKS"))))))</f>
        <v/>
      </c>
      <c r="J41" s="51" t="str">
        <f aca="false">IF(OR($A41="",J$8=""),"",IF($F41="Migré","ROKS",IF($F41="À décommissionner",IF(J$8&lt;$AS41,"IKS","Décom."),IF(OR($AQ41="",$AS41=""),"",IF(J$8&lt;$AQ41,"IKS",IF(J$8&lt;$AS41,IF(J$8=$AR41,"Bascule","Double run"),"ROKS"))))))</f>
        <v/>
      </c>
      <c r="K41" s="51" t="str">
        <f aca="false">IF(OR($A41="",K$8=""),"",IF($F41="Migré","ROKS",IF($F41="À décommissionner",IF(K$8&lt;$AS41,"IKS","Décom."),IF(OR($AQ41="",$AS41=""),"",IF(K$8&lt;$AQ41,"IKS",IF(K$8&lt;$AS41,IF(K$8=$AR41,"Bascule","Double run"),"ROKS"))))))</f>
        <v/>
      </c>
      <c r="L41" s="51" t="str">
        <f aca="false">IF(OR($A41="",L$8=""),"",IF($F41="Migré","ROKS",IF($F41="À décommissionner",IF(L$8&lt;$AS41,"IKS","Décom."),IF(OR($AQ41="",$AS41=""),"",IF(L$8&lt;$AQ41,"IKS",IF(L$8&lt;$AS41,IF(L$8=$AR41,"Bascule","Double run"),"ROKS"))))))</f>
        <v/>
      </c>
      <c r="M41" s="51" t="str">
        <f aca="false">IF(OR($A41="",M$8=""),"",IF($F41="Migré","ROKS",IF($F41="À décommissionner",IF(M$8&lt;$AS41,"IKS","Décom."),IF(OR($AQ41="",$AS41=""),"",IF(M$8&lt;$AQ41,"IKS",IF(M$8&lt;$AS41,IF(M$8=$AR41,"Bascule","Double run"),"ROKS"))))))</f>
        <v/>
      </c>
      <c r="N41" s="51" t="str">
        <f aca="false">IF(OR($A41="",N$8=""),"",IF($F41="Migré","ROKS",IF($F41="À décommissionner",IF(N$8&lt;$AS41,"IKS","Décom."),IF(OR($AQ41="",$AS41=""),"",IF(N$8&lt;$AQ41,"IKS",IF(N$8&lt;$AS41,IF(N$8=$AR41,"Bascule","Double run"),"ROKS"))))))</f>
        <v/>
      </c>
      <c r="O41" s="51" t="str">
        <f aca="false">IF(OR($A41="",O$8=""),"",IF($F41="Migré","ROKS",IF($F41="À décommissionner",IF(O$8&lt;$AS41,"IKS","Décom."),IF(OR($AQ41="",$AS41=""),"",IF(O$8&lt;$AQ41,"IKS",IF(O$8&lt;$AS41,IF(O$8=$AR41,"Bascule","Double run"),"ROKS"))))))</f>
        <v/>
      </c>
      <c r="P41" s="51" t="str">
        <f aca="false">IF(OR($A41="",P$8=""),"",IF($F41="Migré","ROKS",IF($F41="À décommissionner",IF(P$8&lt;$AS41,"IKS","Décom."),IF(OR($AQ41="",$AS41=""),"",IF(P$8&lt;$AQ41,"IKS",IF(P$8&lt;$AS41,IF(P$8=$AR41,"Bascule","Double run"),"ROKS"))))))</f>
        <v/>
      </c>
      <c r="Q41" s="51" t="str">
        <f aca="false">IF(OR($A41="",Q$8=""),"",IF($F41="Migré","ROKS",IF($F41="À décommissionner",IF(Q$8&lt;$AS41,"IKS","Décom."),IF(OR($AQ41="",$AS41=""),"",IF(Q$8&lt;$AQ41,"IKS",IF(Q$8&lt;$AS41,IF(Q$8=$AR41,"Bascule","Double run"),"ROKS"))))))</f>
        <v/>
      </c>
      <c r="R41" s="51" t="str">
        <f aca="false">IF(OR($A41="",R$8=""),"",IF($F41="Migré","ROKS",IF($F41="À décommissionner",IF(R$8&lt;$AS41,"IKS","Décom."),IF(OR($AQ41="",$AS41=""),"",IF(R$8&lt;$AQ41,"IKS",IF(R$8&lt;$AS41,IF(R$8=$AR41,"Bascule","Double run"),"ROKS"))))))</f>
        <v/>
      </c>
      <c r="S41" s="51" t="str">
        <f aca="false">IF(OR($A41="",S$8=""),"",IF($F41="Migré","ROKS",IF($F41="À décommissionner",IF(S$8&lt;$AS41,"IKS","Décom."),IF(OR($AQ41="",$AS41=""),"",IF(S$8&lt;$AQ41,"IKS",IF(S$8&lt;$AS41,IF(S$8=$AR41,"Bascule","Double run"),"ROKS"))))))</f>
        <v/>
      </c>
      <c r="T41" s="51" t="str">
        <f aca="false">IF(OR($A41="",T$8=""),"",IF($F41="Migré","ROKS",IF($F41="À décommissionner",IF(T$8&lt;$AS41,"IKS","Décom."),IF(OR($AQ41="",$AS41=""),"",IF(T$8&lt;$AQ41,"IKS",IF(T$8&lt;$AS41,IF(T$8=$AR41,"Bascule","Double run"),"ROKS"))))))</f>
        <v/>
      </c>
      <c r="U41" s="51" t="str">
        <f aca="false">IF(OR($A41="",U$8=""),"",IF($F41="Migré","ROKS",IF($F41="À décommissionner",IF(U$8&lt;$AS41,"IKS","Décom."),IF(OR($AQ41="",$AS41=""),"",IF(U$8&lt;$AQ41,"IKS",IF(U$8&lt;$AS41,IF(U$8=$AR41,"Bascule","Double run"),"ROKS"))))))</f>
        <v/>
      </c>
      <c r="V41" s="51" t="str">
        <f aca="false">IF(OR($A41="",V$8=""),"",IF($F41="Migré","ROKS",IF($F41="À décommissionner",IF(V$8&lt;$AS41,"IKS","Décom."),IF(OR($AQ41="",$AS41=""),"",IF(V$8&lt;$AQ41,"IKS",IF(V$8&lt;$AS41,IF(V$8=$AR41,"Bascule","Double run"),"ROKS"))))))</f>
        <v/>
      </c>
      <c r="W41" s="51" t="str">
        <f aca="false">IF(OR($A41="",W$8=""),"",IF($F41="Migré","ROKS",IF($F41="À décommissionner",IF(W$8&lt;$AS41,"IKS","Décom."),IF(OR($AQ41="",$AS41=""),"",IF(W$8&lt;$AQ41,"IKS",IF(W$8&lt;$AS41,IF(W$8=$AR41,"Bascule","Double run"),"ROKS"))))))</f>
        <v/>
      </c>
      <c r="X41" s="51" t="str">
        <f aca="false">IF(OR($A41="",X$8=""),"",IF($F41="Migré","ROKS",IF($F41="À décommissionner",IF(X$8&lt;$AS41,"IKS","Décom."),IF(OR($AQ41="",$AS41=""),"",IF(X$8&lt;$AQ41,"IKS",IF(X$8&lt;$AS41,IF(X$8=$AR41,"Bascule","Double run"),"ROKS"))))))</f>
        <v/>
      </c>
      <c r="Y41" s="51" t="str">
        <f aca="false">IF(OR($A41="",Y$8=""),"",IF($F41="Migré","ROKS",IF($F41="À décommissionner",IF(Y$8&lt;$AS41,"IKS","Décom."),IF(OR($AQ41="",$AS41=""),"",IF(Y$8&lt;$AQ41,"IKS",IF(Y$8&lt;$AS41,IF(Y$8=$AR41,"Bascule","Double run"),"ROKS"))))))</f>
        <v/>
      </c>
      <c r="Z41" s="51" t="str">
        <f aca="false">IF(OR($A41="",Z$8=""),"",IF($F41="Migré","ROKS",IF($F41="À décommissionner",IF(Z$8&lt;$AS41,"IKS","Décom."),IF(OR($AQ41="",$AS41=""),"",IF(Z$8&lt;$AQ41,"IKS",IF(Z$8&lt;$AS41,IF(Z$8=$AR41,"Bascule","Double run"),"ROKS"))))))</f>
        <v/>
      </c>
      <c r="AA41" s="51" t="str">
        <f aca="false">IF(OR($A41="",AA$8=""),"",IF($F41="Migré","ROKS",IF($F41="À décommissionner",IF(AA$8&lt;$AS41,"IKS","Décom."),IF(OR($AQ41="",$AS41=""),"",IF(AA$8&lt;$AQ41,"IKS",IF(AA$8&lt;$AS41,IF(AA$8=$AR41,"Bascule","Double run"),"ROKS"))))))</f>
        <v/>
      </c>
      <c r="AB41" s="51" t="str">
        <f aca="false">IF(OR($A41="",AB$8=""),"",IF($F41="Migré","ROKS",IF($F41="À décommissionner",IF(AB$8&lt;$AS41,"IKS","Décom."),IF(OR($AQ41="",$AS41=""),"",IF(AB$8&lt;$AQ41,"IKS",IF(AB$8&lt;$AS41,IF(AB$8=$AR41,"Bascule","Double run"),"ROKS"))))))</f>
        <v/>
      </c>
      <c r="AC41" s="51" t="str">
        <f aca="false">IF(OR($A41="",AC$8=""),"",IF($F41="Migré","ROKS",IF($F41="À décommissionner",IF(AC$8&lt;$AS41,"IKS","Décom."),IF(OR($AQ41="",$AS41=""),"",IF(AC$8&lt;$AQ41,"IKS",IF(AC$8&lt;$AS41,IF(AC$8=$AR41,"Bascule","Double run"),"ROKS"))))))</f>
        <v/>
      </c>
      <c r="AD41" s="51" t="str">
        <f aca="false">IF(OR($A41="",AD$8=""),"",IF($F41="Migré","ROKS",IF($F41="À décommissionner",IF(AD$8&lt;$AS41,"IKS","Décom."),IF(OR($AQ41="",$AS41=""),"",IF(AD$8&lt;$AQ41,"IKS",IF(AD$8&lt;$AS41,IF(AD$8=$AR41,"Bascule","Double run"),"ROKS"))))))</f>
        <v/>
      </c>
      <c r="AE41" s="51" t="str">
        <f aca="false">IF(OR($A41="",AE$8=""),"",IF($F41="Migré","ROKS",IF($F41="À décommissionner",IF(AE$8&lt;$AS41,"IKS","Décom."),IF(OR($AQ41="",$AS41=""),"",IF(AE$8&lt;$AQ41,"IKS",IF(AE$8&lt;$AS41,IF(AE$8=$AR41,"Bascule","Double run"),"ROKS"))))))</f>
        <v/>
      </c>
      <c r="AF41" s="51" t="str">
        <f aca="false">IF(OR($A41="",AF$8=""),"",IF($F41="Migré","ROKS",IF($F41="À décommissionner",IF(AF$8&lt;$AS41,"IKS","Décom."),IF(OR($AQ41="",$AS41=""),"",IF(AF$8&lt;$AQ41,"IKS",IF(AF$8&lt;$AS41,IF(AF$8=$AR41,"Bascule","Double run"),"ROKS"))))))</f>
        <v/>
      </c>
      <c r="AG41" s="51" t="str">
        <f aca="false">IF(OR($A41="",AG$8=""),"",IF($F41="Migré","ROKS",IF($F41="À décommissionner",IF(AG$8&lt;$AS41,"IKS","Décom."),IF(OR($AQ41="",$AS41=""),"",IF(AG$8&lt;$AQ41,"IKS",IF(AG$8&lt;$AS41,IF(AG$8=$AR41,"Bascule","Double run"),"ROKS"))))))</f>
        <v/>
      </c>
      <c r="AH41" s="51" t="str">
        <f aca="false">IF(OR($A41="",AH$8=""),"",IF($F41="Migré","ROKS",IF($F41="À décommissionner",IF(AH$8&lt;$AS41,"IKS","Décom."),IF(OR($AQ41="",$AS41=""),"",IF(AH$8&lt;$AQ41,"IKS",IF(AH$8&lt;$AS41,IF(AH$8=$AR41,"Bascule","Double run"),"ROKS"))))))</f>
        <v/>
      </c>
      <c r="AI41" s="51" t="str">
        <f aca="false">IF(OR($A41="",AI$8=""),"",IF($F41="Migré","ROKS",IF($F41="À décommissionner",IF(AI$8&lt;$AS41,"IKS","Décom."),IF(OR($AQ41="",$AS41=""),"",IF(AI$8&lt;$AQ41,"IKS",IF(AI$8&lt;$AS41,IF(AI$8=$AR41,"Bascule","Double run"),"ROKS"))))))</f>
        <v/>
      </c>
      <c r="AJ41" s="51" t="str">
        <f aca="false">IF(OR($A41="",AJ$8=""),"",IF($F41="Migré","ROKS",IF($F41="À décommissionner",IF(AJ$8&lt;$AS41,"IKS","Décom."),IF(OR($AQ41="",$AS41=""),"",IF(AJ$8&lt;$AQ41,"IKS",IF(AJ$8&lt;$AS41,IF(AJ$8=$AR41,"Bascule","Double run"),"ROKS"))))))</f>
        <v/>
      </c>
      <c r="AK41" s="51" t="str">
        <f aca="false">IF(OR($A41="",AK$8=""),"",IF($F41="Migré","ROKS",IF($F41="À décommissionner",IF(AK$8&lt;$AS41,"IKS","Décom."),IF(OR($AQ41="",$AS41=""),"",IF(AK$8&lt;$AQ41,"IKS",IF(AK$8&lt;$AS41,IF(AK$8=$AR41,"Bascule","Double run"),"ROKS"))))))</f>
        <v/>
      </c>
      <c r="AL41" s="51" t="str">
        <f aca="false">IF(OR($A41="",AL$8=""),"",IF($F41="Migré","ROKS",IF($F41="À décommissionner",IF(AL$8&lt;$AS41,"IKS","Décom."),IF(OR($AQ41="",$AS41=""),"",IF(AL$8&lt;$AQ41,"IKS",IF(AL$8&lt;$AS41,IF(AL$8=$AR41,"Bascule","Double run"),"ROKS"))))))</f>
        <v/>
      </c>
      <c r="AM41" s="51" t="str">
        <f aca="false">IF(OR($A41="",AM$8=""),"",IF($F41="Migré","ROKS",IF($F41="À décommissionner",IF(AM$8&lt;$AS41,"IKS","Décom."),IF(OR($AQ41="",$AS41=""),"",IF(AM$8&lt;$AQ41,"IKS",IF(AM$8&lt;$AS41,IF(AM$8=$AR41,"Bascule","Double run"),"ROKS"))))))</f>
        <v/>
      </c>
      <c r="AN41" s="51" t="str">
        <f aca="false">IF(OR($A41="",AN$8=""),"",IF($F41="Migré","ROKS",IF($F41="À décommissionner",IF(AN$8&lt;$AS41,"IKS","Décom."),IF(OR($AQ41="",$AS41=""),"",IF(AN$8&lt;$AQ41,"IKS",IF(AN$8&lt;$AS41,IF(AN$8=$AR41,"Bascule","Double run"),"ROKS"))))))</f>
        <v/>
      </c>
      <c r="AO41" s="51" t="str">
        <f aca="false">IF(OR($A41="",AO$8=""),"",IF($F41="Migré","ROKS",IF($F41="À décommissionner",IF(AO$8&lt;$AS41,"IKS","Décom."),IF(OR($AQ41="",$AS41=""),"",IF(AO$8&lt;$AQ41,"IKS",IF(AO$8&lt;$AS41,IF(AO$8=$AR41,"Bascule","Double run"),"ROKS"))))))</f>
        <v/>
      </c>
      <c r="AP41" s="51" t="str">
        <f aca="false">IF(OR($A41="",AP$8=""),"",IF($F41="Migré","ROKS",IF($F41="À décommissionner",IF(AP$8&lt;$AS41,"IKS","Décom."),IF(OR($AQ41="",$AS41=""),"",IF(AP$8&lt;$AQ41,"IKS",IF(AP$8&lt;$AS41,IF(AP$8=$AR41,"Bascule","Double run"),"ROKS"))))))</f>
        <v/>
      </c>
      <c r="AQ41" s="0" t="str">
        <f aca="false">IF($A41="","",INDEX(TblApplications[Mois prov (calc)],$A41))</f>
        <v/>
      </c>
      <c r="AR41" s="0" t="str">
        <f aca="false">IF($A41="","",IFERROR(DATE(YEAR(INDEX(TblApplications[Mois bascule],$A41)),MONTH(INDEX(TblApplications[Mois bascule],$A41)),1),""))</f>
        <v/>
      </c>
      <c r="AS41" s="0" t="str">
        <f aca="false">IF($A41="","",INDEX(TblApplications[Mois lib (calc)],$A41))</f>
        <v/>
      </c>
    </row>
    <row r="42" customFormat="false" ht="15" hidden="false" customHeight="false" outlineLevel="0" collapsed="false">
      <c r="A42" s="49" t="str">
        <f aca="false">IFERROR(MATCH(34,TblApplications[Rang frise],0),"")</f>
        <v/>
      </c>
      <c r="B42" s="50" t="str">
        <f aca="false">IF($A42="","",INDEX(TblApplications[ID],$A42))</f>
        <v/>
      </c>
      <c r="C42" s="50" t="str">
        <f aca="false">IF($A42="","",INDEX(TblApplications[Application],$A42))</f>
        <v/>
      </c>
      <c r="D42" s="50" t="str">
        <f aca="false">IF($A42="","",INDEX(TblApplications[Environnement],$A42))</f>
        <v/>
      </c>
      <c r="E42" s="50" t="str">
        <f aca="false">IF($A42="","",INDEX(TblApplications[Couloir],$A42))</f>
        <v/>
      </c>
      <c r="F42" s="50" t="str">
        <f aca="false">IF($A42="","",INDEX(TblApplications[Action],$A42))</f>
        <v/>
      </c>
      <c r="G42" s="51" t="str">
        <f aca="false">IF(OR($A42="",G$8=""),"",IF($F42="Migré","ROKS",IF($F42="À décommissionner",IF(G$8&lt;$AS42,"IKS","Décom."),IF(OR($AQ42="",$AS42=""),"",IF(G$8&lt;$AQ42,"IKS",IF(G$8&lt;$AS42,IF(G$8=$AR42,"Bascule","Double run"),"ROKS"))))))</f>
        <v/>
      </c>
      <c r="H42" s="51" t="str">
        <f aca="false">IF(OR($A42="",H$8=""),"",IF($F42="Migré","ROKS",IF($F42="À décommissionner",IF(H$8&lt;$AS42,"IKS","Décom."),IF(OR($AQ42="",$AS42=""),"",IF(H$8&lt;$AQ42,"IKS",IF(H$8&lt;$AS42,IF(H$8=$AR42,"Bascule","Double run"),"ROKS"))))))</f>
        <v/>
      </c>
      <c r="I42" s="51" t="str">
        <f aca="false">IF(OR($A42="",I$8=""),"",IF($F42="Migré","ROKS",IF($F42="À décommissionner",IF(I$8&lt;$AS42,"IKS","Décom."),IF(OR($AQ42="",$AS42=""),"",IF(I$8&lt;$AQ42,"IKS",IF(I$8&lt;$AS42,IF(I$8=$AR42,"Bascule","Double run"),"ROKS"))))))</f>
        <v/>
      </c>
      <c r="J42" s="51" t="str">
        <f aca="false">IF(OR($A42="",J$8=""),"",IF($F42="Migré","ROKS",IF($F42="À décommissionner",IF(J$8&lt;$AS42,"IKS","Décom."),IF(OR($AQ42="",$AS42=""),"",IF(J$8&lt;$AQ42,"IKS",IF(J$8&lt;$AS42,IF(J$8=$AR42,"Bascule","Double run"),"ROKS"))))))</f>
        <v/>
      </c>
      <c r="K42" s="51" t="str">
        <f aca="false">IF(OR($A42="",K$8=""),"",IF($F42="Migré","ROKS",IF($F42="À décommissionner",IF(K$8&lt;$AS42,"IKS","Décom."),IF(OR($AQ42="",$AS42=""),"",IF(K$8&lt;$AQ42,"IKS",IF(K$8&lt;$AS42,IF(K$8=$AR42,"Bascule","Double run"),"ROKS"))))))</f>
        <v/>
      </c>
      <c r="L42" s="51" t="str">
        <f aca="false">IF(OR($A42="",L$8=""),"",IF($F42="Migré","ROKS",IF($F42="À décommissionner",IF(L$8&lt;$AS42,"IKS","Décom."),IF(OR($AQ42="",$AS42=""),"",IF(L$8&lt;$AQ42,"IKS",IF(L$8&lt;$AS42,IF(L$8=$AR42,"Bascule","Double run"),"ROKS"))))))</f>
        <v/>
      </c>
      <c r="M42" s="51" t="str">
        <f aca="false">IF(OR($A42="",M$8=""),"",IF($F42="Migré","ROKS",IF($F42="À décommissionner",IF(M$8&lt;$AS42,"IKS","Décom."),IF(OR($AQ42="",$AS42=""),"",IF(M$8&lt;$AQ42,"IKS",IF(M$8&lt;$AS42,IF(M$8=$AR42,"Bascule","Double run"),"ROKS"))))))</f>
        <v/>
      </c>
      <c r="N42" s="51" t="str">
        <f aca="false">IF(OR($A42="",N$8=""),"",IF($F42="Migré","ROKS",IF($F42="À décommissionner",IF(N$8&lt;$AS42,"IKS","Décom."),IF(OR($AQ42="",$AS42=""),"",IF(N$8&lt;$AQ42,"IKS",IF(N$8&lt;$AS42,IF(N$8=$AR42,"Bascule","Double run"),"ROKS"))))))</f>
        <v/>
      </c>
      <c r="O42" s="51" t="str">
        <f aca="false">IF(OR($A42="",O$8=""),"",IF($F42="Migré","ROKS",IF($F42="À décommissionner",IF(O$8&lt;$AS42,"IKS","Décom."),IF(OR($AQ42="",$AS42=""),"",IF(O$8&lt;$AQ42,"IKS",IF(O$8&lt;$AS42,IF(O$8=$AR42,"Bascule","Double run"),"ROKS"))))))</f>
        <v/>
      </c>
      <c r="P42" s="51" t="str">
        <f aca="false">IF(OR($A42="",P$8=""),"",IF($F42="Migré","ROKS",IF($F42="À décommissionner",IF(P$8&lt;$AS42,"IKS","Décom."),IF(OR($AQ42="",$AS42=""),"",IF(P$8&lt;$AQ42,"IKS",IF(P$8&lt;$AS42,IF(P$8=$AR42,"Bascule","Double run"),"ROKS"))))))</f>
        <v/>
      </c>
      <c r="Q42" s="51" t="str">
        <f aca="false">IF(OR($A42="",Q$8=""),"",IF($F42="Migré","ROKS",IF($F42="À décommissionner",IF(Q$8&lt;$AS42,"IKS","Décom."),IF(OR($AQ42="",$AS42=""),"",IF(Q$8&lt;$AQ42,"IKS",IF(Q$8&lt;$AS42,IF(Q$8=$AR42,"Bascule","Double run"),"ROKS"))))))</f>
        <v/>
      </c>
      <c r="R42" s="51" t="str">
        <f aca="false">IF(OR($A42="",R$8=""),"",IF($F42="Migré","ROKS",IF($F42="À décommissionner",IF(R$8&lt;$AS42,"IKS","Décom."),IF(OR($AQ42="",$AS42=""),"",IF(R$8&lt;$AQ42,"IKS",IF(R$8&lt;$AS42,IF(R$8=$AR42,"Bascule","Double run"),"ROKS"))))))</f>
        <v/>
      </c>
      <c r="S42" s="51" t="str">
        <f aca="false">IF(OR($A42="",S$8=""),"",IF($F42="Migré","ROKS",IF($F42="À décommissionner",IF(S$8&lt;$AS42,"IKS","Décom."),IF(OR($AQ42="",$AS42=""),"",IF(S$8&lt;$AQ42,"IKS",IF(S$8&lt;$AS42,IF(S$8=$AR42,"Bascule","Double run"),"ROKS"))))))</f>
        <v/>
      </c>
      <c r="T42" s="51" t="str">
        <f aca="false">IF(OR($A42="",T$8=""),"",IF($F42="Migré","ROKS",IF($F42="À décommissionner",IF(T$8&lt;$AS42,"IKS","Décom."),IF(OR($AQ42="",$AS42=""),"",IF(T$8&lt;$AQ42,"IKS",IF(T$8&lt;$AS42,IF(T$8=$AR42,"Bascule","Double run"),"ROKS"))))))</f>
        <v/>
      </c>
      <c r="U42" s="51" t="str">
        <f aca="false">IF(OR($A42="",U$8=""),"",IF($F42="Migré","ROKS",IF($F42="À décommissionner",IF(U$8&lt;$AS42,"IKS","Décom."),IF(OR($AQ42="",$AS42=""),"",IF(U$8&lt;$AQ42,"IKS",IF(U$8&lt;$AS42,IF(U$8=$AR42,"Bascule","Double run"),"ROKS"))))))</f>
        <v/>
      </c>
      <c r="V42" s="51" t="str">
        <f aca="false">IF(OR($A42="",V$8=""),"",IF($F42="Migré","ROKS",IF($F42="À décommissionner",IF(V$8&lt;$AS42,"IKS","Décom."),IF(OR($AQ42="",$AS42=""),"",IF(V$8&lt;$AQ42,"IKS",IF(V$8&lt;$AS42,IF(V$8=$AR42,"Bascule","Double run"),"ROKS"))))))</f>
        <v/>
      </c>
      <c r="W42" s="51" t="str">
        <f aca="false">IF(OR($A42="",W$8=""),"",IF($F42="Migré","ROKS",IF($F42="À décommissionner",IF(W$8&lt;$AS42,"IKS","Décom."),IF(OR($AQ42="",$AS42=""),"",IF(W$8&lt;$AQ42,"IKS",IF(W$8&lt;$AS42,IF(W$8=$AR42,"Bascule","Double run"),"ROKS"))))))</f>
        <v/>
      </c>
      <c r="X42" s="51" t="str">
        <f aca="false">IF(OR($A42="",X$8=""),"",IF($F42="Migré","ROKS",IF($F42="À décommissionner",IF(X$8&lt;$AS42,"IKS","Décom."),IF(OR($AQ42="",$AS42=""),"",IF(X$8&lt;$AQ42,"IKS",IF(X$8&lt;$AS42,IF(X$8=$AR42,"Bascule","Double run"),"ROKS"))))))</f>
        <v/>
      </c>
      <c r="Y42" s="51" t="str">
        <f aca="false">IF(OR($A42="",Y$8=""),"",IF($F42="Migré","ROKS",IF($F42="À décommissionner",IF(Y$8&lt;$AS42,"IKS","Décom."),IF(OR($AQ42="",$AS42=""),"",IF(Y$8&lt;$AQ42,"IKS",IF(Y$8&lt;$AS42,IF(Y$8=$AR42,"Bascule","Double run"),"ROKS"))))))</f>
        <v/>
      </c>
      <c r="Z42" s="51" t="str">
        <f aca="false">IF(OR($A42="",Z$8=""),"",IF($F42="Migré","ROKS",IF($F42="À décommissionner",IF(Z$8&lt;$AS42,"IKS","Décom."),IF(OR($AQ42="",$AS42=""),"",IF(Z$8&lt;$AQ42,"IKS",IF(Z$8&lt;$AS42,IF(Z$8=$AR42,"Bascule","Double run"),"ROKS"))))))</f>
        <v/>
      </c>
      <c r="AA42" s="51" t="str">
        <f aca="false">IF(OR($A42="",AA$8=""),"",IF($F42="Migré","ROKS",IF($F42="À décommissionner",IF(AA$8&lt;$AS42,"IKS","Décom."),IF(OR($AQ42="",$AS42=""),"",IF(AA$8&lt;$AQ42,"IKS",IF(AA$8&lt;$AS42,IF(AA$8=$AR42,"Bascule","Double run"),"ROKS"))))))</f>
        <v/>
      </c>
      <c r="AB42" s="51" t="str">
        <f aca="false">IF(OR($A42="",AB$8=""),"",IF($F42="Migré","ROKS",IF($F42="À décommissionner",IF(AB$8&lt;$AS42,"IKS","Décom."),IF(OR($AQ42="",$AS42=""),"",IF(AB$8&lt;$AQ42,"IKS",IF(AB$8&lt;$AS42,IF(AB$8=$AR42,"Bascule","Double run"),"ROKS"))))))</f>
        <v/>
      </c>
      <c r="AC42" s="51" t="str">
        <f aca="false">IF(OR($A42="",AC$8=""),"",IF($F42="Migré","ROKS",IF($F42="À décommissionner",IF(AC$8&lt;$AS42,"IKS","Décom."),IF(OR($AQ42="",$AS42=""),"",IF(AC$8&lt;$AQ42,"IKS",IF(AC$8&lt;$AS42,IF(AC$8=$AR42,"Bascule","Double run"),"ROKS"))))))</f>
        <v/>
      </c>
      <c r="AD42" s="51" t="str">
        <f aca="false">IF(OR($A42="",AD$8=""),"",IF($F42="Migré","ROKS",IF($F42="À décommissionner",IF(AD$8&lt;$AS42,"IKS","Décom."),IF(OR($AQ42="",$AS42=""),"",IF(AD$8&lt;$AQ42,"IKS",IF(AD$8&lt;$AS42,IF(AD$8=$AR42,"Bascule","Double run"),"ROKS"))))))</f>
        <v/>
      </c>
      <c r="AE42" s="51" t="str">
        <f aca="false">IF(OR($A42="",AE$8=""),"",IF($F42="Migré","ROKS",IF($F42="À décommissionner",IF(AE$8&lt;$AS42,"IKS","Décom."),IF(OR($AQ42="",$AS42=""),"",IF(AE$8&lt;$AQ42,"IKS",IF(AE$8&lt;$AS42,IF(AE$8=$AR42,"Bascule","Double run"),"ROKS"))))))</f>
        <v/>
      </c>
      <c r="AF42" s="51" t="str">
        <f aca="false">IF(OR($A42="",AF$8=""),"",IF($F42="Migré","ROKS",IF($F42="À décommissionner",IF(AF$8&lt;$AS42,"IKS","Décom."),IF(OR($AQ42="",$AS42=""),"",IF(AF$8&lt;$AQ42,"IKS",IF(AF$8&lt;$AS42,IF(AF$8=$AR42,"Bascule","Double run"),"ROKS"))))))</f>
        <v/>
      </c>
      <c r="AG42" s="51" t="str">
        <f aca="false">IF(OR($A42="",AG$8=""),"",IF($F42="Migré","ROKS",IF($F42="À décommissionner",IF(AG$8&lt;$AS42,"IKS","Décom."),IF(OR($AQ42="",$AS42=""),"",IF(AG$8&lt;$AQ42,"IKS",IF(AG$8&lt;$AS42,IF(AG$8=$AR42,"Bascule","Double run"),"ROKS"))))))</f>
        <v/>
      </c>
      <c r="AH42" s="51" t="str">
        <f aca="false">IF(OR($A42="",AH$8=""),"",IF($F42="Migré","ROKS",IF($F42="À décommissionner",IF(AH$8&lt;$AS42,"IKS","Décom."),IF(OR($AQ42="",$AS42=""),"",IF(AH$8&lt;$AQ42,"IKS",IF(AH$8&lt;$AS42,IF(AH$8=$AR42,"Bascule","Double run"),"ROKS"))))))</f>
        <v/>
      </c>
      <c r="AI42" s="51" t="str">
        <f aca="false">IF(OR($A42="",AI$8=""),"",IF($F42="Migré","ROKS",IF($F42="À décommissionner",IF(AI$8&lt;$AS42,"IKS","Décom."),IF(OR($AQ42="",$AS42=""),"",IF(AI$8&lt;$AQ42,"IKS",IF(AI$8&lt;$AS42,IF(AI$8=$AR42,"Bascule","Double run"),"ROKS"))))))</f>
        <v/>
      </c>
      <c r="AJ42" s="51" t="str">
        <f aca="false">IF(OR($A42="",AJ$8=""),"",IF($F42="Migré","ROKS",IF($F42="À décommissionner",IF(AJ$8&lt;$AS42,"IKS","Décom."),IF(OR($AQ42="",$AS42=""),"",IF(AJ$8&lt;$AQ42,"IKS",IF(AJ$8&lt;$AS42,IF(AJ$8=$AR42,"Bascule","Double run"),"ROKS"))))))</f>
        <v/>
      </c>
      <c r="AK42" s="51" t="str">
        <f aca="false">IF(OR($A42="",AK$8=""),"",IF($F42="Migré","ROKS",IF($F42="À décommissionner",IF(AK$8&lt;$AS42,"IKS","Décom."),IF(OR($AQ42="",$AS42=""),"",IF(AK$8&lt;$AQ42,"IKS",IF(AK$8&lt;$AS42,IF(AK$8=$AR42,"Bascule","Double run"),"ROKS"))))))</f>
        <v/>
      </c>
      <c r="AL42" s="51" t="str">
        <f aca="false">IF(OR($A42="",AL$8=""),"",IF($F42="Migré","ROKS",IF($F42="À décommissionner",IF(AL$8&lt;$AS42,"IKS","Décom."),IF(OR($AQ42="",$AS42=""),"",IF(AL$8&lt;$AQ42,"IKS",IF(AL$8&lt;$AS42,IF(AL$8=$AR42,"Bascule","Double run"),"ROKS"))))))</f>
        <v/>
      </c>
      <c r="AM42" s="51" t="str">
        <f aca="false">IF(OR($A42="",AM$8=""),"",IF($F42="Migré","ROKS",IF($F42="À décommissionner",IF(AM$8&lt;$AS42,"IKS","Décom."),IF(OR($AQ42="",$AS42=""),"",IF(AM$8&lt;$AQ42,"IKS",IF(AM$8&lt;$AS42,IF(AM$8=$AR42,"Bascule","Double run"),"ROKS"))))))</f>
        <v/>
      </c>
      <c r="AN42" s="51" t="str">
        <f aca="false">IF(OR($A42="",AN$8=""),"",IF($F42="Migré","ROKS",IF($F42="À décommissionner",IF(AN$8&lt;$AS42,"IKS","Décom."),IF(OR($AQ42="",$AS42=""),"",IF(AN$8&lt;$AQ42,"IKS",IF(AN$8&lt;$AS42,IF(AN$8=$AR42,"Bascule","Double run"),"ROKS"))))))</f>
        <v/>
      </c>
      <c r="AO42" s="51" t="str">
        <f aca="false">IF(OR($A42="",AO$8=""),"",IF($F42="Migré","ROKS",IF($F42="À décommissionner",IF(AO$8&lt;$AS42,"IKS","Décom."),IF(OR($AQ42="",$AS42=""),"",IF(AO$8&lt;$AQ42,"IKS",IF(AO$8&lt;$AS42,IF(AO$8=$AR42,"Bascule","Double run"),"ROKS"))))))</f>
        <v/>
      </c>
      <c r="AP42" s="51" t="str">
        <f aca="false">IF(OR($A42="",AP$8=""),"",IF($F42="Migré","ROKS",IF($F42="À décommissionner",IF(AP$8&lt;$AS42,"IKS","Décom."),IF(OR($AQ42="",$AS42=""),"",IF(AP$8&lt;$AQ42,"IKS",IF(AP$8&lt;$AS42,IF(AP$8=$AR42,"Bascule","Double run"),"ROKS"))))))</f>
        <v/>
      </c>
      <c r="AQ42" s="0" t="str">
        <f aca="false">IF($A42="","",INDEX(TblApplications[Mois prov (calc)],$A42))</f>
        <v/>
      </c>
      <c r="AR42" s="0" t="str">
        <f aca="false">IF($A42="","",IFERROR(DATE(YEAR(INDEX(TblApplications[Mois bascule],$A42)),MONTH(INDEX(TblApplications[Mois bascule],$A42)),1),""))</f>
        <v/>
      </c>
      <c r="AS42" s="0" t="str">
        <f aca="false">IF($A42="","",INDEX(TblApplications[Mois lib (calc)],$A42))</f>
        <v/>
      </c>
    </row>
    <row r="43" customFormat="false" ht="15" hidden="false" customHeight="false" outlineLevel="0" collapsed="false">
      <c r="A43" s="49" t="str">
        <f aca="false">IFERROR(MATCH(35,TblApplications[Rang frise],0),"")</f>
        <v/>
      </c>
      <c r="B43" s="50" t="str">
        <f aca="false">IF($A43="","",INDEX(TblApplications[ID],$A43))</f>
        <v/>
      </c>
      <c r="C43" s="50" t="str">
        <f aca="false">IF($A43="","",INDEX(TblApplications[Application],$A43))</f>
        <v/>
      </c>
      <c r="D43" s="50" t="str">
        <f aca="false">IF($A43="","",INDEX(TblApplications[Environnement],$A43))</f>
        <v/>
      </c>
      <c r="E43" s="50" t="str">
        <f aca="false">IF($A43="","",INDEX(TblApplications[Couloir],$A43))</f>
        <v/>
      </c>
      <c r="F43" s="50" t="str">
        <f aca="false">IF($A43="","",INDEX(TblApplications[Action],$A43))</f>
        <v/>
      </c>
      <c r="G43" s="51" t="str">
        <f aca="false">IF(OR($A43="",G$8=""),"",IF($F43="Migré","ROKS",IF($F43="À décommissionner",IF(G$8&lt;$AS43,"IKS","Décom."),IF(OR($AQ43="",$AS43=""),"",IF(G$8&lt;$AQ43,"IKS",IF(G$8&lt;$AS43,IF(G$8=$AR43,"Bascule","Double run"),"ROKS"))))))</f>
        <v/>
      </c>
      <c r="H43" s="51" t="str">
        <f aca="false">IF(OR($A43="",H$8=""),"",IF($F43="Migré","ROKS",IF($F43="À décommissionner",IF(H$8&lt;$AS43,"IKS","Décom."),IF(OR($AQ43="",$AS43=""),"",IF(H$8&lt;$AQ43,"IKS",IF(H$8&lt;$AS43,IF(H$8=$AR43,"Bascule","Double run"),"ROKS"))))))</f>
        <v/>
      </c>
      <c r="I43" s="51" t="str">
        <f aca="false">IF(OR($A43="",I$8=""),"",IF($F43="Migré","ROKS",IF($F43="À décommissionner",IF(I$8&lt;$AS43,"IKS","Décom."),IF(OR($AQ43="",$AS43=""),"",IF(I$8&lt;$AQ43,"IKS",IF(I$8&lt;$AS43,IF(I$8=$AR43,"Bascule","Double run"),"ROKS"))))))</f>
        <v/>
      </c>
      <c r="J43" s="51" t="str">
        <f aca="false">IF(OR($A43="",J$8=""),"",IF($F43="Migré","ROKS",IF($F43="À décommissionner",IF(J$8&lt;$AS43,"IKS","Décom."),IF(OR($AQ43="",$AS43=""),"",IF(J$8&lt;$AQ43,"IKS",IF(J$8&lt;$AS43,IF(J$8=$AR43,"Bascule","Double run"),"ROKS"))))))</f>
        <v/>
      </c>
      <c r="K43" s="51" t="str">
        <f aca="false">IF(OR($A43="",K$8=""),"",IF($F43="Migré","ROKS",IF($F43="À décommissionner",IF(K$8&lt;$AS43,"IKS","Décom."),IF(OR($AQ43="",$AS43=""),"",IF(K$8&lt;$AQ43,"IKS",IF(K$8&lt;$AS43,IF(K$8=$AR43,"Bascule","Double run"),"ROKS"))))))</f>
        <v/>
      </c>
      <c r="L43" s="51" t="str">
        <f aca="false">IF(OR($A43="",L$8=""),"",IF($F43="Migré","ROKS",IF($F43="À décommissionner",IF(L$8&lt;$AS43,"IKS","Décom."),IF(OR($AQ43="",$AS43=""),"",IF(L$8&lt;$AQ43,"IKS",IF(L$8&lt;$AS43,IF(L$8=$AR43,"Bascule","Double run"),"ROKS"))))))</f>
        <v/>
      </c>
      <c r="M43" s="51" t="str">
        <f aca="false">IF(OR($A43="",M$8=""),"",IF($F43="Migré","ROKS",IF($F43="À décommissionner",IF(M$8&lt;$AS43,"IKS","Décom."),IF(OR($AQ43="",$AS43=""),"",IF(M$8&lt;$AQ43,"IKS",IF(M$8&lt;$AS43,IF(M$8=$AR43,"Bascule","Double run"),"ROKS"))))))</f>
        <v/>
      </c>
      <c r="N43" s="51" t="str">
        <f aca="false">IF(OR($A43="",N$8=""),"",IF($F43="Migré","ROKS",IF($F43="À décommissionner",IF(N$8&lt;$AS43,"IKS","Décom."),IF(OR($AQ43="",$AS43=""),"",IF(N$8&lt;$AQ43,"IKS",IF(N$8&lt;$AS43,IF(N$8=$AR43,"Bascule","Double run"),"ROKS"))))))</f>
        <v/>
      </c>
      <c r="O43" s="51" t="str">
        <f aca="false">IF(OR($A43="",O$8=""),"",IF($F43="Migré","ROKS",IF($F43="À décommissionner",IF(O$8&lt;$AS43,"IKS","Décom."),IF(OR($AQ43="",$AS43=""),"",IF(O$8&lt;$AQ43,"IKS",IF(O$8&lt;$AS43,IF(O$8=$AR43,"Bascule","Double run"),"ROKS"))))))</f>
        <v/>
      </c>
      <c r="P43" s="51" t="str">
        <f aca="false">IF(OR($A43="",P$8=""),"",IF($F43="Migré","ROKS",IF($F43="À décommissionner",IF(P$8&lt;$AS43,"IKS","Décom."),IF(OR($AQ43="",$AS43=""),"",IF(P$8&lt;$AQ43,"IKS",IF(P$8&lt;$AS43,IF(P$8=$AR43,"Bascule","Double run"),"ROKS"))))))</f>
        <v/>
      </c>
      <c r="Q43" s="51" t="str">
        <f aca="false">IF(OR($A43="",Q$8=""),"",IF($F43="Migré","ROKS",IF($F43="À décommissionner",IF(Q$8&lt;$AS43,"IKS","Décom."),IF(OR($AQ43="",$AS43=""),"",IF(Q$8&lt;$AQ43,"IKS",IF(Q$8&lt;$AS43,IF(Q$8=$AR43,"Bascule","Double run"),"ROKS"))))))</f>
        <v/>
      </c>
      <c r="R43" s="51" t="str">
        <f aca="false">IF(OR($A43="",R$8=""),"",IF($F43="Migré","ROKS",IF($F43="À décommissionner",IF(R$8&lt;$AS43,"IKS","Décom."),IF(OR($AQ43="",$AS43=""),"",IF(R$8&lt;$AQ43,"IKS",IF(R$8&lt;$AS43,IF(R$8=$AR43,"Bascule","Double run"),"ROKS"))))))</f>
        <v/>
      </c>
      <c r="S43" s="51" t="str">
        <f aca="false">IF(OR($A43="",S$8=""),"",IF($F43="Migré","ROKS",IF($F43="À décommissionner",IF(S$8&lt;$AS43,"IKS","Décom."),IF(OR($AQ43="",$AS43=""),"",IF(S$8&lt;$AQ43,"IKS",IF(S$8&lt;$AS43,IF(S$8=$AR43,"Bascule","Double run"),"ROKS"))))))</f>
        <v/>
      </c>
      <c r="T43" s="51" t="str">
        <f aca="false">IF(OR($A43="",T$8=""),"",IF($F43="Migré","ROKS",IF($F43="À décommissionner",IF(T$8&lt;$AS43,"IKS","Décom."),IF(OR($AQ43="",$AS43=""),"",IF(T$8&lt;$AQ43,"IKS",IF(T$8&lt;$AS43,IF(T$8=$AR43,"Bascule","Double run"),"ROKS"))))))</f>
        <v/>
      </c>
      <c r="U43" s="51" t="str">
        <f aca="false">IF(OR($A43="",U$8=""),"",IF($F43="Migré","ROKS",IF($F43="À décommissionner",IF(U$8&lt;$AS43,"IKS","Décom."),IF(OR($AQ43="",$AS43=""),"",IF(U$8&lt;$AQ43,"IKS",IF(U$8&lt;$AS43,IF(U$8=$AR43,"Bascule","Double run"),"ROKS"))))))</f>
        <v/>
      </c>
      <c r="V43" s="51" t="str">
        <f aca="false">IF(OR($A43="",V$8=""),"",IF($F43="Migré","ROKS",IF($F43="À décommissionner",IF(V$8&lt;$AS43,"IKS","Décom."),IF(OR($AQ43="",$AS43=""),"",IF(V$8&lt;$AQ43,"IKS",IF(V$8&lt;$AS43,IF(V$8=$AR43,"Bascule","Double run"),"ROKS"))))))</f>
        <v/>
      </c>
      <c r="W43" s="51" t="str">
        <f aca="false">IF(OR($A43="",W$8=""),"",IF($F43="Migré","ROKS",IF($F43="À décommissionner",IF(W$8&lt;$AS43,"IKS","Décom."),IF(OR($AQ43="",$AS43=""),"",IF(W$8&lt;$AQ43,"IKS",IF(W$8&lt;$AS43,IF(W$8=$AR43,"Bascule","Double run"),"ROKS"))))))</f>
        <v/>
      </c>
      <c r="X43" s="51" t="str">
        <f aca="false">IF(OR($A43="",X$8=""),"",IF($F43="Migré","ROKS",IF($F43="À décommissionner",IF(X$8&lt;$AS43,"IKS","Décom."),IF(OR($AQ43="",$AS43=""),"",IF(X$8&lt;$AQ43,"IKS",IF(X$8&lt;$AS43,IF(X$8=$AR43,"Bascule","Double run"),"ROKS"))))))</f>
        <v/>
      </c>
      <c r="Y43" s="51" t="str">
        <f aca="false">IF(OR($A43="",Y$8=""),"",IF($F43="Migré","ROKS",IF($F43="À décommissionner",IF(Y$8&lt;$AS43,"IKS","Décom."),IF(OR($AQ43="",$AS43=""),"",IF(Y$8&lt;$AQ43,"IKS",IF(Y$8&lt;$AS43,IF(Y$8=$AR43,"Bascule","Double run"),"ROKS"))))))</f>
        <v/>
      </c>
      <c r="Z43" s="51" t="str">
        <f aca="false">IF(OR($A43="",Z$8=""),"",IF($F43="Migré","ROKS",IF($F43="À décommissionner",IF(Z$8&lt;$AS43,"IKS","Décom."),IF(OR($AQ43="",$AS43=""),"",IF(Z$8&lt;$AQ43,"IKS",IF(Z$8&lt;$AS43,IF(Z$8=$AR43,"Bascule","Double run"),"ROKS"))))))</f>
        <v/>
      </c>
      <c r="AA43" s="51" t="str">
        <f aca="false">IF(OR($A43="",AA$8=""),"",IF($F43="Migré","ROKS",IF($F43="À décommissionner",IF(AA$8&lt;$AS43,"IKS","Décom."),IF(OR($AQ43="",$AS43=""),"",IF(AA$8&lt;$AQ43,"IKS",IF(AA$8&lt;$AS43,IF(AA$8=$AR43,"Bascule","Double run"),"ROKS"))))))</f>
        <v/>
      </c>
      <c r="AB43" s="51" t="str">
        <f aca="false">IF(OR($A43="",AB$8=""),"",IF($F43="Migré","ROKS",IF($F43="À décommissionner",IF(AB$8&lt;$AS43,"IKS","Décom."),IF(OR($AQ43="",$AS43=""),"",IF(AB$8&lt;$AQ43,"IKS",IF(AB$8&lt;$AS43,IF(AB$8=$AR43,"Bascule","Double run"),"ROKS"))))))</f>
        <v/>
      </c>
      <c r="AC43" s="51" t="str">
        <f aca="false">IF(OR($A43="",AC$8=""),"",IF($F43="Migré","ROKS",IF($F43="À décommissionner",IF(AC$8&lt;$AS43,"IKS","Décom."),IF(OR($AQ43="",$AS43=""),"",IF(AC$8&lt;$AQ43,"IKS",IF(AC$8&lt;$AS43,IF(AC$8=$AR43,"Bascule","Double run"),"ROKS"))))))</f>
        <v/>
      </c>
      <c r="AD43" s="51" t="str">
        <f aca="false">IF(OR($A43="",AD$8=""),"",IF($F43="Migré","ROKS",IF($F43="À décommissionner",IF(AD$8&lt;$AS43,"IKS","Décom."),IF(OR($AQ43="",$AS43=""),"",IF(AD$8&lt;$AQ43,"IKS",IF(AD$8&lt;$AS43,IF(AD$8=$AR43,"Bascule","Double run"),"ROKS"))))))</f>
        <v/>
      </c>
      <c r="AE43" s="51" t="str">
        <f aca="false">IF(OR($A43="",AE$8=""),"",IF($F43="Migré","ROKS",IF($F43="À décommissionner",IF(AE$8&lt;$AS43,"IKS","Décom."),IF(OR($AQ43="",$AS43=""),"",IF(AE$8&lt;$AQ43,"IKS",IF(AE$8&lt;$AS43,IF(AE$8=$AR43,"Bascule","Double run"),"ROKS"))))))</f>
        <v/>
      </c>
      <c r="AF43" s="51" t="str">
        <f aca="false">IF(OR($A43="",AF$8=""),"",IF($F43="Migré","ROKS",IF($F43="À décommissionner",IF(AF$8&lt;$AS43,"IKS","Décom."),IF(OR($AQ43="",$AS43=""),"",IF(AF$8&lt;$AQ43,"IKS",IF(AF$8&lt;$AS43,IF(AF$8=$AR43,"Bascule","Double run"),"ROKS"))))))</f>
        <v/>
      </c>
      <c r="AG43" s="51" t="str">
        <f aca="false">IF(OR($A43="",AG$8=""),"",IF($F43="Migré","ROKS",IF($F43="À décommissionner",IF(AG$8&lt;$AS43,"IKS","Décom."),IF(OR($AQ43="",$AS43=""),"",IF(AG$8&lt;$AQ43,"IKS",IF(AG$8&lt;$AS43,IF(AG$8=$AR43,"Bascule","Double run"),"ROKS"))))))</f>
        <v/>
      </c>
      <c r="AH43" s="51" t="str">
        <f aca="false">IF(OR($A43="",AH$8=""),"",IF($F43="Migré","ROKS",IF($F43="À décommissionner",IF(AH$8&lt;$AS43,"IKS","Décom."),IF(OR($AQ43="",$AS43=""),"",IF(AH$8&lt;$AQ43,"IKS",IF(AH$8&lt;$AS43,IF(AH$8=$AR43,"Bascule","Double run"),"ROKS"))))))</f>
        <v/>
      </c>
      <c r="AI43" s="51" t="str">
        <f aca="false">IF(OR($A43="",AI$8=""),"",IF($F43="Migré","ROKS",IF($F43="À décommissionner",IF(AI$8&lt;$AS43,"IKS","Décom."),IF(OR($AQ43="",$AS43=""),"",IF(AI$8&lt;$AQ43,"IKS",IF(AI$8&lt;$AS43,IF(AI$8=$AR43,"Bascule","Double run"),"ROKS"))))))</f>
        <v/>
      </c>
      <c r="AJ43" s="51" t="str">
        <f aca="false">IF(OR($A43="",AJ$8=""),"",IF($F43="Migré","ROKS",IF($F43="À décommissionner",IF(AJ$8&lt;$AS43,"IKS","Décom."),IF(OR($AQ43="",$AS43=""),"",IF(AJ$8&lt;$AQ43,"IKS",IF(AJ$8&lt;$AS43,IF(AJ$8=$AR43,"Bascule","Double run"),"ROKS"))))))</f>
        <v/>
      </c>
      <c r="AK43" s="51" t="str">
        <f aca="false">IF(OR($A43="",AK$8=""),"",IF($F43="Migré","ROKS",IF($F43="À décommissionner",IF(AK$8&lt;$AS43,"IKS","Décom."),IF(OR($AQ43="",$AS43=""),"",IF(AK$8&lt;$AQ43,"IKS",IF(AK$8&lt;$AS43,IF(AK$8=$AR43,"Bascule","Double run"),"ROKS"))))))</f>
        <v/>
      </c>
      <c r="AL43" s="51" t="str">
        <f aca="false">IF(OR($A43="",AL$8=""),"",IF($F43="Migré","ROKS",IF($F43="À décommissionner",IF(AL$8&lt;$AS43,"IKS","Décom."),IF(OR($AQ43="",$AS43=""),"",IF(AL$8&lt;$AQ43,"IKS",IF(AL$8&lt;$AS43,IF(AL$8=$AR43,"Bascule","Double run"),"ROKS"))))))</f>
        <v/>
      </c>
      <c r="AM43" s="51" t="str">
        <f aca="false">IF(OR($A43="",AM$8=""),"",IF($F43="Migré","ROKS",IF($F43="À décommissionner",IF(AM$8&lt;$AS43,"IKS","Décom."),IF(OR($AQ43="",$AS43=""),"",IF(AM$8&lt;$AQ43,"IKS",IF(AM$8&lt;$AS43,IF(AM$8=$AR43,"Bascule","Double run"),"ROKS"))))))</f>
        <v/>
      </c>
      <c r="AN43" s="51" t="str">
        <f aca="false">IF(OR($A43="",AN$8=""),"",IF($F43="Migré","ROKS",IF($F43="À décommissionner",IF(AN$8&lt;$AS43,"IKS","Décom."),IF(OR($AQ43="",$AS43=""),"",IF(AN$8&lt;$AQ43,"IKS",IF(AN$8&lt;$AS43,IF(AN$8=$AR43,"Bascule","Double run"),"ROKS"))))))</f>
        <v/>
      </c>
      <c r="AO43" s="51" t="str">
        <f aca="false">IF(OR($A43="",AO$8=""),"",IF($F43="Migré","ROKS",IF($F43="À décommissionner",IF(AO$8&lt;$AS43,"IKS","Décom."),IF(OR($AQ43="",$AS43=""),"",IF(AO$8&lt;$AQ43,"IKS",IF(AO$8&lt;$AS43,IF(AO$8=$AR43,"Bascule","Double run"),"ROKS"))))))</f>
        <v/>
      </c>
      <c r="AP43" s="51" t="str">
        <f aca="false">IF(OR($A43="",AP$8=""),"",IF($F43="Migré","ROKS",IF($F43="À décommissionner",IF(AP$8&lt;$AS43,"IKS","Décom."),IF(OR($AQ43="",$AS43=""),"",IF(AP$8&lt;$AQ43,"IKS",IF(AP$8&lt;$AS43,IF(AP$8=$AR43,"Bascule","Double run"),"ROKS"))))))</f>
        <v/>
      </c>
      <c r="AQ43" s="0" t="str">
        <f aca="false">IF($A43="","",INDEX(TblApplications[Mois prov (calc)],$A43))</f>
        <v/>
      </c>
      <c r="AR43" s="0" t="str">
        <f aca="false">IF($A43="","",IFERROR(DATE(YEAR(INDEX(TblApplications[Mois bascule],$A43)),MONTH(INDEX(TblApplications[Mois bascule],$A43)),1),""))</f>
        <v/>
      </c>
      <c r="AS43" s="0" t="str">
        <f aca="false">IF($A43="","",INDEX(TblApplications[Mois lib (calc)],$A43))</f>
        <v/>
      </c>
    </row>
    <row r="44" customFormat="false" ht="15" hidden="false" customHeight="false" outlineLevel="0" collapsed="false">
      <c r="A44" s="49" t="str">
        <f aca="false">IFERROR(MATCH(36,TblApplications[Rang frise],0),"")</f>
        <v/>
      </c>
      <c r="B44" s="50" t="str">
        <f aca="false">IF($A44="","",INDEX(TblApplications[ID],$A44))</f>
        <v/>
      </c>
      <c r="C44" s="50" t="str">
        <f aca="false">IF($A44="","",INDEX(TblApplications[Application],$A44))</f>
        <v/>
      </c>
      <c r="D44" s="50" t="str">
        <f aca="false">IF($A44="","",INDEX(TblApplications[Environnement],$A44))</f>
        <v/>
      </c>
      <c r="E44" s="50" t="str">
        <f aca="false">IF($A44="","",INDEX(TblApplications[Couloir],$A44))</f>
        <v/>
      </c>
      <c r="F44" s="50" t="str">
        <f aca="false">IF($A44="","",INDEX(TblApplications[Action],$A44))</f>
        <v/>
      </c>
      <c r="G44" s="51" t="str">
        <f aca="false">IF(OR($A44="",G$8=""),"",IF($F44="Migré","ROKS",IF($F44="À décommissionner",IF(G$8&lt;$AS44,"IKS","Décom."),IF(OR($AQ44="",$AS44=""),"",IF(G$8&lt;$AQ44,"IKS",IF(G$8&lt;$AS44,IF(G$8=$AR44,"Bascule","Double run"),"ROKS"))))))</f>
        <v/>
      </c>
      <c r="H44" s="51" t="str">
        <f aca="false">IF(OR($A44="",H$8=""),"",IF($F44="Migré","ROKS",IF($F44="À décommissionner",IF(H$8&lt;$AS44,"IKS","Décom."),IF(OR($AQ44="",$AS44=""),"",IF(H$8&lt;$AQ44,"IKS",IF(H$8&lt;$AS44,IF(H$8=$AR44,"Bascule","Double run"),"ROKS"))))))</f>
        <v/>
      </c>
      <c r="I44" s="51" t="str">
        <f aca="false">IF(OR($A44="",I$8=""),"",IF($F44="Migré","ROKS",IF($F44="À décommissionner",IF(I$8&lt;$AS44,"IKS","Décom."),IF(OR($AQ44="",$AS44=""),"",IF(I$8&lt;$AQ44,"IKS",IF(I$8&lt;$AS44,IF(I$8=$AR44,"Bascule","Double run"),"ROKS"))))))</f>
        <v/>
      </c>
      <c r="J44" s="51" t="str">
        <f aca="false">IF(OR($A44="",J$8=""),"",IF($F44="Migré","ROKS",IF($F44="À décommissionner",IF(J$8&lt;$AS44,"IKS","Décom."),IF(OR($AQ44="",$AS44=""),"",IF(J$8&lt;$AQ44,"IKS",IF(J$8&lt;$AS44,IF(J$8=$AR44,"Bascule","Double run"),"ROKS"))))))</f>
        <v/>
      </c>
      <c r="K44" s="51" t="str">
        <f aca="false">IF(OR($A44="",K$8=""),"",IF($F44="Migré","ROKS",IF($F44="À décommissionner",IF(K$8&lt;$AS44,"IKS","Décom."),IF(OR($AQ44="",$AS44=""),"",IF(K$8&lt;$AQ44,"IKS",IF(K$8&lt;$AS44,IF(K$8=$AR44,"Bascule","Double run"),"ROKS"))))))</f>
        <v/>
      </c>
      <c r="L44" s="51" t="str">
        <f aca="false">IF(OR($A44="",L$8=""),"",IF($F44="Migré","ROKS",IF($F44="À décommissionner",IF(L$8&lt;$AS44,"IKS","Décom."),IF(OR($AQ44="",$AS44=""),"",IF(L$8&lt;$AQ44,"IKS",IF(L$8&lt;$AS44,IF(L$8=$AR44,"Bascule","Double run"),"ROKS"))))))</f>
        <v/>
      </c>
      <c r="M44" s="51" t="str">
        <f aca="false">IF(OR($A44="",M$8=""),"",IF($F44="Migré","ROKS",IF($F44="À décommissionner",IF(M$8&lt;$AS44,"IKS","Décom."),IF(OR($AQ44="",$AS44=""),"",IF(M$8&lt;$AQ44,"IKS",IF(M$8&lt;$AS44,IF(M$8=$AR44,"Bascule","Double run"),"ROKS"))))))</f>
        <v/>
      </c>
      <c r="N44" s="51" t="str">
        <f aca="false">IF(OR($A44="",N$8=""),"",IF($F44="Migré","ROKS",IF($F44="À décommissionner",IF(N$8&lt;$AS44,"IKS","Décom."),IF(OR($AQ44="",$AS44=""),"",IF(N$8&lt;$AQ44,"IKS",IF(N$8&lt;$AS44,IF(N$8=$AR44,"Bascule","Double run"),"ROKS"))))))</f>
        <v/>
      </c>
      <c r="O44" s="51" t="str">
        <f aca="false">IF(OR($A44="",O$8=""),"",IF($F44="Migré","ROKS",IF($F44="À décommissionner",IF(O$8&lt;$AS44,"IKS","Décom."),IF(OR($AQ44="",$AS44=""),"",IF(O$8&lt;$AQ44,"IKS",IF(O$8&lt;$AS44,IF(O$8=$AR44,"Bascule","Double run"),"ROKS"))))))</f>
        <v/>
      </c>
      <c r="P44" s="51" t="str">
        <f aca="false">IF(OR($A44="",P$8=""),"",IF($F44="Migré","ROKS",IF($F44="À décommissionner",IF(P$8&lt;$AS44,"IKS","Décom."),IF(OR($AQ44="",$AS44=""),"",IF(P$8&lt;$AQ44,"IKS",IF(P$8&lt;$AS44,IF(P$8=$AR44,"Bascule","Double run"),"ROKS"))))))</f>
        <v/>
      </c>
      <c r="Q44" s="51" t="str">
        <f aca="false">IF(OR($A44="",Q$8=""),"",IF($F44="Migré","ROKS",IF($F44="À décommissionner",IF(Q$8&lt;$AS44,"IKS","Décom."),IF(OR($AQ44="",$AS44=""),"",IF(Q$8&lt;$AQ44,"IKS",IF(Q$8&lt;$AS44,IF(Q$8=$AR44,"Bascule","Double run"),"ROKS"))))))</f>
        <v/>
      </c>
      <c r="R44" s="51" t="str">
        <f aca="false">IF(OR($A44="",R$8=""),"",IF($F44="Migré","ROKS",IF($F44="À décommissionner",IF(R$8&lt;$AS44,"IKS","Décom."),IF(OR($AQ44="",$AS44=""),"",IF(R$8&lt;$AQ44,"IKS",IF(R$8&lt;$AS44,IF(R$8=$AR44,"Bascule","Double run"),"ROKS"))))))</f>
        <v/>
      </c>
      <c r="S44" s="51" t="str">
        <f aca="false">IF(OR($A44="",S$8=""),"",IF($F44="Migré","ROKS",IF($F44="À décommissionner",IF(S$8&lt;$AS44,"IKS","Décom."),IF(OR($AQ44="",$AS44=""),"",IF(S$8&lt;$AQ44,"IKS",IF(S$8&lt;$AS44,IF(S$8=$AR44,"Bascule","Double run"),"ROKS"))))))</f>
        <v/>
      </c>
      <c r="T44" s="51" t="str">
        <f aca="false">IF(OR($A44="",T$8=""),"",IF($F44="Migré","ROKS",IF($F44="À décommissionner",IF(T$8&lt;$AS44,"IKS","Décom."),IF(OR($AQ44="",$AS44=""),"",IF(T$8&lt;$AQ44,"IKS",IF(T$8&lt;$AS44,IF(T$8=$AR44,"Bascule","Double run"),"ROKS"))))))</f>
        <v/>
      </c>
      <c r="U44" s="51" t="str">
        <f aca="false">IF(OR($A44="",U$8=""),"",IF($F44="Migré","ROKS",IF($F44="À décommissionner",IF(U$8&lt;$AS44,"IKS","Décom."),IF(OR($AQ44="",$AS44=""),"",IF(U$8&lt;$AQ44,"IKS",IF(U$8&lt;$AS44,IF(U$8=$AR44,"Bascule","Double run"),"ROKS"))))))</f>
        <v/>
      </c>
      <c r="V44" s="51" t="str">
        <f aca="false">IF(OR($A44="",V$8=""),"",IF($F44="Migré","ROKS",IF($F44="À décommissionner",IF(V$8&lt;$AS44,"IKS","Décom."),IF(OR($AQ44="",$AS44=""),"",IF(V$8&lt;$AQ44,"IKS",IF(V$8&lt;$AS44,IF(V$8=$AR44,"Bascule","Double run"),"ROKS"))))))</f>
        <v/>
      </c>
      <c r="W44" s="51" t="str">
        <f aca="false">IF(OR($A44="",W$8=""),"",IF($F44="Migré","ROKS",IF($F44="À décommissionner",IF(W$8&lt;$AS44,"IKS","Décom."),IF(OR($AQ44="",$AS44=""),"",IF(W$8&lt;$AQ44,"IKS",IF(W$8&lt;$AS44,IF(W$8=$AR44,"Bascule","Double run"),"ROKS"))))))</f>
        <v/>
      </c>
      <c r="X44" s="51" t="str">
        <f aca="false">IF(OR($A44="",X$8=""),"",IF($F44="Migré","ROKS",IF($F44="À décommissionner",IF(X$8&lt;$AS44,"IKS","Décom."),IF(OR($AQ44="",$AS44=""),"",IF(X$8&lt;$AQ44,"IKS",IF(X$8&lt;$AS44,IF(X$8=$AR44,"Bascule","Double run"),"ROKS"))))))</f>
        <v/>
      </c>
      <c r="Y44" s="51" t="str">
        <f aca="false">IF(OR($A44="",Y$8=""),"",IF($F44="Migré","ROKS",IF($F44="À décommissionner",IF(Y$8&lt;$AS44,"IKS","Décom."),IF(OR($AQ44="",$AS44=""),"",IF(Y$8&lt;$AQ44,"IKS",IF(Y$8&lt;$AS44,IF(Y$8=$AR44,"Bascule","Double run"),"ROKS"))))))</f>
        <v/>
      </c>
      <c r="Z44" s="51" t="str">
        <f aca="false">IF(OR($A44="",Z$8=""),"",IF($F44="Migré","ROKS",IF($F44="À décommissionner",IF(Z$8&lt;$AS44,"IKS","Décom."),IF(OR($AQ44="",$AS44=""),"",IF(Z$8&lt;$AQ44,"IKS",IF(Z$8&lt;$AS44,IF(Z$8=$AR44,"Bascule","Double run"),"ROKS"))))))</f>
        <v/>
      </c>
      <c r="AA44" s="51" t="str">
        <f aca="false">IF(OR($A44="",AA$8=""),"",IF($F44="Migré","ROKS",IF($F44="À décommissionner",IF(AA$8&lt;$AS44,"IKS","Décom."),IF(OR($AQ44="",$AS44=""),"",IF(AA$8&lt;$AQ44,"IKS",IF(AA$8&lt;$AS44,IF(AA$8=$AR44,"Bascule","Double run"),"ROKS"))))))</f>
        <v/>
      </c>
      <c r="AB44" s="51" t="str">
        <f aca="false">IF(OR($A44="",AB$8=""),"",IF($F44="Migré","ROKS",IF($F44="À décommissionner",IF(AB$8&lt;$AS44,"IKS","Décom."),IF(OR($AQ44="",$AS44=""),"",IF(AB$8&lt;$AQ44,"IKS",IF(AB$8&lt;$AS44,IF(AB$8=$AR44,"Bascule","Double run"),"ROKS"))))))</f>
        <v/>
      </c>
      <c r="AC44" s="51" t="str">
        <f aca="false">IF(OR($A44="",AC$8=""),"",IF($F44="Migré","ROKS",IF($F44="À décommissionner",IF(AC$8&lt;$AS44,"IKS","Décom."),IF(OR($AQ44="",$AS44=""),"",IF(AC$8&lt;$AQ44,"IKS",IF(AC$8&lt;$AS44,IF(AC$8=$AR44,"Bascule","Double run"),"ROKS"))))))</f>
        <v/>
      </c>
      <c r="AD44" s="51" t="str">
        <f aca="false">IF(OR($A44="",AD$8=""),"",IF($F44="Migré","ROKS",IF($F44="À décommissionner",IF(AD$8&lt;$AS44,"IKS","Décom."),IF(OR($AQ44="",$AS44=""),"",IF(AD$8&lt;$AQ44,"IKS",IF(AD$8&lt;$AS44,IF(AD$8=$AR44,"Bascule","Double run"),"ROKS"))))))</f>
        <v/>
      </c>
      <c r="AE44" s="51" t="str">
        <f aca="false">IF(OR($A44="",AE$8=""),"",IF($F44="Migré","ROKS",IF($F44="À décommissionner",IF(AE$8&lt;$AS44,"IKS","Décom."),IF(OR($AQ44="",$AS44=""),"",IF(AE$8&lt;$AQ44,"IKS",IF(AE$8&lt;$AS44,IF(AE$8=$AR44,"Bascule","Double run"),"ROKS"))))))</f>
        <v/>
      </c>
      <c r="AF44" s="51" t="str">
        <f aca="false">IF(OR($A44="",AF$8=""),"",IF($F44="Migré","ROKS",IF($F44="À décommissionner",IF(AF$8&lt;$AS44,"IKS","Décom."),IF(OR($AQ44="",$AS44=""),"",IF(AF$8&lt;$AQ44,"IKS",IF(AF$8&lt;$AS44,IF(AF$8=$AR44,"Bascule","Double run"),"ROKS"))))))</f>
        <v/>
      </c>
      <c r="AG44" s="51" t="str">
        <f aca="false">IF(OR($A44="",AG$8=""),"",IF($F44="Migré","ROKS",IF($F44="À décommissionner",IF(AG$8&lt;$AS44,"IKS","Décom."),IF(OR($AQ44="",$AS44=""),"",IF(AG$8&lt;$AQ44,"IKS",IF(AG$8&lt;$AS44,IF(AG$8=$AR44,"Bascule","Double run"),"ROKS"))))))</f>
        <v/>
      </c>
      <c r="AH44" s="51" t="str">
        <f aca="false">IF(OR($A44="",AH$8=""),"",IF($F44="Migré","ROKS",IF($F44="À décommissionner",IF(AH$8&lt;$AS44,"IKS","Décom."),IF(OR($AQ44="",$AS44=""),"",IF(AH$8&lt;$AQ44,"IKS",IF(AH$8&lt;$AS44,IF(AH$8=$AR44,"Bascule","Double run"),"ROKS"))))))</f>
        <v/>
      </c>
      <c r="AI44" s="51" t="str">
        <f aca="false">IF(OR($A44="",AI$8=""),"",IF($F44="Migré","ROKS",IF($F44="À décommissionner",IF(AI$8&lt;$AS44,"IKS","Décom."),IF(OR($AQ44="",$AS44=""),"",IF(AI$8&lt;$AQ44,"IKS",IF(AI$8&lt;$AS44,IF(AI$8=$AR44,"Bascule","Double run"),"ROKS"))))))</f>
        <v/>
      </c>
      <c r="AJ44" s="51" t="str">
        <f aca="false">IF(OR($A44="",AJ$8=""),"",IF($F44="Migré","ROKS",IF($F44="À décommissionner",IF(AJ$8&lt;$AS44,"IKS","Décom."),IF(OR($AQ44="",$AS44=""),"",IF(AJ$8&lt;$AQ44,"IKS",IF(AJ$8&lt;$AS44,IF(AJ$8=$AR44,"Bascule","Double run"),"ROKS"))))))</f>
        <v/>
      </c>
      <c r="AK44" s="51" t="str">
        <f aca="false">IF(OR($A44="",AK$8=""),"",IF($F44="Migré","ROKS",IF($F44="À décommissionner",IF(AK$8&lt;$AS44,"IKS","Décom."),IF(OR($AQ44="",$AS44=""),"",IF(AK$8&lt;$AQ44,"IKS",IF(AK$8&lt;$AS44,IF(AK$8=$AR44,"Bascule","Double run"),"ROKS"))))))</f>
        <v/>
      </c>
      <c r="AL44" s="51" t="str">
        <f aca="false">IF(OR($A44="",AL$8=""),"",IF($F44="Migré","ROKS",IF($F44="À décommissionner",IF(AL$8&lt;$AS44,"IKS","Décom."),IF(OR($AQ44="",$AS44=""),"",IF(AL$8&lt;$AQ44,"IKS",IF(AL$8&lt;$AS44,IF(AL$8=$AR44,"Bascule","Double run"),"ROKS"))))))</f>
        <v/>
      </c>
      <c r="AM44" s="51" t="str">
        <f aca="false">IF(OR($A44="",AM$8=""),"",IF($F44="Migré","ROKS",IF($F44="À décommissionner",IF(AM$8&lt;$AS44,"IKS","Décom."),IF(OR($AQ44="",$AS44=""),"",IF(AM$8&lt;$AQ44,"IKS",IF(AM$8&lt;$AS44,IF(AM$8=$AR44,"Bascule","Double run"),"ROKS"))))))</f>
        <v/>
      </c>
      <c r="AN44" s="51" t="str">
        <f aca="false">IF(OR($A44="",AN$8=""),"",IF($F44="Migré","ROKS",IF($F44="À décommissionner",IF(AN$8&lt;$AS44,"IKS","Décom."),IF(OR($AQ44="",$AS44=""),"",IF(AN$8&lt;$AQ44,"IKS",IF(AN$8&lt;$AS44,IF(AN$8=$AR44,"Bascule","Double run"),"ROKS"))))))</f>
        <v/>
      </c>
      <c r="AO44" s="51" t="str">
        <f aca="false">IF(OR($A44="",AO$8=""),"",IF($F44="Migré","ROKS",IF($F44="À décommissionner",IF(AO$8&lt;$AS44,"IKS","Décom."),IF(OR($AQ44="",$AS44=""),"",IF(AO$8&lt;$AQ44,"IKS",IF(AO$8&lt;$AS44,IF(AO$8=$AR44,"Bascule","Double run"),"ROKS"))))))</f>
        <v/>
      </c>
      <c r="AP44" s="51" t="str">
        <f aca="false">IF(OR($A44="",AP$8=""),"",IF($F44="Migré","ROKS",IF($F44="À décommissionner",IF(AP$8&lt;$AS44,"IKS","Décom."),IF(OR($AQ44="",$AS44=""),"",IF(AP$8&lt;$AQ44,"IKS",IF(AP$8&lt;$AS44,IF(AP$8=$AR44,"Bascule","Double run"),"ROKS"))))))</f>
        <v/>
      </c>
      <c r="AQ44" s="0" t="str">
        <f aca="false">IF($A44="","",INDEX(TblApplications[Mois prov (calc)],$A44))</f>
        <v/>
      </c>
      <c r="AR44" s="0" t="str">
        <f aca="false">IF($A44="","",IFERROR(DATE(YEAR(INDEX(TblApplications[Mois bascule],$A44)),MONTH(INDEX(TblApplications[Mois bascule],$A44)),1),""))</f>
        <v/>
      </c>
      <c r="AS44" s="0" t="str">
        <f aca="false">IF($A44="","",INDEX(TblApplications[Mois lib (calc)],$A44))</f>
        <v/>
      </c>
    </row>
    <row r="45" customFormat="false" ht="15" hidden="false" customHeight="false" outlineLevel="0" collapsed="false">
      <c r="A45" s="49" t="str">
        <f aca="false">IFERROR(MATCH(37,TblApplications[Rang frise],0),"")</f>
        <v/>
      </c>
      <c r="B45" s="50" t="str">
        <f aca="false">IF($A45="","",INDEX(TblApplications[ID],$A45))</f>
        <v/>
      </c>
      <c r="C45" s="50" t="str">
        <f aca="false">IF($A45="","",INDEX(TblApplications[Application],$A45))</f>
        <v/>
      </c>
      <c r="D45" s="50" t="str">
        <f aca="false">IF($A45="","",INDEX(TblApplications[Environnement],$A45))</f>
        <v/>
      </c>
      <c r="E45" s="50" t="str">
        <f aca="false">IF($A45="","",INDEX(TblApplications[Couloir],$A45))</f>
        <v/>
      </c>
      <c r="F45" s="50" t="str">
        <f aca="false">IF($A45="","",INDEX(TblApplications[Action],$A45))</f>
        <v/>
      </c>
      <c r="G45" s="51" t="str">
        <f aca="false">IF(OR($A45="",G$8=""),"",IF($F45="Migré","ROKS",IF($F45="À décommissionner",IF(G$8&lt;$AS45,"IKS","Décom."),IF(OR($AQ45="",$AS45=""),"",IF(G$8&lt;$AQ45,"IKS",IF(G$8&lt;$AS45,IF(G$8=$AR45,"Bascule","Double run"),"ROKS"))))))</f>
        <v/>
      </c>
      <c r="H45" s="51" t="str">
        <f aca="false">IF(OR($A45="",H$8=""),"",IF($F45="Migré","ROKS",IF($F45="À décommissionner",IF(H$8&lt;$AS45,"IKS","Décom."),IF(OR($AQ45="",$AS45=""),"",IF(H$8&lt;$AQ45,"IKS",IF(H$8&lt;$AS45,IF(H$8=$AR45,"Bascule","Double run"),"ROKS"))))))</f>
        <v/>
      </c>
      <c r="I45" s="51" t="str">
        <f aca="false">IF(OR($A45="",I$8=""),"",IF($F45="Migré","ROKS",IF($F45="À décommissionner",IF(I$8&lt;$AS45,"IKS","Décom."),IF(OR($AQ45="",$AS45=""),"",IF(I$8&lt;$AQ45,"IKS",IF(I$8&lt;$AS45,IF(I$8=$AR45,"Bascule","Double run"),"ROKS"))))))</f>
        <v/>
      </c>
      <c r="J45" s="51" t="str">
        <f aca="false">IF(OR($A45="",J$8=""),"",IF($F45="Migré","ROKS",IF($F45="À décommissionner",IF(J$8&lt;$AS45,"IKS","Décom."),IF(OR($AQ45="",$AS45=""),"",IF(J$8&lt;$AQ45,"IKS",IF(J$8&lt;$AS45,IF(J$8=$AR45,"Bascule","Double run"),"ROKS"))))))</f>
        <v/>
      </c>
      <c r="K45" s="51" t="str">
        <f aca="false">IF(OR($A45="",K$8=""),"",IF($F45="Migré","ROKS",IF($F45="À décommissionner",IF(K$8&lt;$AS45,"IKS","Décom."),IF(OR($AQ45="",$AS45=""),"",IF(K$8&lt;$AQ45,"IKS",IF(K$8&lt;$AS45,IF(K$8=$AR45,"Bascule","Double run"),"ROKS"))))))</f>
        <v/>
      </c>
      <c r="L45" s="51" t="str">
        <f aca="false">IF(OR($A45="",L$8=""),"",IF($F45="Migré","ROKS",IF($F45="À décommissionner",IF(L$8&lt;$AS45,"IKS","Décom."),IF(OR($AQ45="",$AS45=""),"",IF(L$8&lt;$AQ45,"IKS",IF(L$8&lt;$AS45,IF(L$8=$AR45,"Bascule","Double run"),"ROKS"))))))</f>
        <v/>
      </c>
      <c r="M45" s="51" t="str">
        <f aca="false">IF(OR($A45="",M$8=""),"",IF($F45="Migré","ROKS",IF($F45="À décommissionner",IF(M$8&lt;$AS45,"IKS","Décom."),IF(OR($AQ45="",$AS45=""),"",IF(M$8&lt;$AQ45,"IKS",IF(M$8&lt;$AS45,IF(M$8=$AR45,"Bascule","Double run"),"ROKS"))))))</f>
        <v/>
      </c>
      <c r="N45" s="51" t="str">
        <f aca="false">IF(OR($A45="",N$8=""),"",IF($F45="Migré","ROKS",IF($F45="À décommissionner",IF(N$8&lt;$AS45,"IKS","Décom."),IF(OR($AQ45="",$AS45=""),"",IF(N$8&lt;$AQ45,"IKS",IF(N$8&lt;$AS45,IF(N$8=$AR45,"Bascule","Double run"),"ROKS"))))))</f>
        <v/>
      </c>
      <c r="O45" s="51" t="str">
        <f aca="false">IF(OR($A45="",O$8=""),"",IF($F45="Migré","ROKS",IF($F45="À décommissionner",IF(O$8&lt;$AS45,"IKS","Décom."),IF(OR($AQ45="",$AS45=""),"",IF(O$8&lt;$AQ45,"IKS",IF(O$8&lt;$AS45,IF(O$8=$AR45,"Bascule","Double run"),"ROKS"))))))</f>
        <v/>
      </c>
      <c r="P45" s="51" t="str">
        <f aca="false">IF(OR($A45="",P$8=""),"",IF($F45="Migré","ROKS",IF($F45="À décommissionner",IF(P$8&lt;$AS45,"IKS","Décom."),IF(OR($AQ45="",$AS45=""),"",IF(P$8&lt;$AQ45,"IKS",IF(P$8&lt;$AS45,IF(P$8=$AR45,"Bascule","Double run"),"ROKS"))))))</f>
        <v/>
      </c>
      <c r="Q45" s="51" t="str">
        <f aca="false">IF(OR($A45="",Q$8=""),"",IF($F45="Migré","ROKS",IF($F45="À décommissionner",IF(Q$8&lt;$AS45,"IKS","Décom."),IF(OR($AQ45="",$AS45=""),"",IF(Q$8&lt;$AQ45,"IKS",IF(Q$8&lt;$AS45,IF(Q$8=$AR45,"Bascule","Double run"),"ROKS"))))))</f>
        <v/>
      </c>
      <c r="R45" s="51" t="str">
        <f aca="false">IF(OR($A45="",R$8=""),"",IF($F45="Migré","ROKS",IF($F45="À décommissionner",IF(R$8&lt;$AS45,"IKS","Décom."),IF(OR($AQ45="",$AS45=""),"",IF(R$8&lt;$AQ45,"IKS",IF(R$8&lt;$AS45,IF(R$8=$AR45,"Bascule","Double run"),"ROKS"))))))</f>
        <v/>
      </c>
      <c r="S45" s="51" t="str">
        <f aca="false">IF(OR($A45="",S$8=""),"",IF($F45="Migré","ROKS",IF($F45="À décommissionner",IF(S$8&lt;$AS45,"IKS","Décom."),IF(OR($AQ45="",$AS45=""),"",IF(S$8&lt;$AQ45,"IKS",IF(S$8&lt;$AS45,IF(S$8=$AR45,"Bascule","Double run"),"ROKS"))))))</f>
        <v/>
      </c>
      <c r="T45" s="51" t="str">
        <f aca="false">IF(OR($A45="",T$8=""),"",IF($F45="Migré","ROKS",IF($F45="À décommissionner",IF(T$8&lt;$AS45,"IKS","Décom."),IF(OR($AQ45="",$AS45=""),"",IF(T$8&lt;$AQ45,"IKS",IF(T$8&lt;$AS45,IF(T$8=$AR45,"Bascule","Double run"),"ROKS"))))))</f>
        <v/>
      </c>
      <c r="U45" s="51" t="str">
        <f aca="false">IF(OR($A45="",U$8=""),"",IF($F45="Migré","ROKS",IF($F45="À décommissionner",IF(U$8&lt;$AS45,"IKS","Décom."),IF(OR($AQ45="",$AS45=""),"",IF(U$8&lt;$AQ45,"IKS",IF(U$8&lt;$AS45,IF(U$8=$AR45,"Bascule","Double run"),"ROKS"))))))</f>
        <v/>
      </c>
      <c r="V45" s="51" t="str">
        <f aca="false">IF(OR($A45="",V$8=""),"",IF($F45="Migré","ROKS",IF($F45="À décommissionner",IF(V$8&lt;$AS45,"IKS","Décom."),IF(OR($AQ45="",$AS45=""),"",IF(V$8&lt;$AQ45,"IKS",IF(V$8&lt;$AS45,IF(V$8=$AR45,"Bascule","Double run"),"ROKS"))))))</f>
        <v/>
      </c>
      <c r="W45" s="51" t="str">
        <f aca="false">IF(OR($A45="",W$8=""),"",IF($F45="Migré","ROKS",IF($F45="À décommissionner",IF(W$8&lt;$AS45,"IKS","Décom."),IF(OR($AQ45="",$AS45=""),"",IF(W$8&lt;$AQ45,"IKS",IF(W$8&lt;$AS45,IF(W$8=$AR45,"Bascule","Double run"),"ROKS"))))))</f>
        <v/>
      </c>
      <c r="X45" s="51" t="str">
        <f aca="false">IF(OR($A45="",X$8=""),"",IF($F45="Migré","ROKS",IF($F45="À décommissionner",IF(X$8&lt;$AS45,"IKS","Décom."),IF(OR($AQ45="",$AS45=""),"",IF(X$8&lt;$AQ45,"IKS",IF(X$8&lt;$AS45,IF(X$8=$AR45,"Bascule","Double run"),"ROKS"))))))</f>
        <v/>
      </c>
      <c r="Y45" s="51" t="str">
        <f aca="false">IF(OR($A45="",Y$8=""),"",IF($F45="Migré","ROKS",IF($F45="À décommissionner",IF(Y$8&lt;$AS45,"IKS","Décom."),IF(OR($AQ45="",$AS45=""),"",IF(Y$8&lt;$AQ45,"IKS",IF(Y$8&lt;$AS45,IF(Y$8=$AR45,"Bascule","Double run"),"ROKS"))))))</f>
        <v/>
      </c>
      <c r="Z45" s="51" t="str">
        <f aca="false">IF(OR($A45="",Z$8=""),"",IF($F45="Migré","ROKS",IF($F45="À décommissionner",IF(Z$8&lt;$AS45,"IKS","Décom."),IF(OR($AQ45="",$AS45=""),"",IF(Z$8&lt;$AQ45,"IKS",IF(Z$8&lt;$AS45,IF(Z$8=$AR45,"Bascule","Double run"),"ROKS"))))))</f>
        <v/>
      </c>
      <c r="AA45" s="51" t="str">
        <f aca="false">IF(OR($A45="",AA$8=""),"",IF($F45="Migré","ROKS",IF($F45="À décommissionner",IF(AA$8&lt;$AS45,"IKS","Décom."),IF(OR($AQ45="",$AS45=""),"",IF(AA$8&lt;$AQ45,"IKS",IF(AA$8&lt;$AS45,IF(AA$8=$AR45,"Bascule","Double run"),"ROKS"))))))</f>
        <v/>
      </c>
      <c r="AB45" s="51" t="str">
        <f aca="false">IF(OR($A45="",AB$8=""),"",IF($F45="Migré","ROKS",IF($F45="À décommissionner",IF(AB$8&lt;$AS45,"IKS","Décom."),IF(OR($AQ45="",$AS45=""),"",IF(AB$8&lt;$AQ45,"IKS",IF(AB$8&lt;$AS45,IF(AB$8=$AR45,"Bascule","Double run"),"ROKS"))))))</f>
        <v/>
      </c>
      <c r="AC45" s="51" t="str">
        <f aca="false">IF(OR($A45="",AC$8=""),"",IF($F45="Migré","ROKS",IF($F45="À décommissionner",IF(AC$8&lt;$AS45,"IKS","Décom."),IF(OR($AQ45="",$AS45=""),"",IF(AC$8&lt;$AQ45,"IKS",IF(AC$8&lt;$AS45,IF(AC$8=$AR45,"Bascule","Double run"),"ROKS"))))))</f>
        <v/>
      </c>
      <c r="AD45" s="51" t="str">
        <f aca="false">IF(OR($A45="",AD$8=""),"",IF($F45="Migré","ROKS",IF($F45="À décommissionner",IF(AD$8&lt;$AS45,"IKS","Décom."),IF(OR($AQ45="",$AS45=""),"",IF(AD$8&lt;$AQ45,"IKS",IF(AD$8&lt;$AS45,IF(AD$8=$AR45,"Bascule","Double run"),"ROKS"))))))</f>
        <v/>
      </c>
      <c r="AE45" s="51" t="str">
        <f aca="false">IF(OR($A45="",AE$8=""),"",IF($F45="Migré","ROKS",IF($F45="À décommissionner",IF(AE$8&lt;$AS45,"IKS","Décom."),IF(OR($AQ45="",$AS45=""),"",IF(AE$8&lt;$AQ45,"IKS",IF(AE$8&lt;$AS45,IF(AE$8=$AR45,"Bascule","Double run"),"ROKS"))))))</f>
        <v/>
      </c>
      <c r="AF45" s="51" t="str">
        <f aca="false">IF(OR($A45="",AF$8=""),"",IF($F45="Migré","ROKS",IF($F45="À décommissionner",IF(AF$8&lt;$AS45,"IKS","Décom."),IF(OR($AQ45="",$AS45=""),"",IF(AF$8&lt;$AQ45,"IKS",IF(AF$8&lt;$AS45,IF(AF$8=$AR45,"Bascule","Double run"),"ROKS"))))))</f>
        <v/>
      </c>
      <c r="AG45" s="51" t="str">
        <f aca="false">IF(OR($A45="",AG$8=""),"",IF($F45="Migré","ROKS",IF($F45="À décommissionner",IF(AG$8&lt;$AS45,"IKS","Décom."),IF(OR($AQ45="",$AS45=""),"",IF(AG$8&lt;$AQ45,"IKS",IF(AG$8&lt;$AS45,IF(AG$8=$AR45,"Bascule","Double run"),"ROKS"))))))</f>
        <v/>
      </c>
      <c r="AH45" s="51" t="str">
        <f aca="false">IF(OR($A45="",AH$8=""),"",IF($F45="Migré","ROKS",IF($F45="À décommissionner",IF(AH$8&lt;$AS45,"IKS","Décom."),IF(OR($AQ45="",$AS45=""),"",IF(AH$8&lt;$AQ45,"IKS",IF(AH$8&lt;$AS45,IF(AH$8=$AR45,"Bascule","Double run"),"ROKS"))))))</f>
        <v/>
      </c>
      <c r="AI45" s="51" t="str">
        <f aca="false">IF(OR($A45="",AI$8=""),"",IF($F45="Migré","ROKS",IF($F45="À décommissionner",IF(AI$8&lt;$AS45,"IKS","Décom."),IF(OR($AQ45="",$AS45=""),"",IF(AI$8&lt;$AQ45,"IKS",IF(AI$8&lt;$AS45,IF(AI$8=$AR45,"Bascule","Double run"),"ROKS"))))))</f>
        <v/>
      </c>
      <c r="AJ45" s="51" t="str">
        <f aca="false">IF(OR($A45="",AJ$8=""),"",IF($F45="Migré","ROKS",IF($F45="À décommissionner",IF(AJ$8&lt;$AS45,"IKS","Décom."),IF(OR($AQ45="",$AS45=""),"",IF(AJ$8&lt;$AQ45,"IKS",IF(AJ$8&lt;$AS45,IF(AJ$8=$AR45,"Bascule","Double run"),"ROKS"))))))</f>
        <v/>
      </c>
      <c r="AK45" s="51" t="str">
        <f aca="false">IF(OR($A45="",AK$8=""),"",IF($F45="Migré","ROKS",IF($F45="À décommissionner",IF(AK$8&lt;$AS45,"IKS","Décom."),IF(OR($AQ45="",$AS45=""),"",IF(AK$8&lt;$AQ45,"IKS",IF(AK$8&lt;$AS45,IF(AK$8=$AR45,"Bascule","Double run"),"ROKS"))))))</f>
        <v/>
      </c>
      <c r="AL45" s="51" t="str">
        <f aca="false">IF(OR($A45="",AL$8=""),"",IF($F45="Migré","ROKS",IF($F45="À décommissionner",IF(AL$8&lt;$AS45,"IKS","Décom."),IF(OR($AQ45="",$AS45=""),"",IF(AL$8&lt;$AQ45,"IKS",IF(AL$8&lt;$AS45,IF(AL$8=$AR45,"Bascule","Double run"),"ROKS"))))))</f>
        <v/>
      </c>
      <c r="AM45" s="51" t="str">
        <f aca="false">IF(OR($A45="",AM$8=""),"",IF($F45="Migré","ROKS",IF($F45="À décommissionner",IF(AM$8&lt;$AS45,"IKS","Décom."),IF(OR($AQ45="",$AS45=""),"",IF(AM$8&lt;$AQ45,"IKS",IF(AM$8&lt;$AS45,IF(AM$8=$AR45,"Bascule","Double run"),"ROKS"))))))</f>
        <v/>
      </c>
      <c r="AN45" s="51" t="str">
        <f aca="false">IF(OR($A45="",AN$8=""),"",IF($F45="Migré","ROKS",IF($F45="À décommissionner",IF(AN$8&lt;$AS45,"IKS","Décom."),IF(OR($AQ45="",$AS45=""),"",IF(AN$8&lt;$AQ45,"IKS",IF(AN$8&lt;$AS45,IF(AN$8=$AR45,"Bascule","Double run"),"ROKS"))))))</f>
        <v/>
      </c>
      <c r="AO45" s="51" t="str">
        <f aca="false">IF(OR($A45="",AO$8=""),"",IF($F45="Migré","ROKS",IF($F45="À décommissionner",IF(AO$8&lt;$AS45,"IKS","Décom."),IF(OR($AQ45="",$AS45=""),"",IF(AO$8&lt;$AQ45,"IKS",IF(AO$8&lt;$AS45,IF(AO$8=$AR45,"Bascule","Double run"),"ROKS"))))))</f>
        <v/>
      </c>
      <c r="AP45" s="51" t="str">
        <f aca="false">IF(OR($A45="",AP$8=""),"",IF($F45="Migré","ROKS",IF($F45="À décommissionner",IF(AP$8&lt;$AS45,"IKS","Décom."),IF(OR($AQ45="",$AS45=""),"",IF(AP$8&lt;$AQ45,"IKS",IF(AP$8&lt;$AS45,IF(AP$8=$AR45,"Bascule","Double run"),"ROKS"))))))</f>
        <v/>
      </c>
      <c r="AQ45" s="0" t="str">
        <f aca="false">IF($A45="","",INDEX(TblApplications[Mois prov (calc)],$A45))</f>
        <v/>
      </c>
      <c r="AR45" s="0" t="str">
        <f aca="false">IF($A45="","",IFERROR(DATE(YEAR(INDEX(TblApplications[Mois bascule],$A45)),MONTH(INDEX(TblApplications[Mois bascule],$A45)),1),""))</f>
        <v/>
      </c>
      <c r="AS45" s="0" t="str">
        <f aca="false">IF($A45="","",INDEX(TblApplications[Mois lib (calc)],$A45))</f>
        <v/>
      </c>
    </row>
    <row r="46" customFormat="false" ht="15" hidden="false" customHeight="false" outlineLevel="0" collapsed="false">
      <c r="A46" s="49" t="str">
        <f aca="false">IFERROR(MATCH(38,TblApplications[Rang frise],0),"")</f>
        <v/>
      </c>
      <c r="B46" s="50" t="str">
        <f aca="false">IF($A46="","",INDEX(TblApplications[ID],$A46))</f>
        <v/>
      </c>
      <c r="C46" s="50" t="str">
        <f aca="false">IF($A46="","",INDEX(TblApplications[Application],$A46))</f>
        <v/>
      </c>
      <c r="D46" s="50" t="str">
        <f aca="false">IF($A46="","",INDEX(TblApplications[Environnement],$A46))</f>
        <v/>
      </c>
      <c r="E46" s="50" t="str">
        <f aca="false">IF($A46="","",INDEX(TblApplications[Couloir],$A46))</f>
        <v/>
      </c>
      <c r="F46" s="50" t="str">
        <f aca="false">IF($A46="","",INDEX(TblApplications[Action],$A46))</f>
        <v/>
      </c>
      <c r="G46" s="51" t="str">
        <f aca="false">IF(OR($A46="",G$8=""),"",IF($F46="Migré","ROKS",IF($F46="À décommissionner",IF(G$8&lt;$AS46,"IKS","Décom."),IF(OR($AQ46="",$AS46=""),"",IF(G$8&lt;$AQ46,"IKS",IF(G$8&lt;$AS46,IF(G$8=$AR46,"Bascule","Double run"),"ROKS"))))))</f>
        <v/>
      </c>
      <c r="H46" s="51" t="str">
        <f aca="false">IF(OR($A46="",H$8=""),"",IF($F46="Migré","ROKS",IF($F46="À décommissionner",IF(H$8&lt;$AS46,"IKS","Décom."),IF(OR($AQ46="",$AS46=""),"",IF(H$8&lt;$AQ46,"IKS",IF(H$8&lt;$AS46,IF(H$8=$AR46,"Bascule","Double run"),"ROKS"))))))</f>
        <v/>
      </c>
      <c r="I46" s="51" t="str">
        <f aca="false">IF(OR($A46="",I$8=""),"",IF($F46="Migré","ROKS",IF($F46="À décommissionner",IF(I$8&lt;$AS46,"IKS","Décom."),IF(OR($AQ46="",$AS46=""),"",IF(I$8&lt;$AQ46,"IKS",IF(I$8&lt;$AS46,IF(I$8=$AR46,"Bascule","Double run"),"ROKS"))))))</f>
        <v/>
      </c>
      <c r="J46" s="51" t="str">
        <f aca="false">IF(OR($A46="",J$8=""),"",IF($F46="Migré","ROKS",IF($F46="À décommissionner",IF(J$8&lt;$AS46,"IKS","Décom."),IF(OR($AQ46="",$AS46=""),"",IF(J$8&lt;$AQ46,"IKS",IF(J$8&lt;$AS46,IF(J$8=$AR46,"Bascule","Double run"),"ROKS"))))))</f>
        <v/>
      </c>
      <c r="K46" s="51" t="str">
        <f aca="false">IF(OR($A46="",K$8=""),"",IF($F46="Migré","ROKS",IF($F46="À décommissionner",IF(K$8&lt;$AS46,"IKS","Décom."),IF(OR($AQ46="",$AS46=""),"",IF(K$8&lt;$AQ46,"IKS",IF(K$8&lt;$AS46,IF(K$8=$AR46,"Bascule","Double run"),"ROKS"))))))</f>
        <v/>
      </c>
      <c r="L46" s="51" t="str">
        <f aca="false">IF(OR($A46="",L$8=""),"",IF($F46="Migré","ROKS",IF($F46="À décommissionner",IF(L$8&lt;$AS46,"IKS","Décom."),IF(OR($AQ46="",$AS46=""),"",IF(L$8&lt;$AQ46,"IKS",IF(L$8&lt;$AS46,IF(L$8=$AR46,"Bascule","Double run"),"ROKS"))))))</f>
        <v/>
      </c>
      <c r="M46" s="51" t="str">
        <f aca="false">IF(OR($A46="",M$8=""),"",IF($F46="Migré","ROKS",IF($F46="À décommissionner",IF(M$8&lt;$AS46,"IKS","Décom."),IF(OR($AQ46="",$AS46=""),"",IF(M$8&lt;$AQ46,"IKS",IF(M$8&lt;$AS46,IF(M$8=$AR46,"Bascule","Double run"),"ROKS"))))))</f>
        <v/>
      </c>
      <c r="N46" s="51" t="str">
        <f aca="false">IF(OR($A46="",N$8=""),"",IF($F46="Migré","ROKS",IF($F46="À décommissionner",IF(N$8&lt;$AS46,"IKS","Décom."),IF(OR($AQ46="",$AS46=""),"",IF(N$8&lt;$AQ46,"IKS",IF(N$8&lt;$AS46,IF(N$8=$AR46,"Bascule","Double run"),"ROKS"))))))</f>
        <v/>
      </c>
      <c r="O46" s="51" t="str">
        <f aca="false">IF(OR($A46="",O$8=""),"",IF($F46="Migré","ROKS",IF($F46="À décommissionner",IF(O$8&lt;$AS46,"IKS","Décom."),IF(OR($AQ46="",$AS46=""),"",IF(O$8&lt;$AQ46,"IKS",IF(O$8&lt;$AS46,IF(O$8=$AR46,"Bascule","Double run"),"ROKS"))))))</f>
        <v/>
      </c>
      <c r="P46" s="51" t="str">
        <f aca="false">IF(OR($A46="",P$8=""),"",IF($F46="Migré","ROKS",IF($F46="À décommissionner",IF(P$8&lt;$AS46,"IKS","Décom."),IF(OR($AQ46="",$AS46=""),"",IF(P$8&lt;$AQ46,"IKS",IF(P$8&lt;$AS46,IF(P$8=$AR46,"Bascule","Double run"),"ROKS"))))))</f>
        <v/>
      </c>
      <c r="Q46" s="51" t="str">
        <f aca="false">IF(OR($A46="",Q$8=""),"",IF($F46="Migré","ROKS",IF($F46="À décommissionner",IF(Q$8&lt;$AS46,"IKS","Décom."),IF(OR($AQ46="",$AS46=""),"",IF(Q$8&lt;$AQ46,"IKS",IF(Q$8&lt;$AS46,IF(Q$8=$AR46,"Bascule","Double run"),"ROKS"))))))</f>
        <v/>
      </c>
      <c r="R46" s="51" t="str">
        <f aca="false">IF(OR($A46="",R$8=""),"",IF($F46="Migré","ROKS",IF($F46="À décommissionner",IF(R$8&lt;$AS46,"IKS","Décom."),IF(OR($AQ46="",$AS46=""),"",IF(R$8&lt;$AQ46,"IKS",IF(R$8&lt;$AS46,IF(R$8=$AR46,"Bascule","Double run"),"ROKS"))))))</f>
        <v/>
      </c>
      <c r="S46" s="51" t="str">
        <f aca="false">IF(OR($A46="",S$8=""),"",IF($F46="Migré","ROKS",IF($F46="À décommissionner",IF(S$8&lt;$AS46,"IKS","Décom."),IF(OR($AQ46="",$AS46=""),"",IF(S$8&lt;$AQ46,"IKS",IF(S$8&lt;$AS46,IF(S$8=$AR46,"Bascule","Double run"),"ROKS"))))))</f>
        <v/>
      </c>
      <c r="T46" s="51" t="str">
        <f aca="false">IF(OR($A46="",T$8=""),"",IF($F46="Migré","ROKS",IF($F46="À décommissionner",IF(T$8&lt;$AS46,"IKS","Décom."),IF(OR($AQ46="",$AS46=""),"",IF(T$8&lt;$AQ46,"IKS",IF(T$8&lt;$AS46,IF(T$8=$AR46,"Bascule","Double run"),"ROKS"))))))</f>
        <v/>
      </c>
      <c r="U46" s="51" t="str">
        <f aca="false">IF(OR($A46="",U$8=""),"",IF($F46="Migré","ROKS",IF($F46="À décommissionner",IF(U$8&lt;$AS46,"IKS","Décom."),IF(OR($AQ46="",$AS46=""),"",IF(U$8&lt;$AQ46,"IKS",IF(U$8&lt;$AS46,IF(U$8=$AR46,"Bascule","Double run"),"ROKS"))))))</f>
        <v/>
      </c>
      <c r="V46" s="51" t="str">
        <f aca="false">IF(OR($A46="",V$8=""),"",IF($F46="Migré","ROKS",IF($F46="À décommissionner",IF(V$8&lt;$AS46,"IKS","Décom."),IF(OR($AQ46="",$AS46=""),"",IF(V$8&lt;$AQ46,"IKS",IF(V$8&lt;$AS46,IF(V$8=$AR46,"Bascule","Double run"),"ROKS"))))))</f>
        <v/>
      </c>
      <c r="W46" s="51" t="str">
        <f aca="false">IF(OR($A46="",W$8=""),"",IF($F46="Migré","ROKS",IF($F46="À décommissionner",IF(W$8&lt;$AS46,"IKS","Décom."),IF(OR($AQ46="",$AS46=""),"",IF(W$8&lt;$AQ46,"IKS",IF(W$8&lt;$AS46,IF(W$8=$AR46,"Bascule","Double run"),"ROKS"))))))</f>
        <v/>
      </c>
      <c r="X46" s="51" t="str">
        <f aca="false">IF(OR($A46="",X$8=""),"",IF($F46="Migré","ROKS",IF($F46="À décommissionner",IF(X$8&lt;$AS46,"IKS","Décom."),IF(OR($AQ46="",$AS46=""),"",IF(X$8&lt;$AQ46,"IKS",IF(X$8&lt;$AS46,IF(X$8=$AR46,"Bascule","Double run"),"ROKS"))))))</f>
        <v/>
      </c>
      <c r="Y46" s="51" t="str">
        <f aca="false">IF(OR($A46="",Y$8=""),"",IF($F46="Migré","ROKS",IF($F46="À décommissionner",IF(Y$8&lt;$AS46,"IKS","Décom."),IF(OR($AQ46="",$AS46=""),"",IF(Y$8&lt;$AQ46,"IKS",IF(Y$8&lt;$AS46,IF(Y$8=$AR46,"Bascule","Double run"),"ROKS"))))))</f>
        <v/>
      </c>
      <c r="Z46" s="51" t="str">
        <f aca="false">IF(OR($A46="",Z$8=""),"",IF($F46="Migré","ROKS",IF($F46="À décommissionner",IF(Z$8&lt;$AS46,"IKS","Décom."),IF(OR($AQ46="",$AS46=""),"",IF(Z$8&lt;$AQ46,"IKS",IF(Z$8&lt;$AS46,IF(Z$8=$AR46,"Bascule","Double run"),"ROKS"))))))</f>
        <v/>
      </c>
      <c r="AA46" s="51" t="str">
        <f aca="false">IF(OR($A46="",AA$8=""),"",IF($F46="Migré","ROKS",IF($F46="À décommissionner",IF(AA$8&lt;$AS46,"IKS","Décom."),IF(OR($AQ46="",$AS46=""),"",IF(AA$8&lt;$AQ46,"IKS",IF(AA$8&lt;$AS46,IF(AA$8=$AR46,"Bascule","Double run"),"ROKS"))))))</f>
        <v/>
      </c>
      <c r="AB46" s="51" t="str">
        <f aca="false">IF(OR($A46="",AB$8=""),"",IF($F46="Migré","ROKS",IF($F46="À décommissionner",IF(AB$8&lt;$AS46,"IKS","Décom."),IF(OR($AQ46="",$AS46=""),"",IF(AB$8&lt;$AQ46,"IKS",IF(AB$8&lt;$AS46,IF(AB$8=$AR46,"Bascule","Double run"),"ROKS"))))))</f>
        <v/>
      </c>
      <c r="AC46" s="51" t="str">
        <f aca="false">IF(OR($A46="",AC$8=""),"",IF($F46="Migré","ROKS",IF($F46="À décommissionner",IF(AC$8&lt;$AS46,"IKS","Décom."),IF(OR($AQ46="",$AS46=""),"",IF(AC$8&lt;$AQ46,"IKS",IF(AC$8&lt;$AS46,IF(AC$8=$AR46,"Bascule","Double run"),"ROKS"))))))</f>
        <v/>
      </c>
      <c r="AD46" s="51" t="str">
        <f aca="false">IF(OR($A46="",AD$8=""),"",IF($F46="Migré","ROKS",IF($F46="À décommissionner",IF(AD$8&lt;$AS46,"IKS","Décom."),IF(OR($AQ46="",$AS46=""),"",IF(AD$8&lt;$AQ46,"IKS",IF(AD$8&lt;$AS46,IF(AD$8=$AR46,"Bascule","Double run"),"ROKS"))))))</f>
        <v/>
      </c>
      <c r="AE46" s="51" t="str">
        <f aca="false">IF(OR($A46="",AE$8=""),"",IF($F46="Migré","ROKS",IF($F46="À décommissionner",IF(AE$8&lt;$AS46,"IKS","Décom."),IF(OR($AQ46="",$AS46=""),"",IF(AE$8&lt;$AQ46,"IKS",IF(AE$8&lt;$AS46,IF(AE$8=$AR46,"Bascule","Double run"),"ROKS"))))))</f>
        <v/>
      </c>
      <c r="AF46" s="51" t="str">
        <f aca="false">IF(OR($A46="",AF$8=""),"",IF($F46="Migré","ROKS",IF($F46="À décommissionner",IF(AF$8&lt;$AS46,"IKS","Décom."),IF(OR($AQ46="",$AS46=""),"",IF(AF$8&lt;$AQ46,"IKS",IF(AF$8&lt;$AS46,IF(AF$8=$AR46,"Bascule","Double run"),"ROKS"))))))</f>
        <v/>
      </c>
      <c r="AG46" s="51" t="str">
        <f aca="false">IF(OR($A46="",AG$8=""),"",IF($F46="Migré","ROKS",IF($F46="À décommissionner",IF(AG$8&lt;$AS46,"IKS","Décom."),IF(OR($AQ46="",$AS46=""),"",IF(AG$8&lt;$AQ46,"IKS",IF(AG$8&lt;$AS46,IF(AG$8=$AR46,"Bascule","Double run"),"ROKS"))))))</f>
        <v/>
      </c>
      <c r="AH46" s="51" t="str">
        <f aca="false">IF(OR($A46="",AH$8=""),"",IF($F46="Migré","ROKS",IF($F46="À décommissionner",IF(AH$8&lt;$AS46,"IKS","Décom."),IF(OR($AQ46="",$AS46=""),"",IF(AH$8&lt;$AQ46,"IKS",IF(AH$8&lt;$AS46,IF(AH$8=$AR46,"Bascule","Double run"),"ROKS"))))))</f>
        <v/>
      </c>
      <c r="AI46" s="51" t="str">
        <f aca="false">IF(OR($A46="",AI$8=""),"",IF($F46="Migré","ROKS",IF($F46="À décommissionner",IF(AI$8&lt;$AS46,"IKS","Décom."),IF(OR($AQ46="",$AS46=""),"",IF(AI$8&lt;$AQ46,"IKS",IF(AI$8&lt;$AS46,IF(AI$8=$AR46,"Bascule","Double run"),"ROKS"))))))</f>
        <v/>
      </c>
      <c r="AJ46" s="51" t="str">
        <f aca="false">IF(OR($A46="",AJ$8=""),"",IF($F46="Migré","ROKS",IF($F46="À décommissionner",IF(AJ$8&lt;$AS46,"IKS","Décom."),IF(OR($AQ46="",$AS46=""),"",IF(AJ$8&lt;$AQ46,"IKS",IF(AJ$8&lt;$AS46,IF(AJ$8=$AR46,"Bascule","Double run"),"ROKS"))))))</f>
        <v/>
      </c>
      <c r="AK46" s="51" t="str">
        <f aca="false">IF(OR($A46="",AK$8=""),"",IF($F46="Migré","ROKS",IF($F46="À décommissionner",IF(AK$8&lt;$AS46,"IKS","Décom."),IF(OR($AQ46="",$AS46=""),"",IF(AK$8&lt;$AQ46,"IKS",IF(AK$8&lt;$AS46,IF(AK$8=$AR46,"Bascule","Double run"),"ROKS"))))))</f>
        <v/>
      </c>
      <c r="AL46" s="51" t="str">
        <f aca="false">IF(OR($A46="",AL$8=""),"",IF($F46="Migré","ROKS",IF($F46="À décommissionner",IF(AL$8&lt;$AS46,"IKS","Décom."),IF(OR($AQ46="",$AS46=""),"",IF(AL$8&lt;$AQ46,"IKS",IF(AL$8&lt;$AS46,IF(AL$8=$AR46,"Bascule","Double run"),"ROKS"))))))</f>
        <v/>
      </c>
      <c r="AM46" s="51" t="str">
        <f aca="false">IF(OR($A46="",AM$8=""),"",IF($F46="Migré","ROKS",IF($F46="À décommissionner",IF(AM$8&lt;$AS46,"IKS","Décom."),IF(OR($AQ46="",$AS46=""),"",IF(AM$8&lt;$AQ46,"IKS",IF(AM$8&lt;$AS46,IF(AM$8=$AR46,"Bascule","Double run"),"ROKS"))))))</f>
        <v/>
      </c>
      <c r="AN46" s="51" t="str">
        <f aca="false">IF(OR($A46="",AN$8=""),"",IF($F46="Migré","ROKS",IF($F46="À décommissionner",IF(AN$8&lt;$AS46,"IKS","Décom."),IF(OR($AQ46="",$AS46=""),"",IF(AN$8&lt;$AQ46,"IKS",IF(AN$8&lt;$AS46,IF(AN$8=$AR46,"Bascule","Double run"),"ROKS"))))))</f>
        <v/>
      </c>
      <c r="AO46" s="51" t="str">
        <f aca="false">IF(OR($A46="",AO$8=""),"",IF($F46="Migré","ROKS",IF($F46="À décommissionner",IF(AO$8&lt;$AS46,"IKS","Décom."),IF(OR($AQ46="",$AS46=""),"",IF(AO$8&lt;$AQ46,"IKS",IF(AO$8&lt;$AS46,IF(AO$8=$AR46,"Bascule","Double run"),"ROKS"))))))</f>
        <v/>
      </c>
      <c r="AP46" s="51" t="str">
        <f aca="false">IF(OR($A46="",AP$8=""),"",IF($F46="Migré","ROKS",IF($F46="À décommissionner",IF(AP$8&lt;$AS46,"IKS","Décom."),IF(OR($AQ46="",$AS46=""),"",IF(AP$8&lt;$AQ46,"IKS",IF(AP$8&lt;$AS46,IF(AP$8=$AR46,"Bascule","Double run"),"ROKS"))))))</f>
        <v/>
      </c>
      <c r="AQ46" s="0" t="str">
        <f aca="false">IF($A46="","",INDEX(TblApplications[Mois prov (calc)],$A46))</f>
        <v/>
      </c>
      <c r="AR46" s="0" t="str">
        <f aca="false">IF($A46="","",IFERROR(DATE(YEAR(INDEX(TblApplications[Mois bascule],$A46)),MONTH(INDEX(TblApplications[Mois bascule],$A46)),1),""))</f>
        <v/>
      </c>
      <c r="AS46" s="0" t="str">
        <f aca="false">IF($A46="","",INDEX(TblApplications[Mois lib (calc)],$A46))</f>
        <v/>
      </c>
    </row>
    <row r="47" customFormat="false" ht="15" hidden="false" customHeight="false" outlineLevel="0" collapsed="false">
      <c r="A47" s="49" t="str">
        <f aca="false">IFERROR(MATCH(39,TblApplications[Rang frise],0),"")</f>
        <v/>
      </c>
      <c r="B47" s="50" t="str">
        <f aca="false">IF($A47="","",INDEX(TblApplications[ID],$A47))</f>
        <v/>
      </c>
      <c r="C47" s="50" t="str">
        <f aca="false">IF($A47="","",INDEX(TblApplications[Application],$A47))</f>
        <v/>
      </c>
      <c r="D47" s="50" t="str">
        <f aca="false">IF($A47="","",INDEX(TblApplications[Environnement],$A47))</f>
        <v/>
      </c>
      <c r="E47" s="50" t="str">
        <f aca="false">IF($A47="","",INDEX(TblApplications[Couloir],$A47))</f>
        <v/>
      </c>
      <c r="F47" s="50" t="str">
        <f aca="false">IF($A47="","",INDEX(TblApplications[Action],$A47))</f>
        <v/>
      </c>
      <c r="G47" s="51" t="str">
        <f aca="false">IF(OR($A47="",G$8=""),"",IF($F47="Migré","ROKS",IF($F47="À décommissionner",IF(G$8&lt;$AS47,"IKS","Décom."),IF(OR($AQ47="",$AS47=""),"",IF(G$8&lt;$AQ47,"IKS",IF(G$8&lt;$AS47,IF(G$8=$AR47,"Bascule","Double run"),"ROKS"))))))</f>
        <v/>
      </c>
      <c r="H47" s="51" t="str">
        <f aca="false">IF(OR($A47="",H$8=""),"",IF($F47="Migré","ROKS",IF($F47="À décommissionner",IF(H$8&lt;$AS47,"IKS","Décom."),IF(OR($AQ47="",$AS47=""),"",IF(H$8&lt;$AQ47,"IKS",IF(H$8&lt;$AS47,IF(H$8=$AR47,"Bascule","Double run"),"ROKS"))))))</f>
        <v/>
      </c>
      <c r="I47" s="51" t="str">
        <f aca="false">IF(OR($A47="",I$8=""),"",IF($F47="Migré","ROKS",IF($F47="À décommissionner",IF(I$8&lt;$AS47,"IKS","Décom."),IF(OR($AQ47="",$AS47=""),"",IF(I$8&lt;$AQ47,"IKS",IF(I$8&lt;$AS47,IF(I$8=$AR47,"Bascule","Double run"),"ROKS"))))))</f>
        <v/>
      </c>
      <c r="J47" s="51" t="str">
        <f aca="false">IF(OR($A47="",J$8=""),"",IF($F47="Migré","ROKS",IF($F47="À décommissionner",IF(J$8&lt;$AS47,"IKS","Décom."),IF(OR($AQ47="",$AS47=""),"",IF(J$8&lt;$AQ47,"IKS",IF(J$8&lt;$AS47,IF(J$8=$AR47,"Bascule","Double run"),"ROKS"))))))</f>
        <v/>
      </c>
      <c r="K47" s="51" t="str">
        <f aca="false">IF(OR($A47="",K$8=""),"",IF($F47="Migré","ROKS",IF($F47="À décommissionner",IF(K$8&lt;$AS47,"IKS","Décom."),IF(OR($AQ47="",$AS47=""),"",IF(K$8&lt;$AQ47,"IKS",IF(K$8&lt;$AS47,IF(K$8=$AR47,"Bascule","Double run"),"ROKS"))))))</f>
        <v/>
      </c>
      <c r="L47" s="51" t="str">
        <f aca="false">IF(OR($A47="",L$8=""),"",IF($F47="Migré","ROKS",IF($F47="À décommissionner",IF(L$8&lt;$AS47,"IKS","Décom."),IF(OR($AQ47="",$AS47=""),"",IF(L$8&lt;$AQ47,"IKS",IF(L$8&lt;$AS47,IF(L$8=$AR47,"Bascule","Double run"),"ROKS"))))))</f>
        <v/>
      </c>
      <c r="M47" s="51" t="str">
        <f aca="false">IF(OR($A47="",M$8=""),"",IF($F47="Migré","ROKS",IF($F47="À décommissionner",IF(M$8&lt;$AS47,"IKS","Décom."),IF(OR($AQ47="",$AS47=""),"",IF(M$8&lt;$AQ47,"IKS",IF(M$8&lt;$AS47,IF(M$8=$AR47,"Bascule","Double run"),"ROKS"))))))</f>
        <v/>
      </c>
      <c r="N47" s="51" t="str">
        <f aca="false">IF(OR($A47="",N$8=""),"",IF($F47="Migré","ROKS",IF($F47="À décommissionner",IF(N$8&lt;$AS47,"IKS","Décom."),IF(OR($AQ47="",$AS47=""),"",IF(N$8&lt;$AQ47,"IKS",IF(N$8&lt;$AS47,IF(N$8=$AR47,"Bascule","Double run"),"ROKS"))))))</f>
        <v/>
      </c>
      <c r="O47" s="51" t="str">
        <f aca="false">IF(OR($A47="",O$8=""),"",IF($F47="Migré","ROKS",IF($F47="À décommissionner",IF(O$8&lt;$AS47,"IKS","Décom."),IF(OR($AQ47="",$AS47=""),"",IF(O$8&lt;$AQ47,"IKS",IF(O$8&lt;$AS47,IF(O$8=$AR47,"Bascule","Double run"),"ROKS"))))))</f>
        <v/>
      </c>
      <c r="P47" s="51" t="str">
        <f aca="false">IF(OR($A47="",P$8=""),"",IF($F47="Migré","ROKS",IF($F47="À décommissionner",IF(P$8&lt;$AS47,"IKS","Décom."),IF(OR($AQ47="",$AS47=""),"",IF(P$8&lt;$AQ47,"IKS",IF(P$8&lt;$AS47,IF(P$8=$AR47,"Bascule","Double run"),"ROKS"))))))</f>
        <v/>
      </c>
      <c r="Q47" s="51" t="str">
        <f aca="false">IF(OR($A47="",Q$8=""),"",IF($F47="Migré","ROKS",IF($F47="À décommissionner",IF(Q$8&lt;$AS47,"IKS","Décom."),IF(OR($AQ47="",$AS47=""),"",IF(Q$8&lt;$AQ47,"IKS",IF(Q$8&lt;$AS47,IF(Q$8=$AR47,"Bascule","Double run"),"ROKS"))))))</f>
        <v/>
      </c>
      <c r="R47" s="51" t="str">
        <f aca="false">IF(OR($A47="",R$8=""),"",IF($F47="Migré","ROKS",IF($F47="À décommissionner",IF(R$8&lt;$AS47,"IKS","Décom."),IF(OR($AQ47="",$AS47=""),"",IF(R$8&lt;$AQ47,"IKS",IF(R$8&lt;$AS47,IF(R$8=$AR47,"Bascule","Double run"),"ROKS"))))))</f>
        <v/>
      </c>
      <c r="S47" s="51" t="str">
        <f aca="false">IF(OR($A47="",S$8=""),"",IF($F47="Migré","ROKS",IF($F47="À décommissionner",IF(S$8&lt;$AS47,"IKS","Décom."),IF(OR($AQ47="",$AS47=""),"",IF(S$8&lt;$AQ47,"IKS",IF(S$8&lt;$AS47,IF(S$8=$AR47,"Bascule","Double run"),"ROKS"))))))</f>
        <v/>
      </c>
      <c r="T47" s="51" t="str">
        <f aca="false">IF(OR($A47="",T$8=""),"",IF($F47="Migré","ROKS",IF($F47="À décommissionner",IF(T$8&lt;$AS47,"IKS","Décom."),IF(OR($AQ47="",$AS47=""),"",IF(T$8&lt;$AQ47,"IKS",IF(T$8&lt;$AS47,IF(T$8=$AR47,"Bascule","Double run"),"ROKS"))))))</f>
        <v/>
      </c>
      <c r="U47" s="51" t="str">
        <f aca="false">IF(OR($A47="",U$8=""),"",IF($F47="Migré","ROKS",IF($F47="À décommissionner",IF(U$8&lt;$AS47,"IKS","Décom."),IF(OR($AQ47="",$AS47=""),"",IF(U$8&lt;$AQ47,"IKS",IF(U$8&lt;$AS47,IF(U$8=$AR47,"Bascule","Double run"),"ROKS"))))))</f>
        <v/>
      </c>
      <c r="V47" s="51" t="str">
        <f aca="false">IF(OR($A47="",V$8=""),"",IF($F47="Migré","ROKS",IF($F47="À décommissionner",IF(V$8&lt;$AS47,"IKS","Décom."),IF(OR($AQ47="",$AS47=""),"",IF(V$8&lt;$AQ47,"IKS",IF(V$8&lt;$AS47,IF(V$8=$AR47,"Bascule","Double run"),"ROKS"))))))</f>
        <v/>
      </c>
      <c r="W47" s="51" t="str">
        <f aca="false">IF(OR($A47="",W$8=""),"",IF($F47="Migré","ROKS",IF($F47="À décommissionner",IF(W$8&lt;$AS47,"IKS","Décom."),IF(OR($AQ47="",$AS47=""),"",IF(W$8&lt;$AQ47,"IKS",IF(W$8&lt;$AS47,IF(W$8=$AR47,"Bascule","Double run"),"ROKS"))))))</f>
        <v/>
      </c>
      <c r="X47" s="51" t="str">
        <f aca="false">IF(OR($A47="",X$8=""),"",IF($F47="Migré","ROKS",IF($F47="À décommissionner",IF(X$8&lt;$AS47,"IKS","Décom."),IF(OR($AQ47="",$AS47=""),"",IF(X$8&lt;$AQ47,"IKS",IF(X$8&lt;$AS47,IF(X$8=$AR47,"Bascule","Double run"),"ROKS"))))))</f>
        <v/>
      </c>
      <c r="Y47" s="51" t="str">
        <f aca="false">IF(OR($A47="",Y$8=""),"",IF($F47="Migré","ROKS",IF($F47="À décommissionner",IF(Y$8&lt;$AS47,"IKS","Décom."),IF(OR($AQ47="",$AS47=""),"",IF(Y$8&lt;$AQ47,"IKS",IF(Y$8&lt;$AS47,IF(Y$8=$AR47,"Bascule","Double run"),"ROKS"))))))</f>
        <v/>
      </c>
      <c r="Z47" s="51" t="str">
        <f aca="false">IF(OR($A47="",Z$8=""),"",IF($F47="Migré","ROKS",IF($F47="À décommissionner",IF(Z$8&lt;$AS47,"IKS","Décom."),IF(OR($AQ47="",$AS47=""),"",IF(Z$8&lt;$AQ47,"IKS",IF(Z$8&lt;$AS47,IF(Z$8=$AR47,"Bascule","Double run"),"ROKS"))))))</f>
        <v/>
      </c>
      <c r="AA47" s="51" t="str">
        <f aca="false">IF(OR($A47="",AA$8=""),"",IF($F47="Migré","ROKS",IF($F47="À décommissionner",IF(AA$8&lt;$AS47,"IKS","Décom."),IF(OR($AQ47="",$AS47=""),"",IF(AA$8&lt;$AQ47,"IKS",IF(AA$8&lt;$AS47,IF(AA$8=$AR47,"Bascule","Double run"),"ROKS"))))))</f>
        <v/>
      </c>
      <c r="AB47" s="51" t="str">
        <f aca="false">IF(OR($A47="",AB$8=""),"",IF($F47="Migré","ROKS",IF($F47="À décommissionner",IF(AB$8&lt;$AS47,"IKS","Décom."),IF(OR($AQ47="",$AS47=""),"",IF(AB$8&lt;$AQ47,"IKS",IF(AB$8&lt;$AS47,IF(AB$8=$AR47,"Bascule","Double run"),"ROKS"))))))</f>
        <v/>
      </c>
      <c r="AC47" s="51" t="str">
        <f aca="false">IF(OR($A47="",AC$8=""),"",IF($F47="Migré","ROKS",IF($F47="À décommissionner",IF(AC$8&lt;$AS47,"IKS","Décom."),IF(OR($AQ47="",$AS47=""),"",IF(AC$8&lt;$AQ47,"IKS",IF(AC$8&lt;$AS47,IF(AC$8=$AR47,"Bascule","Double run"),"ROKS"))))))</f>
        <v/>
      </c>
      <c r="AD47" s="51" t="str">
        <f aca="false">IF(OR($A47="",AD$8=""),"",IF($F47="Migré","ROKS",IF($F47="À décommissionner",IF(AD$8&lt;$AS47,"IKS","Décom."),IF(OR($AQ47="",$AS47=""),"",IF(AD$8&lt;$AQ47,"IKS",IF(AD$8&lt;$AS47,IF(AD$8=$AR47,"Bascule","Double run"),"ROKS"))))))</f>
        <v/>
      </c>
      <c r="AE47" s="51" t="str">
        <f aca="false">IF(OR($A47="",AE$8=""),"",IF($F47="Migré","ROKS",IF($F47="À décommissionner",IF(AE$8&lt;$AS47,"IKS","Décom."),IF(OR($AQ47="",$AS47=""),"",IF(AE$8&lt;$AQ47,"IKS",IF(AE$8&lt;$AS47,IF(AE$8=$AR47,"Bascule","Double run"),"ROKS"))))))</f>
        <v/>
      </c>
      <c r="AF47" s="51" t="str">
        <f aca="false">IF(OR($A47="",AF$8=""),"",IF($F47="Migré","ROKS",IF($F47="À décommissionner",IF(AF$8&lt;$AS47,"IKS","Décom."),IF(OR($AQ47="",$AS47=""),"",IF(AF$8&lt;$AQ47,"IKS",IF(AF$8&lt;$AS47,IF(AF$8=$AR47,"Bascule","Double run"),"ROKS"))))))</f>
        <v/>
      </c>
      <c r="AG47" s="51" t="str">
        <f aca="false">IF(OR($A47="",AG$8=""),"",IF($F47="Migré","ROKS",IF($F47="À décommissionner",IF(AG$8&lt;$AS47,"IKS","Décom."),IF(OR($AQ47="",$AS47=""),"",IF(AG$8&lt;$AQ47,"IKS",IF(AG$8&lt;$AS47,IF(AG$8=$AR47,"Bascule","Double run"),"ROKS"))))))</f>
        <v/>
      </c>
      <c r="AH47" s="51" t="str">
        <f aca="false">IF(OR($A47="",AH$8=""),"",IF($F47="Migré","ROKS",IF($F47="À décommissionner",IF(AH$8&lt;$AS47,"IKS","Décom."),IF(OR($AQ47="",$AS47=""),"",IF(AH$8&lt;$AQ47,"IKS",IF(AH$8&lt;$AS47,IF(AH$8=$AR47,"Bascule","Double run"),"ROKS"))))))</f>
        <v/>
      </c>
      <c r="AI47" s="51" t="str">
        <f aca="false">IF(OR($A47="",AI$8=""),"",IF($F47="Migré","ROKS",IF($F47="À décommissionner",IF(AI$8&lt;$AS47,"IKS","Décom."),IF(OR($AQ47="",$AS47=""),"",IF(AI$8&lt;$AQ47,"IKS",IF(AI$8&lt;$AS47,IF(AI$8=$AR47,"Bascule","Double run"),"ROKS"))))))</f>
        <v/>
      </c>
      <c r="AJ47" s="51" t="str">
        <f aca="false">IF(OR($A47="",AJ$8=""),"",IF($F47="Migré","ROKS",IF($F47="À décommissionner",IF(AJ$8&lt;$AS47,"IKS","Décom."),IF(OR($AQ47="",$AS47=""),"",IF(AJ$8&lt;$AQ47,"IKS",IF(AJ$8&lt;$AS47,IF(AJ$8=$AR47,"Bascule","Double run"),"ROKS"))))))</f>
        <v/>
      </c>
      <c r="AK47" s="51" t="str">
        <f aca="false">IF(OR($A47="",AK$8=""),"",IF($F47="Migré","ROKS",IF($F47="À décommissionner",IF(AK$8&lt;$AS47,"IKS","Décom."),IF(OR($AQ47="",$AS47=""),"",IF(AK$8&lt;$AQ47,"IKS",IF(AK$8&lt;$AS47,IF(AK$8=$AR47,"Bascule","Double run"),"ROKS"))))))</f>
        <v/>
      </c>
      <c r="AL47" s="51" t="str">
        <f aca="false">IF(OR($A47="",AL$8=""),"",IF($F47="Migré","ROKS",IF($F47="À décommissionner",IF(AL$8&lt;$AS47,"IKS","Décom."),IF(OR($AQ47="",$AS47=""),"",IF(AL$8&lt;$AQ47,"IKS",IF(AL$8&lt;$AS47,IF(AL$8=$AR47,"Bascule","Double run"),"ROKS"))))))</f>
        <v/>
      </c>
      <c r="AM47" s="51" t="str">
        <f aca="false">IF(OR($A47="",AM$8=""),"",IF($F47="Migré","ROKS",IF($F47="À décommissionner",IF(AM$8&lt;$AS47,"IKS","Décom."),IF(OR($AQ47="",$AS47=""),"",IF(AM$8&lt;$AQ47,"IKS",IF(AM$8&lt;$AS47,IF(AM$8=$AR47,"Bascule","Double run"),"ROKS"))))))</f>
        <v/>
      </c>
      <c r="AN47" s="51" t="str">
        <f aca="false">IF(OR($A47="",AN$8=""),"",IF($F47="Migré","ROKS",IF($F47="À décommissionner",IF(AN$8&lt;$AS47,"IKS","Décom."),IF(OR($AQ47="",$AS47=""),"",IF(AN$8&lt;$AQ47,"IKS",IF(AN$8&lt;$AS47,IF(AN$8=$AR47,"Bascule","Double run"),"ROKS"))))))</f>
        <v/>
      </c>
      <c r="AO47" s="51" t="str">
        <f aca="false">IF(OR($A47="",AO$8=""),"",IF($F47="Migré","ROKS",IF($F47="À décommissionner",IF(AO$8&lt;$AS47,"IKS","Décom."),IF(OR($AQ47="",$AS47=""),"",IF(AO$8&lt;$AQ47,"IKS",IF(AO$8&lt;$AS47,IF(AO$8=$AR47,"Bascule","Double run"),"ROKS"))))))</f>
        <v/>
      </c>
      <c r="AP47" s="51" t="str">
        <f aca="false">IF(OR($A47="",AP$8=""),"",IF($F47="Migré","ROKS",IF($F47="À décommissionner",IF(AP$8&lt;$AS47,"IKS","Décom."),IF(OR($AQ47="",$AS47=""),"",IF(AP$8&lt;$AQ47,"IKS",IF(AP$8&lt;$AS47,IF(AP$8=$AR47,"Bascule","Double run"),"ROKS"))))))</f>
        <v/>
      </c>
      <c r="AQ47" s="0" t="str">
        <f aca="false">IF($A47="","",INDEX(TblApplications[Mois prov (calc)],$A47))</f>
        <v/>
      </c>
      <c r="AR47" s="0" t="str">
        <f aca="false">IF($A47="","",IFERROR(DATE(YEAR(INDEX(TblApplications[Mois bascule],$A47)),MONTH(INDEX(TblApplications[Mois bascule],$A47)),1),""))</f>
        <v/>
      </c>
      <c r="AS47" s="0" t="str">
        <f aca="false">IF($A47="","",INDEX(TblApplications[Mois lib (calc)],$A47))</f>
        <v/>
      </c>
    </row>
    <row r="48" customFormat="false" ht="15" hidden="false" customHeight="false" outlineLevel="0" collapsed="false">
      <c r="A48" s="49" t="str">
        <f aca="false">IFERROR(MATCH(40,TblApplications[Rang frise],0),"")</f>
        <v/>
      </c>
      <c r="B48" s="50" t="str">
        <f aca="false">IF($A48="","",INDEX(TblApplications[ID],$A48))</f>
        <v/>
      </c>
      <c r="C48" s="50" t="str">
        <f aca="false">IF($A48="","",INDEX(TblApplications[Application],$A48))</f>
        <v/>
      </c>
      <c r="D48" s="50" t="str">
        <f aca="false">IF($A48="","",INDEX(TblApplications[Environnement],$A48))</f>
        <v/>
      </c>
      <c r="E48" s="50" t="str">
        <f aca="false">IF($A48="","",INDEX(TblApplications[Couloir],$A48))</f>
        <v/>
      </c>
      <c r="F48" s="50" t="str">
        <f aca="false">IF($A48="","",INDEX(TblApplications[Action],$A48))</f>
        <v/>
      </c>
      <c r="G48" s="51" t="str">
        <f aca="false">IF(OR($A48="",G$8=""),"",IF($F48="Migré","ROKS",IF($F48="À décommissionner",IF(G$8&lt;$AS48,"IKS","Décom."),IF(OR($AQ48="",$AS48=""),"",IF(G$8&lt;$AQ48,"IKS",IF(G$8&lt;$AS48,IF(G$8=$AR48,"Bascule","Double run"),"ROKS"))))))</f>
        <v/>
      </c>
      <c r="H48" s="51" t="str">
        <f aca="false">IF(OR($A48="",H$8=""),"",IF($F48="Migré","ROKS",IF($F48="À décommissionner",IF(H$8&lt;$AS48,"IKS","Décom."),IF(OR($AQ48="",$AS48=""),"",IF(H$8&lt;$AQ48,"IKS",IF(H$8&lt;$AS48,IF(H$8=$AR48,"Bascule","Double run"),"ROKS"))))))</f>
        <v/>
      </c>
      <c r="I48" s="51" t="str">
        <f aca="false">IF(OR($A48="",I$8=""),"",IF($F48="Migré","ROKS",IF($F48="À décommissionner",IF(I$8&lt;$AS48,"IKS","Décom."),IF(OR($AQ48="",$AS48=""),"",IF(I$8&lt;$AQ48,"IKS",IF(I$8&lt;$AS48,IF(I$8=$AR48,"Bascule","Double run"),"ROKS"))))))</f>
        <v/>
      </c>
      <c r="J48" s="51" t="str">
        <f aca="false">IF(OR($A48="",J$8=""),"",IF($F48="Migré","ROKS",IF($F48="À décommissionner",IF(J$8&lt;$AS48,"IKS","Décom."),IF(OR($AQ48="",$AS48=""),"",IF(J$8&lt;$AQ48,"IKS",IF(J$8&lt;$AS48,IF(J$8=$AR48,"Bascule","Double run"),"ROKS"))))))</f>
        <v/>
      </c>
      <c r="K48" s="51" t="str">
        <f aca="false">IF(OR($A48="",K$8=""),"",IF($F48="Migré","ROKS",IF($F48="À décommissionner",IF(K$8&lt;$AS48,"IKS","Décom."),IF(OR($AQ48="",$AS48=""),"",IF(K$8&lt;$AQ48,"IKS",IF(K$8&lt;$AS48,IF(K$8=$AR48,"Bascule","Double run"),"ROKS"))))))</f>
        <v/>
      </c>
      <c r="L48" s="51" t="str">
        <f aca="false">IF(OR($A48="",L$8=""),"",IF($F48="Migré","ROKS",IF($F48="À décommissionner",IF(L$8&lt;$AS48,"IKS","Décom."),IF(OR($AQ48="",$AS48=""),"",IF(L$8&lt;$AQ48,"IKS",IF(L$8&lt;$AS48,IF(L$8=$AR48,"Bascule","Double run"),"ROKS"))))))</f>
        <v/>
      </c>
      <c r="M48" s="51" t="str">
        <f aca="false">IF(OR($A48="",M$8=""),"",IF($F48="Migré","ROKS",IF($F48="À décommissionner",IF(M$8&lt;$AS48,"IKS","Décom."),IF(OR($AQ48="",$AS48=""),"",IF(M$8&lt;$AQ48,"IKS",IF(M$8&lt;$AS48,IF(M$8=$AR48,"Bascule","Double run"),"ROKS"))))))</f>
        <v/>
      </c>
      <c r="N48" s="51" t="str">
        <f aca="false">IF(OR($A48="",N$8=""),"",IF($F48="Migré","ROKS",IF($F48="À décommissionner",IF(N$8&lt;$AS48,"IKS","Décom."),IF(OR($AQ48="",$AS48=""),"",IF(N$8&lt;$AQ48,"IKS",IF(N$8&lt;$AS48,IF(N$8=$AR48,"Bascule","Double run"),"ROKS"))))))</f>
        <v/>
      </c>
      <c r="O48" s="51" t="str">
        <f aca="false">IF(OR($A48="",O$8=""),"",IF($F48="Migré","ROKS",IF($F48="À décommissionner",IF(O$8&lt;$AS48,"IKS","Décom."),IF(OR($AQ48="",$AS48=""),"",IF(O$8&lt;$AQ48,"IKS",IF(O$8&lt;$AS48,IF(O$8=$AR48,"Bascule","Double run"),"ROKS"))))))</f>
        <v/>
      </c>
      <c r="P48" s="51" t="str">
        <f aca="false">IF(OR($A48="",P$8=""),"",IF($F48="Migré","ROKS",IF($F48="À décommissionner",IF(P$8&lt;$AS48,"IKS","Décom."),IF(OR($AQ48="",$AS48=""),"",IF(P$8&lt;$AQ48,"IKS",IF(P$8&lt;$AS48,IF(P$8=$AR48,"Bascule","Double run"),"ROKS"))))))</f>
        <v/>
      </c>
      <c r="Q48" s="51" t="str">
        <f aca="false">IF(OR($A48="",Q$8=""),"",IF($F48="Migré","ROKS",IF($F48="À décommissionner",IF(Q$8&lt;$AS48,"IKS","Décom."),IF(OR($AQ48="",$AS48=""),"",IF(Q$8&lt;$AQ48,"IKS",IF(Q$8&lt;$AS48,IF(Q$8=$AR48,"Bascule","Double run"),"ROKS"))))))</f>
        <v/>
      </c>
      <c r="R48" s="51" t="str">
        <f aca="false">IF(OR($A48="",R$8=""),"",IF($F48="Migré","ROKS",IF($F48="À décommissionner",IF(R$8&lt;$AS48,"IKS","Décom."),IF(OR($AQ48="",$AS48=""),"",IF(R$8&lt;$AQ48,"IKS",IF(R$8&lt;$AS48,IF(R$8=$AR48,"Bascule","Double run"),"ROKS"))))))</f>
        <v/>
      </c>
      <c r="S48" s="51" t="str">
        <f aca="false">IF(OR($A48="",S$8=""),"",IF($F48="Migré","ROKS",IF($F48="À décommissionner",IF(S$8&lt;$AS48,"IKS","Décom."),IF(OR($AQ48="",$AS48=""),"",IF(S$8&lt;$AQ48,"IKS",IF(S$8&lt;$AS48,IF(S$8=$AR48,"Bascule","Double run"),"ROKS"))))))</f>
        <v/>
      </c>
      <c r="T48" s="51" t="str">
        <f aca="false">IF(OR($A48="",T$8=""),"",IF($F48="Migré","ROKS",IF($F48="À décommissionner",IF(T$8&lt;$AS48,"IKS","Décom."),IF(OR($AQ48="",$AS48=""),"",IF(T$8&lt;$AQ48,"IKS",IF(T$8&lt;$AS48,IF(T$8=$AR48,"Bascule","Double run"),"ROKS"))))))</f>
        <v/>
      </c>
      <c r="U48" s="51" t="str">
        <f aca="false">IF(OR($A48="",U$8=""),"",IF($F48="Migré","ROKS",IF($F48="À décommissionner",IF(U$8&lt;$AS48,"IKS","Décom."),IF(OR($AQ48="",$AS48=""),"",IF(U$8&lt;$AQ48,"IKS",IF(U$8&lt;$AS48,IF(U$8=$AR48,"Bascule","Double run"),"ROKS"))))))</f>
        <v/>
      </c>
      <c r="V48" s="51" t="str">
        <f aca="false">IF(OR($A48="",V$8=""),"",IF($F48="Migré","ROKS",IF($F48="À décommissionner",IF(V$8&lt;$AS48,"IKS","Décom."),IF(OR($AQ48="",$AS48=""),"",IF(V$8&lt;$AQ48,"IKS",IF(V$8&lt;$AS48,IF(V$8=$AR48,"Bascule","Double run"),"ROKS"))))))</f>
        <v/>
      </c>
      <c r="W48" s="51" t="str">
        <f aca="false">IF(OR($A48="",W$8=""),"",IF($F48="Migré","ROKS",IF($F48="À décommissionner",IF(W$8&lt;$AS48,"IKS","Décom."),IF(OR($AQ48="",$AS48=""),"",IF(W$8&lt;$AQ48,"IKS",IF(W$8&lt;$AS48,IF(W$8=$AR48,"Bascule","Double run"),"ROKS"))))))</f>
        <v/>
      </c>
      <c r="X48" s="51" t="str">
        <f aca="false">IF(OR($A48="",X$8=""),"",IF($F48="Migré","ROKS",IF($F48="À décommissionner",IF(X$8&lt;$AS48,"IKS","Décom."),IF(OR($AQ48="",$AS48=""),"",IF(X$8&lt;$AQ48,"IKS",IF(X$8&lt;$AS48,IF(X$8=$AR48,"Bascule","Double run"),"ROKS"))))))</f>
        <v/>
      </c>
      <c r="Y48" s="51" t="str">
        <f aca="false">IF(OR($A48="",Y$8=""),"",IF($F48="Migré","ROKS",IF($F48="À décommissionner",IF(Y$8&lt;$AS48,"IKS","Décom."),IF(OR($AQ48="",$AS48=""),"",IF(Y$8&lt;$AQ48,"IKS",IF(Y$8&lt;$AS48,IF(Y$8=$AR48,"Bascule","Double run"),"ROKS"))))))</f>
        <v/>
      </c>
      <c r="Z48" s="51" t="str">
        <f aca="false">IF(OR($A48="",Z$8=""),"",IF($F48="Migré","ROKS",IF($F48="À décommissionner",IF(Z$8&lt;$AS48,"IKS","Décom."),IF(OR($AQ48="",$AS48=""),"",IF(Z$8&lt;$AQ48,"IKS",IF(Z$8&lt;$AS48,IF(Z$8=$AR48,"Bascule","Double run"),"ROKS"))))))</f>
        <v/>
      </c>
      <c r="AA48" s="51" t="str">
        <f aca="false">IF(OR($A48="",AA$8=""),"",IF($F48="Migré","ROKS",IF($F48="À décommissionner",IF(AA$8&lt;$AS48,"IKS","Décom."),IF(OR($AQ48="",$AS48=""),"",IF(AA$8&lt;$AQ48,"IKS",IF(AA$8&lt;$AS48,IF(AA$8=$AR48,"Bascule","Double run"),"ROKS"))))))</f>
        <v/>
      </c>
      <c r="AB48" s="51" t="str">
        <f aca="false">IF(OR($A48="",AB$8=""),"",IF($F48="Migré","ROKS",IF($F48="À décommissionner",IF(AB$8&lt;$AS48,"IKS","Décom."),IF(OR($AQ48="",$AS48=""),"",IF(AB$8&lt;$AQ48,"IKS",IF(AB$8&lt;$AS48,IF(AB$8=$AR48,"Bascule","Double run"),"ROKS"))))))</f>
        <v/>
      </c>
      <c r="AC48" s="51" t="str">
        <f aca="false">IF(OR($A48="",AC$8=""),"",IF($F48="Migré","ROKS",IF($F48="À décommissionner",IF(AC$8&lt;$AS48,"IKS","Décom."),IF(OR($AQ48="",$AS48=""),"",IF(AC$8&lt;$AQ48,"IKS",IF(AC$8&lt;$AS48,IF(AC$8=$AR48,"Bascule","Double run"),"ROKS"))))))</f>
        <v/>
      </c>
      <c r="AD48" s="51" t="str">
        <f aca="false">IF(OR($A48="",AD$8=""),"",IF($F48="Migré","ROKS",IF($F48="À décommissionner",IF(AD$8&lt;$AS48,"IKS","Décom."),IF(OR($AQ48="",$AS48=""),"",IF(AD$8&lt;$AQ48,"IKS",IF(AD$8&lt;$AS48,IF(AD$8=$AR48,"Bascule","Double run"),"ROKS"))))))</f>
        <v/>
      </c>
      <c r="AE48" s="51" t="str">
        <f aca="false">IF(OR($A48="",AE$8=""),"",IF($F48="Migré","ROKS",IF($F48="À décommissionner",IF(AE$8&lt;$AS48,"IKS","Décom."),IF(OR($AQ48="",$AS48=""),"",IF(AE$8&lt;$AQ48,"IKS",IF(AE$8&lt;$AS48,IF(AE$8=$AR48,"Bascule","Double run"),"ROKS"))))))</f>
        <v/>
      </c>
      <c r="AF48" s="51" t="str">
        <f aca="false">IF(OR($A48="",AF$8=""),"",IF($F48="Migré","ROKS",IF($F48="À décommissionner",IF(AF$8&lt;$AS48,"IKS","Décom."),IF(OR($AQ48="",$AS48=""),"",IF(AF$8&lt;$AQ48,"IKS",IF(AF$8&lt;$AS48,IF(AF$8=$AR48,"Bascule","Double run"),"ROKS"))))))</f>
        <v/>
      </c>
      <c r="AG48" s="51" t="str">
        <f aca="false">IF(OR($A48="",AG$8=""),"",IF($F48="Migré","ROKS",IF($F48="À décommissionner",IF(AG$8&lt;$AS48,"IKS","Décom."),IF(OR($AQ48="",$AS48=""),"",IF(AG$8&lt;$AQ48,"IKS",IF(AG$8&lt;$AS48,IF(AG$8=$AR48,"Bascule","Double run"),"ROKS"))))))</f>
        <v/>
      </c>
      <c r="AH48" s="51" t="str">
        <f aca="false">IF(OR($A48="",AH$8=""),"",IF($F48="Migré","ROKS",IF($F48="À décommissionner",IF(AH$8&lt;$AS48,"IKS","Décom."),IF(OR($AQ48="",$AS48=""),"",IF(AH$8&lt;$AQ48,"IKS",IF(AH$8&lt;$AS48,IF(AH$8=$AR48,"Bascule","Double run"),"ROKS"))))))</f>
        <v/>
      </c>
      <c r="AI48" s="51" t="str">
        <f aca="false">IF(OR($A48="",AI$8=""),"",IF($F48="Migré","ROKS",IF($F48="À décommissionner",IF(AI$8&lt;$AS48,"IKS","Décom."),IF(OR($AQ48="",$AS48=""),"",IF(AI$8&lt;$AQ48,"IKS",IF(AI$8&lt;$AS48,IF(AI$8=$AR48,"Bascule","Double run"),"ROKS"))))))</f>
        <v/>
      </c>
      <c r="AJ48" s="51" t="str">
        <f aca="false">IF(OR($A48="",AJ$8=""),"",IF($F48="Migré","ROKS",IF($F48="À décommissionner",IF(AJ$8&lt;$AS48,"IKS","Décom."),IF(OR($AQ48="",$AS48=""),"",IF(AJ$8&lt;$AQ48,"IKS",IF(AJ$8&lt;$AS48,IF(AJ$8=$AR48,"Bascule","Double run"),"ROKS"))))))</f>
        <v/>
      </c>
      <c r="AK48" s="51" t="str">
        <f aca="false">IF(OR($A48="",AK$8=""),"",IF($F48="Migré","ROKS",IF($F48="À décommissionner",IF(AK$8&lt;$AS48,"IKS","Décom."),IF(OR($AQ48="",$AS48=""),"",IF(AK$8&lt;$AQ48,"IKS",IF(AK$8&lt;$AS48,IF(AK$8=$AR48,"Bascule","Double run"),"ROKS"))))))</f>
        <v/>
      </c>
      <c r="AL48" s="51" t="str">
        <f aca="false">IF(OR($A48="",AL$8=""),"",IF($F48="Migré","ROKS",IF($F48="À décommissionner",IF(AL$8&lt;$AS48,"IKS","Décom."),IF(OR($AQ48="",$AS48=""),"",IF(AL$8&lt;$AQ48,"IKS",IF(AL$8&lt;$AS48,IF(AL$8=$AR48,"Bascule","Double run"),"ROKS"))))))</f>
        <v/>
      </c>
      <c r="AM48" s="51" t="str">
        <f aca="false">IF(OR($A48="",AM$8=""),"",IF($F48="Migré","ROKS",IF($F48="À décommissionner",IF(AM$8&lt;$AS48,"IKS","Décom."),IF(OR($AQ48="",$AS48=""),"",IF(AM$8&lt;$AQ48,"IKS",IF(AM$8&lt;$AS48,IF(AM$8=$AR48,"Bascule","Double run"),"ROKS"))))))</f>
        <v/>
      </c>
      <c r="AN48" s="51" t="str">
        <f aca="false">IF(OR($A48="",AN$8=""),"",IF($F48="Migré","ROKS",IF($F48="À décommissionner",IF(AN$8&lt;$AS48,"IKS","Décom."),IF(OR($AQ48="",$AS48=""),"",IF(AN$8&lt;$AQ48,"IKS",IF(AN$8&lt;$AS48,IF(AN$8=$AR48,"Bascule","Double run"),"ROKS"))))))</f>
        <v/>
      </c>
      <c r="AO48" s="51" t="str">
        <f aca="false">IF(OR($A48="",AO$8=""),"",IF($F48="Migré","ROKS",IF($F48="À décommissionner",IF(AO$8&lt;$AS48,"IKS","Décom."),IF(OR($AQ48="",$AS48=""),"",IF(AO$8&lt;$AQ48,"IKS",IF(AO$8&lt;$AS48,IF(AO$8=$AR48,"Bascule","Double run"),"ROKS"))))))</f>
        <v/>
      </c>
      <c r="AP48" s="51" t="str">
        <f aca="false">IF(OR($A48="",AP$8=""),"",IF($F48="Migré","ROKS",IF($F48="À décommissionner",IF(AP$8&lt;$AS48,"IKS","Décom."),IF(OR($AQ48="",$AS48=""),"",IF(AP$8&lt;$AQ48,"IKS",IF(AP$8&lt;$AS48,IF(AP$8=$AR48,"Bascule","Double run"),"ROKS"))))))</f>
        <v/>
      </c>
      <c r="AQ48" s="0" t="str">
        <f aca="false">IF($A48="","",INDEX(TblApplications[Mois prov (calc)],$A48))</f>
        <v/>
      </c>
      <c r="AR48" s="0" t="str">
        <f aca="false">IF($A48="","",IFERROR(DATE(YEAR(INDEX(TblApplications[Mois bascule],$A48)),MONTH(INDEX(TblApplications[Mois bascule],$A48)),1),""))</f>
        <v/>
      </c>
      <c r="AS48" s="0" t="str">
        <f aca="false">IF($A48="","",INDEX(TblApplications[Mois lib (calc)],$A48))</f>
        <v/>
      </c>
    </row>
    <row r="49" customFormat="false" ht="15" hidden="false" customHeight="false" outlineLevel="0" collapsed="false">
      <c r="A49" s="49" t="str">
        <f aca="false">IFERROR(MATCH(41,TblApplications[Rang frise],0),"")</f>
        <v/>
      </c>
      <c r="B49" s="50" t="str">
        <f aca="false">IF($A49="","",INDEX(TblApplications[ID],$A49))</f>
        <v/>
      </c>
      <c r="C49" s="50" t="str">
        <f aca="false">IF($A49="","",INDEX(TblApplications[Application],$A49))</f>
        <v/>
      </c>
      <c r="D49" s="50" t="str">
        <f aca="false">IF($A49="","",INDEX(TblApplications[Environnement],$A49))</f>
        <v/>
      </c>
      <c r="E49" s="50" t="str">
        <f aca="false">IF($A49="","",INDEX(TblApplications[Couloir],$A49))</f>
        <v/>
      </c>
      <c r="F49" s="50" t="str">
        <f aca="false">IF($A49="","",INDEX(TblApplications[Action],$A49))</f>
        <v/>
      </c>
      <c r="G49" s="51" t="str">
        <f aca="false">IF(OR($A49="",G$8=""),"",IF($F49="Migré","ROKS",IF($F49="À décommissionner",IF(G$8&lt;$AS49,"IKS","Décom."),IF(OR($AQ49="",$AS49=""),"",IF(G$8&lt;$AQ49,"IKS",IF(G$8&lt;$AS49,IF(G$8=$AR49,"Bascule","Double run"),"ROKS"))))))</f>
        <v/>
      </c>
      <c r="H49" s="51" t="str">
        <f aca="false">IF(OR($A49="",H$8=""),"",IF($F49="Migré","ROKS",IF($F49="À décommissionner",IF(H$8&lt;$AS49,"IKS","Décom."),IF(OR($AQ49="",$AS49=""),"",IF(H$8&lt;$AQ49,"IKS",IF(H$8&lt;$AS49,IF(H$8=$AR49,"Bascule","Double run"),"ROKS"))))))</f>
        <v/>
      </c>
      <c r="I49" s="51" t="str">
        <f aca="false">IF(OR($A49="",I$8=""),"",IF($F49="Migré","ROKS",IF($F49="À décommissionner",IF(I$8&lt;$AS49,"IKS","Décom."),IF(OR($AQ49="",$AS49=""),"",IF(I$8&lt;$AQ49,"IKS",IF(I$8&lt;$AS49,IF(I$8=$AR49,"Bascule","Double run"),"ROKS"))))))</f>
        <v/>
      </c>
      <c r="J49" s="51" t="str">
        <f aca="false">IF(OR($A49="",J$8=""),"",IF($F49="Migré","ROKS",IF($F49="À décommissionner",IF(J$8&lt;$AS49,"IKS","Décom."),IF(OR($AQ49="",$AS49=""),"",IF(J$8&lt;$AQ49,"IKS",IF(J$8&lt;$AS49,IF(J$8=$AR49,"Bascule","Double run"),"ROKS"))))))</f>
        <v/>
      </c>
      <c r="K49" s="51" t="str">
        <f aca="false">IF(OR($A49="",K$8=""),"",IF($F49="Migré","ROKS",IF($F49="À décommissionner",IF(K$8&lt;$AS49,"IKS","Décom."),IF(OR($AQ49="",$AS49=""),"",IF(K$8&lt;$AQ49,"IKS",IF(K$8&lt;$AS49,IF(K$8=$AR49,"Bascule","Double run"),"ROKS"))))))</f>
        <v/>
      </c>
      <c r="L49" s="51" t="str">
        <f aca="false">IF(OR($A49="",L$8=""),"",IF($F49="Migré","ROKS",IF($F49="À décommissionner",IF(L$8&lt;$AS49,"IKS","Décom."),IF(OR($AQ49="",$AS49=""),"",IF(L$8&lt;$AQ49,"IKS",IF(L$8&lt;$AS49,IF(L$8=$AR49,"Bascule","Double run"),"ROKS"))))))</f>
        <v/>
      </c>
      <c r="M49" s="51" t="str">
        <f aca="false">IF(OR($A49="",M$8=""),"",IF($F49="Migré","ROKS",IF($F49="À décommissionner",IF(M$8&lt;$AS49,"IKS","Décom."),IF(OR($AQ49="",$AS49=""),"",IF(M$8&lt;$AQ49,"IKS",IF(M$8&lt;$AS49,IF(M$8=$AR49,"Bascule","Double run"),"ROKS"))))))</f>
        <v/>
      </c>
      <c r="N49" s="51" t="str">
        <f aca="false">IF(OR($A49="",N$8=""),"",IF($F49="Migré","ROKS",IF($F49="À décommissionner",IF(N$8&lt;$AS49,"IKS","Décom."),IF(OR($AQ49="",$AS49=""),"",IF(N$8&lt;$AQ49,"IKS",IF(N$8&lt;$AS49,IF(N$8=$AR49,"Bascule","Double run"),"ROKS"))))))</f>
        <v/>
      </c>
      <c r="O49" s="51" t="str">
        <f aca="false">IF(OR($A49="",O$8=""),"",IF($F49="Migré","ROKS",IF($F49="À décommissionner",IF(O$8&lt;$AS49,"IKS","Décom."),IF(OR($AQ49="",$AS49=""),"",IF(O$8&lt;$AQ49,"IKS",IF(O$8&lt;$AS49,IF(O$8=$AR49,"Bascule","Double run"),"ROKS"))))))</f>
        <v/>
      </c>
      <c r="P49" s="51" t="str">
        <f aca="false">IF(OR($A49="",P$8=""),"",IF($F49="Migré","ROKS",IF($F49="À décommissionner",IF(P$8&lt;$AS49,"IKS","Décom."),IF(OR($AQ49="",$AS49=""),"",IF(P$8&lt;$AQ49,"IKS",IF(P$8&lt;$AS49,IF(P$8=$AR49,"Bascule","Double run"),"ROKS"))))))</f>
        <v/>
      </c>
      <c r="Q49" s="51" t="str">
        <f aca="false">IF(OR($A49="",Q$8=""),"",IF($F49="Migré","ROKS",IF($F49="À décommissionner",IF(Q$8&lt;$AS49,"IKS","Décom."),IF(OR($AQ49="",$AS49=""),"",IF(Q$8&lt;$AQ49,"IKS",IF(Q$8&lt;$AS49,IF(Q$8=$AR49,"Bascule","Double run"),"ROKS"))))))</f>
        <v/>
      </c>
      <c r="R49" s="51" t="str">
        <f aca="false">IF(OR($A49="",R$8=""),"",IF($F49="Migré","ROKS",IF($F49="À décommissionner",IF(R$8&lt;$AS49,"IKS","Décom."),IF(OR($AQ49="",$AS49=""),"",IF(R$8&lt;$AQ49,"IKS",IF(R$8&lt;$AS49,IF(R$8=$AR49,"Bascule","Double run"),"ROKS"))))))</f>
        <v/>
      </c>
      <c r="S49" s="51" t="str">
        <f aca="false">IF(OR($A49="",S$8=""),"",IF($F49="Migré","ROKS",IF($F49="À décommissionner",IF(S$8&lt;$AS49,"IKS","Décom."),IF(OR($AQ49="",$AS49=""),"",IF(S$8&lt;$AQ49,"IKS",IF(S$8&lt;$AS49,IF(S$8=$AR49,"Bascule","Double run"),"ROKS"))))))</f>
        <v/>
      </c>
      <c r="T49" s="51" t="str">
        <f aca="false">IF(OR($A49="",T$8=""),"",IF($F49="Migré","ROKS",IF($F49="À décommissionner",IF(T$8&lt;$AS49,"IKS","Décom."),IF(OR($AQ49="",$AS49=""),"",IF(T$8&lt;$AQ49,"IKS",IF(T$8&lt;$AS49,IF(T$8=$AR49,"Bascule","Double run"),"ROKS"))))))</f>
        <v/>
      </c>
      <c r="U49" s="51" t="str">
        <f aca="false">IF(OR($A49="",U$8=""),"",IF($F49="Migré","ROKS",IF($F49="À décommissionner",IF(U$8&lt;$AS49,"IKS","Décom."),IF(OR($AQ49="",$AS49=""),"",IF(U$8&lt;$AQ49,"IKS",IF(U$8&lt;$AS49,IF(U$8=$AR49,"Bascule","Double run"),"ROKS"))))))</f>
        <v/>
      </c>
      <c r="V49" s="51" t="str">
        <f aca="false">IF(OR($A49="",V$8=""),"",IF($F49="Migré","ROKS",IF($F49="À décommissionner",IF(V$8&lt;$AS49,"IKS","Décom."),IF(OR($AQ49="",$AS49=""),"",IF(V$8&lt;$AQ49,"IKS",IF(V$8&lt;$AS49,IF(V$8=$AR49,"Bascule","Double run"),"ROKS"))))))</f>
        <v/>
      </c>
      <c r="W49" s="51" t="str">
        <f aca="false">IF(OR($A49="",W$8=""),"",IF($F49="Migré","ROKS",IF($F49="À décommissionner",IF(W$8&lt;$AS49,"IKS","Décom."),IF(OR($AQ49="",$AS49=""),"",IF(W$8&lt;$AQ49,"IKS",IF(W$8&lt;$AS49,IF(W$8=$AR49,"Bascule","Double run"),"ROKS"))))))</f>
        <v/>
      </c>
      <c r="X49" s="51" t="str">
        <f aca="false">IF(OR($A49="",X$8=""),"",IF($F49="Migré","ROKS",IF($F49="À décommissionner",IF(X$8&lt;$AS49,"IKS","Décom."),IF(OR($AQ49="",$AS49=""),"",IF(X$8&lt;$AQ49,"IKS",IF(X$8&lt;$AS49,IF(X$8=$AR49,"Bascule","Double run"),"ROKS"))))))</f>
        <v/>
      </c>
      <c r="Y49" s="51" t="str">
        <f aca="false">IF(OR($A49="",Y$8=""),"",IF($F49="Migré","ROKS",IF($F49="À décommissionner",IF(Y$8&lt;$AS49,"IKS","Décom."),IF(OR($AQ49="",$AS49=""),"",IF(Y$8&lt;$AQ49,"IKS",IF(Y$8&lt;$AS49,IF(Y$8=$AR49,"Bascule","Double run"),"ROKS"))))))</f>
        <v/>
      </c>
      <c r="Z49" s="51" t="str">
        <f aca="false">IF(OR($A49="",Z$8=""),"",IF($F49="Migré","ROKS",IF($F49="À décommissionner",IF(Z$8&lt;$AS49,"IKS","Décom."),IF(OR($AQ49="",$AS49=""),"",IF(Z$8&lt;$AQ49,"IKS",IF(Z$8&lt;$AS49,IF(Z$8=$AR49,"Bascule","Double run"),"ROKS"))))))</f>
        <v/>
      </c>
      <c r="AA49" s="51" t="str">
        <f aca="false">IF(OR($A49="",AA$8=""),"",IF($F49="Migré","ROKS",IF($F49="À décommissionner",IF(AA$8&lt;$AS49,"IKS","Décom."),IF(OR($AQ49="",$AS49=""),"",IF(AA$8&lt;$AQ49,"IKS",IF(AA$8&lt;$AS49,IF(AA$8=$AR49,"Bascule","Double run"),"ROKS"))))))</f>
        <v/>
      </c>
      <c r="AB49" s="51" t="str">
        <f aca="false">IF(OR($A49="",AB$8=""),"",IF($F49="Migré","ROKS",IF($F49="À décommissionner",IF(AB$8&lt;$AS49,"IKS","Décom."),IF(OR($AQ49="",$AS49=""),"",IF(AB$8&lt;$AQ49,"IKS",IF(AB$8&lt;$AS49,IF(AB$8=$AR49,"Bascule","Double run"),"ROKS"))))))</f>
        <v/>
      </c>
      <c r="AC49" s="51" t="str">
        <f aca="false">IF(OR($A49="",AC$8=""),"",IF($F49="Migré","ROKS",IF($F49="À décommissionner",IF(AC$8&lt;$AS49,"IKS","Décom."),IF(OR($AQ49="",$AS49=""),"",IF(AC$8&lt;$AQ49,"IKS",IF(AC$8&lt;$AS49,IF(AC$8=$AR49,"Bascule","Double run"),"ROKS"))))))</f>
        <v/>
      </c>
      <c r="AD49" s="51" t="str">
        <f aca="false">IF(OR($A49="",AD$8=""),"",IF($F49="Migré","ROKS",IF($F49="À décommissionner",IF(AD$8&lt;$AS49,"IKS","Décom."),IF(OR($AQ49="",$AS49=""),"",IF(AD$8&lt;$AQ49,"IKS",IF(AD$8&lt;$AS49,IF(AD$8=$AR49,"Bascule","Double run"),"ROKS"))))))</f>
        <v/>
      </c>
      <c r="AE49" s="51" t="str">
        <f aca="false">IF(OR($A49="",AE$8=""),"",IF($F49="Migré","ROKS",IF($F49="À décommissionner",IF(AE$8&lt;$AS49,"IKS","Décom."),IF(OR($AQ49="",$AS49=""),"",IF(AE$8&lt;$AQ49,"IKS",IF(AE$8&lt;$AS49,IF(AE$8=$AR49,"Bascule","Double run"),"ROKS"))))))</f>
        <v/>
      </c>
      <c r="AF49" s="51" t="str">
        <f aca="false">IF(OR($A49="",AF$8=""),"",IF($F49="Migré","ROKS",IF($F49="À décommissionner",IF(AF$8&lt;$AS49,"IKS","Décom."),IF(OR($AQ49="",$AS49=""),"",IF(AF$8&lt;$AQ49,"IKS",IF(AF$8&lt;$AS49,IF(AF$8=$AR49,"Bascule","Double run"),"ROKS"))))))</f>
        <v/>
      </c>
      <c r="AG49" s="51" t="str">
        <f aca="false">IF(OR($A49="",AG$8=""),"",IF($F49="Migré","ROKS",IF($F49="À décommissionner",IF(AG$8&lt;$AS49,"IKS","Décom."),IF(OR($AQ49="",$AS49=""),"",IF(AG$8&lt;$AQ49,"IKS",IF(AG$8&lt;$AS49,IF(AG$8=$AR49,"Bascule","Double run"),"ROKS"))))))</f>
        <v/>
      </c>
      <c r="AH49" s="51" t="str">
        <f aca="false">IF(OR($A49="",AH$8=""),"",IF($F49="Migré","ROKS",IF($F49="À décommissionner",IF(AH$8&lt;$AS49,"IKS","Décom."),IF(OR($AQ49="",$AS49=""),"",IF(AH$8&lt;$AQ49,"IKS",IF(AH$8&lt;$AS49,IF(AH$8=$AR49,"Bascule","Double run"),"ROKS"))))))</f>
        <v/>
      </c>
      <c r="AI49" s="51" t="str">
        <f aca="false">IF(OR($A49="",AI$8=""),"",IF($F49="Migré","ROKS",IF($F49="À décommissionner",IF(AI$8&lt;$AS49,"IKS","Décom."),IF(OR($AQ49="",$AS49=""),"",IF(AI$8&lt;$AQ49,"IKS",IF(AI$8&lt;$AS49,IF(AI$8=$AR49,"Bascule","Double run"),"ROKS"))))))</f>
        <v/>
      </c>
      <c r="AJ49" s="51" t="str">
        <f aca="false">IF(OR($A49="",AJ$8=""),"",IF($F49="Migré","ROKS",IF($F49="À décommissionner",IF(AJ$8&lt;$AS49,"IKS","Décom."),IF(OR($AQ49="",$AS49=""),"",IF(AJ$8&lt;$AQ49,"IKS",IF(AJ$8&lt;$AS49,IF(AJ$8=$AR49,"Bascule","Double run"),"ROKS"))))))</f>
        <v/>
      </c>
      <c r="AK49" s="51" t="str">
        <f aca="false">IF(OR($A49="",AK$8=""),"",IF($F49="Migré","ROKS",IF($F49="À décommissionner",IF(AK$8&lt;$AS49,"IKS","Décom."),IF(OR($AQ49="",$AS49=""),"",IF(AK$8&lt;$AQ49,"IKS",IF(AK$8&lt;$AS49,IF(AK$8=$AR49,"Bascule","Double run"),"ROKS"))))))</f>
        <v/>
      </c>
      <c r="AL49" s="51" t="str">
        <f aca="false">IF(OR($A49="",AL$8=""),"",IF($F49="Migré","ROKS",IF($F49="À décommissionner",IF(AL$8&lt;$AS49,"IKS","Décom."),IF(OR($AQ49="",$AS49=""),"",IF(AL$8&lt;$AQ49,"IKS",IF(AL$8&lt;$AS49,IF(AL$8=$AR49,"Bascule","Double run"),"ROKS"))))))</f>
        <v/>
      </c>
      <c r="AM49" s="51" t="str">
        <f aca="false">IF(OR($A49="",AM$8=""),"",IF($F49="Migré","ROKS",IF($F49="À décommissionner",IF(AM$8&lt;$AS49,"IKS","Décom."),IF(OR($AQ49="",$AS49=""),"",IF(AM$8&lt;$AQ49,"IKS",IF(AM$8&lt;$AS49,IF(AM$8=$AR49,"Bascule","Double run"),"ROKS"))))))</f>
        <v/>
      </c>
      <c r="AN49" s="51" t="str">
        <f aca="false">IF(OR($A49="",AN$8=""),"",IF($F49="Migré","ROKS",IF($F49="À décommissionner",IF(AN$8&lt;$AS49,"IKS","Décom."),IF(OR($AQ49="",$AS49=""),"",IF(AN$8&lt;$AQ49,"IKS",IF(AN$8&lt;$AS49,IF(AN$8=$AR49,"Bascule","Double run"),"ROKS"))))))</f>
        <v/>
      </c>
      <c r="AO49" s="51" t="str">
        <f aca="false">IF(OR($A49="",AO$8=""),"",IF($F49="Migré","ROKS",IF($F49="À décommissionner",IF(AO$8&lt;$AS49,"IKS","Décom."),IF(OR($AQ49="",$AS49=""),"",IF(AO$8&lt;$AQ49,"IKS",IF(AO$8&lt;$AS49,IF(AO$8=$AR49,"Bascule","Double run"),"ROKS"))))))</f>
        <v/>
      </c>
      <c r="AP49" s="51" t="str">
        <f aca="false">IF(OR($A49="",AP$8=""),"",IF($F49="Migré","ROKS",IF($F49="À décommissionner",IF(AP$8&lt;$AS49,"IKS","Décom."),IF(OR($AQ49="",$AS49=""),"",IF(AP$8&lt;$AQ49,"IKS",IF(AP$8&lt;$AS49,IF(AP$8=$AR49,"Bascule","Double run"),"ROKS"))))))</f>
        <v/>
      </c>
      <c r="AQ49" s="0" t="str">
        <f aca="false">IF($A49="","",INDEX(TblApplications[Mois prov (calc)],$A49))</f>
        <v/>
      </c>
      <c r="AR49" s="0" t="str">
        <f aca="false">IF($A49="","",IFERROR(DATE(YEAR(INDEX(TblApplications[Mois bascule],$A49)),MONTH(INDEX(TblApplications[Mois bascule],$A49)),1),""))</f>
        <v/>
      </c>
      <c r="AS49" s="0" t="str">
        <f aca="false">IF($A49="","",INDEX(TblApplications[Mois lib (calc)],$A49))</f>
        <v/>
      </c>
    </row>
    <row r="50" customFormat="false" ht="15" hidden="false" customHeight="false" outlineLevel="0" collapsed="false">
      <c r="A50" s="49" t="str">
        <f aca="false">IFERROR(MATCH(42,TblApplications[Rang frise],0),"")</f>
        <v/>
      </c>
      <c r="B50" s="50" t="str">
        <f aca="false">IF($A50="","",INDEX(TblApplications[ID],$A50))</f>
        <v/>
      </c>
      <c r="C50" s="50" t="str">
        <f aca="false">IF($A50="","",INDEX(TblApplications[Application],$A50))</f>
        <v/>
      </c>
      <c r="D50" s="50" t="str">
        <f aca="false">IF($A50="","",INDEX(TblApplications[Environnement],$A50))</f>
        <v/>
      </c>
      <c r="E50" s="50" t="str">
        <f aca="false">IF($A50="","",INDEX(TblApplications[Couloir],$A50))</f>
        <v/>
      </c>
      <c r="F50" s="50" t="str">
        <f aca="false">IF($A50="","",INDEX(TblApplications[Action],$A50))</f>
        <v/>
      </c>
      <c r="G50" s="51" t="str">
        <f aca="false">IF(OR($A50="",G$8=""),"",IF($F50="Migré","ROKS",IF($F50="À décommissionner",IF(G$8&lt;$AS50,"IKS","Décom."),IF(OR($AQ50="",$AS50=""),"",IF(G$8&lt;$AQ50,"IKS",IF(G$8&lt;$AS50,IF(G$8=$AR50,"Bascule","Double run"),"ROKS"))))))</f>
        <v/>
      </c>
      <c r="H50" s="51" t="str">
        <f aca="false">IF(OR($A50="",H$8=""),"",IF($F50="Migré","ROKS",IF($F50="À décommissionner",IF(H$8&lt;$AS50,"IKS","Décom."),IF(OR($AQ50="",$AS50=""),"",IF(H$8&lt;$AQ50,"IKS",IF(H$8&lt;$AS50,IF(H$8=$AR50,"Bascule","Double run"),"ROKS"))))))</f>
        <v/>
      </c>
      <c r="I50" s="51" t="str">
        <f aca="false">IF(OR($A50="",I$8=""),"",IF($F50="Migré","ROKS",IF($F50="À décommissionner",IF(I$8&lt;$AS50,"IKS","Décom."),IF(OR($AQ50="",$AS50=""),"",IF(I$8&lt;$AQ50,"IKS",IF(I$8&lt;$AS50,IF(I$8=$AR50,"Bascule","Double run"),"ROKS"))))))</f>
        <v/>
      </c>
      <c r="J50" s="51" t="str">
        <f aca="false">IF(OR($A50="",J$8=""),"",IF($F50="Migré","ROKS",IF($F50="À décommissionner",IF(J$8&lt;$AS50,"IKS","Décom."),IF(OR($AQ50="",$AS50=""),"",IF(J$8&lt;$AQ50,"IKS",IF(J$8&lt;$AS50,IF(J$8=$AR50,"Bascule","Double run"),"ROKS"))))))</f>
        <v/>
      </c>
      <c r="K50" s="51" t="str">
        <f aca="false">IF(OR($A50="",K$8=""),"",IF($F50="Migré","ROKS",IF($F50="À décommissionner",IF(K$8&lt;$AS50,"IKS","Décom."),IF(OR($AQ50="",$AS50=""),"",IF(K$8&lt;$AQ50,"IKS",IF(K$8&lt;$AS50,IF(K$8=$AR50,"Bascule","Double run"),"ROKS"))))))</f>
        <v/>
      </c>
      <c r="L50" s="51" t="str">
        <f aca="false">IF(OR($A50="",L$8=""),"",IF($F50="Migré","ROKS",IF($F50="À décommissionner",IF(L$8&lt;$AS50,"IKS","Décom."),IF(OR($AQ50="",$AS50=""),"",IF(L$8&lt;$AQ50,"IKS",IF(L$8&lt;$AS50,IF(L$8=$AR50,"Bascule","Double run"),"ROKS"))))))</f>
        <v/>
      </c>
      <c r="M50" s="51" t="str">
        <f aca="false">IF(OR($A50="",M$8=""),"",IF($F50="Migré","ROKS",IF($F50="À décommissionner",IF(M$8&lt;$AS50,"IKS","Décom."),IF(OR($AQ50="",$AS50=""),"",IF(M$8&lt;$AQ50,"IKS",IF(M$8&lt;$AS50,IF(M$8=$AR50,"Bascule","Double run"),"ROKS"))))))</f>
        <v/>
      </c>
      <c r="N50" s="51" t="str">
        <f aca="false">IF(OR($A50="",N$8=""),"",IF($F50="Migré","ROKS",IF($F50="À décommissionner",IF(N$8&lt;$AS50,"IKS","Décom."),IF(OR($AQ50="",$AS50=""),"",IF(N$8&lt;$AQ50,"IKS",IF(N$8&lt;$AS50,IF(N$8=$AR50,"Bascule","Double run"),"ROKS"))))))</f>
        <v/>
      </c>
      <c r="O50" s="51" t="str">
        <f aca="false">IF(OR($A50="",O$8=""),"",IF($F50="Migré","ROKS",IF($F50="À décommissionner",IF(O$8&lt;$AS50,"IKS","Décom."),IF(OR($AQ50="",$AS50=""),"",IF(O$8&lt;$AQ50,"IKS",IF(O$8&lt;$AS50,IF(O$8=$AR50,"Bascule","Double run"),"ROKS"))))))</f>
        <v/>
      </c>
      <c r="P50" s="51" t="str">
        <f aca="false">IF(OR($A50="",P$8=""),"",IF($F50="Migré","ROKS",IF($F50="À décommissionner",IF(P$8&lt;$AS50,"IKS","Décom."),IF(OR($AQ50="",$AS50=""),"",IF(P$8&lt;$AQ50,"IKS",IF(P$8&lt;$AS50,IF(P$8=$AR50,"Bascule","Double run"),"ROKS"))))))</f>
        <v/>
      </c>
      <c r="Q50" s="51" t="str">
        <f aca="false">IF(OR($A50="",Q$8=""),"",IF($F50="Migré","ROKS",IF($F50="À décommissionner",IF(Q$8&lt;$AS50,"IKS","Décom."),IF(OR($AQ50="",$AS50=""),"",IF(Q$8&lt;$AQ50,"IKS",IF(Q$8&lt;$AS50,IF(Q$8=$AR50,"Bascule","Double run"),"ROKS"))))))</f>
        <v/>
      </c>
      <c r="R50" s="51" t="str">
        <f aca="false">IF(OR($A50="",R$8=""),"",IF($F50="Migré","ROKS",IF($F50="À décommissionner",IF(R$8&lt;$AS50,"IKS","Décom."),IF(OR($AQ50="",$AS50=""),"",IF(R$8&lt;$AQ50,"IKS",IF(R$8&lt;$AS50,IF(R$8=$AR50,"Bascule","Double run"),"ROKS"))))))</f>
        <v/>
      </c>
      <c r="S50" s="51" t="str">
        <f aca="false">IF(OR($A50="",S$8=""),"",IF($F50="Migré","ROKS",IF($F50="À décommissionner",IF(S$8&lt;$AS50,"IKS","Décom."),IF(OR($AQ50="",$AS50=""),"",IF(S$8&lt;$AQ50,"IKS",IF(S$8&lt;$AS50,IF(S$8=$AR50,"Bascule","Double run"),"ROKS"))))))</f>
        <v/>
      </c>
      <c r="T50" s="51" t="str">
        <f aca="false">IF(OR($A50="",T$8=""),"",IF($F50="Migré","ROKS",IF($F50="À décommissionner",IF(T$8&lt;$AS50,"IKS","Décom."),IF(OR($AQ50="",$AS50=""),"",IF(T$8&lt;$AQ50,"IKS",IF(T$8&lt;$AS50,IF(T$8=$AR50,"Bascule","Double run"),"ROKS"))))))</f>
        <v/>
      </c>
      <c r="U50" s="51" t="str">
        <f aca="false">IF(OR($A50="",U$8=""),"",IF($F50="Migré","ROKS",IF($F50="À décommissionner",IF(U$8&lt;$AS50,"IKS","Décom."),IF(OR($AQ50="",$AS50=""),"",IF(U$8&lt;$AQ50,"IKS",IF(U$8&lt;$AS50,IF(U$8=$AR50,"Bascule","Double run"),"ROKS"))))))</f>
        <v/>
      </c>
      <c r="V50" s="51" t="str">
        <f aca="false">IF(OR($A50="",V$8=""),"",IF($F50="Migré","ROKS",IF($F50="À décommissionner",IF(V$8&lt;$AS50,"IKS","Décom."),IF(OR($AQ50="",$AS50=""),"",IF(V$8&lt;$AQ50,"IKS",IF(V$8&lt;$AS50,IF(V$8=$AR50,"Bascule","Double run"),"ROKS"))))))</f>
        <v/>
      </c>
      <c r="W50" s="51" t="str">
        <f aca="false">IF(OR($A50="",W$8=""),"",IF($F50="Migré","ROKS",IF($F50="À décommissionner",IF(W$8&lt;$AS50,"IKS","Décom."),IF(OR($AQ50="",$AS50=""),"",IF(W$8&lt;$AQ50,"IKS",IF(W$8&lt;$AS50,IF(W$8=$AR50,"Bascule","Double run"),"ROKS"))))))</f>
        <v/>
      </c>
      <c r="X50" s="51" t="str">
        <f aca="false">IF(OR($A50="",X$8=""),"",IF($F50="Migré","ROKS",IF($F50="À décommissionner",IF(X$8&lt;$AS50,"IKS","Décom."),IF(OR($AQ50="",$AS50=""),"",IF(X$8&lt;$AQ50,"IKS",IF(X$8&lt;$AS50,IF(X$8=$AR50,"Bascule","Double run"),"ROKS"))))))</f>
        <v/>
      </c>
      <c r="Y50" s="51" t="str">
        <f aca="false">IF(OR($A50="",Y$8=""),"",IF($F50="Migré","ROKS",IF($F50="À décommissionner",IF(Y$8&lt;$AS50,"IKS","Décom."),IF(OR($AQ50="",$AS50=""),"",IF(Y$8&lt;$AQ50,"IKS",IF(Y$8&lt;$AS50,IF(Y$8=$AR50,"Bascule","Double run"),"ROKS"))))))</f>
        <v/>
      </c>
      <c r="Z50" s="51" t="str">
        <f aca="false">IF(OR($A50="",Z$8=""),"",IF($F50="Migré","ROKS",IF($F50="À décommissionner",IF(Z$8&lt;$AS50,"IKS","Décom."),IF(OR($AQ50="",$AS50=""),"",IF(Z$8&lt;$AQ50,"IKS",IF(Z$8&lt;$AS50,IF(Z$8=$AR50,"Bascule","Double run"),"ROKS"))))))</f>
        <v/>
      </c>
      <c r="AA50" s="51" t="str">
        <f aca="false">IF(OR($A50="",AA$8=""),"",IF($F50="Migré","ROKS",IF($F50="À décommissionner",IF(AA$8&lt;$AS50,"IKS","Décom."),IF(OR($AQ50="",$AS50=""),"",IF(AA$8&lt;$AQ50,"IKS",IF(AA$8&lt;$AS50,IF(AA$8=$AR50,"Bascule","Double run"),"ROKS"))))))</f>
        <v/>
      </c>
      <c r="AB50" s="51" t="str">
        <f aca="false">IF(OR($A50="",AB$8=""),"",IF($F50="Migré","ROKS",IF($F50="À décommissionner",IF(AB$8&lt;$AS50,"IKS","Décom."),IF(OR($AQ50="",$AS50=""),"",IF(AB$8&lt;$AQ50,"IKS",IF(AB$8&lt;$AS50,IF(AB$8=$AR50,"Bascule","Double run"),"ROKS"))))))</f>
        <v/>
      </c>
      <c r="AC50" s="51" t="str">
        <f aca="false">IF(OR($A50="",AC$8=""),"",IF($F50="Migré","ROKS",IF($F50="À décommissionner",IF(AC$8&lt;$AS50,"IKS","Décom."),IF(OR($AQ50="",$AS50=""),"",IF(AC$8&lt;$AQ50,"IKS",IF(AC$8&lt;$AS50,IF(AC$8=$AR50,"Bascule","Double run"),"ROKS"))))))</f>
        <v/>
      </c>
      <c r="AD50" s="51" t="str">
        <f aca="false">IF(OR($A50="",AD$8=""),"",IF($F50="Migré","ROKS",IF($F50="À décommissionner",IF(AD$8&lt;$AS50,"IKS","Décom."),IF(OR($AQ50="",$AS50=""),"",IF(AD$8&lt;$AQ50,"IKS",IF(AD$8&lt;$AS50,IF(AD$8=$AR50,"Bascule","Double run"),"ROKS"))))))</f>
        <v/>
      </c>
      <c r="AE50" s="51" t="str">
        <f aca="false">IF(OR($A50="",AE$8=""),"",IF($F50="Migré","ROKS",IF($F50="À décommissionner",IF(AE$8&lt;$AS50,"IKS","Décom."),IF(OR($AQ50="",$AS50=""),"",IF(AE$8&lt;$AQ50,"IKS",IF(AE$8&lt;$AS50,IF(AE$8=$AR50,"Bascule","Double run"),"ROKS"))))))</f>
        <v/>
      </c>
      <c r="AF50" s="51" t="str">
        <f aca="false">IF(OR($A50="",AF$8=""),"",IF($F50="Migré","ROKS",IF($F50="À décommissionner",IF(AF$8&lt;$AS50,"IKS","Décom."),IF(OR($AQ50="",$AS50=""),"",IF(AF$8&lt;$AQ50,"IKS",IF(AF$8&lt;$AS50,IF(AF$8=$AR50,"Bascule","Double run"),"ROKS"))))))</f>
        <v/>
      </c>
      <c r="AG50" s="51" t="str">
        <f aca="false">IF(OR($A50="",AG$8=""),"",IF($F50="Migré","ROKS",IF($F50="À décommissionner",IF(AG$8&lt;$AS50,"IKS","Décom."),IF(OR($AQ50="",$AS50=""),"",IF(AG$8&lt;$AQ50,"IKS",IF(AG$8&lt;$AS50,IF(AG$8=$AR50,"Bascule","Double run"),"ROKS"))))))</f>
        <v/>
      </c>
      <c r="AH50" s="51" t="str">
        <f aca="false">IF(OR($A50="",AH$8=""),"",IF($F50="Migré","ROKS",IF($F50="À décommissionner",IF(AH$8&lt;$AS50,"IKS","Décom."),IF(OR($AQ50="",$AS50=""),"",IF(AH$8&lt;$AQ50,"IKS",IF(AH$8&lt;$AS50,IF(AH$8=$AR50,"Bascule","Double run"),"ROKS"))))))</f>
        <v/>
      </c>
      <c r="AI50" s="51" t="str">
        <f aca="false">IF(OR($A50="",AI$8=""),"",IF($F50="Migré","ROKS",IF($F50="À décommissionner",IF(AI$8&lt;$AS50,"IKS","Décom."),IF(OR($AQ50="",$AS50=""),"",IF(AI$8&lt;$AQ50,"IKS",IF(AI$8&lt;$AS50,IF(AI$8=$AR50,"Bascule","Double run"),"ROKS"))))))</f>
        <v/>
      </c>
      <c r="AJ50" s="51" t="str">
        <f aca="false">IF(OR($A50="",AJ$8=""),"",IF($F50="Migré","ROKS",IF($F50="À décommissionner",IF(AJ$8&lt;$AS50,"IKS","Décom."),IF(OR($AQ50="",$AS50=""),"",IF(AJ$8&lt;$AQ50,"IKS",IF(AJ$8&lt;$AS50,IF(AJ$8=$AR50,"Bascule","Double run"),"ROKS"))))))</f>
        <v/>
      </c>
      <c r="AK50" s="51" t="str">
        <f aca="false">IF(OR($A50="",AK$8=""),"",IF($F50="Migré","ROKS",IF($F50="À décommissionner",IF(AK$8&lt;$AS50,"IKS","Décom."),IF(OR($AQ50="",$AS50=""),"",IF(AK$8&lt;$AQ50,"IKS",IF(AK$8&lt;$AS50,IF(AK$8=$AR50,"Bascule","Double run"),"ROKS"))))))</f>
        <v/>
      </c>
      <c r="AL50" s="51" t="str">
        <f aca="false">IF(OR($A50="",AL$8=""),"",IF($F50="Migré","ROKS",IF($F50="À décommissionner",IF(AL$8&lt;$AS50,"IKS","Décom."),IF(OR($AQ50="",$AS50=""),"",IF(AL$8&lt;$AQ50,"IKS",IF(AL$8&lt;$AS50,IF(AL$8=$AR50,"Bascule","Double run"),"ROKS"))))))</f>
        <v/>
      </c>
      <c r="AM50" s="51" t="str">
        <f aca="false">IF(OR($A50="",AM$8=""),"",IF($F50="Migré","ROKS",IF($F50="À décommissionner",IF(AM$8&lt;$AS50,"IKS","Décom."),IF(OR($AQ50="",$AS50=""),"",IF(AM$8&lt;$AQ50,"IKS",IF(AM$8&lt;$AS50,IF(AM$8=$AR50,"Bascule","Double run"),"ROKS"))))))</f>
        <v/>
      </c>
      <c r="AN50" s="51" t="str">
        <f aca="false">IF(OR($A50="",AN$8=""),"",IF($F50="Migré","ROKS",IF($F50="À décommissionner",IF(AN$8&lt;$AS50,"IKS","Décom."),IF(OR($AQ50="",$AS50=""),"",IF(AN$8&lt;$AQ50,"IKS",IF(AN$8&lt;$AS50,IF(AN$8=$AR50,"Bascule","Double run"),"ROKS"))))))</f>
        <v/>
      </c>
      <c r="AO50" s="51" t="str">
        <f aca="false">IF(OR($A50="",AO$8=""),"",IF($F50="Migré","ROKS",IF($F50="À décommissionner",IF(AO$8&lt;$AS50,"IKS","Décom."),IF(OR($AQ50="",$AS50=""),"",IF(AO$8&lt;$AQ50,"IKS",IF(AO$8&lt;$AS50,IF(AO$8=$AR50,"Bascule","Double run"),"ROKS"))))))</f>
        <v/>
      </c>
      <c r="AP50" s="51" t="str">
        <f aca="false">IF(OR($A50="",AP$8=""),"",IF($F50="Migré","ROKS",IF($F50="À décommissionner",IF(AP$8&lt;$AS50,"IKS","Décom."),IF(OR($AQ50="",$AS50=""),"",IF(AP$8&lt;$AQ50,"IKS",IF(AP$8&lt;$AS50,IF(AP$8=$AR50,"Bascule","Double run"),"ROKS"))))))</f>
        <v/>
      </c>
      <c r="AQ50" s="0" t="str">
        <f aca="false">IF($A50="","",INDEX(TblApplications[Mois prov (calc)],$A50))</f>
        <v/>
      </c>
      <c r="AR50" s="0" t="str">
        <f aca="false">IF($A50="","",IFERROR(DATE(YEAR(INDEX(TblApplications[Mois bascule],$A50)),MONTH(INDEX(TblApplications[Mois bascule],$A50)),1),""))</f>
        <v/>
      </c>
      <c r="AS50" s="0" t="str">
        <f aca="false">IF($A50="","",INDEX(TblApplications[Mois lib (calc)],$A50))</f>
        <v/>
      </c>
    </row>
    <row r="51" customFormat="false" ht="15" hidden="false" customHeight="false" outlineLevel="0" collapsed="false">
      <c r="A51" s="49" t="str">
        <f aca="false">IFERROR(MATCH(43,TblApplications[Rang frise],0),"")</f>
        <v/>
      </c>
      <c r="B51" s="50" t="str">
        <f aca="false">IF($A51="","",INDEX(TblApplications[ID],$A51))</f>
        <v/>
      </c>
      <c r="C51" s="50" t="str">
        <f aca="false">IF($A51="","",INDEX(TblApplications[Application],$A51))</f>
        <v/>
      </c>
      <c r="D51" s="50" t="str">
        <f aca="false">IF($A51="","",INDEX(TblApplications[Environnement],$A51))</f>
        <v/>
      </c>
      <c r="E51" s="50" t="str">
        <f aca="false">IF($A51="","",INDEX(TblApplications[Couloir],$A51))</f>
        <v/>
      </c>
      <c r="F51" s="50" t="str">
        <f aca="false">IF($A51="","",INDEX(TblApplications[Action],$A51))</f>
        <v/>
      </c>
      <c r="G51" s="51" t="str">
        <f aca="false">IF(OR($A51="",G$8=""),"",IF($F51="Migré","ROKS",IF($F51="À décommissionner",IF(G$8&lt;$AS51,"IKS","Décom."),IF(OR($AQ51="",$AS51=""),"",IF(G$8&lt;$AQ51,"IKS",IF(G$8&lt;$AS51,IF(G$8=$AR51,"Bascule","Double run"),"ROKS"))))))</f>
        <v/>
      </c>
      <c r="H51" s="51" t="str">
        <f aca="false">IF(OR($A51="",H$8=""),"",IF($F51="Migré","ROKS",IF($F51="À décommissionner",IF(H$8&lt;$AS51,"IKS","Décom."),IF(OR($AQ51="",$AS51=""),"",IF(H$8&lt;$AQ51,"IKS",IF(H$8&lt;$AS51,IF(H$8=$AR51,"Bascule","Double run"),"ROKS"))))))</f>
        <v/>
      </c>
      <c r="I51" s="51" t="str">
        <f aca="false">IF(OR($A51="",I$8=""),"",IF($F51="Migré","ROKS",IF($F51="À décommissionner",IF(I$8&lt;$AS51,"IKS","Décom."),IF(OR($AQ51="",$AS51=""),"",IF(I$8&lt;$AQ51,"IKS",IF(I$8&lt;$AS51,IF(I$8=$AR51,"Bascule","Double run"),"ROKS"))))))</f>
        <v/>
      </c>
      <c r="J51" s="51" t="str">
        <f aca="false">IF(OR($A51="",J$8=""),"",IF($F51="Migré","ROKS",IF($F51="À décommissionner",IF(J$8&lt;$AS51,"IKS","Décom."),IF(OR($AQ51="",$AS51=""),"",IF(J$8&lt;$AQ51,"IKS",IF(J$8&lt;$AS51,IF(J$8=$AR51,"Bascule","Double run"),"ROKS"))))))</f>
        <v/>
      </c>
      <c r="K51" s="51" t="str">
        <f aca="false">IF(OR($A51="",K$8=""),"",IF($F51="Migré","ROKS",IF($F51="À décommissionner",IF(K$8&lt;$AS51,"IKS","Décom."),IF(OR($AQ51="",$AS51=""),"",IF(K$8&lt;$AQ51,"IKS",IF(K$8&lt;$AS51,IF(K$8=$AR51,"Bascule","Double run"),"ROKS"))))))</f>
        <v/>
      </c>
      <c r="L51" s="51" t="str">
        <f aca="false">IF(OR($A51="",L$8=""),"",IF($F51="Migré","ROKS",IF($F51="À décommissionner",IF(L$8&lt;$AS51,"IKS","Décom."),IF(OR($AQ51="",$AS51=""),"",IF(L$8&lt;$AQ51,"IKS",IF(L$8&lt;$AS51,IF(L$8=$AR51,"Bascule","Double run"),"ROKS"))))))</f>
        <v/>
      </c>
      <c r="M51" s="51" t="str">
        <f aca="false">IF(OR($A51="",M$8=""),"",IF($F51="Migré","ROKS",IF($F51="À décommissionner",IF(M$8&lt;$AS51,"IKS","Décom."),IF(OR($AQ51="",$AS51=""),"",IF(M$8&lt;$AQ51,"IKS",IF(M$8&lt;$AS51,IF(M$8=$AR51,"Bascule","Double run"),"ROKS"))))))</f>
        <v/>
      </c>
      <c r="N51" s="51" t="str">
        <f aca="false">IF(OR($A51="",N$8=""),"",IF($F51="Migré","ROKS",IF($F51="À décommissionner",IF(N$8&lt;$AS51,"IKS","Décom."),IF(OR($AQ51="",$AS51=""),"",IF(N$8&lt;$AQ51,"IKS",IF(N$8&lt;$AS51,IF(N$8=$AR51,"Bascule","Double run"),"ROKS"))))))</f>
        <v/>
      </c>
      <c r="O51" s="51" t="str">
        <f aca="false">IF(OR($A51="",O$8=""),"",IF($F51="Migré","ROKS",IF($F51="À décommissionner",IF(O$8&lt;$AS51,"IKS","Décom."),IF(OR($AQ51="",$AS51=""),"",IF(O$8&lt;$AQ51,"IKS",IF(O$8&lt;$AS51,IF(O$8=$AR51,"Bascule","Double run"),"ROKS"))))))</f>
        <v/>
      </c>
      <c r="P51" s="51" t="str">
        <f aca="false">IF(OR($A51="",P$8=""),"",IF($F51="Migré","ROKS",IF($F51="À décommissionner",IF(P$8&lt;$AS51,"IKS","Décom."),IF(OR($AQ51="",$AS51=""),"",IF(P$8&lt;$AQ51,"IKS",IF(P$8&lt;$AS51,IF(P$8=$AR51,"Bascule","Double run"),"ROKS"))))))</f>
        <v/>
      </c>
      <c r="Q51" s="51" t="str">
        <f aca="false">IF(OR($A51="",Q$8=""),"",IF($F51="Migré","ROKS",IF($F51="À décommissionner",IF(Q$8&lt;$AS51,"IKS","Décom."),IF(OR($AQ51="",$AS51=""),"",IF(Q$8&lt;$AQ51,"IKS",IF(Q$8&lt;$AS51,IF(Q$8=$AR51,"Bascule","Double run"),"ROKS"))))))</f>
        <v/>
      </c>
      <c r="R51" s="51" t="str">
        <f aca="false">IF(OR($A51="",R$8=""),"",IF($F51="Migré","ROKS",IF($F51="À décommissionner",IF(R$8&lt;$AS51,"IKS","Décom."),IF(OR($AQ51="",$AS51=""),"",IF(R$8&lt;$AQ51,"IKS",IF(R$8&lt;$AS51,IF(R$8=$AR51,"Bascule","Double run"),"ROKS"))))))</f>
        <v/>
      </c>
      <c r="S51" s="51" t="str">
        <f aca="false">IF(OR($A51="",S$8=""),"",IF($F51="Migré","ROKS",IF($F51="À décommissionner",IF(S$8&lt;$AS51,"IKS","Décom."),IF(OR($AQ51="",$AS51=""),"",IF(S$8&lt;$AQ51,"IKS",IF(S$8&lt;$AS51,IF(S$8=$AR51,"Bascule","Double run"),"ROKS"))))))</f>
        <v/>
      </c>
      <c r="T51" s="51" t="str">
        <f aca="false">IF(OR($A51="",T$8=""),"",IF($F51="Migré","ROKS",IF($F51="À décommissionner",IF(T$8&lt;$AS51,"IKS","Décom."),IF(OR($AQ51="",$AS51=""),"",IF(T$8&lt;$AQ51,"IKS",IF(T$8&lt;$AS51,IF(T$8=$AR51,"Bascule","Double run"),"ROKS"))))))</f>
        <v/>
      </c>
      <c r="U51" s="51" t="str">
        <f aca="false">IF(OR($A51="",U$8=""),"",IF($F51="Migré","ROKS",IF($F51="À décommissionner",IF(U$8&lt;$AS51,"IKS","Décom."),IF(OR($AQ51="",$AS51=""),"",IF(U$8&lt;$AQ51,"IKS",IF(U$8&lt;$AS51,IF(U$8=$AR51,"Bascule","Double run"),"ROKS"))))))</f>
        <v/>
      </c>
      <c r="V51" s="51" t="str">
        <f aca="false">IF(OR($A51="",V$8=""),"",IF($F51="Migré","ROKS",IF($F51="À décommissionner",IF(V$8&lt;$AS51,"IKS","Décom."),IF(OR($AQ51="",$AS51=""),"",IF(V$8&lt;$AQ51,"IKS",IF(V$8&lt;$AS51,IF(V$8=$AR51,"Bascule","Double run"),"ROKS"))))))</f>
        <v/>
      </c>
      <c r="W51" s="51" t="str">
        <f aca="false">IF(OR($A51="",W$8=""),"",IF($F51="Migré","ROKS",IF($F51="À décommissionner",IF(W$8&lt;$AS51,"IKS","Décom."),IF(OR($AQ51="",$AS51=""),"",IF(W$8&lt;$AQ51,"IKS",IF(W$8&lt;$AS51,IF(W$8=$AR51,"Bascule","Double run"),"ROKS"))))))</f>
        <v/>
      </c>
      <c r="X51" s="51" t="str">
        <f aca="false">IF(OR($A51="",X$8=""),"",IF($F51="Migré","ROKS",IF($F51="À décommissionner",IF(X$8&lt;$AS51,"IKS","Décom."),IF(OR($AQ51="",$AS51=""),"",IF(X$8&lt;$AQ51,"IKS",IF(X$8&lt;$AS51,IF(X$8=$AR51,"Bascule","Double run"),"ROKS"))))))</f>
        <v/>
      </c>
      <c r="Y51" s="51" t="str">
        <f aca="false">IF(OR($A51="",Y$8=""),"",IF($F51="Migré","ROKS",IF($F51="À décommissionner",IF(Y$8&lt;$AS51,"IKS","Décom."),IF(OR($AQ51="",$AS51=""),"",IF(Y$8&lt;$AQ51,"IKS",IF(Y$8&lt;$AS51,IF(Y$8=$AR51,"Bascule","Double run"),"ROKS"))))))</f>
        <v/>
      </c>
      <c r="Z51" s="51" t="str">
        <f aca="false">IF(OR($A51="",Z$8=""),"",IF($F51="Migré","ROKS",IF($F51="À décommissionner",IF(Z$8&lt;$AS51,"IKS","Décom."),IF(OR($AQ51="",$AS51=""),"",IF(Z$8&lt;$AQ51,"IKS",IF(Z$8&lt;$AS51,IF(Z$8=$AR51,"Bascule","Double run"),"ROKS"))))))</f>
        <v/>
      </c>
      <c r="AA51" s="51" t="str">
        <f aca="false">IF(OR($A51="",AA$8=""),"",IF($F51="Migré","ROKS",IF($F51="À décommissionner",IF(AA$8&lt;$AS51,"IKS","Décom."),IF(OR($AQ51="",$AS51=""),"",IF(AA$8&lt;$AQ51,"IKS",IF(AA$8&lt;$AS51,IF(AA$8=$AR51,"Bascule","Double run"),"ROKS"))))))</f>
        <v/>
      </c>
      <c r="AB51" s="51" t="str">
        <f aca="false">IF(OR($A51="",AB$8=""),"",IF($F51="Migré","ROKS",IF($F51="À décommissionner",IF(AB$8&lt;$AS51,"IKS","Décom."),IF(OR($AQ51="",$AS51=""),"",IF(AB$8&lt;$AQ51,"IKS",IF(AB$8&lt;$AS51,IF(AB$8=$AR51,"Bascule","Double run"),"ROKS"))))))</f>
        <v/>
      </c>
      <c r="AC51" s="51" t="str">
        <f aca="false">IF(OR($A51="",AC$8=""),"",IF($F51="Migré","ROKS",IF($F51="À décommissionner",IF(AC$8&lt;$AS51,"IKS","Décom."),IF(OR($AQ51="",$AS51=""),"",IF(AC$8&lt;$AQ51,"IKS",IF(AC$8&lt;$AS51,IF(AC$8=$AR51,"Bascule","Double run"),"ROKS"))))))</f>
        <v/>
      </c>
      <c r="AD51" s="51" t="str">
        <f aca="false">IF(OR($A51="",AD$8=""),"",IF($F51="Migré","ROKS",IF($F51="À décommissionner",IF(AD$8&lt;$AS51,"IKS","Décom."),IF(OR($AQ51="",$AS51=""),"",IF(AD$8&lt;$AQ51,"IKS",IF(AD$8&lt;$AS51,IF(AD$8=$AR51,"Bascule","Double run"),"ROKS"))))))</f>
        <v/>
      </c>
      <c r="AE51" s="51" t="str">
        <f aca="false">IF(OR($A51="",AE$8=""),"",IF($F51="Migré","ROKS",IF($F51="À décommissionner",IF(AE$8&lt;$AS51,"IKS","Décom."),IF(OR($AQ51="",$AS51=""),"",IF(AE$8&lt;$AQ51,"IKS",IF(AE$8&lt;$AS51,IF(AE$8=$AR51,"Bascule","Double run"),"ROKS"))))))</f>
        <v/>
      </c>
      <c r="AF51" s="51" t="str">
        <f aca="false">IF(OR($A51="",AF$8=""),"",IF($F51="Migré","ROKS",IF($F51="À décommissionner",IF(AF$8&lt;$AS51,"IKS","Décom."),IF(OR($AQ51="",$AS51=""),"",IF(AF$8&lt;$AQ51,"IKS",IF(AF$8&lt;$AS51,IF(AF$8=$AR51,"Bascule","Double run"),"ROKS"))))))</f>
        <v/>
      </c>
      <c r="AG51" s="51" t="str">
        <f aca="false">IF(OR($A51="",AG$8=""),"",IF($F51="Migré","ROKS",IF($F51="À décommissionner",IF(AG$8&lt;$AS51,"IKS","Décom."),IF(OR($AQ51="",$AS51=""),"",IF(AG$8&lt;$AQ51,"IKS",IF(AG$8&lt;$AS51,IF(AG$8=$AR51,"Bascule","Double run"),"ROKS"))))))</f>
        <v/>
      </c>
      <c r="AH51" s="51" t="str">
        <f aca="false">IF(OR($A51="",AH$8=""),"",IF($F51="Migré","ROKS",IF($F51="À décommissionner",IF(AH$8&lt;$AS51,"IKS","Décom."),IF(OR($AQ51="",$AS51=""),"",IF(AH$8&lt;$AQ51,"IKS",IF(AH$8&lt;$AS51,IF(AH$8=$AR51,"Bascule","Double run"),"ROKS"))))))</f>
        <v/>
      </c>
      <c r="AI51" s="51" t="str">
        <f aca="false">IF(OR($A51="",AI$8=""),"",IF($F51="Migré","ROKS",IF($F51="À décommissionner",IF(AI$8&lt;$AS51,"IKS","Décom."),IF(OR($AQ51="",$AS51=""),"",IF(AI$8&lt;$AQ51,"IKS",IF(AI$8&lt;$AS51,IF(AI$8=$AR51,"Bascule","Double run"),"ROKS"))))))</f>
        <v/>
      </c>
      <c r="AJ51" s="51" t="str">
        <f aca="false">IF(OR($A51="",AJ$8=""),"",IF($F51="Migré","ROKS",IF($F51="À décommissionner",IF(AJ$8&lt;$AS51,"IKS","Décom."),IF(OR($AQ51="",$AS51=""),"",IF(AJ$8&lt;$AQ51,"IKS",IF(AJ$8&lt;$AS51,IF(AJ$8=$AR51,"Bascule","Double run"),"ROKS"))))))</f>
        <v/>
      </c>
      <c r="AK51" s="51" t="str">
        <f aca="false">IF(OR($A51="",AK$8=""),"",IF($F51="Migré","ROKS",IF($F51="À décommissionner",IF(AK$8&lt;$AS51,"IKS","Décom."),IF(OR($AQ51="",$AS51=""),"",IF(AK$8&lt;$AQ51,"IKS",IF(AK$8&lt;$AS51,IF(AK$8=$AR51,"Bascule","Double run"),"ROKS"))))))</f>
        <v/>
      </c>
      <c r="AL51" s="51" t="str">
        <f aca="false">IF(OR($A51="",AL$8=""),"",IF($F51="Migré","ROKS",IF($F51="À décommissionner",IF(AL$8&lt;$AS51,"IKS","Décom."),IF(OR($AQ51="",$AS51=""),"",IF(AL$8&lt;$AQ51,"IKS",IF(AL$8&lt;$AS51,IF(AL$8=$AR51,"Bascule","Double run"),"ROKS"))))))</f>
        <v/>
      </c>
      <c r="AM51" s="51" t="str">
        <f aca="false">IF(OR($A51="",AM$8=""),"",IF($F51="Migré","ROKS",IF($F51="À décommissionner",IF(AM$8&lt;$AS51,"IKS","Décom."),IF(OR($AQ51="",$AS51=""),"",IF(AM$8&lt;$AQ51,"IKS",IF(AM$8&lt;$AS51,IF(AM$8=$AR51,"Bascule","Double run"),"ROKS"))))))</f>
        <v/>
      </c>
      <c r="AN51" s="51" t="str">
        <f aca="false">IF(OR($A51="",AN$8=""),"",IF($F51="Migré","ROKS",IF($F51="À décommissionner",IF(AN$8&lt;$AS51,"IKS","Décom."),IF(OR($AQ51="",$AS51=""),"",IF(AN$8&lt;$AQ51,"IKS",IF(AN$8&lt;$AS51,IF(AN$8=$AR51,"Bascule","Double run"),"ROKS"))))))</f>
        <v/>
      </c>
      <c r="AO51" s="51" t="str">
        <f aca="false">IF(OR($A51="",AO$8=""),"",IF($F51="Migré","ROKS",IF($F51="À décommissionner",IF(AO$8&lt;$AS51,"IKS","Décom."),IF(OR($AQ51="",$AS51=""),"",IF(AO$8&lt;$AQ51,"IKS",IF(AO$8&lt;$AS51,IF(AO$8=$AR51,"Bascule","Double run"),"ROKS"))))))</f>
        <v/>
      </c>
      <c r="AP51" s="51" t="str">
        <f aca="false">IF(OR($A51="",AP$8=""),"",IF($F51="Migré","ROKS",IF($F51="À décommissionner",IF(AP$8&lt;$AS51,"IKS","Décom."),IF(OR($AQ51="",$AS51=""),"",IF(AP$8&lt;$AQ51,"IKS",IF(AP$8&lt;$AS51,IF(AP$8=$AR51,"Bascule","Double run"),"ROKS"))))))</f>
        <v/>
      </c>
      <c r="AQ51" s="0" t="str">
        <f aca="false">IF($A51="","",INDEX(TblApplications[Mois prov (calc)],$A51))</f>
        <v/>
      </c>
      <c r="AR51" s="0" t="str">
        <f aca="false">IF($A51="","",IFERROR(DATE(YEAR(INDEX(TblApplications[Mois bascule],$A51)),MONTH(INDEX(TblApplications[Mois bascule],$A51)),1),""))</f>
        <v/>
      </c>
      <c r="AS51" s="0" t="str">
        <f aca="false">IF($A51="","",INDEX(TblApplications[Mois lib (calc)],$A51))</f>
        <v/>
      </c>
    </row>
    <row r="52" customFormat="false" ht="15" hidden="false" customHeight="false" outlineLevel="0" collapsed="false">
      <c r="A52" s="49" t="str">
        <f aca="false">IFERROR(MATCH(44,TblApplications[Rang frise],0),"")</f>
        <v/>
      </c>
      <c r="B52" s="50" t="str">
        <f aca="false">IF($A52="","",INDEX(TblApplications[ID],$A52))</f>
        <v/>
      </c>
      <c r="C52" s="50" t="str">
        <f aca="false">IF($A52="","",INDEX(TblApplications[Application],$A52))</f>
        <v/>
      </c>
      <c r="D52" s="50" t="str">
        <f aca="false">IF($A52="","",INDEX(TblApplications[Environnement],$A52))</f>
        <v/>
      </c>
      <c r="E52" s="50" t="str">
        <f aca="false">IF($A52="","",INDEX(TblApplications[Couloir],$A52))</f>
        <v/>
      </c>
      <c r="F52" s="50" t="str">
        <f aca="false">IF($A52="","",INDEX(TblApplications[Action],$A52))</f>
        <v/>
      </c>
      <c r="G52" s="51" t="str">
        <f aca="false">IF(OR($A52="",G$8=""),"",IF($F52="Migré","ROKS",IF($F52="À décommissionner",IF(G$8&lt;$AS52,"IKS","Décom."),IF(OR($AQ52="",$AS52=""),"",IF(G$8&lt;$AQ52,"IKS",IF(G$8&lt;$AS52,IF(G$8=$AR52,"Bascule","Double run"),"ROKS"))))))</f>
        <v/>
      </c>
      <c r="H52" s="51" t="str">
        <f aca="false">IF(OR($A52="",H$8=""),"",IF($F52="Migré","ROKS",IF($F52="À décommissionner",IF(H$8&lt;$AS52,"IKS","Décom."),IF(OR($AQ52="",$AS52=""),"",IF(H$8&lt;$AQ52,"IKS",IF(H$8&lt;$AS52,IF(H$8=$AR52,"Bascule","Double run"),"ROKS"))))))</f>
        <v/>
      </c>
      <c r="I52" s="51" t="str">
        <f aca="false">IF(OR($A52="",I$8=""),"",IF($F52="Migré","ROKS",IF($F52="À décommissionner",IF(I$8&lt;$AS52,"IKS","Décom."),IF(OR($AQ52="",$AS52=""),"",IF(I$8&lt;$AQ52,"IKS",IF(I$8&lt;$AS52,IF(I$8=$AR52,"Bascule","Double run"),"ROKS"))))))</f>
        <v/>
      </c>
      <c r="J52" s="51" t="str">
        <f aca="false">IF(OR($A52="",J$8=""),"",IF($F52="Migré","ROKS",IF($F52="À décommissionner",IF(J$8&lt;$AS52,"IKS","Décom."),IF(OR($AQ52="",$AS52=""),"",IF(J$8&lt;$AQ52,"IKS",IF(J$8&lt;$AS52,IF(J$8=$AR52,"Bascule","Double run"),"ROKS"))))))</f>
        <v/>
      </c>
      <c r="K52" s="51" t="str">
        <f aca="false">IF(OR($A52="",K$8=""),"",IF($F52="Migré","ROKS",IF($F52="À décommissionner",IF(K$8&lt;$AS52,"IKS","Décom."),IF(OR($AQ52="",$AS52=""),"",IF(K$8&lt;$AQ52,"IKS",IF(K$8&lt;$AS52,IF(K$8=$AR52,"Bascule","Double run"),"ROKS"))))))</f>
        <v/>
      </c>
      <c r="L52" s="51" t="str">
        <f aca="false">IF(OR($A52="",L$8=""),"",IF($F52="Migré","ROKS",IF($F52="À décommissionner",IF(L$8&lt;$AS52,"IKS","Décom."),IF(OR($AQ52="",$AS52=""),"",IF(L$8&lt;$AQ52,"IKS",IF(L$8&lt;$AS52,IF(L$8=$AR52,"Bascule","Double run"),"ROKS"))))))</f>
        <v/>
      </c>
      <c r="M52" s="51" t="str">
        <f aca="false">IF(OR($A52="",M$8=""),"",IF($F52="Migré","ROKS",IF($F52="À décommissionner",IF(M$8&lt;$AS52,"IKS","Décom."),IF(OR($AQ52="",$AS52=""),"",IF(M$8&lt;$AQ52,"IKS",IF(M$8&lt;$AS52,IF(M$8=$AR52,"Bascule","Double run"),"ROKS"))))))</f>
        <v/>
      </c>
      <c r="N52" s="51" t="str">
        <f aca="false">IF(OR($A52="",N$8=""),"",IF($F52="Migré","ROKS",IF($F52="À décommissionner",IF(N$8&lt;$AS52,"IKS","Décom."),IF(OR($AQ52="",$AS52=""),"",IF(N$8&lt;$AQ52,"IKS",IF(N$8&lt;$AS52,IF(N$8=$AR52,"Bascule","Double run"),"ROKS"))))))</f>
        <v/>
      </c>
      <c r="O52" s="51" t="str">
        <f aca="false">IF(OR($A52="",O$8=""),"",IF($F52="Migré","ROKS",IF($F52="À décommissionner",IF(O$8&lt;$AS52,"IKS","Décom."),IF(OR($AQ52="",$AS52=""),"",IF(O$8&lt;$AQ52,"IKS",IF(O$8&lt;$AS52,IF(O$8=$AR52,"Bascule","Double run"),"ROKS"))))))</f>
        <v/>
      </c>
      <c r="P52" s="51" t="str">
        <f aca="false">IF(OR($A52="",P$8=""),"",IF($F52="Migré","ROKS",IF($F52="À décommissionner",IF(P$8&lt;$AS52,"IKS","Décom."),IF(OR($AQ52="",$AS52=""),"",IF(P$8&lt;$AQ52,"IKS",IF(P$8&lt;$AS52,IF(P$8=$AR52,"Bascule","Double run"),"ROKS"))))))</f>
        <v/>
      </c>
      <c r="Q52" s="51" t="str">
        <f aca="false">IF(OR($A52="",Q$8=""),"",IF($F52="Migré","ROKS",IF($F52="À décommissionner",IF(Q$8&lt;$AS52,"IKS","Décom."),IF(OR($AQ52="",$AS52=""),"",IF(Q$8&lt;$AQ52,"IKS",IF(Q$8&lt;$AS52,IF(Q$8=$AR52,"Bascule","Double run"),"ROKS"))))))</f>
        <v/>
      </c>
      <c r="R52" s="51" t="str">
        <f aca="false">IF(OR($A52="",R$8=""),"",IF($F52="Migré","ROKS",IF($F52="À décommissionner",IF(R$8&lt;$AS52,"IKS","Décom."),IF(OR($AQ52="",$AS52=""),"",IF(R$8&lt;$AQ52,"IKS",IF(R$8&lt;$AS52,IF(R$8=$AR52,"Bascule","Double run"),"ROKS"))))))</f>
        <v/>
      </c>
      <c r="S52" s="51" t="str">
        <f aca="false">IF(OR($A52="",S$8=""),"",IF($F52="Migré","ROKS",IF($F52="À décommissionner",IF(S$8&lt;$AS52,"IKS","Décom."),IF(OR($AQ52="",$AS52=""),"",IF(S$8&lt;$AQ52,"IKS",IF(S$8&lt;$AS52,IF(S$8=$AR52,"Bascule","Double run"),"ROKS"))))))</f>
        <v/>
      </c>
      <c r="T52" s="51" t="str">
        <f aca="false">IF(OR($A52="",T$8=""),"",IF($F52="Migré","ROKS",IF($F52="À décommissionner",IF(T$8&lt;$AS52,"IKS","Décom."),IF(OR($AQ52="",$AS52=""),"",IF(T$8&lt;$AQ52,"IKS",IF(T$8&lt;$AS52,IF(T$8=$AR52,"Bascule","Double run"),"ROKS"))))))</f>
        <v/>
      </c>
      <c r="U52" s="51" t="str">
        <f aca="false">IF(OR($A52="",U$8=""),"",IF($F52="Migré","ROKS",IF($F52="À décommissionner",IF(U$8&lt;$AS52,"IKS","Décom."),IF(OR($AQ52="",$AS52=""),"",IF(U$8&lt;$AQ52,"IKS",IF(U$8&lt;$AS52,IF(U$8=$AR52,"Bascule","Double run"),"ROKS"))))))</f>
        <v/>
      </c>
      <c r="V52" s="51" t="str">
        <f aca="false">IF(OR($A52="",V$8=""),"",IF($F52="Migré","ROKS",IF($F52="À décommissionner",IF(V$8&lt;$AS52,"IKS","Décom."),IF(OR($AQ52="",$AS52=""),"",IF(V$8&lt;$AQ52,"IKS",IF(V$8&lt;$AS52,IF(V$8=$AR52,"Bascule","Double run"),"ROKS"))))))</f>
        <v/>
      </c>
      <c r="W52" s="51" t="str">
        <f aca="false">IF(OR($A52="",W$8=""),"",IF($F52="Migré","ROKS",IF($F52="À décommissionner",IF(W$8&lt;$AS52,"IKS","Décom."),IF(OR($AQ52="",$AS52=""),"",IF(W$8&lt;$AQ52,"IKS",IF(W$8&lt;$AS52,IF(W$8=$AR52,"Bascule","Double run"),"ROKS"))))))</f>
        <v/>
      </c>
      <c r="X52" s="51" t="str">
        <f aca="false">IF(OR($A52="",X$8=""),"",IF($F52="Migré","ROKS",IF($F52="À décommissionner",IF(X$8&lt;$AS52,"IKS","Décom."),IF(OR($AQ52="",$AS52=""),"",IF(X$8&lt;$AQ52,"IKS",IF(X$8&lt;$AS52,IF(X$8=$AR52,"Bascule","Double run"),"ROKS"))))))</f>
        <v/>
      </c>
      <c r="Y52" s="51" t="str">
        <f aca="false">IF(OR($A52="",Y$8=""),"",IF($F52="Migré","ROKS",IF($F52="À décommissionner",IF(Y$8&lt;$AS52,"IKS","Décom."),IF(OR($AQ52="",$AS52=""),"",IF(Y$8&lt;$AQ52,"IKS",IF(Y$8&lt;$AS52,IF(Y$8=$AR52,"Bascule","Double run"),"ROKS"))))))</f>
        <v/>
      </c>
      <c r="Z52" s="51" t="str">
        <f aca="false">IF(OR($A52="",Z$8=""),"",IF($F52="Migré","ROKS",IF($F52="À décommissionner",IF(Z$8&lt;$AS52,"IKS","Décom."),IF(OR($AQ52="",$AS52=""),"",IF(Z$8&lt;$AQ52,"IKS",IF(Z$8&lt;$AS52,IF(Z$8=$AR52,"Bascule","Double run"),"ROKS"))))))</f>
        <v/>
      </c>
      <c r="AA52" s="51" t="str">
        <f aca="false">IF(OR($A52="",AA$8=""),"",IF($F52="Migré","ROKS",IF($F52="À décommissionner",IF(AA$8&lt;$AS52,"IKS","Décom."),IF(OR($AQ52="",$AS52=""),"",IF(AA$8&lt;$AQ52,"IKS",IF(AA$8&lt;$AS52,IF(AA$8=$AR52,"Bascule","Double run"),"ROKS"))))))</f>
        <v/>
      </c>
      <c r="AB52" s="51" t="str">
        <f aca="false">IF(OR($A52="",AB$8=""),"",IF($F52="Migré","ROKS",IF($F52="À décommissionner",IF(AB$8&lt;$AS52,"IKS","Décom."),IF(OR($AQ52="",$AS52=""),"",IF(AB$8&lt;$AQ52,"IKS",IF(AB$8&lt;$AS52,IF(AB$8=$AR52,"Bascule","Double run"),"ROKS"))))))</f>
        <v/>
      </c>
      <c r="AC52" s="51" t="str">
        <f aca="false">IF(OR($A52="",AC$8=""),"",IF($F52="Migré","ROKS",IF($F52="À décommissionner",IF(AC$8&lt;$AS52,"IKS","Décom."),IF(OR($AQ52="",$AS52=""),"",IF(AC$8&lt;$AQ52,"IKS",IF(AC$8&lt;$AS52,IF(AC$8=$AR52,"Bascule","Double run"),"ROKS"))))))</f>
        <v/>
      </c>
      <c r="AD52" s="51" t="str">
        <f aca="false">IF(OR($A52="",AD$8=""),"",IF($F52="Migré","ROKS",IF($F52="À décommissionner",IF(AD$8&lt;$AS52,"IKS","Décom."),IF(OR($AQ52="",$AS52=""),"",IF(AD$8&lt;$AQ52,"IKS",IF(AD$8&lt;$AS52,IF(AD$8=$AR52,"Bascule","Double run"),"ROKS"))))))</f>
        <v/>
      </c>
      <c r="AE52" s="51" t="str">
        <f aca="false">IF(OR($A52="",AE$8=""),"",IF($F52="Migré","ROKS",IF($F52="À décommissionner",IF(AE$8&lt;$AS52,"IKS","Décom."),IF(OR($AQ52="",$AS52=""),"",IF(AE$8&lt;$AQ52,"IKS",IF(AE$8&lt;$AS52,IF(AE$8=$AR52,"Bascule","Double run"),"ROKS"))))))</f>
        <v/>
      </c>
      <c r="AF52" s="51" t="str">
        <f aca="false">IF(OR($A52="",AF$8=""),"",IF($F52="Migré","ROKS",IF($F52="À décommissionner",IF(AF$8&lt;$AS52,"IKS","Décom."),IF(OR($AQ52="",$AS52=""),"",IF(AF$8&lt;$AQ52,"IKS",IF(AF$8&lt;$AS52,IF(AF$8=$AR52,"Bascule","Double run"),"ROKS"))))))</f>
        <v/>
      </c>
      <c r="AG52" s="51" t="str">
        <f aca="false">IF(OR($A52="",AG$8=""),"",IF($F52="Migré","ROKS",IF($F52="À décommissionner",IF(AG$8&lt;$AS52,"IKS","Décom."),IF(OR($AQ52="",$AS52=""),"",IF(AG$8&lt;$AQ52,"IKS",IF(AG$8&lt;$AS52,IF(AG$8=$AR52,"Bascule","Double run"),"ROKS"))))))</f>
        <v/>
      </c>
      <c r="AH52" s="51" t="str">
        <f aca="false">IF(OR($A52="",AH$8=""),"",IF($F52="Migré","ROKS",IF($F52="À décommissionner",IF(AH$8&lt;$AS52,"IKS","Décom."),IF(OR($AQ52="",$AS52=""),"",IF(AH$8&lt;$AQ52,"IKS",IF(AH$8&lt;$AS52,IF(AH$8=$AR52,"Bascule","Double run"),"ROKS"))))))</f>
        <v/>
      </c>
      <c r="AI52" s="51" t="str">
        <f aca="false">IF(OR($A52="",AI$8=""),"",IF($F52="Migré","ROKS",IF($F52="À décommissionner",IF(AI$8&lt;$AS52,"IKS","Décom."),IF(OR($AQ52="",$AS52=""),"",IF(AI$8&lt;$AQ52,"IKS",IF(AI$8&lt;$AS52,IF(AI$8=$AR52,"Bascule","Double run"),"ROKS"))))))</f>
        <v/>
      </c>
      <c r="AJ52" s="51" t="str">
        <f aca="false">IF(OR($A52="",AJ$8=""),"",IF($F52="Migré","ROKS",IF($F52="À décommissionner",IF(AJ$8&lt;$AS52,"IKS","Décom."),IF(OR($AQ52="",$AS52=""),"",IF(AJ$8&lt;$AQ52,"IKS",IF(AJ$8&lt;$AS52,IF(AJ$8=$AR52,"Bascule","Double run"),"ROKS"))))))</f>
        <v/>
      </c>
      <c r="AK52" s="51" t="str">
        <f aca="false">IF(OR($A52="",AK$8=""),"",IF($F52="Migré","ROKS",IF($F52="À décommissionner",IF(AK$8&lt;$AS52,"IKS","Décom."),IF(OR($AQ52="",$AS52=""),"",IF(AK$8&lt;$AQ52,"IKS",IF(AK$8&lt;$AS52,IF(AK$8=$AR52,"Bascule","Double run"),"ROKS"))))))</f>
        <v/>
      </c>
      <c r="AL52" s="51" t="str">
        <f aca="false">IF(OR($A52="",AL$8=""),"",IF($F52="Migré","ROKS",IF($F52="À décommissionner",IF(AL$8&lt;$AS52,"IKS","Décom."),IF(OR($AQ52="",$AS52=""),"",IF(AL$8&lt;$AQ52,"IKS",IF(AL$8&lt;$AS52,IF(AL$8=$AR52,"Bascule","Double run"),"ROKS"))))))</f>
        <v/>
      </c>
      <c r="AM52" s="51" t="str">
        <f aca="false">IF(OR($A52="",AM$8=""),"",IF($F52="Migré","ROKS",IF($F52="À décommissionner",IF(AM$8&lt;$AS52,"IKS","Décom."),IF(OR($AQ52="",$AS52=""),"",IF(AM$8&lt;$AQ52,"IKS",IF(AM$8&lt;$AS52,IF(AM$8=$AR52,"Bascule","Double run"),"ROKS"))))))</f>
        <v/>
      </c>
      <c r="AN52" s="51" t="str">
        <f aca="false">IF(OR($A52="",AN$8=""),"",IF($F52="Migré","ROKS",IF($F52="À décommissionner",IF(AN$8&lt;$AS52,"IKS","Décom."),IF(OR($AQ52="",$AS52=""),"",IF(AN$8&lt;$AQ52,"IKS",IF(AN$8&lt;$AS52,IF(AN$8=$AR52,"Bascule","Double run"),"ROKS"))))))</f>
        <v/>
      </c>
      <c r="AO52" s="51" t="str">
        <f aca="false">IF(OR($A52="",AO$8=""),"",IF($F52="Migré","ROKS",IF($F52="À décommissionner",IF(AO$8&lt;$AS52,"IKS","Décom."),IF(OR($AQ52="",$AS52=""),"",IF(AO$8&lt;$AQ52,"IKS",IF(AO$8&lt;$AS52,IF(AO$8=$AR52,"Bascule","Double run"),"ROKS"))))))</f>
        <v/>
      </c>
      <c r="AP52" s="51" t="str">
        <f aca="false">IF(OR($A52="",AP$8=""),"",IF($F52="Migré","ROKS",IF($F52="À décommissionner",IF(AP$8&lt;$AS52,"IKS","Décom."),IF(OR($AQ52="",$AS52=""),"",IF(AP$8&lt;$AQ52,"IKS",IF(AP$8&lt;$AS52,IF(AP$8=$AR52,"Bascule","Double run"),"ROKS"))))))</f>
        <v/>
      </c>
      <c r="AQ52" s="0" t="str">
        <f aca="false">IF($A52="","",INDEX(TblApplications[Mois prov (calc)],$A52))</f>
        <v/>
      </c>
      <c r="AR52" s="0" t="str">
        <f aca="false">IF($A52="","",IFERROR(DATE(YEAR(INDEX(TblApplications[Mois bascule],$A52)),MONTH(INDEX(TblApplications[Mois bascule],$A52)),1),""))</f>
        <v/>
      </c>
      <c r="AS52" s="0" t="str">
        <f aca="false">IF($A52="","",INDEX(TblApplications[Mois lib (calc)],$A52))</f>
        <v/>
      </c>
    </row>
    <row r="53" customFormat="false" ht="15" hidden="false" customHeight="false" outlineLevel="0" collapsed="false">
      <c r="A53" s="49" t="str">
        <f aca="false">IFERROR(MATCH(45,TblApplications[Rang frise],0),"")</f>
        <v/>
      </c>
      <c r="B53" s="50" t="str">
        <f aca="false">IF($A53="","",INDEX(TblApplications[ID],$A53))</f>
        <v/>
      </c>
      <c r="C53" s="50" t="str">
        <f aca="false">IF($A53="","",INDEX(TblApplications[Application],$A53))</f>
        <v/>
      </c>
      <c r="D53" s="50" t="str">
        <f aca="false">IF($A53="","",INDEX(TblApplications[Environnement],$A53))</f>
        <v/>
      </c>
      <c r="E53" s="50" t="str">
        <f aca="false">IF($A53="","",INDEX(TblApplications[Couloir],$A53))</f>
        <v/>
      </c>
      <c r="F53" s="50" t="str">
        <f aca="false">IF($A53="","",INDEX(TblApplications[Action],$A53))</f>
        <v/>
      </c>
      <c r="G53" s="51" t="str">
        <f aca="false">IF(OR($A53="",G$8=""),"",IF($F53="Migré","ROKS",IF($F53="À décommissionner",IF(G$8&lt;$AS53,"IKS","Décom."),IF(OR($AQ53="",$AS53=""),"",IF(G$8&lt;$AQ53,"IKS",IF(G$8&lt;$AS53,IF(G$8=$AR53,"Bascule","Double run"),"ROKS"))))))</f>
        <v/>
      </c>
      <c r="H53" s="51" t="str">
        <f aca="false">IF(OR($A53="",H$8=""),"",IF($F53="Migré","ROKS",IF($F53="À décommissionner",IF(H$8&lt;$AS53,"IKS","Décom."),IF(OR($AQ53="",$AS53=""),"",IF(H$8&lt;$AQ53,"IKS",IF(H$8&lt;$AS53,IF(H$8=$AR53,"Bascule","Double run"),"ROKS"))))))</f>
        <v/>
      </c>
      <c r="I53" s="51" t="str">
        <f aca="false">IF(OR($A53="",I$8=""),"",IF($F53="Migré","ROKS",IF($F53="À décommissionner",IF(I$8&lt;$AS53,"IKS","Décom."),IF(OR($AQ53="",$AS53=""),"",IF(I$8&lt;$AQ53,"IKS",IF(I$8&lt;$AS53,IF(I$8=$AR53,"Bascule","Double run"),"ROKS"))))))</f>
        <v/>
      </c>
      <c r="J53" s="51" t="str">
        <f aca="false">IF(OR($A53="",J$8=""),"",IF($F53="Migré","ROKS",IF($F53="À décommissionner",IF(J$8&lt;$AS53,"IKS","Décom."),IF(OR($AQ53="",$AS53=""),"",IF(J$8&lt;$AQ53,"IKS",IF(J$8&lt;$AS53,IF(J$8=$AR53,"Bascule","Double run"),"ROKS"))))))</f>
        <v/>
      </c>
      <c r="K53" s="51" t="str">
        <f aca="false">IF(OR($A53="",K$8=""),"",IF($F53="Migré","ROKS",IF($F53="À décommissionner",IF(K$8&lt;$AS53,"IKS","Décom."),IF(OR($AQ53="",$AS53=""),"",IF(K$8&lt;$AQ53,"IKS",IF(K$8&lt;$AS53,IF(K$8=$AR53,"Bascule","Double run"),"ROKS"))))))</f>
        <v/>
      </c>
      <c r="L53" s="51" t="str">
        <f aca="false">IF(OR($A53="",L$8=""),"",IF($F53="Migré","ROKS",IF($F53="À décommissionner",IF(L$8&lt;$AS53,"IKS","Décom."),IF(OR($AQ53="",$AS53=""),"",IF(L$8&lt;$AQ53,"IKS",IF(L$8&lt;$AS53,IF(L$8=$AR53,"Bascule","Double run"),"ROKS"))))))</f>
        <v/>
      </c>
      <c r="M53" s="51" t="str">
        <f aca="false">IF(OR($A53="",M$8=""),"",IF($F53="Migré","ROKS",IF($F53="À décommissionner",IF(M$8&lt;$AS53,"IKS","Décom."),IF(OR($AQ53="",$AS53=""),"",IF(M$8&lt;$AQ53,"IKS",IF(M$8&lt;$AS53,IF(M$8=$AR53,"Bascule","Double run"),"ROKS"))))))</f>
        <v/>
      </c>
      <c r="N53" s="51" t="str">
        <f aca="false">IF(OR($A53="",N$8=""),"",IF($F53="Migré","ROKS",IF($F53="À décommissionner",IF(N$8&lt;$AS53,"IKS","Décom."),IF(OR($AQ53="",$AS53=""),"",IF(N$8&lt;$AQ53,"IKS",IF(N$8&lt;$AS53,IF(N$8=$AR53,"Bascule","Double run"),"ROKS"))))))</f>
        <v/>
      </c>
      <c r="O53" s="51" t="str">
        <f aca="false">IF(OR($A53="",O$8=""),"",IF($F53="Migré","ROKS",IF($F53="À décommissionner",IF(O$8&lt;$AS53,"IKS","Décom."),IF(OR($AQ53="",$AS53=""),"",IF(O$8&lt;$AQ53,"IKS",IF(O$8&lt;$AS53,IF(O$8=$AR53,"Bascule","Double run"),"ROKS"))))))</f>
        <v/>
      </c>
      <c r="P53" s="51" t="str">
        <f aca="false">IF(OR($A53="",P$8=""),"",IF($F53="Migré","ROKS",IF($F53="À décommissionner",IF(P$8&lt;$AS53,"IKS","Décom."),IF(OR($AQ53="",$AS53=""),"",IF(P$8&lt;$AQ53,"IKS",IF(P$8&lt;$AS53,IF(P$8=$AR53,"Bascule","Double run"),"ROKS"))))))</f>
        <v/>
      </c>
      <c r="Q53" s="51" t="str">
        <f aca="false">IF(OR($A53="",Q$8=""),"",IF($F53="Migré","ROKS",IF($F53="À décommissionner",IF(Q$8&lt;$AS53,"IKS","Décom."),IF(OR($AQ53="",$AS53=""),"",IF(Q$8&lt;$AQ53,"IKS",IF(Q$8&lt;$AS53,IF(Q$8=$AR53,"Bascule","Double run"),"ROKS"))))))</f>
        <v/>
      </c>
      <c r="R53" s="51" t="str">
        <f aca="false">IF(OR($A53="",R$8=""),"",IF($F53="Migré","ROKS",IF($F53="À décommissionner",IF(R$8&lt;$AS53,"IKS","Décom."),IF(OR($AQ53="",$AS53=""),"",IF(R$8&lt;$AQ53,"IKS",IF(R$8&lt;$AS53,IF(R$8=$AR53,"Bascule","Double run"),"ROKS"))))))</f>
        <v/>
      </c>
      <c r="S53" s="51" t="str">
        <f aca="false">IF(OR($A53="",S$8=""),"",IF($F53="Migré","ROKS",IF($F53="À décommissionner",IF(S$8&lt;$AS53,"IKS","Décom."),IF(OR($AQ53="",$AS53=""),"",IF(S$8&lt;$AQ53,"IKS",IF(S$8&lt;$AS53,IF(S$8=$AR53,"Bascule","Double run"),"ROKS"))))))</f>
        <v/>
      </c>
      <c r="T53" s="51" t="str">
        <f aca="false">IF(OR($A53="",T$8=""),"",IF($F53="Migré","ROKS",IF($F53="À décommissionner",IF(T$8&lt;$AS53,"IKS","Décom."),IF(OR($AQ53="",$AS53=""),"",IF(T$8&lt;$AQ53,"IKS",IF(T$8&lt;$AS53,IF(T$8=$AR53,"Bascule","Double run"),"ROKS"))))))</f>
        <v/>
      </c>
      <c r="U53" s="51" t="str">
        <f aca="false">IF(OR($A53="",U$8=""),"",IF($F53="Migré","ROKS",IF($F53="À décommissionner",IF(U$8&lt;$AS53,"IKS","Décom."),IF(OR($AQ53="",$AS53=""),"",IF(U$8&lt;$AQ53,"IKS",IF(U$8&lt;$AS53,IF(U$8=$AR53,"Bascule","Double run"),"ROKS"))))))</f>
        <v/>
      </c>
      <c r="V53" s="51" t="str">
        <f aca="false">IF(OR($A53="",V$8=""),"",IF($F53="Migré","ROKS",IF($F53="À décommissionner",IF(V$8&lt;$AS53,"IKS","Décom."),IF(OR($AQ53="",$AS53=""),"",IF(V$8&lt;$AQ53,"IKS",IF(V$8&lt;$AS53,IF(V$8=$AR53,"Bascule","Double run"),"ROKS"))))))</f>
        <v/>
      </c>
      <c r="W53" s="51" t="str">
        <f aca="false">IF(OR($A53="",W$8=""),"",IF($F53="Migré","ROKS",IF($F53="À décommissionner",IF(W$8&lt;$AS53,"IKS","Décom."),IF(OR($AQ53="",$AS53=""),"",IF(W$8&lt;$AQ53,"IKS",IF(W$8&lt;$AS53,IF(W$8=$AR53,"Bascule","Double run"),"ROKS"))))))</f>
        <v/>
      </c>
      <c r="X53" s="51" t="str">
        <f aca="false">IF(OR($A53="",X$8=""),"",IF($F53="Migré","ROKS",IF($F53="À décommissionner",IF(X$8&lt;$AS53,"IKS","Décom."),IF(OR($AQ53="",$AS53=""),"",IF(X$8&lt;$AQ53,"IKS",IF(X$8&lt;$AS53,IF(X$8=$AR53,"Bascule","Double run"),"ROKS"))))))</f>
        <v/>
      </c>
      <c r="Y53" s="51" t="str">
        <f aca="false">IF(OR($A53="",Y$8=""),"",IF($F53="Migré","ROKS",IF($F53="À décommissionner",IF(Y$8&lt;$AS53,"IKS","Décom."),IF(OR($AQ53="",$AS53=""),"",IF(Y$8&lt;$AQ53,"IKS",IF(Y$8&lt;$AS53,IF(Y$8=$AR53,"Bascule","Double run"),"ROKS"))))))</f>
        <v/>
      </c>
      <c r="Z53" s="51" t="str">
        <f aca="false">IF(OR($A53="",Z$8=""),"",IF($F53="Migré","ROKS",IF($F53="À décommissionner",IF(Z$8&lt;$AS53,"IKS","Décom."),IF(OR($AQ53="",$AS53=""),"",IF(Z$8&lt;$AQ53,"IKS",IF(Z$8&lt;$AS53,IF(Z$8=$AR53,"Bascule","Double run"),"ROKS"))))))</f>
        <v/>
      </c>
      <c r="AA53" s="51" t="str">
        <f aca="false">IF(OR($A53="",AA$8=""),"",IF($F53="Migré","ROKS",IF($F53="À décommissionner",IF(AA$8&lt;$AS53,"IKS","Décom."),IF(OR($AQ53="",$AS53=""),"",IF(AA$8&lt;$AQ53,"IKS",IF(AA$8&lt;$AS53,IF(AA$8=$AR53,"Bascule","Double run"),"ROKS"))))))</f>
        <v/>
      </c>
      <c r="AB53" s="51" t="str">
        <f aca="false">IF(OR($A53="",AB$8=""),"",IF($F53="Migré","ROKS",IF($F53="À décommissionner",IF(AB$8&lt;$AS53,"IKS","Décom."),IF(OR($AQ53="",$AS53=""),"",IF(AB$8&lt;$AQ53,"IKS",IF(AB$8&lt;$AS53,IF(AB$8=$AR53,"Bascule","Double run"),"ROKS"))))))</f>
        <v/>
      </c>
      <c r="AC53" s="51" t="str">
        <f aca="false">IF(OR($A53="",AC$8=""),"",IF($F53="Migré","ROKS",IF($F53="À décommissionner",IF(AC$8&lt;$AS53,"IKS","Décom."),IF(OR($AQ53="",$AS53=""),"",IF(AC$8&lt;$AQ53,"IKS",IF(AC$8&lt;$AS53,IF(AC$8=$AR53,"Bascule","Double run"),"ROKS"))))))</f>
        <v/>
      </c>
      <c r="AD53" s="51" t="str">
        <f aca="false">IF(OR($A53="",AD$8=""),"",IF($F53="Migré","ROKS",IF($F53="À décommissionner",IF(AD$8&lt;$AS53,"IKS","Décom."),IF(OR($AQ53="",$AS53=""),"",IF(AD$8&lt;$AQ53,"IKS",IF(AD$8&lt;$AS53,IF(AD$8=$AR53,"Bascule","Double run"),"ROKS"))))))</f>
        <v/>
      </c>
      <c r="AE53" s="51" t="str">
        <f aca="false">IF(OR($A53="",AE$8=""),"",IF($F53="Migré","ROKS",IF($F53="À décommissionner",IF(AE$8&lt;$AS53,"IKS","Décom."),IF(OR($AQ53="",$AS53=""),"",IF(AE$8&lt;$AQ53,"IKS",IF(AE$8&lt;$AS53,IF(AE$8=$AR53,"Bascule","Double run"),"ROKS"))))))</f>
        <v/>
      </c>
      <c r="AF53" s="51" t="str">
        <f aca="false">IF(OR($A53="",AF$8=""),"",IF($F53="Migré","ROKS",IF($F53="À décommissionner",IF(AF$8&lt;$AS53,"IKS","Décom."),IF(OR($AQ53="",$AS53=""),"",IF(AF$8&lt;$AQ53,"IKS",IF(AF$8&lt;$AS53,IF(AF$8=$AR53,"Bascule","Double run"),"ROKS"))))))</f>
        <v/>
      </c>
      <c r="AG53" s="51" t="str">
        <f aca="false">IF(OR($A53="",AG$8=""),"",IF($F53="Migré","ROKS",IF($F53="À décommissionner",IF(AG$8&lt;$AS53,"IKS","Décom."),IF(OR($AQ53="",$AS53=""),"",IF(AG$8&lt;$AQ53,"IKS",IF(AG$8&lt;$AS53,IF(AG$8=$AR53,"Bascule","Double run"),"ROKS"))))))</f>
        <v/>
      </c>
      <c r="AH53" s="51" t="str">
        <f aca="false">IF(OR($A53="",AH$8=""),"",IF($F53="Migré","ROKS",IF($F53="À décommissionner",IF(AH$8&lt;$AS53,"IKS","Décom."),IF(OR($AQ53="",$AS53=""),"",IF(AH$8&lt;$AQ53,"IKS",IF(AH$8&lt;$AS53,IF(AH$8=$AR53,"Bascule","Double run"),"ROKS"))))))</f>
        <v/>
      </c>
      <c r="AI53" s="51" t="str">
        <f aca="false">IF(OR($A53="",AI$8=""),"",IF($F53="Migré","ROKS",IF($F53="À décommissionner",IF(AI$8&lt;$AS53,"IKS","Décom."),IF(OR($AQ53="",$AS53=""),"",IF(AI$8&lt;$AQ53,"IKS",IF(AI$8&lt;$AS53,IF(AI$8=$AR53,"Bascule","Double run"),"ROKS"))))))</f>
        <v/>
      </c>
      <c r="AJ53" s="51" t="str">
        <f aca="false">IF(OR($A53="",AJ$8=""),"",IF($F53="Migré","ROKS",IF($F53="À décommissionner",IF(AJ$8&lt;$AS53,"IKS","Décom."),IF(OR($AQ53="",$AS53=""),"",IF(AJ$8&lt;$AQ53,"IKS",IF(AJ$8&lt;$AS53,IF(AJ$8=$AR53,"Bascule","Double run"),"ROKS"))))))</f>
        <v/>
      </c>
      <c r="AK53" s="51" t="str">
        <f aca="false">IF(OR($A53="",AK$8=""),"",IF($F53="Migré","ROKS",IF($F53="À décommissionner",IF(AK$8&lt;$AS53,"IKS","Décom."),IF(OR($AQ53="",$AS53=""),"",IF(AK$8&lt;$AQ53,"IKS",IF(AK$8&lt;$AS53,IF(AK$8=$AR53,"Bascule","Double run"),"ROKS"))))))</f>
        <v/>
      </c>
      <c r="AL53" s="51" t="str">
        <f aca="false">IF(OR($A53="",AL$8=""),"",IF($F53="Migré","ROKS",IF($F53="À décommissionner",IF(AL$8&lt;$AS53,"IKS","Décom."),IF(OR($AQ53="",$AS53=""),"",IF(AL$8&lt;$AQ53,"IKS",IF(AL$8&lt;$AS53,IF(AL$8=$AR53,"Bascule","Double run"),"ROKS"))))))</f>
        <v/>
      </c>
      <c r="AM53" s="51" t="str">
        <f aca="false">IF(OR($A53="",AM$8=""),"",IF($F53="Migré","ROKS",IF($F53="À décommissionner",IF(AM$8&lt;$AS53,"IKS","Décom."),IF(OR($AQ53="",$AS53=""),"",IF(AM$8&lt;$AQ53,"IKS",IF(AM$8&lt;$AS53,IF(AM$8=$AR53,"Bascule","Double run"),"ROKS"))))))</f>
        <v/>
      </c>
      <c r="AN53" s="51" t="str">
        <f aca="false">IF(OR($A53="",AN$8=""),"",IF($F53="Migré","ROKS",IF($F53="À décommissionner",IF(AN$8&lt;$AS53,"IKS","Décom."),IF(OR($AQ53="",$AS53=""),"",IF(AN$8&lt;$AQ53,"IKS",IF(AN$8&lt;$AS53,IF(AN$8=$AR53,"Bascule","Double run"),"ROKS"))))))</f>
        <v/>
      </c>
      <c r="AO53" s="51" t="str">
        <f aca="false">IF(OR($A53="",AO$8=""),"",IF($F53="Migré","ROKS",IF($F53="À décommissionner",IF(AO$8&lt;$AS53,"IKS","Décom."),IF(OR($AQ53="",$AS53=""),"",IF(AO$8&lt;$AQ53,"IKS",IF(AO$8&lt;$AS53,IF(AO$8=$AR53,"Bascule","Double run"),"ROKS"))))))</f>
        <v/>
      </c>
      <c r="AP53" s="51" t="str">
        <f aca="false">IF(OR($A53="",AP$8=""),"",IF($F53="Migré","ROKS",IF($F53="À décommissionner",IF(AP$8&lt;$AS53,"IKS","Décom."),IF(OR($AQ53="",$AS53=""),"",IF(AP$8&lt;$AQ53,"IKS",IF(AP$8&lt;$AS53,IF(AP$8=$AR53,"Bascule","Double run"),"ROKS"))))))</f>
        <v/>
      </c>
      <c r="AQ53" s="0" t="str">
        <f aca="false">IF($A53="","",INDEX(TblApplications[Mois prov (calc)],$A53))</f>
        <v/>
      </c>
      <c r="AR53" s="0" t="str">
        <f aca="false">IF($A53="","",IFERROR(DATE(YEAR(INDEX(TblApplications[Mois bascule],$A53)),MONTH(INDEX(TblApplications[Mois bascule],$A53)),1),""))</f>
        <v/>
      </c>
      <c r="AS53" s="0" t="str">
        <f aca="false">IF($A53="","",INDEX(TblApplications[Mois lib (calc)],$A53))</f>
        <v/>
      </c>
    </row>
    <row r="54" customFormat="false" ht="15" hidden="false" customHeight="false" outlineLevel="0" collapsed="false">
      <c r="A54" s="49" t="str">
        <f aca="false">IFERROR(MATCH(46,TblApplications[Rang frise],0),"")</f>
        <v/>
      </c>
      <c r="B54" s="50" t="str">
        <f aca="false">IF($A54="","",INDEX(TblApplications[ID],$A54))</f>
        <v/>
      </c>
      <c r="C54" s="50" t="str">
        <f aca="false">IF($A54="","",INDEX(TblApplications[Application],$A54))</f>
        <v/>
      </c>
      <c r="D54" s="50" t="str">
        <f aca="false">IF($A54="","",INDEX(TblApplications[Environnement],$A54))</f>
        <v/>
      </c>
      <c r="E54" s="50" t="str">
        <f aca="false">IF($A54="","",INDEX(TblApplications[Couloir],$A54))</f>
        <v/>
      </c>
      <c r="F54" s="50" t="str">
        <f aca="false">IF($A54="","",INDEX(TblApplications[Action],$A54))</f>
        <v/>
      </c>
      <c r="G54" s="51" t="str">
        <f aca="false">IF(OR($A54="",G$8=""),"",IF($F54="Migré","ROKS",IF($F54="À décommissionner",IF(G$8&lt;$AS54,"IKS","Décom."),IF(OR($AQ54="",$AS54=""),"",IF(G$8&lt;$AQ54,"IKS",IF(G$8&lt;$AS54,IF(G$8=$AR54,"Bascule","Double run"),"ROKS"))))))</f>
        <v/>
      </c>
      <c r="H54" s="51" t="str">
        <f aca="false">IF(OR($A54="",H$8=""),"",IF($F54="Migré","ROKS",IF($F54="À décommissionner",IF(H$8&lt;$AS54,"IKS","Décom."),IF(OR($AQ54="",$AS54=""),"",IF(H$8&lt;$AQ54,"IKS",IF(H$8&lt;$AS54,IF(H$8=$AR54,"Bascule","Double run"),"ROKS"))))))</f>
        <v/>
      </c>
      <c r="I54" s="51" t="str">
        <f aca="false">IF(OR($A54="",I$8=""),"",IF($F54="Migré","ROKS",IF($F54="À décommissionner",IF(I$8&lt;$AS54,"IKS","Décom."),IF(OR($AQ54="",$AS54=""),"",IF(I$8&lt;$AQ54,"IKS",IF(I$8&lt;$AS54,IF(I$8=$AR54,"Bascule","Double run"),"ROKS"))))))</f>
        <v/>
      </c>
      <c r="J54" s="51" t="str">
        <f aca="false">IF(OR($A54="",J$8=""),"",IF($F54="Migré","ROKS",IF($F54="À décommissionner",IF(J$8&lt;$AS54,"IKS","Décom."),IF(OR($AQ54="",$AS54=""),"",IF(J$8&lt;$AQ54,"IKS",IF(J$8&lt;$AS54,IF(J$8=$AR54,"Bascule","Double run"),"ROKS"))))))</f>
        <v/>
      </c>
      <c r="K54" s="51" t="str">
        <f aca="false">IF(OR($A54="",K$8=""),"",IF($F54="Migré","ROKS",IF($F54="À décommissionner",IF(K$8&lt;$AS54,"IKS","Décom."),IF(OR($AQ54="",$AS54=""),"",IF(K$8&lt;$AQ54,"IKS",IF(K$8&lt;$AS54,IF(K$8=$AR54,"Bascule","Double run"),"ROKS"))))))</f>
        <v/>
      </c>
      <c r="L54" s="51" t="str">
        <f aca="false">IF(OR($A54="",L$8=""),"",IF($F54="Migré","ROKS",IF($F54="À décommissionner",IF(L$8&lt;$AS54,"IKS","Décom."),IF(OR($AQ54="",$AS54=""),"",IF(L$8&lt;$AQ54,"IKS",IF(L$8&lt;$AS54,IF(L$8=$AR54,"Bascule","Double run"),"ROKS"))))))</f>
        <v/>
      </c>
      <c r="M54" s="51" t="str">
        <f aca="false">IF(OR($A54="",M$8=""),"",IF($F54="Migré","ROKS",IF($F54="À décommissionner",IF(M$8&lt;$AS54,"IKS","Décom."),IF(OR($AQ54="",$AS54=""),"",IF(M$8&lt;$AQ54,"IKS",IF(M$8&lt;$AS54,IF(M$8=$AR54,"Bascule","Double run"),"ROKS"))))))</f>
        <v/>
      </c>
      <c r="N54" s="51" t="str">
        <f aca="false">IF(OR($A54="",N$8=""),"",IF($F54="Migré","ROKS",IF($F54="À décommissionner",IF(N$8&lt;$AS54,"IKS","Décom."),IF(OR($AQ54="",$AS54=""),"",IF(N$8&lt;$AQ54,"IKS",IF(N$8&lt;$AS54,IF(N$8=$AR54,"Bascule","Double run"),"ROKS"))))))</f>
        <v/>
      </c>
      <c r="O54" s="51" t="str">
        <f aca="false">IF(OR($A54="",O$8=""),"",IF($F54="Migré","ROKS",IF($F54="À décommissionner",IF(O$8&lt;$AS54,"IKS","Décom."),IF(OR($AQ54="",$AS54=""),"",IF(O$8&lt;$AQ54,"IKS",IF(O$8&lt;$AS54,IF(O$8=$AR54,"Bascule","Double run"),"ROKS"))))))</f>
        <v/>
      </c>
      <c r="P54" s="51" t="str">
        <f aca="false">IF(OR($A54="",P$8=""),"",IF($F54="Migré","ROKS",IF($F54="À décommissionner",IF(P$8&lt;$AS54,"IKS","Décom."),IF(OR($AQ54="",$AS54=""),"",IF(P$8&lt;$AQ54,"IKS",IF(P$8&lt;$AS54,IF(P$8=$AR54,"Bascule","Double run"),"ROKS"))))))</f>
        <v/>
      </c>
      <c r="Q54" s="51" t="str">
        <f aca="false">IF(OR($A54="",Q$8=""),"",IF($F54="Migré","ROKS",IF($F54="À décommissionner",IF(Q$8&lt;$AS54,"IKS","Décom."),IF(OR($AQ54="",$AS54=""),"",IF(Q$8&lt;$AQ54,"IKS",IF(Q$8&lt;$AS54,IF(Q$8=$AR54,"Bascule","Double run"),"ROKS"))))))</f>
        <v/>
      </c>
      <c r="R54" s="51" t="str">
        <f aca="false">IF(OR($A54="",R$8=""),"",IF($F54="Migré","ROKS",IF($F54="À décommissionner",IF(R$8&lt;$AS54,"IKS","Décom."),IF(OR($AQ54="",$AS54=""),"",IF(R$8&lt;$AQ54,"IKS",IF(R$8&lt;$AS54,IF(R$8=$AR54,"Bascule","Double run"),"ROKS"))))))</f>
        <v/>
      </c>
      <c r="S54" s="51" t="str">
        <f aca="false">IF(OR($A54="",S$8=""),"",IF($F54="Migré","ROKS",IF($F54="À décommissionner",IF(S$8&lt;$AS54,"IKS","Décom."),IF(OR($AQ54="",$AS54=""),"",IF(S$8&lt;$AQ54,"IKS",IF(S$8&lt;$AS54,IF(S$8=$AR54,"Bascule","Double run"),"ROKS"))))))</f>
        <v/>
      </c>
      <c r="T54" s="51" t="str">
        <f aca="false">IF(OR($A54="",T$8=""),"",IF($F54="Migré","ROKS",IF($F54="À décommissionner",IF(T$8&lt;$AS54,"IKS","Décom."),IF(OR($AQ54="",$AS54=""),"",IF(T$8&lt;$AQ54,"IKS",IF(T$8&lt;$AS54,IF(T$8=$AR54,"Bascule","Double run"),"ROKS"))))))</f>
        <v/>
      </c>
      <c r="U54" s="51" t="str">
        <f aca="false">IF(OR($A54="",U$8=""),"",IF($F54="Migré","ROKS",IF($F54="À décommissionner",IF(U$8&lt;$AS54,"IKS","Décom."),IF(OR($AQ54="",$AS54=""),"",IF(U$8&lt;$AQ54,"IKS",IF(U$8&lt;$AS54,IF(U$8=$AR54,"Bascule","Double run"),"ROKS"))))))</f>
        <v/>
      </c>
      <c r="V54" s="51" t="str">
        <f aca="false">IF(OR($A54="",V$8=""),"",IF($F54="Migré","ROKS",IF($F54="À décommissionner",IF(V$8&lt;$AS54,"IKS","Décom."),IF(OR($AQ54="",$AS54=""),"",IF(V$8&lt;$AQ54,"IKS",IF(V$8&lt;$AS54,IF(V$8=$AR54,"Bascule","Double run"),"ROKS"))))))</f>
        <v/>
      </c>
      <c r="W54" s="51" t="str">
        <f aca="false">IF(OR($A54="",W$8=""),"",IF($F54="Migré","ROKS",IF($F54="À décommissionner",IF(W$8&lt;$AS54,"IKS","Décom."),IF(OR($AQ54="",$AS54=""),"",IF(W$8&lt;$AQ54,"IKS",IF(W$8&lt;$AS54,IF(W$8=$AR54,"Bascule","Double run"),"ROKS"))))))</f>
        <v/>
      </c>
      <c r="X54" s="51" t="str">
        <f aca="false">IF(OR($A54="",X$8=""),"",IF($F54="Migré","ROKS",IF($F54="À décommissionner",IF(X$8&lt;$AS54,"IKS","Décom."),IF(OR($AQ54="",$AS54=""),"",IF(X$8&lt;$AQ54,"IKS",IF(X$8&lt;$AS54,IF(X$8=$AR54,"Bascule","Double run"),"ROKS"))))))</f>
        <v/>
      </c>
      <c r="Y54" s="51" t="str">
        <f aca="false">IF(OR($A54="",Y$8=""),"",IF($F54="Migré","ROKS",IF($F54="À décommissionner",IF(Y$8&lt;$AS54,"IKS","Décom."),IF(OR($AQ54="",$AS54=""),"",IF(Y$8&lt;$AQ54,"IKS",IF(Y$8&lt;$AS54,IF(Y$8=$AR54,"Bascule","Double run"),"ROKS"))))))</f>
        <v/>
      </c>
      <c r="Z54" s="51" t="str">
        <f aca="false">IF(OR($A54="",Z$8=""),"",IF($F54="Migré","ROKS",IF($F54="À décommissionner",IF(Z$8&lt;$AS54,"IKS","Décom."),IF(OR($AQ54="",$AS54=""),"",IF(Z$8&lt;$AQ54,"IKS",IF(Z$8&lt;$AS54,IF(Z$8=$AR54,"Bascule","Double run"),"ROKS"))))))</f>
        <v/>
      </c>
      <c r="AA54" s="51" t="str">
        <f aca="false">IF(OR($A54="",AA$8=""),"",IF($F54="Migré","ROKS",IF($F54="À décommissionner",IF(AA$8&lt;$AS54,"IKS","Décom."),IF(OR($AQ54="",$AS54=""),"",IF(AA$8&lt;$AQ54,"IKS",IF(AA$8&lt;$AS54,IF(AA$8=$AR54,"Bascule","Double run"),"ROKS"))))))</f>
        <v/>
      </c>
      <c r="AB54" s="51" t="str">
        <f aca="false">IF(OR($A54="",AB$8=""),"",IF($F54="Migré","ROKS",IF($F54="À décommissionner",IF(AB$8&lt;$AS54,"IKS","Décom."),IF(OR($AQ54="",$AS54=""),"",IF(AB$8&lt;$AQ54,"IKS",IF(AB$8&lt;$AS54,IF(AB$8=$AR54,"Bascule","Double run"),"ROKS"))))))</f>
        <v/>
      </c>
      <c r="AC54" s="51" t="str">
        <f aca="false">IF(OR($A54="",AC$8=""),"",IF($F54="Migré","ROKS",IF($F54="À décommissionner",IF(AC$8&lt;$AS54,"IKS","Décom."),IF(OR($AQ54="",$AS54=""),"",IF(AC$8&lt;$AQ54,"IKS",IF(AC$8&lt;$AS54,IF(AC$8=$AR54,"Bascule","Double run"),"ROKS"))))))</f>
        <v/>
      </c>
      <c r="AD54" s="51" t="str">
        <f aca="false">IF(OR($A54="",AD$8=""),"",IF($F54="Migré","ROKS",IF($F54="À décommissionner",IF(AD$8&lt;$AS54,"IKS","Décom."),IF(OR($AQ54="",$AS54=""),"",IF(AD$8&lt;$AQ54,"IKS",IF(AD$8&lt;$AS54,IF(AD$8=$AR54,"Bascule","Double run"),"ROKS"))))))</f>
        <v/>
      </c>
      <c r="AE54" s="51" t="str">
        <f aca="false">IF(OR($A54="",AE$8=""),"",IF($F54="Migré","ROKS",IF($F54="À décommissionner",IF(AE$8&lt;$AS54,"IKS","Décom."),IF(OR($AQ54="",$AS54=""),"",IF(AE$8&lt;$AQ54,"IKS",IF(AE$8&lt;$AS54,IF(AE$8=$AR54,"Bascule","Double run"),"ROKS"))))))</f>
        <v/>
      </c>
      <c r="AF54" s="51" t="str">
        <f aca="false">IF(OR($A54="",AF$8=""),"",IF($F54="Migré","ROKS",IF($F54="À décommissionner",IF(AF$8&lt;$AS54,"IKS","Décom."),IF(OR($AQ54="",$AS54=""),"",IF(AF$8&lt;$AQ54,"IKS",IF(AF$8&lt;$AS54,IF(AF$8=$AR54,"Bascule","Double run"),"ROKS"))))))</f>
        <v/>
      </c>
      <c r="AG54" s="51" t="str">
        <f aca="false">IF(OR($A54="",AG$8=""),"",IF($F54="Migré","ROKS",IF($F54="À décommissionner",IF(AG$8&lt;$AS54,"IKS","Décom."),IF(OR($AQ54="",$AS54=""),"",IF(AG$8&lt;$AQ54,"IKS",IF(AG$8&lt;$AS54,IF(AG$8=$AR54,"Bascule","Double run"),"ROKS"))))))</f>
        <v/>
      </c>
      <c r="AH54" s="51" t="str">
        <f aca="false">IF(OR($A54="",AH$8=""),"",IF($F54="Migré","ROKS",IF($F54="À décommissionner",IF(AH$8&lt;$AS54,"IKS","Décom."),IF(OR($AQ54="",$AS54=""),"",IF(AH$8&lt;$AQ54,"IKS",IF(AH$8&lt;$AS54,IF(AH$8=$AR54,"Bascule","Double run"),"ROKS"))))))</f>
        <v/>
      </c>
      <c r="AI54" s="51" t="str">
        <f aca="false">IF(OR($A54="",AI$8=""),"",IF($F54="Migré","ROKS",IF($F54="À décommissionner",IF(AI$8&lt;$AS54,"IKS","Décom."),IF(OR($AQ54="",$AS54=""),"",IF(AI$8&lt;$AQ54,"IKS",IF(AI$8&lt;$AS54,IF(AI$8=$AR54,"Bascule","Double run"),"ROKS"))))))</f>
        <v/>
      </c>
      <c r="AJ54" s="51" t="str">
        <f aca="false">IF(OR($A54="",AJ$8=""),"",IF($F54="Migré","ROKS",IF($F54="À décommissionner",IF(AJ$8&lt;$AS54,"IKS","Décom."),IF(OR($AQ54="",$AS54=""),"",IF(AJ$8&lt;$AQ54,"IKS",IF(AJ$8&lt;$AS54,IF(AJ$8=$AR54,"Bascule","Double run"),"ROKS"))))))</f>
        <v/>
      </c>
      <c r="AK54" s="51" t="str">
        <f aca="false">IF(OR($A54="",AK$8=""),"",IF($F54="Migré","ROKS",IF($F54="À décommissionner",IF(AK$8&lt;$AS54,"IKS","Décom."),IF(OR($AQ54="",$AS54=""),"",IF(AK$8&lt;$AQ54,"IKS",IF(AK$8&lt;$AS54,IF(AK$8=$AR54,"Bascule","Double run"),"ROKS"))))))</f>
        <v/>
      </c>
      <c r="AL54" s="51" t="str">
        <f aca="false">IF(OR($A54="",AL$8=""),"",IF($F54="Migré","ROKS",IF($F54="À décommissionner",IF(AL$8&lt;$AS54,"IKS","Décom."),IF(OR($AQ54="",$AS54=""),"",IF(AL$8&lt;$AQ54,"IKS",IF(AL$8&lt;$AS54,IF(AL$8=$AR54,"Bascule","Double run"),"ROKS"))))))</f>
        <v/>
      </c>
      <c r="AM54" s="51" t="str">
        <f aca="false">IF(OR($A54="",AM$8=""),"",IF($F54="Migré","ROKS",IF($F54="À décommissionner",IF(AM$8&lt;$AS54,"IKS","Décom."),IF(OR($AQ54="",$AS54=""),"",IF(AM$8&lt;$AQ54,"IKS",IF(AM$8&lt;$AS54,IF(AM$8=$AR54,"Bascule","Double run"),"ROKS"))))))</f>
        <v/>
      </c>
      <c r="AN54" s="51" t="str">
        <f aca="false">IF(OR($A54="",AN$8=""),"",IF($F54="Migré","ROKS",IF($F54="À décommissionner",IF(AN$8&lt;$AS54,"IKS","Décom."),IF(OR($AQ54="",$AS54=""),"",IF(AN$8&lt;$AQ54,"IKS",IF(AN$8&lt;$AS54,IF(AN$8=$AR54,"Bascule","Double run"),"ROKS"))))))</f>
        <v/>
      </c>
      <c r="AO54" s="51" t="str">
        <f aca="false">IF(OR($A54="",AO$8=""),"",IF($F54="Migré","ROKS",IF($F54="À décommissionner",IF(AO$8&lt;$AS54,"IKS","Décom."),IF(OR($AQ54="",$AS54=""),"",IF(AO$8&lt;$AQ54,"IKS",IF(AO$8&lt;$AS54,IF(AO$8=$AR54,"Bascule","Double run"),"ROKS"))))))</f>
        <v/>
      </c>
      <c r="AP54" s="51" t="str">
        <f aca="false">IF(OR($A54="",AP$8=""),"",IF($F54="Migré","ROKS",IF($F54="À décommissionner",IF(AP$8&lt;$AS54,"IKS","Décom."),IF(OR($AQ54="",$AS54=""),"",IF(AP$8&lt;$AQ54,"IKS",IF(AP$8&lt;$AS54,IF(AP$8=$AR54,"Bascule","Double run"),"ROKS"))))))</f>
        <v/>
      </c>
      <c r="AQ54" s="0" t="str">
        <f aca="false">IF($A54="","",INDEX(TblApplications[Mois prov (calc)],$A54))</f>
        <v/>
      </c>
      <c r="AR54" s="0" t="str">
        <f aca="false">IF($A54="","",IFERROR(DATE(YEAR(INDEX(TblApplications[Mois bascule],$A54)),MONTH(INDEX(TblApplications[Mois bascule],$A54)),1),""))</f>
        <v/>
      </c>
      <c r="AS54" s="0" t="str">
        <f aca="false">IF($A54="","",INDEX(TblApplications[Mois lib (calc)],$A54))</f>
        <v/>
      </c>
    </row>
    <row r="55" customFormat="false" ht="15" hidden="false" customHeight="false" outlineLevel="0" collapsed="false">
      <c r="A55" s="49" t="str">
        <f aca="false">IFERROR(MATCH(47,TblApplications[Rang frise],0),"")</f>
        <v/>
      </c>
      <c r="B55" s="50" t="str">
        <f aca="false">IF($A55="","",INDEX(TblApplications[ID],$A55))</f>
        <v/>
      </c>
      <c r="C55" s="50" t="str">
        <f aca="false">IF($A55="","",INDEX(TblApplications[Application],$A55))</f>
        <v/>
      </c>
      <c r="D55" s="50" t="str">
        <f aca="false">IF($A55="","",INDEX(TblApplications[Environnement],$A55))</f>
        <v/>
      </c>
      <c r="E55" s="50" t="str">
        <f aca="false">IF($A55="","",INDEX(TblApplications[Couloir],$A55))</f>
        <v/>
      </c>
      <c r="F55" s="50" t="str">
        <f aca="false">IF($A55="","",INDEX(TblApplications[Action],$A55))</f>
        <v/>
      </c>
      <c r="G55" s="51" t="str">
        <f aca="false">IF(OR($A55="",G$8=""),"",IF($F55="Migré","ROKS",IF($F55="À décommissionner",IF(G$8&lt;$AS55,"IKS","Décom."),IF(OR($AQ55="",$AS55=""),"",IF(G$8&lt;$AQ55,"IKS",IF(G$8&lt;$AS55,IF(G$8=$AR55,"Bascule","Double run"),"ROKS"))))))</f>
        <v/>
      </c>
      <c r="H55" s="51" t="str">
        <f aca="false">IF(OR($A55="",H$8=""),"",IF($F55="Migré","ROKS",IF($F55="À décommissionner",IF(H$8&lt;$AS55,"IKS","Décom."),IF(OR($AQ55="",$AS55=""),"",IF(H$8&lt;$AQ55,"IKS",IF(H$8&lt;$AS55,IF(H$8=$AR55,"Bascule","Double run"),"ROKS"))))))</f>
        <v/>
      </c>
      <c r="I55" s="51" t="str">
        <f aca="false">IF(OR($A55="",I$8=""),"",IF($F55="Migré","ROKS",IF($F55="À décommissionner",IF(I$8&lt;$AS55,"IKS","Décom."),IF(OR($AQ55="",$AS55=""),"",IF(I$8&lt;$AQ55,"IKS",IF(I$8&lt;$AS55,IF(I$8=$AR55,"Bascule","Double run"),"ROKS"))))))</f>
        <v/>
      </c>
      <c r="J55" s="51" t="str">
        <f aca="false">IF(OR($A55="",J$8=""),"",IF($F55="Migré","ROKS",IF($F55="À décommissionner",IF(J$8&lt;$AS55,"IKS","Décom."),IF(OR($AQ55="",$AS55=""),"",IF(J$8&lt;$AQ55,"IKS",IF(J$8&lt;$AS55,IF(J$8=$AR55,"Bascule","Double run"),"ROKS"))))))</f>
        <v/>
      </c>
      <c r="K55" s="51" t="str">
        <f aca="false">IF(OR($A55="",K$8=""),"",IF($F55="Migré","ROKS",IF($F55="À décommissionner",IF(K$8&lt;$AS55,"IKS","Décom."),IF(OR($AQ55="",$AS55=""),"",IF(K$8&lt;$AQ55,"IKS",IF(K$8&lt;$AS55,IF(K$8=$AR55,"Bascule","Double run"),"ROKS"))))))</f>
        <v/>
      </c>
      <c r="L55" s="51" t="str">
        <f aca="false">IF(OR($A55="",L$8=""),"",IF($F55="Migré","ROKS",IF($F55="À décommissionner",IF(L$8&lt;$AS55,"IKS","Décom."),IF(OR($AQ55="",$AS55=""),"",IF(L$8&lt;$AQ55,"IKS",IF(L$8&lt;$AS55,IF(L$8=$AR55,"Bascule","Double run"),"ROKS"))))))</f>
        <v/>
      </c>
      <c r="M55" s="51" t="str">
        <f aca="false">IF(OR($A55="",M$8=""),"",IF($F55="Migré","ROKS",IF($F55="À décommissionner",IF(M$8&lt;$AS55,"IKS","Décom."),IF(OR($AQ55="",$AS55=""),"",IF(M$8&lt;$AQ55,"IKS",IF(M$8&lt;$AS55,IF(M$8=$AR55,"Bascule","Double run"),"ROKS"))))))</f>
        <v/>
      </c>
      <c r="N55" s="51" t="str">
        <f aca="false">IF(OR($A55="",N$8=""),"",IF($F55="Migré","ROKS",IF($F55="À décommissionner",IF(N$8&lt;$AS55,"IKS","Décom."),IF(OR($AQ55="",$AS55=""),"",IF(N$8&lt;$AQ55,"IKS",IF(N$8&lt;$AS55,IF(N$8=$AR55,"Bascule","Double run"),"ROKS"))))))</f>
        <v/>
      </c>
      <c r="O55" s="51" t="str">
        <f aca="false">IF(OR($A55="",O$8=""),"",IF($F55="Migré","ROKS",IF($F55="À décommissionner",IF(O$8&lt;$AS55,"IKS","Décom."),IF(OR($AQ55="",$AS55=""),"",IF(O$8&lt;$AQ55,"IKS",IF(O$8&lt;$AS55,IF(O$8=$AR55,"Bascule","Double run"),"ROKS"))))))</f>
        <v/>
      </c>
      <c r="P55" s="51" t="str">
        <f aca="false">IF(OR($A55="",P$8=""),"",IF($F55="Migré","ROKS",IF($F55="À décommissionner",IF(P$8&lt;$AS55,"IKS","Décom."),IF(OR($AQ55="",$AS55=""),"",IF(P$8&lt;$AQ55,"IKS",IF(P$8&lt;$AS55,IF(P$8=$AR55,"Bascule","Double run"),"ROKS"))))))</f>
        <v/>
      </c>
      <c r="Q55" s="51" t="str">
        <f aca="false">IF(OR($A55="",Q$8=""),"",IF($F55="Migré","ROKS",IF($F55="À décommissionner",IF(Q$8&lt;$AS55,"IKS","Décom."),IF(OR($AQ55="",$AS55=""),"",IF(Q$8&lt;$AQ55,"IKS",IF(Q$8&lt;$AS55,IF(Q$8=$AR55,"Bascule","Double run"),"ROKS"))))))</f>
        <v/>
      </c>
      <c r="R55" s="51" t="str">
        <f aca="false">IF(OR($A55="",R$8=""),"",IF($F55="Migré","ROKS",IF($F55="À décommissionner",IF(R$8&lt;$AS55,"IKS","Décom."),IF(OR($AQ55="",$AS55=""),"",IF(R$8&lt;$AQ55,"IKS",IF(R$8&lt;$AS55,IF(R$8=$AR55,"Bascule","Double run"),"ROKS"))))))</f>
        <v/>
      </c>
      <c r="S55" s="51" t="str">
        <f aca="false">IF(OR($A55="",S$8=""),"",IF($F55="Migré","ROKS",IF($F55="À décommissionner",IF(S$8&lt;$AS55,"IKS","Décom."),IF(OR($AQ55="",$AS55=""),"",IF(S$8&lt;$AQ55,"IKS",IF(S$8&lt;$AS55,IF(S$8=$AR55,"Bascule","Double run"),"ROKS"))))))</f>
        <v/>
      </c>
      <c r="T55" s="51" t="str">
        <f aca="false">IF(OR($A55="",T$8=""),"",IF($F55="Migré","ROKS",IF($F55="À décommissionner",IF(T$8&lt;$AS55,"IKS","Décom."),IF(OR($AQ55="",$AS55=""),"",IF(T$8&lt;$AQ55,"IKS",IF(T$8&lt;$AS55,IF(T$8=$AR55,"Bascule","Double run"),"ROKS"))))))</f>
        <v/>
      </c>
      <c r="U55" s="51" t="str">
        <f aca="false">IF(OR($A55="",U$8=""),"",IF($F55="Migré","ROKS",IF($F55="À décommissionner",IF(U$8&lt;$AS55,"IKS","Décom."),IF(OR($AQ55="",$AS55=""),"",IF(U$8&lt;$AQ55,"IKS",IF(U$8&lt;$AS55,IF(U$8=$AR55,"Bascule","Double run"),"ROKS"))))))</f>
        <v/>
      </c>
      <c r="V55" s="51" t="str">
        <f aca="false">IF(OR($A55="",V$8=""),"",IF($F55="Migré","ROKS",IF($F55="À décommissionner",IF(V$8&lt;$AS55,"IKS","Décom."),IF(OR($AQ55="",$AS55=""),"",IF(V$8&lt;$AQ55,"IKS",IF(V$8&lt;$AS55,IF(V$8=$AR55,"Bascule","Double run"),"ROKS"))))))</f>
        <v/>
      </c>
      <c r="W55" s="51" t="str">
        <f aca="false">IF(OR($A55="",W$8=""),"",IF($F55="Migré","ROKS",IF($F55="À décommissionner",IF(W$8&lt;$AS55,"IKS","Décom."),IF(OR($AQ55="",$AS55=""),"",IF(W$8&lt;$AQ55,"IKS",IF(W$8&lt;$AS55,IF(W$8=$AR55,"Bascule","Double run"),"ROKS"))))))</f>
        <v/>
      </c>
      <c r="X55" s="51" t="str">
        <f aca="false">IF(OR($A55="",X$8=""),"",IF($F55="Migré","ROKS",IF($F55="À décommissionner",IF(X$8&lt;$AS55,"IKS","Décom."),IF(OR($AQ55="",$AS55=""),"",IF(X$8&lt;$AQ55,"IKS",IF(X$8&lt;$AS55,IF(X$8=$AR55,"Bascule","Double run"),"ROKS"))))))</f>
        <v/>
      </c>
      <c r="Y55" s="51" t="str">
        <f aca="false">IF(OR($A55="",Y$8=""),"",IF($F55="Migré","ROKS",IF($F55="À décommissionner",IF(Y$8&lt;$AS55,"IKS","Décom."),IF(OR($AQ55="",$AS55=""),"",IF(Y$8&lt;$AQ55,"IKS",IF(Y$8&lt;$AS55,IF(Y$8=$AR55,"Bascule","Double run"),"ROKS"))))))</f>
        <v/>
      </c>
      <c r="Z55" s="51" t="str">
        <f aca="false">IF(OR($A55="",Z$8=""),"",IF($F55="Migré","ROKS",IF($F55="À décommissionner",IF(Z$8&lt;$AS55,"IKS","Décom."),IF(OR($AQ55="",$AS55=""),"",IF(Z$8&lt;$AQ55,"IKS",IF(Z$8&lt;$AS55,IF(Z$8=$AR55,"Bascule","Double run"),"ROKS"))))))</f>
        <v/>
      </c>
      <c r="AA55" s="51" t="str">
        <f aca="false">IF(OR($A55="",AA$8=""),"",IF($F55="Migré","ROKS",IF($F55="À décommissionner",IF(AA$8&lt;$AS55,"IKS","Décom."),IF(OR($AQ55="",$AS55=""),"",IF(AA$8&lt;$AQ55,"IKS",IF(AA$8&lt;$AS55,IF(AA$8=$AR55,"Bascule","Double run"),"ROKS"))))))</f>
        <v/>
      </c>
      <c r="AB55" s="51" t="str">
        <f aca="false">IF(OR($A55="",AB$8=""),"",IF($F55="Migré","ROKS",IF($F55="À décommissionner",IF(AB$8&lt;$AS55,"IKS","Décom."),IF(OR($AQ55="",$AS55=""),"",IF(AB$8&lt;$AQ55,"IKS",IF(AB$8&lt;$AS55,IF(AB$8=$AR55,"Bascule","Double run"),"ROKS"))))))</f>
        <v/>
      </c>
      <c r="AC55" s="51" t="str">
        <f aca="false">IF(OR($A55="",AC$8=""),"",IF($F55="Migré","ROKS",IF($F55="À décommissionner",IF(AC$8&lt;$AS55,"IKS","Décom."),IF(OR($AQ55="",$AS55=""),"",IF(AC$8&lt;$AQ55,"IKS",IF(AC$8&lt;$AS55,IF(AC$8=$AR55,"Bascule","Double run"),"ROKS"))))))</f>
        <v/>
      </c>
      <c r="AD55" s="51" t="str">
        <f aca="false">IF(OR($A55="",AD$8=""),"",IF($F55="Migré","ROKS",IF($F55="À décommissionner",IF(AD$8&lt;$AS55,"IKS","Décom."),IF(OR($AQ55="",$AS55=""),"",IF(AD$8&lt;$AQ55,"IKS",IF(AD$8&lt;$AS55,IF(AD$8=$AR55,"Bascule","Double run"),"ROKS"))))))</f>
        <v/>
      </c>
      <c r="AE55" s="51" t="str">
        <f aca="false">IF(OR($A55="",AE$8=""),"",IF($F55="Migré","ROKS",IF($F55="À décommissionner",IF(AE$8&lt;$AS55,"IKS","Décom."),IF(OR($AQ55="",$AS55=""),"",IF(AE$8&lt;$AQ55,"IKS",IF(AE$8&lt;$AS55,IF(AE$8=$AR55,"Bascule","Double run"),"ROKS"))))))</f>
        <v/>
      </c>
      <c r="AF55" s="51" t="str">
        <f aca="false">IF(OR($A55="",AF$8=""),"",IF($F55="Migré","ROKS",IF($F55="À décommissionner",IF(AF$8&lt;$AS55,"IKS","Décom."),IF(OR($AQ55="",$AS55=""),"",IF(AF$8&lt;$AQ55,"IKS",IF(AF$8&lt;$AS55,IF(AF$8=$AR55,"Bascule","Double run"),"ROKS"))))))</f>
        <v/>
      </c>
      <c r="AG55" s="51" t="str">
        <f aca="false">IF(OR($A55="",AG$8=""),"",IF($F55="Migré","ROKS",IF($F55="À décommissionner",IF(AG$8&lt;$AS55,"IKS","Décom."),IF(OR($AQ55="",$AS55=""),"",IF(AG$8&lt;$AQ55,"IKS",IF(AG$8&lt;$AS55,IF(AG$8=$AR55,"Bascule","Double run"),"ROKS"))))))</f>
        <v/>
      </c>
      <c r="AH55" s="51" t="str">
        <f aca="false">IF(OR($A55="",AH$8=""),"",IF($F55="Migré","ROKS",IF($F55="À décommissionner",IF(AH$8&lt;$AS55,"IKS","Décom."),IF(OR($AQ55="",$AS55=""),"",IF(AH$8&lt;$AQ55,"IKS",IF(AH$8&lt;$AS55,IF(AH$8=$AR55,"Bascule","Double run"),"ROKS"))))))</f>
        <v/>
      </c>
      <c r="AI55" s="51" t="str">
        <f aca="false">IF(OR($A55="",AI$8=""),"",IF($F55="Migré","ROKS",IF($F55="À décommissionner",IF(AI$8&lt;$AS55,"IKS","Décom."),IF(OR($AQ55="",$AS55=""),"",IF(AI$8&lt;$AQ55,"IKS",IF(AI$8&lt;$AS55,IF(AI$8=$AR55,"Bascule","Double run"),"ROKS"))))))</f>
        <v/>
      </c>
      <c r="AJ55" s="51" t="str">
        <f aca="false">IF(OR($A55="",AJ$8=""),"",IF($F55="Migré","ROKS",IF($F55="À décommissionner",IF(AJ$8&lt;$AS55,"IKS","Décom."),IF(OR($AQ55="",$AS55=""),"",IF(AJ$8&lt;$AQ55,"IKS",IF(AJ$8&lt;$AS55,IF(AJ$8=$AR55,"Bascule","Double run"),"ROKS"))))))</f>
        <v/>
      </c>
      <c r="AK55" s="51" t="str">
        <f aca="false">IF(OR($A55="",AK$8=""),"",IF($F55="Migré","ROKS",IF($F55="À décommissionner",IF(AK$8&lt;$AS55,"IKS","Décom."),IF(OR($AQ55="",$AS55=""),"",IF(AK$8&lt;$AQ55,"IKS",IF(AK$8&lt;$AS55,IF(AK$8=$AR55,"Bascule","Double run"),"ROKS"))))))</f>
        <v/>
      </c>
      <c r="AL55" s="51" t="str">
        <f aca="false">IF(OR($A55="",AL$8=""),"",IF($F55="Migré","ROKS",IF($F55="À décommissionner",IF(AL$8&lt;$AS55,"IKS","Décom."),IF(OR($AQ55="",$AS55=""),"",IF(AL$8&lt;$AQ55,"IKS",IF(AL$8&lt;$AS55,IF(AL$8=$AR55,"Bascule","Double run"),"ROKS"))))))</f>
        <v/>
      </c>
      <c r="AM55" s="51" t="str">
        <f aca="false">IF(OR($A55="",AM$8=""),"",IF($F55="Migré","ROKS",IF($F55="À décommissionner",IF(AM$8&lt;$AS55,"IKS","Décom."),IF(OR($AQ55="",$AS55=""),"",IF(AM$8&lt;$AQ55,"IKS",IF(AM$8&lt;$AS55,IF(AM$8=$AR55,"Bascule","Double run"),"ROKS"))))))</f>
        <v/>
      </c>
      <c r="AN55" s="51" t="str">
        <f aca="false">IF(OR($A55="",AN$8=""),"",IF($F55="Migré","ROKS",IF($F55="À décommissionner",IF(AN$8&lt;$AS55,"IKS","Décom."),IF(OR($AQ55="",$AS55=""),"",IF(AN$8&lt;$AQ55,"IKS",IF(AN$8&lt;$AS55,IF(AN$8=$AR55,"Bascule","Double run"),"ROKS"))))))</f>
        <v/>
      </c>
      <c r="AO55" s="51" t="str">
        <f aca="false">IF(OR($A55="",AO$8=""),"",IF($F55="Migré","ROKS",IF($F55="À décommissionner",IF(AO$8&lt;$AS55,"IKS","Décom."),IF(OR($AQ55="",$AS55=""),"",IF(AO$8&lt;$AQ55,"IKS",IF(AO$8&lt;$AS55,IF(AO$8=$AR55,"Bascule","Double run"),"ROKS"))))))</f>
        <v/>
      </c>
      <c r="AP55" s="51" t="str">
        <f aca="false">IF(OR($A55="",AP$8=""),"",IF($F55="Migré","ROKS",IF($F55="À décommissionner",IF(AP$8&lt;$AS55,"IKS","Décom."),IF(OR($AQ55="",$AS55=""),"",IF(AP$8&lt;$AQ55,"IKS",IF(AP$8&lt;$AS55,IF(AP$8=$AR55,"Bascule","Double run"),"ROKS"))))))</f>
        <v/>
      </c>
      <c r="AQ55" s="0" t="str">
        <f aca="false">IF($A55="","",INDEX(TblApplications[Mois prov (calc)],$A55))</f>
        <v/>
      </c>
      <c r="AR55" s="0" t="str">
        <f aca="false">IF($A55="","",IFERROR(DATE(YEAR(INDEX(TblApplications[Mois bascule],$A55)),MONTH(INDEX(TblApplications[Mois bascule],$A55)),1),""))</f>
        <v/>
      </c>
      <c r="AS55" s="0" t="str">
        <f aca="false">IF($A55="","",INDEX(TblApplications[Mois lib (calc)],$A55))</f>
        <v/>
      </c>
    </row>
    <row r="56" customFormat="false" ht="15" hidden="false" customHeight="false" outlineLevel="0" collapsed="false">
      <c r="A56" s="49" t="str">
        <f aca="false">IFERROR(MATCH(48,TblApplications[Rang frise],0),"")</f>
        <v/>
      </c>
      <c r="B56" s="50" t="str">
        <f aca="false">IF($A56="","",INDEX(TblApplications[ID],$A56))</f>
        <v/>
      </c>
      <c r="C56" s="50" t="str">
        <f aca="false">IF($A56="","",INDEX(TblApplications[Application],$A56))</f>
        <v/>
      </c>
      <c r="D56" s="50" t="str">
        <f aca="false">IF($A56="","",INDEX(TblApplications[Environnement],$A56))</f>
        <v/>
      </c>
      <c r="E56" s="50" t="str">
        <f aca="false">IF($A56="","",INDEX(TblApplications[Couloir],$A56))</f>
        <v/>
      </c>
      <c r="F56" s="50" t="str">
        <f aca="false">IF($A56="","",INDEX(TblApplications[Action],$A56))</f>
        <v/>
      </c>
      <c r="G56" s="51" t="str">
        <f aca="false">IF(OR($A56="",G$8=""),"",IF($F56="Migré","ROKS",IF($F56="À décommissionner",IF(G$8&lt;$AS56,"IKS","Décom."),IF(OR($AQ56="",$AS56=""),"",IF(G$8&lt;$AQ56,"IKS",IF(G$8&lt;$AS56,IF(G$8=$AR56,"Bascule","Double run"),"ROKS"))))))</f>
        <v/>
      </c>
      <c r="H56" s="51" t="str">
        <f aca="false">IF(OR($A56="",H$8=""),"",IF($F56="Migré","ROKS",IF($F56="À décommissionner",IF(H$8&lt;$AS56,"IKS","Décom."),IF(OR($AQ56="",$AS56=""),"",IF(H$8&lt;$AQ56,"IKS",IF(H$8&lt;$AS56,IF(H$8=$AR56,"Bascule","Double run"),"ROKS"))))))</f>
        <v/>
      </c>
      <c r="I56" s="51" t="str">
        <f aca="false">IF(OR($A56="",I$8=""),"",IF($F56="Migré","ROKS",IF($F56="À décommissionner",IF(I$8&lt;$AS56,"IKS","Décom."),IF(OR($AQ56="",$AS56=""),"",IF(I$8&lt;$AQ56,"IKS",IF(I$8&lt;$AS56,IF(I$8=$AR56,"Bascule","Double run"),"ROKS"))))))</f>
        <v/>
      </c>
      <c r="J56" s="51" t="str">
        <f aca="false">IF(OR($A56="",J$8=""),"",IF($F56="Migré","ROKS",IF($F56="À décommissionner",IF(J$8&lt;$AS56,"IKS","Décom."),IF(OR($AQ56="",$AS56=""),"",IF(J$8&lt;$AQ56,"IKS",IF(J$8&lt;$AS56,IF(J$8=$AR56,"Bascule","Double run"),"ROKS"))))))</f>
        <v/>
      </c>
      <c r="K56" s="51" t="str">
        <f aca="false">IF(OR($A56="",K$8=""),"",IF($F56="Migré","ROKS",IF($F56="À décommissionner",IF(K$8&lt;$AS56,"IKS","Décom."),IF(OR($AQ56="",$AS56=""),"",IF(K$8&lt;$AQ56,"IKS",IF(K$8&lt;$AS56,IF(K$8=$AR56,"Bascule","Double run"),"ROKS"))))))</f>
        <v/>
      </c>
      <c r="L56" s="51" t="str">
        <f aca="false">IF(OR($A56="",L$8=""),"",IF($F56="Migré","ROKS",IF($F56="À décommissionner",IF(L$8&lt;$AS56,"IKS","Décom."),IF(OR($AQ56="",$AS56=""),"",IF(L$8&lt;$AQ56,"IKS",IF(L$8&lt;$AS56,IF(L$8=$AR56,"Bascule","Double run"),"ROKS"))))))</f>
        <v/>
      </c>
      <c r="M56" s="51" t="str">
        <f aca="false">IF(OR($A56="",M$8=""),"",IF($F56="Migré","ROKS",IF($F56="À décommissionner",IF(M$8&lt;$AS56,"IKS","Décom."),IF(OR($AQ56="",$AS56=""),"",IF(M$8&lt;$AQ56,"IKS",IF(M$8&lt;$AS56,IF(M$8=$AR56,"Bascule","Double run"),"ROKS"))))))</f>
        <v/>
      </c>
      <c r="N56" s="51" t="str">
        <f aca="false">IF(OR($A56="",N$8=""),"",IF($F56="Migré","ROKS",IF($F56="À décommissionner",IF(N$8&lt;$AS56,"IKS","Décom."),IF(OR($AQ56="",$AS56=""),"",IF(N$8&lt;$AQ56,"IKS",IF(N$8&lt;$AS56,IF(N$8=$AR56,"Bascule","Double run"),"ROKS"))))))</f>
        <v/>
      </c>
      <c r="O56" s="51" t="str">
        <f aca="false">IF(OR($A56="",O$8=""),"",IF($F56="Migré","ROKS",IF($F56="À décommissionner",IF(O$8&lt;$AS56,"IKS","Décom."),IF(OR($AQ56="",$AS56=""),"",IF(O$8&lt;$AQ56,"IKS",IF(O$8&lt;$AS56,IF(O$8=$AR56,"Bascule","Double run"),"ROKS"))))))</f>
        <v/>
      </c>
      <c r="P56" s="51" t="str">
        <f aca="false">IF(OR($A56="",P$8=""),"",IF($F56="Migré","ROKS",IF($F56="À décommissionner",IF(P$8&lt;$AS56,"IKS","Décom."),IF(OR($AQ56="",$AS56=""),"",IF(P$8&lt;$AQ56,"IKS",IF(P$8&lt;$AS56,IF(P$8=$AR56,"Bascule","Double run"),"ROKS"))))))</f>
        <v/>
      </c>
      <c r="Q56" s="51" t="str">
        <f aca="false">IF(OR($A56="",Q$8=""),"",IF($F56="Migré","ROKS",IF($F56="À décommissionner",IF(Q$8&lt;$AS56,"IKS","Décom."),IF(OR($AQ56="",$AS56=""),"",IF(Q$8&lt;$AQ56,"IKS",IF(Q$8&lt;$AS56,IF(Q$8=$AR56,"Bascule","Double run"),"ROKS"))))))</f>
        <v/>
      </c>
      <c r="R56" s="51" t="str">
        <f aca="false">IF(OR($A56="",R$8=""),"",IF($F56="Migré","ROKS",IF($F56="À décommissionner",IF(R$8&lt;$AS56,"IKS","Décom."),IF(OR($AQ56="",$AS56=""),"",IF(R$8&lt;$AQ56,"IKS",IF(R$8&lt;$AS56,IF(R$8=$AR56,"Bascule","Double run"),"ROKS"))))))</f>
        <v/>
      </c>
      <c r="S56" s="51" t="str">
        <f aca="false">IF(OR($A56="",S$8=""),"",IF($F56="Migré","ROKS",IF($F56="À décommissionner",IF(S$8&lt;$AS56,"IKS","Décom."),IF(OR($AQ56="",$AS56=""),"",IF(S$8&lt;$AQ56,"IKS",IF(S$8&lt;$AS56,IF(S$8=$AR56,"Bascule","Double run"),"ROKS"))))))</f>
        <v/>
      </c>
      <c r="T56" s="51" t="str">
        <f aca="false">IF(OR($A56="",T$8=""),"",IF($F56="Migré","ROKS",IF($F56="À décommissionner",IF(T$8&lt;$AS56,"IKS","Décom."),IF(OR($AQ56="",$AS56=""),"",IF(T$8&lt;$AQ56,"IKS",IF(T$8&lt;$AS56,IF(T$8=$AR56,"Bascule","Double run"),"ROKS"))))))</f>
        <v/>
      </c>
      <c r="U56" s="51" t="str">
        <f aca="false">IF(OR($A56="",U$8=""),"",IF($F56="Migré","ROKS",IF($F56="À décommissionner",IF(U$8&lt;$AS56,"IKS","Décom."),IF(OR($AQ56="",$AS56=""),"",IF(U$8&lt;$AQ56,"IKS",IF(U$8&lt;$AS56,IF(U$8=$AR56,"Bascule","Double run"),"ROKS"))))))</f>
        <v/>
      </c>
      <c r="V56" s="51" t="str">
        <f aca="false">IF(OR($A56="",V$8=""),"",IF($F56="Migré","ROKS",IF($F56="À décommissionner",IF(V$8&lt;$AS56,"IKS","Décom."),IF(OR($AQ56="",$AS56=""),"",IF(V$8&lt;$AQ56,"IKS",IF(V$8&lt;$AS56,IF(V$8=$AR56,"Bascule","Double run"),"ROKS"))))))</f>
        <v/>
      </c>
      <c r="W56" s="51" t="str">
        <f aca="false">IF(OR($A56="",W$8=""),"",IF($F56="Migré","ROKS",IF($F56="À décommissionner",IF(W$8&lt;$AS56,"IKS","Décom."),IF(OR($AQ56="",$AS56=""),"",IF(W$8&lt;$AQ56,"IKS",IF(W$8&lt;$AS56,IF(W$8=$AR56,"Bascule","Double run"),"ROKS"))))))</f>
        <v/>
      </c>
      <c r="X56" s="51" t="str">
        <f aca="false">IF(OR($A56="",X$8=""),"",IF($F56="Migré","ROKS",IF($F56="À décommissionner",IF(X$8&lt;$AS56,"IKS","Décom."),IF(OR($AQ56="",$AS56=""),"",IF(X$8&lt;$AQ56,"IKS",IF(X$8&lt;$AS56,IF(X$8=$AR56,"Bascule","Double run"),"ROKS"))))))</f>
        <v/>
      </c>
      <c r="Y56" s="51" t="str">
        <f aca="false">IF(OR($A56="",Y$8=""),"",IF($F56="Migré","ROKS",IF($F56="À décommissionner",IF(Y$8&lt;$AS56,"IKS","Décom."),IF(OR($AQ56="",$AS56=""),"",IF(Y$8&lt;$AQ56,"IKS",IF(Y$8&lt;$AS56,IF(Y$8=$AR56,"Bascule","Double run"),"ROKS"))))))</f>
        <v/>
      </c>
      <c r="Z56" s="51" t="str">
        <f aca="false">IF(OR($A56="",Z$8=""),"",IF($F56="Migré","ROKS",IF($F56="À décommissionner",IF(Z$8&lt;$AS56,"IKS","Décom."),IF(OR($AQ56="",$AS56=""),"",IF(Z$8&lt;$AQ56,"IKS",IF(Z$8&lt;$AS56,IF(Z$8=$AR56,"Bascule","Double run"),"ROKS"))))))</f>
        <v/>
      </c>
      <c r="AA56" s="51" t="str">
        <f aca="false">IF(OR($A56="",AA$8=""),"",IF($F56="Migré","ROKS",IF($F56="À décommissionner",IF(AA$8&lt;$AS56,"IKS","Décom."),IF(OR($AQ56="",$AS56=""),"",IF(AA$8&lt;$AQ56,"IKS",IF(AA$8&lt;$AS56,IF(AA$8=$AR56,"Bascule","Double run"),"ROKS"))))))</f>
        <v/>
      </c>
      <c r="AB56" s="51" t="str">
        <f aca="false">IF(OR($A56="",AB$8=""),"",IF($F56="Migré","ROKS",IF($F56="À décommissionner",IF(AB$8&lt;$AS56,"IKS","Décom."),IF(OR($AQ56="",$AS56=""),"",IF(AB$8&lt;$AQ56,"IKS",IF(AB$8&lt;$AS56,IF(AB$8=$AR56,"Bascule","Double run"),"ROKS"))))))</f>
        <v/>
      </c>
      <c r="AC56" s="51" t="str">
        <f aca="false">IF(OR($A56="",AC$8=""),"",IF($F56="Migré","ROKS",IF($F56="À décommissionner",IF(AC$8&lt;$AS56,"IKS","Décom."),IF(OR($AQ56="",$AS56=""),"",IF(AC$8&lt;$AQ56,"IKS",IF(AC$8&lt;$AS56,IF(AC$8=$AR56,"Bascule","Double run"),"ROKS"))))))</f>
        <v/>
      </c>
      <c r="AD56" s="51" t="str">
        <f aca="false">IF(OR($A56="",AD$8=""),"",IF($F56="Migré","ROKS",IF($F56="À décommissionner",IF(AD$8&lt;$AS56,"IKS","Décom."),IF(OR($AQ56="",$AS56=""),"",IF(AD$8&lt;$AQ56,"IKS",IF(AD$8&lt;$AS56,IF(AD$8=$AR56,"Bascule","Double run"),"ROKS"))))))</f>
        <v/>
      </c>
      <c r="AE56" s="51" t="str">
        <f aca="false">IF(OR($A56="",AE$8=""),"",IF($F56="Migré","ROKS",IF($F56="À décommissionner",IF(AE$8&lt;$AS56,"IKS","Décom."),IF(OR($AQ56="",$AS56=""),"",IF(AE$8&lt;$AQ56,"IKS",IF(AE$8&lt;$AS56,IF(AE$8=$AR56,"Bascule","Double run"),"ROKS"))))))</f>
        <v/>
      </c>
      <c r="AF56" s="51" t="str">
        <f aca="false">IF(OR($A56="",AF$8=""),"",IF($F56="Migré","ROKS",IF($F56="À décommissionner",IF(AF$8&lt;$AS56,"IKS","Décom."),IF(OR($AQ56="",$AS56=""),"",IF(AF$8&lt;$AQ56,"IKS",IF(AF$8&lt;$AS56,IF(AF$8=$AR56,"Bascule","Double run"),"ROKS"))))))</f>
        <v/>
      </c>
      <c r="AG56" s="51" t="str">
        <f aca="false">IF(OR($A56="",AG$8=""),"",IF($F56="Migré","ROKS",IF($F56="À décommissionner",IF(AG$8&lt;$AS56,"IKS","Décom."),IF(OR($AQ56="",$AS56=""),"",IF(AG$8&lt;$AQ56,"IKS",IF(AG$8&lt;$AS56,IF(AG$8=$AR56,"Bascule","Double run"),"ROKS"))))))</f>
        <v/>
      </c>
      <c r="AH56" s="51" t="str">
        <f aca="false">IF(OR($A56="",AH$8=""),"",IF($F56="Migré","ROKS",IF($F56="À décommissionner",IF(AH$8&lt;$AS56,"IKS","Décom."),IF(OR($AQ56="",$AS56=""),"",IF(AH$8&lt;$AQ56,"IKS",IF(AH$8&lt;$AS56,IF(AH$8=$AR56,"Bascule","Double run"),"ROKS"))))))</f>
        <v/>
      </c>
      <c r="AI56" s="51" t="str">
        <f aca="false">IF(OR($A56="",AI$8=""),"",IF($F56="Migré","ROKS",IF($F56="À décommissionner",IF(AI$8&lt;$AS56,"IKS","Décom."),IF(OR($AQ56="",$AS56=""),"",IF(AI$8&lt;$AQ56,"IKS",IF(AI$8&lt;$AS56,IF(AI$8=$AR56,"Bascule","Double run"),"ROKS"))))))</f>
        <v/>
      </c>
      <c r="AJ56" s="51" t="str">
        <f aca="false">IF(OR($A56="",AJ$8=""),"",IF($F56="Migré","ROKS",IF($F56="À décommissionner",IF(AJ$8&lt;$AS56,"IKS","Décom."),IF(OR($AQ56="",$AS56=""),"",IF(AJ$8&lt;$AQ56,"IKS",IF(AJ$8&lt;$AS56,IF(AJ$8=$AR56,"Bascule","Double run"),"ROKS"))))))</f>
        <v/>
      </c>
      <c r="AK56" s="51" t="str">
        <f aca="false">IF(OR($A56="",AK$8=""),"",IF($F56="Migré","ROKS",IF($F56="À décommissionner",IF(AK$8&lt;$AS56,"IKS","Décom."),IF(OR($AQ56="",$AS56=""),"",IF(AK$8&lt;$AQ56,"IKS",IF(AK$8&lt;$AS56,IF(AK$8=$AR56,"Bascule","Double run"),"ROKS"))))))</f>
        <v/>
      </c>
      <c r="AL56" s="51" t="str">
        <f aca="false">IF(OR($A56="",AL$8=""),"",IF($F56="Migré","ROKS",IF($F56="À décommissionner",IF(AL$8&lt;$AS56,"IKS","Décom."),IF(OR($AQ56="",$AS56=""),"",IF(AL$8&lt;$AQ56,"IKS",IF(AL$8&lt;$AS56,IF(AL$8=$AR56,"Bascule","Double run"),"ROKS"))))))</f>
        <v/>
      </c>
      <c r="AM56" s="51" t="str">
        <f aca="false">IF(OR($A56="",AM$8=""),"",IF($F56="Migré","ROKS",IF($F56="À décommissionner",IF(AM$8&lt;$AS56,"IKS","Décom."),IF(OR($AQ56="",$AS56=""),"",IF(AM$8&lt;$AQ56,"IKS",IF(AM$8&lt;$AS56,IF(AM$8=$AR56,"Bascule","Double run"),"ROKS"))))))</f>
        <v/>
      </c>
      <c r="AN56" s="51" t="str">
        <f aca="false">IF(OR($A56="",AN$8=""),"",IF($F56="Migré","ROKS",IF($F56="À décommissionner",IF(AN$8&lt;$AS56,"IKS","Décom."),IF(OR($AQ56="",$AS56=""),"",IF(AN$8&lt;$AQ56,"IKS",IF(AN$8&lt;$AS56,IF(AN$8=$AR56,"Bascule","Double run"),"ROKS"))))))</f>
        <v/>
      </c>
      <c r="AO56" s="51" t="str">
        <f aca="false">IF(OR($A56="",AO$8=""),"",IF($F56="Migré","ROKS",IF($F56="À décommissionner",IF(AO$8&lt;$AS56,"IKS","Décom."),IF(OR($AQ56="",$AS56=""),"",IF(AO$8&lt;$AQ56,"IKS",IF(AO$8&lt;$AS56,IF(AO$8=$AR56,"Bascule","Double run"),"ROKS"))))))</f>
        <v/>
      </c>
      <c r="AP56" s="51" t="str">
        <f aca="false">IF(OR($A56="",AP$8=""),"",IF($F56="Migré","ROKS",IF($F56="À décommissionner",IF(AP$8&lt;$AS56,"IKS","Décom."),IF(OR($AQ56="",$AS56=""),"",IF(AP$8&lt;$AQ56,"IKS",IF(AP$8&lt;$AS56,IF(AP$8=$AR56,"Bascule","Double run"),"ROKS"))))))</f>
        <v/>
      </c>
      <c r="AQ56" s="0" t="str">
        <f aca="false">IF($A56="","",INDEX(TblApplications[Mois prov (calc)],$A56))</f>
        <v/>
      </c>
      <c r="AR56" s="0" t="str">
        <f aca="false">IF($A56="","",IFERROR(DATE(YEAR(INDEX(TblApplications[Mois bascule],$A56)),MONTH(INDEX(TblApplications[Mois bascule],$A56)),1),""))</f>
        <v/>
      </c>
      <c r="AS56" s="0" t="str">
        <f aca="false">IF($A56="","",INDEX(TblApplications[Mois lib (calc)],$A56))</f>
        <v/>
      </c>
    </row>
    <row r="57" customFormat="false" ht="15" hidden="false" customHeight="false" outlineLevel="0" collapsed="false">
      <c r="A57" s="49" t="str">
        <f aca="false">IFERROR(MATCH(49,TblApplications[Rang frise],0),"")</f>
        <v/>
      </c>
      <c r="B57" s="50" t="str">
        <f aca="false">IF($A57="","",INDEX(TblApplications[ID],$A57))</f>
        <v/>
      </c>
      <c r="C57" s="50" t="str">
        <f aca="false">IF($A57="","",INDEX(TblApplications[Application],$A57))</f>
        <v/>
      </c>
      <c r="D57" s="50" t="str">
        <f aca="false">IF($A57="","",INDEX(TblApplications[Environnement],$A57))</f>
        <v/>
      </c>
      <c r="E57" s="50" t="str">
        <f aca="false">IF($A57="","",INDEX(TblApplications[Couloir],$A57))</f>
        <v/>
      </c>
      <c r="F57" s="50" t="str">
        <f aca="false">IF($A57="","",INDEX(TblApplications[Action],$A57))</f>
        <v/>
      </c>
      <c r="G57" s="51" t="str">
        <f aca="false">IF(OR($A57="",G$8=""),"",IF($F57="Migré","ROKS",IF($F57="À décommissionner",IF(G$8&lt;$AS57,"IKS","Décom."),IF(OR($AQ57="",$AS57=""),"",IF(G$8&lt;$AQ57,"IKS",IF(G$8&lt;$AS57,IF(G$8=$AR57,"Bascule","Double run"),"ROKS"))))))</f>
        <v/>
      </c>
      <c r="H57" s="51" t="str">
        <f aca="false">IF(OR($A57="",H$8=""),"",IF($F57="Migré","ROKS",IF($F57="À décommissionner",IF(H$8&lt;$AS57,"IKS","Décom."),IF(OR($AQ57="",$AS57=""),"",IF(H$8&lt;$AQ57,"IKS",IF(H$8&lt;$AS57,IF(H$8=$AR57,"Bascule","Double run"),"ROKS"))))))</f>
        <v/>
      </c>
      <c r="I57" s="51" t="str">
        <f aca="false">IF(OR($A57="",I$8=""),"",IF($F57="Migré","ROKS",IF($F57="À décommissionner",IF(I$8&lt;$AS57,"IKS","Décom."),IF(OR($AQ57="",$AS57=""),"",IF(I$8&lt;$AQ57,"IKS",IF(I$8&lt;$AS57,IF(I$8=$AR57,"Bascule","Double run"),"ROKS"))))))</f>
        <v/>
      </c>
      <c r="J57" s="51" t="str">
        <f aca="false">IF(OR($A57="",J$8=""),"",IF($F57="Migré","ROKS",IF($F57="À décommissionner",IF(J$8&lt;$AS57,"IKS","Décom."),IF(OR($AQ57="",$AS57=""),"",IF(J$8&lt;$AQ57,"IKS",IF(J$8&lt;$AS57,IF(J$8=$AR57,"Bascule","Double run"),"ROKS"))))))</f>
        <v/>
      </c>
      <c r="K57" s="51" t="str">
        <f aca="false">IF(OR($A57="",K$8=""),"",IF($F57="Migré","ROKS",IF($F57="À décommissionner",IF(K$8&lt;$AS57,"IKS","Décom."),IF(OR($AQ57="",$AS57=""),"",IF(K$8&lt;$AQ57,"IKS",IF(K$8&lt;$AS57,IF(K$8=$AR57,"Bascule","Double run"),"ROKS"))))))</f>
        <v/>
      </c>
      <c r="L57" s="51" t="str">
        <f aca="false">IF(OR($A57="",L$8=""),"",IF($F57="Migré","ROKS",IF($F57="À décommissionner",IF(L$8&lt;$AS57,"IKS","Décom."),IF(OR($AQ57="",$AS57=""),"",IF(L$8&lt;$AQ57,"IKS",IF(L$8&lt;$AS57,IF(L$8=$AR57,"Bascule","Double run"),"ROKS"))))))</f>
        <v/>
      </c>
      <c r="M57" s="51" t="str">
        <f aca="false">IF(OR($A57="",M$8=""),"",IF($F57="Migré","ROKS",IF($F57="À décommissionner",IF(M$8&lt;$AS57,"IKS","Décom."),IF(OR($AQ57="",$AS57=""),"",IF(M$8&lt;$AQ57,"IKS",IF(M$8&lt;$AS57,IF(M$8=$AR57,"Bascule","Double run"),"ROKS"))))))</f>
        <v/>
      </c>
      <c r="N57" s="51" t="str">
        <f aca="false">IF(OR($A57="",N$8=""),"",IF($F57="Migré","ROKS",IF($F57="À décommissionner",IF(N$8&lt;$AS57,"IKS","Décom."),IF(OR($AQ57="",$AS57=""),"",IF(N$8&lt;$AQ57,"IKS",IF(N$8&lt;$AS57,IF(N$8=$AR57,"Bascule","Double run"),"ROKS"))))))</f>
        <v/>
      </c>
      <c r="O57" s="51" t="str">
        <f aca="false">IF(OR($A57="",O$8=""),"",IF($F57="Migré","ROKS",IF($F57="À décommissionner",IF(O$8&lt;$AS57,"IKS","Décom."),IF(OR($AQ57="",$AS57=""),"",IF(O$8&lt;$AQ57,"IKS",IF(O$8&lt;$AS57,IF(O$8=$AR57,"Bascule","Double run"),"ROKS"))))))</f>
        <v/>
      </c>
      <c r="P57" s="51" t="str">
        <f aca="false">IF(OR($A57="",P$8=""),"",IF($F57="Migré","ROKS",IF($F57="À décommissionner",IF(P$8&lt;$AS57,"IKS","Décom."),IF(OR($AQ57="",$AS57=""),"",IF(P$8&lt;$AQ57,"IKS",IF(P$8&lt;$AS57,IF(P$8=$AR57,"Bascule","Double run"),"ROKS"))))))</f>
        <v/>
      </c>
      <c r="Q57" s="51" t="str">
        <f aca="false">IF(OR($A57="",Q$8=""),"",IF($F57="Migré","ROKS",IF($F57="À décommissionner",IF(Q$8&lt;$AS57,"IKS","Décom."),IF(OR($AQ57="",$AS57=""),"",IF(Q$8&lt;$AQ57,"IKS",IF(Q$8&lt;$AS57,IF(Q$8=$AR57,"Bascule","Double run"),"ROKS"))))))</f>
        <v/>
      </c>
      <c r="R57" s="51" t="str">
        <f aca="false">IF(OR($A57="",R$8=""),"",IF($F57="Migré","ROKS",IF($F57="À décommissionner",IF(R$8&lt;$AS57,"IKS","Décom."),IF(OR($AQ57="",$AS57=""),"",IF(R$8&lt;$AQ57,"IKS",IF(R$8&lt;$AS57,IF(R$8=$AR57,"Bascule","Double run"),"ROKS"))))))</f>
        <v/>
      </c>
      <c r="S57" s="51" t="str">
        <f aca="false">IF(OR($A57="",S$8=""),"",IF($F57="Migré","ROKS",IF($F57="À décommissionner",IF(S$8&lt;$AS57,"IKS","Décom."),IF(OR($AQ57="",$AS57=""),"",IF(S$8&lt;$AQ57,"IKS",IF(S$8&lt;$AS57,IF(S$8=$AR57,"Bascule","Double run"),"ROKS"))))))</f>
        <v/>
      </c>
      <c r="T57" s="51" t="str">
        <f aca="false">IF(OR($A57="",T$8=""),"",IF($F57="Migré","ROKS",IF($F57="À décommissionner",IF(T$8&lt;$AS57,"IKS","Décom."),IF(OR($AQ57="",$AS57=""),"",IF(T$8&lt;$AQ57,"IKS",IF(T$8&lt;$AS57,IF(T$8=$AR57,"Bascule","Double run"),"ROKS"))))))</f>
        <v/>
      </c>
      <c r="U57" s="51" t="str">
        <f aca="false">IF(OR($A57="",U$8=""),"",IF($F57="Migré","ROKS",IF($F57="À décommissionner",IF(U$8&lt;$AS57,"IKS","Décom."),IF(OR($AQ57="",$AS57=""),"",IF(U$8&lt;$AQ57,"IKS",IF(U$8&lt;$AS57,IF(U$8=$AR57,"Bascule","Double run"),"ROKS"))))))</f>
        <v/>
      </c>
      <c r="V57" s="51" t="str">
        <f aca="false">IF(OR($A57="",V$8=""),"",IF($F57="Migré","ROKS",IF($F57="À décommissionner",IF(V$8&lt;$AS57,"IKS","Décom."),IF(OR($AQ57="",$AS57=""),"",IF(V$8&lt;$AQ57,"IKS",IF(V$8&lt;$AS57,IF(V$8=$AR57,"Bascule","Double run"),"ROKS"))))))</f>
        <v/>
      </c>
      <c r="W57" s="51" t="str">
        <f aca="false">IF(OR($A57="",W$8=""),"",IF($F57="Migré","ROKS",IF($F57="À décommissionner",IF(W$8&lt;$AS57,"IKS","Décom."),IF(OR($AQ57="",$AS57=""),"",IF(W$8&lt;$AQ57,"IKS",IF(W$8&lt;$AS57,IF(W$8=$AR57,"Bascule","Double run"),"ROKS"))))))</f>
        <v/>
      </c>
      <c r="X57" s="51" t="str">
        <f aca="false">IF(OR($A57="",X$8=""),"",IF($F57="Migré","ROKS",IF($F57="À décommissionner",IF(X$8&lt;$AS57,"IKS","Décom."),IF(OR($AQ57="",$AS57=""),"",IF(X$8&lt;$AQ57,"IKS",IF(X$8&lt;$AS57,IF(X$8=$AR57,"Bascule","Double run"),"ROKS"))))))</f>
        <v/>
      </c>
      <c r="Y57" s="51" t="str">
        <f aca="false">IF(OR($A57="",Y$8=""),"",IF($F57="Migré","ROKS",IF($F57="À décommissionner",IF(Y$8&lt;$AS57,"IKS","Décom."),IF(OR($AQ57="",$AS57=""),"",IF(Y$8&lt;$AQ57,"IKS",IF(Y$8&lt;$AS57,IF(Y$8=$AR57,"Bascule","Double run"),"ROKS"))))))</f>
        <v/>
      </c>
      <c r="Z57" s="51" t="str">
        <f aca="false">IF(OR($A57="",Z$8=""),"",IF($F57="Migré","ROKS",IF($F57="À décommissionner",IF(Z$8&lt;$AS57,"IKS","Décom."),IF(OR($AQ57="",$AS57=""),"",IF(Z$8&lt;$AQ57,"IKS",IF(Z$8&lt;$AS57,IF(Z$8=$AR57,"Bascule","Double run"),"ROKS"))))))</f>
        <v/>
      </c>
      <c r="AA57" s="51" t="str">
        <f aca="false">IF(OR($A57="",AA$8=""),"",IF($F57="Migré","ROKS",IF($F57="À décommissionner",IF(AA$8&lt;$AS57,"IKS","Décom."),IF(OR($AQ57="",$AS57=""),"",IF(AA$8&lt;$AQ57,"IKS",IF(AA$8&lt;$AS57,IF(AA$8=$AR57,"Bascule","Double run"),"ROKS"))))))</f>
        <v/>
      </c>
      <c r="AB57" s="51" t="str">
        <f aca="false">IF(OR($A57="",AB$8=""),"",IF($F57="Migré","ROKS",IF($F57="À décommissionner",IF(AB$8&lt;$AS57,"IKS","Décom."),IF(OR($AQ57="",$AS57=""),"",IF(AB$8&lt;$AQ57,"IKS",IF(AB$8&lt;$AS57,IF(AB$8=$AR57,"Bascule","Double run"),"ROKS"))))))</f>
        <v/>
      </c>
      <c r="AC57" s="51" t="str">
        <f aca="false">IF(OR($A57="",AC$8=""),"",IF($F57="Migré","ROKS",IF($F57="À décommissionner",IF(AC$8&lt;$AS57,"IKS","Décom."),IF(OR($AQ57="",$AS57=""),"",IF(AC$8&lt;$AQ57,"IKS",IF(AC$8&lt;$AS57,IF(AC$8=$AR57,"Bascule","Double run"),"ROKS"))))))</f>
        <v/>
      </c>
      <c r="AD57" s="51" t="str">
        <f aca="false">IF(OR($A57="",AD$8=""),"",IF($F57="Migré","ROKS",IF($F57="À décommissionner",IF(AD$8&lt;$AS57,"IKS","Décom."),IF(OR($AQ57="",$AS57=""),"",IF(AD$8&lt;$AQ57,"IKS",IF(AD$8&lt;$AS57,IF(AD$8=$AR57,"Bascule","Double run"),"ROKS"))))))</f>
        <v/>
      </c>
      <c r="AE57" s="51" t="str">
        <f aca="false">IF(OR($A57="",AE$8=""),"",IF($F57="Migré","ROKS",IF($F57="À décommissionner",IF(AE$8&lt;$AS57,"IKS","Décom."),IF(OR($AQ57="",$AS57=""),"",IF(AE$8&lt;$AQ57,"IKS",IF(AE$8&lt;$AS57,IF(AE$8=$AR57,"Bascule","Double run"),"ROKS"))))))</f>
        <v/>
      </c>
      <c r="AF57" s="51" t="str">
        <f aca="false">IF(OR($A57="",AF$8=""),"",IF($F57="Migré","ROKS",IF($F57="À décommissionner",IF(AF$8&lt;$AS57,"IKS","Décom."),IF(OR($AQ57="",$AS57=""),"",IF(AF$8&lt;$AQ57,"IKS",IF(AF$8&lt;$AS57,IF(AF$8=$AR57,"Bascule","Double run"),"ROKS"))))))</f>
        <v/>
      </c>
      <c r="AG57" s="51" t="str">
        <f aca="false">IF(OR($A57="",AG$8=""),"",IF($F57="Migré","ROKS",IF($F57="À décommissionner",IF(AG$8&lt;$AS57,"IKS","Décom."),IF(OR($AQ57="",$AS57=""),"",IF(AG$8&lt;$AQ57,"IKS",IF(AG$8&lt;$AS57,IF(AG$8=$AR57,"Bascule","Double run"),"ROKS"))))))</f>
        <v/>
      </c>
      <c r="AH57" s="51" t="str">
        <f aca="false">IF(OR($A57="",AH$8=""),"",IF($F57="Migré","ROKS",IF($F57="À décommissionner",IF(AH$8&lt;$AS57,"IKS","Décom."),IF(OR($AQ57="",$AS57=""),"",IF(AH$8&lt;$AQ57,"IKS",IF(AH$8&lt;$AS57,IF(AH$8=$AR57,"Bascule","Double run"),"ROKS"))))))</f>
        <v/>
      </c>
      <c r="AI57" s="51" t="str">
        <f aca="false">IF(OR($A57="",AI$8=""),"",IF($F57="Migré","ROKS",IF($F57="À décommissionner",IF(AI$8&lt;$AS57,"IKS","Décom."),IF(OR($AQ57="",$AS57=""),"",IF(AI$8&lt;$AQ57,"IKS",IF(AI$8&lt;$AS57,IF(AI$8=$AR57,"Bascule","Double run"),"ROKS"))))))</f>
        <v/>
      </c>
      <c r="AJ57" s="51" t="str">
        <f aca="false">IF(OR($A57="",AJ$8=""),"",IF($F57="Migré","ROKS",IF($F57="À décommissionner",IF(AJ$8&lt;$AS57,"IKS","Décom."),IF(OR($AQ57="",$AS57=""),"",IF(AJ$8&lt;$AQ57,"IKS",IF(AJ$8&lt;$AS57,IF(AJ$8=$AR57,"Bascule","Double run"),"ROKS"))))))</f>
        <v/>
      </c>
      <c r="AK57" s="51" t="str">
        <f aca="false">IF(OR($A57="",AK$8=""),"",IF($F57="Migré","ROKS",IF($F57="À décommissionner",IF(AK$8&lt;$AS57,"IKS","Décom."),IF(OR($AQ57="",$AS57=""),"",IF(AK$8&lt;$AQ57,"IKS",IF(AK$8&lt;$AS57,IF(AK$8=$AR57,"Bascule","Double run"),"ROKS"))))))</f>
        <v/>
      </c>
      <c r="AL57" s="51" t="str">
        <f aca="false">IF(OR($A57="",AL$8=""),"",IF($F57="Migré","ROKS",IF($F57="À décommissionner",IF(AL$8&lt;$AS57,"IKS","Décom."),IF(OR($AQ57="",$AS57=""),"",IF(AL$8&lt;$AQ57,"IKS",IF(AL$8&lt;$AS57,IF(AL$8=$AR57,"Bascule","Double run"),"ROKS"))))))</f>
        <v/>
      </c>
      <c r="AM57" s="51" t="str">
        <f aca="false">IF(OR($A57="",AM$8=""),"",IF($F57="Migré","ROKS",IF($F57="À décommissionner",IF(AM$8&lt;$AS57,"IKS","Décom."),IF(OR($AQ57="",$AS57=""),"",IF(AM$8&lt;$AQ57,"IKS",IF(AM$8&lt;$AS57,IF(AM$8=$AR57,"Bascule","Double run"),"ROKS"))))))</f>
        <v/>
      </c>
      <c r="AN57" s="51" t="str">
        <f aca="false">IF(OR($A57="",AN$8=""),"",IF($F57="Migré","ROKS",IF($F57="À décommissionner",IF(AN$8&lt;$AS57,"IKS","Décom."),IF(OR($AQ57="",$AS57=""),"",IF(AN$8&lt;$AQ57,"IKS",IF(AN$8&lt;$AS57,IF(AN$8=$AR57,"Bascule","Double run"),"ROKS"))))))</f>
        <v/>
      </c>
      <c r="AO57" s="51" t="str">
        <f aca="false">IF(OR($A57="",AO$8=""),"",IF($F57="Migré","ROKS",IF($F57="À décommissionner",IF(AO$8&lt;$AS57,"IKS","Décom."),IF(OR($AQ57="",$AS57=""),"",IF(AO$8&lt;$AQ57,"IKS",IF(AO$8&lt;$AS57,IF(AO$8=$AR57,"Bascule","Double run"),"ROKS"))))))</f>
        <v/>
      </c>
      <c r="AP57" s="51" t="str">
        <f aca="false">IF(OR($A57="",AP$8=""),"",IF($F57="Migré","ROKS",IF($F57="À décommissionner",IF(AP$8&lt;$AS57,"IKS","Décom."),IF(OR($AQ57="",$AS57=""),"",IF(AP$8&lt;$AQ57,"IKS",IF(AP$8&lt;$AS57,IF(AP$8=$AR57,"Bascule","Double run"),"ROKS"))))))</f>
        <v/>
      </c>
      <c r="AQ57" s="0" t="str">
        <f aca="false">IF($A57="","",INDEX(TblApplications[Mois prov (calc)],$A57))</f>
        <v/>
      </c>
      <c r="AR57" s="0" t="str">
        <f aca="false">IF($A57="","",IFERROR(DATE(YEAR(INDEX(TblApplications[Mois bascule],$A57)),MONTH(INDEX(TblApplications[Mois bascule],$A57)),1),""))</f>
        <v/>
      </c>
      <c r="AS57" s="0" t="str">
        <f aca="false">IF($A57="","",INDEX(TblApplications[Mois lib (calc)],$A57))</f>
        <v/>
      </c>
    </row>
    <row r="58" customFormat="false" ht="15" hidden="false" customHeight="false" outlineLevel="0" collapsed="false">
      <c r="A58" s="49" t="str">
        <f aca="false">IFERROR(MATCH(50,TblApplications[Rang frise],0),"")</f>
        <v/>
      </c>
      <c r="B58" s="50" t="str">
        <f aca="false">IF($A58="","",INDEX(TblApplications[ID],$A58))</f>
        <v/>
      </c>
      <c r="C58" s="50" t="str">
        <f aca="false">IF($A58="","",INDEX(TblApplications[Application],$A58))</f>
        <v/>
      </c>
      <c r="D58" s="50" t="str">
        <f aca="false">IF($A58="","",INDEX(TblApplications[Environnement],$A58))</f>
        <v/>
      </c>
      <c r="E58" s="50" t="str">
        <f aca="false">IF($A58="","",INDEX(TblApplications[Couloir],$A58))</f>
        <v/>
      </c>
      <c r="F58" s="50" t="str">
        <f aca="false">IF($A58="","",INDEX(TblApplications[Action],$A58))</f>
        <v/>
      </c>
      <c r="G58" s="51" t="str">
        <f aca="false">IF(OR($A58="",G$8=""),"",IF($F58="Migré","ROKS",IF($F58="À décommissionner",IF(G$8&lt;$AS58,"IKS","Décom."),IF(OR($AQ58="",$AS58=""),"",IF(G$8&lt;$AQ58,"IKS",IF(G$8&lt;$AS58,IF(G$8=$AR58,"Bascule","Double run"),"ROKS"))))))</f>
        <v/>
      </c>
      <c r="H58" s="51" t="str">
        <f aca="false">IF(OR($A58="",H$8=""),"",IF($F58="Migré","ROKS",IF($F58="À décommissionner",IF(H$8&lt;$AS58,"IKS","Décom."),IF(OR($AQ58="",$AS58=""),"",IF(H$8&lt;$AQ58,"IKS",IF(H$8&lt;$AS58,IF(H$8=$AR58,"Bascule","Double run"),"ROKS"))))))</f>
        <v/>
      </c>
      <c r="I58" s="51" t="str">
        <f aca="false">IF(OR($A58="",I$8=""),"",IF($F58="Migré","ROKS",IF($F58="À décommissionner",IF(I$8&lt;$AS58,"IKS","Décom."),IF(OR($AQ58="",$AS58=""),"",IF(I$8&lt;$AQ58,"IKS",IF(I$8&lt;$AS58,IF(I$8=$AR58,"Bascule","Double run"),"ROKS"))))))</f>
        <v/>
      </c>
      <c r="J58" s="51" t="str">
        <f aca="false">IF(OR($A58="",J$8=""),"",IF($F58="Migré","ROKS",IF($F58="À décommissionner",IF(J$8&lt;$AS58,"IKS","Décom."),IF(OR($AQ58="",$AS58=""),"",IF(J$8&lt;$AQ58,"IKS",IF(J$8&lt;$AS58,IF(J$8=$AR58,"Bascule","Double run"),"ROKS"))))))</f>
        <v/>
      </c>
      <c r="K58" s="51" t="str">
        <f aca="false">IF(OR($A58="",K$8=""),"",IF($F58="Migré","ROKS",IF($F58="À décommissionner",IF(K$8&lt;$AS58,"IKS","Décom."),IF(OR($AQ58="",$AS58=""),"",IF(K$8&lt;$AQ58,"IKS",IF(K$8&lt;$AS58,IF(K$8=$AR58,"Bascule","Double run"),"ROKS"))))))</f>
        <v/>
      </c>
      <c r="L58" s="51" t="str">
        <f aca="false">IF(OR($A58="",L$8=""),"",IF($F58="Migré","ROKS",IF($F58="À décommissionner",IF(L$8&lt;$AS58,"IKS","Décom."),IF(OR($AQ58="",$AS58=""),"",IF(L$8&lt;$AQ58,"IKS",IF(L$8&lt;$AS58,IF(L$8=$AR58,"Bascule","Double run"),"ROKS"))))))</f>
        <v/>
      </c>
      <c r="M58" s="51" t="str">
        <f aca="false">IF(OR($A58="",M$8=""),"",IF($F58="Migré","ROKS",IF($F58="À décommissionner",IF(M$8&lt;$AS58,"IKS","Décom."),IF(OR($AQ58="",$AS58=""),"",IF(M$8&lt;$AQ58,"IKS",IF(M$8&lt;$AS58,IF(M$8=$AR58,"Bascule","Double run"),"ROKS"))))))</f>
        <v/>
      </c>
      <c r="N58" s="51" t="str">
        <f aca="false">IF(OR($A58="",N$8=""),"",IF($F58="Migré","ROKS",IF($F58="À décommissionner",IF(N$8&lt;$AS58,"IKS","Décom."),IF(OR($AQ58="",$AS58=""),"",IF(N$8&lt;$AQ58,"IKS",IF(N$8&lt;$AS58,IF(N$8=$AR58,"Bascule","Double run"),"ROKS"))))))</f>
        <v/>
      </c>
      <c r="O58" s="51" t="str">
        <f aca="false">IF(OR($A58="",O$8=""),"",IF($F58="Migré","ROKS",IF($F58="À décommissionner",IF(O$8&lt;$AS58,"IKS","Décom."),IF(OR($AQ58="",$AS58=""),"",IF(O$8&lt;$AQ58,"IKS",IF(O$8&lt;$AS58,IF(O$8=$AR58,"Bascule","Double run"),"ROKS"))))))</f>
        <v/>
      </c>
      <c r="P58" s="51" t="str">
        <f aca="false">IF(OR($A58="",P$8=""),"",IF($F58="Migré","ROKS",IF($F58="À décommissionner",IF(P$8&lt;$AS58,"IKS","Décom."),IF(OR($AQ58="",$AS58=""),"",IF(P$8&lt;$AQ58,"IKS",IF(P$8&lt;$AS58,IF(P$8=$AR58,"Bascule","Double run"),"ROKS"))))))</f>
        <v/>
      </c>
      <c r="Q58" s="51" t="str">
        <f aca="false">IF(OR($A58="",Q$8=""),"",IF($F58="Migré","ROKS",IF($F58="À décommissionner",IF(Q$8&lt;$AS58,"IKS","Décom."),IF(OR($AQ58="",$AS58=""),"",IF(Q$8&lt;$AQ58,"IKS",IF(Q$8&lt;$AS58,IF(Q$8=$AR58,"Bascule","Double run"),"ROKS"))))))</f>
        <v/>
      </c>
      <c r="R58" s="51" t="str">
        <f aca="false">IF(OR($A58="",R$8=""),"",IF($F58="Migré","ROKS",IF($F58="À décommissionner",IF(R$8&lt;$AS58,"IKS","Décom."),IF(OR($AQ58="",$AS58=""),"",IF(R$8&lt;$AQ58,"IKS",IF(R$8&lt;$AS58,IF(R$8=$AR58,"Bascule","Double run"),"ROKS"))))))</f>
        <v/>
      </c>
      <c r="S58" s="51" t="str">
        <f aca="false">IF(OR($A58="",S$8=""),"",IF($F58="Migré","ROKS",IF($F58="À décommissionner",IF(S$8&lt;$AS58,"IKS","Décom."),IF(OR($AQ58="",$AS58=""),"",IF(S$8&lt;$AQ58,"IKS",IF(S$8&lt;$AS58,IF(S$8=$AR58,"Bascule","Double run"),"ROKS"))))))</f>
        <v/>
      </c>
      <c r="T58" s="51" t="str">
        <f aca="false">IF(OR($A58="",T$8=""),"",IF($F58="Migré","ROKS",IF($F58="À décommissionner",IF(T$8&lt;$AS58,"IKS","Décom."),IF(OR($AQ58="",$AS58=""),"",IF(T$8&lt;$AQ58,"IKS",IF(T$8&lt;$AS58,IF(T$8=$AR58,"Bascule","Double run"),"ROKS"))))))</f>
        <v/>
      </c>
      <c r="U58" s="51" t="str">
        <f aca="false">IF(OR($A58="",U$8=""),"",IF($F58="Migré","ROKS",IF($F58="À décommissionner",IF(U$8&lt;$AS58,"IKS","Décom."),IF(OR($AQ58="",$AS58=""),"",IF(U$8&lt;$AQ58,"IKS",IF(U$8&lt;$AS58,IF(U$8=$AR58,"Bascule","Double run"),"ROKS"))))))</f>
        <v/>
      </c>
      <c r="V58" s="51" t="str">
        <f aca="false">IF(OR($A58="",V$8=""),"",IF($F58="Migré","ROKS",IF($F58="À décommissionner",IF(V$8&lt;$AS58,"IKS","Décom."),IF(OR($AQ58="",$AS58=""),"",IF(V$8&lt;$AQ58,"IKS",IF(V$8&lt;$AS58,IF(V$8=$AR58,"Bascule","Double run"),"ROKS"))))))</f>
        <v/>
      </c>
      <c r="W58" s="51" t="str">
        <f aca="false">IF(OR($A58="",W$8=""),"",IF($F58="Migré","ROKS",IF($F58="À décommissionner",IF(W$8&lt;$AS58,"IKS","Décom."),IF(OR($AQ58="",$AS58=""),"",IF(W$8&lt;$AQ58,"IKS",IF(W$8&lt;$AS58,IF(W$8=$AR58,"Bascule","Double run"),"ROKS"))))))</f>
        <v/>
      </c>
      <c r="X58" s="51" t="str">
        <f aca="false">IF(OR($A58="",X$8=""),"",IF($F58="Migré","ROKS",IF($F58="À décommissionner",IF(X$8&lt;$AS58,"IKS","Décom."),IF(OR($AQ58="",$AS58=""),"",IF(X$8&lt;$AQ58,"IKS",IF(X$8&lt;$AS58,IF(X$8=$AR58,"Bascule","Double run"),"ROKS"))))))</f>
        <v/>
      </c>
      <c r="Y58" s="51" t="str">
        <f aca="false">IF(OR($A58="",Y$8=""),"",IF($F58="Migré","ROKS",IF($F58="À décommissionner",IF(Y$8&lt;$AS58,"IKS","Décom."),IF(OR($AQ58="",$AS58=""),"",IF(Y$8&lt;$AQ58,"IKS",IF(Y$8&lt;$AS58,IF(Y$8=$AR58,"Bascule","Double run"),"ROKS"))))))</f>
        <v/>
      </c>
      <c r="Z58" s="51" t="str">
        <f aca="false">IF(OR($A58="",Z$8=""),"",IF($F58="Migré","ROKS",IF($F58="À décommissionner",IF(Z$8&lt;$AS58,"IKS","Décom."),IF(OR($AQ58="",$AS58=""),"",IF(Z$8&lt;$AQ58,"IKS",IF(Z$8&lt;$AS58,IF(Z$8=$AR58,"Bascule","Double run"),"ROKS"))))))</f>
        <v/>
      </c>
      <c r="AA58" s="51" t="str">
        <f aca="false">IF(OR($A58="",AA$8=""),"",IF($F58="Migré","ROKS",IF($F58="À décommissionner",IF(AA$8&lt;$AS58,"IKS","Décom."),IF(OR($AQ58="",$AS58=""),"",IF(AA$8&lt;$AQ58,"IKS",IF(AA$8&lt;$AS58,IF(AA$8=$AR58,"Bascule","Double run"),"ROKS"))))))</f>
        <v/>
      </c>
      <c r="AB58" s="51" t="str">
        <f aca="false">IF(OR($A58="",AB$8=""),"",IF($F58="Migré","ROKS",IF($F58="À décommissionner",IF(AB$8&lt;$AS58,"IKS","Décom."),IF(OR($AQ58="",$AS58=""),"",IF(AB$8&lt;$AQ58,"IKS",IF(AB$8&lt;$AS58,IF(AB$8=$AR58,"Bascule","Double run"),"ROKS"))))))</f>
        <v/>
      </c>
      <c r="AC58" s="51" t="str">
        <f aca="false">IF(OR($A58="",AC$8=""),"",IF($F58="Migré","ROKS",IF($F58="À décommissionner",IF(AC$8&lt;$AS58,"IKS","Décom."),IF(OR($AQ58="",$AS58=""),"",IF(AC$8&lt;$AQ58,"IKS",IF(AC$8&lt;$AS58,IF(AC$8=$AR58,"Bascule","Double run"),"ROKS"))))))</f>
        <v/>
      </c>
      <c r="AD58" s="51" t="str">
        <f aca="false">IF(OR($A58="",AD$8=""),"",IF($F58="Migré","ROKS",IF($F58="À décommissionner",IF(AD$8&lt;$AS58,"IKS","Décom."),IF(OR($AQ58="",$AS58=""),"",IF(AD$8&lt;$AQ58,"IKS",IF(AD$8&lt;$AS58,IF(AD$8=$AR58,"Bascule","Double run"),"ROKS"))))))</f>
        <v/>
      </c>
      <c r="AE58" s="51" t="str">
        <f aca="false">IF(OR($A58="",AE$8=""),"",IF($F58="Migré","ROKS",IF($F58="À décommissionner",IF(AE$8&lt;$AS58,"IKS","Décom."),IF(OR($AQ58="",$AS58=""),"",IF(AE$8&lt;$AQ58,"IKS",IF(AE$8&lt;$AS58,IF(AE$8=$AR58,"Bascule","Double run"),"ROKS"))))))</f>
        <v/>
      </c>
      <c r="AF58" s="51" t="str">
        <f aca="false">IF(OR($A58="",AF$8=""),"",IF($F58="Migré","ROKS",IF($F58="À décommissionner",IF(AF$8&lt;$AS58,"IKS","Décom."),IF(OR($AQ58="",$AS58=""),"",IF(AF$8&lt;$AQ58,"IKS",IF(AF$8&lt;$AS58,IF(AF$8=$AR58,"Bascule","Double run"),"ROKS"))))))</f>
        <v/>
      </c>
      <c r="AG58" s="51" t="str">
        <f aca="false">IF(OR($A58="",AG$8=""),"",IF($F58="Migré","ROKS",IF($F58="À décommissionner",IF(AG$8&lt;$AS58,"IKS","Décom."),IF(OR($AQ58="",$AS58=""),"",IF(AG$8&lt;$AQ58,"IKS",IF(AG$8&lt;$AS58,IF(AG$8=$AR58,"Bascule","Double run"),"ROKS"))))))</f>
        <v/>
      </c>
      <c r="AH58" s="51" t="str">
        <f aca="false">IF(OR($A58="",AH$8=""),"",IF($F58="Migré","ROKS",IF($F58="À décommissionner",IF(AH$8&lt;$AS58,"IKS","Décom."),IF(OR($AQ58="",$AS58=""),"",IF(AH$8&lt;$AQ58,"IKS",IF(AH$8&lt;$AS58,IF(AH$8=$AR58,"Bascule","Double run"),"ROKS"))))))</f>
        <v/>
      </c>
      <c r="AI58" s="51" t="str">
        <f aca="false">IF(OR($A58="",AI$8=""),"",IF($F58="Migré","ROKS",IF($F58="À décommissionner",IF(AI$8&lt;$AS58,"IKS","Décom."),IF(OR($AQ58="",$AS58=""),"",IF(AI$8&lt;$AQ58,"IKS",IF(AI$8&lt;$AS58,IF(AI$8=$AR58,"Bascule","Double run"),"ROKS"))))))</f>
        <v/>
      </c>
      <c r="AJ58" s="51" t="str">
        <f aca="false">IF(OR($A58="",AJ$8=""),"",IF($F58="Migré","ROKS",IF($F58="À décommissionner",IF(AJ$8&lt;$AS58,"IKS","Décom."),IF(OR($AQ58="",$AS58=""),"",IF(AJ$8&lt;$AQ58,"IKS",IF(AJ$8&lt;$AS58,IF(AJ$8=$AR58,"Bascule","Double run"),"ROKS"))))))</f>
        <v/>
      </c>
      <c r="AK58" s="51" t="str">
        <f aca="false">IF(OR($A58="",AK$8=""),"",IF($F58="Migré","ROKS",IF($F58="À décommissionner",IF(AK$8&lt;$AS58,"IKS","Décom."),IF(OR($AQ58="",$AS58=""),"",IF(AK$8&lt;$AQ58,"IKS",IF(AK$8&lt;$AS58,IF(AK$8=$AR58,"Bascule","Double run"),"ROKS"))))))</f>
        <v/>
      </c>
      <c r="AL58" s="51" t="str">
        <f aca="false">IF(OR($A58="",AL$8=""),"",IF($F58="Migré","ROKS",IF($F58="À décommissionner",IF(AL$8&lt;$AS58,"IKS","Décom."),IF(OR($AQ58="",$AS58=""),"",IF(AL$8&lt;$AQ58,"IKS",IF(AL$8&lt;$AS58,IF(AL$8=$AR58,"Bascule","Double run"),"ROKS"))))))</f>
        <v/>
      </c>
      <c r="AM58" s="51" t="str">
        <f aca="false">IF(OR($A58="",AM$8=""),"",IF($F58="Migré","ROKS",IF($F58="À décommissionner",IF(AM$8&lt;$AS58,"IKS","Décom."),IF(OR($AQ58="",$AS58=""),"",IF(AM$8&lt;$AQ58,"IKS",IF(AM$8&lt;$AS58,IF(AM$8=$AR58,"Bascule","Double run"),"ROKS"))))))</f>
        <v/>
      </c>
      <c r="AN58" s="51" t="str">
        <f aca="false">IF(OR($A58="",AN$8=""),"",IF($F58="Migré","ROKS",IF($F58="À décommissionner",IF(AN$8&lt;$AS58,"IKS","Décom."),IF(OR($AQ58="",$AS58=""),"",IF(AN$8&lt;$AQ58,"IKS",IF(AN$8&lt;$AS58,IF(AN$8=$AR58,"Bascule","Double run"),"ROKS"))))))</f>
        <v/>
      </c>
      <c r="AO58" s="51" t="str">
        <f aca="false">IF(OR($A58="",AO$8=""),"",IF($F58="Migré","ROKS",IF($F58="À décommissionner",IF(AO$8&lt;$AS58,"IKS","Décom."),IF(OR($AQ58="",$AS58=""),"",IF(AO$8&lt;$AQ58,"IKS",IF(AO$8&lt;$AS58,IF(AO$8=$AR58,"Bascule","Double run"),"ROKS"))))))</f>
        <v/>
      </c>
      <c r="AP58" s="51" t="str">
        <f aca="false">IF(OR($A58="",AP$8=""),"",IF($F58="Migré","ROKS",IF($F58="À décommissionner",IF(AP$8&lt;$AS58,"IKS","Décom."),IF(OR($AQ58="",$AS58=""),"",IF(AP$8&lt;$AQ58,"IKS",IF(AP$8&lt;$AS58,IF(AP$8=$AR58,"Bascule","Double run"),"ROKS"))))))</f>
        <v/>
      </c>
      <c r="AQ58" s="0" t="str">
        <f aca="false">IF($A58="","",INDEX(TblApplications[Mois prov (calc)],$A58))</f>
        <v/>
      </c>
      <c r="AR58" s="0" t="str">
        <f aca="false">IF($A58="","",IFERROR(DATE(YEAR(INDEX(TblApplications[Mois bascule],$A58)),MONTH(INDEX(TblApplications[Mois bascule],$A58)),1),""))</f>
        <v/>
      </c>
      <c r="AS58" s="0" t="str">
        <f aca="false">IF($A58="","",INDEX(TblApplications[Mois lib (calc)],$A58))</f>
        <v/>
      </c>
    </row>
    <row r="59" customFormat="false" ht="15" hidden="false" customHeight="false" outlineLevel="0" collapsed="false">
      <c r="A59" s="49" t="str">
        <f aca="false">IFERROR(MATCH(51,TblApplications[Rang frise],0),"")</f>
        <v/>
      </c>
      <c r="B59" s="50" t="str">
        <f aca="false">IF($A59="","",INDEX(TblApplications[ID],$A59))</f>
        <v/>
      </c>
      <c r="C59" s="50" t="str">
        <f aca="false">IF($A59="","",INDEX(TblApplications[Application],$A59))</f>
        <v/>
      </c>
      <c r="D59" s="50" t="str">
        <f aca="false">IF($A59="","",INDEX(TblApplications[Environnement],$A59))</f>
        <v/>
      </c>
      <c r="E59" s="50" t="str">
        <f aca="false">IF($A59="","",INDEX(TblApplications[Couloir],$A59))</f>
        <v/>
      </c>
      <c r="F59" s="50" t="str">
        <f aca="false">IF($A59="","",INDEX(TblApplications[Action],$A59))</f>
        <v/>
      </c>
      <c r="G59" s="51" t="str">
        <f aca="false">IF(OR($A59="",G$8=""),"",IF($F59="Migré","ROKS",IF($F59="À décommissionner",IF(G$8&lt;$AS59,"IKS","Décom."),IF(OR($AQ59="",$AS59=""),"",IF(G$8&lt;$AQ59,"IKS",IF(G$8&lt;$AS59,IF(G$8=$AR59,"Bascule","Double run"),"ROKS"))))))</f>
        <v/>
      </c>
      <c r="H59" s="51" t="str">
        <f aca="false">IF(OR($A59="",H$8=""),"",IF($F59="Migré","ROKS",IF($F59="À décommissionner",IF(H$8&lt;$AS59,"IKS","Décom."),IF(OR($AQ59="",$AS59=""),"",IF(H$8&lt;$AQ59,"IKS",IF(H$8&lt;$AS59,IF(H$8=$AR59,"Bascule","Double run"),"ROKS"))))))</f>
        <v/>
      </c>
      <c r="I59" s="51" t="str">
        <f aca="false">IF(OR($A59="",I$8=""),"",IF($F59="Migré","ROKS",IF($F59="À décommissionner",IF(I$8&lt;$AS59,"IKS","Décom."),IF(OR($AQ59="",$AS59=""),"",IF(I$8&lt;$AQ59,"IKS",IF(I$8&lt;$AS59,IF(I$8=$AR59,"Bascule","Double run"),"ROKS"))))))</f>
        <v/>
      </c>
      <c r="J59" s="51" t="str">
        <f aca="false">IF(OR($A59="",J$8=""),"",IF($F59="Migré","ROKS",IF($F59="À décommissionner",IF(J$8&lt;$AS59,"IKS","Décom."),IF(OR($AQ59="",$AS59=""),"",IF(J$8&lt;$AQ59,"IKS",IF(J$8&lt;$AS59,IF(J$8=$AR59,"Bascule","Double run"),"ROKS"))))))</f>
        <v/>
      </c>
      <c r="K59" s="51" t="str">
        <f aca="false">IF(OR($A59="",K$8=""),"",IF($F59="Migré","ROKS",IF($F59="À décommissionner",IF(K$8&lt;$AS59,"IKS","Décom."),IF(OR($AQ59="",$AS59=""),"",IF(K$8&lt;$AQ59,"IKS",IF(K$8&lt;$AS59,IF(K$8=$AR59,"Bascule","Double run"),"ROKS"))))))</f>
        <v/>
      </c>
      <c r="L59" s="51" t="str">
        <f aca="false">IF(OR($A59="",L$8=""),"",IF($F59="Migré","ROKS",IF($F59="À décommissionner",IF(L$8&lt;$AS59,"IKS","Décom."),IF(OR($AQ59="",$AS59=""),"",IF(L$8&lt;$AQ59,"IKS",IF(L$8&lt;$AS59,IF(L$8=$AR59,"Bascule","Double run"),"ROKS"))))))</f>
        <v/>
      </c>
      <c r="M59" s="51" t="str">
        <f aca="false">IF(OR($A59="",M$8=""),"",IF($F59="Migré","ROKS",IF($F59="À décommissionner",IF(M$8&lt;$AS59,"IKS","Décom."),IF(OR($AQ59="",$AS59=""),"",IF(M$8&lt;$AQ59,"IKS",IF(M$8&lt;$AS59,IF(M$8=$AR59,"Bascule","Double run"),"ROKS"))))))</f>
        <v/>
      </c>
      <c r="N59" s="51" t="str">
        <f aca="false">IF(OR($A59="",N$8=""),"",IF($F59="Migré","ROKS",IF($F59="À décommissionner",IF(N$8&lt;$AS59,"IKS","Décom."),IF(OR($AQ59="",$AS59=""),"",IF(N$8&lt;$AQ59,"IKS",IF(N$8&lt;$AS59,IF(N$8=$AR59,"Bascule","Double run"),"ROKS"))))))</f>
        <v/>
      </c>
      <c r="O59" s="51" t="str">
        <f aca="false">IF(OR($A59="",O$8=""),"",IF($F59="Migré","ROKS",IF($F59="À décommissionner",IF(O$8&lt;$AS59,"IKS","Décom."),IF(OR($AQ59="",$AS59=""),"",IF(O$8&lt;$AQ59,"IKS",IF(O$8&lt;$AS59,IF(O$8=$AR59,"Bascule","Double run"),"ROKS"))))))</f>
        <v/>
      </c>
      <c r="P59" s="51" t="str">
        <f aca="false">IF(OR($A59="",P$8=""),"",IF($F59="Migré","ROKS",IF($F59="À décommissionner",IF(P$8&lt;$AS59,"IKS","Décom."),IF(OR($AQ59="",$AS59=""),"",IF(P$8&lt;$AQ59,"IKS",IF(P$8&lt;$AS59,IF(P$8=$AR59,"Bascule","Double run"),"ROKS"))))))</f>
        <v/>
      </c>
      <c r="Q59" s="51" t="str">
        <f aca="false">IF(OR($A59="",Q$8=""),"",IF($F59="Migré","ROKS",IF($F59="À décommissionner",IF(Q$8&lt;$AS59,"IKS","Décom."),IF(OR($AQ59="",$AS59=""),"",IF(Q$8&lt;$AQ59,"IKS",IF(Q$8&lt;$AS59,IF(Q$8=$AR59,"Bascule","Double run"),"ROKS"))))))</f>
        <v/>
      </c>
      <c r="R59" s="51" t="str">
        <f aca="false">IF(OR($A59="",R$8=""),"",IF($F59="Migré","ROKS",IF($F59="À décommissionner",IF(R$8&lt;$AS59,"IKS","Décom."),IF(OR($AQ59="",$AS59=""),"",IF(R$8&lt;$AQ59,"IKS",IF(R$8&lt;$AS59,IF(R$8=$AR59,"Bascule","Double run"),"ROKS"))))))</f>
        <v/>
      </c>
      <c r="S59" s="51" t="str">
        <f aca="false">IF(OR($A59="",S$8=""),"",IF($F59="Migré","ROKS",IF($F59="À décommissionner",IF(S$8&lt;$AS59,"IKS","Décom."),IF(OR($AQ59="",$AS59=""),"",IF(S$8&lt;$AQ59,"IKS",IF(S$8&lt;$AS59,IF(S$8=$AR59,"Bascule","Double run"),"ROKS"))))))</f>
        <v/>
      </c>
      <c r="T59" s="51" t="str">
        <f aca="false">IF(OR($A59="",T$8=""),"",IF($F59="Migré","ROKS",IF($F59="À décommissionner",IF(T$8&lt;$AS59,"IKS","Décom."),IF(OR($AQ59="",$AS59=""),"",IF(T$8&lt;$AQ59,"IKS",IF(T$8&lt;$AS59,IF(T$8=$AR59,"Bascule","Double run"),"ROKS"))))))</f>
        <v/>
      </c>
      <c r="U59" s="51" t="str">
        <f aca="false">IF(OR($A59="",U$8=""),"",IF($F59="Migré","ROKS",IF($F59="À décommissionner",IF(U$8&lt;$AS59,"IKS","Décom."),IF(OR($AQ59="",$AS59=""),"",IF(U$8&lt;$AQ59,"IKS",IF(U$8&lt;$AS59,IF(U$8=$AR59,"Bascule","Double run"),"ROKS"))))))</f>
        <v/>
      </c>
      <c r="V59" s="51" t="str">
        <f aca="false">IF(OR($A59="",V$8=""),"",IF($F59="Migré","ROKS",IF($F59="À décommissionner",IF(V$8&lt;$AS59,"IKS","Décom."),IF(OR($AQ59="",$AS59=""),"",IF(V$8&lt;$AQ59,"IKS",IF(V$8&lt;$AS59,IF(V$8=$AR59,"Bascule","Double run"),"ROKS"))))))</f>
        <v/>
      </c>
      <c r="W59" s="51" t="str">
        <f aca="false">IF(OR($A59="",W$8=""),"",IF($F59="Migré","ROKS",IF($F59="À décommissionner",IF(W$8&lt;$AS59,"IKS","Décom."),IF(OR($AQ59="",$AS59=""),"",IF(W$8&lt;$AQ59,"IKS",IF(W$8&lt;$AS59,IF(W$8=$AR59,"Bascule","Double run"),"ROKS"))))))</f>
        <v/>
      </c>
      <c r="X59" s="51" t="str">
        <f aca="false">IF(OR($A59="",X$8=""),"",IF($F59="Migré","ROKS",IF($F59="À décommissionner",IF(X$8&lt;$AS59,"IKS","Décom."),IF(OR($AQ59="",$AS59=""),"",IF(X$8&lt;$AQ59,"IKS",IF(X$8&lt;$AS59,IF(X$8=$AR59,"Bascule","Double run"),"ROKS"))))))</f>
        <v/>
      </c>
      <c r="Y59" s="51" t="str">
        <f aca="false">IF(OR($A59="",Y$8=""),"",IF($F59="Migré","ROKS",IF($F59="À décommissionner",IF(Y$8&lt;$AS59,"IKS","Décom."),IF(OR($AQ59="",$AS59=""),"",IF(Y$8&lt;$AQ59,"IKS",IF(Y$8&lt;$AS59,IF(Y$8=$AR59,"Bascule","Double run"),"ROKS"))))))</f>
        <v/>
      </c>
      <c r="Z59" s="51" t="str">
        <f aca="false">IF(OR($A59="",Z$8=""),"",IF($F59="Migré","ROKS",IF($F59="À décommissionner",IF(Z$8&lt;$AS59,"IKS","Décom."),IF(OR($AQ59="",$AS59=""),"",IF(Z$8&lt;$AQ59,"IKS",IF(Z$8&lt;$AS59,IF(Z$8=$AR59,"Bascule","Double run"),"ROKS"))))))</f>
        <v/>
      </c>
      <c r="AA59" s="51" t="str">
        <f aca="false">IF(OR($A59="",AA$8=""),"",IF($F59="Migré","ROKS",IF($F59="À décommissionner",IF(AA$8&lt;$AS59,"IKS","Décom."),IF(OR($AQ59="",$AS59=""),"",IF(AA$8&lt;$AQ59,"IKS",IF(AA$8&lt;$AS59,IF(AA$8=$AR59,"Bascule","Double run"),"ROKS"))))))</f>
        <v/>
      </c>
      <c r="AB59" s="51" t="str">
        <f aca="false">IF(OR($A59="",AB$8=""),"",IF($F59="Migré","ROKS",IF($F59="À décommissionner",IF(AB$8&lt;$AS59,"IKS","Décom."),IF(OR($AQ59="",$AS59=""),"",IF(AB$8&lt;$AQ59,"IKS",IF(AB$8&lt;$AS59,IF(AB$8=$AR59,"Bascule","Double run"),"ROKS"))))))</f>
        <v/>
      </c>
      <c r="AC59" s="51" t="str">
        <f aca="false">IF(OR($A59="",AC$8=""),"",IF($F59="Migré","ROKS",IF($F59="À décommissionner",IF(AC$8&lt;$AS59,"IKS","Décom."),IF(OR($AQ59="",$AS59=""),"",IF(AC$8&lt;$AQ59,"IKS",IF(AC$8&lt;$AS59,IF(AC$8=$AR59,"Bascule","Double run"),"ROKS"))))))</f>
        <v/>
      </c>
      <c r="AD59" s="51" t="str">
        <f aca="false">IF(OR($A59="",AD$8=""),"",IF($F59="Migré","ROKS",IF($F59="À décommissionner",IF(AD$8&lt;$AS59,"IKS","Décom."),IF(OR($AQ59="",$AS59=""),"",IF(AD$8&lt;$AQ59,"IKS",IF(AD$8&lt;$AS59,IF(AD$8=$AR59,"Bascule","Double run"),"ROKS"))))))</f>
        <v/>
      </c>
      <c r="AE59" s="51" t="str">
        <f aca="false">IF(OR($A59="",AE$8=""),"",IF($F59="Migré","ROKS",IF($F59="À décommissionner",IF(AE$8&lt;$AS59,"IKS","Décom."),IF(OR($AQ59="",$AS59=""),"",IF(AE$8&lt;$AQ59,"IKS",IF(AE$8&lt;$AS59,IF(AE$8=$AR59,"Bascule","Double run"),"ROKS"))))))</f>
        <v/>
      </c>
      <c r="AF59" s="51" t="str">
        <f aca="false">IF(OR($A59="",AF$8=""),"",IF($F59="Migré","ROKS",IF($F59="À décommissionner",IF(AF$8&lt;$AS59,"IKS","Décom."),IF(OR($AQ59="",$AS59=""),"",IF(AF$8&lt;$AQ59,"IKS",IF(AF$8&lt;$AS59,IF(AF$8=$AR59,"Bascule","Double run"),"ROKS"))))))</f>
        <v/>
      </c>
      <c r="AG59" s="51" t="str">
        <f aca="false">IF(OR($A59="",AG$8=""),"",IF($F59="Migré","ROKS",IF($F59="À décommissionner",IF(AG$8&lt;$AS59,"IKS","Décom."),IF(OR($AQ59="",$AS59=""),"",IF(AG$8&lt;$AQ59,"IKS",IF(AG$8&lt;$AS59,IF(AG$8=$AR59,"Bascule","Double run"),"ROKS"))))))</f>
        <v/>
      </c>
      <c r="AH59" s="51" t="str">
        <f aca="false">IF(OR($A59="",AH$8=""),"",IF($F59="Migré","ROKS",IF($F59="À décommissionner",IF(AH$8&lt;$AS59,"IKS","Décom."),IF(OR($AQ59="",$AS59=""),"",IF(AH$8&lt;$AQ59,"IKS",IF(AH$8&lt;$AS59,IF(AH$8=$AR59,"Bascule","Double run"),"ROKS"))))))</f>
        <v/>
      </c>
      <c r="AI59" s="51" t="str">
        <f aca="false">IF(OR($A59="",AI$8=""),"",IF($F59="Migré","ROKS",IF($F59="À décommissionner",IF(AI$8&lt;$AS59,"IKS","Décom."),IF(OR($AQ59="",$AS59=""),"",IF(AI$8&lt;$AQ59,"IKS",IF(AI$8&lt;$AS59,IF(AI$8=$AR59,"Bascule","Double run"),"ROKS"))))))</f>
        <v/>
      </c>
      <c r="AJ59" s="51" t="str">
        <f aca="false">IF(OR($A59="",AJ$8=""),"",IF($F59="Migré","ROKS",IF($F59="À décommissionner",IF(AJ$8&lt;$AS59,"IKS","Décom."),IF(OR($AQ59="",$AS59=""),"",IF(AJ$8&lt;$AQ59,"IKS",IF(AJ$8&lt;$AS59,IF(AJ$8=$AR59,"Bascule","Double run"),"ROKS"))))))</f>
        <v/>
      </c>
      <c r="AK59" s="51" t="str">
        <f aca="false">IF(OR($A59="",AK$8=""),"",IF($F59="Migré","ROKS",IF($F59="À décommissionner",IF(AK$8&lt;$AS59,"IKS","Décom."),IF(OR($AQ59="",$AS59=""),"",IF(AK$8&lt;$AQ59,"IKS",IF(AK$8&lt;$AS59,IF(AK$8=$AR59,"Bascule","Double run"),"ROKS"))))))</f>
        <v/>
      </c>
      <c r="AL59" s="51" t="str">
        <f aca="false">IF(OR($A59="",AL$8=""),"",IF($F59="Migré","ROKS",IF($F59="À décommissionner",IF(AL$8&lt;$AS59,"IKS","Décom."),IF(OR($AQ59="",$AS59=""),"",IF(AL$8&lt;$AQ59,"IKS",IF(AL$8&lt;$AS59,IF(AL$8=$AR59,"Bascule","Double run"),"ROKS"))))))</f>
        <v/>
      </c>
      <c r="AM59" s="51" t="str">
        <f aca="false">IF(OR($A59="",AM$8=""),"",IF($F59="Migré","ROKS",IF($F59="À décommissionner",IF(AM$8&lt;$AS59,"IKS","Décom."),IF(OR($AQ59="",$AS59=""),"",IF(AM$8&lt;$AQ59,"IKS",IF(AM$8&lt;$AS59,IF(AM$8=$AR59,"Bascule","Double run"),"ROKS"))))))</f>
        <v/>
      </c>
      <c r="AN59" s="51" t="str">
        <f aca="false">IF(OR($A59="",AN$8=""),"",IF($F59="Migré","ROKS",IF($F59="À décommissionner",IF(AN$8&lt;$AS59,"IKS","Décom."),IF(OR($AQ59="",$AS59=""),"",IF(AN$8&lt;$AQ59,"IKS",IF(AN$8&lt;$AS59,IF(AN$8=$AR59,"Bascule","Double run"),"ROKS"))))))</f>
        <v/>
      </c>
      <c r="AO59" s="51" t="str">
        <f aca="false">IF(OR($A59="",AO$8=""),"",IF($F59="Migré","ROKS",IF($F59="À décommissionner",IF(AO$8&lt;$AS59,"IKS","Décom."),IF(OR($AQ59="",$AS59=""),"",IF(AO$8&lt;$AQ59,"IKS",IF(AO$8&lt;$AS59,IF(AO$8=$AR59,"Bascule","Double run"),"ROKS"))))))</f>
        <v/>
      </c>
      <c r="AP59" s="51" t="str">
        <f aca="false">IF(OR($A59="",AP$8=""),"",IF($F59="Migré","ROKS",IF($F59="À décommissionner",IF(AP$8&lt;$AS59,"IKS","Décom."),IF(OR($AQ59="",$AS59=""),"",IF(AP$8&lt;$AQ59,"IKS",IF(AP$8&lt;$AS59,IF(AP$8=$AR59,"Bascule","Double run"),"ROKS"))))))</f>
        <v/>
      </c>
      <c r="AQ59" s="0" t="str">
        <f aca="false">IF($A59="","",INDEX(TblApplications[Mois prov (calc)],$A59))</f>
        <v/>
      </c>
      <c r="AR59" s="0" t="str">
        <f aca="false">IF($A59="","",IFERROR(DATE(YEAR(INDEX(TblApplications[Mois bascule],$A59)),MONTH(INDEX(TblApplications[Mois bascule],$A59)),1),""))</f>
        <v/>
      </c>
      <c r="AS59" s="0" t="str">
        <f aca="false">IF($A59="","",INDEX(TblApplications[Mois lib (calc)],$A59))</f>
        <v/>
      </c>
    </row>
    <row r="60" customFormat="false" ht="15" hidden="false" customHeight="false" outlineLevel="0" collapsed="false">
      <c r="A60" s="49" t="str">
        <f aca="false">IFERROR(MATCH(52,TblApplications[Rang frise],0),"")</f>
        <v/>
      </c>
      <c r="B60" s="50" t="str">
        <f aca="false">IF($A60="","",INDEX(TblApplications[ID],$A60))</f>
        <v/>
      </c>
      <c r="C60" s="50" t="str">
        <f aca="false">IF($A60="","",INDEX(TblApplications[Application],$A60))</f>
        <v/>
      </c>
      <c r="D60" s="50" t="str">
        <f aca="false">IF($A60="","",INDEX(TblApplications[Environnement],$A60))</f>
        <v/>
      </c>
      <c r="E60" s="50" t="str">
        <f aca="false">IF($A60="","",INDEX(TblApplications[Couloir],$A60))</f>
        <v/>
      </c>
      <c r="F60" s="50" t="str">
        <f aca="false">IF($A60="","",INDEX(TblApplications[Action],$A60))</f>
        <v/>
      </c>
      <c r="G60" s="51" t="str">
        <f aca="false">IF(OR($A60="",G$8=""),"",IF($F60="Migré","ROKS",IF($F60="À décommissionner",IF(G$8&lt;$AS60,"IKS","Décom."),IF(OR($AQ60="",$AS60=""),"",IF(G$8&lt;$AQ60,"IKS",IF(G$8&lt;$AS60,IF(G$8=$AR60,"Bascule","Double run"),"ROKS"))))))</f>
        <v/>
      </c>
      <c r="H60" s="51" t="str">
        <f aca="false">IF(OR($A60="",H$8=""),"",IF($F60="Migré","ROKS",IF($F60="À décommissionner",IF(H$8&lt;$AS60,"IKS","Décom."),IF(OR($AQ60="",$AS60=""),"",IF(H$8&lt;$AQ60,"IKS",IF(H$8&lt;$AS60,IF(H$8=$AR60,"Bascule","Double run"),"ROKS"))))))</f>
        <v/>
      </c>
      <c r="I60" s="51" t="str">
        <f aca="false">IF(OR($A60="",I$8=""),"",IF($F60="Migré","ROKS",IF($F60="À décommissionner",IF(I$8&lt;$AS60,"IKS","Décom."),IF(OR($AQ60="",$AS60=""),"",IF(I$8&lt;$AQ60,"IKS",IF(I$8&lt;$AS60,IF(I$8=$AR60,"Bascule","Double run"),"ROKS"))))))</f>
        <v/>
      </c>
      <c r="J60" s="51" t="str">
        <f aca="false">IF(OR($A60="",J$8=""),"",IF($F60="Migré","ROKS",IF($F60="À décommissionner",IF(J$8&lt;$AS60,"IKS","Décom."),IF(OR($AQ60="",$AS60=""),"",IF(J$8&lt;$AQ60,"IKS",IF(J$8&lt;$AS60,IF(J$8=$AR60,"Bascule","Double run"),"ROKS"))))))</f>
        <v/>
      </c>
      <c r="K60" s="51" t="str">
        <f aca="false">IF(OR($A60="",K$8=""),"",IF($F60="Migré","ROKS",IF($F60="À décommissionner",IF(K$8&lt;$AS60,"IKS","Décom."),IF(OR($AQ60="",$AS60=""),"",IF(K$8&lt;$AQ60,"IKS",IF(K$8&lt;$AS60,IF(K$8=$AR60,"Bascule","Double run"),"ROKS"))))))</f>
        <v/>
      </c>
      <c r="L60" s="51" t="str">
        <f aca="false">IF(OR($A60="",L$8=""),"",IF($F60="Migré","ROKS",IF($F60="À décommissionner",IF(L$8&lt;$AS60,"IKS","Décom."),IF(OR($AQ60="",$AS60=""),"",IF(L$8&lt;$AQ60,"IKS",IF(L$8&lt;$AS60,IF(L$8=$AR60,"Bascule","Double run"),"ROKS"))))))</f>
        <v/>
      </c>
      <c r="M60" s="51" t="str">
        <f aca="false">IF(OR($A60="",M$8=""),"",IF($F60="Migré","ROKS",IF($F60="À décommissionner",IF(M$8&lt;$AS60,"IKS","Décom."),IF(OR($AQ60="",$AS60=""),"",IF(M$8&lt;$AQ60,"IKS",IF(M$8&lt;$AS60,IF(M$8=$AR60,"Bascule","Double run"),"ROKS"))))))</f>
        <v/>
      </c>
      <c r="N60" s="51" t="str">
        <f aca="false">IF(OR($A60="",N$8=""),"",IF($F60="Migré","ROKS",IF($F60="À décommissionner",IF(N$8&lt;$AS60,"IKS","Décom."),IF(OR($AQ60="",$AS60=""),"",IF(N$8&lt;$AQ60,"IKS",IF(N$8&lt;$AS60,IF(N$8=$AR60,"Bascule","Double run"),"ROKS"))))))</f>
        <v/>
      </c>
      <c r="O60" s="51" t="str">
        <f aca="false">IF(OR($A60="",O$8=""),"",IF($F60="Migré","ROKS",IF($F60="À décommissionner",IF(O$8&lt;$AS60,"IKS","Décom."),IF(OR($AQ60="",$AS60=""),"",IF(O$8&lt;$AQ60,"IKS",IF(O$8&lt;$AS60,IF(O$8=$AR60,"Bascule","Double run"),"ROKS"))))))</f>
        <v/>
      </c>
      <c r="P60" s="51" t="str">
        <f aca="false">IF(OR($A60="",P$8=""),"",IF($F60="Migré","ROKS",IF($F60="À décommissionner",IF(P$8&lt;$AS60,"IKS","Décom."),IF(OR($AQ60="",$AS60=""),"",IF(P$8&lt;$AQ60,"IKS",IF(P$8&lt;$AS60,IF(P$8=$AR60,"Bascule","Double run"),"ROKS"))))))</f>
        <v/>
      </c>
      <c r="Q60" s="51" t="str">
        <f aca="false">IF(OR($A60="",Q$8=""),"",IF($F60="Migré","ROKS",IF($F60="À décommissionner",IF(Q$8&lt;$AS60,"IKS","Décom."),IF(OR($AQ60="",$AS60=""),"",IF(Q$8&lt;$AQ60,"IKS",IF(Q$8&lt;$AS60,IF(Q$8=$AR60,"Bascule","Double run"),"ROKS"))))))</f>
        <v/>
      </c>
      <c r="R60" s="51" t="str">
        <f aca="false">IF(OR($A60="",R$8=""),"",IF($F60="Migré","ROKS",IF($F60="À décommissionner",IF(R$8&lt;$AS60,"IKS","Décom."),IF(OR($AQ60="",$AS60=""),"",IF(R$8&lt;$AQ60,"IKS",IF(R$8&lt;$AS60,IF(R$8=$AR60,"Bascule","Double run"),"ROKS"))))))</f>
        <v/>
      </c>
      <c r="S60" s="51" t="str">
        <f aca="false">IF(OR($A60="",S$8=""),"",IF($F60="Migré","ROKS",IF($F60="À décommissionner",IF(S$8&lt;$AS60,"IKS","Décom."),IF(OR($AQ60="",$AS60=""),"",IF(S$8&lt;$AQ60,"IKS",IF(S$8&lt;$AS60,IF(S$8=$AR60,"Bascule","Double run"),"ROKS"))))))</f>
        <v/>
      </c>
      <c r="T60" s="51" t="str">
        <f aca="false">IF(OR($A60="",T$8=""),"",IF($F60="Migré","ROKS",IF($F60="À décommissionner",IF(T$8&lt;$AS60,"IKS","Décom."),IF(OR($AQ60="",$AS60=""),"",IF(T$8&lt;$AQ60,"IKS",IF(T$8&lt;$AS60,IF(T$8=$AR60,"Bascule","Double run"),"ROKS"))))))</f>
        <v/>
      </c>
      <c r="U60" s="51" t="str">
        <f aca="false">IF(OR($A60="",U$8=""),"",IF($F60="Migré","ROKS",IF($F60="À décommissionner",IF(U$8&lt;$AS60,"IKS","Décom."),IF(OR($AQ60="",$AS60=""),"",IF(U$8&lt;$AQ60,"IKS",IF(U$8&lt;$AS60,IF(U$8=$AR60,"Bascule","Double run"),"ROKS"))))))</f>
        <v/>
      </c>
      <c r="V60" s="51" t="str">
        <f aca="false">IF(OR($A60="",V$8=""),"",IF($F60="Migré","ROKS",IF($F60="À décommissionner",IF(V$8&lt;$AS60,"IKS","Décom."),IF(OR($AQ60="",$AS60=""),"",IF(V$8&lt;$AQ60,"IKS",IF(V$8&lt;$AS60,IF(V$8=$AR60,"Bascule","Double run"),"ROKS"))))))</f>
        <v/>
      </c>
      <c r="W60" s="51" t="str">
        <f aca="false">IF(OR($A60="",W$8=""),"",IF($F60="Migré","ROKS",IF($F60="À décommissionner",IF(W$8&lt;$AS60,"IKS","Décom."),IF(OR($AQ60="",$AS60=""),"",IF(W$8&lt;$AQ60,"IKS",IF(W$8&lt;$AS60,IF(W$8=$AR60,"Bascule","Double run"),"ROKS"))))))</f>
        <v/>
      </c>
      <c r="X60" s="51" t="str">
        <f aca="false">IF(OR($A60="",X$8=""),"",IF($F60="Migré","ROKS",IF($F60="À décommissionner",IF(X$8&lt;$AS60,"IKS","Décom."),IF(OR($AQ60="",$AS60=""),"",IF(X$8&lt;$AQ60,"IKS",IF(X$8&lt;$AS60,IF(X$8=$AR60,"Bascule","Double run"),"ROKS"))))))</f>
        <v/>
      </c>
      <c r="Y60" s="51" t="str">
        <f aca="false">IF(OR($A60="",Y$8=""),"",IF($F60="Migré","ROKS",IF($F60="À décommissionner",IF(Y$8&lt;$AS60,"IKS","Décom."),IF(OR($AQ60="",$AS60=""),"",IF(Y$8&lt;$AQ60,"IKS",IF(Y$8&lt;$AS60,IF(Y$8=$AR60,"Bascule","Double run"),"ROKS"))))))</f>
        <v/>
      </c>
      <c r="Z60" s="51" t="str">
        <f aca="false">IF(OR($A60="",Z$8=""),"",IF($F60="Migré","ROKS",IF($F60="À décommissionner",IF(Z$8&lt;$AS60,"IKS","Décom."),IF(OR($AQ60="",$AS60=""),"",IF(Z$8&lt;$AQ60,"IKS",IF(Z$8&lt;$AS60,IF(Z$8=$AR60,"Bascule","Double run"),"ROKS"))))))</f>
        <v/>
      </c>
      <c r="AA60" s="51" t="str">
        <f aca="false">IF(OR($A60="",AA$8=""),"",IF($F60="Migré","ROKS",IF($F60="À décommissionner",IF(AA$8&lt;$AS60,"IKS","Décom."),IF(OR($AQ60="",$AS60=""),"",IF(AA$8&lt;$AQ60,"IKS",IF(AA$8&lt;$AS60,IF(AA$8=$AR60,"Bascule","Double run"),"ROKS"))))))</f>
        <v/>
      </c>
      <c r="AB60" s="51" t="str">
        <f aca="false">IF(OR($A60="",AB$8=""),"",IF($F60="Migré","ROKS",IF($F60="À décommissionner",IF(AB$8&lt;$AS60,"IKS","Décom."),IF(OR($AQ60="",$AS60=""),"",IF(AB$8&lt;$AQ60,"IKS",IF(AB$8&lt;$AS60,IF(AB$8=$AR60,"Bascule","Double run"),"ROKS"))))))</f>
        <v/>
      </c>
      <c r="AC60" s="51" t="str">
        <f aca="false">IF(OR($A60="",AC$8=""),"",IF($F60="Migré","ROKS",IF($F60="À décommissionner",IF(AC$8&lt;$AS60,"IKS","Décom."),IF(OR($AQ60="",$AS60=""),"",IF(AC$8&lt;$AQ60,"IKS",IF(AC$8&lt;$AS60,IF(AC$8=$AR60,"Bascule","Double run"),"ROKS"))))))</f>
        <v/>
      </c>
      <c r="AD60" s="51" t="str">
        <f aca="false">IF(OR($A60="",AD$8=""),"",IF($F60="Migré","ROKS",IF($F60="À décommissionner",IF(AD$8&lt;$AS60,"IKS","Décom."),IF(OR($AQ60="",$AS60=""),"",IF(AD$8&lt;$AQ60,"IKS",IF(AD$8&lt;$AS60,IF(AD$8=$AR60,"Bascule","Double run"),"ROKS"))))))</f>
        <v/>
      </c>
      <c r="AE60" s="51" t="str">
        <f aca="false">IF(OR($A60="",AE$8=""),"",IF($F60="Migré","ROKS",IF($F60="À décommissionner",IF(AE$8&lt;$AS60,"IKS","Décom."),IF(OR($AQ60="",$AS60=""),"",IF(AE$8&lt;$AQ60,"IKS",IF(AE$8&lt;$AS60,IF(AE$8=$AR60,"Bascule","Double run"),"ROKS"))))))</f>
        <v/>
      </c>
      <c r="AF60" s="51" t="str">
        <f aca="false">IF(OR($A60="",AF$8=""),"",IF($F60="Migré","ROKS",IF($F60="À décommissionner",IF(AF$8&lt;$AS60,"IKS","Décom."),IF(OR($AQ60="",$AS60=""),"",IF(AF$8&lt;$AQ60,"IKS",IF(AF$8&lt;$AS60,IF(AF$8=$AR60,"Bascule","Double run"),"ROKS"))))))</f>
        <v/>
      </c>
      <c r="AG60" s="51" t="str">
        <f aca="false">IF(OR($A60="",AG$8=""),"",IF($F60="Migré","ROKS",IF($F60="À décommissionner",IF(AG$8&lt;$AS60,"IKS","Décom."),IF(OR($AQ60="",$AS60=""),"",IF(AG$8&lt;$AQ60,"IKS",IF(AG$8&lt;$AS60,IF(AG$8=$AR60,"Bascule","Double run"),"ROKS"))))))</f>
        <v/>
      </c>
      <c r="AH60" s="51" t="str">
        <f aca="false">IF(OR($A60="",AH$8=""),"",IF($F60="Migré","ROKS",IF($F60="À décommissionner",IF(AH$8&lt;$AS60,"IKS","Décom."),IF(OR($AQ60="",$AS60=""),"",IF(AH$8&lt;$AQ60,"IKS",IF(AH$8&lt;$AS60,IF(AH$8=$AR60,"Bascule","Double run"),"ROKS"))))))</f>
        <v/>
      </c>
      <c r="AI60" s="51" t="str">
        <f aca="false">IF(OR($A60="",AI$8=""),"",IF($F60="Migré","ROKS",IF($F60="À décommissionner",IF(AI$8&lt;$AS60,"IKS","Décom."),IF(OR($AQ60="",$AS60=""),"",IF(AI$8&lt;$AQ60,"IKS",IF(AI$8&lt;$AS60,IF(AI$8=$AR60,"Bascule","Double run"),"ROKS"))))))</f>
        <v/>
      </c>
      <c r="AJ60" s="51" t="str">
        <f aca="false">IF(OR($A60="",AJ$8=""),"",IF($F60="Migré","ROKS",IF($F60="À décommissionner",IF(AJ$8&lt;$AS60,"IKS","Décom."),IF(OR($AQ60="",$AS60=""),"",IF(AJ$8&lt;$AQ60,"IKS",IF(AJ$8&lt;$AS60,IF(AJ$8=$AR60,"Bascule","Double run"),"ROKS"))))))</f>
        <v/>
      </c>
      <c r="AK60" s="51" t="str">
        <f aca="false">IF(OR($A60="",AK$8=""),"",IF($F60="Migré","ROKS",IF($F60="À décommissionner",IF(AK$8&lt;$AS60,"IKS","Décom."),IF(OR($AQ60="",$AS60=""),"",IF(AK$8&lt;$AQ60,"IKS",IF(AK$8&lt;$AS60,IF(AK$8=$AR60,"Bascule","Double run"),"ROKS"))))))</f>
        <v/>
      </c>
      <c r="AL60" s="51" t="str">
        <f aca="false">IF(OR($A60="",AL$8=""),"",IF($F60="Migré","ROKS",IF($F60="À décommissionner",IF(AL$8&lt;$AS60,"IKS","Décom."),IF(OR($AQ60="",$AS60=""),"",IF(AL$8&lt;$AQ60,"IKS",IF(AL$8&lt;$AS60,IF(AL$8=$AR60,"Bascule","Double run"),"ROKS"))))))</f>
        <v/>
      </c>
      <c r="AM60" s="51" t="str">
        <f aca="false">IF(OR($A60="",AM$8=""),"",IF($F60="Migré","ROKS",IF($F60="À décommissionner",IF(AM$8&lt;$AS60,"IKS","Décom."),IF(OR($AQ60="",$AS60=""),"",IF(AM$8&lt;$AQ60,"IKS",IF(AM$8&lt;$AS60,IF(AM$8=$AR60,"Bascule","Double run"),"ROKS"))))))</f>
        <v/>
      </c>
      <c r="AN60" s="51" t="str">
        <f aca="false">IF(OR($A60="",AN$8=""),"",IF($F60="Migré","ROKS",IF($F60="À décommissionner",IF(AN$8&lt;$AS60,"IKS","Décom."),IF(OR($AQ60="",$AS60=""),"",IF(AN$8&lt;$AQ60,"IKS",IF(AN$8&lt;$AS60,IF(AN$8=$AR60,"Bascule","Double run"),"ROKS"))))))</f>
        <v/>
      </c>
      <c r="AO60" s="51" t="str">
        <f aca="false">IF(OR($A60="",AO$8=""),"",IF($F60="Migré","ROKS",IF($F60="À décommissionner",IF(AO$8&lt;$AS60,"IKS","Décom."),IF(OR($AQ60="",$AS60=""),"",IF(AO$8&lt;$AQ60,"IKS",IF(AO$8&lt;$AS60,IF(AO$8=$AR60,"Bascule","Double run"),"ROKS"))))))</f>
        <v/>
      </c>
      <c r="AP60" s="51" t="str">
        <f aca="false">IF(OR($A60="",AP$8=""),"",IF($F60="Migré","ROKS",IF($F60="À décommissionner",IF(AP$8&lt;$AS60,"IKS","Décom."),IF(OR($AQ60="",$AS60=""),"",IF(AP$8&lt;$AQ60,"IKS",IF(AP$8&lt;$AS60,IF(AP$8=$AR60,"Bascule","Double run"),"ROKS"))))))</f>
        <v/>
      </c>
      <c r="AQ60" s="0" t="str">
        <f aca="false">IF($A60="","",INDEX(TblApplications[Mois prov (calc)],$A60))</f>
        <v/>
      </c>
      <c r="AR60" s="0" t="str">
        <f aca="false">IF($A60="","",IFERROR(DATE(YEAR(INDEX(TblApplications[Mois bascule],$A60)),MONTH(INDEX(TblApplications[Mois bascule],$A60)),1),""))</f>
        <v/>
      </c>
      <c r="AS60" s="0" t="str">
        <f aca="false">IF($A60="","",INDEX(TblApplications[Mois lib (calc)],$A60))</f>
        <v/>
      </c>
    </row>
    <row r="61" customFormat="false" ht="15" hidden="false" customHeight="false" outlineLevel="0" collapsed="false">
      <c r="A61" s="49" t="str">
        <f aca="false">IFERROR(MATCH(53,TblApplications[Rang frise],0),"")</f>
        <v/>
      </c>
      <c r="B61" s="50" t="str">
        <f aca="false">IF($A61="","",INDEX(TblApplications[ID],$A61))</f>
        <v/>
      </c>
      <c r="C61" s="50" t="str">
        <f aca="false">IF($A61="","",INDEX(TblApplications[Application],$A61))</f>
        <v/>
      </c>
      <c r="D61" s="50" t="str">
        <f aca="false">IF($A61="","",INDEX(TblApplications[Environnement],$A61))</f>
        <v/>
      </c>
      <c r="E61" s="50" t="str">
        <f aca="false">IF($A61="","",INDEX(TblApplications[Couloir],$A61))</f>
        <v/>
      </c>
      <c r="F61" s="50" t="str">
        <f aca="false">IF($A61="","",INDEX(TblApplications[Action],$A61))</f>
        <v/>
      </c>
      <c r="G61" s="51" t="str">
        <f aca="false">IF(OR($A61="",G$8=""),"",IF($F61="Migré","ROKS",IF($F61="À décommissionner",IF(G$8&lt;$AS61,"IKS","Décom."),IF(OR($AQ61="",$AS61=""),"",IF(G$8&lt;$AQ61,"IKS",IF(G$8&lt;$AS61,IF(G$8=$AR61,"Bascule","Double run"),"ROKS"))))))</f>
        <v/>
      </c>
      <c r="H61" s="51" t="str">
        <f aca="false">IF(OR($A61="",H$8=""),"",IF($F61="Migré","ROKS",IF($F61="À décommissionner",IF(H$8&lt;$AS61,"IKS","Décom."),IF(OR($AQ61="",$AS61=""),"",IF(H$8&lt;$AQ61,"IKS",IF(H$8&lt;$AS61,IF(H$8=$AR61,"Bascule","Double run"),"ROKS"))))))</f>
        <v/>
      </c>
      <c r="I61" s="51" t="str">
        <f aca="false">IF(OR($A61="",I$8=""),"",IF($F61="Migré","ROKS",IF($F61="À décommissionner",IF(I$8&lt;$AS61,"IKS","Décom."),IF(OR($AQ61="",$AS61=""),"",IF(I$8&lt;$AQ61,"IKS",IF(I$8&lt;$AS61,IF(I$8=$AR61,"Bascule","Double run"),"ROKS"))))))</f>
        <v/>
      </c>
      <c r="J61" s="51" t="str">
        <f aca="false">IF(OR($A61="",J$8=""),"",IF($F61="Migré","ROKS",IF($F61="À décommissionner",IF(J$8&lt;$AS61,"IKS","Décom."),IF(OR($AQ61="",$AS61=""),"",IF(J$8&lt;$AQ61,"IKS",IF(J$8&lt;$AS61,IF(J$8=$AR61,"Bascule","Double run"),"ROKS"))))))</f>
        <v/>
      </c>
      <c r="K61" s="51" t="str">
        <f aca="false">IF(OR($A61="",K$8=""),"",IF($F61="Migré","ROKS",IF($F61="À décommissionner",IF(K$8&lt;$AS61,"IKS","Décom."),IF(OR($AQ61="",$AS61=""),"",IF(K$8&lt;$AQ61,"IKS",IF(K$8&lt;$AS61,IF(K$8=$AR61,"Bascule","Double run"),"ROKS"))))))</f>
        <v/>
      </c>
      <c r="L61" s="51" t="str">
        <f aca="false">IF(OR($A61="",L$8=""),"",IF($F61="Migré","ROKS",IF($F61="À décommissionner",IF(L$8&lt;$AS61,"IKS","Décom."),IF(OR($AQ61="",$AS61=""),"",IF(L$8&lt;$AQ61,"IKS",IF(L$8&lt;$AS61,IF(L$8=$AR61,"Bascule","Double run"),"ROKS"))))))</f>
        <v/>
      </c>
      <c r="M61" s="51" t="str">
        <f aca="false">IF(OR($A61="",M$8=""),"",IF($F61="Migré","ROKS",IF($F61="À décommissionner",IF(M$8&lt;$AS61,"IKS","Décom."),IF(OR($AQ61="",$AS61=""),"",IF(M$8&lt;$AQ61,"IKS",IF(M$8&lt;$AS61,IF(M$8=$AR61,"Bascule","Double run"),"ROKS"))))))</f>
        <v/>
      </c>
      <c r="N61" s="51" t="str">
        <f aca="false">IF(OR($A61="",N$8=""),"",IF($F61="Migré","ROKS",IF($F61="À décommissionner",IF(N$8&lt;$AS61,"IKS","Décom."),IF(OR($AQ61="",$AS61=""),"",IF(N$8&lt;$AQ61,"IKS",IF(N$8&lt;$AS61,IF(N$8=$AR61,"Bascule","Double run"),"ROKS"))))))</f>
        <v/>
      </c>
      <c r="O61" s="51" t="str">
        <f aca="false">IF(OR($A61="",O$8=""),"",IF($F61="Migré","ROKS",IF($F61="À décommissionner",IF(O$8&lt;$AS61,"IKS","Décom."),IF(OR($AQ61="",$AS61=""),"",IF(O$8&lt;$AQ61,"IKS",IF(O$8&lt;$AS61,IF(O$8=$AR61,"Bascule","Double run"),"ROKS"))))))</f>
        <v/>
      </c>
      <c r="P61" s="51" t="str">
        <f aca="false">IF(OR($A61="",P$8=""),"",IF($F61="Migré","ROKS",IF($F61="À décommissionner",IF(P$8&lt;$AS61,"IKS","Décom."),IF(OR($AQ61="",$AS61=""),"",IF(P$8&lt;$AQ61,"IKS",IF(P$8&lt;$AS61,IF(P$8=$AR61,"Bascule","Double run"),"ROKS"))))))</f>
        <v/>
      </c>
      <c r="Q61" s="51" t="str">
        <f aca="false">IF(OR($A61="",Q$8=""),"",IF($F61="Migré","ROKS",IF($F61="À décommissionner",IF(Q$8&lt;$AS61,"IKS","Décom."),IF(OR($AQ61="",$AS61=""),"",IF(Q$8&lt;$AQ61,"IKS",IF(Q$8&lt;$AS61,IF(Q$8=$AR61,"Bascule","Double run"),"ROKS"))))))</f>
        <v/>
      </c>
      <c r="R61" s="51" t="str">
        <f aca="false">IF(OR($A61="",R$8=""),"",IF($F61="Migré","ROKS",IF($F61="À décommissionner",IF(R$8&lt;$AS61,"IKS","Décom."),IF(OR($AQ61="",$AS61=""),"",IF(R$8&lt;$AQ61,"IKS",IF(R$8&lt;$AS61,IF(R$8=$AR61,"Bascule","Double run"),"ROKS"))))))</f>
        <v/>
      </c>
      <c r="S61" s="51" t="str">
        <f aca="false">IF(OR($A61="",S$8=""),"",IF($F61="Migré","ROKS",IF($F61="À décommissionner",IF(S$8&lt;$AS61,"IKS","Décom."),IF(OR($AQ61="",$AS61=""),"",IF(S$8&lt;$AQ61,"IKS",IF(S$8&lt;$AS61,IF(S$8=$AR61,"Bascule","Double run"),"ROKS"))))))</f>
        <v/>
      </c>
      <c r="T61" s="51" t="str">
        <f aca="false">IF(OR($A61="",T$8=""),"",IF($F61="Migré","ROKS",IF($F61="À décommissionner",IF(T$8&lt;$AS61,"IKS","Décom."),IF(OR($AQ61="",$AS61=""),"",IF(T$8&lt;$AQ61,"IKS",IF(T$8&lt;$AS61,IF(T$8=$AR61,"Bascule","Double run"),"ROKS"))))))</f>
        <v/>
      </c>
      <c r="U61" s="51" t="str">
        <f aca="false">IF(OR($A61="",U$8=""),"",IF($F61="Migré","ROKS",IF($F61="À décommissionner",IF(U$8&lt;$AS61,"IKS","Décom."),IF(OR($AQ61="",$AS61=""),"",IF(U$8&lt;$AQ61,"IKS",IF(U$8&lt;$AS61,IF(U$8=$AR61,"Bascule","Double run"),"ROKS"))))))</f>
        <v/>
      </c>
      <c r="V61" s="51" t="str">
        <f aca="false">IF(OR($A61="",V$8=""),"",IF($F61="Migré","ROKS",IF($F61="À décommissionner",IF(V$8&lt;$AS61,"IKS","Décom."),IF(OR($AQ61="",$AS61=""),"",IF(V$8&lt;$AQ61,"IKS",IF(V$8&lt;$AS61,IF(V$8=$AR61,"Bascule","Double run"),"ROKS"))))))</f>
        <v/>
      </c>
      <c r="W61" s="51" t="str">
        <f aca="false">IF(OR($A61="",W$8=""),"",IF($F61="Migré","ROKS",IF($F61="À décommissionner",IF(W$8&lt;$AS61,"IKS","Décom."),IF(OR($AQ61="",$AS61=""),"",IF(W$8&lt;$AQ61,"IKS",IF(W$8&lt;$AS61,IF(W$8=$AR61,"Bascule","Double run"),"ROKS"))))))</f>
        <v/>
      </c>
      <c r="X61" s="51" t="str">
        <f aca="false">IF(OR($A61="",X$8=""),"",IF($F61="Migré","ROKS",IF($F61="À décommissionner",IF(X$8&lt;$AS61,"IKS","Décom."),IF(OR($AQ61="",$AS61=""),"",IF(X$8&lt;$AQ61,"IKS",IF(X$8&lt;$AS61,IF(X$8=$AR61,"Bascule","Double run"),"ROKS"))))))</f>
        <v/>
      </c>
      <c r="Y61" s="51" t="str">
        <f aca="false">IF(OR($A61="",Y$8=""),"",IF($F61="Migré","ROKS",IF($F61="À décommissionner",IF(Y$8&lt;$AS61,"IKS","Décom."),IF(OR($AQ61="",$AS61=""),"",IF(Y$8&lt;$AQ61,"IKS",IF(Y$8&lt;$AS61,IF(Y$8=$AR61,"Bascule","Double run"),"ROKS"))))))</f>
        <v/>
      </c>
      <c r="Z61" s="51" t="str">
        <f aca="false">IF(OR($A61="",Z$8=""),"",IF($F61="Migré","ROKS",IF($F61="À décommissionner",IF(Z$8&lt;$AS61,"IKS","Décom."),IF(OR($AQ61="",$AS61=""),"",IF(Z$8&lt;$AQ61,"IKS",IF(Z$8&lt;$AS61,IF(Z$8=$AR61,"Bascule","Double run"),"ROKS"))))))</f>
        <v/>
      </c>
      <c r="AA61" s="51" t="str">
        <f aca="false">IF(OR($A61="",AA$8=""),"",IF($F61="Migré","ROKS",IF($F61="À décommissionner",IF(AA$8&lt;$AS61,"IKS","Décom."),IF(OR($AQ61="",$AS61=""),"",IF(AA$8&lt;$AQ61,"IKS",IF(AA$8&lt;$AS61,IF(AA$8=$AR61,"Bascule","Double run"),"ROKS"))))))</f>
        <v/>
      </c>
      <c r="AB61" s="51" t="str">
        <f aca="false">IF(OR($A61="",AB$8=""),"",IF($F61="Migré","ROKS",IF($F61="À décommissionner",IF(AB$8&lt;$AS61,"IKS","Décom."),IF(OR($AQ61="",$AS61=""),"",IF(AB$8&lt;$AQ61,"IKS",IF(AB$8&lt;$AS61,IF(AB$8=$AR61,"Bascule","Double run"),"ROKS"))))))</f>
        <v/>
      </c>
      <c r="AC61" s="51" t="str">
        <f aca="false">IF(OR($A61="",AC$8=""),"",IF($F61="Migré","ROKS",IF($F61="À décommissionner",IF(AC$8&lt;$AS61,"IKS","Décom."),IF(OR($AQ61="",$AS61=""),"",IF(AC$8&lt;$AQ61,"IKS",IF(AC$8&lt;$AS61,IF(AC$8=$AR61,"Bascule","Double run"),"ROKS"))))))</f>
        <v/>
      </c>
      <c r="AD61" s="51" t="str">
        <f aca="false">IF(OR($A61="",AD$8=""),"",IF($F61="Migré","ROKS",IF($F61="À décommissionner",IF(AD$8&lt;$AS61,"IKS","Décom."),IF(OR($AQ61="",$AS61=""),"",IF(AD$8&lt;$AQ61,"IKS",IF(AD$8&lt;$AS61,IF(AD$8=$AR61,"Bascule","Double run"),"ROKS"))))))</f>
        <v/>
      </c>
      <c r="AE61" s="51" t="str">
        <f aca="false">IF(OR($A61="",AE$8=""),"",IF($F61="Migré","ROKS",IF($F61="À décommissionner",IF(AE$8&lt;$AS61,"IKS","Décom."),IF(OR($AQ61="",$AS61=""),"",IF(AE$8&lt;$AQ61,"IKS",IF(AE$8&lt;$AS61,IF(AE$8=$AR61,"Bascule","Double run"),"ROKS"))))))</f>
        <v/>
      </c>
      <c r="AF61" s="51" t="str">
        <f aca="false">IF(OR($A61="",AF$8=""),"",IF($F61="Migré","ROKS",IF($F61="À décommissionner",IF(AF$8&lt;$AS61,"IKS","Décom."),IF(OR($AQ61="",$AS61=""),"",IF(AF$8&lt;$AQ61,"IKS",IF(AF$8&lt;$AS61,IF(AF$8=$AR61,"Bascule","Double run"),"ROKS"))))))</f>
        <v/>
      </c>
      <c r="AG61" s="51" t="str">
        <f aca="false">IF(OR($A61="",AG$8=""),"",IF($F61="Migré","ROKS",IF($F61="À décommissionner",IF(AG$8&lt;$AS61,"IKS","Décom."),IF(OR($AQ61="",$AS61=""),"",IF(AG$8&lt;$AQ61,"IKS",IF(AG$8&lt;$AS61,IF(AG$8=$AR61,"Bascule","Double run"),"ROKS"))))))</f>
        <v/>
      </c>
      <c r="AH61" s="51" t="str">
        <f aca="false">IF(OR($A61="",AH$8=""),"",IF($F61="Migré","ROKS",IF($F61="À décommissionner",IF(AH$8&lt;$AS61,"IKS","Décom."),IF(OR($AQ61="",$AS61=""),"",IF(AH$8&lt;$AQ61,"IKS",IF(AH$8&lt;$AS61,IF(AH$8=$AR61,"Bascule","Double run"),"ROKS"))))))</f>
        <v/>
      </c>
      <c r="AI61" s="51" t="str">
        <f aca="false">IF(OR($A61="",AI$8=""),"",IF($F61="Migré","ROKS",IF($F61="À décommissionner",IF(AI$8&lt;$AS61,"IKS","Décom."),IF(OR($AQ61="",$AS61=""),"",IF(AI$8&lt;$AQ61,"IKS",IF(AI$8&lt;$AS61,IF(AI$8=$AR61,"Bascule","Double run"),"ROKS"))))))</f>
        <v/>
      </c>
      <c r="AJ61" s="51" t="str">
        <f aca="false">IF(OR($A61="",AJ$8=""),"",IF($F61="Migré","ROKS",IF($F61="À décommissionner",IF(AJ$8&lt;$AS61,"IKS","Décom."),IF(OR($AQ61="",$AS61=""),"",IF(AJ$8&lt;$AQ61,"IKS",IF(AJ$8&lt;$AS61,IF(AJ$8=$AR61,"Bascule","Double run"),"ROKS"))))))</f>
        <v/>
      </c>
      <c r="AK61" s="51" t="str">
        <f aca="false">IF(OR($A61="",AK$8=""),"",IF($F61="Migré","ROKS",IF($F61="À décommissionner",IF(AK$8&lt;$AS61,"IKS","Décom."),IF(OR($AQ61="",$AS61=""),"",IF(AK$8&lt;$AQ61,"IKS",IF(AK$8&lt;$AS61,IF(AK$8=$AR61,"Bascule","Double run"),"ROKS"))))))</f>
        <v/>
      </c>
      <c r="AL61" s="51" t="str">
        <f aca="false">IF(OR($A61="",AL$8=""),"",IF($F61="Migré","ROKS",IF($F61="À décommissionner",IF(AL$8&lt;$AS61,"IKS","Décom."),IF(OR($AQ61="",$AS61=""),"",IF(AL$8&lt;$AQ61,"IKS",IF(AL$8&lt;$AS61,IF(AL$8=$AR61,"Bascule","Double run"),"ROKS"))))))</f>
        <v/>
      </c>
      <c r="AM61" s="51" t="str">
        <f aca="false">IF(OR($A61="",AM$8=""),"",IF($F61="Migré","ROKS",IF($F61="À décommissionner",IF(AM$8&lt;$AS61,"IKS","Décom."),IF(OR($AQ61="",$AS61=""),"",IF(AM$8&lt;$AQ61,"IKS",IF(AM$8&lt;$AS61,IF(AM$8=$AR61,"Bascule","Double run"),"ROKS"))))))</f>
        <v/>
      </c>
      <c r="AN61" s="51" t="str">
        <f aca="false">IF(OR($A61="",AN$8=""),"",IF($F61="Migré","ROKS",IF($F61="À décommissionner",IF(AN$8&lt;$AS61,"IKS","Décom."),IF(OR($AQ61="",$AS61=""),"",IF(AN$8&lt;$AQ61,"IKS",IF(AN$8&lt;$AS61,IF(AN$8=$AR61,"Bascule","Double run"),"ROKS"))))))</f>
        <v/>
      </c>
      <c r="AO61" s="51" t="str">
        <f aca="false">IF(OR($A61="",AO$8=""),"",IF($F61="Migré","ROKS",IF($F61="À décommissionner",IF(AO$8&lt;$AS61,"IKS","Décom."),IF(OR($AQ61="",$AS61=""),"",IF(AO$8&lt;$AQ61,"IKS",IF(AO$8&lt;$AS61,IF(AO$8=$AR61,"Bascule","Double run"),"ROKS"))))))</f>
        <v/>
      </c>
      <c r="AP61" s="51" t="str">
        <f aca="false">IF(OR($A61="",AP$8=""),"",IF($F61="Migré","ROKS",IF($F61="À décommissionner",IF(AP$8&lt;$AS61,"IKS","Décom."),IF(OR($AQ61="",$AS61=""),"",IF(AP$8&lt;$AQ61,"IKS",IF(AP$8&lt;$AS61,IF(AP$8=$AR61,"Bascule","Double run"),"ROKS"))))))</f>
        <v/>
      </c>
      <c r="AQ61" s="0" t="str">
        <f aca="false">IF($A61="","",INDEX(TblApplications[Mois prov (calc)],$A61))</f>
        <v/>
      </c>
      <c r="AR61" s="0" t="str">
        <f aca="false">IF($A61="","",IFERROR(DATE(YEAR(INDEX(TblApplications[Mois bascule],$A61)),MONTH(INDEX(TblApplications[Mois bascule],$A61)),1),""))</f>
        <v/>
      </c>
      <c r="AS61" s="0" t="str">
        <f aca="false">IF($A61="","",INDEX(TblApplications[Mois lib (calc)],$A61))</f>
        <v/>
      </c>
    </row>
    <row r="62" customFormat="false" ht="15" hidden="false" customHeight="false" outlineLevel="0" collapsed="false">
      <c r="A62" s="49" t="str">
        <f aca="false">IFERROR(MATCH(54,TblApplications[Rang frise],0),"")</f>
        <v/>
      </c>
      <c r="B62" s="50" t="str">
        <f aca="false">IF($A62="","",INDEX(TblApplications[ID],$A62))</f>
        <v/>
      </c>
      <c r="C62" s="50" t="str">
        <f aca="false">IF($A62="","",INDEX(TblApplications[Application],$A62))</f>
        <v/>
      </c>
      <c r="D62" s="50" t="str">
        <f aca="false">IF($A62="","",INDEX(TblApplications[Environnement],$A62))</f>
        <v/>
      </c>
      <c r="E62" s="50" t="str">
        <f aca="false">IF($A62="","",INDEX(TblApplications[Couloir],$A62))</f>
        <v/>
      </c>
      <c r="F62" s="50" t="str">
        <f aca="false">IF($A62="","",INDEX(TblApplications[Action],$A62))</f>
        <v/>
      </c>
      <c r="G62" s="51" t="str">
        <f aca="false">IF(OR($A62="",G$8=""),"",IF($F62="Migré","ROKS",IF($F62="À décommissionner",IF(G$8&lt;$AS62,"IKS","Décom."),IF(OR($AQ62="",$AS62=""),"",IF(G$8&lt;$AQ62,"IKS",IF(G$8&lt;$AS62,IF(G$8=$AR62,"Bascule","Double run"),"ROKS"))))))</f>
        <v/>
      </c>
      <c r="H62" s="51" t="str">
        <f aca="false">IF(OR($A62="",H$8=""),"",IF($F62="Migré","ROKS",IF($F62="À décommissionner",IF(H$8&lt;$AS62,"IKS","Décom."),IF(OR($AQ62="",$AS62=""),"",IF(H$8&lt;$AQ62,"IKS",IF(H$8&lt;$AS62,IF(H$8=$AR62,"Bascule","Double run"),"ROKS"))))))</f>
        <v/>
      </c>
      <c r="I62" s="51" t="str">
        <f aca="false">IF(OR($A62="",I$8=""),"",IF($F62="Migré","ROKS",IF($F62="À décommissionner",IF(I$8&lt;$AS62,"IKS","Décom."),IF(OR($AQ62="",$AS62=""),"",IF(I$8&lt;$AQ62,"IKS",IF(I$8&lt;$AS62,IF(I$8=$AR62,"Bascule","Double run"),"ROKS"))))))</f>
        <v/>
      </c>
      <c r="J62" s="51" t="str">
        <f aca="false">IF(OR($A62="",J$8=""),"",IF($F62="Migré","ROKS",IF($F62="À décommissionner",IF(J$8&lt;$AS62,"IKS","Décom."),IF(OR($AQ62="",$AS62=""),"",IF(J$8&lt;$AQ62,"IKS",IF(J$8&lt;$AS62,IF(J$8=$AR62,"Bascule","Double run"),"ROKS"))))))</f>
        <v/>
      </c>
      <c r="K62" s="51" t="str">
        <f aca="false">IF(OR($A62="",K$8=""),"",IF($F62="Migré","ROKS",IF($F62="À décommissionner",IF(K$8&lt;$AS62,"IKS","Décom."),IF(OR($AQ62="",$AS62=""),"",IF(K$8&lt;$AQ62,"IKS",IF(K$8&lt;$AS62,IF(K$8=$AR62,"Bascule","Double run"),"ROKS"))))))</f>
        <v/>
      </c>
      <c r="L62" s="51" t="str">
        <f aca="false">IF(OR($A62="",L$8=""),"",IF($F62="Migré","ROKS",IF($F62="À décommissionner",IF(L$8&lt;$AS62,"IKS","Décom."),IF(OR($AQ62="",$AS62=""),"",IF(L$8&lt;$AQ62,"IKS",IF(L$8&lt;$AS62,IF(L$8=$AR62,"Bascule","Double run"),"ROKS"))))))</f>
        <v/>
      </c>
      <c r="M62" s="51" t="str">
        <f aca="false">IF(OR($A62="",M$8=""),"",IF($F62="Migré","ROKS",IF($F62="À décommissionner",IF(M$8&lt;$AS62,"IKS","Décom."),IF(OR($AQ62="",$AS62=""),"",IF(M$8&lt;$AQ62,"IKS",IF(M$8&lt;$AS62,IF(M$8=$AR62,"Bascule","Double run"),"ROKS"))))))</f>
        <v/>
      </c>
      <c r="N62" s="51" t="str">
        <f aca="false">IF(OR($A62="",N$8=""),"",IF($F62="Migré","ROKS",IF($F62="À décommissionner",IF(N$8&lt;$AS62,"IKS","Décom."),IF(OR($AQ62="",$AS62=""),"",IF(N$8&lt;$AQ62,"IKS",IF(N$8&lt;$AS62,IF(N$8=$AR62,"Bascule","Double run"),"ROKS"))))))</f>
        <v/>
      </c>
      <c r="O62" s="51" t="str">
        <f aca="false">IF(OR($A62="",O$8=""),"",IF($F62="Migré","ROKS",IF($F62="À décommissionner",IF(O$8&lt;$AS62,"IKS","Décom."),IF(OR($AQ62="",$AS62=""),"",IF(O$8&lt;$AQ62,"IKS",IF(O$8&lt;$AS62,IF(O$8=$AR62,"Bascule","Double run"),"ROKS"))))))</f>
        <v/>
      </c>
      <c r="P62" s="51" t="str">
        <f aca="false">IF(OR($A62="",P$8=""),"",IF($F62="Migré","ROKS",IF($F62="À décommissionner",IF(P$8&lt;$AS62,"IKS","Décom."),IF(OR($AQ62="",$AS62=""),"",IF(P$8&lt;$AQ62,"IKS",IF(P$8&lt;$AS62,IF(P$8=$AR62,"Bascule","Double run"),"ROKS"))))))</f>
        <v/>
      </c>
      <c r="Q62" s="51" t="str">
        <f aca="false">IF(OR($A62="",Q$8=""),"",IF($F62="Migré","ROKS",IF($F62="À décommissionner",IF(Q$8&lt;$AS62,"IKS","Décom."),IF(OR($AQ62="",$AS62=""),"",IF(Q$8&lt;$AQ62,"IKS",IF(Q$8&lt;$AS62,IF(Q$8=$AR62,"Bascule","Double run"),"ROKS"))))))</f>
        <v/>
      </c>
      <c r="R62" s="51" t="str">
        <f aca="false">IF(OR($A62="",R$8=""),"",IF($F62="Migré","ROKS",IF($F62="À décommissionner",IF(R$8&lt;$AS62,"IKS","Décom."),IF(OR($AQ62="",$AS62=""),"",IF(R$8&lt;$AQ62,"IKS",IF(R$8&lt;$AS62,IF(R$8=$AR62,"Bascule","Double run"),"ROKS"))))))</f>
        <v/>
      </c>
      <c r="S62" s="51" t="str">
        <f aca="false">IF(OR($A62="",S$8=""),"",IF($F62="Migré","ROKS",IF($F62="À décommissionner",IF(S$8&lt;$AS62,"IKS","Décom."),IF(OR($AQ62="",$AS62=""),"",IF(S$8&lt;$AQ62,"IKS",IF(S$8&lt;$AS62,IF(S$8=$AR62,"Bascule","Double run"),"ROKS"))))))</f>
        <v/>
      </c>
      <c r="T62" s="51" t="str">
        <f aca="false">IF(OR($A62="",T$8=""),"",IF($F62="Migré","ROKS",IF($F62="À décommissionner",IF(T$8&lt;$AS62,"IKS","Décom."),IF(OR($AQ62="",$AS62=""),"",IF(T$8&lt;$AQ62,"IKS",IF(T$8&lt;$AS62,IF(T$8=$AR62,"Bascule","Double run"),"ROKS"))))))</f>
        <v/>
      </c>
      <c r="U62" s="51" t="str">
        <f aca="false">IF(OR($A62="",U$8=""),"",IF($F62="Migré","ROKS",IF($F62="À décommissionner",IF(U$8&lt;$AS62,"IKS","Décom."),IF(OR($AQ62="",$AS62=""),"",IF(U$8&lt;$AQ62,"IKS",IF(U$8&lt;$AS62,IF(U$8=$AR62,"Bascule","Double run"),"ROKS"))))))</f>
        <v/>
      </c>
      <c r="V62" s="51" t="str">
        <f aca="false">IF(OR($A62="",V$8=""),"",IF($F62="Migré","ROKS",IF($F62="À décommissionner",IF(V$8&lt;$AS62,"IKS","Décom."),IF(OR($AQ62="",$AS62=""),"",IF(V$8&lt;$AQ62,"IKS",IF(V$8&lt;$AS62,IF(V$8=$AR62,"Bascule","Double run"),"ROKS"))))))</f>
        <v/>
      </c>
      <c r="W62" s="51" t="str">
        <f aca="false">IF(OR($A62="",W$8=""),"",IF($F62="Migré","ROKS",IF($F62="À décommissionner",IF(W$8&lt;$AS62,"IKS","Décom."),IF(OR($AQ62="",$AS62=""),"",IF(W$8&lt;$AQ62,"IKS",IF(W$8&lt;$AS62,IF(W$8=$AR62,"Bascule","Double run"),"ROKS"))))))</f>
        <v/>
      </c>
      <c r="X62" s="51" t="str">
        <f aca="false">IF(OR($A62="",X$8=""),"",IF($F62="Migré","ROKS",IF($F62="À décommissionner",IF(X$8&lt;$AS62,"IKS","Décom."),IF(OR($AQ62="",$AS62=""),"",IF(X$8&lt;$AQ62,"IKS",IF(X$8&lt;$AS62,IF(X$8=$AR62,"Bascule","Double run"),"ROKS"))))))</f>
        <v/>
      </c>
      <c r="Y62" s="51" t="str">
        <f aca="false">IF(OR($A62="",Y$8=""),"",IF($F62="Migré","ROKS",IF($F62="À décommissionner",IF(Y$8&lt;$AS62,"IKS","Décom."),IF(OR($AQ62="",$AS62=""),"",IF(Y$8&lt;$AQ62,"IKS",IF(Y$8&lt;$AS62,IF(Y$8=$AR62,"Bascule","Double run"),"ROKS"))))))</f>
        <v/>
      </c>
      <c r="Z62" s="51" t="str">
        <f aca="false">IF(OR($A62="",Z$8=""),"",IF($F62="Migré","ROKS",IF($F62="À décommissionner",IF(Z$8&lt;$AS62,"IKS","Décom."),IF(OR($AQ62="",$AS62=""),"",IF(Z$8&lt;$AQ62,"IKS",IF(Z$8&lt;$AS62,IF(Z$8=$AR62,"Bascule","Double run"),"ROKS"))))))</f>
        <v/>
      </c>
      <c r="AA62" s="51" t="str">
        <f aca="false">IF(OR($A62="",AA$8=""),"",IF($F62="Migré","ROKS",IF($F62="À décommissionner",IF(AA$8&lt;$AS62,"IKS","Décom."),IF(OR($AQ62="",$AS62=""),"",IF(AA$8&lt;$AQ62,"IKS",IF(AA$8&lt;$AS62,IF(AA$8=$AR62,"Bascule","Double run"),"ROKS"))))))</f>
        <v/>
      </c>
      <c r="AB62" s="51" t="str">
        <f aca="false">IF(OR($A62="",AB$8=""),"",IF($F62="Migré","ROKS",IF($F62="À décommissionner",IF(AB$8&lt;$AS62,"IKS","Décom."),IF(OR($AQ62="",$AS62=""),"",IF(AB$8&lt;$AQ62,"IKS",IF(AB$8&lt;$AS62,IF(AB$8=$AR62,"Bascule","Double run"),"ROKS"))))))</f>
        <v/>
      </c>
      <c r="AC62" s="51" t="str">
        <f aca="false">IF(OR($A62="",AC$8=""),"",IF($F62="Migré","ROKS",IF($F62="À décommissionner",IF(AC$8&lt;$AS62,"IKS","Décom."),IF(OR($AQ62="",$AS62=""),"",IF(AC$8&lt;$AQ62,"IKS",IF(AC$8&lt;$AS62,IF(AC$8=$AR62,"Bascule","Double run"),"ROKS"))))))</f>
        <v/>
      </c>
      <c r="AD62" s="51" t="str">
        <f aca="false">IF(OR($A62="",AD$8=""),"",IF($F62="Migré","ROKS",IF($F62="À décommissionner",IF(AD$8&lt;$AS62,"IKS","Décom."),IF(OR($AQ62="",$AS62=""),"",IF(AD$8&lt;$AQ62,"IKS",IF(AD$8&lt;$AS62,IF(AD$8=$AR62,"Bascule","Double run"),"ROKS"))))))</f>
        <v/>
      </c>
      <c r="AE62" s="51" t="str">
        <f aca="false">IF(OR($A62="",AE$8=""),"",IF($F62="Migré","ROKS",IF($F62="À décommissionner",IF(AE$8&lt;$AS62,"IKS","Décom."),IF(OR($AQ62="",$AS62=""),"",IF(AE$8&lt;$AQ62,"IKS",IF(AE$8&lt;$AS62,IF(AE$8=$AR62,"Bascule","Double run"),"ROKS"))))))</f>
        <v/>
      </c>
      <c r="AF62" s="51" t="str">
        <f aca="false">IF(OR($A62="",AF$8=""),"",IF($F62="Migré","ROKS",IF($F62="À décommissionner",IF(AF$8&lt;$AS62,"IKS","Décom."),IF(OR($AQ62="",$AS62=""),"",IF(AF$8&lt;$AQ62,"IKS",IF(AF$8&lt;$AS62,IF(AF$8=$AR62,"Bascule","Double run"),"ROKS"))))))</f>
        <v/>
      </c>
      <c r="AG62" s="51" t="str">
        <f aca="false">IF(OR($A62="",AG$8=""),"",IF($F62="Migré","ROKS",IF($F62="À décommissionner",IF(AG$8&lt;$AS62,"IKS","Décom."),IF(OR($AQ62="",$AS62=""),"",IF(AG$8&lt;$AQ62,"IKS",IF(AG$8&lt;$AS62,IF(AG$8=$AR62,"Bascule","Double run"),"ROKS"))))))</f>
        <v/>
      </c>
      <c r="AH62" s="51" t="str">
        <f aca="false">IF(OR($A62="",AH$8=""),"",IF($F62="Migré","ROKS",IF($F62="À décommissionner",IF(AH$8&lt;$AS62,"IKS","Décom."),IF(OR($AQ62="",$AS62=""),"",IF(AH$8&lt;$AQ62,"IKS",IF(AH$8&lt;$AS62,IF(AH$8=$AR62,"Bascule","Double run"),"ROKS"))))))</f>
        <v/>
      </c>
      <c r="AI62" s="51" t="str">
        <f aca="false">IF(OR($A62="",AI$8=""),"",IF($F62="Migré","ROKS",IF($F62="À décommissionner",IF(AI$8&lt;$AS62,"IKS","Décom."),IF(OR($AQ62="",$AS62=""),"",IF(AI$8&lt;$AQ62,"IKS",IF(AI$8&lt;$AS62,IF(AI$8=$AR62,"Bascule","Double run"),"ROKS"))))))</f>
        <v/>
      </c>
      <c r="AJ62" s="51" t="str">
        <f aca="false">IF(OR($A62="",AJ$8=""),"",IF($F62="Migré","ROKS",IF($F62="À décommissionner",IF(AJ$8&lt;$AS62,"IKS","Décom."),IF(OR($AQ62="",$AS62=""),"",IF(AJ$8&lt;$AQ62,"IKS",IF(AJ$8&lt;$AS62,IF(AJ$8=$AR62,"Bascule","Double run"),"ROKS"))))))</f>
        <v/>
      </c>
      <c r="AK62" s="51" t="str">
        <f aca="false">IF(OR($A62="",AK$8=""),"",IF($F62="Migré","ROKS",IF($F62="À décommissionner",IF(AK$8&lt;$AS62,"IKS","Décom."),IF(OR($AQ62="",$AS62=""),"",IF(AK$8&lt;$AQ62,"IKS",IF(AK$8&lt;$AS62,IF(AK$8=$AR62,"Bascule","Double run"),"ROKS"))))))</f>
        <v/>
      </c>
      <c r="AL62" s="51" t="str">
        <f aca="false">IF(OR($A62="",AL$8=""),"",IF($F62="Migré","ROKS",IF($F62="À décommissionner",IF(AL$8&lt;$AS62,"IKS","Décom."),IF(OR($AQ62="",$AS62=""),"",IF(AL$8&lt;$AQ62,"IKS",IF(AL$8&lt;$AS62,IF(AL$8=$AR62,"Bascule","Double run"),"ROKS"))))))</f>
        <v/>
      </c>
      <c r="AM62" s="51" t="str">
        <f aca="false">IF(OR($A62="",AM$8=""),"",IF($F62="Migré","ROKS",IF($F62="À décommissionner",IF(AM$8&lt;$AS62,"IKS","Décom."),IF(OR($AQ62="",$AS62=""),"",IF(AM$8&lt;$AQ62,"IKS",IF(AM$8&lt;$AS62,IF(AM$8=$AR62,"Bascule","Double run"),"ROKS"))))))</f>
        <v/>
      </c>
      <c r="AN62" s="51" t="str">
        <f aca="false">IF(OR($A62="",AN$8=""),"",IF($F62="Migré","ROKS",IF($F62="À décommissionner",IF(AN$8&lt;$AS62,"IKS","Décom."),IF(OR($AQ62="",$AS62=""),"",IF(AN$8&lt;$AQ62,"IKS",IF(AN$8&lt;$AS62,IF(AN$8=$AR62,"Bascule","Double run"),"ROKS"))))))</f>
        <v/>
      </c>
      <c r="AO62" s="51" t="str">
        <f aca="false">IF(OR($A62="",AO$8=""),"",IF($F62="Migré","ROKS",IF($F62="À décommissionner",IF(AO$8&lt;$AS62,"IKS","Décom."),IF(OR($AQ62="",$AS62=""),"",IF(AO$8&lt;$AQ62,"IKS",IF(AO$8&lt;$AS62,IF(AO$8=$AR62,"Bascule","Double run"),"ROKS"))))))</f>
        <v/>
      </c>
      <c r="AP62" s="51" t="str">
        <f aca="false">IF(OR($A62="",AP$8=""),"",IF($F62="Migré","ROKS",IF($F62="À décommissionner",IF(AP$8&lt;$AS62,"IKS","Décom."),IF(OR($AQ62="",$AS62=""),"",IF(AP$8&lt;$AQ62,"IKS",IF(AP$8&lt;$AS62,IF(AP$8=$AR62,"Bascule","Double run"),"ROKS"))))))</f>
        <v/>
      </c>
      <c r="AQ62" s="0" t="str">
        <f aca="false">IF($A62="","",INDEX(TblApplications[Mois prov (calc)],$A62))</f>
        <v/>
      </c>
      <c r="AR62" s="0" t="str">
        <f aca="false">IF($A62="","",IFERROR(DATE(YEAR(INDEX(TblApplications[Mois bascule],$A62)),MONTH(INDEX(TblApplications[Mois bascule],$A62)),1),""))</f>
        <v/>
      </c>
      <c r="AS62" s="0" t="str">
        <f aca="false">IF($A62="","",INDEX(TblApplications[Mois lib (calc)],$A62))</f>
        <v/>
      </c>
    </row>
    <row r="63" customFormat="false" ht="15" hidden="false" customHeight="false" outlineLevel="0" collapsed="false">
      <c r="A63" s="49" t="str">
        <f aca="false">IFERROR(MATCH(55,TblApplications[Rang frise],0),"")</f>
        <v/>
      </c>
      <c r="B63" s="50" t="str">
        <f aca="false">IF($A63="","",INDEX(TblApplications[ID],$A63))</f>
        <v/>
      </c>
      <c r="C63" s="50" t="str">
        <f aca="false">IF($A63="","",INDEX(TblApplications[Application],$A63))</f>
        <v/>
      </c>
      <c r="D63" s="50" t="str">
        <f aca="false">IF($A63="","",INDEX(TblApplications[Environnement],$A63))</f>
        <v/>
      </c>
      <c r="E63" s="50" t="str">
        <f aca="false">IF($A63="","",INDEX(TblApplications[Couloir],$A63))</f>
        <v/>
      </c>
      <c r="F63" s="50" t="str">
        <f aca="false">IF($A63="","",INDEX(TblApplications[Action],$A63))</f>
        <v/>
      </c>
      <c r="G63" s="51" t="str">
        <f aca="false">IF(OR($A63="",G$8=""),"",IF($F63="Migré","ROKS",IF($F63="À décommissionner",IF(G$8&lt;$AS63,"IKS","Décom."),IF(OR($AQ63="",$AS63=""),"",IF(G$8&lt;$AQ63,"IKS",IF(G$8&lt;$AS63,IF(G$8=$AR63,"Bascule","Double run"),"ROKS"))))))</f>
        <v/>
      </c>
      <c r="H63" s="51" t="str">
        <f aca="false">IF(OR($A63="",H$8=""),"",IF($F63="Migré","ROKS",IF($F63="À décommissionner",IF(H$8&lt;$AS63,"IKS","Décom."),IF(OR($AQ63="",$AS63=""),"",IF(H$8&lt;$AQ63,"IKS",IF(H$8&lt;$AS63,IF(H$8=$AR63,"Bascule","Double run"),"ROKS"))))))</f>
        <v/>
      </c>
      <c r="I63" s="51" t="str">
        <f aca="false">IF(OR($A63="",I$8=""),"",IF($F63="Migré","ROKS",IF($F63="À décommissionner",IF(I$8&lt;$AS63,"IKS","Décom."),IF(OR($AQ63="",$AS63=""),"",IF(I$8&lt;$AQ63,"IKS",IF(I$8&lt;$AS63,IF(I$8=$AR63,"Bascule","Double run"),"ROKS"))))))</f>
        <v/>
      </c>
      <c r="J63" s="51" t="str">
        <f aca="false">IF(OR($A63="",J$8=""),"",IF($F63="Migré","ROKS",IF($F63="À décommissionner",IF(J$8&lt;$AS63,"IKS","Décom."),IF(OR($AQ63="",$AS63=""),"",IF(J$8&lt;$AQ63,"IKS",IF(J$8&lt;$AS63,IF(J$8=$AR63,"Bascule","Double run"),"ROKS"))))))</f>
        <v/>
      </c>
      <c r="K63" s="51" t="str">
        <f aca="false">IF(OR($A63="",K$8=""),"",IF($F63="Migré","ROKS",IF($F63="À décommissionner",IF(K$8&lt;$AS63,"IKS","Décom."),IF(OR($AQ63="",$AS63=""),"",IF(K$8&lt;$AQ63,"IKS",IF(K$8&lt;$AS63,IF(K$8=$AR63,"Bascule","Double run"),"ROKS"))))))</f>
        <v/>
      </c>
      <c r="L63" s="51" t="str">
        <f aca="false">IF(OR($A63="",L$8=""),"",IF($F63="Migré","ROKS",IF($F63="À décommissionner",IF(L$8&lt;$AS63,"IKS","Décom."),IF(OR($AQ63="",$AS63=""),"",IF(L$8&lt;$AQ63,"IKS",IF(L$8&lt;$AS63,IF(L$8=$AR63,"Bascule","Double run"),"ROKS"))))))</f>
        <v/>
      </c>
      <c r="M63" s="51" t="str">
        <f aca="false">IF(OR($A63="",M$8=""),"",IF($F63="Migré","ROKS",IF($F63="À décommissionner",IF(M$8&lt;$AS63,"IKS","Décom."),IF(OR($AQ63="",$AS63=""),"",IF(M$8&lt;$AQ63,"IKS",IF(M$8&lt;$AS63,IF(M$8=$AR63,"Bascule","Double run"),"ROKS"))))))</f>
        <v/>
      </c>
      <c r="N63" s="51" t="str">
        <f aca="false">IF(OR($A63="",N$8=""),"",IF($F63="Migré","ROKS",IF($F63="À décommissionner",IF(N$8&lt;$AS63,"IKS","Décom."),IF(OR($AQ63="",$AS63=""),"",IF(N$8&lt;$AQ63,"IKS",IF(N$8&lt;$AS63,IF(N$8=$AR63,"Bascule","Double run"),"ROKS"))))))</f>
        <v/>
      </c>
      <c r="O63" s="51" t="str">
        <f aca="false">IF(OR($A63="",O$8=""),"",IF($F63="Migré","ROKS",IF($F63="À décommissionner",IF(O$8&lt;$AS63,"IKS","Décom."),IF(OR($AQ63="",$AS63=""),"",IF(O$8&lt;$AQ63,"IKS",IF(O$8&lt;$AS63,IF(O$8=$AR63,"Bascule","Double run"),"ROKS"))))))</f>
        <v/>
      </c>
      <c r="P63" s="51" t="str">
        <f aca="false">IF(OR($A63="",P$8=""),"",IF($F63="Migré","ROKS",IF($F63="À décommissionner",IF(P$8&lt;$AS63,"IKS","Décom."),IF(OR($AQ63="",$AS63=""),"",IF(P$8&lt;$AQ63,"IKS",IF(P$8&lt;$AS63,IF(P$8=$AR63,"Bascule","Double run"),"ROKS"))))))</f>
        <v/>
      </c>
      <c r="Q63" s="51" t="str">
        <f aca="false">IF(OR($A63="",Q$8=""),"",IF($F63="Migré","ROKS",IF($F63="À décommissionner",IF(Q$8&lt;$AS63,"IKS","Décom."),IF(OR($AQ63="",$AS63=""),"",IF(Q$8&lt;$AQ63,"IKS",IF(Q$8&lt;$AS63,IF(Q$8=$AR63,"Bascule","Double run"),"ROKS"))))))</f>
        <v/>
      </c>
      <c r="R63" s="51" t="str">
        <f aca="false">IF(OR($A63="",R$8=""),"",IF($F63="Migré","ROKS",IF($F63="À décommissionner",IF(R$8&lt;$AS63,"IKS","Décom."),IF(OR($AQ63="",$AS63=""),"",IF(R$8&lt;$AQ63,"IKS",IF(R$8&lt;$AS63,IF(R$8=$AR63,"Bascule","Double run"),"ROKS"))))))</f>
        <v/>
      </c>
      <c r="S63" s="51" t="str">
        <f aca="false">IF(OR($A63="",S$8=""),"",IF($F63="Migré","ROKS",IF($F63="À décommissionner",IF(S$8&lt;$AS63,"IKS","Décom."),IF(OR($AQ63="",$AS63=""),"",IF(S$8&lt;$AQ63,"IKS",IF(S$8&lt;$AS63,IF(S$8=$AR63,"Bascule","Double run"),"ROKS"))))))</f>
        <v/>
      </c>
      <c r="T63" s="51" t="str">
        <f aca="false">IF(OR($A63="",T$8=""),"",IF($F63="Migré","ROKS",IF($F63="À décommissionner",IF(T$8&lt;$AS63,"IKS","Décom."),IF(OR($AQ63="",$AS63=""),"",IF(T$8&lt;$AQ63,"IKS",IF(T$8&lt;$AS63,IF(T$8=$AR63,"Bascule","Double run"),"ROKS"))))))</f>
        <v/>
      </c>
      <c r="U63" s="51" t="str">
        <f aca="false">IF(OR($A63="",U$8=""),"",IF($F63="Migré","ROKS",IF($F63="À décommissionner",IF(U$8&lt;$AS63,"IKS","Décom."),IF(OR($AQ63="",$AS63=""),"",IF(U$8&lt;$AQ63,"IKS",IF(U$8&lt;$AS63,IF(U$8=$AR63,"Bascule","Double run"),"ROKS"))))))</f>
        <v/>
      </c>
      <c r="V63" s="51" t="str">
        <f aca="false">IF(OR($A63="",V$8=""),"",IF($F63="Migré","ROKS",IF($F63="À décommissionner",IF(V$8&lt;$AS63,"IKS","Décom."),IF(OR($AQ63="",$AS63=""),"",IF(V$8&lt;$AQ63,"IKS",IF(V$8&lt;$AS63,IF(V$8=$AR63,"Bascule","Double run"),"ROKS"))))))</f>
        <v/>
      </c>
      <c r="W63" s="51" t="str">
        <f aca="false">IF(OR($A63="",W$8=""),"",IF($F63="Migré","ROKS",IF($F63="À décommissionner",IF(W$8&lt;$AS63,"IKS","Décom."),IF(OR($AQ63="",$AS63=""),"",IF(W$8&lt;$AQ63,"IKS",IF(W$8&lt;$AS63,IF(W$8=$AR63,"Bascule","Double run"),"ROKS"))))))</f>
        <v/>
      </c>
      <c r="X63" s="51" t="str">
        <f aca="false">IF(OR($A63="",X$8=""),"",IF($F63="Migré","ROKS",IF($F63="À décommissionner",IF(X$8&lt;$AS63,"IKS","Décom."),IF(OR($AQ63="",$AS63=""),"",IF(X$8&lt;$AQ63,"IKS",IF(X$8&lt;$AS63,IF(X$8=$AR63,"Bascule","Double run"),"ROKS"))))))</f>
        <v/>
      </c>
      <c r="Y63" s="51" t="str">
        <f aca="false">IF(OR($A63="",Y$8=""),"",IF($F63="Migré","ROKS",IF($F63="À décommissionner",IF(Y$8&lt;$AS63,"IKS","Décom."),IF(OR($AQ63="",$AS63=""),"",IF(Y$8&lt;$AQ63,"IKS",IF(Y$8&lt;$AS63,IF(Y$8=$AR63,"Bascule","Double run"),"ROKS"))))))</f>
        <v/>
      </c>
      <c r="Z63" s="51" t="str">
        <f aca="false">IF(OR($A63="",Z$8=""),"",IF($F63="Migré","ROKS",IF($F63="À décommissionner",IF(Z$8&lt;$AS63,"IKS","Décom."),IF(OR($AQ63="",$AS63=""),"",IF(Z$8&lt;$AQ63,"IKS",IF(Z$8&lt;$AS63,IF(Z$8=$AR63,"Bascule","Double run"),"ROKS"))))))</f>
        <v/>
      </c>
      <c r="AA63" s="51" t="str">
        <f aca="false">IF(OR($A63="",AA$8=""),"",IF($F63="Migré","ROKS",IF($F63="À décommissionner",IF(AA$8&lt;$AS63,"IKS","Décom."),IF(OR($AQ63="",$AS63=""),"",IF(AA$8&lt;$AQ63,"IKS",IF(AA$8&lt;$AS63,IF(AA$8=$AR63,"Bascule","Double run"),"ROKS"))))))</f>
        <v/>
      </c>
      <c r="AB63" s="51" t="str">
        <f aca="false">IF(OR($A63="",AB$8=""),"",IF($F63="Migré","ROKS",IF($F63="À décommissionner",IF(AB$8&lt;$AS63,"IKS","Décom."),IF(OR($AQ63="",$AS63=""),"",IF(AB$8&lt;$AQ63,"IKS",IF(AB$8&lt;$AS63,IF(AB$8=$AR63,"Bascule","Double run"),"ROKS"))))))</f>
        <v/>
      </c>
      <c r="AC63" s="51" t="str">
        <f aca="false">IF(OR($A63="",AC$8=""),"",IF($F63="Migré","ROKS",IF($F63="À décommissionner",IF(AC$8&lt;$AS63,"IKS","Décom."),IF(OR($AQ63="",$AS63=""),"",IF(AC$8&lt;$AQ63,"IKS",IF(AC$8&lt;$AS63,IF(AC$8=$AR63,"Bascule","Double run"),"ROKS"))))))</f>
        <v/>
      </c>
      <c r="AD63" s="51" t="str">
        <f aca="false">IF(OR($A63="",AD$8=""),"",IF($F63="Migré","ROKS",IF($F63="À décommissionner",IF(AD$8&lt;$AS63,"IKS","Décom."),IF(OR($AQ63="",$AS63=""),"",IF(AD$8&lt;$AQ63,"IKS",IF(AD$8&lt;$AS63,IF(AD$8=$AR63,"Bascule","Double run"),"ROKS"))))))</f>
        <v/>
      </c>
      <c r="AE63" s="51" t="str">
        <f aca="false">IF(OR($A63="",AE$8=""),"",IF($F63="Migré","ROKS",IF($F63="À décommissionner",IF(AE$8&lt;$AS63,"IKS","Décom."),IF(OR($AQ63="",$AS63=""),"",IF(AE$8&lt;$AQ63,"IKS",IF(AE$8&lt;$AS63,IF(AE$8=$AR63,"Bascule","Double run"),"ROKS"))))))</f>
        <v/>
      </c>
      <c r="AF63" s="51" t="str">
        <f aca="false">IF(OR($A63="",AF$8=""),"",IF($F63="Migré","ROKS",IF($F63="À décommissionner",IF(AF$8&lt;$AS63,"IKS","Décom."),IF(OR($AQ63="",$AS63=""),"",IF(AF$8&lt;$AQ63,"IKS",IF(AF$8&lt;$AS63,IF(AF$8=$AR63,"Bascule","Double run"),"ROKS"))))))</f>
        <v/>
      </c>
      <c r="AG63" s="51" t="str">
        <f aca="false">IF(OR($A63="",AG$8=""),"",IF($F63="Migré","ROKS",IF($F63="À décommissionner",IF(AG$8&lt;$AS63,"IKS","Décom."),IF(OR($AQ63="",$AS63=""),"",IF(AG$8&lt;$AQ63,"IKS",IF(AG$8&lt;$AS63,IF(AG$8=$AR63,"Bascule","Double run"),"ROKS"))))))</f>
        <v/>
      </c>
      <c r="AH63" s="51" t="str">
        <f aca="false">IF(OR($A63="",AH$8=""),"",IF($F63="Migré","ROKS",IF($F63="À décommissionner",IF(AH$8&lt;$AS63,"IKS","Décom."),IF(OR($AQ63="",$AS63=""),"",IF(AH$8&lt;$AQ63,"IKS",IF(AH$8&lt;$AS63,IF(AH$8=$AR63,"Bascule","Double run"),"ROKS"))))))</f>
        <v/>
      </c>
      <c r="AI63" s="51" t="str">
        <f aca="false">IF(OR($A63="",AI$8=""),"",IF($F63="Migré","ROKS",IF($F63="À décommissionner",IF(AI$8&lt;$AS63,"IKS","Décom."),IF(OR($AQ63="",$AS63=""),"",IF(AI$8&lt;$AQ63,"IKS",IF(AI$8&lt;$AS63,IF(AI$8=$AR63,"Bascule","Double run"),"ROKS"))))))</f>
        <v/>
      </c>
      <c r="AJ63" s="51" t="str">
        <f aca="false">IF(OR($A63="",AJ$8=""),"",IF($F63="Migré","ROKS",IF($F63="À décommissionner",IF(AJ$8&lt;$AS63,"IKS","Décom."),IF(OR($AQ63="",$AS63=""),"",IF(AJ$8&lt;$AQ63,"IKS",IF(AJ$8&lt;$AS63,IF(AJ$8=$AR63,"Bascule","Double run"),"ROKS"))))))</f>
        <v/>
      </c>
      <c r="AK63" s="51" t="str">
        <f aca="false">IF(OR($A63="",AK$8=""),"",IF($F63="Migré","ROKS",IF($F63="À décommissionner",IF(AK$8&lt;$AS63,"IKS","Décom."),IF(OR($AQ63="",$AS63=""),"",IF(AK$8&lt;$AQ63,"IKS",IF(AK$8&lt;$AS63,IF(AK$8=$AR63,"Bascule","Double run"),"ROKS"))))))</f>
        <v/>
      </c>
      <c r="AL63" s="51" t="str">
        <f aca="false">IF(OR($A63="",AL$8=""),"",IF($F63="Migré","ROKS",IF($F63="À décommissionner",IF(AL$8&lt;$AS63,"IKS","Décom."),IF(OR($AQ63="",$AS63=""),"",IF(AL$8&lt;$AQ63,"IKS",IF(AL$8&lt;$AS63,IF(AL$8=$AR63,"Bascule","Double run"),"ROKS"))))))</f>
        <v/>
      </c>
      <c r="AM63" s="51" t="str">
        <f aca="false">IF(OR($A63="",AM$8=""),"",IF($F63="Migré","ROKS",IF($F63="À décommissionner",IF(AM$8&lt;$AS63,"IKS","Décom."),IF(OR($AQ63="",$AS63=""),"",IF(AM$8&lt;$AQ63,"IKS",IF(AM$8&lt;$AS63,IF(AM$8=$AR63,"Bascule","Double run"),"ROKS"))))))</f>
        <v/>
      </c>
      <c r="AN63" s="51" t="str">
        <f aca="false">IF(OR($A63="",AN$8=""),"",IF($F63="Migré","ROKS",IF($F63="À décommissionner",IF(AN$8&lt;$AS63,"IKS","Décom."),IF(OR($AQ63="",$AS63=""),"",IF(AN$8&lt;$AQ63,"IKS",IF(AN$8&lt;$AS63,IF(AN$8=$AR63,"Bascule","Double run"),"ROKS"))))))</f>
        <v/>
      </c>
      <c r="AO63" s="51" t="str">
        <f aca="false">IF(OR($A63="",AO$8=""),"",IF($F63="Migré","ROKS",IF($F63="À décommissionner",IF(AO$8&lt;$AS63,"IKS","Décom."),IF(OR($AQ63="",$AS63=""),"",IF(AO$8&lt;$AQ63,"IKS",IF(AO$8&lt;$AS63,IF(AO$8=$AR63,"Bascule","Double run"),"ROKS"))))))</f>
        <v/>
      </c>
      <c r="AP63" s="51" t="str">
        <f aca="false">IF(OR($A63="",AP$8=""),"",IF($F63="Migré","ROKS",IF($F63="À décommissionner",IF(AP$8&lt;$AS63,"IKS","Décom."),IF(OR($AQ63="",$AS63=""),"",IF(AP$8&lt;$AQ63,"IKS",IF(AP$8&lt;$AS63,IF(AP$8=$AR63,"Bascule","Double run"),"ROKS"))))))</f>
        <v/>
      </c>
      <c r="AQ63" s="0" t="str">
        <f aca="false">IF($A63="","",INDEX(TblApplications[Mois prov (calc)],$A63))</f>
        <v/>
      </c>
      <c r="AR63" s="0" t="str">
        <f aca="false">IF($A63="","",IFERROR(DATE(YEAR(INDEX(TblApplications[Mois bascule],$A63)),MONTH(INDEX(TblApplications[Mois bascule],$A63)),1),""))</f>
        <v/>
      </c>
      <c r="AS63" s="0" t="str">
        <f aca="false">IF($A63="","",INDEX(TblApplications[Mois lib (calc)],$A63))</f>
        <v/>
      </c>
    </row>
    <row r="64" customFormat="false" ht="15" hidden="false" customHeight="false" outlineLevel="0" collapsed="false">
      <c r="A64" s="49" t="str">
        <f aca="false">IFERROR(MATCH(56,TblApplications[Rang frise],0),"")</f>
        <v/>
      </c>
      <c r="B64" s="50" t="str">
        <f aca="false">IF($A64="","",INDEX(TblApplications[ID],$A64))</f>
        <v/>
      </c>
      <c r="C64" s="50" t="str">
        <f aca="false">IF($A64="","",INDEX(TblApplications[Application],$A64))</f>
        <v/>
      </c>
      <c r="D64" s="50" t="str">
        <f aca="false">IF($A64="","",INDEX(TblApplications[Environnement],$A64))</f>
        <v/>
      </c>
      <c r="E64" s="50" t="str">
        <f aca="false">IF($A64="","",INDEX(TblApplications[Couloir],$A64))</f>
        <v/>
      </c>
      <c r="F64" s="50" t="str">
        <f aca="false">IF($A64="","",INDEX(TblApplications[Action],$A64))</f>
        <v/>
      </c>
      <c r="G64" s="51" t="str">
        <f aca="false">IF(OR($A64="",G$8=""),"",IF($F64="Migré","ROKS",IF($F64="À décommissionner",IF(G$8&lt;$AS64,"IKS","Décom."),IF(OR($AQ64="",$AS64=""),"",IF(G$8&lt;$AQ64,"IKS",IF(G$8&lt;$AS64,IF(G$8=$AR64,"Bascule","Double run"),"ROKS"))))))</f>
        <v/>
      </c>
      <c r="H64" s="51" t="str">
        <f aca="false">IF(OR($A64="",H$8=""),"",IF($F64="Migré","ROKS",IF($F64="À décommissionner",IF(H$8&lt;$AS64,"IKS","Décom."),IF(OR($AQ64="",$AS64=""),"",IF(H$8&lt;$AQ64,"IKS",IF(H$8&lt;$AS64,IF(H$8=$AR64,"Bascule","Double run"),"ROKS"))))))</f>
        <v/>
      </c>
      <c r="I64" s="51" t="str">
        <f aca="false">IF(OR($A64="",I$8=""),"",IF($F64="Migré","ROKS",IF($F64="À décommissionner",IF(I$8&lt;$AS64,"IKS","Décom."),IF(OR($AQ64="",$AS64=""),"",IF(I$8&lt;$AQ64,"IKS",IF(I$8&lt;$AS64,IF(I$8=$AR64,"Bascule","Double run"),"ROKS"))))))</f>
        <v/>
      </c>
      <c r="J64" s="51" t="str">
        <f aca="false">IF(OR($A64="",J$8=""),"",IF($F64="Migré","ROKS",IF($F64="À décommissionner",IF(J$8&lt;$AS64,"IKS","Décom."),IF(OR($AQ64="",$AS64=""),"",IF(J$8&lt;$AQ64,"IKS",IF(J$8&lt;$AS64,IF(J$8=$AR64,"Bascule","Double run"),"ROKS"))))))</f>
        <v/>
      </c>
      <c r="K64" s="51" t="str">
        <f aca="false">IF(OR($A64="",K$8=""),"",IF($F64="Migré","ROKS",IF($F64="À décommissionner",IF(K$8&lt;$AS64,"IKS","Décom."),IF(OR($AQ64="",$AS64=""),"",IF(K$8&lt;$AQ64,"IKS",IF(K$8&lt;$AS64,IF(K$8=$AR64,"Bascule","Double run"),"ROKS"))))))</f>
        <v/>
      </c>
      <c r="L64" s="51" t="str">
        <f aca="false">IF(OR($A64="",L$8=""),"",IF($F64="Migré","ROKS",IF($F64="À décommissionner",IF(L$8&lt;$AS64,"IKS","Décom."),IF(OR($AQ64="",$AS64=""),"",IF(L$8&lt;$AQ64,"IKS",IF(L$8&lt;$AS64,IF(L$8=$AR64,"Bascule","Double run"),"ROKS"))))))</f>
        <v/>
      </c>
      <c r="M64" s="51" t="str">
        <f aca="false">IF(OR($A64="",M$8=""),"",IF($F64="Migré","ROKS",IF($F64="À décommissionner",IF(M$8&lt;$AS64,"IKS","Décom."),IF(OR($AQ64="",$AS64=""),"",IF(M$8&lt;$AQ64,"IKS",IF(M$8&lt;$AS64,IF(M$8=$AR64,"Bascule","Double run"),"ROKS"))))))</f>
        <v/>
      </c>
      <c r="N64" s="51" t="str">
        <f aca="false">IF(OR($A64="",N$8=""),"",IF($F64="Migré","ROKS",IF($F64="À décommissionner",IF(N$8&lt;$AS64,"IKS","Décom."),IF(OR($AQ64="",$AS64=""),"",IF(N$8&lt;$AQ64,"IKS",IF(N$8&lt;$AS64,IF(N$8=$AR64,"Bascule","Double run"),"ROKS"))))))</f>
        <v/>
      </c>
      <c r="O64" s="51" t="str">
        <f aca="false">IF(OR($A64="",O$8=""),"",IF($F64="Migré","ROKS",IF($F64="À décommissionner",IF(O$8&lt;$AS64,"IKS","Décom."),IF(OR($AQ64="",$AS64=""),"",IF(O$8&lt;$AQ64,"IKS",IF(O$8&lt;$AS64,IF(O$8=$AR64,"Bascule","Double run"),"ROKS"))))))</f>
        <v/>
      </c>
      <c r="P64" s="51" t="str">
        <f aca="false">IF(OR($A64="",P$8=""),"",IF($F64="Migré","ROKS",IF($F64="À décommissionner",IF(P$8&lt;$AS64,"IKS","Décom."),IF(OR($AQ64="",$AS64=""),"",IF(P$8&lt;$AQ64,"IKS",IF(P$8&lt;$AS64,IF(P$8=$AR64,"Bascule","Double run"),"ROKS"))))))</f>
        <v/>
      </c>
      <c r="Q64" s="51" t="str">
        <f aca="false">IF(OR($A64="",Q$8=""),"",IF($F64="Migré","ROKS",IF($F64="À décommissionner",IF(Q$8&lt;$AS64,"IKS","Décom."),IF(OR($AQ64="",$AS64=""),"",IF(Q$8&lt;$AQ64,"IKS",IF(Q$8&lt;$AS64,IF(Q$8=$AR64,"Bascule","Double run"),"ROKS"))))))</f>
        <v/>
      </c>
      <c r="R64" s="51" t="str">
        <f aca="false">IF(OR($A64="",R$8=""),"",IF($F64="Migré","ROKS",IF($F64="À décommissionner",IF(R$8&lt;$AS64,"IKS","Décom."),IF(OR($AQ64="",$AS64=""),"",IF(R$8&lt;$AQ64,"IKS",IF(R$8&lt;$AS64,IF(R$8=$AR64,"Bascule","Double run"),"ROKS"))))))</f>
        <v/>
      </c>
      <c r="S64" s="51" t="str">
        <f aca="false">IF(OR($A64="",S$8=""),"",IF($F64="Migré","ROKS",IF($F64="À décommissionner",IF(S$8&lt;$AS64,"IKS","Décom."),IF(OR($AQ64="",$AS64=""),"",IF(S$8&lt;$AQ64,"IKS",IF(S$8&lt;$AS64,IF(S$8=$AR64,"Bascule","Double run"),"ROKS"))))))</f>
        <v/>
      </c>
      <c r="T64" s="51" t="str">
        <f aca="false">IF(OR($A64="",T$8=""),"",IF($F64="Migré","ROKS",IF($F64="À décommissionner",IF(T$8&lt;$AS64,"IKS","Décom."),IF(OR($AQ64="",$AS64=""),"",IF(T$8&lt;$AQ64,"IKS",IF(T$8&lt;$AS64,IF(T$8=$AR64,"Bascule","Double run"),"ROKS"))))))</f>
        <v/>
      </c>
      <c r="U64" s="51" t="str">
        <f aca="false">IF(OR($A64="",U$8=""),"",IF($F64="Migré","ROKS",IF($F64="À décommissionner",IF(U$8&lt;$AS64,"IKS","Décom."),IF(OR($AQ64="",$AS64=""),"",IF(U$8&lt;$AQ64,"IKS",IF(U$8&lt;$AS64,IF(U$8=$AR64,"Bascule","Double run"),"ROKS"))))))</f>
        <v/>
      </c>
      <c r="V64" s="51" t="str">
        <f aca="false">IF(OR($A64="",V$8=""),"",IF($F64="Migré","ROKS",IF($F64="À décommissionner",IF(V$8&lt;$AS64,"IKS","Décom."),IF(OR($AQ64="",$AS64=""),"",IF(V$8&lt;$AQ64,"IKS",IF(V$8&lt;$AS64,IF(V$8=$AR64,"Bascule","Double run"),"ROKS"))))))</f>
        <v/>
      </c>
      <c r="W64" s="51" t="str">
        <f aca="false">IF(OR($A64="",W$8=""),"",IF($F64="Migré","ROKS",IF($F64="À décommissionner",IF(W$8&lt;$AS64,"IKS","Décom."),IF(OR($AQ64="",$AS64=""),"",IF(W$8&lt;$AQ64,"IKS",IF(W$8&lt;$AS64,IF(W$8=$AR64,"Bascule","Double run"),"ROKS"))))))</f>
        <v/>
      </c>
      <c r="X64" s="51" t="str">
        <f aca="false">IF(OR($A64="",X$8=""),"",IF($F64="Migré","ROKS",IF($F64="À décommissionner",IF(X$8&lt;$AS64,"IKS","Décom."),IF(OR($AQ64="",$AS64=""),"",IF(X$8&lt;$AQ64,"IKS",IF(X$8&lt;$AS64,IF(X$8=$AR64,"Bascule","Double run"),"ROKS"))))))</f>
        <v/>
      </c>
      <c r="Y64" s="51" t="str">
        <f aca="false">IF(OR($A64="",Y$8=""),"",IF($F64="Migré","ROKS",IF($F64="À décommissionner",IF(Y$8&lt;$AS64,"IKS","Décom."),IF(OR($AQ64="",$AS64=""),"",IF(Y$8&lt;$AQ64,"IKS",IF(Y$8&lt;$AS64,IF(Y$8=$AR64,"Bascule","Double run"),"ROKS"))))))</f>
        <v/>
      </c>
      <c r="Z64" s="51" t="str">
        <f aca="false">IF(OR($A64="",Z$8=""),"",IF($F64="Migré","ROKS",IF($F64="À décommissionner",IF(Z$8&lt;$AS64,"IKS","Décom."),IF(OR($AQ64="",$AS64=""),"",IF(Z$8&lt;$AQ64,"IKS",IF(Z$8&lt;$AS64,IF(Z$8=$AR64,"Bascule","Double run"),"ROKS"))))))</f>
        <v/>
      </c>
      <c r="AA64" s="51" t="str">
        <f aca="false">IF(OR($A64="",AA$8=""),"",IF($F64="Migré","ROKS",IF($F64="À décommissionner",IF(AA$8&lt;$AS64,"IKS","Décom."),IF(OR($AQ64="",$AS64=""),"",IF(AA$8&lt;$AQ64,"IKS",IF(AA$8&lt;$AS64,IF(AA$8=$AR64,"Bascule","Double run"),"ROKS"))))))</f>
        <v/>
      </c>
      <c r="AB64" s="51" t="str">
        <f aca="false">IF(OR($A64="",AB$8=""),"",IF($F64="Migré","ROKS",IF($F64="À décommissionner",IF(AB$8&lt;$AS64,"IKS","Décom."),IF(OR($AQ64="",$AS64=""),"",IF(AB$8&lt;$AQ64,"IKS",IF(AB$8&lt;$AS64,IF(AB$8=$AR64,"Bascule","Double run"),"ROKS"))))))</f>
        <v/>
      </c>
      <c r="AC64" s="51" t="str">
        <f aca="false">IF(OR($A64="",AC$8=""),"",IF($F64="Migré","ROKS",IF($F64="À décommissionner",IF(AC$8&lt;$AS64,"IKS","Décom."),IF(OR($AQ64="",$AS64=""),"",IF(AC$8&lt;$AQ64,"IKS",IF(AC$8&lt;$AS64,IF(AC$8=$AR64,"Bascule","Double run"),"ROKS"))))))</f>
        <v/>
      </c>
      <c r="AD64" s="51" t="str">
        <f aca="false">IF(OR($A64="",AD$8=""),"",IF($F64="Migré","ROKS",IF($F64="À décommissionner",IF(AD$8&lt;$AS64,"IKS","Décom."),IF(OR($AQ64="",$AS64=""),"",IF(AD$8&lt;$AQ64,"IKS",IF(AD$8&lt;$AS64,IF(AD$8=$AR64,"Bascule","Double run"),"ROKS"))))))</f>
        <v/>
      </c>
      <c r="AE64" s="51" t="str">
        <f aca="false">IF(OR($A64="",AE$8=""),"",IF($F64="Migré","ROKS",IF($F64="À décommissionner",IF(AE$8&lt;$AS64,"IKS","Décom."),IF(OR($AQ64="",$AS64=""),"",IF(AE$8&lt;$AQ64,"IKS",IF(AE$8&lt;$AS64,IF(AE$8=$AR64,"Bascule","Double run"),"ROKS"))))))</f>
        <v/>
      </c>
      <c r="AF64" s="51" t="str">
        <f aca="false">IF(OR($A64="",AF$8=""),"",IF($F64="Migré","ROKS",IF($F64="À décommissionner",IF(AF$8&lt;$AS64,"IKS","Décom."),IF(OR($AQ64="",$AS64=""),"",IF(AF$8&lt;$AQ64,"IKS",IF(AF$8&lt;$AS64,IF(AF$8=$AR64,"Bascule","Double run"),"ROKS"))))))</f>
        <v/>
      </c>
      <c r="AG64" s="51" t="str">
        <f aca="false">IF(OR($A64="",AG$8=""),"",IF($F64="Migré","ROKS",IF($F64="À décommissionner",IF(AG$8&lt;$AS64,"IKS","Décom."),IF(OR($AQ64="",$AS64=""),"",IF(AG$8&lt;$AQ64,"IKS",IF(AG$8&lt;$AS64,IF(AG$8=$AR64,"Bascule","Double run"),"ROKS"))))))</f>
        <v/>
      </c>
      <c r="AH64" s="51" t="str">
        <f aca="false">IF(OR($A64="",AH$8=""),"",IF($F64="Migré","ROKS",IF($F64="À décommissionner",IF(AH$8&lt;$AS64,"IKS","Décom."),IF(OR($AQ64="",$AS64=""),"",IF(AH$8&lt;$AQ64,"IKS",IF(AH$8&lt;$AS64,IF(AH$8=$AR64,"Bascule","Double run"),"ROKS"))))))</f>
        <v/>
      </c>
      <c r="AI64" s="51" t="str">
        <f aca="false">IF(OR($A64="",AI$8=""),"",IF($F64="Migré","ROKS",IF($F64="À décommissionner",IF(AI$8&lt;$AS64,"IKS","Décom."),IF(OR($AQ64="",$AS64=""),"",IF(AI$8&lt;$AQ64,"IKS",IF(AI$8&lt;$AS64,IF(AI$8=$AR64,"Bascule","Double run"),"ROKS"))))))</f>
        <v/>
      </c>
      <c r="AJ64" s="51" t="str">
        <f aca="false">IF(OR($A64="",AJ$8=""),"",IF($F64="Migré","ROKS",IF($F64="À décommissionner",IF(AJ$8&lt;$AS64,"IKS","Décom."),IF(OR($AQ64="",$AS64=""),"",IF(AJ$8&lt;$AQ64,"IKS",IF(AJ$8&lt;$AS64,IF(AJ$8=$AR64,"Bascule","Double run"),"ROKS"))))))</f>
        <v/>
      </c>
      <c r="AK64" s="51" t="str">
        <f aca="false">IF(OR($A64="",AK$8=""),"",IF($F64="Migré","ROKS",IF($F64="À décommissionner",IF(AK$8&lt;$AS64,"IKS","Décom."),IF(OR($AQ64="",$AS64=""),"",IF(AK$8&lt;$AQ64,"IKS",IF(AK$8&lt;$AS64,IF(AK$8=$AR64,"Bascule","Double run"),"ROKS"))))))</f>
        <v/>
      </c>
      <c r="AL64" s="51" t="str">
        <f aca="false">IF(OR($A64="",AL$8=""),"",IF($F64="Migré","ROKS",IF($F64="À décommissionner",IF(AL$8&lt;$AS64,"IKS","Décom."),IF(OR($AQ64="",$AS64=""),"",IF(AL$8&lt;$AQ64,"IKS",IF(AL$8&lt;$AS64,IF(AL$8=$AR64,"Bascule","Double run"),"ROKS"))))))</f>
        <v/>
      </c>
      <c r="AM64" s="51" t="str">
        <f aca="false">IF(OR($A64="",AM$8=""),"",IF($F64="Migré","ROKS",IF($F64="À décommissionner",IF(AM$8&lt;$AS64,"IKS","Décom."),IF(OR($AQ64="",$AS64=""),"",IF(AM$8&lt;$AQ64,"IKS",IF(AM$8&lt;$AS64,IF(AM$8=$AR64,"Bascule","Double run"),"ROKS"))))))</f>
        <v/>
      </c>
      <c r="AN64" s="51" t="str">
        <f aca="false">IF(OR($A64="",AN$8=""),"",IF($F64="Migré","ROKS",IF($F64="À décommissionner",IF(AN$8&lt;$AS64,"IKS","Décom."),IF(OR($AQ64="",$AS64=""),"",IF(AN$8&lt;$AQ64,"IKS",IF(AN$8&lt;$AS64,IF(AN$8=$AR64,"Bascule","Double run"),"ROKS"))))))</f>
        <v/>
      </c>
      <c r="AO64" s="51" t="str">
        <f aca="false">IF(OR($A64="",AO$8=""),"",IF($F64="Migré","ROKS",IF($F64="À décommissionner",IF(AO$8&lt;$AS64,"IKS","Décom."),IF(OR($AQ64="",$AS64=""),"",IF(AO$8&lt;$AQ64,"IKS",IF(AO$8&lt;$AS64,IF(AO$8=$AR64,"Bascule","Double run"),"ROKS"))))))</f>
        <v/>
      </c>
      <c r="AP64" s="51" t="str">
        <f aca="false">IF(OR($A64="",AP$8=""),"",IF($F64="Migré","ROKS",IF($F64="À décommissionner",IF(AP$8&lt;$AS64,"IKS","Décom."),IF(OR($AQ64="",$AS64=""),"",IF(AP$8&lt;$AQ64,"IKS",IF(AP$8&lt;$AS64,IF(AP$8=$AR64,"Bascule","Double run"),"ROKS"))))))</f>
        <v/>
      </c>
      <c r="AQ64" s="0" t="str">
        <f aca="false">IF($A64="","",INDEX(TblApplications[Mois prov (calc)],$A64))</f>
        <v/>
      </c>
      <c r="AR64" s="0" t="str">
        <f aca="false">IF($A64="","",IFERROR(DATE(YEAR(INDEX(TblApplications[Mois bascule],$A64)),MONTH(INDEX(TblApplications[Mois bascule],$A64)),1),""))</f>
        <v/>
      </c>
      <c r="AS64" s="0" t="str">
        <f aca="false">IF($A64="","",INDEX(TblApplications[Mois lib (calc)],$A64))</f>
        <v/>
      </c>
    </row>
    <row r="65" customFormat="false" ht="15" hidden="false" customHeight="false" outlineLevel="0" collapsed="false">
      <c r="A65" s="49" t="str">
        <f aca="false">IFERROR(MATCH(57,TblApplications[Rang frise],0),"")</f>
        <v/>
      </c>
      <c r="B65" s="50" t="str">
        <f aca="false">IF($A65="","",INDEX(TblApplications[ID],$A65))</f>
        <v/>
      </c>
      <c r="C65" s="50" t="str">
        <f aca="false">IF($A65="","",INDEX(TblApplications[Application],$A65))</f>
        <v/>
      </c>
      <c r="D65" s="50" t="str">
        <f aca="false">IF($A65="","",INDEX(TblApplications[Environnement],$A65))</f>
        <v/>
      </c>
      <c r="E65" s="50" t="str">
        <f aca="false">IF($A65="","",INDEX(TblApplications[Couloir],$A65))</f>
        <v/>
      </c>
      <c r="F65" s="50" t="str">
        <f aca="false">IF($A65="","",INDEX(TblApplications[Action],$A65))</f>
        <v/>
      </c>
      <c r="G65" s="51" t="str">
        <f aca="false">IF(OR($A65="",G$8=""),"",IF($F65="Migré","ROKS",IF($F65="À décommissionner",IF(G$8&lt;$AS65,"IKS","Décom."),IF(OR($AQ65="",$AS65=""),"",IF(G$8&lt;$AQ65,"IKS",IF(G$8&lt;$AS65,IF(G$8=$AR65,"Bascule","Double run"),"ROKS"))))))</f>
        <v/>
      </c>
      <c r="H65" s="51" t="str">
        <f aca="false">IF(OR($A65="",H$8=""),"",IF($F65="Migré","ROKS",IF($F65="À décommissionner",IF(H$8&lt;$AS65,"IKS","Décom."),IF(OR($AQ65="",$AS65=""),"",IF(H$8&lt;$AQ65,"IKS",IF(H$8&lt;$AS65,IF(H$8=$AR65,"Bascule","Double run"),"ROKS"))))))</f>
        <v/>
      </c>
      <c r="I65" s="51" t="str">
        <f aca="false">IF(OR($A65="",I$8=""),"",IF($F65="Migré","ROKS",IF($F65="À décommissionner",IF(I$8&lt;$AS65,"IKS","Décom."),IF(OR($AQ65="",$AS65=""),"",IF(I$8&lt;$AQ65,"IKS",IF(I$8&lt;$AS65,IF(I$8=$AR65,"Bascule","Double run"),"ROKS"))))))</f>
        <v/>
      </c>
      <c r="J65" s="51" t="str">
        <f aca="false">IF(OR($A65="",J$8=""),"",IF($F65="Migré","ROKS",IF($F65="À décommissionner",IF(J$8&lt;$AS65,"IKS","Décom."),IF(OR($AQ65="",$AS65=""),"",IF(J$8&lt;$AQ65,"IKS",IF(J$8&lt;$AS65,IF(J$8=$AR65,"Bascule","Double run"),"ROKS"))))))</f>
        <v/>
      </c>
      <c r="K65" s="51" t="str">
        <f aca="false">IF(OR($A65="",K$8=""),"",IF($F65="Migré","ROKS",IF($F65="À décommissionner",IF(K$8&lt;$AS65,"IKS","Décom."),IF(OR($AQ65="",$AS65=""),"",IF(K$8&lt;$AQ65,"IKS",IF(K$8&lt;$AS65,IF(K$8=$AR65,"Bascule","Double run"),"ROKS"))))))</f>
        <v/>
      </c>
      <c r="L65" s="51" t="str">
        <f aca="false">IF(OR($A65="",L$8=""),"",IF($F65="Migré","ROKS",IF($F65="À décommissionner",IF(L$8&lt;$AS65,"IKS","Décom."),IF(OR($AQ65="",$AS65=""),"",IF(L$8&lt;$AQ65,"IKS",IF(L$8&lt;$AS65,IF(L$8=$AR65,"Bascule","Double run"),"ROKS"))))))</f>
        <v/>
      </c>
      <c r="M65" s="51" t="str">
        <f aca="false">IF(OR($A65="",M$8=""),"",IF($F65="Migré","ROKS",IF($F65="À décommissionner",IF(M$8&lt;$AS65,"IKS","Décom."),IF(OR($AQ65="",$AS65=""),"",IF(M$8&lt;$AQ65,"IKS",IF(M$8&lt;$AS65,IF(M$8=$AR65,"Bascule","Double run"),"ROKS"))))))</f>
        <v/>
      </c>
      <c r="N65" s="51" t="str">
        <f aca="false">IF(OR($A65="",N$8=""),"",IF($F65="Migré","ROKS",IF($F65="À décommissionner",IF(N$8&lt;$AS65,"IKS","Décom."),IF(OR($AQ65="",$AS65=""),"",IF(N$8&lt;$AQ65,"IKS",IF(N$8&lt;$AS65,IF(N$8=$AR65,"Bascule","Double run"),"ROKS"))))))</f>
        <v/>
      </c>
      <c r="O65" s="51" t="str">
        <f aca="false">IF(OR($A65="",O$8=""),"",IF($F65="Migré","ROKS",IF($F65="À décommissionner",IF(O$8&lt;$AS65,"IKS","Décom."),IF(OR($AQ65="",$AS65=""),"",IF(O$8&lt;$AQ65,"IKS",IF(O$8&lt;$AS65,IF(O$8=$AR65,"Bascule","Double run"),"ROKS"))))))</f>
        <v/>
      </c>
      <c r="P65" s="51" t="str">
        <f aca="false">IF(OR($A65="",P$8=""),"",IF($F65="Migré","ROKS",IF($F65="À décommissionner",IF(P$8&lt;$AS65,"IKS","Décom."),IF(OR($AQ65="",$AS65=""),"",IF(P$8&lt;$AQ65,"IKS",IF(P$8&lt;$AS65,IF(P$8=$AR65,"Bascule","Double run"),"ROKS"))))))</f>
        <v/>
      </c>
      <c r="Q65" s="51" t="str">
        <f aca="false">IF(OR($A65="",Q$8=""),"",IF($F65="Migré","ROKS",IF($F65="À décommissionner",IF(Q$8&lt;$AS65,"IKS","Décom."),IF(OR($AQ65="",$AS65=""),"",IF(Q$8&lt;$AQ65,"IKS",IF(Q$8&lt;$AS65,IF(Q$8=$AR65,"Bascule","Double run"),"ROKS"))))))</f>
        <v/>
      </c>
      <c r="R65" s="51" t="str">
        <f aca="false">IF(OR($A65="",R$8=""),"",IF($F65="Migré","ROKS",IF($F65="À décommissionner",IF(R$8&lt;$AS65,"IKS","Décom."),IF(OR($AQ65="",$AS65=""),"",IF(R$8&lt;$AQ65,"IKS",IF(R$8&lt;$AS65,IF(R$8=$AR65,"Bascule","Double run"),"ROKS"))))))</f>
        <v/>
      </c>
      <c r="S65" s="51" t="str">
        <f aca="false">IF(OR($A65="",S$8=""),"",IF($F65="Migré","ROKS",IF($F65="À décommissionner",IF(S$8&lt;$AS65,"IKS","Décom."),IF(OR($AQ65="",$AS65=""),"",IF(S$8&lt;$AQ65,"IKS",IF(S$8&lt;$AS65,IF(S$8=$AR65,"Bascule","Double run"),"ROKS"))))))</f>
        <v/>
      </c>
      <c r="T65" s="51" t="str">
        <f aca="false">IF(OR($A65="",T$8=""),"",IF($F65="Migré","ROKS",IF($F65="À décommissionner",IF(T$8&lt;$AS65,"IKS","Décom."),IF(OR($AQ65="",$AS65=""),"",IF(T$8&lt;$AQ65,"IKS",IF(T$8&lt;$AS65,IF(T$8=$AR65,"Bascule","Double run"),"ROKS"))))))</f>
        <v/>
      </c>
      <c r="U65" s="51" t="str">
        <f aca="false">IF(OR($A65="",U$8=""),"",IF($F65="Migré","ROKS",IF($F65="À décommissionner",IF(U$8&lt;$AS65,"IKS","Décom."),IF(OR($AQ65="",$AS65=""),"",IF(U$8&lt;$AQ65,"IKS",IF(U$8&lt;$AS65,IF(U$8=$AR65,"Bascule","Double run"),"ROKS"))))))</f>
        <v/>
      </c>
      <c r="V65" s="51" t="str">
        <f aca="false">IF(OR($A65="",V$8=""),"",IF($F65="Migré","ROKS",IF($F65="À décommissionner",IF(V$8&lt;$AS65,"IKS","Décom."),IF(OR($AQ65="",$AS65=""),"",IF(V$8&lt;$AQ65,"IKS",IF(V$8&lt;$AS65,IF(V$8=$AR65,"Bascule","Double run"),"ROKS"))))))</f>
        <v/>
      </c>
      <c r="W65" s="51" t="str">
        <f aca="false">IF(OR($A65="",W$8=""),"",IF($F65="Migré","ROKS",IF($F65="À décommissionner",IF(W$8&lt;$AS65,"IKS","Décom."),IF(OR($AQ65="",$AS65=""),"",IF(W$8&lt;$AQ65,"IKS",IF(W$8&lt;$AS65,IF(W$8=$AR65,"Bascule","Double run"),"ROKS"))))))</f>
        <v/>
      </c>
      <c r="X65" s="51" t="str">
        <f aca="false">IF(OR($A65="",X$8=""),"",IF($F65="Migré","ROKS",IF($F65="À décommissionner",IF(X$8&lt;$AS65,"IKS","Décom."),IF(OR($AQ65="",$AS65=""),"",IF(X$8&lt;$AQ65,"IKS",IF(X$8&lt;$AS65,IF(X$8=$AR65,"Bascule","Double run"),"ROKS"))))))</f>
        <v/>
      </c>
      <c r="Y65" s="51" t="str">
        <f aca="false">IF(OR($A65="",Y$8=""),"",IF($F65="Migré","ROKS",IF($F65="À décommissionner",IF(Y$8&lt;$AS65,"IKS","Décom."),IF(OR($AQ65="",$AS65=""),"",IF(Y$8&lt;$AQ65,"IKS",IF(Y$8&lt;$AS65,IF(Y$8=$AR65,"Bascule","Double run"),"ROKS"))))))</f>
        <v/>
      </c>
      <c r="Z65" s="51" t="str">
        <f aca="false">IF(OR($A65="",Z$8=""),"",IF($F65="Migré","ROKS",IF($F65="À décommissionner",IF(Z$8&lt;$AS65,"IKS","Décom."),IF(OR($AQ65="",$AS65=""),"",IF(Z$8&lt;$AQ65,"IKS",IF(Z$8&lt;$AS65,IF(Z$8=$AR65,"Bascule","Double run"),"ROKS"))))))</f>
        <v/>
      </c>
      <c r="AA65" s="51" t="str">
        <f aca="false">IF(OR($A65="",AA$8=""),"",IF($F65="Migré","ROKS",IF($F65="À décommissionner",IF(AA$8&lt;$AS65,"IKS","Décom."),IF(OR($AQ65="",$AS65=""),"",IF(AA$8&lt;$AQ65,"IKS",IF(AA$8&lt;$AS65,IF(AA$8=$AR65,"Bascule","Double run"),"ROKS"))))))</f>
        <v/>
      </c>
      <c r="AB65" s="51" t="str">
        <f aca="false">IF(OR($A65="",AB$8=""),"",IF($F65="Migré","ROKS",IF($F65="À décommissionner",IF(AB$8&lt;$AS65,"IKS","Décom."),IF(OR($AQ65="",$AS65=""),"",IF(AB$8&lt;$AQ65,"IKS",IF(AB$8&lt;$AS65,IF(AB$8=$AR65,"Bascule","Double run"),"ROKS"))))))</f>
        <v/>
      </c>
      <c r="AC65" s="51" t="str">
        <f aca="false">IF(OR($A65="",AC$8=""),"",IF($F65="Migré","ROKS",IF($F65="À décommissionner",IF(AC$8&lt;$AS65,"IKS","Décom."),IF(OR($AQ65="",$AS65=""),"",IF(AC$8&lt;$AQ65,"IKS",IF(AC$8&lt;$AS65,IF(AC$8=$AR65,"Bascule","Double run"),"ROKS"))))))</f>
        <v/>
      </c>
      <c r="AD65" s="51" t="str">
        <f aca="false">IF(OR($A65="",AD$8=""),"",IF($F65="Migré","ROKS",IF($F65="À décommissionner",IF(AD$8&lt;$AS65,"IKS","Décom."),IF(OR($AQ65="",$AS65=""),"",IF(AD$8&lt;$AQ65,"IKS",IF(AD$8&lt;$AS65,IF(AD$8=$AR65,"Bascule","Double run"),"ROKS"))))))</f>
        <v/>
      </c>
      <c r="AE65" s="51" t="str">
        <f aca="false">IF(OR($A65="",AE$8=""),"",IF($F65="Migré","ROKS",IF($F65="À décommissionner",IF(AE$8&lt;$AS65,"IKS","Décom."),IF(OR($AQ65="",$AS65=""),"",IF(AE$8&lt;$AQ65,"IKS",IF(AE$8&lt;$AS65,IF(AE$8=$AR65,"Bascule","Double run"),"ROKS"))))))</f>
        <v/>
      </c>
      <c r="AF65" s="51" t="str">
        <f aca="false">IF(OR($A65="",AF$8=""),"",IF($F65="Migré","ROKS",IF($F65="À décommissionner",IF(AF$8&lt;$AS65,"IKS","Décom."),IF(OR($AQ65="",$AS65=""),"",IF(AF$8&lt;$AQ65,"IKS",IF(AF$8&lt;$AS65,IF(AF$8=$AR65,"Bascule","Double run"),"ROKS"))))))</f>
        <v/>
      </c>
      <c r="AG65" s="51" t="str">
        <f aca="false">IF(OR($A65="",AG$8=""),"",IF($F65="Migré","ROKS",IF($F65="À décommissionner",IF(AG$8&lt;$AS65,"IKS","Décom."),IF(OR($AQ65="",$AS65=""),"",IF(AG$8&lt;$AQ65,"IKS",IF(AG$8&lt;$AS65,IF(AG$8=$AR65,"Bascule","Double run"),"ROKS"))))))</f>
        <v/>
      </c>
      <c r="AH65" s="51" t="str">
        <f aca="false">IF(OR($A65="",AH$8=""),"",IF($F65="Migré","ROKS",IF($F65="À décommissionner",IF(AH$8&lt;$AS65,"IKS","Décom."),IF(OR($AQ65="",$AS65=""),"",IF(AH$8&lt;$AQ65,"IKS",IF(AH$8&lt;$AS65,IF(AH$8=$AR65,"Bascule","Double run"),"ROKS"))))))</f>
        <v/>
      </c>
      <c r="AI65" s="51" t="str">
        <f aca="false">IF(OR($A65="",AI$8=""),"",IF($F65="Migré","ROKS",IF($F65="À décommissionner",IF(AI$8&lt;$AS65,"IKS","Décom."),IF(OR($AQ65="",$AS65=""),"",IF(AI$8&lt;$AQ65,"IKS",IF(AI$8&lt;$AS65,IF(AI$8=$AR65,"Bascule","Double run"),"ROKS"))))))</f>
        <v/>
      </c>
      <c r="AJ65" s="51" t="str">
        <f aca="false">IF(OR($A65="",AJ$8=""),"",IF($F65="Migré","ROKS",IF($F65="À décommissionner",IF(AJ$8&lt;$AS65,"IKS","Décom."),IF(OR($AQ65="",$AS65=""),"",IF(AJ$8&lt;$AQ65,"IKS",IF(AJ$8&lt;$AS65,IF(AJ$8=$AR65,"Bascule","Double run"),"ROKS"))))))</f>
        <v/>
      </c>
      <c r="AK65" s="51" t="str">
        <f aca="false">IF(OR($A65="",AK$8=""),"",IF($F65="Migré","ROKS",IF($F65="À décommissionner",IF(AK$8&lt;$AS65,"IKS","Décom."),IF(OR($AQ65="",$AS65=""),"",IF(AK$8&lt;$AQ65,"IKS",IF(AK$8&lt;$AS65,IF(AK$8=$AR65,"Bascule","Double run"),"ROKS"))))))</f>
        <v/>
      </c>
      <c r="AL65" s="51" t="str">
        <f aca="false">IF(OR($A65="",AL$8=""),"",IF($F65="Migré","ROKS",IF($F65="À décommissionner",IF(AL$8&lt;$AS65,"IKS","Décom."),IF(OR($AQ65="",$AS65=""),"",IF(AL$8&lt;$AQ65,"IKS",IF(AL$8&lt;$AS65,IF(AL$8=$AR65,"Bascule","Double run"),"ROKS"))))))</f>
        <v/>
      </c>
      <c r="AM65" s="51" t="str">
        <f aca="false">IF(OR($A65="",AM$8=""),"",IF($F65="Migré","ROKS",IF($F65="À décommissionner",IF(AM$8&lt;$AS65,"IKS","Décom."),IF(OR($AQ65="",$AS65=""),"",IF(AM$8&lt;$AQ65,"IKS",IF(AM$8&lt;$AS65,IF(AM$8=$AR65,"Bascule","Double run"),"ROKS"))))))</f>
        <v/>
      </c>
      <c r="AN65" s="51" t="str">
        <f aca="false">IF(OR($A65="",AN$8=""),"",IF($F65="Migré","ROKS",IF($F65="À décommissionner",IF(AN$8&lt;$AS65,"IKS","Décom."),IF(OR($AQ65="",$AS65=""),"",IF(AN$8&lt;$AQ65,"IKS",IF(AN$8&lt;$AS65,IF(AN$8=$AR65,"Bascule","Double run"),"ROKS"))))))</f>
        <v/>
      </c>
      <c r="AO65" s="51" t="str">
        <f aca="false">IF(OR($A65="",AO$8=""),"",IF($F65="Migré","ROKS",IF($F65="À décommissionner",IF(AO$8&lt;$AS65,"IKS","Décom."),IF(OR($AQ65="",$AS65=""),"",IF(AO$8&lt;$AQ65,"IKS",IF(AO$8&lt;$AS65,IF(AO$8=$AR65,"Bascule","Double run"),"ROKS"))))))</f>
        <v/>
      </c>
      <c r="AP65" s="51" t="str">
        <f aca="false">IF(OR($A65="",AP$8=""),"",IF($F65="Migré","ROKS",IF($F65="À décommissionner",IF(AP$8&lt;$AS65,"IKS","Décom."),IF(OR($AQ65="",$AS65=""),"",IF(AP$8&lt;$AQ65,"IKS",IF(AP$8&lt;$AS65,IF(AP$8=$AR65,"Bascule","Double run"),"ROKS"))))))</f>
        <v/>
      </c>
      <c r="AQ65" s="0" t="str">
        <f aca="false">IF($A65="","",INDEX(TblApplications[Mois prov (calc)],$A65))</f>
        <v/>
      </c>
      <c r="AR65" s="0" t="str">
        <f aca="false">IF($A65="","",IFERROR(DATE(YEAR(INDEX(TblApplications[Mois bascule],$A65)),MONTH(INDEX(TblApplications[Mois bascule],$A65)),1),""))</f>
        <v/>
      </c>
      <c r="AS65" s="0" t="str">
        <f aca="false">IF($A65="","",INDEX(TblApplications[Mois lib (calc)],$A65))</f>
        <v/>
      </c>
    </row>
    <row r="66" customFormat="false" ht="15" hidden="false" customHeight="false" outlineLevel="0" collapsed="false">
      <c r="A66" s="49" t="str">
        <f aca="false">IFERROR(MATCH(58,TblApplications[Rang frise],0),"")</f>
        <v/>
      </c>
      <c r="B66" s="50" t="str">
        <f aca="false">IF($A66="","",INDEX(TblApplications[ID],$A66))</f>
        <v/>
      </c>
      <c r="C66" s="50" t="str">
        <f aca="false">IF($A66="","",INDEX(TblApplications[Application],$A66))</f>
        <v/>
      </c>
      <c r="D66" s="50" t="str">
        <f aca="false">IF($A66="","",INDEX(TblApplications[Environnement],$A66))</f>
        <v/>
      </c>
      <c r="E66" s="50" t="str">
        <f aca="false">IF($A66="","",INDEX(TblApplications[Couloir],$A66))</f>
        <v/>
      </c>
      <c r="F66" s="50" t="str">
        <f aca="false">IF($A66="","",INDEX(TblApplications[Action],$A66))</f>
        <v/>
      </c>
      <c r="G66" s="51" t="str">
        <f aca="false">IF(OR($A66="",G$8=""),"",IF($F66="Migré","ROKS",IF($F66="À décommissionner",IF(G$8&lt;$AS66,"IKS","Décom."),IF(OR($AQ66="",$AS66=""),"",IF(G$8&lt;$AQ66,"IKS",IF(G$8&lt;$AS66,IF(G$8=$AR66,"Bascule","Double run"),"ROKS"))))))</f>
        <v/>
      </c>
      <c r="H66" s="51" t="str">
        <f aca="false">IF(OR($A66="",H$8=""),"",IF($F66="Migré","ROKS",IF($F66="À décommissionner",IF(H$8&lt;$AS66,"IKS","Décom."),IF(OR($AQ66="",$AS66=""),"",IF(H$8&lt;$AQ66,"IKS",IF(H$8&lt;$AS66,IF(H$8=$AR66,"Bascule","Double run"),"ROKS"))))))</f>
        <v/>
      </c>
      <c r="I66" s="51" t="str">
        <f aca="false">IF(OR($A66="",I$8=""),"",IF($F66="Migré","ROKS",IF($F66="À décommissionner",IF(I$8&lt;$AS66,"IKS","Décom."),IF(OR($AQ66="",$AS66=""),"",IF(I$8&lt;$AQ66,"IKS",IF(I$8&lt;$AS66,IF(I$8=$AR66,"Bascule","Double run"),"ROKS"))))))</f>
        <v/>
      </c>
      <c r="J66" s="51" t="str">
        <f aca="false">IF(OR($A66="",J$8=""),"",IF($F66="Migré","ROKS",IF($F66="À décommissionner",IF(J$8&lt;$AS66,"IKS","Décom."),IF(OR($AQ66="",$AS66=""),"",IF(J$8&lt;$AQ66,"IKS",IF(J$8&lt;$AS66,IF(J$8=$AR66,"Bascule","Double run"),"ROKS"))))))</f>
        <v/>
      </c>
      <c r="K66" s="51" t="str">
        <f aca="false">IF(OR($A66="",K$8=""),"",IF($F66="Migré","ROKS",IF($F66="À décommissionner",IF(K$8&lt;$AS66,"IKS","Décom."),IF(OR($AQ66="",$AS66=""),"",IF(K$8&lt;$AQ66,"IKS",IF(K$8&lt;$AS66,IF(K$8=$AR66,"Bascule","Double run"),"ROKS"))))))</f>
        <v/>
      </c>
      <c r="L66" s="51" t="str">
        <f aca="false">IF(OR($A66="",L$8=""),"",IF($F66="Migré","ROKS",IF($F66="À décommissionner",IF(L$8&lt;$AS66,"IKS","Décom."),IF(OR($AQ66="",$AS66=""),"",IF(L$8&lt;$AQ66,"IKS",IF(L$8&lt;$AS66,IF(L$8=$AR66,"Bascule","Double run"),"ROKS"))))))</f>
        <v/>
      </c>
      <c r="M66" s="51" t="str">
        <f aca="false">IF(OR($A66="",M$8=""),"",IF($F66="Migré","ROKS",IF($F66="À décommissionner",IF(M$8&lt;$AS66,"IKS","Décom."),IF(OR($AQ66="",$AS66=""),"",IF(M$8&lt;$AQ66,"IKS",IF(M$8&lt;$AS66,IF(M$8=$AR66,"Bascule","Double run"),"ROKS"))))))</f>
        <v/>
      </c>
      <c r="N66" s="51" t="str">
        <f aca="false">IF(OR($A66="",N$8=""),"",IF($F66="Migré","ROKS",IF($F66="À décommissionner",IF(N$8&lt;$AS66,"IKS","Décom."),IF(OR($AQ66="",$AS66=""),"",IF(N$8&lt;$AQ66,"IKS",IF(N$8&lt;$AS66,IF(N$8=$AR66,"Bascule","Double run"),"ROKS"))))))</f>
        <v/>
      </c>
      <c r="O66" s="51" t="str">
        <f aca="false">IF(OR($A66="",O$8=""),"",IF($F66="Migré","ROKS",IF($F66="À décommissionner",IF(O$8&lt;$AS66,"IKS","Décom."),IF(OR($AQ66="",$AS66=""),"",IF(O$8&lt;$AQ66,"IKS",IF(O$8&lt;$AS66,IF(O$8=$AR66,"Bascule","Double run"),"ROKS"))))))</f>
        <v/>
      </c>
      <c r="P66" s="51" t="str">
        <f aca="false">IF(OR($A66="",P$8=""),"",IF($F66="Migré","ROKS",IF($F66="À décommissionner",IF(P$8&lt;$AS66,"IKS","Décom."),IF(OR($AQ66="",$AS66=""),"",IF(P$8&lt;$AQ66,"IKS",IF(P$8&lt;$AS66,IF(P$8=$AR66,"Bascule","Double run"),"ROKS"))))))</f>
        <v/>
      </c>
      <c r="Q66" s="51" t="str">
        <f aca="false">IF(OR($A66="",Q$8=""),"",IF($F66="Migré","ROKS",IF($F66="À décommissionner",IF(Q$8&lt;$AS66,"IKS","Décom."),IF(OR($AQ66="",$AS66=""),"",IF(Q$8&lt;$AQ66,"IKS",IF(Q$8&lt;$AS66,IF(Q$8=$AR66,"Bascule","Double run"),"ROKS"))))))</f>
        <v/>
      </c>
      <c r="R66" s="51" t="str">
        <f aca="false">IF(OR($A66="",R$8=""),"",IF($F66="Migré","ROKS",IF($F66="À décommissionner",IF(R$8&lt;$AS66,"IKS","Décom."),IF(OR($AQ66="",$AS66=""),"",IF(R$8&lt;$AQ66,"IKS",IF(R$8&lt;$AS66,IF(R$8=$AR66,"Bascule","Double run"),"ROKS"))))))</f>
        <v/>
      </c>
      <c r="S66" s="51" t="str">
        <f aca="false">IF(OR($A66="",S$8=""),"",IF($F66="Migré","ROKS",IF($F66="À décommissionner",IF(S$8&lt;$AS66,"IKS","Décom."),IF(OR($AQ66="",$AS66=""),"",IF(S$8&lt;$AQ66,"IKS",IF(S$8&lt;$AS66,IF(S$8=$AR66,"Bascule","Double run"),"ROKS"))))))</f>
        <v/>
      </c>
      <c r="T66" s="51" t="str">
        <f aca="false">IF(OR($A66="",T$8=""),"",IF($F66="Migré","ROKS",IF($F66="À décommissionner",IF(T$8&lt;$AS66,"IKS","Décom."),IF(OR($AQ66="",$AS66=""),"",IF(T$8&lt;$AQ66,"IKS",IF(T$8&lt;$AS66,IF(T$8=$AR66,"Bascule","Double run"),"ROKS"))))))</f>
        <v/>
      </c>
      <c r="U66" s="51" t="str">
        <f aca="false">IF(OR($A66="",U$8=""),"",IF($F66="Migré","ROKS",IF($F66="À décommissionner",IF(U$8&lt;$AS66,"IKS","Décom."),IF(OR($AQ66="",$AS66=""),"",IF(U$8&lt;$AQ66,"IKS",IF(U$8&lt;$AS66,IF(U$8=$AR66,"Bascule","Double run"),"ROKS"))))))</f>
        <v/>
      </c>
      <c r="V66" s="51" t="str">
        <f aca="false">IF(OR($A66="",V$8=""),"",IF($F66="Migré","ROKS",IF($F66="À décommissionner",IF(V$8&lt;$AS66,"IKS","Décom."),IF(OR($AQ66="",$AS66=""),"",IF(V$8&lt;$AQ66,"IKS",IF(V$8&lt;$AS66,IF(V$8=$AR66,"Bascule","Double run"),"ROKS"))))))</f>
        <v/>
      </c>
      <c r="W66" s="51" t="str">
        <f aca="false">IF(OR($A66="",W$8=""),"",IF($F66="Migré","ROKS",IF($F66="À décommissionner",IF(W$8&lt;$AS66,"IKS","Décom."),IF(OR($AQ66="",$AS66=""),"",IF(W$8&lt;$AQ66,"IKS",IF(W$8&lt;$AS66,IF(W$8=$AR66,"Bascule","Double run"),"ROKS"))))))</f>
        <v/>
      </c>
      <c r="X66" s="51" t="str">
        <f aca="false">IF(OR($A66="",X$8=""),"",IF($F66="Migré","ROKS",IF($F66="À décommissionner",IF(X$8&lt;$AS66,"IKS","Décom."),IF(OR($AQ66="",$AS66=""),"",IF(X$8&lt;$AQ66,"IKS",IF(X$8&lt;$AS66,IF(X$8=$AR66,"Bascule","Double run"),"ROKS"))))))</f>
        <v/>
      </c>
      <c r="Y66" s="51" t="str">
        <f aca="false">IF(OR($A66="",Y$8=""),"",IF($F66="Migré","ROKS",IF($F66="À décommissionner",IF(Y$8&lt;$AS66,"IKS","Décom."),IF(OR($AQ66="",$AS66=""),"",IF(Y$8&lt;$AQ66,"IKS",IF(Y$8&lt;$AS66,IF(Y$8=$AR66,"Bascule","Double run"),"ROKS"))))))</f>
        <v/>
      </c>
      <c r="Z66" s="51" t="str">
        <f aca="false">IF(OR($A66="",Z$8=""),"",IF($F66="Migré","ROKS",IF($F66="À décommissionner",IF(Z$8&lt;$AS66,"IKS","Décom."),IF(OR($AQ66="",$AS66=""),"",IF(Z$8&lt;$AQ66,"IKS",IF(Z$8&lt;$AS66,IF(Z$8=$AR66,"Bascule","Double run"),"ROKS"))))))</f>
        <v/>
      </c>
      <c r="AA66" s="51" t="str">
        <f aca="false">IF(OR($A66="",AA$8=""),"",IF($F66="Migré","ROKS",IF($F66="À décommissionner",IF(AA$8&lt;$AS66,"IKS","Décom."),IF(OR($AQ66="",$AS66=""),"",IF(AA$8&lt;$AQ66,"IKS",IF(AA$8&lt;$AS66,IF(AA$8=$AR66,"Bascule","Double run"),"ROKS"))))))</f>
        <v/>
      </c>
      <c r="AB66" s="51" t="str">
        <f aca="false">IF(OR($A66="",AB$8=""),"",IF($F66="Migré","ROKS",IF($F66="À décommissionner",IF(AB$8&lt;$AS66,"IKS","Décom."),IF(OR($AQ66="",$AS66=""),"",IF(AB$8&lt;$AQ66,"IKS",IF(AB$8&lt;$AS66,IF(AB$8=$AR66,"Bascule","Double run"),"ROKS"))))))</f>
        <v/>
      </c>
      <c r="AC66" s="51" t="str">
        <f aca="false">IF(OR($A66="",AC$8=""),"",IF($F66="Migré","ROKS",IF($F66="À décommissionner",IF(AC$8&lt;$AS66,"IKS","Décom."),IF(OR($AQ66="",$AS66=""),"",IF(AC$8&lt;$AQ66,"IKS",IF(AC$8&lt;$AS66,IF(AC$8=$AR66,"Bascule","Double run"),"ROKS"))))))</f>
        <v/>
      </c>
      <c r="AD66" s="51" t="str">
        <f aca="false">IF(OR($A66="",AD$8=""),"",IF($F66="Migré","ROKS",IF($F66="À décommissionner",IF(AD$8&lt;$AS66,"IKS","Décom."),IF(OR($AQ66="",$AS66=""),"",IF(AD$8&lt;$AQ66,"IKS",IF(AD$8&lt;$AS66,IF(AD$8=$AR66,"Bascule","Double run"),"ROKS"))))))</f>
        <v/>
      </c>
      <c r="AE66" s="51" t="str">
        <f aca="false">IF(OR($A66="",AE$8=""),"",IF($F66="Migré","ROKS",IF($F66="À décommissionner",IF(AE$8&lt;$AS66,"IKS","Décom."),IF(OR($AQ66="",$AS66=""),"",IF(AE$8&lt;$AQ66,"IKS",IF(AE$8&lt;$AS66,IF(AE$8=$AR66,"Bascule","Double run"),"ROKS"))))))</f>
        <v/>
      </c>
      <c r="AF66" s="51" t="str">
        <f aca="false">IF(OR($A66="",AF$8=""),"",IF($F66="Migré","ROKS",IF($F66="À décommissionner",IF(AF$8&lt;$AS66,"IKS","Décom."),IF(OR($AQ66="",$AS66=""),"",IF(AF$8&lt;$AQ66,"IKS",IF(AF$8&lt;$AS66,IF(AF$8=$AR66,"Bascule","Double run"),"ROKS"))))))</f>
        <v/>
      </c>
      <c r="AG66" s="51" t="str">
        <f aca="false">IF(OR($A66="",AG$8=""),"",IF($F66="Migré","ROKS",IF($F66="À décommissionner",IF(AG$8&lt;$AS66,"IKS","Décom."),IF(OR($AQ66="",$AS66=""),"",IF(AG$8&lt;$AQ66,"IKS",IF(AG$8&lt;$AS66,IF(AG$8=$AR66,"Bascule","Double run"),"ROKS"))))))</f>
        <v/>
      </c>
      <c r="AH66" s="51" t="str">
        <f aca="false">IF(OR($A66="",AH$8=""),"",IF($F66="Migré","ROKS",IF($F66="À décommissionner",IF(AH$8&lt;$AS66,"IKS","Décom."),IF(OR($AQ66="",$AS66=""),"",IF(AH$8&lt;$AQ66,"IKS",IF(AH$8&lt;$AS66,IF(AH$8=$AR66,"Bascule","Double run"),"ROKS"))))))</f>
        <v/>
      </c>
      <c r="AI66" s="51" t="str">
        <f aca="false">IF(OR($A66="",AI$8=""),"",IF($F66="Migré","ROKS",IF($F66="À décommissionner",IF(AI$8&lt;$AS66,"IKS","Décom."),IF(OR($AQ66="",$AS66=""),"",IF(AI$8&lt;$AQ66,"IKS",IF(AI$8&lt;$AS66,IF(AI$8=$AR66,"Bascule","Double run"),"ROKS"))))))</f>
        <v/>
      </c>
      <c r="AJ66" s="51" t="str">
        <f aca="false">IF(OR($A66="",AJ$8=""),"",IF($F66="Migré","ROKS",IF($F66="À décommissionner",IF(AJ$8&lt;$AS66,"IKS","Décom."),IF(OR($AQ66="",$AS66=""),"",IF(AJ$8&lt;$AQ66,"IKS",IF(AJ$8&lt;$AS66,IF(AJ$8=$AR66,"Bascule","Double run"),"ROKS"))))))</f>
        <v/>
      </c>
      <c r="AK66" s="51" t="str">
        <f aca="false">IF(OR($A66="",AK$8=""),"",IF($F66="Migré","ROKS",IF($F66="À décommissionner",IF(AK$8&lt;$AS66,"IKS","Décom."),IF(OR($AQ66="",$AS66=""),"",IF(AK$8&lt;$AQ66,"IKS",IF(AK$8&lt;$AS66,IF(AK$8=$AR66,"Bascule","Double run"),"ROKS"))))))</f>
        <v/>
      </c>
      <c r="AL66" s="51" t="str">
        <f aca="false">IF(OR($A66="",AL$8=""),"",IF($F66="Migré","ROKS",IF($F66="À décommissionner",IF(AL$8&lt;$AS66,"IKS","Décom."),IF(OR($AQ66="",$AS66=""),"",IF(AL$8&lt;$AQ66,"IKS",IF(AL$8&lt;$AS66,IF(AL$8=$AR66,"Bascule","Double run"),"ROKS"))))))</f>
        <v/>
      </c>
      <c r="AM66" s="51" t="str">
        <f aca="false">IF(OR($A66="",AM$8=""),"",IF($F66="Migré","ROKS",IF($F66="À décommissionner",IF(AM$8&lt;$AS66,"IKS","Décom."),IF(OR($AQ66="",$AS66=""),"",IF(AM$8&lt;$AQ66,"IKS",IF(AM$8&lt;$AS66,IF(AM$8=$AR66,"Bascule","Double run"),"ROKS"))))))</f>
        <v/>
      </c>
      <c r="AN66" s="51" t="str">
        <f aca="false">IF(OR($A66="",AN$8=""),"",IF($F66="Migré","ROKS",IF($F66="À décommissionner",IF(AN$8&lt;$AS66,"IKS","Décom."),IF(OR($AQ66="",$AS66=""),"",IF(AN$8&lt;$AQ66,"IKS",IF(AN$8&lt;$AS66,IF(AN$8=$AR66,"Bascule","Double run"),"ROKS"))))))</f>
        <v/>
      </c>
      <c r="AO66" s="51" t="str">
        <f aca="false">IF(OR($A66="",AO$8=""),"",IF($F66="Migré","ROKS",IF($F66="À décommissionner",IF(AO$8&lt;$AS66,"IKS","Décom."),IF(OR($AQ66="",$AS66=""),"",IF(AO$8&lt;$AQ66,"IKS",IF(AO$8&lt;$AS66,IF(AO$8=$AR66,"Bascule","Double run"),"ROKS"))))))</f>
        <v/>
      </c>
      <c r="AP66" s="51" t="str">
        <f aca="false">IF(OR($A66="",AP$8=""),"",IF($F66="Migré","ROKS",IF($F66="À décommissionner",IF(AP$8&lt;$AS66,"IKS","Décom."),IF(OR($AQ66="",$AS66=""),"",IF(AP$8&lt;$AQ66,"IKS",IF(AP$8&lt;$AS66,IF(AP$8=$AR66,"Bascule","Double run"),"ROKS"))))))</f>
        <v/>
      </c>
      <c r="AQ66" s="0" t="str">
        <f aca="false">IF($A66="","",INDEX(TblApplications[Mois prov (calc)],$A66))</f>
        <v/>
      </c>
      <c r="AR66" s="0" t="str">
        <f aca="false">IF($A66="","",IFERROR(DATE(YEAR(INDEX(TblApplications[Mois bascule],$A66)),MONTH(INDEX(TblApplications[Mois bascule],$A66)),1),""))</f>
        <v/>
      </c>
      <c r="AS66" s="0" t="str">
        <f aca="false">IF($A66="","",INDEX(TblApplications[Mois lib (calc)],$A66))</f>
        <v/>
      </c>
    </row>
    <row r="67" customFormat="false" ht="15" hidden="false" customHeight="false" outlineLevel="0" collapsed="false">
      <c r="A67" s="49" t="str">
        <f aca="false">IFERROR(MATCH(59,TblApplications[Rang frise],0),"")</f>
        <v/>
      </c>
      <c r="B67" s="50" t="str">
        <f aca="false">IF($A67="","",INDEX(TblApplications[ID],$A67))</f>
        <v/>
      </c>
      <c r="C67" s="50" t="str">
        <f aca="false">IF($A67="","",INDEX(TblApplications[Application],$A67))</f>
        <v/>
      </c>
      <c r="D67" s="50" t="str">
        <f aca="false">IF($A67="","",INDEX(TblApplications[Environnement],$A67))</f>
        <v/>
      </c>
      <c r="E67" s="50" t="str">
        <f aca="false">IF($A67="","",INDEX(TblApplications[Couloir],$A67))</f>
        <v/>
      </c>
      <c r="F67" s="50" t="str">
        <f aca="false">IF($A67="","",INDEX(TblApplications[Action],$A67))</f>
        <v/>
      </c>
      <c r="G67" s="51" t="str">
        <f aca="false">IF(OR($A67="",G$8=""),"",IF($F67="Migré","ROKS",IF($F67="À décommissionner",IF(G$8&lt;$AS67,"IKS","Décom."),IF(OR($AQ67="",$AS67=""),"",IF(G$8&lt;$AQ67,"IKS",IF(G$8&lt;$AS67,IF(G$8=$AR67,"Bascule","Double run"),"ROKS"))))))</f>
        <v/>
      </c>
      <c r="H67" s="51" t="str">
        <f aca="false">IF(OR($A67="",H$8=""),"",IF($F67="Migré","ROKS",IF($F67="À décommissionner",IF(H$8&lt;$AS67,"IKS","Décom."),IF(OR($AQ67="",$AS67=""),"",IF(H$8&lt;$AQ67,"IKS",IF(H$8&lt;$AS67,IF(H$8=$AR67,"Bascule","Double run"),"ROKS"))))))</f>
        <v/>
      </c>
      <c r="I67" s="51" t="str">
        <f aca="false">IF(OR($A67="",I$8=""),"",IF($F67="Migré","ROKS",IF($F67="À décommissionner",IF(I$8&lt;$AS67,"IKS","Décom."),IF(OR($AQ67="",$AS67=""),"",IF(I$8&lt;$AQ67,"IKS",IF(I$8&lt;$AS67,IF(I$8=$AR67,"Bascule","Double run"),"ROKS"))))))</f>
        <v/>
      </c>
      <c r="J67" s="51" t="str">
        <f aca="false">IF(OR($A67="",J$8=""),"",IF($F67="Migré","ROKS",IF($F67="À décommissionner",IF(J$8&lt;$AS67,"IKS","Décom."),IF(OR($AQ67="",$AS67=""),"",IF(J$8&lt;$AQ67,"IKS",IF(J$8&lt;$AS67,IF(J$8=$AR67,"Bascule","Double run"),"ROKS"))))))</f>
        <v/>
      </c>
      <c r="K67" s="51" t="str">
        <f aca="false">IF(OR($A67="",K$8=""),"",IF($F67="Migré","ROKS",IF($F67="À décommissionner",IF(K$8&lt;$AS67,"IKS","Décom."),IF(OR($AQ67="",$AS67=""),"",IF(K$8&lt;$AQ67,"IKS",IF(K$8&lt;$AS67,IF(K$8=$AR67,"Bascule","Double run"),"ROKS"))))))</f>
        <v/>
      </c>
      <c r="L67" s="51" t="str">
        <f aca="false">IF(OR($A67="",L$8=""),"",IF($F67="Migré","ROKS",IF($F67="À décommissionner",IF(L$8&lt;$AS67,"IKS","Décom."),IF(OR($AQ67="",$AS67=""),"",IF(L$8&lt;$AQ67,"IKS",IF(L$8&lt;$AS67,IF(L$8=$AR67,"Bascule","Double run"),"ROKS"))))))</f>
        <v/>
      </c>
      <c r="M67" s="51" t="str">
        <f aca="false">IF(OR($A67="",M$8=""),"",IF($F67="Migré","ROKS",IF($F67="À décommissionner",IF(M$8&lt;$AS67,"IKS","Décom."),IF(OR($AQ67="",$AS67=""),"",IF(M$8&lt;$AQ67,"IKS",IF(M$8&lt;$AS67,IF(M$8=$AR67,"Bascule","Double run"),"ROKS"))))))</f>
        <v/>
      </c>
      <c r="N67" s="51" t="str">
        <f aca="false">IF(OR($A67="",N$8=""),"",IF($F67="Migré","ROKS",IF($F67="À décommissionner",IF(N$8&lt;$AS67,"IKS","Décom."),IF(OR($AQ67="",$AS67=""),"",IF(N$8&lt;$AQ67,"IKS",IF(N$8&lt;$AS67,IF(N$8=$AR67,"Bascule","Double run"),"ROKS"))))))</f>
        <v/>
      </c>
      <c r="O67" s="51" t="str">
        <f aca="false">IF(OR($A67="",O$8=""),"",IF($F67="Migré","ROKS",IF($F67="À décommissionner",IF(O$8&lt;$AS67,"IKS","Décom."),IF(OR($AQ67="",$AS67=""),"",IF(O$8&lt;$AQ67,"IKS",IF(O$8&lt;$AS67,IF(O$8=$AR67,"Bascule","Double run"),"ROKS"))))))</f>
        <v/>
      </c>
      <c r="P67" s="51" t="str">
        <f aca="false">IF(OR($A67="",P$8=""),"",IF($F67="Migré","ROKS",IF($F67="À décommissionner",IF(P$8&lt;$AS67,"IKS","Décom."),IF(OR($AQ67="",$AS67=""),"",IF(P$8&lt;$AQ67,"IKS",IF(P$8&lt;$AS67,IF(P$8=$AR67,"Bascule","Double run"),"ROKS"))))))</f>
        <v/>
      </c>
      <c r="Q67" s="51" t="str">
        <f aca="false">IF(OR($A67="",Q$8=""),"",IF($F67="Migré","ROKS",IF($F67="À décommissionner",IF(Q$8&lt;$AS67,"IKS","Décom."),IF(OR($AQ67="",$AS67=""),"",IF(Q$8&lt;$AQ67,"IKS",IF(Q$8&lt;$AS67,IF(Q$8=$AR67,"Bascule","Double run"),"ROKS"))))))</f>
        <v/>
      </c>
      <c r="R67" s="51" t="str">
        <f aca="false">IF(OR($A67="",R$8=""),"",IF($F67="Migré","ROKS",IF($F67="À décommissionner",IF(R$8&lt;$AS67,"IKS","Décom."),IF(OR($AQ67="",$AS67=""),"",IF(R$8&lt;$AQ67,"IKS",IF(R$8&lt;$AS67,IF(R$8=$AR67,"Bascule","Double run"),"ROKS"))))))</f>
        <v/>
      </c>
      <c r="S67" s="51" t="str">
        <f aca="false">IF(OR($A67="",S$8=""),"",IF($F67="Migré","ROKS",IF($F67="À décommissionner",IF(S$8&lt;$AS67,"IKS","Décom."),IF(OR($AQ67="",$AS67=""),"",IF(S$8&lt;$AQ67,"IKS",IF(S$8&lt;$AS67,IF(S$8=$AR67,"Bascule","Double run"),"ROKS"))))))</f>
        <v/>
      </c>
      <c r="T67" s="51" t="str">
        <f aca="false">IF(OR($A67="",T$8=""),"",IF($F67="Migré","ROKS",IF($F67="À décommissionner",IF(T$8&lt;$AS67,"IKS","Décom."),IF(OR($AQ67="",$AS67=""),"",IF(T$8&lt;$AQ67,"IKS",IF(T$8&lt;$AS67,IF(T$8=$AR67,"Bascule","Double run"),"ROKS"))))))</f>
        <v/>
      </c>
      <c r="U67" s="51" t="str">
        <f aca="false">IF(OR($A67="",U$8=""),"",IF($F67="Migré","ROKS",IF($F67="À décommissionner",IF(U$8&lt;$AS67,"IKS","Décom."),IF(OR($AQ67="",$AS67=""),"",IF(U$8&lt;$AQ67,"IKS",IF(U$8&lt;$AS67,IF(U$8=$AR67,"Bascule","Double run"),"ROKS"))))))</f>
        <v/>
      </c>
      <c r="V67" s="51" t="str">
        <f aca="false">IF(OR($A67="",V$8=""),"",IF($F67="Migré","ROKS",IF($F67="À décommissionner",IF(V$8&lt;$AS67,"IKS","Décom."),IF(OR($AQ67="",$AS67=""),"",IF(V$8&lt;$AQ67,"IKS",IF(V$8&lt;$AS67,IF(V$8=$AR67,"Bascule","Double run"),"ROKS"))))))</f>
        <v/>
      </c>
      <c r="W67" s="51" t="str">
        <f aca="false">IF(OR($A67="",W$8=""),"",IF($F67="Migré","ROKS",IF($F67="À décommissionner",IF(W$8&lt;$AS67,"IKS","Décom."),IF(OR($AQ67="",$AS67=""),"",IF(W$8&lt;$AQ67,"IKS",IF(W$8&lt;$AS67,IF(W$8=$AR67,"Bascule","Double run"),"ROKS"))))))</f>
        <v/>
      </c>
      <c r="X67" s="51" t="str">
        <f aca="false">IF(OR($A67="",X$8=""),"",IF($F67="Migré","ROKS",IF($F67="À décommissionner",IF(X$8&lt;$AS67,"IKS","Décom."),IF(OR($AQ67="",$AS67=""),"",IF(X$8&lt;$AQ67,"IKS",IF(X$8&lt;$AS67,IF(X$8=$AR67,"Bascule","Double run"),"ROKS"))))))</f>
        <v/>
      </c>
      <c r="Y67" s="51" t="str">
        <f aca="false">IF(OR($A67="",Y$8=""),"",IF($F67="Migré","ROKS",IF($F67="À décommissionner",IF(Y$8&lt;$AS67,"IKS","Décom."),IF(OR($AQ67="",$AS67=""),"",IF(Y$8&lt;$AQ67,"IKS",IF(Y$8&lt;$AS67,IF(Y$8=$AR67,"Bascule","Double run"),"ROKS"))))))</f>
        <v/>
      </c>
      <c r="Z67" s="51" t="str">
        <f aca="false">IF(OR($A67="",Z$8=""),"",IF($F67="Migré","ROKS",IF($F67="À décommissionner",IF(Z$8&lt;$AS67,"IKS","Décom."),IF(OR($AQ67="",$AS67=""),"",IF(Z$8&lt;$AQ67,"IKS",IF(Z$8&lt;$AS67,IF(Z$8=$AR67,"Bascule","Double run"),"ROKS"))))))</f>
        <v/>
      </c>
      <c r="AA67" s="51" t="str">
        <f aca="false">IF(OR($A67="",AA$8=""),"",IF($F67="Migré","ROKS",IF($F67="À décommissionner",IF(AA$8&lt;$AS67,"IKS","Décom."),IF(OR($AQ67="",$AS67=""),"",IF(AA$8&lt;$AQ67,"IKS",IF(AA$8&lt;$AS67,IF(AA$8=$AR67,"Bascule","Double run"),"ROKS"))))))</f>
        <v/>
      </c>
      <c r="AB67" s="51" t="str">
        <f aca="false">IF(OR($A67="",AB$8=""),"",IF($F67="Migré","ROKS",IF($F67="À décommissionner",IF(AB$8&lt;$AS67,"IKS","Décom."),IF(OR($AQ67="",$AS67=""),"",IF(AB$8&lt;$AQ67,"IKS",IF(AB$8&lt;$AS67,IF(AB$8=$AR67,"Bascule","Double run"),"ROKS"))))))</f>
        <v/>
      </c>
      <c r="AC67" s="51" t="str">
        <f aca="false">IF(OR($A67="",AC$8=""),"",IF($F67="Migré","ROKS",IF($F67="À décommissionner",IF(AC$8&lt;$AS67,"IKS","Décom."),IF(OR($AQ67="",$AS67=""),"",IF(AC$8&lt;$AQ67,"IKS",IF(AC$8&lt;$AS67,IF(AC$8=$AR67,"Bascule","Double run"),"ROKS"))))))</f>
        <v/>
      </c>
      <c r="AD67" s="51" t="str">
        <f aca="false">IF(OR($A67="",AD$8=""),"",IF($F67="Migré","ROKS",IF($F67="À décommissionner",IF(AD$8&lt;$AS67,"IKS","Décom."),IF(OR($AQ67="",$AS67=""),"",IF(AD$8&lt;$AQ67,"IKS",IF(AD$8&lt;$AS67,IF(AD$8=$AR67,"Bascule","Double run"),"ROKS"))))))</f>
        <v/>
      </c>
      <c r="AE67" s="51" t="str">
        <f aca="false">IF(OR($A67="",AE$8=""),"",IF($F67="Migré","ROKS",IF($F67="À décommissionner",IF(AE$8&lt;$AS67,"IKS","Décom."),IF(OR($AQ67="",$AS67=""),"",IF(AE$8&lt;$AQ67,"IKS",IF(AE$8&lt;$AS67,IF(AE$8=$AR67,"Bascule","Double run"),"ROKS"))))))</f>
        <v/>
      </c>
      <c r="AF67" s="51" t="str">
        <f aca="false">IF(OR($A67="",AF$8=""),"",IF($F67="Migré","ROKS",IF($F67="À décommissionner",IF(AF$8&lt;$AS67,"IKS","Décom."),IF(OR($AQ67="",$AS67=""),"",IF(AF$8&lt;$AQ67,"IKS",IF(AF$8&lt;$AS67,IF(AF$8=$AR67,"Bascule","Double run"),"ROKS"))))))</f>
        <v/>
      </c>
      <c r="AG67" s="51" t="str">
        <f aca="false">IF(OR($A67="",AG$8=""),"",IF($F67="Migré","ROKS",IF($F67="À décommissionner",IF(AG$8&lt;$AS67,"IKS","Décom."),IF(OR($AQ67="",$AS67=""),"",IF(AG$8&lt;$AQ67,"IKS",IF(AG$8&lt;$AS67,IF(AG$8=$AR67,"Bascule","Double run"),"ROKS"))))))</f>
        <v/>
      </c>
      <c r="AH67" s="51" t="str">
        <f aca="false">IF(OR($A67="",AH$8=""),"",IF($F67="Migré","ROKS",IF($F67="À décommissionner",IF(AH$8&lt;$AS67,"IKS","Décom."),IF(OR($AQ67="",$AS67=""),"",IF(AH$8&lt;$AQ67,"IKS",IF(AH$8&lt;$AS67,IF(AH$8=$AR67,"Bascule","Double run"),"ROKS"))))))</f>
        <v/>
      </c>
      <c r="AI67" s="51" t="str">
        <f aca="false">IF(OR($A67="",AI$8=""),"",IF($F67="Migré","ROKS",IF($F67="À décommissionner",IF(AI$8&lt;$AS67,"IKS","Décom."),IF(OR($AQ67="",$AS67=""),"",IF(AI$8&lt;$AQ67,"IKS",IF(AI$8&lt;$AS67,IF(AI$8=$AR67,"Bascule","Double run"),"ROKS"))))))</f>
        <v/>
      </c>
      <c r="AJ67" s="51" t="str">
        <f aca="false">IF(OR($A67="",AJ$8=""),"",IF($F67="Migré","ROKS",IF($F67="À décommissionner",IF(AJ$8&lt;$AS67,"IKS","Décom."),IF(OR($AQ67="",$AS67=""),"",IF(AJ$8&lt;$AQ67,"IKS",IF(AJ$8&lt;$AS67,IF(AJ$8=$AR67,"Bascule","Double run"),"ROKS"))))))</f>
        <v/>
      </c>
      <c r="AK67" s="51" t="str">
        <f aca="false">IF(OR($A67="",AK$8=""),"",IF($F67="Migré","ROKS",IF($F67="À décommissionner",IF(AK$8&lt;$AS67,"IKS","Décom."),IF(OR($AQ67="",$AS67=""),"",IF(AK$8&lt;$AQ67,"IKS",IF(AK$8&lt;$AS67,IF(AK$8=$AR67,"Bascule","Double run"),"ROKS"))))))</f>
        <v/>
      </c>
      <c r="AL67" s="51" t="str">
        <f aca="false">IF(OR($A67="",AL$8=""),"",IF($F67="Migré","ROKS",IF($F67="À décommissionner",IF(AL$8&lt;$AS67,"IKS","Décom."),IF(OR($AQ67="",$AS67=""),"",IF(AL$8&lt;$AQ67,"IKS",IF(AL$8&lt;$AS67,IF(AL$8=$AR67,"Bascule","Double run"),"ROKS"))))))</f>
        <v/>
      </c>
      <c r="AM67" s="51" t="str">
        <f aca="false">IF(OR($A67="",AM$8=""),"",IF($F67="Migré","ROKS",IF($F67="À décommissionner",IF(AM$8&lt;$AS67,"IKS","Décom."),IF(OR($AQ67="",$AS67=""),"",IF(AM$8&lt;$AQ67,"IKS",IF(AM$8&lt;$AS67,IF(AM$8=$AR67,"Bascule","Double run"),"ROKS"))))))</f>
        <v/>
      </c>
      <c r="AN67" s="51" t="str">
        <f aca="false">IF(OR($A67="",AN$8=""),"",IF($F67="Migré","ROKS",IF($F67="À décommissionner",IF(AN$8&lt;$AS67,"IKS","Décom."),IF(OR($AQ67="",$AS67=""),"",IF(AN$8&lt;$AQ67,"IKS",IF(AN$8&lt;$AS67,IF(AN$8=$AR67,"Bascule","Double run"),"ROKS"))))))</f>
        <v/>
      </c>
      <c r="AO67" s="51" t="str">
        <f aca="false">IF(OR($A67="",AO$8=""),"",IF($F67="Migré","ROKS",IF($F67="À décommissionner",IF(AO$8&lt;$AS67,"IKS","Décom."),IF(OR($AQ67="",$AS67=""),"",IF(AO$8&lt;$AQ67,"IKS",IF(AO$8&lt;$AS67,IF(AO$8=$AR67,"Bascule","Double run"),"ROKS"))))))</f>
        <v/>
      </c>
      <c r="AP67" s="51" t="str">
        <f aca="false">IF(OR($A67="",AP$8=""),"",IF($F67="Migré","ROKS",IF($F67="À décommissionner",IF(AP$8&lt;$AS67,"IKS","Décom."),IF(OR($AQ67="",$AS67=""),"",IF(AP$8&lt;$AQ67,"IKS",IF(AP$8&lt;$AS67,IF(AP$8=$AR67,"Bascule","Double run"),"ROKS"))))))</f>
        <v/>
      </c>
      <c r="AQ67" s="0" t="str">
        <f aca="false">IF($A67="","",INDEX(TblApplications[Mois prov (calc)],$A67))</f>
        <v/>
      </c>
      <c r="AR67" s="0" t="str">
        <f aca="false">IF($A67="","",IFERROR(DATE(YEAR(INDEX(TblApplications[Mois bascule],$A67)),MONTH(INDEX(TblApplications[Mois bascule],$A67)),1),""))</f>
        <v/>
      </c>
      <c r="AS67" s="0" t="str">
        <f aca="false">IF($A67="","",INDEX(TblApplications[Mois lib (calc)],$A67))</f>
        <v/>
      </c>
    </row>
    <row r="68" customFormat="false" ht="15" hidden="false" customHeight="false" outlineLevel="0" collapsed="false">
      <c r="A68" s="49" t="str">
        <f aca="false">IFERROR(MATCH(60,TblApplications[Rang frise],0),"")</f>
        <v/>
      </c>
      <c r="B68" s="50" t="str">
        <f aca="false">IF($A68="","",INDEX(TblApplications[ID],$A68))</f>
        <v/>
      </c>
      <c r="C68" s="50" t="str">
        <f aca="false">IF($A68="","",INDEX(TblApplications[Application],$A68))</f>
        <v/>
      </c>
      <c r="D68" s="50" t="str">
        <f aca="false">IF($A68="","",INDEX(TblApplications[Environnement],$A68))</f>
        <v/>
      </c>
      <c r="E68" s="50" t="str">
        <f aca="false">IF($A68="","",INDEX(TblApplications[Couloir],$A68))</f>
        <v/>
      </c>
      <c r="F68" s="50" t="str">
        <f aca="false">IF($A68="","",INDEX(TblApplications[Action],$A68))</f>
        <v/>
      </c>
      <c r="G68" s="51" t="str">
        <f aca="false">IF(OR($A68="",G$8=""),"",IF($F68="Migré","ROKS",IF($F68="À décommissionner",IF(G$8&lt;$AS68,"IKS","Décom."),IF(OR($AQ68="",$AS68=""),"",IF(G$8&lt;$AQ68,"IKS",IF(G$8&lt;$AS68,IF(G$8=$AR68,"Bascule","Double run"),"ROKS"))))))</f>
        <v/>
      </c>
      <c r="H68" s="51" t="str">
        <f aca="false">IF(OR($A68="",H$8=""),"",IF($F68="Migré","ROKS",IF($F68="À décommissionner",IF(H$8&lt;$AS68,"IKS","Décom."),IF(OR($AQ68="",$AS68=""),"",IF(H$8&lt;$AQ68,"IKS",IF(H$8&lt;$AS68,IF(H$8=$AR68,"Bascule","Double run"),"ROKS"))))))</f>
        <v/>
      </c>
      <c r="I68" s="51" t="str">
        <f aca="false">IF(OR($A68="",I$8=""),"",IF($F68="Migré","ROKS",IF($F68="À décommissionner",IF(I$8&lt;$AS68,"IKS","Décom."),IF(OR($AQ68="",$AS68=""),"",IF(I$8&lt;$AQ68,"IKS",IF(I$8&lt;$AS68,IF(I$8=$AR68,"Bascule","Double run"),"ROKS"))))))</f>
        <v/>
      </c>
      <c r="J68" s="51" t="str">
        <f aca="false">IF(OR($A68="",J$8=""),"",IF($F68="Migré","ROKS",IF($F68="À décommissionner",IF(J$8&lt;$AS68,"IKS","Décom."),IF(OR($AQ68="",$AS68=""),"",IF(J$8&lt;$AQ68,"IKS",IF(J$8&lt;$AS68,IF(J$8=$AR68,"Bascule","Double run"),"ROKS"))))))</f>
        <v/>
      </c>
      <c r="K68" s="51" t="str">
        <f aca="false">IF(OR($A68="",K$8=""),"",IF($F68="Migré","ROKS",IF($F68="À décommissionner",IF(K$8&lt;$AS68,"IKS","Décom."),IF(OR($AQ68="",$AS68=""),"",IF(K$8&lt;$AQ68,"IKS",IF(K$8&lt;$AS68,IF(K$8=$AR68,"Bascule","Double run"),"ROKS"))))))</f>
        <v/>
      </c>
      <c r="L68" s="51" t="str">
        <f aca="false">IF(OR($A68="",L$8=""),"",IF($F68="Migré","ROKS",IF($F68="À décommissionner",IF(L$8&lt;$AS68,"IKS","Décom."),IF(OR($AQ68="",$AS68=""),"",IF(L$8&lt;$AQ68,"IKS",IF(L$8&lt;$AS68,IF(L$8=$AR68,"Bascule","Double run"),"ROKS"))))))</f>
        <v/>
      </c>
      <c r="M68" s="51" t="str">
        <f aca="false">IF(OR($A68="",M$8=""),"",IF($F68="Migré","ROKS",IF($F68="À décommissionner",IF(M$8&lt;$AS68,"IKS","Décom."),IF(OR($AQ68="",$AS68=""),"",IF(M$8&lt;$AQ68,"IKS",IF(M$8&lt;$AS68,IF(M$8=$AR68,"Bascule","Double run"),"ROKS"))))))</f>
        <v/>
      </c>
      <c r="N68" s="51" t="str">
        <f aca="false">IF(OR($A68="",N$8=""),"",IF($F68="Migré","ROKS",IF($F68="À décommissionner",IF(N$8&lt;$AS68,"IKS","Décom."),IF(OR($AQ68="",$AS68=""),"",IF(N$8&lt;$AQ68,"IKS",IF(N$8&lt;$AS68,IF(N$8=$AR68,"Bascule","Double run"),"ROKS"))))))</f>
        <v/>
      </c>
      <c r="O68" s="51" t="str">
        <f aca="false">IF(OR($A68="",O$8=""),"",IF($F68="Migré","ROKS",IF($F68="À décommissionner",IF(O$8&lt;$AS68,"IKS","Décom."),IF(OR($AQ68="",$AS68=""),"",IF(O$8&lt;$AQ68,"IKS",IF(O$8&lt;$AS68,IF(O$8=$AR68,"Bascule","Double run"),"ROKS"))))))</f>
        <v/>
      </c>
      <c r="P68" s="51" t="str">
        <f aca="false">IF(OR($A68="",P$8=""),"",IF($F68="Migré","ROKS",IF($F68="À décommissionner",IF(P$8&lt;$AS68,"IKS","Décom."),IF(OR($AQ68="",$AS68=""),"",IF(P$8&lt;$AQ68,"IKS",IF(P$8&lt;$AS68,IF(P$8=$AR68,"Bascule","Double run"),"ROKS"))))))</f>
        <v/>
      </c>
      <c r="Q68" s="51" t="str">
        <f aca="false">IF(OR($A68="",Q$8=""),"",IF($F68="Migré","ROKS",IF($F68="À décommissionner",IF(Q$8&lt;$AS68,"IKS","Décom."),IF(OR($AQ68="",$AS68=""),"",IF(Q$8&lt;$AQ68,"IKS",IF(Q$8&lt;$AS68,IF(Q$8=$AR68,"Bascule","Double run"),"ROKS"))))))</f>
        <v/>
      </c>
      <c r="R68" s="51" t="str">
        <f aca="false">IF(OR($A68="",R$8=""),"",IF($F68="Migré","ROKS",IF($F68="À décommissionner",IF(R$8&lt;$AS68,"IKS","Décom."),IF(OR($AQ68="",$AS68=""),"",IF(R$8&lt;$AQ68,"IKS",IF(R$8&lt;$AS68,IF(R$8=$AR68,"Bascule","Double run"),"ROKS"))))))</f>
        <v/>
      </c>
      <c r="S68" s="51" t="str">
        <f aca="false">IF(OR($A68="",S$8=""),"",IF($F68="Migré","ROKS",IF($F68="À décommissionner",IF(S$8&lt;$AS68,"IKS","Décom."),IF(OR($AQ68="",$AS68=""),"",IF(S$8&lt;$AQ68,"IKS",IF(S$8&lt;$AS68,IF(S$8=$AR68,"Bascule","Double run"),"ROKS"))))))</f>
        <v/>
      </c>
      <c r="T68" s="51" t="str">
        <f aca="false">IF(OR($A68="",T$8=""),"",IF($F68="Migré","ROKS",IF($F68="À décommissionner",IF(T$8&lt;$AS68,"IKS","Décom."),IF(OR($AQ68="",$AS68=""),"",IF(T$8&lt;$AQ68,"IKS",IF(T$8&lt;$AS68,IF(T$8=$AR68,"Bascule","Double run"),"ROKS"))))))</f>
        <v/>
      </c>
      <c r="U68" s="51" t="str">
        <f aca="false">IF(OR($A68="",U$8=""),"",IF($F68="Migré","ROKS",IF($F68="À décommissionner",IF(U$8&lt;$AS68,"IKS","Décom."),IF(OR($AQ68="",$AS68=""),"",IF(U$8&lt;$AQ68,"IKS",IF(U$8&lt;$AS68,IF(U$8=$AR68,"Bascule","Double run"),"ROKS"))))))</f>
        <v/>
      </c>
      <c r="V68" s="51" t="str">
        <f aca="false">IF(OR($A68="",V$8=""),"",IF($F68="Migré","ROKS",IF($F68="À décommissionner",IF(V$8&lt;$AS68,"IKS","Décom."),IF(OR($AQ68="",$AS68=""),"",IF(V$8&lt;$AQ68,"IKS",IF(V$8&lt;$AS68,IF(V$8=$AR68,"Bascule","Double run"),"ROKS"))))))</f>
        <v/>
      </c>
      <c r="W68" s="51" t="str">
        <f aca="false">IF(OR($A68="",W$8=""),"",IF($F68="Migré","ROKS",IF($F68="À décommissionner",IF(W$8&lt;$AS68,"IKS","Décom."),IF(OR($AQ68="",$AS68=""),"",IF(W$8&lt;$AQ68,"IKS",IF(W$8&lt;$AS68,IF(W$8=$AR68,"Bascule","Double run"),"ROKS"))))))</f>
        <v/>
      </c>
      <c r="X68" s="51" t="str">
        <f aca="false">IF(OR($A68="",X$8=""),"",IF($F68="Migré","ROKS",IF($F68="À décommissionner",IF(X$8&lt;$AS68,"IKS","Décom."),IF(OR($AQ68="",$AS68=""),"",IF(X$8&lt;$AQ68,"IKS",IF(X$8&lt;$AS68,IF(X$8=$AR68,"Bascule","Double run"),"ROKS"))))))</f>
        <v/>
      </c>
      <c r="Y68" s="51" t="str">
        <f aca="false">IF(OR($A68="",Y$8=""),"",IF($F68="Migré","ROKS",IF($F68="À décommissionner",IF(Y$8&lt;$AS68,"IKS","Décom."),IF(OR($AQ68="",$AS68=""),"",IF(Y$8&lt;$AQ68,"IKS",IF(Y$8&lt;$AS68,IF(Y$8=$AR68,"Bascule","Double run"),"ROKS"))))))</f>
        <v/>
      </c>
      <c r="Z68" s="51" t="str">
        <f aca="false">IF(OR($A68="",Z$8=""),"",IF($F68="Migré","ROKS",IF($F68="À décommissionner",IF(Z$8&lt;$AS68,"IKS","Décom."),IF(OR($AQ68="",$AS68=""),"",IF(Z$8&lt;$AQ68,"IKS",IF(Z$8&lt;$AS68,IF(Z$8=$AR68,"Bascule","Double run"),"ROKS"))))))</f>
        <v/>
      </c>
      <c r="AA68" s="51" t="str">
        <f aca="false">IF(OR($A68="",AA$8=""),"",IF($F68="Migré","ROKS",IF($F68="À décommissionner",IF(AA$8&lt;$AS68,"IKS","Décom."),IF(OR($AQ68="",$AS68=""),"",IF(AA$8&lt;$AQ68,"IKS",IF(AA$8&lt;$AS68,IF(AA$8=$AR68,"Bascule","Double run"),"ROKS"))))))</f>
        <v/>
      </c>
      <c r="AB68" s="51" t="str">
        <f aca="false">IF(OR($A68="",AB$8=""),"",IF($F68="Migré","ROKS",IF($F68="À décommissionner",IF(AB$8&lt;$AS68,"IKS","Décom."),IF(OR($AQ68="",$AS68=""),"",IF(AB$8&lt;$AQ68,"IKS",IF(AB$8&lt;$AS68,IF(AB$8=$AR68,"Bascule","Double run"),"ROKS"))))))</f>
        <v/>
      </c>
      <c r="AC68" s="51" t="str">
        <f aca="false">IF(OR($A68="",AC$8=""),"",IF($F68="Migré","ROKS",IF($F68="À décommissionner",IF(AC$8&lt;$AS68,"IKS","Décom."),IF(OR($AQ68="",$AS68=""),"",IF(AC$8&lt;$AQ68,"IKS",IF(AC$8&lt;$AS68,IF(AC$8=$AR68,"Bascule","Double run"),"ROKS"))))))</f>
        <v/>
      </c>
      <c r="AD68" s="51" t="str">
        <f aca="false">IF(OR($A68="",AD$8=""),"",IF($F68="Migré","ROKS",IF($F68="À décommissionner",IF(AD$8&lt;$AS68,"IKS","Décom."),IF(OR($AQ68="",$AS68=""),"",IF(AD$8&lt;$AQ68,"IKS",IF(AD$8&lt;$AS68,IF(AD$8=$AR68,"Bascule","Double run"),"ROKS"))))))</f>
        <v/>
      </c>
      <c r="AE68" s="51" t="str">
        <f aca="false">IF(OR($A68="",AE$8=""),"",IF($F68="Migré","ROKS",IF($F68="À décommissionner",IF(AE$8&lt;$AS68,"IKS","Décom."),IF(OR($AQ68="",$AS68=""),"",IF(AE$8&lt;$AQ68,"IKS",IF(AE$8&lt;$AS68,IF(AE$8=$AR68,"Bascule","Double run"),"ROKS"))))))</f>
        <v/>
      </c>
      <c r="AF68" s="51" t="str">
        <f aca="false">IF(OR($A68="",AF$8=""),"",IF($F68="Migré","ROKS",IF($F68="À décommissionner",IF(AF$8&lt;$AS68,"IKS","Décom."),IF(OR($AQ68="",$AS68=""),"",IF(AF$8&lt;$AQ68,"IKS",IF(AF$8&lt;$AS68,IF(AF$8=$AR68,"Bascule","Double run"),"ROKS"))))))</f>
        <v/>
      </c>
      <c r="AG68" s="51" t="str">
        <f aca="false">IF(OR($A68="",AG$8=""),"",IF($F68="Migré","ROKS",IF($F68="À décommissionner",IF(AG$8&lt;$AS68,"IKS","Décom."),IF(OR($AQ68="",$AS68=""),"",IF(AG$8&lt;$AQ68,"IKS",IF(AG$8&lt;$AS68,IF(AG$8=$AR68,"Bascule","Double run"),"ROKS"))))))</f>
        <v/>
      </c>
      <c r="AH68" s="51" t="str">
        <f aca="false">IF(OR($A68="",AH$8=""),"",IF($F68="Migré","ROKS",IF($F68="À décommissionner",IF(AH$8&lt;$AS68,"IKS","Décom."),IF(OR($AQ68="",$AS68=""),"",IF(AH$8&lt;$AQ68,"IKS",IF(AH$8&lt;$AS68,IF(AH$8=$AR68,"Bascule","Double run"),"ROKS"))))))</f>
        <v/>
      </c>
      <c r="AI68" s="51" t="str">
        <f aca="false">IF(OR($A68="",AI$8=""),"",IF($F68="Migré","ROKS",IF($F68="À décommissionner",IF(AI$8&lt;$AS68,"IKS","Décom."),IF(OR($AQ68="",$AS68=""),"",IF(AI$8&lt;$AQ68,"IKS",IF(AI$8&lt;$AS68,IF(AI$8=$AR68,"Bascule","Double run"),"ROKS"))))))</f>
        <v/>
      </c>
      <c r="AJ68" s="51" t="str">
        <f aca="false">IF(OR($A68="",AJ$8=""),"",IF($F68="Migré","ROKS",IF($F68="À décommissionner",IF(AJ$8&lt;$AS68,"IKS","Décom."),IF(OR($AQ68="",$AS68=""),"",IF(AJ$8&lt;$AQ68,"IKS",IF(AJ$8&lt;$AS68,IF(AJ$8=$AR68,"Bascule","Double run"),"ROKS"))))))</f>
        <v/>
      </c>
      <c r="AK68" s="51" t="str">
        <f aca="false">IF(OR($A68="",AK$8=""),"",IF($F68="Migré","ROKS",IF($F68="À décommissionner",IF(AK$8&lt;$AS68,"IKS","Décom."),IF(OR($AQ68="",$AS68=""),"",IF(AK$8&lt;$AQ68,"IKS",IF(AK$8&lt;$AS68,IF(AK$8=$AR68,"Bascule","Double run"),"ROKS"))))))</f>
        <v/>
      </c>
      <c r="AL68" s="51" t="str">
        <f aca="false">IF(OR($A68="",AL$8=""),"",IF($F68="Migré","ROKS",IF($F68="À décommissionner",IF(AL$8&lt;$AS68,"IKS","Décom."),IF(OR($AQ68="",$AS68=""),"",IF(AL$8&lt;$AQ68,"IKS",IF(AL$8&lt;$AS68,IF(AL$8=$AR68,"Bascule","Double run"),"ROKS"))))))</f>
        <v/>
      </c>
      <c r="AM68" s="51" t="str">
        <f aca="false">IF(OR($A68="",AM$8=""),"",IF($F68="Migré","ROKS",IF($F68="À décommissionner",IF(AM$8&lt;$AS68,"IKS","Décom."),IF(OR($AQ68="",$AS68=""),"",IF(AM$8&lt;$AQ68,"IKS",IF(AM$8&lt;$AS68,IF(AM$8=$AR68,"Bascule","Double run"),"ROKS"))))))</f>
        <v/>
      </c>
      <c r="AN68" s="51" t="str">
        <f aca="false">IF(OR($A68="",AN$8=""),"",IF($F68="Migré","ROKS",IF($F68="À décommissionner",IF(AN$8&lt;$AS68,"IKS","Décom."),IF(OR($AQ68="",$AS68=""),"",IF(AN$8&lt;$AQ68,"IKS",IF(AN$8&lt;$AS68,IF(AN$8=$AR68,"Bascule","Double run"),"ROKS"))))))</f>
        <v/>
      </c>
      <c r="AO68" s="51" t="str">
        <f aca="false">IF(OR($A68="",AO$8=""),"",IF($F68="Migré","ROKS",IF($F68="À décommissionner",IF(AO$8&lt;$AS68,"IKS","Décom."),IF(OR($AQ68="",$AS68=""),"",IF(AO$8&lt;$AQ68,"IKS",IF(AO$8&lt;$AS68,IF(AO$8=$AR68,"Bascule","Double run"),"ROKS"))))))</f>
        <v/>
      </c>
      <c r="AP68" s="51" t="str">
        <f aca="false">IF(OR($A68="",AP$8=""),"",IF($F68="Migré","ROKS",IF($F68="À décommissionner",IF(AP$8&lt;$AS68,"IKS","Décom."),IF(OR($AQ68="",$AS68=""),"",IF(AP$8&lt;$AQ68,"IKS",IF(AP$8&lt;$AS68,IF(AP$8=$AR68,"Bascule","Double run"),"ROKS"))))))</f>
        <v/>
      </c>
      <c r="AQ68" s="0" t="str">
        <f aca="false">IF($A68="","",INDEX(TblApplications[Mois prov (calc)],$A68))</f>
        <v/>
      </c>
      <c r="AR68" s="0" t="str">
        <f aca="false">IF($A68="","",IFERROR(DATE(YEAR(INDEX(TblApplications[Mois bascule],$A68)),MONTH(INDEX(TblApplications[Mois bascule],$A68)),1),""))</f>
        <v/>
      </c>
      <c r="AS68" s="0" t="str">
        <f aca="false">IF($A68="","",INDEX(TblApplications[Mois lib (calc)],$A68))</f>
        <v/>
      </c>
    </row>
    <row r="69" customFormat="false" ht="15" hidden="false" customHeight="false" outlineLevel="0" collapsed="false">
      <c r="A69" s="49" t="str">
        <f aca="false">IFERROR(MATCH(61,TblApplications[Rang frise],0),"")</f>
        <v/>
      </c>
      <c r="B69" s="50" t="str">
        <f aca="false">IF($A69="","",INDEX(TblApplications[ID],$A69))</f>
        <v/>
      </c>
      <c r="C69" s="50" t="str">
        <f aca="false">IF($A69="","",INDEX(TblApplications[Application],$A69))</f>
        <v/>
      </c>
      <c r="D69" s="50" t="str">
        <f aca="false">IF($A69="","",INDEX(TblApplications[Environnement],$A69))</f>
        <v/>
      </c>
      <c r="E69" s="50" t="str">
        <f aca="false">IF($A69="","",INDEX(TblApplications[Couloir],$A69))</f>
        <v/>
      </c>
      <c r="F69" s="50" t="str">
        <f aca="false">IF($A69="","",INDEX(TblApplications[Action],$A69))</f>
        <v/>
      </c>
      <c r="G69" s="51" t="str">
        <f aca="false">IF(OR($A69="",G$8=""),"",IF($F69="Migré","ROKS",IF($F69="À décommissionner",IF(G$8&lt;$AS69,"IKS","Décom."),IF(OR($AQ69="",$AS69=""),"",IF(G$8&lt;$AQ69,"IKS",IF(G$8&lt;$AS69,IF(G$8=$AR69,"Bascule","Double run"),"ROKS"))))))</f>
        <v/>
      </c>
      <c r="H69" s="51" t="str">
        <f aca="false">IF(OR($A69="",H$8=""),"",IF($F69="Migré","ROKS",IF($F69="À décommissionner",IF(H$8&lt;$AS69,"IKS","Décom."),IF(OR($AQ69="",$AS69=""),"",IF(H$8&lt;$AQ69,"IKS",IF(H$8&lt;$AS69,IF(H$8=$AR69,"Bascule","Double run"),"ROKS"))))))</f>
        <v/>
      </c>
      <c r="I69" s="51" t="str">
        <f aca="false">IF(OR($A69="",I$8=""),"",IF($F69="Migré","ROKS",IF($F69="À décommissionner",IF(I$8&lt;$AS69,"IKS","Décom."),IF(OR($AQ69="",$AS69=""),"",IF(I$8&lt;$AQ69,"IKS",IF(I$8&lt;$AS69,IF(I$8=$AR69,"Bascule","Double run"),"ROKS"))))))</f>
        <v/>
      </c>
      <c r="J69" s="51" t="str">
        <f aca="false">IF(OR($A69="",J$8=""),"",IF($F69="Migré","ROKS",IF($F69="À décommissionner",IF(J$8&lt;$AS69,"IKS","Décom."),IF(OR($AQ69="",$AS69=""),"",IF(J$8&lt;$AQ69,"IKS",IF(J$8&lt;$AS69,IF(J$8=$AR69,"Bascule","Double run"),"ROKS"))))))</f>
        <v/>
      </c>
      <c r="K69" s="51" t="str">
        <f aca="false">IF(OR($A69="",K$8=""),"",IF($F69="Migré","ROKS",IF($F69="À décommissionner",IF(K$8&lt;$AS69,"IKS","Décom."),IF(OR($AQ69="",$AS69=""),"",IF(K$8&lt;$AQ69,"IKS",IF(K$8&lt;$AS69,IF(K$8=$AR69,"Bascule","Double run"),"ROKS"))))))</f>
        <v/>
      </c>
      <c r="L69" s="51" t="str">
        <f aca="false">IF(OR($A69="",L$8=""),"",IF($F69="Migré","ROKS",IF($F69="À décommissionner",IF(L$8&lt;$AS69,"IKS","Décom."),IF(OR($AQ69="",$AS69=""),"",IF(L$8&lt;$AQ69,"IKS",IF(L$8&lt;$AS69,IF(L$8=$AR69,"Bascule","Double run"),"ROKS"))))))</f>
        <v/>
      </c>
      <c r="M69" s="51" t="str">
        <f aca="false">IF(OR($A69="",M$8=""),"",IF($F69="Migré","ROKS",IF($F69="À décommissionner",IF(M$8&lt;$AS69,"IKS","Décom."),IF(OR($AQ69="",$AS69=""),"",IF(M$8&lt;$AQ69,"IKS",IF(M$8&lt;$AS69,IF(M$8=$AR69,"Bascule","Double run"),"ROKS"))))))</f>
        <v/>
      </c>
      <c r="N69" s="51" t="str">
        <f aca="false">IF(OR($A69="",N$8=""),"",IF($F69="Migré","ROKS",IF($F69="À décommissionner",IF(N$8&lt;$AS69,"IKS","Décom."),IF(OR($AQ69="",$AS69=""),"",IF(N$8&lt;$AQ69,"IKS",IF(N$8&lt;$AS69,IF(N$8=$AR69,"Bascule","Double run"),"ROKS"))))))</f>
        <v/>
      </c>
      <c r="O69" s="51" t="str">
        <f aca="false">IF(OR($A69="",O$8=""),"",IF($F69="Migré","ROKS",IF($F69="À décommissionner",IF(O$8&lt;$AS69,"IKS","Décom."),IF(OR($AQ69="",$AS69=""),"",IF(O$8&lt;$AQ69,"IKS",IF(O$8&lt;$AS69,IF(O$8=$AR69,"Bascule","Double run"),"ROKS"))))))</f>
        <v/>
      </c>
      <c r="P69" s="51" t="str">
        <f aca="false">IF(OR($A69="",P$8=""),"",IF($F69="Migré","ROKS",IF($F69="À décommissionner",IF(P$8&lt;$AS69,"IKS","Décom."),IF(OR($AQ69="",$AS69=""),"",IF(P$8&lt;$AQ69,"IKS",IF(P$8&lt;$AS69,IF(P$8=$AR69,"Bascule","Double run"),"ROKS"))))))</f>
        <v/>
      </c>
      <c r="Q69" s="51" t="str">
        <f aca="false">IF(OR($A69="",Q$8=""),"",IF($F69="Migré","ROKS",IF($F69="À décommissionner",IF(Q$8&lt;$AS69,"IKS","Décom."),IF(OR($AQ69="",$AS69=""),"",IF(Q$8&lt;$AQ69,"IKS",IF(Q$8&lt;$AS69,IF(Q$8=$AR69,"Bascule","Double run"),"ROKS"))))))</f>
        <v/>
      </c>
      <c r="R69" s="51" t="str">
        <f aca="false">IF(OR($A69="",R$8=""),"",IF($F69="Migré","ROKS",IF($F69="À décommissionner",IF(R$8&lt;$AS69,"IKS","Décom."),IF(OR($AQ69="",$AS69=""),"",IF(R$8&lt;$AQ69,"IKS",IF(R$8&lt;$AS69,IF(R$8=$AR69,"Bascule","Double run"),"ROKS"))))))</f>
        <v/>
      </c>
      <c r="S69" s="51" t="str">
        <f aca="false">IF(OR($A69="",S$8=""),"",IF($F69="Migré","ROKS",IF($F69="À décommissionner",IF(S$8&lt;$AS69,"IKS","Décom."),IF(OR($AQ69="",$AS69=""),"",IF(S$8&lt;$AQ69,"IKS",IF(S$8&lt;$AS69,IF(S$8=$AR69,"Bascule","Double run"),"ROKS"))))))</f>
        <v/>
      </c>
      <c r="T69" s="51" t="str">
        <f aca="false">IF(OR($A69="",T$8=""),"",IF($F69="Migré","ROKS",IF($F69="À décommissionner",IF(T$8&lt;$AS69,"IKS","Décom."),IF(OR($AQ69="",$AS69=""),"",IF(T$8&lt;$AQ69,"IKS",IF(T$8&lt;$AS69,IF(T$8=$AR69,"Bascule","Double run"),"ROKS"))))))</f>
        <v/>
      </c>
      <c r="U69" s="51" t="str">
        <f aca="false">IF(OR($A69="",U$8=""),"",IF($F69="Migré","ROKS",IF($F69="À décommissionner",IF(U$8&lt;$AS69,"IKS","Décom."),IF(OR($AQ69="",$AS69=""),"",IF(U$8&lt;$AQ69,"IKS",IF(U$8&lt;$AS69,IF(U$8=$AR69,"Bascule","Double run"),"ROKS"))))))</f>
        <v/>
      </c>
      <c r="V69" s="51" t="str">
        <f aca="false">IF(OR($A69="",V$8=""),"",IF($F69="Migré","ROKS",IF($F69="À décommissionner",IF(V$8&lt;$AS69,"IKS","Décom."),IF(OR($AQ69="",$AS69=""),"",IF(V$8&lt;$AQ69,"IKS",IF(V$8&lt;$AS69,IF(V$8=$AR69,"Bascule","Double run"),"ROKS"))))))</f>
        <v/>
      </c>
      <c r="W69" s="51" t="str">
        <f aca="false">IF(OR($A69="",W$8=""),"",IF($F69="Migré","ROKS",IF($F69="À décommissionner",IF(W$8&lt;$AS69,"IKS","Décom."),IF(OR($AQ69="",$AS69=""),"",IF(W$8&lt;$AQ69,"IKS",IF(W$8&lt;$AS69,IF(W$8=$AR69,"Bascule","Double run"),"ROKS"))))))</f>
        <v/>
      </c>
      <c r="X69" s="51" t="str">
        <f aca="false">IF(OR($A69="",X$8=""),"",IF($F69="Migré","ROKS",IF($F69="À décommissionner",IF(X$8&lt;$AS69,"IKS","Décom."),IF(OR($AQ69="",$AS69=""),"",IF(X$8&lt;$AQ69,"IKS",IF(X$8&lt;$AS69,IF(X$8=$AR69,"Bascule","Double run"),"ROKS"))))))</f>
        <v/>
      </c>
      <c r="Y69" s="51" t="str">
        <f aca="false">IF(OR($A69="",Y$8=""),"",IF($F69="Migré","ROKS",IF($F69="À décommissionner",IF(Y$8&lt;$AS69,"IKS","Décom."),IF(OR($AQ69="",$AS69=""),"",IF(Y$8&lt;$AQ69,"IKS",IF(Y$8&lt;$AS69,IF(Y$8=$AR69,"Bascule","Double run"),"ROKS"))))))</f>
        <v/>
      </c>
      <c r="Z69" s="51" t="str">
        <f aca="false">IF(OR($A69="",Z$8=""),"",IF($F69="Migré","ROKS",IF($F69="À décommissionner",IF(Z$8&lt;$AS69,"IKS","Décom."),IF(OR($AQ69="",$AS69=""),"",IF(Z$8&lt;$AQ69,"IKS",IF(Z$8&lt;$AS69,IF(Z$8=$AR69,"Bascule","Double run"),"ROKS"))))))</f>
        <v/>
      </c>
      <c r="AA69" s="51" t="str">
        <f aca="false">IF(OR($A69="",AA$8=""),"",IF($F69="Migré","ROKS",IF($F69="À décommissionner",IF(AA$8&lt;$AS69,"IKS","Décom."),IF(OR($AQ69="",$AS69=""),"",IF(AA$8&lt;$AQ69,"IKS",IF(AA$8&lt;$AS69,IF(AA$8=$AR69,"Bascule","Double run"),"ROKS"))))))</f>
        <v/>
      </c>
      <c r="AB69" s="51" t="str">
        <f aca="false">IF(OR($A69="",AB$8=""),"",IF($F69="Migré","ROKS",IF($F69="À décommissionner",IF(AB$8&lt;$AS69,"IKS","Décom."),IF(OR($AQ69="",$AS69=""),"",IF(AB$8&lt;$AQ69,"IKS",IF(AB$8&lt;$AS69,IF(AB$8=$AR69,"Bascule","Double run"),"ROKS"))))))</f>
        <v/>
      </c>
      <c r="AC69" s="51" t="str">
        <f aca="false">IF(OR($A69="",AC$8=""),"",IF($F69="Migré","ROKS",IF($F69="À décommissionner",IF(AC$8&lt;$AS69,"IKS","Décom."),IF(OR($AQ69="",$AS69=""),"",IF(AC$8&lt;$AQ69,"IKS",IF(AC$8&lt;$AS69,IF(AC$8=$AR69,"Bascule","Double run"),"ROKS"))))))</f>
        <v/>
      </c>
      <c r="AD69" s="51" t="str">
        <f aca="false">IF(OR($A69="",AD$8=""),"",IF($F69="Migré","ROKS",IF($F69="À décommissionner",IF(AD$8&lt;$AS69,"IKS","Décom."),IF(OR($AQ69="",$AS69=""),"",IF(AD$8&lt;$AQ69,"IKS",IF(AD$8&lt;$AS69,IF(AD$8=$AR69,"Bascule","Double run"),"ROKS"))))))</f>
        <v/>
      </c>
      <c r="AE69" s="51" t="str">
        <f aca="false">IF(OR($A69="",AE$8=""),"",IF($F69="Migré","ROKS",IF($F69="À décommissionner",IF(AE$8&lt;$AS69,"IKS","Décom."),IF(OR($AQ69="",$AS69=""),"",IF(AE$8&lt;$AQ69,"IKS",IF(AE$8&lt;$AS69,IF(AE$8=$AR69,"Bascule","Double run"),"ROKS"))))))</f>
        <v/>
      </c>
      <c r="AF69" s="51" t="str">
        <f aca="false">IF(OR($A69="",AF$8=""),"",IF($F69="Migré","ROKS",IF($F69="À décommissionner",IF(AF$8&lt;$AS69,"IKS","Décom."),IF(OR($AQ69="",$AS69=""),"",IF(AF$8&lt;$AQ69,"IKS",IF(AF$8&lt;$AS69,IF(AF$8=$AR69,"Bascule","Double run"),"ROKS"))))))</f>
        <v/>
      </c>
      <c r="AG69" s="51" t="str">
        <f aca="false">IF(OR($A69="",AG$8=""),"",IF($F69="Migré","ROKS",IF($F69="À décommissionner",IF(AG$8&lt;$AS69,"IKS","Décom."),IF(OR($AQ69="",$AS69=""),"",IF(AG$8&lt;$AQ69,"IKS",IF(AG$8&lt;$AS69,IF(AG$8=$AR69,"Bascule","Double run"),"ROKS"))))))</f>
        <v/>
      </c>
      <c r="AH69" s="51" t="str">
        <f aca="false">IF(OR($A69="",AH$8=""),"",IF($F69="Migré","ROKS",IF($F69="À décommissionner",IF(AH$8&lt;$AS69,"IKS","Décom."),IF(OR($AQ69="",$AS69=""),"",IF(AH$8&lt;$AQ69,"IKS",IF(AH$8&lt;$AS69,IF(AH$8=$AR69,"Bascule","Double run"),"ROKS"))))))</f>
        <v/>
      </c>
      <c r="AI69" s="51" t="str">
        <f aca="false">IF(OR($A69="",AI$8=""),"",IF($F69="Migré","ROKS",IF($F69="À décommissionner",IF(AI$8&lt;$AS69,"IKS","Décom."),IF(OR($AQ69="",$AS69=""),"",IF(AI$8&lt;$AQ69,"IKS",IF(AI$8&lt;$AS69,IF(AI$8=$AR69,"Bascule","Double run"),"ROKS"))))))</f>
        <v/>
      </c>
      <c r="AJ69" s="51" t="str">
        <f aca="false">IF(OR($A69="",AJ$8=""),"",IF($F69="Migré","ROKS",IF($F69="À décommissionner",IF(AJ$8&lt;$AS69,"IKS","Décom."),IF(OR($AQ69="",$AS69=""),"",IF(AJ$8&lt;$AQ69,"IKS",IF(AJ$8&lt;$AS69,IF(AJ$8=$AR69,"Bascule","Double run"),"ROKS"))))))</f>
        <v/>
      </c>
      <c r="AK69" s="51" t="str">
        <f aca="false">IF(OR($A69="",AK$8=""),"",IF($F69="Migré","ROKS",IF($F69="À décommissionner",IF(AK$8&lt;$AS69,"IKS","Décom."),IF(OR($AQ69="",$AS69=""),"",IF(AK$8&lt;$AQ69,"IKS",IF(AK$8&lt;$AS69,IF(AK$8=$AR69,"Bascule","Double run"),"ROKS"))))))</f>
        <v/>
      </c>
      <c r="AL69" s="51" t="str">
        <f aca="false">IF(OR($A69="",AL$8=""),"",IF($F69="Migré","ROKS",IF($F69="À décommissionner",IF(AL$8&lt;$AS69,"IKS","Décom."),IF(OR($AQ69="",$AS69=""),"",IF(AL$8&lt;$AQ69,"IKS",IF(AL$8&lt;$AS69,IF(AL$8=$AR69,"Bascule","Double run"),"ROKS"))))))</f>
        <v/>
      </c>
      <c r="AM69" s="51" t="str">
        <f aca="false">IF(OR($A69="",AM$8=""),"",IF($F69="Migré","ROKS",IF($F69="À décommissionner",IF(AM$8&lt;$AS69,"IKS","Décom."),IF(OR($AQ69="",$AS69=""),"",IF(AM$8&lt;$AQ69,"IKS",IF(AM$8&lt;$AS69,IF(AM$8=$AR69,"Bascule","Double run"),"ROKS"))))))</f>
        <v/>
      </c>
      <c r="AN69" s="51" t="str">
        <f aca="false">IF(OR($A69="",AN$8=""),"",IF($F69="Migré","ROKS",IF($F69="À décommissionner",IF(AN$8&lt;$AS69,"IKS","Décom."),IF(OR($AQ69="",$AS69=""),"",IF(AN$8&lt;$AQ69,"IKS",IF(AN$8&lt;$AS69,IF(AN$8=$AR69,"Bascule","Double run"),"ROKS"))))))</f>
        <v/>
      </c>
      <c r="AO69" s="51" t="str">
        <f aca="false">IF(OR($A69="",AO$8=""),"",IF($F69="Migré","ROKS",IF($F69="À décommissionner",IF(AO$8&lt;$AS69,"IKS","Décom."),IF(OR($AQ69="",$AS69=""),"",IF(AO$8&lt;$AQ69,"IKS",IF(AO$8&lt;$AS69,IF(AO$8=$AR69,"Bascule","Double run"),"ROKS"))))))</f>
        <v/>
      </c>
      <c r="AP69" s="51" t="str">
        <f aca="false">IF(OR($A69="",AP$8=""),"",IF($F69="Migré","ROKS",IF($F69="À décommissionner",IF(AP$8&lt;$AS69,"IKS","Décom."),IF(OR($AQ69="",$AS69=""),"",IF(AP$8&lt;$AQ69,"IKS",IF(AP$8&lt;$AS69,IF(AP$8=$AR69,"Bascule","Double run"),"ROKS"))))))</f>
        <v/>
      </c>
      <c r="AQ69" s="0" t="str">
        <f aca="false">IF($A69="","",INDEX(TblApplications[Mois prov (calc)],$A69))</f>
        <v/>
      </c>
      <c r="AR69" s="0" t="str">
        <f aca="false">IF($A69="","",IFERROR(DATE(YEAR(INDEX(TblApplications[Mois bascule],$A69)),MONTH(INDEX(TblApplications[Mois bascule],$A69)),1),""))</f>
        <v/>
      </c>
      <c r="AS69" s="0" t="str">
        <f aca="false">IF($A69="","",INDEX(TblApplications[Mois lib (calc)],$A69))</f>
        <v/>
      </c>
    </row>
    <row r="70" customFormat="false" ht="15" hidden="false" customHeight="false" outlineLevel="0" collapsed="false">
      <c r="A70" s="49" t="str">
        <f aca="false">IFERROR(MATCH(62,TblApplications[Rang frise],0),"")</f>
        <v/>
      </c>
      <c r="B70" s="50" t="str">
        <f aca="false">IF($A70="","",INDEX(TblApplications[ID],$A70))</f>
        <v/>
      </c>
      <c r="C70" s="50" t="str">
        <f aca="false">IF($A70="","",INDEX(TblApplications[Application],$A70))</f>
        <v/>
      </c>
      <c r="D70" s="50" t="str">
        <f aca="false">IF($A70="","",INDEX(TblApplications[Environnement],$A70))</f>
        <v/>
      </c>
      <c r="E70" s="50" t="str">
        <f aca="false">IF($A70="","",INDEX(TblApplications[Couloir],$A70))</f>
        <v/>
      </c>
      <c r="F70" s="50" t="str">
        <f aca="false">IF($A70="","",INDEX(TblApplications[Action],$A70))</f>
        <v/>
      </c>
      <c r="G70" s="51" t="str">
        <f aca="false">IF(OR($A70="",G$8=""),"",IF($F70="Migré","ROKS",IF($F70="À décommissionner",IF(G$8&lt;$AS70,"IKS","Décom."),IF(OR($AQ70="",$AS70=""),"",IF(G$8&lt;$AQ70,"IKS",IF(G$8&lt;$AS70,IF(G$8=$AR70,"Bascule","Double run"),"ROKS"))))))</f>
        <v/>
      </c>
      <c r="H70" s="51" t="str">
        <f aca="false">IF(OR($A70="",H$8=""),"",IF($F70="Migré","ROKS",IF($F70="À décommissionner",IF(H$8&lt;$AS70,"IKS","Décom."),IF(OR($AQ70="",$AS70=""),"",IF(H$8&lt;$AQ70,"IKS",IF(H$8&lt;$AS70,IF(H$8=$AR70,"Bascule","Double run"),"ROKS"))))))</f>
        <v/>
      </c>
      <c r="I70" s="51" t="str">
        <f aca="false">IF(OR($A70="",I$8=""),"",IF($F70="Migré","ROKS",IF($F70="À décommissionner",IF(I$8&lt;$AS70,"IKS","Décom."),IF(OR($AQ70="",$AS70=""),"",IF(I$8&lt;$AQ70,"IKS",IF(I$8&lt;$AS70,IF(I$8=$AR70,"Bascule","Double run"),"ROKS"))))))</f>
        <v/>
      </c>
      <c r="J70" s="51" t="str">
        <f aca="false">IF(OR($A70="",J$8=""),"",IF($F70="Migré","ROKS",IF($F70="À décommissionner",IF(J$8&lt;$AS70,"IKS","Décom."),IF(OR($AQ70="",$AS70=""),"",IF(J$8&lt;$AQ70,"IKS",IF(J$8&lt;$AS70,IF(J$8=$AR70,"Bascule","Double run"),"ROKS"))))))</f>
        <v/>
      </c>
      <c r="K70" s="51" t="str">
        <f aca="false">IF(OR($A70="",K$8=""),"",IF($F70="Migré","ROKS",IF($F70="À décommissionner",IF(K$8&lt;$AS70,"IKS","Décom."),IF(OR($AQ70="",$AS70=""),"",IF(K$8&lt;$AQ70,"IKS",IF(K$8&lt;$AS70,IF(K$8=$AR70,"Bascule","Double run"),"ROKS"))))))</f>
        <v/>
      </c>
      <c r="L70" s="51" t="str">
        <f aca="false">IF(OR($A70="",L$8=""),"",IF($F70="Migré","ROKS",IF($F70="À décommissionner",IF(L$8&lt;$AS70,"IKS","Décom."),IF(OR($AQ70="",$AS70=""),"",IF(L$8&lt;$AQ70,"IKS",IF(L$8&lt;$AS70,IF(L$8=$AR70,"Bascule","Double run"),"ROKS"))))))</f>
        <v/>
      </c>
      <c r="M70" s="51" t="str">
        <f aca="false">IF(OR($A70="",M$8=""),"",IF($F70="Migré","ROKS",IF($F70="À décommissionner",IF(M$8&lt;$AS70,"IKS","Décom."),IF(OR($AQ70="",$AS70=""),"",IF(M$8&lt;$AQ70,"IKS",IF(M$8&lt;$AS70,IF(M$8=$AR70,"Bascule","Double run"),"ROKS"))))))</f>
        <v/>
      </c>
      <c r="N70" s="51" t="str">
        <f aca="false">IF(OR($A70="",N$8=""),"",IF($F70="Migré","ROKS",IF($F70="À décommissionner",IF(N$8&lt;$AS70,"IKS","Décom."),IF(OR($AQ70="",$AS70=""),"",IF(N$8&lt;$AQ70,"IKS",IF(N$8&lt;$AS70,IF(N$8=$AR70,"Bascule","Double run"),"ROKS"))))))</f>
        <v/>
      </c>
      <c r="O70" s="51" t="str">
        <f aca="false">IF(OR($A70="",O$8=""),"",IF($F70="Migré","ROKS",IF($F70="À décommissionner",IF(O$8&lt;$AS70,"IKS","Décom."),IF(OR($AQ70="",$AS70=""),"",IF(O$8&lt;$AQ70,"IKS",IF(O$8&lt;$AS70,IF(O$8=$AR70,"Bascule","Double run"),"ROKS"))))))</f>
        <v/>
      </c>
      <c r="P70" s="51" t="str">
        <f aca="false">IF(OR($A70="",P$8=""),"",IF($F70="Migré","ROKS",IF($F70="À décommissionner",IF(P$8&lt;$AS70,"IKS","Décom."),IF(OR($AQ70="",$AS70=""),"",IF(P$8&lt;$AQ70,"IKS",IF(P$8&lt;$AS70,IF(P$8=$AR70,"Bascule","Double run"),"ROKS"))))))</f>
        <v/>
      </c>
      <c r="Q70" s="51" t="str">
        <f aca="false">IF(OR($A70="",Q$8=""),"",IF($F70="Migré","ROKS",IF($F70="À décommissionner",IF(Q$8&lt;$AS70,"IKS","Décom."),IF(OR($AQ70="",$AS70=""),"",IF(Q$8&lt;$AQ70,"IKS",IF(Q$8&lt;$AS70,IF(Q$8=$AR70,"Bascule","Double run"),"ROKS"))))))</f>
        <v/>
      </c>
      <c r="R70" s="51" t="str">
        <f aca="false">IF(OR($A70="",R$8=""),"",IF($F70="Migré","ROKS",IF($F70="À décommissionner",IF(R$8&lt;$AS70,"IKS","Décom."),IF(OR($AQ70="",$AS70=""),"",IF(R$8&lt;$AQ70,"IKS",IF(R$8&lt;$AS70,IF(R$8=$AR70,"Bascule","Double run"),"ROKS"))))))</f>
        <v/>
      </c>
      <c r="S70" s="51" t="str">
        <f aca="false">IF(OR($A70="",S$8=""),"",IF($F70="Migré","ROKS",IF($F70="À décommissionner",IF(S$8&lt;$AS70,"IKS","Décom."),IF(OR($AQ70="",$AS70=""),"",IF(S$8&lt;$AQ70,"IKS",IF(S$8&lt;$AS70,IF(S$8=$AR70,"Bascule","Double run"),"ROKS"))))))</f>
        <v/>
      </c>
      <c r="T70" s="51" t="str">
        <f aca="false">IF(OR($A70="",T$8=""),"",IF($F70="Migré","ROKS",IF($F70="À décommissionner",IF(T$8&lt;$AS70,"IKS","Décom."),IF(OR($AQ70="",$AS70=""),"",IF(T$8&lt;$AQ70,"IKS",IF(T$8&lt;$AS70,IF(T$8=$AR70,"Bascule","Double run"),"ROKS"))))))</f>
        <v/>
      </c>
      <c r="U70" s="51" t="str">
        <f aca="false">IF(OR($A70="",U$8=""),"",IF($F70="Migré","ROKS",IF($F70="À décommissionner",IF(U$8&lt;$AS70,"IKS","Décom."),IF(OR($AQ70="",$AS70=""),"",IF(U$8&lt;$AQ70,"IKS",IF(U$8&lt;$AS70,IF(U$8=$AR70,"Bascule","Double run"),"ROKS"))))))</f>
        <v/>
      </c>
      <c r="V70" s="51" t="str">
        <f aca="false">IF(OR($A70="",V$8=""),"",IF($F70="Migré","ROKS",IF($F70="À décommissionner",IF(V$8&lt;$AS70,"IKS","Décom."),IF(OR($AQ70="",$AS70=""),"",IF(V$8&lt;$AQ70,"IKS",IF(V$8&lt;$AS70,IF(V$8=$AR70,"Bascule","Double run"),"ROKS"))))))</f>
        <v/>
      </c>
      <c r="W70" s="51" t="str">
        <f aca="false">IF(OR($A70="",W$8=""),"",IF($F70="Migré","ROKS",IF($F70="À décommissionner",IF(W$8&lt;$AS70,"IKS","Décom."),IF(OR($AQ70="",$AS70=""),"",IF(W$8&lt;$AQ70,"IKS",IF(W$8&lt;$AS70,IF(W$8=$AR70,"Bascule","Double run"),"ROKS"))))))</f>
        <v/>
      </c>
      <c r="X70" s="51" t="str">
        <f aca="false">IF(OR($A70="",X$8=""),"",IF($F70="Migré","ROKS",IF($F70="À décommissionner",IF(X$8&lt;$AS70,"IKS","Décom."),IF(OR($AQ70="",$AS70=""),"",IF(X$8&lt;$AQ70,"IKS",IF(X$8&lt;$AS70,IF(X$8=$AR70,"Bascule","Double run"),"ROKS"))))))</f>
        <v/>
      </c>
      <c r="Y70" s="51" t="str">
        <f aca="false">IF(OR($A70="",Y$8=""),"",IF($F70="Migré","ROKS",IF($F70="À décommissionner",IF(Y$8&lt;$AS70,"IKS","Décom."),IF(OR($AQ70="",$AS70=""),"",IF(Y$8&lt;$AQ70,"IKS",IF(Y$8&lt;$AS70,IF(Y$8=$AR70,"Bascule","Double run"),"ROKS"))))))</f>
        <v/>
      </c>
      <c r="Z70" s="51" t="str">
        <f aca="false">IF(OR($A70="",Z$8=""),"",IF($F70="Migré","ROKS",IF($F70="À décommissionner",IF(Z$8&lt;$AS70,"IKS","Décom."),IF(OR($AQ70="",$AS70=""),"",IF(Z$8&lt;$AQ70,"IKS",IF(Z$8&lt;$AS70,IF(Z$8=$AR70,"Bascule","Double run"),"ROKS"))))))</f>
        <v/>
      </c>
      <c r="AA70" s="51" t="str">
        <f aca="false">IF(OR($A70="",AA$8=""),"",IF($F70="Migré","ROKS",IF($F70="À décommissionner",IF(AA$8&lt;$AS70,"IKS","Décom."),IF(OR($AQ70="",$AS70=""),"",IF(AA$8&lt;$AQ70,"IKS",IF(AA$8&lt;$AS70,IF(AA$8=$AR70,"Bascule","Double run"),"ROKS"))))))</f>
        <v/>
      </c>
      <c r="AB70" s="51" t="str">
        <f aca="false">IF(OR($A70="",AB$8=""),"",IF($F70="Migré","ROKS",IF($F70="À décommissionner",IF(AB$8&lt;$AS70,"IKS","Décom."),IF(OR($AQ70="",$AS70=""),"",IF(AB$8&lt;$AQ70,"IKS",IF(AB$8&lt;$AS70,IF(AB$8=$AR70,"Bascule","Double run"),"ROKS"))))))</f>
        <v/>
      </c>
      <c r="AC70" s="51" t="str">
        <f aca="false">IF(OR($A70="",AC$8=""),"",IF($F70="Migré","ROKS",IF($F70="À décommissionner",IF(AC$8&lt;$AS70,"IKS","Décom."),IF(OR($AQ70="",$AS70=""),"",IF(AC$8&lt;$AQ70,"IKS",IF(AC$8&lt;$AS70,IF(AC$8=$AR70,"Bascule","Double run"),"ROKS"))))))</f>
        <v/>
      </c>
      <c r="AD70" s="51" t="str">
        <f aca="false">IF(OR($A70="",AD$8=""),"",IF($F70="Migré","ROKS",IF($F70="À décommissionner",IF(AD$8&lt;$AS70,"IKS","Décom."),IF(OR($AQ70="",$AS70=""),"",IF(AD$8&lt;$AQ70,"IKS",IF(AD$8&lt;$AS70,IF(AD$8=$AR70,"Bascule","Double run"),"ROKS"))))))</f>
        <v/>
      </c>
      <c r="AE70" s="51" t="str">
        <f aca="false">IF(OR($A70="",AE$8=""),"",IF($F70="Migré","ROKS",IF($F70="À décommissionner",IF(AE$8&lt;$AS70,"IKS","Décom."),IF(OR($AQ70="",$AS70=""),"",IF(AE$8&lt;$AQ70,"IKS",IF(AE$8&lt;$AS70,IF(AE$8=$AR70,"Bascule","Double run"),"ROKS"))))))</f>
        <v/>
      </c>
      <c r="AF70" s="51" t="str">
        <f aca="false">IF(OR($A70="",AF$8=""),"",IF($F70="Migré","ROKS",IF($F70="À décommissionner",IF(AF$8&lt;$AS70,"IKS","Décom."),IF(OR($AQ70="",$AS70=""),"",IF(AF$8&lt;$AQ70,"IKS",IF(AF$8&lt;$AS70,IF(AF$8=$AR70,"Bascule","Double run"),"ROKS"))))))</f>
        <v/>
      </c>
      <c r="AG70" s="51" t="str">
        <f aca="false">IF(OR($A70="",AG$8=""),"",IF($F70="Migré","ROKS",IF($F70="À décommissionner",IF(AG$8&lt;$AS70,"IKS","Décom."),IF(OR($AQ70="",$AS70=""),"",IF(AG$8&lt;$AQ70,"IKS",IF(AG$8&lt;$AS70,IF(AG$8=$AR70,"Bascule","Double run"),"ROKS"))))))</f>
        <v/>
      </c>
      <c r="AH70" s="51" t="str">
        <f aca="false">IF(OR($A70="",AH$8=""),"",IF($F70="Migré","ROKS",IF($F70="À décommissionner",IF(AH$8&lt;$AS70,"IKS","Décom."),IF(OR($AQ70="",$AS70=""),"",IF(AH$8&lt;$AQ70,"IKS",IF(AH$8&lt;$AS70,IF(AH$8=$AR70,"Bascule","Double run"),"ROKS"))))))</f>
        <v/>
      </c>
      <c r="AI70" s="51" t="str">
        <f aca="false">IF(OR($A70="",AI$8=""),"",IF($F70="Migré","ROKS",IF($F70="À décommissionner",IF(AI$8&lt;$AS70,"IKS","Décom."),IF(OR($AQ70="",$AS70=""),"",IF(AI$8&lt;$AQ70,"IKS",IF(AI$8&lt;$AS70,IF(AI$8=$AR70,"Bascule","Double run"),"ROKS"))))))</f>
        <v/>
      </c>
      <c r="AJ70" s="51" t="str">
        <f aca="false">IF(OR($A70="",AJ$8=""),"",IF($F70="Migré","ROKS",IF($F70="À décommissionner",IF(AJ$8&lt;$AS70,"IKS","Décom."),IF(OR($AQ70="",$AS70=""),"",IF(AJ$8&lt;$AQ70,"IKS",IF(AJ$8&lt;$AS70,IF(AJ$8=$AR70,"Bascule","Double run"),"ROKS"))))))</f>
        <v/>
      </c>
      <c r="AK70" s="51" t="str">
        <f aca="false">IF(OR($A70="",AK$8=""),"",IF($F70="Migré","ROKS",IF($F70="À décommissionner",IF(AK$8&lt;$AS70,"IKS","Décom."),IF(OR($AQ70="",$AS70=""),"",IF(AK$8&lt;$AQ70,"IKS",IF(AK$8&lt;$AS70,IF(AK$8=$AR70,"Bascule","Double run"),"ROKS"))))))</f>
        <v/>
      </c>
      <c r="AL70" s="51" t="str">
        <f aca="false">IF(OR($A70="",AL$8=""),"",IF($F70="Migré","ROKS",IF($F70="À décommissionner",IF(AL$8&lt;$AS70,"IKS","Décom."),IF(OR($AQ70="",$AS70=""),"",IF(AL$8&lt;$AQ70,"IKS",IF(AL$8&lt;$AS70,IF(AL$8=$AR70,"Bascule","Double run"),"ROKS"))))))</f>
        <v/>
      </c>
      <c r="AM70" s="51" t="str">
        <f aca="false">IF(OR($A70="",AM$8=""),"",IF($F70="Migré","ROKS",IF($F70="À décommissionner",IF(AM$8&lt;$AS70,"IKS","Décom."),IF(OR($AQ70="",$AS70=""),"",IF(AM$8&lt;$AQ70,"IKS",IF(AM$8&lt;$AS70,IF(AM$8=$AR70,"Bascule","Double run"),"ROKS"))))))</f>
        <v/>
      </c>
      <c r="AN70" s="51" t="str">
        <f aca="false">IF(OR($A70="",AN$8=""),"",IF($F70="Migré","ROKS",IF($F70="À décommissionner",IF(AN$8&lt;$AS70,"IKS","Décom."),IF(OR($AQ70="",$AS70=""),"",IF(AN$8&lt;$AQ70,"IKS",IF(AN$8&lt;$AS70,IF(AN$8=$AR70,"Bascule","Double run"),"ROKS"))))))</f>
        <v/>
      </c>
      <c r="AO70" s="51" t="str">
        <f aca="false">IF(OR($A70="",AO$8=""),"",IF($F70="Migré","ROKS",IF($F70="À décommissionner",IF(AO$8&lt;$AS70,"IKS","Décom."),IF(OR($AQ70="",$AS70=""),"",IF(AO$8&lt;$AQ70,"IKS",IF(AO$8&lt;$AS70,IF(AO$8=$AR70,"Bascule","Double run"),"ROKS"))))))</f>
        <v/>
      </c>
      <c r="AP70" s="51" t="str">
        <f aca="false">IF(OR($A70="",AP$8=""),"",IF($F70="Migré","ROKS",IF($F70="À décommissionner",IF(AP$8&lt;$AS70,"IKS","Décom."),IF(OR($AQ70="",$AS70=""),"",IF(AP$8&lt;$AQ70,"IKS",IF(AP$8&lt;$AS70,IF(AP$8=$AR70,"Bascule","Double run"),"ROKS"))))))</f>
        <v/>
      </c>
      <c r="AQ70" s="0" t="str">
        <f aca="false">IF($A70="","",INDEX(TblApplications[Mois prov (calc)],$A70))</f>
        <v/>
      </c>
      <c r="AR70" s="0" t="str">
        <f aca="false">IF($A70="","",IFERROR(DATE(YEAR(INDEX(TblApplications[Mois bascule],$A70)),MONTH(INDEX(TblApplications[Mois bascule],$A70)),1),""))</f>
        <v/>
      </c>
      <c r="AS70" s="0" t="str">
        <f aca="false">IF($A70="","",INDEX(TblApplications[Mois lib (calc)],$A70))</f>
        <v/>
      </c>
    </row>
    <row r="71" customFormat="false" ht="15" hidden="false" customHeight="false" outlineLevel="0" collapsed="false">
      <c r="A71" s="49" t="str">
        <f aca="false">IFERROR(MATCH(63,TblApplications[Rang frise],0),"")</f>
        <v/>
      </c>
      <c r="B71" s="50" t="str">
        <f aca="false">IF($A71="","",INDEX(TblApplications[ID],$A71))</f>
        <v/>
      </c>
      <c r="C71" s="50" t="str">
        <f aca="false">IF($A71="","",INDEX(TblApplications[Application],$A71))</f>
        <v/>
      </c>
      <c r="D71" s="50" t="str">
        <f aca="false">IF($A71="","",INDEX(TblApplications[Environnement],$A71))</f>
        <v/>
      </c>
      <c r="E71" s="50" t="str">
        <f aca="false">IF($A71="","",INDEX(TblApplications[Couloir],$A71))</f>
        <v/>
      </c>
      <c r="F71" s="50" t="str">
        <f aca="false">IF($A71="","",INDEX(TblApplications[Action],$A71))</f>
        <v/>
      </c>
      <c r="G71" s="51" t="str">
        <f aca="false">IF(OR($A71="",G$8=""),"",IF($F71="Migré","ROKS",IF($F71="À décommissionner",IF(G$8&lt;$AS71,"IKS","Décom."),IF(OR($AQ71="",$AS71=""),"",IF(G$8&lt;$AQ71,"IKS",IF(G$8&lt;$AS71,IF(G$8=$AR71,"Bascule","Double run"),"ROKS"))))))</f>
        <v/>
      </c>
      <c r="H71" s="51" t="str">
        <f aca="false">IF(OR($A71="",H$8=""),"",IF($F71="Migré","ROKS",IF($F71="À décommissionner",IF(H$8&lt;$AS71,"IKS","Décom."),IF(OR($AQ71="",$AS71=""),"",IF(H$8&lt;$AQ71,"IKS",IF(H$8&lt;$AS71,IF(H$8=$AR71,"Bascule","Double run"),"ROKS"))))))</f>
        <v/>
      </c>
      <c r="I71" s="51" t="str">
        <f aca="false">IF(OR($A71="",I$8=""),"",IF($F71="Migré","ROKS",IF($F71="À décommissionner",IF(I$8&lt;$AS71,"IKS","Décom."),IF(OR($AQ71="",$AS71=""),"",IF(I$8&lt;$AQ71,"IKS",IF(I$8&lt;$AS71,IF(I$8=$AR71,"Bascule","Double run"),"ROKS"))))))</f>
        <v/>
      </c>
      <c r="J71" s="51" t="str">
        <f aca="false">IF(OR($A71="",J$8=""),"",IF($F71="Migré","ROKS",IF($F71="À décommissionner",IF(J$8&lt;$AS71,"IKS","Décom."),IF(OR($AQ71="",$AS71=""),"",IF(J$8&lt;$AQ71,"IKS",IF(J$8&lt;$AS71,IF(J$8=$AR71,"Bascule","Double run"),"ROKS"))))))</f>
        <v/>
      </c>
      <c r="K71" s="51" t="str">
        <f aca="false">IF(OR($A71="",K$8=""),"",IF($F71="Migré","ROKS",IF($F71="À décommissionner",IF(K$8&lt;$AS71,"IKS","Décom."),IF(OR($AQ71="",$AS71=""),"",IF(K$8&lt;$AQ71,"IKS",IF(K$8&lt;$AS71,IF(K$8=$AR71,"Bascule","Double run"),"ROKS"))))))</f>
        <v/>
      </c>
      <c r="L71" s="51" t="str">
        <f aca="false">IF(OR($A71="",L$8=""),"",IF($F71="Migré","ROKS",IF($F71="À décommissionner",IF(L$8&lt;$AS71,"IKS","Décom."),IF(OR($AQ71="",$AS71=""),"",IF(L$8&lt;$AQ71,"IKS",IF(L$8&lt;$AS71,IF(L$8=$AR71,"Bascule","Double run"),"ROKS"))))))</f>
        <v/>
      </c>
      <c r="M71" s="51" t="str">
        <f aca="false">IF(OR($A71="",M$8=""),"",IF($F71="Migré","ROKS",IF($F71="À décommissionner",IF(M$8&lt;$AS71,"IKS","Décom."),IF(OR($AQ71="",$AS71=""),"",IF(M$8&lt;$AQ71,"IKS",IF(M$8&lt;$AS71,IF(M$8=$AR71,"Bascule","Double run"),"ROKS"))))))</f>
        <v/>
      </c>
      <c r="N71" s="51" t="str">
        <f aca="false">IF(OR($A71="",N$8=""),"",IF($F71="Migré","ROKS",IF($F71="À décommissionner",IF(N$8&lt;$AS71,"IKS","Décom."),IF(OR($AQ71="",$AS71=""),"",IF(N$8&lt;$AQ71,"IKS",IF(N$8&lt;$AS71,IF(N$8=$AR71,"Bascule","Double run"),"ROKS"))))))</f>
        <v/>
      </c>
      <c r="O71" s="51" t="str">
        <f aca="false">IF(OR($A71="",O$8=""),"",IF($F71="Migré","ROKS",IF($F71="À décommissionner",IF(O$8&lt;$AS71,"IKS","Décom."),IF(OR($AQ71="",$AS71=""),"",IF(O$8&lt;$AQ71,"IKS",IF(O$8&lt;$AS71,IF(O$8=$AR71,"Bascule","Double run"),"ROKS"))))))</f>
        <v/>
      </c>
      <c r="P71" s="51" t="str">
        <f aca="false">IF(OR($A71="",P$8=""),"",IF($F71="Migré","ROKS",IF($F71="À décommissionner",IF(P$8&lt;$AS71,"IKS","Décom."),IF(OR($AQ71="",$AS71=""),"",IF(P$8&lt;$AQ71,"IKS",IF(P$8&lt;$AS71,IF(P$8=$AR71,"Bascule","Double run"),"ROKS"))))))</f>
        <v/>
      </c>
      <c r="Q71" s="51" t="str">
        <f aca="false">IF(OR($A71="",Q$8=""),"",IF($F71="Migré","ROKS",IF($F71="À décommissionner",IF(Q$8&lt;$AS71,"IKS","Décom."),IF(OR($AQ71="",$AS71=""),"",IF(Q$8&lt;$AQ71,"IKS",IF(Q$8&lt;$AS71,IF(Q$8=$AR71,"Bascule","Double run"),"ROKS"))))))</f>
        <v/>
      </c>
      <c r="R71" s="51" t="str">
        <f aca="false">IF(OR($A71="",R$8=""),"",IF($F71="Migré","ROKS",IF($F71="À décommissionner",IF(R$8&lt;$AS71,"IKS","Décom."),IF(OR($AQ71="",$AS71=""),"",IF(R$8&lt;$AQ71,"IKS",IF(R$8&lt;$AS71,IF(R$8=$AR71,"Bascule","Double run"),"ROKS"))))))</f>
        <v/>
      </c>
      <c r="S71" s="51" t="str">
        <f aca="false">IF(OR($A71="",S$8=""),"",IF($F71="Migré","ROKS",IF($F71="À décommissionner",IF(S$8&lt;$AS71,"IKS","Décom."),IF(OR($AQ71="",$AS71=""),"",IF(S$8&lt;$AQ71,"IKS",IF(S$8&lt;$AS71,IF(S$8=$AR71,"Bascule","Double run"),"ROKS"))))))</f>
        <v/>
      </c>
      <c r="T71" s="51" t="str">
        <f aca="false">IF(OR($A71="",T$8=""),"",IF($F71="Migré","ROKS",IF($F71="À décommissionner",IF(T$8&lt;$AS71,"IKS","Décom."),IF(OR($AQ71="",$AS71=""),"",IF(T$8&lt;$AQ71,"IKS",IF(T$8&lt;$AS71,IF(T$8=$AR71,"Bascule","Double run"),"ROKS"))))))</f>
        <v/>
      </c>
      <c r="U71" s="51" t="str">
        <f aca="false">IF(OR($A71="",U$8=""),"",IF($F71="Migré","ROKS",IF($F71="À décommissionner",IF(U$8&lt;$AS71,"IKS","Décom."),IF(OR($AQ71="",$AS71=""),"",IF(U$8&lt;$AQ71,"IKS",IF(U$8&lt;$AS71,IF(U$8=$AR71,"Bascule","Double run"),"ROKS"))))))</f>
        <v/>
      </c>
      <c r="V71" s="51" t="str">
        <f aca="false">IF(OR($A71="",V$8=""),"",IF($F71="Migré","ROKS",IF($F71="À décommissionner",IF(V$8&lt;$AS71,"IKS","Décom."),IF(OR($AQ71="",$AS71=""),"",IF(V$8&lt;$AQ71,"IKS",IF(V$8&lt;$AS71,IF(V$8=$AR71,"Bascule","Double run"),"ROKS"))))))</f>
        <v/>
      </c>
      <c r="W71" s="51" t="str">
        <f aca="false">IF(OR($A71="",W$8=""),"",IF($F71="Migré","ROKS",IF($F71="À décommissionner",IF(W$8&lt;$AS71,"IKS","Décom."),IF(OR($AQ71="",$AS71=""),"",IF(W$8&lt;$AQ71,"IKS",IF(W$8&lt;$AS71,IF(W$8=$AR71,"Bascule","Double run"),"ROKS"))))))</f>
        <v/>
      </c>
      <c r="X71" s="51" t="str">
        <f aca="false">IF(OR($A71="",X$8=""),"",IF($F71="Migré","ROKS",IF($F71="À décommissionner",IF(X$8&lt;$AS71,"IKS","Décom."),IF(OR($AQ71="",$AS71=""),"",IF(X$8&lt;$AQ71,"IKS",IF(X$8&lt;$AS71,IF(X$8=$AR71,"Bascule","Double run"),"ROKS"))))))</f>
        <v/>
      </c>
      <c r="Y71" s="51" t="str">
        <f aca="false">IF(OR($A71="",Y$8=""),"",IF($F71="Migré","ROKS",IF($F71="À décommissionner",IF(Y$8&lt;$AS71,"IKS","Décom."),IF(OR($AQ71="",$AS71=""),"",IF(Y$8&lt;$AQ71,"IKS",IF(Y$8&lt;$AS71,IF(Y$8=$AR71,"Bascule","Double run"),"ROKS"))))))</f>
        <v/>
      </c>
      <c r="Z71" s="51" t="str">
        <f aca="false">IF(OR($A71="",Z$8=""),"",IF($F71="Migré","ROKS",IF($F71="À décommissionner",IF(Z$8&lt;$AS71,"IKS","Décom."),IF(OR($AQ71="",$AS71=""),"",IF(Z$8&lt;$AQ71,"IKS",IF(Z$8&lt;$AS71,IF(Z$8=$AR71,"Bascule","Double run"),"ROKS"))))))</f>
        <v/>
      </c>
      <c r="AA71" s="51" t="str">
        <f aca="false">IF(OR($A71="",AA$8=""),"",IF($F71="Migré","ROKS",IF($F71="À décommissionner",IF(AA$8&lt;$AS71,"IKS","Décom."),IF(OR($AQ71="",$AS71=""),"",IF(AA$8&lt;$AQ71,"IKS",IF(AA$8&lt;$AS71,IF(AA$8=$AR71,"Bascule","Double run"),"ROKS"))))))</f>
        <v/>
      </c>
      <c r="AB71" s="51" t="str">
        <f aca="false">IF(OR($A71="",AB$8=""),"",IF($F71="Migré","ROKS",IF($F71="À décommissionner",IF(AB$8&lt;$AS71,"IKS","Décom."),IF(OR($AQ71="",$AS71=""),"",IF(AB$8&lt;$AQ71,"IKS",IF(AB$8&lt;$AS71,IF(AB$8=$AR71,"Bascule","Double run"),"ROKS"))))))</f>
        <v/>
      </c>
      <c r="AC71" s="51" t="str">
        <f aca="false">IF(OR($A71="",AC$8=""),"",IF($F71="Migré","ROKS",IF($F71="À décommissionner",IF(AC$8&lt;$AS71,"IKS","Décom."),IF(OR($AQ71="",$AS71=""),"",IF(AC$8&lt;$AQ71,"IKS",IF(AC$8&lt;$AS71,IF(AC$8=$AR71,"Bascule","Double run"),"ROKS"))))))</f>
        <v/>
      </c>
      <c r="AD71" s="51" t="str">
        <f aca="false">IF(OR($A71="",AD$8=""),"",IF($F71="Migré","ROKS",IF($F71="À décommissionner",IF(AD$8&lt;$AS71,"IKS","Décom."),IF(OR($AQ71="",$AS71=""),"",IF(AD$8&lt;$AQ71,"IKS",IF(AD$8&lt;$AS71,IF(AD$8=$AR71,"Bascule","Double run"),"ROKS"))))))</f>
        <v/>
      </c>
      <c r="AE71" s="51" t="str">
        <f aca="false">IF(OR($A71="",AE$8=""),"",IF($F71="Migré","ROKS",IF($F71="À décommissionner",IF(AE$8&lt;$AS71,"IKS","Décom."),IF(OR($AQ71="",$AS71=""),"",IF(AE$8&lt;$AQ71,"IKS",IF(AE$8&lt;$AS71,IF(AE$8=$AR71,"Bascule","Double run"),"ROKS"))))))</f>
        <v/>
      </c>
      <c r="AF71" s="51" t="str">
        <f aca="false">IF(OR($A71="",AF$8=""),"",IF($F71="Migré","ROKS",IF($F71="À décommissionner",IF(AF$8&lt;$AS71,"IKS","Décom."),IF(OR($AQ71="",$AS71=""),"",IF(AF$8&lt;$AQ71,"IKS",IF(AF$8&lt;$AS71,IF(AF$8=$AR71,"Bascule","Double run"),"ROKS"))))))</f>
        <v/>
      </c>
      <c r="AG71" s="51" t="str">
        <f aca="false">IF(OR($A71="",AG$8=""),"",IF($F71="Migré","ROKS",IF($F71="À décommissionner",IF(AG$8&lt;$AS71,"IKS","Décom."),IF(OR($AQ71="",$AS71=""),"",IF(AG$8&lt;$AQ71,"IKS",IF(AG$8&lt;$AS71,IF(AG$8=$AR71,"Bascule","Double run"),"ROKS"))))))</f>
        <v/>
      </c>
      <c r="AH71" s="51" t="str">
        <f aca="false">IF(OR($A71="",AH$8=""),"",IF($F71="Migré","ROKS",IF($F71="À décommissionner",IF(AH$8&lt;$AS71,"IKS","Décom."),IF(OR($AQ71="",$AS71=""),"",IF(AH$8&lt;$AQ71,"IKS",IF(AH$8&lt;$AS71,IF(AH$8=$AR71,"Bascule","Double run"),"ROKS"))))))</f>
        <v/>
      </c>
      <c r="AI71" s="51" t="str">
        <f aca="false">IF(OR($A71="",AI$8=""),"",IF($F71="Migré","ROKS",IF($F71="À décommissionner",IF(AI$8&lt;$AS71,"IKS","Décom."),IF(OR($AQ71="",$AS71=""),"",IF(AI$8&lt;$AQ71,"IKS",IF(AI$8&lt;$AS71,IF(AI$8=$AR71,"Bascule","Double run"),"ROKS"))))))</f>
        <v/>
      </c>
      <c r="AJ71" s="51" t="str">
        <f aca="false">IF(OR($A71="",AJ$8=""),"",IF($F71="Migré","ROKS",IF($F71="À décommissionner",IF(AJ$8&lt;$AS71,"IKS","Décom."),IF(OR($AQ71="",$AS71=""),"",IF(AJ$8&lt;$AQ71,"IKS",IF(AJ$8&lt;$AS71,IF(AJ$8=$AR71,"Bascule","Double run"),"ROKS"))))))</f>
        <v/>
      </c>
      <c r="AK71" s="51" t="str">
        <f aca="false">IF(OR($A71="",AK$8=""),"",IF($F71="Migré","ROKS",IF($F71="À décommissionner",IF(AK$8&lt;$AS71,"IKS","Décom."),IF(OR($AQ71="",$AS71=""),"",IF(AK$8&lt;$AQ71,"IKS",IF(AK$8&lt;$AS71,IF(AK$8=$AR71,"Bascule","Double run"),"ROKS"))))))</f>
        <v/>
      </c>
      <c r="AL71" s="51" t="str">
        <f aca="false">IF(OR($A71="",AL$8=""),"",IF($F71="Migré","ROKS",IF($F71="À décommissionner",IF(AL$8&lt;$AS71,"IKS","Décom."),IF(OR($AQ71="",$AS71=""),"",IF(AL$8&lt;$AQ71,"IKS",IF(AL$8&lt;$AS71,IF(AL$8=$AR71,"Bascule","Double run"),"ROKS"))))))</f>
        <v/>
      </c>
      <c r="AM71" s="51" t="str">
        <f aca="false">IF(OR($A71="",AM$8=""),"",IF($F71="Migré","ROKS",IF($F71="À décommissionner",IF(AM$8&lt;$AS71,"IKS","Décom."),IF(OR($AQ71="",$AS71=""),"",IF(AM$8&lt;$AQ71,"IKS",IF(AM$8&lt;$AS71,IF(AM$8=$AR71,"Bascule","Double run"),"ROKS"))))))</f>
        <v/>
      </c>
      <c r="AN71" s="51" t="str">
        <f aca="false">IF(OR($A71="",AN$8=""),"",IF($F71="Migré","ROKS",IF($F71="À décommissionner",IF(AN$8&lt;$AS71,"IKS","Décom."),IF(OR($AQ71="",$AS71=""),"",IF(AN$8&lt;$AQ71,"IKS",IF(AN$8&lt;$AS71,IF(AN$8=$AR71,"Bascule","Double run"),"ROKS"))))))</f>
        <v/>
      </c>
      <c r="AO71" s="51" t="str">
        <f aca="false">IF(OR($A71="",AO$8=""),"",IF($F71="Migré","ROKS",IF($F71="À décommissionner",IF(AO$8&lt;$AS71,"IKS","Décom."),IF(OR($AQ71="",$AS71=""),"",IF(AO$8&lt;$AQ71,"IKS",IF(AO$8&lt;$AS71,IF(AO$8=$AR71,"Bascule","Double run"),"ROKS"))))))</f>
        <v/>
      </c>
      <c r="AP71" s="51" t="str">
        <f aca="false">IF(OR($A71="",AP$8=""),"",IF($F71="Migré","ROKS",IF($F71="À décommissionner",IF(AP$8&lt;$AS71,"IKS","Décom."),IF(OR($AQ71="",$AS71=""),"",IF(AP$8&lt;$AQ71,"IKS",IF(AP$8&lt;$AS71,IF(AP$8=$AR71,"Bascule","Double run"),"ROKS"))))))</f>
        <v/>
      </c>
      <c r="AQ71" s="0" t="str">
        <f aca="false">IF($A71="","",INDEX(TblApplications[Mois prov (calc)],$A71))</f>
        <v/>
      </c>
      <c r="AR71" s="0" t="str">
        <f aca="false">IF($A71="","",IFERROR(DATE(YEAR(INDEX(TblApplications[Mois bascule],$A71)),MONTH(INDEX(TblApplications[Mois bascule],$A71)),1),""))</f>
        <v/>
      </c>
      <c r="AS71" s="0" t="str">
        <f aca="false">IF($A71="","",INDEX(TblApplications[Mois lib (calc)],$A71))</f>
        <v/>
      </c>
    </row>
    <row r="72" customFormat="false" ht="15" hidden="false" customHeight="false" outlineLevel="0" collapsed="false">
      <c r="A72" s="49" t="str">
        <f aca="false">IFERROR(MATCH(64,TblApplications[Rang frise],0),"")</f>
        <v/>
      </c>
      <c r="B72" s="50" t="str">
        <f aca="false">IF($A72="","",INDEX(TblApplications[ID],$A72))</f>
        <v/>
      </c>
      <c r="C72" s="50" t="str">
        <f aca="false">IF($A72="","",INDEX(TblApplications[Application],$A72))</f>
        <v/>
      </c>
      <c r="D72" s="50" t="str">
        <f aca="false">IF($A72="","",INDEX(TblApplications[Environnement],$A72))</f>
        <v/>
      </c>
      <c r="E72" s="50" t="str">
        <f aca="false">IF($A72="","",INDEX(TblApplications[Couloir],$A72))</f>
        <v/>
      </c>
      <c r="F72" s="50" t="str">
        <f aca="false">IF($A72="","",INDEX(TblApplications[Action],$A72))</f>
        <v/>
      </c>
      <c r="G72" s="51" t="str">
        <f aca="false">IF(OR($A72="",G$8=""),"",IF($F72="Migré","ROKS",IF($F72="À décommissionner",IF(G$8&lt;$AS72,"IKS","Décom."),IF(OR($AQ72="",$AS72=""),"",IF(G$8&lt;$AQ72,"IKS",IF(G$8&lt;$AS72,IF(G$8=$AR72,"Bascule","Double run"),"ROKS"))))))</f>
        <v/>
      </c>
      <c r="H72" s="51" t="str">
        <f aca="false">IF(OR($A72="",H$8=""),"",IF($F72="Migré","ROKS",IF($F72="À décommissionner",IF(H$8&lt;$AS72,"IKS","Décom."),IF(OR($AQ72="",$AS72=""),"",IF(H$8&lt;$AQ72,"IKS",IF(H$8&lt;$AS72,IF(H$8=$AR72,"Bascule","Double run"),"ROKS"))))))</f>
        <v/>
      </c>
      <c r="I72" s="51" t="str">
        <f aca="false">IF(OR($A72="",I$8=""),"",IF($F72="Migré","ROKS",IF($F72="À décommissionner",IF(I$8&lt;$AS72,"IKS","Décom."),IF(OR($AQ72="",$AS72=""),"",IF(I$8&lt;$AQ72,"IKS",IF(I$8&lt;$AS72,IF(I$8=$AR72,"Bascule","Double run"),"ROKS"))))))</f>
        <v/>
      </c>
      <c r="J72" s="51" t="str">
        <f aca="false">IF(OR($A72="",J$8=""),"",IF($F72="Migré","ROKS",IF($F72="À décommissionner",IF(J$8&lt;$AS72,"IKS","Décom."),IF(OR($AQ72="",$AS72=""),"",IF(J$8&lt;$AQ72,"IKS",IF(J$8&lt;$AS72,IF(J$8=$AR72,"Bascule","Double run"),"ROKS"))))))</f>
        <v/>
      </c>
      <c r="K72" s="51" t="str">
        <f aca="false">IF(OR($A72="",K$8=""),"",IF($F72="Migré","ROKS",IF($F72="À décommissionner",IF(K$8&lt;$AS72,"IKS","Décom."),IF(OR($AQ72="",$AS72=""),"",IF(K$8&lt;$AQ72,"IKS",IF(K$8&lt;$AS72,IF(K$8=$AR72,"Bascule","Double run"),"ROKS"))))))</f>
        <v/>
      </c>
      <c r="L72" s="51" t="str">
        <f aca="false">IF(OR($A72="",L$8=""),"",IF($F72="Migré","ROKS",IF($F72="À décommissionner",IF(L$8&lt;$AS72,"IKS","Décom."),IF(OR($AQ72="",$AS72=""),"",IF(L$8&lt;$AQ72,"IKS",IF(L$8&lt;$AS72,IF(L$8=$AR72,"Bascule","Double run"),"ROKS"))))))</f>
        <v/>
      </c>
      <c r="M72" s="51" t="str">
        <f aca="false">IF(OR($A72="",M$8=""),"",IF($F72="Migré","ROKS",IF($F72="À décommissionner",IF(M$8&lt;$AS72,"IKS","Décom."),IF(OR($AQ72="",$AS72=""),"",IF(M$8&lt;$AQ72,"IKS",IF(M$8&lt;$AS72,IF(M$8=$AR72,"Bascule","Double run"),"ROKS"))))))</f>
        <v/>
      </c>
      <c r="N72" s="51" t="str">
        <f aca="false">IF(OR($A72="",N$8=""),"",IF($F72="Migré","ROKS",IF($F72="À décommissionner",IF(N$8&lt;$AS72,"IKS","Décom."),IF(OR($AQ72="",$AS72=""),"",IF(N$8&lt;$AQ72,"IKS",IF(N$8&lt;$AS72,IF(N$8=$AR72,"Bascule","Double run"),"ROKS"))))))</f>
        <v/>
      </c>
      <c r="O72" s="51" t="str">
        <f aca="false">IF(OR($A72="",O$8=""),"",IF($F72="Migré","ROKS",IF($F72="À décommissionner",IF(O$8&lt;$AS72,"IKS","Décom."),IF(OR($AQ72="",$AS72=""),"",IF(O$8&lt;$AQ72,"IKS",IF(O$8&lt;$AS72,IF(O$8=$AR72,"Bascule","Double run"),"ROKS"))))))</f>
        <v/>
      </c>
      <c r="P72" s="51" t="str">
        <f aca="false">IF(OR($A72="",P$8=""),"",IF($F72="Migré","ROKS",IF($F72="À décommissionner",IF(P$8&lt;$AS72,"IKS","Décom."),IF(OR($AQ72="",$AS72=""),"",IF(P$8&lt;$AQ72,"IKS",IF(P$8&lt;$AS72,IF(P$8=$AR72,"Bascule","Double run"),"ROKS"))))))</f>
        <v/>
      </c>
      <c r="Q72" s="51" t="str">
        <f aca="false">IF(OR($A72="",Q$8=""),"",IF($F72="Migré","ROKS",IF($F72="À décommissionner",IF(Q$8&lt;$AS72,"IKS","Décom."),IF(OR($AQ72="",$AS72=""),"",IF(Q$8&lt;$AQ72,"IKS",IF(Q$8&lt;$AS72,IF(Q$8=$AR72,"Bascule","Double run"),"ROKS"))))))</f>
        <v/>
      </c>
      <c r="R72" s="51" t="str">
        <f aca="false">IF(OR($A72="",R$8=""),"",IF($F72="Migré","ROKS",IF($F72="À décommissionner",IF(R$8&lt;$AS72,"IKS","Décom."),IF(OR($AQ72="",$AS72=""),"",IF(R$8&lt;$AQ72,"IKS",IF(R$8&lt;$AS72,IF(R$8=$AR72,"Bascule","Double run"),"ROKS"))))))</f>
        <v/>
      </c>
      <c r="S72" s="51" t="str">
        <f aca="false">IF(OR($A72="",S$8=""),"",IF($F72="Migré","ROKS",IF($F72="À décommissionner",IF(S$8&lt;$AS72,"IKS","Décom."),IF(OR($AQ72="",$AS72=""),"",IF(S$8&lt;$AQ72,"IKS",IF(S$8&lt;$AS72,IF(S$8=$AR72,"Bascule","Double run"),"ROKS"))))))</f>
        <v/>
      </c>
      <c r="T72" s="51" t="str">
        <f aca="false">IF(OR($A72="",T$8=""),"",IF($F72="Migré","ROKS",IF($F72="À décommissionner",IF(T$8&lt;$AS72,"IKS","Décom."),IF(OR($AQ72="",$AS72=""),"",IF(T$8&lt;$AQ72,"IKS",IF(T$8&lt;$AS72,IF(T$8=$AR72,"Bascule","Double run"),"ROKS"))))))</f>
        <v/>
      </c>
      <c r="U72" s="51" t="str">
        <f aca="false">IF(OR($A72="",U$8=""),"",IF($F72="Migré","ROKS",IF($F72="À décommissionner",IF(U$8&lt;$AS72,"IKS","Décom."),IF(OR($AQ72="",$AS72=""),"",IF(U$8&lt;$AQ72,"IKS",IF(U$8&lt;$AS72,IF(U$8=$AR72,"Bascule","Double run"),"ROKS"))))))</f>
        <v/>
      </c>
      <c r="V72" s="51" t="str">
        <f aca="false">IF(OR($A72="",V$8=""),"",IF($F72="Migré","ROKS",IF($F72="À décommissionner",IF(V$8&lt;$AS72,"IKS","Décom."),IF(OR($AQ72="",$AS72=""),"",IF(V$8&lt;$AQ72,"IKS",IF(V$8&lt;$AS72,IF(V$8=$AR72,"Bascule","Double run"),"ROKS"))))))</f>
        <v/>
      </c>
      <c r="W72" s="51" t="str">
        <f aca="false">IF(OR($A72="",W$8=""),"",IF($F72="Migré","ROKS",IF($F72="À décommissionner",IF(W$8&lt;$AS72,"IKS","Décom."),IF(OR($AQ72="",$AS72=""),"",IF(W$8&lt;$AQ72,"IKS",IF(W$8&lt;$AS72,IF(W$8=$AR72,"Bascule","Double run"),"ROKS"))))))</f>
        <v/>
      </c>
      <c r="X72" s="51" t="str">
        <f aca="false">IF(OR($A72="",X$8=""),"",IF($F72="Migré","ROKS",IF($F72="À décommissionner",IF(X$8&lt;$AS72,"IKS","Décom."),IF(OR($AQ72="",$AS72=""),"",IF(X$8&lt;$AQ72,"IKS",IF(X$8&lt;$AS72,IF(X$8=$AR72,"Bascule","Double run"),"ROKS"))))))</f>
        <v/>
      </c>
      <c r="Y72" s="51" t="str">
        <f aca="false">IF(OR($A72="",Y$8=""),"",IF($F72="Migré","ROKS",IF($F72="À décommissionner",IF(Y$8&lt;$AS72,"IKS","Décom."),IF(OR($AQ72="",$AS72=""),"",IF(Y$8&lt;$AQ72,"IKS",IF(Y$8&lt;$AS72,IF(Y$8=$AR72,"Bascule","Double run"),"ROKS"))))))</f>
        <v/>
      </c>
      <c r="Z72" s="51" t="str">
        <f aca="false">IF(OR($A72="",Z$8=""),"",IF($F72="Migré","ROKS",IF($F72="À décommissionner",IF(Z$8&lt;$AS72,"IKS","Décom."),IF(OR($AQ72="",$AS72=""),"",IF(Z$8&lt;$AQ72,"IKS",IF(Z$8&lt;$AS72,IF(Z$8=$AR72,"Bascule","Double run"),"ROKS"))))))</f>
        <v/>
      </c>
      <c r="AA72" s="51" t="str">
        <f aca="false">IF(OR($A72="",AA$8=""),"",IF($F72="Migré","ROKS",IF($F72="À décommissionner",IF(AA$8&lt;$AS72,"IKS","Décom."),IF(OR($AQ72="",$AS72=""),"",IF(AA$8&lt;$AQ72,"IKS",IF(AA$8&lt;$AS72,IF(AA$8=$AR72,"Bascule","Double run"),"ROKS"))))))</f>
        <v/>
      </c>
      <c r="AB72" s="51" t="str">
        <f aca="false">IF(OR($A72="",AB$8=""),"",IF($F72="Migré","ROKS",IF($F72="À décommissionner",IF(AB$8&lt;$AS72,"IKS","Décom."),IF(OR($AQ72="",$AS72=""),"",IF(AB$8&lt;$AQ72,"IKS",IF(AB$8&lt;$AS72,IF(AB$8=$AR72,"Bascule","Double run"),"ROKS"))))))</f>
        <v/>
      </c>
      <c r="AC72" s="51" t="str">
        <f aca="false">IF(OR($A72="",AC$8=""),"",IF($F72="Migré","ROKS",IF($F72="À décommissionner",IF(AC$8&lt;$AS72,"IKS","Décom."),IF(OR($AQ72="",$AS72=""),"",IF(AC$8&lt;$AQ72,"IKS",IF(AC$8&lt;$AS72,IF(AC$8=$AR72,"Bascule","Double run"),"ROKS"))))))</f>
        <v/>
      </c>
      <c r="AD72" s="51" t="str">
        <f aca="false">IF(OR($A72="",AD$8=""),"",IF($F72="Migré","ROKS",IF($F72="À décommissionner",IF(AD$8&lt;$AS72,"IKS","Décom."),IF(OR($AQ72="",$AS72=""),"",IF(AD$8&lt;$AQ72,"IKS",IF(AD$8&lt;$AS72,IF(AD$8=$AR72,"Bascule","Double run"),"ROKS"))))))</f>
        <v/>
      </c>
      <c r="AE72" s="51" t="str">
        <f aca="false">IF(OR($A72="",AE$8=""),"",IF($F72="Migré","ROKS",IF($F72="À décommissionner",IF(AE$8&lt;$AS72,"IKS","Décom."),IF(OR($AQ72="",$AS72=""),"",IF(AE$8&lt;$AQ72,"IKS",IF(AE$8&lt;$AS72,IF(AE$8=$AR72,"Bascule","Double run"),"ROKS"))))))</f>
        <v/>
      </c>
      <c r="AF72" s="51" t="str">
        <f aca="false">IF(OR($A72="",AF$8=""),"",IF($F72="Migré","ROKS",IF($F72="À décommissionner",IF(AF$8&lt;$AS72,"IKS","Décom."),IF(OR($AQ72="",$AS72=""),"",IF(AF$8&lt;$AQ72,"IKS",IF(AF$8&lt;$AS72,IF(AF$8=$AR72,"Bascule","Double run"),"ROKS"))))))</f>
        <v/>
      </c>
      <c r="AG72" s="51" t="str">
        <f aca="false">IF(OR($A72="",AG$8=""),"",IF($F72="Migré","ROKS",IF($F72="À décommissionner",IF(AG$8&lt;$AS72,"IKS","Décom."),IF(OR($AQ72="",$AS72=""),"",IF(AG$8&lt;$AQ72,"IKS",IF(AG$8&lt;$AS72,IF(AG$8=$AR72,"Bascule","Double run"),"ROKS"))))))</f>
        <v/>
      </c>
      <c r="AH72" s="51" t="str">
        <f aca="false">IF(OR($A72="",AH$8=""),"",IF($F72="Migré","ROKS",IF($F72="À décommissionner",IF(AH$8&lt;$AS72,"IKS","Décom."),IF(OR($AQ72="",$AS72=""),"",IF(AH$8&lt;$AQ72,"IKS",IF(AH$8&lt;$AS72,IF(AH$8=$AR72,"Bascule","Double run"),"ROKS"))))))</f>
        <v/>
      </c>
      <c r="AI72" s="51" t="str">
        <f aca="false">IF(OR($A72="",AI$8=""),"",IF($F72="Migré","ROKS",IF($F72="À décommissionner",IF(AI$8&lt;$AS72,"IKS","Décom."),IF(OR($AQ72="",$AS72=""),"",IF(AI$8&lt;$AQ72,"IKS",IF(AI$8&lt;$AS72,IF(AI$8=$AR72,"Bascule","Double run"),"ROKS"))))))</f>
        <v/>
      </c>
      <c r="AJ72" s="51" t="str">
        <f aca="false">IF(OR($A72="",AJ$8=""),"",IF($F72="Migré","ROKS",IF($F72="À décommissionner",IF(AJ$8&lt;$AS72,"IKS","Décom."),IF(OR($AQ72="",$AS72=""),"",IF(AJ$8&lt;$AQ72,"IKS",IF(AJ$8&lt;$AS72,IF(AJ$8=$AR72,"Bascule","Double run"),"ROKS"))))))</f>
        <v/>
      </c>
      <c r="AK72" s="51" t="str">
        <f aca="false">IF(OR($A72="",AK$8=""),"",IF($F72="Migré","ROKS",IF($F72="À décommissionner",IF(AK$8&lt;$AS72,"IKS","Décom."),IF(OR($AQ72="",$AS72=""),"",IF(AK$8&lt;$AQ72,"IKS",IF(AK$8&lt;$AS72,IF(AK$8=$AR72,"Bascule","Double run"),"ROKS"))))))</f>
        <v/>
      </c>
      <c r="AL72" s="51" t="str">
        <f aca="false">IF(OR($A72="",AL$8=""),"",IF($F72="Migré","ROKS",IF($F72="À décommissionner",IF(AL$8&lt;$AS72,"IKS","Décom."),IF(OR($AQ72="",$AS72=""),"",IF(AL$8&lt;$AQ72,"IKS",IF(AL$8&lt;$AS72,IF(AL$8=$AR72,"Bascule","Double run"),"ROKS"))))))</f>
        <v/>
      </c>
      <c r="AM72" s="51" t="str">
        <f aca="false">IF(OR($A72="",AM$8=""),"",IF($F72="Migré","ROKS",IF($F72="À décommissionner",IF(AM$8&lt;$AS72,"IKS","Décom."),IF(OR($AQ72="",$AS72=""),"",IF(AM$8&lt;$AQ72,"IKS",IF(AM$8&lt;$AS72,IF(AM$8=$AR72,"Bascule","Double run"),"ROKS"))))))</f>
        <v/>
      </c>
      <c r="AN72" s="51" t="str">
        <f aca="false">IF(OR($A72="",AN$8=""),"",IF($F72="Migré","ROKS",IF($F72="À décommissionner",IF(AN$8&lt;$AS72,"IKS","Décom."),IF(OR($AQ72="",$AS72=""),"",IF(AN$8&lt;$AQ72,"IKS",IF(AN$8&lt;$AS72,IF(AN$8=$AR72,"Bascule","Double run"),"ROKS"))))))</f>
        <v/>
      </c>
      <c r="AO72" s="51" t="str">
        <f aca="false">IF(OR($A72="",AO$8=""),"",IF($F72="Migré","ROKS",IF($F72="À décommissionner",IF(AO$8&lt;$AS72,"IKS","Décom."),IF(OR($AQ72="",$AS72=""),"",IF(AO$8&lt;$AQ72,"IKS",IF(AO$8&lt;$AS72,IF(AO$8=$AR72,"Bascule","Double run"),"ROKS"))))))</f>
        <v/>
      </c>
      <c r="AP72" s="51" t="str">
        <f aca="false">IF(OR($A72="",AP$8=""),"",IF($F72="Migré","ROKS",IF($F72="À décommissionner",IF(AP$8&lt;$AS72,"IKS","Décom."),IF(OR($AQ72="",$AS72=""),"",IF(AP$8&lt;$AQ72,"IKS",IF(AP$8&lt;$AS72,IF(AP$8=$AR72,"Bascule","Double run"),"ROKS"))))))</f>
        <v/>
      </c>
      <c r="AQ72" s="0" t="str">
        <f aca="false">IF($A72="","",INDEX(TblApplications[Mois prov (calc)],$A72))</f>
        <v/>
      </c>
      <c r="AR72" s="0" t="str">
        <f aca="false">IF($A72="","",IFERROR(DATE(YEAR(INDEX(TblApplications[Mois bascule],$A72)),MONTH(INDEX(TblApplications[Mois bascule],$A72)),1),""))</f>
        <v/>
      </c>
      <c r="AS72" s="0" t="str">
        <f aca="false">IF($A72="","",INDEX(TblApplications[Mois lib (calc)],$A72))</f>
        <v/>
      </c>
    </row>
    <row r="73" customFormat="false" ht="15" hidden="false" customHeight="false" outlineLevel="0" collapsed="false">
      <c r="A73" s="49" t="str">
        <f aca="false">IFERROR(MATCH(65,TblApplications[Rang frise],0),"")</f>
        <v/>
      </c>
      <c r="B73" s="50" t="str">
        <f aca="false">IF($A73="","",INDEX(TblApplications[ID],$A73))</f>
        <v/>
      </c>
      <c r="C73" s="50" t="str">
        <f aca="false">IF($A73="","",INDEX(TblApplications[Application],$A73))</f>
        <v/>
      </c>
      <c r="D73" s="50" t="str">
        <f aca="false">IF($A73="","",INDEX(TblApplications[Environnement],$A73))</f>
        <v/>
      </c>
      <c r="E73" s="50" t="str">
        <f aca="false">IF($A73="","",INDEX(TblApplications[Couloir],$A73))</f>
        <v/>
      </c>
      <c r="F73" s="50" t="str">
        <f aca="false">IF($A73="","",INDEX(TblApplications[Action],$A73))</f>
        <v/>
      </c>
      <c r="G73" s="51" t="str">
        <f aca="false">IF(OR($A73="",G$8=""),"",IF($F73="Migré","ROKS",IF($F73="À décommissionner",IF(G$8&lt;$AS73,"IKS","Décom."),IF(OR($AQ73="",$AS73=""),"",IF(G$8&lt;$AQ73,"IKS",IF(G$8&lt;$AS73,IF(G$8=$AR73,"Bascule","Double run"),"ROKS"))))))</f>
        <v/>
      </c>
      <c r="H73" s="51" t="str">
        <f aca="false">IF(OR($A73="",H$8=""),"",IF($F73="Migré","ROKS",IF($F73="À décommissionner",IF(H$8&lt;$AS73,"IKS","Décom."),IF(OR($AQ73="",$AS73=""),"",IF(H$8&lt;$AQ73,"IKS",IF(H$8&lt;$AS73,IF(H$8=$AR73,"Bascule","Double run"),"ROKS"))))))</f>
        <v/>
      </c>
      <c r="I73" s="51" t="str">
        <f aca="false">IF(OR($A73="",I$8=""),"",IF($F73="Migré","ROKS",IF($F73="À décommissionner",IF(I$8&lt;$AS73,"IKS","Décom."),IF(OR($AQ73="",$AS73=""),"",IF(I$8&lt;$AQ73,"IKS",IF(I$8&lt;$AS73,IF(I$8=$AR73,"Bascule","Double run"),"ROKS"))))))</f>
        <v/>
      </c>
      <c r="J73" s="51" t="str">
        <f aca="false">IF(OR($A73="",J$8=""),"",IF($F73="Migré","ROKS",IF($F73="À décommissionner",IF(J$8&lt;$AS73,"IKS","Décom."),IF(OR($AQ73="",$AS73=""),"",IF(J$8&lt;$AQ73,"IKS",IF(J$8&lt;$AS73,IF(J$8=$AR73,"Bascule","Double run"),"ROKS"))))))</f>
        <v/>
      </c>
      <c r="K73" s="51" t="str">
        <f aca="false">IF(OR($A73="",K$8=""),"",IF($F73="Migré","ROKS",IF($F73="À décommissionner",IF(K$8&lt;$AS73,"IKS","Décom."),IF(OR($AQ73="",$AS73=""),"",IF(K$8&lt;$AQ73,"IKS",IF(K$8&lt;$AS73,IF(K$8=$AR73,"Bascule","Double run"),"ROKS"))))))</f>
        <v/>
      </c>
      <c r="L73" s="51" t="str">
        <f aca="false">IF(OR($A73="",L$8=""),"",IF($F73="Migré","ROKS",IF($F73="À décommissionner",IF(L$8&lt;$AS73,"IKS","Décom."),IF(OR($AQ73="",$AS73=""),"",IF(L$8&lt;$AQ73,"IKS",IF(L$8&lt;$AS73,IF(L$8=$AR73,"Bascule","Double run"),"ROKS"))))))</f>
        <v/>
      </c>
      <c r="M73" s="51" t="str">
        <f aca="false">IF(OR($A73="",M$8=""),"",IF($F73="Migré","ROKS",IF($F73="À décommissionner",IF(M$8&lt;$AS73,"IKS","Décom."),IF(OR($AQ73="",$AS73=""),"",IF(M$8&lt;$AQ73,"IKS",IF(M$8&lt;$AS73,IF(M$8=$AR73,"Bascule","Double run"),"ROKS"))))))</f>
        <v/>
      </c>
      <c r="N73" s="51" t="str">
        <f aca="false">IF(OR($A73="",N$8=""),"",IF($F73="Migré","ROKS",IF($F73="À décommissionner",IF(N$8&lt;$AS73,"IKS","Décom."),IF(OR($AQ73="",$AS73=""),"",IF(N$8&lt;$AQ73,"IKS",IF(N$8&lt;$AS73,IF(N$8=$AR73,"Bascule","Double run"),"ROKS"))))))</f>
        <v/>
      </c>
      <c r="O73" s="51" t="str">
        <f aca="false">IF(OR($A73="",O$8=""),"",IF($F73="Migré","ROKS",IF($F73="À décommissionner",IF(O$8&lt;$AS73,"IKS","Décom."),IF(OR($AQ73="",$AS73=""),"",IF(O$8&lt;$AQ73,"IKS",IF(O$8&lt;$AS73,IF(O$8=$AR73,"Bascule","Double run"),"ROKS"))))))</f>
        <v/>
      </c>
      <c r="P73" s="51" t="str">
        <f aca="false">IF(OR($A73="",P$8=""),"",IF($F73="Migré","ROKS",IF($F73="À décommissionner",IF(P$8&lt;$AS73,"IKS","Décom."),IF(OR($AQ73="",$AS73=""),"",IF(P$8&lt;$AQ73,"IKS",IF(P$8&lt;$AS73,IF(P$8=$AR73,"Bascule","Double run"),"ROKS"))))))</f>
        <v/>
      </c>
      <c r="Q73" s="51" t="str">
        <f aca="false">IF(OR($A73="",Q$8=""),"",IF($F73="Migré","ROKS",IF($F73="À décommissionner",IF(Q$8&lt;$AS73,"IKS","Décom."),IF(OR($AQ73="",$AS73=""),"",IF(Q$8&lt;$AQ73,"IKS",IF(Q$8&lt;$AS73,IF(Q$8=$AR73,"Bascule","Double run"),"ROKS"))))))</f>
        <v/>
      </c>
      <c r="R73" s="51" t="str">
        <f aca="false">IF(OR($A73="",R$8=""),"",IF($F73="Migré","ROKS",IF($F73="À décommissionner",IF(R$8&lt;$AS73,"IKS","Décom."),IF(OR($AQ73="",$AS73=""),"",IF(R$8&lt;$AQ73,"IKS",IF(R$8&lt;$AS73,IF(R$8=$AR73,"Bascule","Double run"),"ROKS"))))))</f>
        <v/>
      </c>
      <c r="S73" s="51" t="str">
        <f aca="false">IF(OR($A73="",S$8=""),"",IF($F73="Migré","ROKS",IF($F73="À décommissionner",IF(S$8&lt;$AS73,"IKS","Décom."),IF(OR($AQ73="",$AS73=""),"",IF(S$8&lt;$AQ73,"IKS",IF(S$8&lt;$AS73,IF(S$8=$AR73,"Bascule","Double run"),"ROKS"))))))</f>
        <v/>
      </c>
      <c r="T73" s="51" t="str">
        <f aca="false">IF(OR($A73="",T$8=""),"",IF($F73="Migré","ROKS",IF($F73="À décommissionner",IF(T$8&lt;$AS73,"IKS","Décom."),IF(OR($AQ73="",$AS73=""),"",IF(T$8&lt;$AQ73,"IKS",IF(T$8&lt;$AS73,IF(T$8=$AR73,"Bascule","Double run"),"ROKS"))))))</f>
        <v/>
      </c>
      <c r="U73" s="51" t="str">
        <f aca="false">IF(OR($A73="",U$8=""),"",IF($F73="Migré","ROKS",IF($F73="À décommissionner",IF(U$8&lt;$AS73,"IKS","Décom."),IF(OR($AQ73="",$AS73=""),"",IF(U$8&lt;$AQ73,"IKS",IF(U$8&lt;$AS73,IF(U$8=$AR73,"Bascule","Double run"),"ROKS"))))))</f>
        <v/>
      </c>
      <c r="V73" s="51" t="str">
        <f aca="false">IF(OR($A73="",V$8=""),"",IF($F73="Migré","ROKS",IF($F73="À décommissionner",IF(V$8&lt;$AS73,"IKS","Décom."),IF(OR($AQ73="",$AS73=""),"",IF(V$8&lt;$AQ73,"IKS",IF(V$8&lt;$AS73,IF(V$8=$AR73,"Bascule","Double run"),"ROKS"))))))</f>
        <v/>
      </c>
      <c r="W73" s="51" t="str">
        <f aca="false">IF(OR($A73="",W$8=""),"",IF($F73="Migré","ROKS",IF($F73="À décommissionner",IF(W$8&lt;$AS73,"IKS","Décom."),IF(OR($AQ73="",$AS73=""),"",IF(W$8&lt;$AQ73,"IKS",IF(W$8&lt;$AS73,IF(W$8=$AR73,"Bascule","Double run"),"ROKS"))))))</f>
        <v/>
      </c>
      <c r="X73" s="51" t="str">
        <f aca="false">IF(OR($A73="",X$8=""),"",IF($F73="Migré","ROKS",IF($F73="À décommissionner",IF(X$8&lt;$AS73,"IKS","Décom."),IF(OR($AQ73="",$AS73=""),"",IF(X$8&lt;$AQ73,"IKS",IF(X$8&lt;$AS73,IF(X$8=$AR73,"Bascule","Double run"),"ROKS"))))))</f>
        <v/>
      </c>
      <c r="Y73" s="51" t="str">
        <f aca="false">IF(OR($A73="",Y$8=""),"",IF($F73="Migré","ROKS",IF($F73="À décommissionner",IF(Y$8&lt;$AS73,"IKS","Décom."),IF(OR($AQ73="",$AS73=""),"",IF(Y$8&lt;$AQ73,"IKS",IF(Y$8&lt;$AS73,IF(Y$8=$AR73,"Bascule","Double run"),"ROKS"))))))</f>
        <v/>
      </c>
      <c r="Z73" s="51" t="str">
        <f aca="false">IF(OR($A73="",Z$8=""),"",IF($F73="Migré","ROKS",IF($F73="À décommissionner",IF(Z$8&lt;$AS73,"IKS","Décom."),IF(OR($AQ73="",$AS73=""),"",IF(Z$8&lt;$AQ73,"IKS",IF(Z$8&lt;$AS73,IF(Z$8=$AR73,"Bascule","Double run"),"ROKS"))))))</f>
        <v/>
      </c>
      <c r="AA73" s="51" t="str">
        <f aca="false">IF(OR($A73="",AA$8=""),"",IF($F73="Migré","ROKS",IF($F73="À décommissionner",IF(AA$8&lt;$AS73,"IKS","Décom."),IF(OR($AQ73="",$AS73=""),"",IF(AA$8&lt;$AQ73,"IKS",IF(AA$8&lt;$AS73,IF(AA$8=$AR73,"Bascule","Double run"),"ROKS"))))))</f>
        <v/>
      </c>
      <c r="AB73" s="51" t="str">
        <f aca="false">IF(OR($A73="",AB$8=""),"",IF($F73="Migré","ROKS",IF($F73="À décommissionner",IF(AB$8&lt;$AS73,"IKS","Décom."),IF(OR($AQ73="",$AS73=""),"",IF(AB$8&lt;$AQ73,"IKS",IF(AB$8&lt;$AS73,IF(AB$8=$AR73,"Bascule","Double run"),"ROKS"))))))</f>
        <v/>
      </c>
      <c r="AC73" s="51" t="str">
        <f aca="false">IF(OR($A73="",AC$8=""),"",IF($F73="Migré","ROKS",IF($F73="À décommissionner",IF(AC$8&lt;$AS73,"IKS","Décom."),IF(OR($AQ73="",$AS73=""),"",IF(AC$8&lt;$AQ73,"IKS",IF(AC$8&lt;$AS73,IF(AC$8=$AR73,"Bascule","Double run"),"ROKS"))))))</f>
        <v/>
      </c>
      <c r="AD73" s="51" t="str">
        <f aca="false">IF(OR($A73="",AD$8=""),"",IF($F73="Migré","ROKS",IF($F73="À décommissionner",IF(AD$8&lt;$AS73,"IKS","Décom."),IF(OR($AQ73="",$AS73=""),"",IF(AD$8&lt;$AQ73,"IKS",IF(AD$8&lt;$AS73,IF(AD$8=$AR73,"Bascule","Double run"),"ROKS"))))))</f>
        <v/>
      </c>
      <c r="AE73" s="51" t="str">
        <f aca="false">IF(OR($A73="",AE$8=""),"",IF($F73="Migré","ROKS",IF($F73="À décommissionner",IF(AE$8&lt;$AS73,"IKS","Décom."),IF(OR($AQ73="",$AS73=""),"",IF(AE$8&lt;$AQ73,"IKS",IF(AE$8&lt;$AS73,IF(AE$8=$AR73,"Bascule","Double run"),"ROKS"))))))</f>
        <v/>
      </c>
      <c r="AF73" s="51" t="str">
        <f aca="false">IF(OR($A73="",AF$8=""),"",IF($F73="Migré","ROKS",IF($F73="À décommissionner",IF(AF$8&lt;$AS73,"IKS","Décom."),IF(OR($AQ73="",$AS73=""),"",IF(AF$8&lt;$AQ73,"IKS",IF(AF$8&lt;$AS73,IF(AF$8=$AR73,"Bascule","Double run"),"ROKS"))))))</f>
        <v/>
      </c>
      <c r="AG73" s="51" t="str">
        <f aca="false">IF(OR($A73="",AG$8=""),"",IF($F73="Migré","ROKS",IF($F73="À décommissionner",IF(AG$8&lt;$AS73,"IKS","Décom."),IF(OR($AQ73="",$AS73=""),"",IF(AG$8&lt;$AQ73,"IKS",IF(AG$8&lt;$AS73,IF(AG$8=$AR73,"Bascule","Double run"),"ROKS"))))))</f>
        <v/>
      </c>
      <c r="AH73" s="51" t="str">
        <f aca="false">IF(OR($A73="",AH$8=""),"",IF($F73="Migré","ROKS",IF($F73="À décommissionner",IF(AH$8&lt;$AS73,"IKS","Décom."),IF(OR($AQ73="",$AS73=""),"",IF(AH$8&lt;$AQ73,"IKS",IF(AH$8&lt;$AS73,IF(AH$8=$AR73,"Bascule","Double run"),"ROKS"))))))</f>
        <v/>
      </c>
      <c r="AI73" s="51" t="str">
        <f aca="false">IF(OR($A73="",AI$8=""),"",IF($F73="Migré","ROKS",IF($F73="À décommissionner",IF(AI$8&lt;$AS73,"IKS","Décom."),IF(OR($AQ73="",$AS73=""),"",IF(AI$8&lt;$AQ73,"IKS",IF(AI$8&lt;$AS73,IF(AI$8=$AR73,"Bascule","Double run"),"ROKS"))))))</f>
        <v/>
      </c>
      <c r="AJ73" s="51" t="str">
        <f aca="false">IF(OR($A73="",AJ$8=""),"",IF($F73="Migré","ROKS",IF($F73="À décommissionner",IF(AJ$8&lt;$AS73,"IKS","Décom."),IF(OR($AQ73="",$AS73=""),"",IF(AJ$8&lt;$AQ73,"IKS",IF(AJ$8&lt;$AS73,IF(AJ$8=$AR73,"Bascule","Double run"),"ROKS"))))))</f>
        <v/>
      </c>
      <c r="AK73" s="51" t="str">
        <f aca="false">IF(OR($A73="",AK$8=""),"",IF($F73="Migré","ROKS",IF($F73="À décommissionner",IF(AK$8&lt;$AS73,"IKS","Décom."),IF(OR($AQ73="",$AS73=""),"",IF(AK$8&lt;$AQ73,"IKS",IF(AK$8&lt;$AS73,IF(AK$8=$AR73,"Bascule","Double run"),"ROKS"))))))</f>
        <v/>
      </c>
      <c r="AL73" s="51" t="str">
        <f aca="false">IF(OR($A73="",AL$8=""),"",IF($F73="Migré","ROKS",IF($F73="À décommissionner",IF(AL$8&lt;$AS73,"IKS","Décom."),IF(OR($AQ73="",$AS73=""),"",IF(AL$8&lt;$AQ73,"IKS",IF(AL$8&lt;$AS73,IF(AL$8=$AR73,"Bascule","Double run"),"ROKS"))))))</f>
        <v/>
      </c>
      <c r="AM73" s="51" t="str">
        <f aca="false">IF(OR($A73="",AM$8=""),"",IF($F73="Migré","ROKS",IF($F73="À décommissionner",IF(AM$8&lt;$AS73,"IKS","Décom."),IF(OR($AQ73="",$AS73=""),"",IF(AM$8&lt;$AQ73,"IKS",IF(AM$8&lt;$AS73,IF(AM$8=$AR73,"Bascule","Double run"),"ROKS"))))))</f>
        <v/>
      </c>
      <c r="AN73" s="51" t="str">
        <f aca="false">IF(OR($A73="",AN$8=""),"",IF($F73="Migré","ROKS",IF($F73="À décommissionner",IF(AN$8&lt;$AS73,"IKS","Décom."),IF(OR($AQ73="",$AS73=""),"",IF(AN$8&lt;$AQ73,"IKS",IF(AN$8&lt;$AS73,IF(AN$8=$AR73,"Bascule","Double run"),"ROKS"))))))</f>
        <v/>
      </c>
      <c r="AO73" s="51" t="str">
        <f aca="false">IF(OR($A73="",AO$8=""),"",IF($F73="Migré","ROKS",IF($F73="À décommissionner",IF(AO$8&lt;$AS73,"IKS","Décom."),IF(OR($AQ73="",$AS73=""),"",IF(AO$8&lt;$AQ73,"IKS",IF(AO$8&lt;$AS73,IF(AO$8=$AR73,"Bascule","Double run"),"ROKS"))))))</f>
        <v/>
      </c>
      <c r="AP73" s="51" t="str">
        <f aca="false">IF(OR($A73="",AP$8=""),"",IF($F73="Migré","ROKS",IF($F73="À décommissionner",IF(AP$8&lt;$AS73,"IKS","Décom."),IF(OR($AQ73="",$AS73=""),"",IF(AP$8&lt;$AQ73,"IKS",IF(AP$8&lt;$AS73,IF(AP$8=$AR73,"Bascule","Double run"),"ROKS"))))))</f>
        <v/>
      </c>
      <c r="AQ73" s="0" t="str">
        <f aca="false">IF($A73="","",INDEX(TblApplications[Mois prov (calc)],$A73))</f>
        <v/>
      </c>
      <c r="AR73" s="0" t="str">
        <f aca="false">IF($A73="","",IFERROR(DATE(YEAR(INDEX(TblApplications[Mois bascule],$A73)),MONTH(INDEX(TblApplications[Mois bascule],$A73)),1),""))</f>
        <v/>
      </c>
      <c r="AS73" s="0" t="str">
        <f aca="false">IF($A73="","",INDEX(TblApplications[Mois lib (calc)],$A73))</f>
        <v/>
      </c>
    </row>
    <row r="74" customFormat="false" ht="15" hidden="false" customHeight="false" outlineLevel="0" collapsed="false">
      <c r="A74" s="49" t="str">
        <f aca="false">IFERROR(MATCH(66,TblApplications[Rang frise],0),"")</f>
        <v/>
      </c>
      <c r="B74" s="50" t="str">
        <f aca="false">IF($A74="","",INDEX(TblApplications[ID],$A74))</f>
        <v/>
      </c>
      <c r="C74" s="50" t="str">
        <f aca="false">IF($A74="","",INDEX(TblApplications[Application],$A74))</f>
        <v/>
      </c>
      <c r="D74" s="50" t="str">
        <f aca="false">IF($A74="","",INDEX(TblApplications[Environnement],$A74))</f>
        <v/>
      </c>
      <c r="E74" s="50" t="str">
        <f aca="false">IF($A74="","",INDEX(TblApplications[Couloir],$A74))</f>
        <v/>
      </c>
      <c r="F74" s="50" t="str">
        <f aca="false">IF($A74="","",INDEX(TblApplications[Action],$A74))</f>
        <v/>
      </c>
      <c r="G74" s="51" t="str">
        <f aca="false">IF(OR($A74="",G$8=""),"",IF($F74="Migré","ROKS",IF($F74="À décommissionner",IF(G$8&lt;$AS74,"IKS","Décom."),IF(OR($AQ74="",$AS74=""),"",IF(G$8&lt;$AQ74,"IKS",IF(G$8&lt;$AS74,IF(G$8=$AR74,"Bascule","Double run"),"ROKS"))))))</f>
        <v/>
      </c>
      <c r="H74" s="51" t="str">
        <f aca="false">IF(OR($A74="",H$8=""),"",IF($F74="Migré","ROKS",IF($F74="À décommissionner",IF(H$8&lt;$AS74,"IKS","Décom."),IF(OR($AQ74="",$AS74=""),"",IF(H$8&lt;$AQ74,"IKS",IF(H$8&lt;$AS74,IF(H$8=$AR74,"Bascule","Double run"),"ROKS"))))))</f>
        <v/>
      </c>
      <c r="I74" s="51" t="str">
        <f aca="false">IF(OR($A74="",I$8=""),"",IF($F74="Migré","ROKS",IF($F74="À décommissionner",IF(I$8&lt;$AS74,"IKS","Décom."),IF(OR($AQ74="",$AS74=""),"",IF(I$8&lt;$AQ74,"IKS",IF(I$8&lt;$AS74,IF(I$8=$AR74,"Bascule","Double run"),"ROKS"))))))</f>
        <v/>
      </c>
      <c r="J74" s="51" t="str">
        <f aca="false">IF(OR($A74="",J$8=""),"",IF($F74="Migré","ROKS",IF($F74="À décommissionner",IF(J$8&lt;$AS74,"IKS","Décom."),IF(OR($AQ74="",$AS74=""),"",IF(J$8&lt;$AQ74,"IKS",IF(J$8&lt;$AS74,IF(J$8=$AR74,"Bascule","Double run"),"ROKS"))))))</f>
        <v/>
      </c>
      <c r="K74" s="51" t="str">
        <f aca="false">IF(OR($A74="",K$8=""),"",IF($F74="Migré","ROKS",IF($F74="À décommissionner",IF(K$8&lt;$AS74,"IKS","Décom."),IF(OR($AQ74="",$AS74=""),"",IF(K$8&lt;$AQ74,"IKS",IF(K$8&lt;$AS74,IF(K$8=$AR74,"Bascule","Double run"),"ROKS"))))))</f>
        <v/>
      </c>
      <c r="L74" s="51" t="str">
        <f aca="false">IF(OR($A74="",L$8=""),"",IF($F74="Migré","ROKS",IF($F74="À décommissionner",IF(L$8&lt;$AS74,"IKS","Décom."),IF(OR($AQ74="",$AS74=""),"",IF(L$8&lt;$AQ74,"IKS",IF(L$8&lt;$AS74,IF(L$8=$AR74,"Bascule","Double run"),"ROKS"))))))</f>
        <v/>
      </c>
      <c r="M74" s="51" t="str">
        <f aca="false">IF(OR($A74="",M$8=""),"",IF($F74="Migré","ROKS",IF($F74="À décommissionner",IF(M$8&lt;$AS74,"IKS","Décom."),IF(OR($AQ74="",$AS74=""),"",IF(M$8&lt;$AQ74,"IKS",IF(M$8&lt;$AS74,IF(M$8=$AR74,"Bascule","Double run"),"ROKS"))))))</f>
        <v/>
      </c>
      <c r="N74" s="51" t="str">
        <f aca="false">IF(OR($A74="",N$8=""),"",IF($F74="Migré","ROKS",IF($F74="À décommissionner",IF(N$8&lt;$AS74,"IKS","Décom."),IF(OR($AQ74="",$AS74=""),"",IF(N$8&lt;$AQ74,"IKS",IF(N$8&lt;$AS74,IF(N$8=$AR74,"Bascule","Double run"),"ROKS"))))))</f>
        <v/>
      </c>
      <c r="O74" s="51" t="str">
        <f aca="false">IF(OR($A74="",O$8=""),"",IF($F74="Migré","ROKS",IF($F74="À décommissionner",IF(O$8&lt;$AS74,"IKS","Décom."),IF(OR($AQ74="",$AS74=""),"",IF(O$8&lt;$AQ74,"IKS",IF(O$8&lt;$AS74,IF(O$8=$AR74,"Bascule","Double run"),"ROKS"))))))</f>
        <v/>
      </c>
      <c r="P74" s="51" t="str">
        <f aca="false">IF(OR($A74="",P$8=""),"",IF($F74="Migré","ROKS",IF($F74="À décommissionner",IF(P$8&lt;$AS74,"IKS","Décom."),IF(OR($AQ74="",$AS74=""),"",IF(P$8&lt;$AQ74,"IKS",IF(P$8&lt;$AS74,IF(P$8=$AR74,"Bascule","Double run"),"ROKS"))))))</f>
        <v/>
      </c>
      <c r="Q74" s="51" t="str">
        <f aca="false">IF(OR($A74="",Q$8=""),"",IF($F74="Migré","ROKS",IF($F74="À décommissionner",IF(Q$8&lt;$AS74,"IKS","Décom."),IF(OR($AQ74="",$AS74=""),"",IF(Q$8&lt;$AQ74,"IKS",IF(Q$8&lt;$AS74,IF(Q$8=$AR74,"Bascule","Double run"),"ROKS"))))))</f>
        <v/>
      </c>
      <c r="R74" s="51" t="str">
        <f aca="false">IF(OR($A74="",R$8=""),"",IF($F74="Migré","ROKS",IF($F74="À décommissionner",IF(R$8&lt;$AS74,"IKS","Décom."),IF(OR($AQ74="",$AS74=""),"",IF(R$8&lt;$AQ74,"IKS",IF(R$8&lt;$AS74,IF(R$8=$AR74,"Bascule","Double run"),"ROKS"))))))</f>
        <v/>
      </c>
      <c r="S74" s="51" t="str">
        <f aca="false">IF(OR($A74="",S$8=""),"",IF($F74="Migré","ROKS",IF($F74="À décommissionner",IF(S$8&lt;$AS74,"IKS","Décom."),IF(OR($AQ74="",$AS74=""),"",IF(S$8&lt;$AQ74,"IKS",IF(S$8&lt;$AS74,IF(S$8=$AR74,"Bascule","Double run"),"ROKS"))))))</f>
        <v/>
      </c>
      <c r="T74" s="51" t="str">
        <f aca="false">IF(OR($A74="",T$8=""),"",IF($F74="Migré","ROKS",IF($F74="À décommissionner",IF(T$8&lt;$AS74,"IKS","Décom."),IF(OR($AQ74="",$AS74=""),"",IF(T$8&lt;$AQ74,"IKS",IF(T$8&lt;$AS74,IF(T$8=$AR74,"Bascule","Double run"),"ROKS"))))))</f>
        <v/>
      </c>
      <c r="U74" s="51" t="str">
        <f aca="false">IF(OR($A74="",U$8=""),"",IF($F74="Migré","ROKS",IF($F74="À décommissionner",IF(U$8&lt;$AS74,"IKS","Décom."),IF(OR($AQ74="",$AS74=""),"",IF(U$8&lt;$AQ74,"IKS",IF(U$8&lt;$AS74,IF(U$8=$AR74,"Bascule","Double run"),"ROKS"))))))</f>
        <v/>
      </c>
      <c r="V74" s="51" t="str">
        <f aca="false">IF(OR($A74="",V$8=""),"",IF($F74="Migré","ROKS",IF($F74="À décommissionner",IF(V$8&lt;$AS74,"IKS","Décom."),IF(OR($AQ74="",$AS74=""),"",IF(V$8&lt;$AQ74,"IKS",IF(V$8&lt;$AS74,IF(V$8=$AR74,"Bascule","Double run"),"ROKS"))))))</f>
        <v/>
      </c>
      <c r="W74" s="51" t="str">
        <f aca="false">IF(OR($A74="",W$8=""),"",IF($F74="Migré","ROKS",IF($F74="À décommissionner",IF(W$8&lt;$AS74,"IKS","Décom."),IF(OR($AQ74="",$AS74=""),"",IF(W$8&lt;$AQ74,"IKS",IF(W$8&lt;$AS74,IF(W$8=$AR74,"Bascule","Double run"),"ROKS"))))))</f>
        <v/>
      </c>
      <c r="X74" s="51" t="str">
        <f aca="false">IF(OR($A74="",X$8=""),"",IF($F74="Migré","ROKS",IF($F74="À décommissionner",IF(X$8&lt;$AS74,"IKS","Décom."),IF(OR($AQ74="",$AS74=""),"",IF(X$8&lt;$AQ74,"IKS",IF(X$8&lt;$AS74,IF(X$8=$AR74,"Bascule","Double run"),"ROKS"))))))</f>
        <v/>
      </c>
      <c r="Y74" s="51" t="str">
        <f aca="false">IF(OR($A74="",Y$8=""),"",IF($F74="Migré","ROKS",IF($F74="À décommissionner",IF(Y$8&lt;$AS74,"IKS","Décom."),IF(OR($AQ74="",$AS74=""),"",IF(Y$8&lt;$AQ74,"IKS",IF(Y$8&lt;$AS74,IF(Y$8=$AR74,"Bascule","Double run"),"ROKS"))))))</f>
        <v/>
      </c>
      <c r="Z74" s="51" t="str">
        <f aca="false">IF(OR($A74="",Z$8=""),"",IF($F74="Migré","ROKS",IF($F74="À décommissionner",IF(Z$8&lt;$AS74,"IKS","Décom."),IF(OR($AQ74="",$AS74=""),"",IF(Z$8&lt;$AQ74,"IKS",IF(Z$8&lt;$AS74,IF(Z$8=$AR74,"Bascule","Double run"),"ROKS"))))))</f>
        <v/>
      </c>
      <c r="AA74" s="51" t="str">
        <f aca="false">IF(OR($A74="",AA$8=""),"",IF($F74="Migré","ROKS",IF($F74="À décommissionner",IF(AA$8&lt;$AS74,"IKS","Décom."),IF(OR($AQ74="",$AS74=""),"",IF(AA$8&lt;$AQ74,"IKS",IF(AA$8&lt;$AS74,IF(AA$8=$AR74,"Bascule","Double run"),"ROKS"))))))</f>
        <v/>
      </c>
      <c r="AB74" s="51" t="str">
        <f aca="false">IF(OR($A74="",AB$8=""),"",IF($F74="Migré","ROKS",IF($F74="À décommissionner",IF(AB$8&lt;$AS74,"IKS","Décom."),IF(OR($AQ74="",$AS74=""),"",IF(AB$8&lt;$AQ74,"IKS",IF(AB$8&lt;$AS74,IF(AB$8=$AR74,"Bascule","Double run"),"ROKS"))))))</f>
        <v/>
      </c>
      <c r="AC74" s="51" t="str">
        <f aca="false">IF(OR($A74="",AC$8=""),"",IF($F74="Migré","ROKS",IF($F74="À décommissionner",IF(AC$8&lt;$AS74,"IKS","Décom."),IF(OR($AQ74="",$AS74=""),"",IF(AC$8&lt;$AQ74,"IKS",IF(AC$8&lt;$AS74,IF(AC$8=$AR74,"Bascule","Double run"),"ROKS"))))))</f>
        <v/>
      </c>
      <c r="AD74" s="51" t="str">
        <f aca="false">IF(OR($A74="",AD$8=""),"",IF($F74="Migré","ROKS",IF($F74="À décommissionner",IF(AD$8&lt;$AS74,"IKS","Décom."),IF(OR($AQ74="",$AS74=""),"",IF(AD$8&lt;$AQ74,"IKS",IF(AD$8&lt;$AS74,IF(AD$8=$AR74,"Bascule","Double run"),"ROKS"))))))</f>
        <v/>
      </c>
      <c r="AE74" s="51" t="str">
        <f aca="false">IF(OR($A74="",AE$8=""),"",IF($F74="Migré","ROKS",IF($F74="À décommissionner",IF(AE$8&lt;$AS74,"IKS","Décom."),IF(OR($AQ74="",$AS74=""),"",IF(AE$8&lt;$AQ74,"IKS",IF(AE$8&lt;$AS74,IF(AE$8=$AR74,"Bascule","Double run"),"ROKS"))))))</f>
        <v/>
      </c>
      <c r="AF74" s="51" t="str">
        <f aca="false">IF(OR($A74="",AF$8=""),"",IF($F74="Migré","ROKS",IF($F74="À décommissionner",IF(AF$8&lt;$AS74,"IKS","Décom."),IF(OR($AQ74="",$AS74=""),"",IF(AF$8&lt;$AQ74,"IKS",IF(AF$8&lt;$AS74,IF(AF$8=$AR74,"Bascule","Double run"),"ROKS"))))))</f>
        <v/>
      </c>
      <c r="AG74" s="51" t="str">
        <f aca="false">IF(OR($A74="",AG$8=""),"",IF($F74="Migré","ROKS",IF($F74="À décommissionner",IF(AG$8&lt;$AS74,"IKS","Décom."),IF(OR($AQ74="",$AS74=""),"",IF(AG$8&lt;$AQ74,"IKS",IF(AG$8&lt;$AS74,IF(AG$8=$AR74,"Bascule","Double run"),"ROKS"))))))</f>
        <v/>
      </c>
      <c r="AH74" s="51" t="str">
        <f aca="false">IF(OR($A74="",AH$8=""),"",IF($F74="Migré","ROKS",IF($F74="À décommissionner",IF(AH$8&lt;$AS74,"IKS","Décom."),IF(OR($AQ74="",$AS74=""),"",IF(AH$8&lt;$AQ74,"IKS",IF(AH$8&lt;$AS74,IF(AH$8=$AR74,"Bascule","Double run"),"ROKS"))))))</f>
        <v/>
      </c>
      <c r="AI74" s="51" t="str">
        <f aca="false">IF(OR($A74="",AI$8=""),"",IF($F74="Migré","ROKS",IF($F74="À décommissionner",IF(AI$8&lt;$AS74,"IKS","Décom."),IF(OR($AQ74="",$AS74=""),"",IF(AI$8&lt;$AQ74,"IKS",IF(AI$8&lt;$AS74,IF(AI$8=$AR74,"Bascule","Double run"),"ROKS"))))))</f>
        <v/>
      </c>
      <c r="AJ74" s="51" t="str">
        <f aca="false">IF(OR($A74="",AJ$8=""),"",IF($F74="Migré","ROKS",IF($F74="À décommissionner",IF(AJ$8&lt;$AS74,"IKS","Décom."),IF(OR($AQ74="",$AS74=""),"",IF(AJ$8&lt;$AQ74,"IKS",IF(AJ$8&lt;$AS74,IF(AJ$8=$AR74,"Bascule","Double run"),"ROKS"))))))</f>
        <v/>
      </c>
      <c r="AK74" s="51" t="str">
        <f aca="false">IF(OR($A74="",AK$8=""),"",IF($F74="Migré","ROKS",IF($F74="À décommissionner",IF(AK$8&lt;$AS74,"IKS","Décom."),IF(OR($AQ74="",$AS74=""),"",IF(AK$8&lt;$AQ74,"IKS",IF(AK$8&lt;$AS74,IF(AK$8=$AR74,"Bascule","Double run"),"ROKS"))))))</f>
        <v/>
      </c>
      <c r="AL74" s="51" t="str">
        <f aca="false">IF(OR($A74="",AL$8=""),"",IF($F74="Migré","ROKS",IF($F74="À décommissionner",IF(AL$8&lt;$AS74,"IKS","Décom."),IF(OR($AQ74="",$AS74=""),"",IF(AL$8&lt;$AQ74,"IKS",IF(AL$8&lt;$AS74,IF(AL$8=$AR74,"Bascule","Double run"),"ROKS"))))))</f>
        <v/>
      </c>
      <c r="AM74" s="51" t="str">
        <f aca="false">IF(OR($A74="",AM$8=""),"",IF($F74="Migré","ROKS",IF($F74="À décommissionner",IF(AM$8&lt;$AS74,"IKS","Décom."),IF(OR($AQ74="",$AS74=""),"",IF(AM$8&lt;$AQ74,"IKS",IF(AM$8&lt;$AS74,IF(AM$8=$AR74,"Bascule","Double run"),"ROKS"))))))</f>
        <v/>
      </c>
      <c r="AN74" s="51" t="str">
        <f aca="false">IF(OR($A74="",AN$8=""),"",IF($F74="Migré","ROKS",IF($F74="À décommissionner",IF(AN$8&lt;$AS74,"IKS","Décom."),IF(OR($AQ74="",$AS74=""),"",IF(AN$8&lt;$AQ74,"IKS",IF(AN$8&lt;$AS74,IF(AN$8=$AR74,"Bascule","Double run"),"ROKS"))))))</f>
        <v/>
      </c>
      <c r="AO74" s="51" t="str">
        <f aca="false">IF(OR($A74="",AO$8=""),"",IF($F74="Migré","ROKS",IF($F74="À décommissionner",IF(AO$8&lt;$AS74,"IKS","Décom."),IF(OR($AQ74="",$AS74=""),"",IF(AO$8&lt;$AQ74,"IKS",IF(AO$8&lt;$AS74,IF(AO$8=$AR74,"Bascule","Double run"),"ROKS"))))))</f>
        <v/>
      </c>
      <c r="AP74" s="51" t="str">
        <f aca="false">IF(OR($A74="",AP$8=""),"",IF($F74="Migré","ROKS",IF($F74="À décommissionner",IF(AP$8&lt;$AS74,"IKS","Décom."),IF(OR($AQ74="",$AS74=""),"",IF(AP$8&lt;$AQ74,"IKS",IF(AP$8&lt;$AS74,IF(AP$8=$AR74,"Bascule","Double run"),"ROKS"))))))</f>
        <v/>
      </c>
      <c r="AQ74" s="0" t="str">
        <f aca="false">IF($A74="","",INDEX(TblApplications[Mois prov (calc)],$A74))</f>
        <v/>
      </c>
      <c r="AR74" s="0" t="str">
        <f aca="false">IF($A74="","",IFERROR(DATE(YEAR(INDEX(TblApplications[Mois bascule],$A74)),MONTH(INDEX(TblApplications[Mois bascule],$A74)),1),""))</f>
        <v/>
      </c>
      <c r="AS74" s="0" t="str">
        <f aca="false">IF($A74="","",INDEX(TblApplications[Mois lib (calc)],$A74))</f>
        <v/>
      </c>
    </row>
    <row r="75" customFormat="false" ht="15" hidden="false" customHeight="false" outlineLevel="0" collapsed="false">
      <c r="A75" s="49" t="str">
        <f aca="false">IFERROR(MATCH(67,TblApplications[Rang frise],0),"")</f>
        <v/>
      </c>
      <c r="B75" s="50" t="str">
        <f aca="false">IF($A75="","",INDEX(TblApplications[ID],$A75))</f>
        <v/>
      </c>
      <c r="C75" s="50" t="str">
        <f aca="false">IF($A75="","",INDEX(TblApplications[Application],$A75))</f>
        <v/>
      </c>
      <c r="D75" s="50" t="str">
        <f aca="false">IF($A75="","",INDEX(TblApplications[Environnement],$A75))</f>
        <v/>
      </c>
      <c r="E75" s="50" t="str">
        <f aca="false">IF($A75="","",INDEX(TblApplications[Couloir],$A75))</f>
        <v/>
      </c>
      <c r="F75" s="50" t="str">
        <f aca="false">IF($A75="","",INDEX(TblApplications[Action],$A75))</f>
        <v/>
      </c>
      <c r="G75" s="51" t="str">
        <f aca="false">IF(OR($A75="",G$8=""),"",IF($F75="Migré","ROKS",IF($F75="À décommissionner",IF(G$8&lt;$AS75,"IKS","Décom."),IF(OR($AQ75="",$AS75=""),"",IF(G$8&lt;$AQ75,"IKS",IF(G$8&lt;$AS75,IF(G$8=$AR75,"Bascule","Double run"),"ROKS"))))))</f>
        <v/>
      </c>
      <c r="H75" s="51" t="str">
        <f aca="false">IF(OR($A75="",H$8=""),"",IF($F75="Migré","ROKS",IF($F75="À décommissionner",IF(H$8&lt;$AS75,"IKS","Décom."),IF(OR($AQ75="",$AS75=""),"",IF(H$8&lt;$AQ75,"IKS",IF(H$8&lt;$AS75,IF(H$8=$AR75,"Bascule","Double run"),"ROKS"))))))</f>
        <v/>
      </c>
      <c r="I75" s="51" t="str">
        <f aca="false">IF(OR($A75="",I$8=""),"",IF($F75="Migré","ROKS",IF($F75="À décommissionner",IF(I$8&lt;$AS75,"IKS","Décom."),IF(OR($AQ75="",$AS75=""),"",IF(I$8&lt;$AQ75,"IKS",IF(I$8&lt;$AS75,IF(I$8=$AR75,"Bascule","Double run"),"ROKS"))))))</f>
        <v/>
      </c>
      <c r="J75" s="51" t="str">
        <f aca="false">IF(OR($A75="",J$8=""),"",IF($F75="Migré","ROKS",IF($F75="À décommissionner",IF(J$8&lt;$AS75,"IKS","Décom."),IF(OR($AQ75="",$AS75=""),"",IF(J$8&lt;$AQ75,"IKS",IF(J$8&lt;$AS75,IF(J$8=$AR75,"Bascule","Double run"),"ROKS"))))))</f>
        <v/>
      </c>
      <c r="K75" s="51" t="str">
        <f aca="false">IF(OR($A75="",K$8=""),"",IF($F75="Migré","ROKS",IF($F75="À décommissionner",IF(K$8&lt;$AS75,"IKS","Décom."),IF(OR($AQ75="",$AS75=""),"",IF(K$8&lt;$AQ75,"IKS",IF(K$8&lt;$AS75,IF(K$8=$AR75,"Bascule","Double run"),"ROKS"))))))</f>
        <v/>
      </c>
      <c r="L75" s="51" t="str">
        <f aca="false">IF(OR($A75="",L$8=""),"",IF($F75="Migré","ROKS",IF($F75="À décommissionner",IF(L$8&lt;$AS75,"IKS","Décom."),IF(OR($AQ75="",$AS75=""),"",IF(L$8&lt;$AQ75,"IKS",IF(L$8&lt;$AS75,IF(L$8=$AR75,"Bascule","Double run"),"ROKS"))))))</f>
        <v/>
      </c>
      <c r="M75" s="51" t="str">
        <f aca="false">IF(OR($A75="",M$8=""),"",IF($F75="Migré","ROKS",IF($F75="À décommissionner",IF(M$8&lt;$AS75,"IKS","Décom."),IF(OR($AQ75="",$AS75=""),"",IF(M$8&lt;$AQ75,"IKS",IF(M$8&lt;$AS75,IF(M$8=$AR75,"Bascule","Double run"),"ROKS"))))))</f>
        <v/>
      </c>
      <c r="N75" s="51" t="str">
        <f aca="false">IF(OR($A75="",N$8=""),"",IF($F75="Migré","ROKS",IF($F75="À décommissionner",IF(N$8&lt;$AS75,"IKS","Décom."),IF(OR($AQ75="",$AS75=""),"",IF(N$8&lt;$AQ75,"IKS",IF(N$8&lt;$AS75,IF(N$8=$AR75,"Bascule","Double run"),"ROKS"))))))</f>
        <v/>
      </c>
      <c r="O75" s="51" t="str">
        <f aca="false">IF(OR($A75="",O$8=""),"",IF($F75="Migré","ROKS",IF($F75="À décommissionner",IF(O$8&lt;$AS75,"IKS","Décom."),IF(OR($AQ75="",$AS75=""),"",IF(O$8&lt;$AQ75,"IKS",IF(O$8&lt;$AS75,IF(O$8=$AR75,"Bascule","Double run"),"ROKS"))))))</f>
        <v/>
      </c>
      <c r="P75" s="51" t="str">
        <f aca="false">IF(OR($A75="",P$8=""),"",IF($F75="Migré","ROKS",IF($F75="À décommissionner",IF(P$8&lt;$AS75,"IKS","Décom."),IF(OR($AQ75="",$AS75=""),"",IF(P$8&lt;$AQ75,"IKS",IF(P$8&lt;$AS75,IF(P$8=$AR75,"Bascule","Double run"),"ROKS"))))))</f>
        <v/>
      </c>
      <c r="Q75" s="51" t="str">
        <f aca="false">IF(OR($A75="",Q$8=""),"",IF($F75="Migré","ROKS",IF($F75="À décommissionner",IF(Q$8&lt;$AS75,"IKS","Décom."),IF(OR($AQ75="",$AS75=""),"",IF(Q$8&lt;$AQ75,"IKS",IF(Q$8&lt;$AS75,IF(Q$8=$AR75,"Bascule","Double run"),"ROKS"))))))</f>
        <v/>
      </c>
      <c r="R75" s="51" t="str">
        <f aca="false">IF(OR($A75="",R$8=""),"",IF($F75="Migré","ROKS",IF($F75="À décommissionner",IF(R$8&lt;$AS75,"IKS","Décom."),IF(OR($AQ75="",$AS75=""),"",IF(R$8&lt;$AQ75,"IKS",IF(R$8&lt;$AS75,IF(R$8=$AR75,"Bascule","Double run"),"ROKS"))))))</f>
        <v/>
      </c>
      <c r="S75" s="51" t="str">
        <f aca="false">IF(OR($A75="",S$8=""),"",IF($F75="Migré","ROKS",IF($F75="À décommissionner",IF(S$8&lt;$AS75,"IKS","Décom."),IF(OR($AQ75="",$AS75=""),"",IF(S$8&lt;$AQ75,"IKS",IF(S$8&lt;$AS75,IF(S$8=$AR75,"Bascule","Double run"),"ROKS"))))))</f>
        <v/>
      </c>
      <c r="T75" s="51" t="str">
        <f aca="false">IF(OR($A75="",T$8=""),"",IF($F75="Migré","ROKS",IF($F75="À décommissionner",IF(T$8&lt;$AS75,"IKS","Décom."),IF(OR($AQ75="",$AS75=""),"",IF(T$8&lt;$AQ75,"IKS",IF(T$8&lt;$AS75,IF(T$8=$AR75,"Bascule","Double run"),"ROKS"))))))</f>
        <v/>
      </c>
      <c r="U75" s="51" t="str">
        <f aca="false">IF(OR($A75="",U$8=""),"",IF($F75="Migré","ROKS",IF($F75="À décommissionner",IF(U$8&lt;$AS75,"IKS","Décom."),IF(OR($AQ75="",$AS75=""),"",IF(U$8&lt;$AQ75,"IKS",IF(U$8&lt;$AS75,IF(U$8=$AR75,"Bascule","Double run"),"ROKS"))))))</f>
        <v/>
      </c>
      <c r="V75" s="51" t="str">
        <f aca="false">IF(OR($A75="",V$8=""),"",IF($F75="Migré","ROKS",IF($F75="À décommissionner",IF(V$8&lt;$AS75,"IKS","Décom."),IF(OR($AQ75="",$AS75=""),"",IF(V$8&lt;$AQ75,"IKS",IF(V$8&lt;$AS75,IF(V$8=$AR75,"Bascule","Double run"),"ROKS"))))))</f>
        <v/>
      </c>
      <c r="W75" s="51" t="str">
        <f aca="false">IF(OR($A75="",W$8=""),"",IF($F75="Migré","ROKS",IF($F75="À décommissionner",IF(W$8&lt;$AS75,"IKS","Décom."),IF(OR($AQ75="",$AS75=""),"",IF(W$8&lt;$AQ75,"IKS",IF(W$8&lt;$AS75,IF(W$8=$AR75,"Bascule","Double run"),"ROKS"))))))</f>
        <v/>
      </c>
      <c r="X75" s="51" t="str">
        <f aca="false">IF(OR($A75="",X$8=""),"",IF($F75="Migré","ROKS",IF($F75="À décommissionner",IF(X$8&lt;$AS75,"IKS","Décom."),IF(OR($AQ75="",$AS75=""),"",IF(X$8&lt;$AQ75,"IKS",IF(X$8&lt;$AS75,IF(X$8=$AR75,"Bascule","Double run"),"ROKS"))))))</f>
        <v/>
      </c>
      <c r="Y75" s="51" t="str">
        <f aca="false">IF(OR($A75="",Y$8=""),"",IF($F75="Migré","ROKS",IF($F75="À décommissionner",IF(Y$8&lt;$AS75,"IKS","Décom."),IF(OR($AQ75="",$AS75=""),"",IF(Y$8&lt;$AQ75,"IKS",IF(Y$8&lt;$AS75,IF(Y$8=$AR75,"Bascule","Double run"),"ROKS"))))))</f>
        <v/>
      </c>
      <c r="Z75" s="51" t="str">
        <f aca="false">IF(OR($A75="",Z$8=""),"",IF($F75="Migré","ROKS",IF($F75="À décommissionner",IF(Z$8&lt;$AS75,"IKS","Décom."),IF(OR($AQ75="",$AS75=""),"",IF(Z$8&lt;$AQ75,"IKS",IF(Z$8&lt;$AS75,IF(Z$8=$AR75,"Bascule","Double run"),"ROKS"))))))</f>
        <v/>
      </c>
      <c r="AA75" s="51" t="str">
        <f aca="false">IF(OR($A75="",AA$8=""),"",IF($F75="Migré","ROKS",IF($F75="À décommissionner",IF(AA$8&lt;$AS75,"IKS","Décom."),IF(OR($AQ75="",$AS75=""),"",IF(AA$8&lt;$AQ75,"IKS",IF(AA$8&lt;$AS75,IF(AA$8=$AR75,"Bascule","Double run"),"ROKS"))))))</f>
        <v/>
      </c>
      <c r="AB75" s="51" t="str">
        <f aca="false">IF(OR($A75="",AB$8=""),"",IF($F75="Migré","ROKS",IF($F75="À décommissionner",IF(AB$8&lt;$AS75,"IKS","Décom."),IF(OR($AQ75="",$AS75=""),"",IF(AB$8&lt;$AQ75,"IKS",IF(AB$8&lt;$AS75,IF(AB$8=$AR75,"Bascule","Double run"),"ROKS"))))))</f>
        <v/>
      </c>
      <c r="AC75" s="51" t="str">
        <f aca="false">IF(OR($A75="",AC$8=""),"",IF($F75="Migré","ROKS",IF($F75="À décommissionner",IF(AC$8&lt;$AS75,"IKS","Décom."),IF(OR($AQ75="",$AS75=""),"",IF(AC$8&lt;$AQ75,"IKS",IF(AC$8&lt;$AS75,IF(AC$8=$AR75,"Bascule","Double run"),"ROKS"))))))</f>
        <v/>
      </c>
      <c r="AD75" s="51" t="str">
        <f aca="false">IF(OR($A75="",AD$8=""),"",IF($F75="Migré","ROKS",IF($F75="À décommissionner",IF(AD$8&lt;$AS75,"IKS","Décom."),IF(OR($AQ75="",$AS75=""),"",IF(AD$8&lt;$AQ75,"IKS",IF(AD$8&lt;$AS75,IF(AD$8=$AR75,"Bascule","Double run"),"ROKS"))))))</f>
        <v/>
      </c>
      <c r="AE75" s="51" t="str">
        <f aca="false">IF(OR($A75="",AE$8=""),"",IF($F75="Migré","ROKS",IF($F75="À décommissionner",IF(AE$8&lt;$AS75,"IKS","Décom."),IF(OR($AQ75="",$AS75=""),"",IF(AE$8&lt;$AQ75,"IKS",IF(AE$8&lt;$AS75,IF(AE$8=$AR75,"Bascule","Double run"),"ROKS"))))))</f>
        <v/>
      </c>
      <c r="AF75" s="51" t="str">
        <f aca="false">IF(OR($A75="",AF$8=""),"",IF($F75="Migré","ROKS",IF($F75="À décommissionner",IF(AF$8&lt;$AS75,"IKS","Décom."),IF(OR($AQ75="",$AS75=""),"",IF(AF$8&lt;$AQ75,"IKS",IF(AF$8&lt;$AS75,IF(AF$8=$AR75,"Bascule","Double run"),"ROKS"))))))</f>
        <v/>
      </c>
      <c r="AG75" s="51" t="str">
        <f aca="false">IF(OR($A75="",AG$8=""),"",IF($F75="Migré","ROKS",IF($F75="À décommissionner",IF(AG$8&lt;$AS75,"IKS","Décom."),IF(OR($AQ75="",$AS75=""),"",IF(AG$8&lt;$AQ75,"IKS",IF(AG$8&lt;$AS75,IF(AG$8=$AR75,"Bascule","Double run"),"ROKS"))))))</f>
        <v/>
      </c>
      <c r="AH75" s="51" t="str">
        <f aca="false">IF(OR($A75="",AH$8=""),"",IF($F75="Migré","ROKS",IF($F75="À décommissionner",IF(AH$8&lt;$AS75,"IKS","Décom."),IF(OR($AQ75="",$AS75=""),"",IF(AH$8&lt;$AQ75,"IKS",IF(AH$8&lt;$AS75,IF(AH$8=$AR75,"Bascule","Double run"),"ROKS"))))))</f>
        <v/>
      </c>
      <c r="AI75" s="51" t="str">
        <f aca="false">IF(OR($A75="",AI$8=""),"",IF($F75="Migré","ROKS",IF($F75="À décommissionner",IF(AI$8&lt;$AS75,"IKS","Décom."),IF(OR($AQ75="",$AS75=""),"",IF(AI$8&lt;$AQ75,"IKS",IF(AI$8&lt;$AS75,IF(AI$8=$AR75,"Bascule","Double run"),"ROKS"))))))</f>
        <v/>
      </c>
      <c r="AJ75" s="51" t="str">
        <f aca="false">IF(OR($A75="",AJ$8=""),"",IF($F75="Migré","ROKS",IF($F75="À décommissionner",IF(AJ$8&lt;$AS75,"IKS","Décom."),IF(OR($AQ75="",$AS75=""),"",IF(AJ$8&lt;$AQ75,"IKS",IF(AJ$8&lt;$AS75,IF(AJ$8=$AR75,"Bascule","Double run"),"ROKS"))))))</f>
        <v/>
      </c>
      <c r="AK75" s="51" t="str">
        <f aca="false">IF(OR($A75="",AK$8=""),"",IF($F75="Migré","ROKS",IF($F75="À décommissionner",IF(AK$8&lt;$AS75,"IKS","Décom."),IF(OR($AQ75="",$AS75=""),"",IF(AK$8&lt;$AQ75,"IKS",IF(AK$8&lt;$AS75,IF(AK$8=$AR75,"Bascule","Double run"),"ROKS"))))))</f>
        <v/>
      </c>
      <c r="AL75" s="51" t="str">
        <f aca="false">IF(OR($A75="",AL$8=""),"",IF($F75="Migré","ROKS",IF($F75="À décommissionner",IF(AL$8&lt;$AS75,"IKS","Décom."),IF(OR($AQ75="",$AS75=""),"",IF(AL$8&lt;$AQ75,"IKS",IF(AL$8&lt;$AS75,IF(AL$8=$AR75,"Bascule","Double run"),"ROKS"))))))</f>
        <v/>
      </c>
      <c r="AM75" s="51" t="str">
        <f aca="false">IF(OR($A75="",AM$8=""),"",IF($F75="Migré","ROKS",IF($F75="À décommissionner",IF(AM$8&lt;$AS75,"IKS","Décom."),IF(OR($AQ75="",$AS75=""),"",IF(AM$8&lt;$AQ75,"IKS",IF(AM$8&lt;$AS75,IF(AM$8=$AR75,"Bascule","Double run"),"ROKS"))))))</f>
        <v/>
      </c>
      <c r="AN75" s="51" t="str">
        <f aca="false">IF(OR($A75="",AN$8=""),"",IF($F75="Migré","ROKS",IF($F75="À décommissionner",IF(AN$8&lt;$AS75,"IKS","Décom."),IF(OR($AQ75="",$AS75=""),"",IF(AN$8&lt;$AQ75,"IKS",IF(AN$8&lt;$AS75,IF(AN$8=$AR75,"Bascule","Double run"),"ROKS"))))))</f>
        <v/>
      </c>
      <c r="AO75" s="51" t="str">
        <f aca="false">IF(OR($A75="",AO$8=""),"",IF($F75="Migré","ROKS",IF($F75="À décommissionner",IF(AO$8&lt;$AS75,"IKS","Décom."),IF(OR($AQ75="",$AS75=""),"",IF(AO$8&lt;$AQ75,"IKS",IF(AO$8&lt;$AS75,IF(AO$8=$AR75,"Bascule","Double run"),"ROKS"))))))</f>
        <v/>
      </c>
      <c r="AP75" s="51" t="str">
        <f aca="false">IF(OR($A75="",AP$8=""),"",IF($F75="Migré","ROKS",IF($F75="À décommissionner",IF(AP$8&lt;$AS75,"IKS","Décom."),IF(OR($AQ75="",$AS75=""),"",IF(AP$8&lt;$AQ75,"IKS",IF(AP$8&lt;$AS75,IF(AP$8=$AR75,"Bascule","Double run"),"ROKS"))))))</f>
        <v/>
      </c>
      <c r="AQ75" s="0" t="str">
        <f aca="false">IF($A75="","",INDEX(TblApplications[Mois prov (calc)],$A75))</f>
        <v/>
      </c>
      <c r="AR75" s="0" t="str">
        <f aca="false">IF($A75="","",IFERROR(DATE(YEAR(INDEX(TblApplications[Mois bascule],$A75)),MONTH(INDEX(TblApplications[Mois bascule],$A75)),1),""))</f>
        <v/>
      </c>
      <c r="AS75" s="0" t="str">
        <f aca="false">IF($A75="","",INDEX(TblApplications[Mois lib (calc)],$A75))</f>
        <v/>
      </c>
    </row>
    <row r="76" customFormat="false" ht="15" hidden="false" customHeight="false" outlineLevel="0" collapsed="false">
      <c r="A76" s="49" t="str">
        <f aca="false">IFERROR(MATCH(68,TblApplications[Rang frise],0),"")</f>
        <v/>
      </c>
      <c r="B76" s="50" t="str">
        <f aca="false">IF($A76="","",INDEX(TblApplications[ID],$A76))</f>
        <v/>
      </c>
      <c r="C76" s="50" t="str">
        <f aca="false">IF($A76="","",INDEX(TblApplications[Application],$A76))</f>
        <v/>
      </c>
      <c r="D76" s="50" t="str">
        <f aca="false">IF($A76="","",INDEX(TblApplications[Environnement],$A76))</f>
        <v/>
      </c>
      <c r="E76" s="50" t="str">
        <f aca="false">IF($A76="","",INDEX(TblApplications[Couloir],$A76))</f>
        <v/>
      </c>
      <c r="F76" s="50" t="str">
        <f aca="false">IF($A76="","",INDEX(TblApplications[Action],$A76))</f>
        <v/>
      </c>
      <c r="G76" s="51" t="str">
        <f aca="false">IF(OR($A76="",G$8=""),"",IF($F76="Migré","ROKS",IF($F76="À décommissionner",IF(G$8&lt;$AS76,"IKS","Décom."),IF(OR($AQ76="",$AS76=""),"",IF(G$8&lt;$AQ76,"IKS",IF(G$8&lt;$AS76,IF(G$8=$AR76,"Bascule","Double run"),"ROKS"))))))</f>
        <v/>
      </c>
      <c r="H76" s="51" t="str">
        <f aca="false">IF(OR($A76="",H$8=""),"",IF($F76="Migré","ROKS",IF($F76="À décommissionner",IF(H$8&lt;$AS76,"IKS","Décom."),IF(OR($AQ76="",$AS76=""),"",IF(H$8&lt;$AQ76,"IKS",IF(H$8&lt;$AS76,IF(H$8=$AR76,"Bascule","Double run"),"ROKS"))))))</f>
        <v/>
      </c>
      <c r="I76" s="51" t="str">
        <f aca="false">IF(OR($A76="",I$8=""),"",IF($F76="Migré","ROKS",IF($F76="À décommissionner",IF(I$8&lt;$AS76,"IKS","Décom."),IF(OR($AQ76="",$AS76=""),"",IF(I$8&lt;$AQ76,"IKS",IF(I$8&lt;$AS76,IF(I$8=$AR76,"Bascule","Double run"),"ROKS"))))))</f>
        <v/>
      </c>
      <c r="J76" s="51" t="str">
        <f aca="false">IF(OR($A76="",J$8=""),"",IF($F76="Migré","ROKS",IF($F76="À décommissionner",IF(J$8&lt;$AS76,"IKS","Décom."),IF(OR($AQ76="",$AS76=""),"",IF(J$8&lt;$AQ76,"IKS",IF(J$8&lt;$AS76,IF(J$8=$AR76,"Bascule","Double run"),"ROKS"))))))</f>
        <v/>
      </c>
      <c r="K76" s="51" t="str">
        <f aca="false">IF(OR($A76="",K$8=""),"",IF($F76="Migré","ROKS",IF($F76="À décommissionner",IF(K$8&lt;$AS76,"IKS","Décom."),IF(OR($AQ76="",$AS76=""),"",IF(K$8&lt;$AQ76,"IKS",IF(K$8&lt;$AS76,IF(K$8=$AR76,"Bascule","Double run"),"ROKS"))))))</f>
        <v/>
      </c>
      <c r="L76" s="51" t="str">
        <f aca="false">IF(OR($A76="",L$8=""),"",IF($F76="Migré","ROKS",IF($F76="À décommissionner",IF(L$8&lt;$AS76,"IKS","Décom."),IF(OR($AQ76="",$AS76=""),"",IF(L$8&lt;$AQ76,"IKS",IF(L$8&lt;$AS76,IF(L$8=$AR76,"Bascule","Double run"),"ROKS"))))))</f>
        <v/>
      </c>
      <c r="M76" s="51" t="str">
        <f aca="false">IF(OR($A76="",M$8=""),"",IF($F76="Migré","ROKS",IF($F76="À décommissionner",IF(M$8&lt;$AS76,"IKS","Décom."),IF(OR($AQ76="",$AS76=""),"",IF(M$8&lt;$AQ76,"IKS",IF(M$8&lt;$AS76,IF(M$8=$AR76,"Bascule","Double run"),"ROKS"))))))</f>
        <v/>
      </c>
      <c r="N76" s="51" t="str">
        <f aca="false">IF(OR($A76="",N$8=""),"",IF($F76="Migré","ROKS",IF($F76="À décommissionner",IF(N$8&lt;$AS76,"IKS","Décom."),IF(OR($AQ76="",$AS76=""),"",IF(N$8&lt;$AQ76,"IKS",IF(N$8&lt;$AS76,IF(N$8=$AR76,"Bascule","Double run"),"ROKS"))))))</f>
        <v/>
      </c>
      <c r="O76" s="51" t="str">
        <f aca="false">IF(OR($A76="",O$8=""),"",IF($F76="Migré","ROKS",IF($F76="À décommissionner",IF(O$8&lt;$AS76,"IKS","Décom."),IF(OR($AQ76="",$AS76=""),"",IF(O$8&lt;$AQ76,"IKS",IF(O$8&lt;$AS76,IF(O$8=$AR76,"Bascule","Double run"),"ROKS"))))))</f>
        <v/>
      </c>
      <c r="P76" s="51" t="str">
        <f aca="false">IF(OR($A76="",P$8=""),"",IF($F76="Migré","ROKS",IF($F76="À décommissionner",IF(P$8&lt;$AS76,"IKS","Décom."),IF(OR($AQ76="",$AS76=""),"",IF(P$8&lt;$AQ76,"IKS",IF(P$8&lt;$AS76,IF(P$8=$AR76,"Bascule","Double run"),"ROKS"))))))</f>
        <v/>
      </c>
      <c r="Q76" s="51" t="str">
        <f aca="false">IF(OR($A76="",Q$8=""),"",IF($F76="Migré","ROKS",IF($F76="À décommissionner",IF(Q$8&lt;$AS76,"IKS","Décom."),IF(OR($AQ76="",$AS76=""),"",IF(Q$8&lt;$AQ76,"IKS",IF(Q$8&lt;$AS76,IF(Q$8=$AR76,"Bascule","Double run"),"ROKS"))))))</f>
        <v/>
      </c>
      <c r="R76" s="51" t="str">
        <f aca="false">IF(OR($A76="",R$8=""),"",IF($F76="Migré","ROKS",IF($F76="À décommissionner",IF(R$8&lt;$AS76,"IKS","Décom."),IF(OR($AQ76="",$AS76=""),"",IF(R$8&lt;$AQ76,"IKS",IF(R$8&lt;$AS76,IF(R$8=$AR76,"Bascule","Double run"),"ROKS"))))))</f>
        <v/>
      </c>
      <c r="S76" s="51" t="str">
        <f aca="false">IF(OR($A76="",S$8=""),"",IF($F76="Migré","ROKS",IF($F76="À décommissionner",IF(S$8&lt;$AS76,"IKS","Décom."),IF(OR($AQ76="",$AS76=""),"",IF(S$8&lt;$AQ76,"IKS",IF(S$8&lt;$AS76,IF(S$8=$AR76,"Bascule","Double run"),"ROKS"))))))</f>
        <v/>
      </c>
      <c r="T76" s="51" t="str">
        <f aca="false">IF(OR($A76="",T$8=""),"",IF($F76="Migré","ROKS",IF($F76="À décommissionner",IF(T$8&lt;$AS76,"IKS","Décom."),IF(OR($AQ76="",$AS76=""),"",IF(T$8&lt;$AQ76,"IKS",IF(T$8&lt;$AS76,IF(T$8=$AR76,"Bascule","Double run"),"ROKS"))))))</f>
        <v/>
      </c>
      <c r="U76" s="51" t="str">
        <f aca="false">IF(OR($A76="",U$8=""),"",IF($F76="Migré","ROKS",IF($F76="À décommissionner",IF(U$8&lt;$AS76,"IKS","Décom."),IF(OR($AQ76="",$AS76=""),"",IF(U$8&lt;$AQ76,"IKS",IF(U$8&lt;$AS76,IF(U$8=$AR76,"Bascule","Double run"),"ROKS"))))))</f>
        <v/>
      </c>
      <c r="V76" s="51" t="str">
        <f aca="false">IF(OR($A76="",V$8=""),"",IF($F76="Migré","ROKS",IF($F76="À décommissionner",IF(V$8&lt;$AS76,"IKS","Décom."),IF(OR($AQ76="",$AS76=""),"",IF(V$8&lt;$AQ76,"IKS",IF(V$8&lt;$AS76,IF(V$8=$AR76,"Bascule","Double run"),"ROKS"))))))</f>
        <v/>
      </c>
      <c r="W76" s="51" t="str">
        <f aca="false">IF(OR($A76="",W$8=""),"",IF($F76="Migré","ROKS",IF($F76="À décommissionner",IF(W$8&lt;$AS76,"IKS","Décom."),IF(OR($AQ76="",$AS76=""),"",IF(W$8&lt;$AQ76,"IKS",IF(W$8&lt;$AS76,IF(W$8=$AR76,"Bascule","Double run"),"ROKS"))))))</f>
        <v/>
      </c>
      <c r="X76" s="51" t="str">
        <f aca="false">IF(OR($A76="",X$8=""),"",IF($F76="Migré","ROKS",IF($F76="À décommissionner",IF(X$8&lt;$AS76,"IKS","Décom."),IF(OR($AQ76="",$AS76=""),"",IF(X$8&lt;$AQ76,"IKS",IF(X$8&lt;$AS76,IF(X$8=$AR76,"Bascule","Double run"),"ROKS"))))))</f>
        <v/>
      </c>
      <c r="Y76" s="51" t="str">
        <f aca="false">IF(OR($A76="",Y$8=""),"",IF($F76="Migré","ROKS",IF($F76="À décommissionner",IF(Y$8&lt;$AS76,"IKS","Décom."),IF(OR($AQ76="",$AS76=""),"",IF(Y$8&lt;$AQ76,"IKS",IF(Y$8&lt;$AS76,IF(Y$8=$AR76,"Bascule","Double run"),"ROKS"))))))</f>
        <v/>
      </c>
      <c r="Z76" s="51" t="str">
        <f aca="false">IF(OR($A76="",Z$8=""),"",IF($F76="Migré","ROKS",IF($F76="À décommissionner",IF(Z$8&lt;$AS76,"IKS","Décom."),IF(OR($AQ76="",$AS76=""),"",IF(Z$8&lt;$AQ76,"IKS",IF(Z$8&lt;$AS76,IF(Z$8=$AR76,"Bascule","Double run"),"ROKS"))))))</f>
        <v/>
      </c>
      <c r="AA76" s="51" t="str">
        <f aca="false">IF(OR($A76="",AA$8=""),"",IF($F76="Migré","ROKS",IF($F76="À décommissionner",IF(AA$8&lt;$AS76,"IKS","Décom."),IF(OR($AQ76="",$AS76=""),"",IF(AA$8&lt;$AQ76,"IKS",IF(AA$8&lt;$AS76,IF(AA$8=$AR76,"Bascule","Double run"),"ROKS"))))))</f>
        <v/>
      </c>
      <c r="AB76" s="51" t="str">
        <f aca="false">IF(OR($A76="",AB$8=""),"",IF($F76="Migré","ROKS",IF($F76="À décommissionner",IF(AB$8&lt;$AS76,"IKS","Décom."),IF(OR($AQ76="",$AS76=""),"",IF(AB$8&lt;$AQ76,"IKS",IF(AB$8&lt;$AS76,IF(AB$8=$AR76,"Bascule","Double run"),"ROKS"))))))</f>
        <v/>
      </c>
      <c r="AC76" s="51" t="str">
        <f aca="false">IF(OR($A76="",AC$8=""),"",IF($F76="Migré","ROKS",IF($F76="À décommissionner",IF(AC$8&lt;$AS76,"IKS","Décom."),IF(OR($AQ76="",$AS76=""),"",IF(AC$8&lt;$AQ76,"IKS",IF(AC$8&lt;$AS76,IF(AC$8=$AR76,"Bascule","Double run"),"ROKS"))))))</f>
        <v/>
      </c>
      <c r="AD76" s="51" t="str">
        <f aca="false">IF(OR($A76="",AD$8=""),"",IF($F76="Migré","ROKS",IF($F76="À décommissionner",IF(AD$8&lt;$AS76,"IKS","Décom."),IF(OR($AQ76="",$AS76=""),"",IF(AD$8&lt;$AQ76,"IKS",IF(AD$8&lt;$AS76,IF(AD$8=$AR76,"Bascule","Double run"),"ROKS"))))))</f>
        <v/>
      </c>
      <c r="AE76" s="51" t="str">
        <f aca="false">IF(OR($A76="",AE$8=""),"",IF($F76="Migré","ROKS",IF($F76="À décommissionner",IF(AE$8&lt;$AS76,"IKS","Décom."),IF(OR($AQ76="",$AS76=""),"",IF(AE$8&lt;$AQ76,"IKS",IF(AE$8&lt;$AS76,IF(AE$8=$AR76,"Bascule","Double run"),"ROKS"))))))</f>
        <v/>
      </c>
      <c r="AF76" s="51" t="str">
        <f aca="false">IF(OR($A76="",AF$8=""),"",IF($F76="Migré","ROKS",IF($F76="À décommissionner",IF(AF$8&lt;$AS76,"IKS","Décom."),IF(OR($AQ76="",$AS76=""),"",IF(AF$8&lt;$AQ76,"IKS",IF(AF$8&lt;$AS76,IF(AF$8=$AR76,"Bascule","Double run"),"ROKS"))))))</f>
        <v/>
      </c>
      <c r="AG76" s="51" t="str">
        <f aca="false">IF(OR($A76="",AG$8=""),"",IF($F76="Migré","ROKS",IF($F76="À décommissionner",IF(AG$8&lt;$AS76,"IKS","Décom."),IF(OR($AQ76="",$AS76=""),"",IF(AG$8&lt;$AQ76,"IKS",IF(AG$8&lt;$AS76,IF(AG$8=$AR76,"Bascule","Double run"),"ROKS"))))))</f>
        <v/>
      </c>
      <c r="AH76" s="51" t="str">
        <f aca="false">IF(OR($A76="",AH$8=""),"",IF($F76="Migré","ROKS",IF($F76="À décommissionner",IF(AH$8&lt;$AS76,"IKS","Décom."),IF(OR($AQ76="",$AS76=""),"",IF(AH$8&lt;$AQ76,"IKS",IF(AH$8&lt;$AS76,IF(AH$8=$AR76,"Bascule","Double run"),"ROKS"))))))</f>
        <v/>
      </c>
      <c r="AI76" s="51" t="str">
        <f aca="false">IF(OR($A76="",AI$8=""),"",IF($F76="Migré","ROKS",IF($F76="À décommissionner",IF(AI$8&lt;$AS76,"IKS","Décom."),IF(OR($AQ76="",$AS76=""),"",IF(AI$8&lt;$AQ76,"IKS",IF(AI$8&lt;$AS76,IF(AI$8=$AR76,"Bascule","Double run"),"ROKS"))))))</f>
        <v/>
      </c>
      <c r="AJ76" s="51" t="str">
        <f aca="false">IF(OR($A76="",AJ$8=""),"",IF($F76="Migré","ROKS",IF($F76="À décommissionner",IF(AJ$8&lt;$AS76,"IKS","Décom."),IF(OR($AQ76="",$AS76=""),"",IF(AJ$8&lt;$AQ76,"IKS",IF(AJ$8&lt;$AS76,IF(AJ$8=$AR76,"Bascule","Double run"),"ROKS"))))))</f>
        <v/>
      </c>
      <c r="AK76" s="51" t="str">
        <f aca="false">IF(OR($A76="",AK$8=""),"",IF($F76="Migré","ROKS",IF($F76="À décommissionner",IF(AK$8&lt;$AS76,"IKS","Décom."),IF(OR($AQ76="",$AS76=""),"",IF(AK$8&lt;$AQ76,"IKS",IF(AK$8&lt;$AS76,IF(AK$8=$AR76,"Bascule","Double run"),"ROKS"))))))</f>
        <v/>
      </c>
      <c r="AL76" s="51" t="str">
        <f aca="false">IF(OR($A76="",AL$8=""),"",IF($F76="Migré","ROKS",IF($F76="À décommissionner",IF(AL$8&lt;$AS76,"IKS","Décom."),IF(OR($AQ76="",$AS76=""),"",IF(AL$8&lt;$AQ76,"IKS",IF(AL$8&lt;$AS76,IF(AL$8=$AR76,"Bascule","Double run"),"ROKS"))))))</f>
        <v/>
      </c>
      <c r="AM76" s="51" t="str">
        <f aca="false">IF(OR($A76="",AM$8=""),"",IF($F76="Migré","ROKS",IF($F76="À décommissionner",IF(AM$8&lt;$AS76,"IKS","Décom."),IF(OR($AQ76="",$AS76=""),"",IF(AM$8&lt;$AQ76,"IKS",IF(AM$8&lt;$AS76,IF(AM$8=$AR76,"Bascule","Double run"),"ROKS"))))))</f>
        <v/>
      </c>
      <c r="AN76" s="51" t="str">
        <f aca="false">IF(OR($A76="",AN$8=""),"",IF($F76="Migré","ROKS",IF($F76="À décommissionner",IF(AN$8&lt;$AS76,"IKS","Décom."),IF(OR($AQ76="",$AS76=""),"",IF(AN$8&lt;$AQ76,"IKS",IF(AN$8&lt;$AS76,IF(AN$8=$AR76,"Bascule","Double run"),"ROKS"))))))</f>
        <v/>
      </c>
      <c r="AO76" s="51" t="str">
        <f aca="false">IF(OR($A76="",AO$8=""),"",IF($F76="Migré","ROKS",IF($F76="À décommissionner",IF(AO$8&lt;$AS76,"IKS","Décom."),IF(OR($AQ76="",$AS76=""),"",IF(AO$8&lt;$AQ76,"IKS",IF(AO$8&lt;$AS76,IF(AO$8=$AR76,"Bascule","Double run"),"ROKS"))))))</f>
        <v/>
      </c>
      <c r="AP76" s="51" t="str">
        <f aca="false">IF(OR($A76="",AP$8=""),"",IF($F76="Migré","ROKS",IF($F76="À décommissionner",IF(AP$8&lt;$AS76,"IKS","Décom."),IF(OR($AQ76="",$AS76=""),"",IF(AP$8&lt;$AQ76,"IKS",IF(AP$8&lt;$AS76,IF(AP$8=$AR76,"Bascule","Double run"),"ROKS"))))))</f>
        <v/>
      </c>
      <c r="AQ76" s="0" t="str">
        <f aca="false">IF($A76="","",INDEX(TblApplications[Mois prov (calc)],$A76))</f>
        <v/>
      </c>
      <c r="AR76" s="0" t="str">
        <f aca="false">IF($A76="","",IFERROR(DATE(YEAR(INDEX(TblApplications[Mois bascule],$A76)),MONTH(INDEX(TblApplications[Mois bascule],$A76)),1),""))</f>
        <v/>
      </c>
      <c r="AS76" s="0" t="str">
        <f aca="false">IF($A76="","",INDEX(TblApplications[Mois lib (calc)],$A76))</f>
        <v/>
      </c>
    </row>
    <row r="77" customFormat="false" ht="15" hidden="false" customHeight="false" outlineLevel="0" collapsed="false">
      <c r="A77" s="49" t="str">
        <f aca="false">IFERROR(MATCH(69,TblApplications[Rang frise],0),"")</f>
        <v/>
      </c>
      <c r="B77" s="50" t="str">
        <f aca="false">IF($A77="","",INDEX(TblApplications[ID],$A77))</f>
        <v/>
      </c>
      <c r="C77" s="50" t="str">
        <f aca="false">IF($A77="","",INDEX(TblApplications[Application],$A77))</f>
        <v/>
      </c>
      <c r="D77" s="50" t="str">
        <f aca="false">IF($A77="","",INDEX(TblApplications[Environnement],$A77))</f>
        <v/>
      </c>
      <c r="E77" s="50" t="str">
        <f aca="false">IF($A77="","",INDEX(TblApplications[Couloir],$A77))</f>
        <v/>
      </c>
      <c r="F77" s="50" t="str">
        <f aca="false">IF($A77="","",INDEX(TblApplications[Action],$A77))</f>
        <v/>
      </c>
      <c r="G77" s="51" t="str">
        <f aca="false">IF(OR($A77="",G$8=""),"",IF($F77="Migré","ROKS",IF($F77="À décommissionner",IF(G$8&lt;$AS77,"IKS","Décom."),IF(OR($AQ77="",$AS77=""),"",IF(G$8&lt;$AQ77,"IKS",IF(G$8&lt;$AS77,IF(G$8=$AR77,"Bascule","Double run"),"ROKS"))))))</f>
        <v/>
      </c>
      <c r="H77" s="51" t="str">
        <f aca="false">IF(OR($A77="",H$8=""),"",IF($F77="Migré","ROKS",IF($F77="À décommissionner",IF(H$8&lt;$AS77,"IKS","Décom."),IF(OR($AQ77="",$AS77=""),"",IF(H$8&lt;$AQ77,"IKS",IF(H$8&lt;$AS77,IF(H$8=$AR77,"Bascule","Double run"),"ROKS"))))))</f>
        <v/>
      </c>
      <c r="I77" s="51" t="str">
        <f aca="false">IF(OR($A77="",I$8=""),"",IF($F77="Migré","ROKS",IF($F77="À décommissionner",IF(I$8&lt;$AS77,"IKS","Décom."),IF(OR($AQ77="",$AS77=""),"",IF(I$8&lt;$AQ77,"IKS",IF(I$8&lt;$AS77,IF(I$8=$AR77,"Bascule","Double run"),"ROKS"))))))</f>
        <v/>
      </c>
      <c r="J77" s="51" t="str">
        <f aca="false">IF(OR($A77="",J$8=""),"",IF($F77="Migré","ROKS",IF($F77="À décommissionner",IF(J$8&lt;$AS77,"IKS","Décom."),IF(OR($AQ77="",$AS77=""),"",IF(J$8&lt;$AQ77,"IKS",IF(J$8&lt;$AS77,IF(J$8=$AR77,"Bascule","Double run"),"ROKS"))))))</f>
        <v/>
      </c>
      <c r="K77" s="51" t="str">
        <f aca="false">IF(OR($A77="",K$8=""),"",IF($F77="Migré","ROKS",IF($F77="À décommissionner",IF(K$8&lt;$AS77,"IKS","Décom."),IF(OR($AQ77="",$AS77=""),"",IF(K$8&lt;$AQ77,"IKS",IF(K$8&lt;$AS77,IF(K$8=$AR77,"Bascule","Double run"),"ROKS"))))))</f>
        <v/>
      </c>
      <c r="L77" s="51" t="str">
        <f aca="false">IF(OR($A77="",L$8=""),"",IF($F77="Migré","ROKS",IF($F77="À décommissionner",IF(L$8&lt;$AS77,"IKS","Décom."),IF(OR($AQ77="",$AS77=""),"",IF(L$8&lt;$AQ77,"IKS",IF(L$8&lt;$AS77,IF(L$8=$AR77,"Bascule","Double run"),"ROKS"))))))</f>
        <v/>
      </c>
      <c r="M77" s="51" t="str">
        <f aca="false">IF(OR($A77="",M$8=""),"",IF($F77="Migré","ROKS",IF($F77="À décommissionner",IF(M$8&lt;$AS77,"IKS","Décom."),IF(OR($AQ77="",$AS77=""),"",IF(M$8&lt;$AQ77,"IKS",IF(M$8&lt;$AS77,IF(M$8=$AR77,"Bascule","Double run"),"ROKS"))))))</f>
        <v/>
      </c>
      <c r="N77" s="51" t="str">
        <f aca="false">IF(OR($A77="",N$8=""),"",IF($F77="Migré","ROKS",IF($F77="À décommissionner",IF(N$8&lt;$AS77,"IKS","Décom."),IF(OR($AQ77="",$AS77=""),"",IF(N$8&lt;$AQ77,"IKS",IF(N$8&lt;$AS77,IF(N$8=$AR77,"Bascule","Double run"),"ROKS"))))))</f>
        <v/>
      </c>
      <c r="O77" s="51" t="str">
        <f aca="false">IF(OR($A77="",O$8=""),"",IF($F77="Migré","ROKS",IF($F77="À décommissionner",IF(O$8&lt;$AS77,"IKS","Décom."),IF(OR($AQ77="",$AS77=""),"",IF(O$8&lt;$AQ77,"IKS",IF(O$8&lt;$AS77,IF(O$8=$AR77,"Bascule","Double run"),"ROKS"))))))</f>
        <v/>
      </c>
      <c r="P77" s="51" t="str">
        <f aca="false">IF(OR($A77="",P$8=""),"",IF($F77="Migré","ROKS",IF($F77="À décommissionner",IF(P$8&lt;$AS77,"IKS","Décom."),IF(OR($AQ77="",$AS77=""),"",IF(P$8&lt;$AQ77,"IKS",IF(P$8&lt;$AS77,IF(P$8=$AR77,"Bascule","Double run"),"ROKS"))))))</f>
        <v/>
      </c>
      <c r="Q77" s="51" t="str">
        <f aca="false">IF(OR($A77="",Q$8=""),"",IF($F77="Migré","ROKS",IF($F77="À décommissionner",IF(Q$8&lt;$AS77,"IKS","Décom."),IF(OR($AQ77="",$AS77=""),"",IF(Q$8&lt;$AQ77,"IKS",IF(Q$8&lt;$AS77,IF(Q$8=$AR77,"Bascule","Double run"),"ROKS"))))))</f>
        <v/>
      </c>
      <c r="R77" s="51" t="str">
        <f aca="false">IF(OR($A77="",R$8=""),"",IF($F77="Migré","ROKS",IF($F77="À décommissionner",IF(R$8&lt;$AS77,"IKS","Décom."),IF(OR($AQ77="",$AS77=""),"",IF(R$8&lt;$AQ77,"IKS",IF(R$8&lt;$AS77,IF(R$8=$AR77,"Bascule","Double run"),"ROKS"))))))</f>
        <v/>
      </c>
      <c r="S77" s="51" t="str">
        <f aca="false">IF(OR($A77="",S$8=""),"",IF($F77="Migré","ROKS",IF($F77="À décommissionner",IF(S$8&lt;$AS77,"IKS","Décom."),IF(OR($AQ77="",$AS77=""),"",IF(S$8&lt;$AQ77,"IKS",IF(S$8&lt;$AS77,IF(S$8=$AR77,"Bascule","Double run"),"ROKS"))))))</f>
        <v/>
      </c>
      <c r="T77" s="51" t="str">
        <f aca="false">IF(OR($A77="",T$8=""),"",IF($F77="Migré","ROKS",IF($F77="À décommissionner",IF(T$8&lt;$AS77,"IKS","Décom."),IF(OR($AQ77="",$AS77=""),"",IF(T$8&lt;$AQ77,"IKS",IF(T$8&lt;$AS77,IF(T$8=$AR77,"Bascule","Double run"),"ROKS"))))))</f>
        <v/>
      </c>
      <c r="U77" s="51" t="str">
        <f aca="false">IF(OR($A77="",U$8=""),"",IF($F77="Migré","ROKS",IF($F77="À décommissionner",IF(U$8&lt;$AS77,"IKS","Décom."),IF(OR($AQ77="",$AS77=""),"",IF(U$8&lt;$AQ77,"IKS",IF(U$8&lt;$AS77,IF(U$8=$AR77,"Bascule","Double run"),"ROKS"))))))</f>
        <v/>
      </c>
      <c r="V77" s="51" t="str">
        <f aca="false">IF(OR($A77="",V$8=""),"",IF($F77="Migré","ROKS",IF($F77="À décommissionner",IF(V$8&lt;$AS77,"IKS","Décom."),IF(OR($AQ77="",$AS77=""),"",IF(V$8&lt;$AQ77,"IKS",IF(V$8&lt;$AS77,IF(V$8=$AR77,"Bascule","Double run"),"ROKS"))))))</f>
        <v/>
      </c>
      <c r="W77" s="51" t="str">
        <f aca="false">IF(OR($A77="",W$8=""),"",IF($F77="Migré","ROKS",IF($F77="À décommissionner",IF(W$8&lt;$AS77,"IKS","Décom."),IF(OR($AQ77="",$AS77=""),"",IF(W$8&lt;$AQ77,"IKS",IF(W$8&lt;$AS77,IF(W$8=$AR77,"Bascule","Double run"),"ROKS"))))))</f>
        <v/>
      </c>
      <c r="X77" s="51" t="str">
        <f aca="false">IF(OR($A77="",X$8=""),"",IF($F77="Migré","ROKS",IF($F77="À décommissionner",IF(X$8&lt;$AS77,"IKS","Décom."),IF(OR($AQ77="",$AS77=""),"",IF(X$8&lt;$AQ77,"IKS",IF(X$8&lt;$AS77,IF(X$8=$AR77,"Bascule","Double run"),"ROKS"))))))</f>
        <v/>
      </c>
      <c r="Y77" s="51" t="str">
        <f aca="false">IF(OR($A77="",Y$8=""),"",IF($F77="Migré","ROKS",IF($F77="À décommissionner",IF(Y$8&lt;$AS77,"IKS","Décom."),IF(OR($AQ77="",$AS77=""),"",IF(Y$8&lt;$AQ77,"IKS",IF(Y$8&lt;$AS77,IF(Y$8=$AR77,"Bascule","Double run"),"ROKS"))))))</f>
        <v/>
      </c>
      <c r="Z77" s="51" t="str">
        <f aca="false">IF(OR($A77="",Z$8=""),"",IF($F77="Migré","ROKS",IF($F77="À décommissionner",IF(Z$8&lt;$AS77,"IKS","Décom."),IF(OR($AQ77="",$AS77=""),"",IF(Z$8&lt;$AQ77,"IKS",IF(Z$8&lt;$AS77,IF(Z$8=$AR77,"Bascule","Double run"),"ROKS"))))))</f>
        <v/>
      </c>
      <c r="AA77" s="51" t="str">
        <f aca="false">IF(OR($A77="",AA$8=""),"",IF($F77="Migré","ROKS",IF($F77="À décommissionner",IF(AA$8&lt;$AS77,"IKS","Décom."),IF(OR($AQ77="",$AS77=""),"",IF(AA$8&lt;$AQ77,"IKS",IF(AA$8&lt;$AS77,IF(AA$8=$AR77,"Bascule","Double run"),"ROKS"))))))</f>
        <v/>
      </c>
      <c r="AB77" s="51" t="str">
        <f aca="false">IF(OR($A77="",AB$8=""),"",IF($F77="Migré","ROKS",IF($F77="À décommissionner",IF(AB$8&lt;$AS77,"IKS","Décom."),IF(OR($AQ77="",$AS77=""),"",IF(AB$8&lt;$AQ77,"IKS",IF(AB$8&lt;$AS77,IF(AB$8=$AR77,"Bascule","Double run"),"ROKS"))))))</f>
        <v/>
      </c>
      <c r="AC77" s="51" t="str">
        <f aca="false">IF(OR($A77="",AC$8=""),"",IF($F77="Migré","ROKS",IF($F77="À décommissionner",IF(AC$8&lt;$AS77,"IKS","Décom."),IF(OR($AQ77="",$AS77=""),"",IF(AC$8&lt;$AQ77,"IKS",IF(AC$8&lt;$AS77,IF(AC$8=$AR77,"Bascule","Double run"),"ROKS"))))))</f>
        <v/>
      </c>
      <c r="AD77" s="51" t="str">
        <f aca="false">IF(OR($A77="",AD$8=""),"",IF($F77="Migré","ROKS",IF($F77="À décommissionner",IF(AD$8&lt;$AS77,"IKS","Décom."),IF(OR($AQ77="",$AS77=""),"",IF(AD$8&lt;$AQ77,"IKS",IF(AD$8&lt;$AS77,IF(AD$8=$AR77,"Bascule","Double run"),"ROKS"))))))</f>
        <v/>
      </c>
      <c r="AE77" s="51" t="str">
        <f aca="false">IF(OR($A77="",AE$8=""),"",IF($F77="Migré","ROKS",IF($F77="À décommissionner",IF(AE$8&lt;$AS77,"IKS","Décom."),IF(OR($AQ77="",$AS77=""),"",IF(AE$8&lt;$AQ77,"IKS",IF(AE$8&lt;$AS77,IF(AE$8=$AR77,"Bascule","Double run"),"ROKS"))))))</f>
        <v/>
      </c>
      <c r="AF77" s="51" t="str">
        <f aca="false">IF(OR($A77="",AF$8=""),"",IF($F77="Migré","ROKS",IF($F77="À décommissionner",IF(AF$8&lt;$AS77,"IKS","Décom."),IF(OR($AQ77="",$AS77=""),"",IF(AF$8&lt;$AQ77,"IKS",IF(AF$8&lt;$AS77,IF(AF$8=$AR77,"Bascule","Double run"),"ROKS"))))))</f>
        <v/>
      </c>
      <c r="AG77" s="51" t="str">
        <f aca="false">IF(OR($A77="",AG$8=""),"",IF($F77="Migré","ROKS",IF($F77="À décommissionner",IF(AG$8&lt;$AS77,"IKS","Décom."),IF(OR($AQ77="",$AS77=""),"",IF(AG$8&lt;$AQ77,"IKS",IF(AG$8&lt;$AS77,IF(AG$8=$AR77,"Bascule","Double run"),"ROKS"))))))</f>
        <v/>
      </c>
      <c r="AH77" s="51" t="str">
        <f aca="false">IF(OR($A77="",AH$8=""),"",IF($F77="Migré","ROKS",IF($F77="À décommissionner",IF(AH$8&lt;$AS77,"IKS","Décom."),IF(OR($AQ77="",$AS77=""),"",IF(AH$8&lt;$AQ77,"IKS",IF(AH$8&lt;$AS77,IF(AH$8=$AR77,"Bascule","Double run"),"ROKS"))))))</f>
        <v/>
      </c>
      <c r="AI77" s="51" t="str">
        <f aca="false">IF(OR($A77="",AI$8=""),"",IF($F77="Migré","ROKS",IF($F77="À décommissionner",IF(AI$8&lt;$AS77,"IKS","Décom."),IF(OR($AQ77="",$AS77=""),"",IF(AI$8&lt;$AQ77,"IKS",IF(AI$8&lt;$AS77,IF(AI$8=$AR77,"Bascule","Double run"),"ROKS"))))))</f>
        <v/>
      </c>
      <c r="AJ77" s="51" t="str">
        <f aca="false">IF(OR($A77="",AJ$8=""),"",IF($F77="Migré","ROKS",IF($F77="À décommissionner",IF(AJ$8&lt;$AS77,"IKS","Décom."),IF(OR($AQ77="",$AS77=""),"",IF(AJ$8&lt;$AQ77,"IKS",IF(AJ$8&lt;$AS77,IF(AJ$8=$AR77,"Bascule","Double run"),"ROKS"))))))</f>
        <v/>
      </c>
      <c r="AK77" s="51" t="str">
        <f aca="false">IF(OR($A77="",AK$8=""),"",IF($F77="Migré","ROKS",IF($F77="À décommissionner",IF(AK$8&lt;$AS77,"IKS","Décom."),IF(OR($AQ77="",$AS77=""),"",IF(AK$8&lt;$AQ77,"IKS",IF(AK$8&lt;$AS77,IF(AK$8=$AR77,"Bascule","Double run"),"ROKS"))))))</f>
        <v/>
      </c>
      <c r="AL77" s="51" t="str">
        <f aca="false">IF(OR($A77="",AL$8=""),"",IF($F77="Migré","ROKS",IF($F77="À décommissionner",IF(AL$8&lt;$AS77,"IKS","Décom."),IF(OR($AQ77="",$AS77=""),"",IF(AL$8&lt;$AQ77,"IKS",IF(AL$8&lt;$AS77,IF(AL$8=$AR77,"Bascule","Double run"),"ROKS"))))))</f>
        <v/>
      </c>
      <c r="AM77" s="51" t="str">
        <f aca="false">IF(OR($A77="",AM$8=""),"",IF($F77="Migré","ROKS",IF($F77="À décommissionner",IF(AM$8&lt;$AS77,"IKS","Décom."),IF(OR($AQ77="",$AS77=""),"",IF(AM$8&lt;$AQ77,"IKS",IF(AM$8&lt;$AS77,IF(AM$8=$AR77,"Bascule","Double run"),"ROKS"))))))</f>
        <v/>
      </c>
      <c r="AN77" s="51" t="str">
        <f aca="false">IF(OR($A77="",AN$8=""),"",IF($F77="Migré","ROKS",IF($F77="À décommissionner",IF(AN$8&lt;$AS77,"IKS","Décom."),IF(OR($AQ77="",$AS77=""),"",IF(AN$8&lt;$AQ77,"IKS",IF(AN$8&lt;$AS77,IF(AN$8=$AR77,"Bascule","Double run"),"ROKS"))))))</f>
        <v/>
      </c>
      <c r="AO77" s="51" t="str">
        <f aca="false">IF(OR($A77="",AO$8=""),"",IF($F77="Migré","ROKS",IF($F77="À décommissionner",IF(AO$8&lt;$AS77,"IKS","Décom."),IF(OR($AQ77="",$AS77=""),"",IF(AO$8&lt;$AQ77,"IKS",IF(AO$8&lt;$AS77,IF(AO$8=$AR77,"Bascule","Double run"),"ROKS"))))))</f>
        <v/>
      </c>
      <c r="AP77" s="51" t="str">
        <f aca="false">IF(OR($A77="",AP$8=""),"",IF($F77="Migré","ROKS",IF($F77="À décommissionner",IF(AP$8&lt;$AS77,"IKS","Décom."),IF(OR($AQ77="",$AS77=""),"",IF(AP$8&lt;$AQ77,"IKS",IF(AP$8&lt;$AS77,IF(AP$8=$AR77,"Bascule","Double run"),"ROKS"))))))</f>
        <v/>
      </c>
      <c r="AQ77" s="0" t="str">
        <f aca="false">IF($A77="","",INDEX(TblApplications[Mois prov (calc)],$A77))</f>
        <v/>
      </c>
      <c r="AR77" s="0" t="str">
        <f aca="false">IF($A77="","",IFERROR(DATE(YEAR(INDEX(TblApplications[Mois bascule],$A77)),MONTH(INDEX(TblApplications[Mois bascule],$A77)),1),""))</f>
        <v/>
      </c>
      <c r="AS77" s="0" t="str">
        <f aca="false">IF($A77="","",INDEX(TblApplications[Mois lib (calc)],$A77))</f>
        <v/>
      </c>
    </row>
    <row r="78" customFormat="false" ht="15" hidden="false" customHeight="false" outlineLevel="0" collapsed="false">
      <c r="A78" s="49" t="str">
        <f aca="false">IFERROR(MATCH(70,TblApplications[Rang frise],0),"")</f>
        <v/>
      </c>
      <c r="B78" s="50" t="str">
        <f aca="false">IF($A78="","",INDEX(TblApplications[ID],$A78))</f>
        <v/>
      </c>
      <c r="C78" s="50" t="str">
        <f aca="false">IF($A78="","",INDEX(TblApplications[Application],$A78))</f>
        <v/>
      </c>
      <c r="D78" s="50" t="str">
        <f aca="false">IF($A78="","",INDEX(TblApplications[Environnement],$A78))</f>
        <v/>
      </c>
      <c r="E78" s="50" t="str">
        <f aca="false">IF($A78="","",INDEX(TblApplications[Couloir],$A78))</f>
        <v/>
      </c>
      <c r="F78" s="50" t="str">
        <f aca="false">IF($A78="","",INDEX(TblApplications[Action],$A78))</f>
        <v/>
      </c>
      <c r="G78" s="51" t="str">
        <f aca="false">IF(OR($A78="",G$8=""),"",IF($F78="Migré","ROKS",IF($F78="À décommissionner",IF(G$8&lt;$AS78,"IKS","Décom."),IF(OR($AQ78="",$AS78=""),"",IF(G$8&lt;$AQ78,"IKS",IF(G$8&lt;$AS78,IF(G$8=$AR78,"Bascule","Double run"),"ROKS"))))))</f>
        <v/>
      </c>
      <c r="H78" s="51" t="str">
        <f aca="false">IF(OR($A78="",H$8=""),"",IF($F78="Migré","ROKS",IF($F78="À décommissionner",IF(H$8&lt;$AS78,"IKS","Décom."),IF(OR($AQ78="",$AS78=""),"",IF(H$8&lt;$AQ78,"IKS",IF(H$8&lt;$AS78,IF(H$8=$AR78,"Bascule","Double run"),"ROKS"))))))</f>
        <v/>
      </c>
      <c r="I78" s="51" t="str">
        <f aca="false">IF(OR($A78="",I$8=""),"",IF($F78="Migré","ROKS",IF($F78="À décommissionner",IF(I$8&lt;$AS78,"IKS","Décom."),IF(OR($AQ78="",$AS78=""),"",IF(I$8&lt;$AQ78,"IKS",IF(I$8&lt;$AS78,IF(I$8=$AR78,"Bascule","Double run"),"ROKS"))))))</f>
        <v/>
      </c>
      <c r="J78" s="51" t="str">
        <f aca="false">IF(OR($A78="",J$8=""),"",IF($F78="Migré","ROKS",IF($F78="À décommissionner",IF(J$8&lt;$AS78,"IKS","Décom."),IF(OR($AQ78="",$AS78=""),"",IF(J$8&lt;$AQ78,"IKS",IF(J$8&lt;$AS78,IF(J$8=$AR78,"Bascule","Double run"),"ROKS"))))))</f>
        <v/>
      </c>
      <c r="K78" s="51" t="str">
        <f aca="false">IF(OR($A78="",K$8=""),"",IF($F78="Migré","ROKS",IF($F78="À décommissionner",IF(K$8&lt;$AS78,"IKS","Décom."),IF(OR($AQ78="",$AS78=""),"",IF(K$8&lt;$AQ78,"IKS",IF(K$8&lt;$AS78,IF(K$8=$AR78,"Bascule","Double run"),"ROKS"))))))</f>
        <v/>
      </c>
      <c r="L78" s="51" t="str">
        <f aca="false">IF(OR($A78="",L$8=""),"",IF($F78="Migré","ROKS",IF($F78="À décommissionner",IF(L$8&lt;$AS78,"IKS","Décom."),IF(OR($AQ78="",$AS78=""),"",IF(L$8&lt;$AQ78,"IKS",IF(L$8&lt;$AS78,IF(L$8=$AR78,"Bascule","Double run"),"ROKS"))))))</f>
        <v/>
      </c>
      <c r="M78" s="51" t="str">
        <f aca="false">IF(OR($A78="",M$8=""),"",IF($F78="Migré","ROKS",IF($F78="À décommissionner",IF(M$8&lt;$AS78,"IKS","Décom."),IF(OR($AQ78="",$AS78=""),"",IF(M$8&lt;$AQ78,"IKS",IF(M$8&lt;$AS78,IF(M$8=$AR78,"Bascule","Double run"),"ROKS"))))))</f>
        <v/>
      </c>
      <c r="N78" s="51" t="str">
        <f aca="false">IF(OR($A78="",N$8=""),"",IF($F78="Migré","ROKS",IF($F78="À décommissionner",IF(N$8&lt;$AS78,"IKS","Décom."),IF(OR($AQ78="",$AS78=""),"",IF(N$8&lt;$AQ78,"IKS",IF(N$8&lt;$AS78,IF(N$8=$AR78,"Bascule","Double run"),"ROKS"))))))</f>
        <v/>
      </c>
      <c r="O78" s="51" t="str">
        <f aca="false">IF(OR($A78="",O$8=""),"",IF($F78="Migré","ROKS",IF($F78="À décommissionner",IF(O$8&lt;$AS78,"IKS","Décom."),IF(OR($AQ78="",$AS78=""),"",IF(O$8&lt;$AQ78,"IKS",IF(O$8&lt;$AS78,IF(O$8=$AR78,"Bascule","Double run"),"ROKS"))))))</f>
        <v/>
      </c>
      <c r="P78" s="51" t="str">
        <f aca="false">IF(OR($A78="",P$8=""),"",IF($F78="Migré","ROKS",IF($F78="À décommissionner",IF(P$8&lt;$AS78,"IKS","Décom."),IF(OR($AQ78="",$AS78=""),"",IF(P$8&lt;$AQ78,"IKS",IF(P$8&lt;$AS78,IF(P$8=$AR78,"Bascule","Double run"),"ROKS"))))))</f>
        <v/>
      </c>
      <c r="Q78" s="51" t="str">
        <f aca="false">IF(OR($A78="",Q$8=""),"",IF($F78="Migré","ROKS",IF($F78="À décommissionner",IF(Q$8&lt;$AS78,"IKS","Décom."),IF(OR($AQ78="",$AS78=""),"",IF(Q$8&lt;$AQ78,"IKS",IF(Q$8&lt;$AS78,IF(Q$8=$AR78,"Bascule","Double run"),"ROKS"))))))</f>
        <v/>
      </c>
      <c r="R78" s="51" t="str">
        <f aca="false">IF(OR($A78="",R$8=""),"",IF($F78="Migré","ROKS",IF($F78="À décommissionner",IF(R$8&lt;$AS78,"IKS","Décom."),IF(OR($AQ78="",$AS78=""),"",IF(R$8&lt;$AQ78,"IKS",IF(R$8&lt;$AS78,IF(R$8=$AR78,"Bascule","Double run"),"ROKS"))))))</f>
        <v/>
      </c>
      <c r="S78" s="51" t="str">
        <f aca="false">IF(OR($A78="",S$8=""),"",IF($F78="Migré","ROKS",IF($F78="À décommissionner",IF(S$8&lt;$AS78,"IKS","Décom."),IF(OR($AQ78="",$AS78=""),"",IF(S$8&lt;$AQ78,"IKS",IF(S$8&lt;$AS78,IF(S$8=$AR78,"Bascule","Double run"),"ROKS"))))))</f>
        <v/>
      </c>
      <c r="T78" s="51" t="str">
        <f aca="false">IF(OR($A78="",T$8=""),"",IF($F78="Migré","ROKS",IF($F78="À décommissionner",IF(T$8&lt;$AS78,"IKS","Décom."),IF(OR($AQ78="",$AS78=""),"",IF(T$8&lt;$AQ78,"IKS",IF(T$8&lt;$AS78,IF(T$8=$AR78,"Bascule","Double run"),"ROKS"))))))</f>
        <v/>
      </c>
      <c r="U78" s="51" t="str">
        <f aca="false">IF(OR($A78="",U$8=""),"",IF($F78="Migré","ROKS",IF($F78="À décommissionner",IF(U$8&lt;$AS78,"IKS","Décom."),IF(OR($AQ78="",$AS78=""),"",IF(U$8&lt;$AQ78,"IKS",IF(U$8&lt;$AS78,IF(U$8=$AR78,"Bascule","Double run"),"ROKS"))))))</f>
        <v/>
      </c>
      <c r="V78" s="51" t="str">
        <f aca="false">IF(OR($A78="",V$8=""),"",IF($F78="Migré","ROKS",IF($F78="À décommissionner",IF(V$8&lt;$AS78,"IKS","Décom."),IF(OR($AQ78="",$AS78=""),"",IF(V$8&lt;$AQ78,"IKS",IF(V$8&lt;$AS78,IF(V$8=$AR78,"Bascule","Double run"),"ROKS"))))))</f>
        <v/>
      </c>
      <c r="W78" s="51" t="str">
        <f aca="false">IF(OR($A78="",W$8=""),"",IF($F78="Migré","ROKS",IF($F78="À décommissionner",IF(W$8&lt;$AS78,"IKS","Décom."),IF(OR($AQ78="",$AS78=""),"",IF(W$8&lt;$AQ78,"IKS",IF(W$8&lt;$AS78,IF(W$8=$AR78,"Bascule","Double run"),"ROKS"))))))</f>
        <v/>
      </c>
      <c r="X78" s="51" t="str">
        <f aca="false">IF(OR($A78="",X$8=""),"",IF($F78="Migré","ROKS",IF($F78="À décommissionner",IF(X$8&lt;$AS78,"IKS","Décom."),IF(OR($AQ78="",$AS78=""),"",IF(X$8&lt;$AQ78,"IKS",IF(X$8&lt;$AS78,IF(X$8=$AR78,"Bascule","Double run"),"ROKS"))))))</f>
        <v/>
      </c>
      <c r="Y78" s="51" t="str">
        <f aca="false">IF(OR($A78="",Y$8=""),"",IF($F78="Migré","ROKS",IF($F78="À décommissionner",IF(Y$8&lt;$AS78,"IKS","Décom."),IF(OR($AQ78="",$AS78=""),"",IF(Y$8&lt;$AQ78,"IKS",IF(Y$8&lt;$AS78,IF(Y$8=$AR78,"Bascule","Double run"),"ROKS"))))))</f>
        <v/>
      </c>
      <c r="Z78" s="51" t="str">
        <f aca="false">IF(OR($A78="",Z$8=""),"",IF($F78="Migré","ROKS",IF($F78="À décommissionner",IF(Z$8&lt;$AS78,"IKS","Décom."),IF(OR($AQ78="",$AS78=""),"",IF(Z$8&lt;$AQ78,"IKS",IF(Z$8&lt;$AS78,IF(Z$8=$AR78,"Bascule","Double run"),"ROKS"))))))</f>
        <v/>
      </c>
      <c r="AA78" s="51" t="str">
        <f aca="false">IF(OR($A78="",AA$8=""),"",IF($F78="Migré","ROKS",IF($F78="À décommissionner",IF(AA$8&lt;$AS78,"IKS","Décom."),IF(OR($AQ78="",$AS78=""),"",IF(AA$8&lt;$AQ78,"IKS",IF(AA$8&lt;$AS78,IF(AA$8=$AR78,"Bascule","Double run"),"ROKS"))))))</f>
        <v/>
      </c>
      <c r="AB78" s="51" t="str">
        <f aca="false">IF(OR($A78="",AB$8=""),"",IF($F78="Migré","ROKS",IF($F78="À décommissionner",IF(AB$8&lt;$AS78,"IKS","Décom."),IF(OR($AQ78="",$AS78=""),"",IF(AB$8&lt;$AQ78,"IKS",IF(AB$8&lt;$AS78,IF(AB$8=$AR78,"Bascule","Double run"),"ROKS"))))))</f>
        <v/>
      </c>
      <c r="AC78" s="51" t="str">
        <f aca="false">IF(OR($A78="",AC$8=""),"",IF($F78="Migré","ROKS",IF($F78="À décommissionner",IF(AC$8&lt;$AS78,"IKS","Décom."),IF(OR($AQ78="",$AS78=""),"",IF(AC$8&lt;$AQ78,"IKS",IF(AC$8&lt;$AS78,IF(AC$8=$AR78,"Bascule","Double run"),"ROKS"))))))</f>
        <v/>
      </c>
      <c r="AD78" s="51" t="str">
        <f aca="false">IF(OR($A78="",AD$8=""),"",IF($F78="Migré","ROKS",IF($F78="À décommissionner",IF(AD$8&lt;$AS78,"IKS","Décom."),IF(OR($AQ78="",$AS78=""),"",IF(AD$8&lt;$AQ78,"IKS",IF(AD$8&lt;$AS78,IF(AD$8=$AR78,"Bascule","Double run"),"ROKS"))))))</f>
        <v/>
      </c>
      <c r="AE78" s="51" t="str">
        <f aca="false">IF(OR($A78="",AE$8=""),"",IF($F78="Migré","ROKS",IF($F78="À décommissionner",IF(AE$8&lt;$AS78,"IKS","Décom."),IF(OR($AQ78="",$AS78=""),"",IF(AE$8&lt;$AQ78,"IKS",IF(AE$8&lt;$AS78,IF(AE$8=$AR78,"Bascule","Double run"),"ROKS"))))))</f>
        <v/>
      </c>
      <c r="AF78" s="51" t="str">
        <f aca="false">IF(OR($A78="",AF$8=""),"",IF($F78="Migré","ROKS",IF($F78="À décommissionner",IF(AF$8&lt;$AS78,"IKS","Décom."),IF(OR($AQ78="",$AS78=""),"",IF(AF$8&lt;$AQ78,"IKS",IF(AF$8&lt;$AS78,IF(AF$8=$AR78,"Bascule","Double run"),"ROKS"))))))</f>
        <v/>
      </c>
      <c r="AG78" s="51" t="str">
        <f aca="false">IF(OR($A78="",AG$8=""),"",IF($F78="Migré","ROKS",IF($F78="À décommissionner",IF(AG$8&lt;$AS78,"IKS","Décom."),IF(OR($AQ78="",$AS78=""),"",IF(AG$8&lt;$AQ78,"IKS",IF(AG$8&lt;$AS78,IF(AG$8=$AR78,"Bascule","Double run"),"ROKS"))))))</f>
        <v/>
      </c>
      <c r="AH78" s="51" t="str">
        <f aca="false">IF(OR($A78="",AH$8=""),"",IF($F78="Migré","ROKS",IF($F78="À décommissionner",IF(AH$8&lt;$AS78,"IKS","Décom."),IF(OR($AQ78="",$AS78=""),"",IF(AH$8&lt;$AQ78,"IKS",IF(AH$8&lt;$AS78,IF(AH$8=$AR78,"Bascule","Double run"),"ROKS"))))))</f>
        <v/>
      </c>
      <c r="AI78" s="51" t="str">
        <f aca="false">IF(OR($A78="",AI$8=""),"",IF($F78="Migré","ROKS",IF($F78="À décommissionner",IF(AI$8&lt;$AS78,"IKS","Décom."),IF(OR($AQ78="",$AS78=""),"",IF(AI$8&lt;$AQ78,"IKS",IF(AI$8&lt;$AS78,IF(AI$8=$AR78,"Bascule","Double run"),"ROKS"))))))</f>
        <v/>
      </c>
      <c r="AJ78" s="51" t="str">
        <f aca="false">IF(OR($A78="",AJ$8=""),"",IF($F78="Migré","ROKS",IF($F78="À décommissionner",IF(AJ$8&lt;$AS78,"IKS","Décom."),IF(OR($AQ78="",$AS78=""),"",IF(AJ$8&lt;$AQ78,"IKS",IF(AJ$8&lt;$AS78,IF(AJ$8=$AR78,"Bascule","Double run"),"ROKS"))))))</f>
        <v/>
      </c>
      <c r="AK78" s="51" t="str">
        <f aca="false">IF(OR($A78="",AK$8=""),"",IF($F78="Migré","ROKS",IF($F78="À décommissionner",IF(AK$8&lt;$AS78,"IKS","Décom."),IF(OR($AQ78="",$AS78=""),"",IF(AK$8&lt;$AQ78,"IKS",IF(AK$8&lt;$AS78,IF(AK$8=$AR78,"Bascule","Double run"),"ROKS"))))))</f>
        <v/>
      </c>
      <c r="AL78" s="51" t="str">
        <f aca="false">IF(OR($A78="",AL$8=""),"",IF($F78="Migré","ROKS",IF($F78="À décommissionner",IF(AL$8&lt;$AS78,"IKS","Décom."),IF(OR($AQ78="",$AS78=""),"",IF(AL$8&lt;$AQ78,"IKS",IF(AL$8&lt;$AS78,IF(AL$8=$AR78,"Bascule","Double run"),"ROKS"))))))</f>
        <v/>
      </c>
      <c r="AM78" s="51" t="str">
        <f aca="false">IF(OR($A78="",AM$8=""),"",IF($F78="Migré","ROKS",IF($F78="À décommissionner",IF(AM$8&lt;$AS78,"IKS","Décom."),IF(OR($AQ78="",$AS78=""),"",IF(AM$8&lt;$AQ78,"IKS",IF(AM$8&lt;$AS78,IF(AM$8=$AR78,"Bascule","Double run"),"ROKS"))))))</f>
        <v/>
      </c>
      <c r="AN78" s="51" t="str">
        <f aca="false">IF(OR($A78="",AN$8=""),"",IF($F78="Migré","ROKS",IF($F78="À décommissionner",IF(AN$8&lt;$AS78,"IKS","Décom."),IF(OR($AQ78="",$AS78=""),"",IF(AN$8&lt;$AQ78,"IKS",IF(AN$8&lt;$AS78,IF(AN$8=$AR78,"Bascule","Double run"),"ROKS"))))))</f>
        <v/>
      </c>
      <c r="AO78" s="51" t="str">
        <f aca="false">IF(OR($A78="",AO$8=""),"",IF($F78="Migré","ROKS",IF($F78="À décommissionner",IF(AO$8&lt;$AS78,"IKS","Décom."),IF(OR($AQ78="",$AS78=""),"",IF(AO$8&lt;$AQ78,"IKS",IF(AO$8&lt;$AS78,IF(AO$8=$AR78,"Bascule","Double run"),"ROKS"))))))</f>
        <v/>
      </c>
      <c r="AP78" s="51" t="str">
        <f aca="false">IF(OR($A78="",AP$8=""),"",IF($F78="Migré","ROKS",IF($F78="À décommissionner",IF(AP$8&lt;$AS78,"IKS","Décom."),IF(OR($AQ78="",$AS78=""),"",IF(AP$8&lt;$AQ78,"IKS",IF(AP$8&lt;$AS78,IF(AP$8=$AR78,"Bascule","Double run"),"ROKS"))))))</f>
        <v/>
      </c>
      <c r="AQ78" s="0" t="str">
        <f aca="false">IF($A78="","",INDEX(TblApplications[Mois prov (calc)],$A78))</f>
        <v/>
      </c>
      <c r="AR78" s="0" t="str">
        <f aca="false">IF($A78="","",IFERROR(DATE(YEAR(INDEX(TblApplications[Mois bascule],$A78)),MONTH(INDEX(TblApplications[Mois bascule],$A78)),1),""))</f>
        <v/>
      </c>
      <c r="AS78" s="0" t="str">
        <f aca="false">IF($A78="","",INDEX(TblApplications[Mois lib (calc)],$A78))</f>
        <v/>
      </c>
    </row>
    <row r="79" customFormat="false" ht="15" hidden="false" customHeight="false" outlineLevel="0" collapsed="false">
      <c r="A79" s="49" t="str">
        <f aca="false">IFERROR(MATCH(71,TblApplications[Rang frise],0),"")</f>
        <v/>
      </c>
      <c r="B79" s="50" t="str">
        <f aca="false">IF($A79="","",INDEX(TblApplications[ID],$A79))</f>
        <v/>
      </c>
      <c r="C79" s="50" t="str">
        <f aca="false">IF($A79="","",INDEX(TblApplications[Application],$A79))</f>
        <v/>
      </c>
      <c r="D79" s="50" t="str">
        <f aca="false">IF($A79="","",INDEX(TblApplications[Environnement],$A79))</f>
        <v/>
      </c>
      <c r="E79" s="50" t="str">
        <f aca="false">IF($A79="","",INDEX(TblApplications[Couloir],$A79))</f>
        <v/>
      </c>
      <c r="F79" s="50" t="str">
        <f aca="false">IF($A79="","",INDEX(TblApplications[Action],$A79))</f>
        <v/>
      </c>
      <c r="G79" s="51" t="str">
        <f aca="false">IF(OR($A79="",G$8=""),"",IF($F79="Migré","ROKS",IF($F79="À décommissionner",IF(G$8&lt;$AS79,"IKS","Décom."),IF(OR($AQ79="",$AS79=""),"",IF(G$8&lt;$AQ79,"IKS",IF(G$8&lt;$AS79,IF(G$8=$AR79,"Bascule","Double run"),"ROKS"))))))</f>
        <v/>
      </c>
      <c r="H79" s="51" t="str">
        <f aca="false">IF(OR($A79="",H$8=""),"",IF($F79="Migré","ROKS",IF($F79="À décommissionner",IF(H$8&lt;$AS79,"IKS","Décom."),IF(OR($AQ79="",$AS79=""),"",IF(H$8&lt;$AQ79,"IKS",IF(H$8&lt;$AS79,IF(H$8=$AR79,"Bascule","Double run"),"ROKS"))))))</f>
        <v/>
      </c>
      <c r="I79" s="51" t="str">
        <f aca="false">IF(OR($A79="",I$8=""),"",IF($F79="Migré","ROKS",IF($F79="À décommissionner",IF(I$8&lt;$AS79,"IKS","Décom."),IF(OR($AQ79="",$AS79=""),"",IF(I$8&lt;$AQ79,"IKS",IF(I$8&lt;$AS79,IF(I$8=$AR79,"Bascule","Double run"),"ROKS"))))))</f>
        <v/>
      </c>
      <c r="J79" s="51" t="str">
        <f aca="false">IF(OR($A79="",J$8=""),"",IF($F79="Migré","ROKS",IF($F79="À décommissionner",IF(J$8&lt;$AS79,"IKS","Décom."),IF(OR($AQ79="",$AS79=""),"",IF(J$8&lt;$AQ79,"IKS",IF(J$8&lt;$AS79,IF(J$8=$AR79,"Bascule","Double run"),"ROKS"))))))</f>
        <v/>
      </c>
      <c r="K79" s="51" t="str">
        <f aca="false">IF(OR($A79="",K$8=""),"",IF($F79="Migré","ROKS",IF($F79="À décommissionner",IF(K$8&lt;$AS79,"IKS","Décom."),IF(OR($AQ79="",$AS79=""),"",IF(K$8&lt;$AQ79,"IKS",IF(K$8&lt;$AS79,IF(K$8=$AR79,"Bascule","Double run"),"ROKS"))))))</f>
        <v/>
      </c>
      <c r="L79" s="51" t="str">
        <f aca="false">IF(OR($A79="",L$8=""),"",IF($F79="Migré","ROKS",IF($F79="À décommissionner",IF(L$8&lt;$AS79,"IKS","Décom."),IF(OR($AQ79="",$AS79=""),"",IF(L$8&lt;$AQ79,"IKS",IF(L$8&lt;$AS79,IF(L$8=$AR79,"Bascule","Double run"),"ROKS"))))))</f>
        <v/>
      </c>
      <c r="M79" s="51" t="str">
        <f aca="false">IF(OR($A79="",M$8=""),"",IF($F79="Migré","ROKS",IF($F79="À décommissionner",IF(M$8&lt;$AS79,"IKS","Décom."),IF(OR($AQ79="",$AS79=""),"",IF(M$8&lt;$AQ79,"IKS",IF(M$8&lt;$AS79,IF(M$8=$AR79,"Bascule","Double run"),"ROKS"))))))</f>
        <v/>
      </c>
      <c r="N79" s="51" t="str">
        <f aca="false">IF(OR($A79="",N$8=""),"",IF($F79="Migré","ROKS",IF($F79="À décommissionner",IF(N$8&lt;$AS79,"IKS","Décom."),IF(OR($AQ79="",$AS79=""),"",IF(N$8&lt;$AQ79,"IKS",IF(N$8&lt;$AS79,IF(N$8=$AR79,"Bascule","Double run"),"ROKS"))))))</f>
        <v/>
      </c>
      <c r="O79" s="51" t="str">
        <f aca="false">IF(OR($A79="",O$8=""),"",IF($F79="Migré","ROKS",IF($F79="À décommissionner",IF(O$8&lt;$AS79,"IKS","Décom."),IF(OR($AQ79="",$AS79=""),"",IF(O$8&lt;$AQ79,"IKS",IF(O$8&lt;$AS79,IF(O$8=$AR79,"Bascule","Double run"),"ROKS"))))))</f>
        <v/>
      </c>
      <c r="P79" s="51" t="str">
        <f aca="false">IF(OR($A79="",P$8=""),"",IF($F79="Migré","ROKS",IF($F79="À décommissionner",IF(P$8&lt;$AS79,"IKS","Décom."),IF(OR($AQ79="",$AS79=""),"",IF(P$8&lt;$AQ79,"IKS",IF(P$8&lt;$AS79,IF(P$8=$AR79,"Bascule","Double run"),"ROKS"))))))</f>
        <v/>
      </c>
      <c r="Q79" s="51" t="str">
        <f aca="false">IF(OR($A79="",Q$8=""),"",IF($F79="Migré","ROKS",IF($F79="À décommissionner",IF(Q$8&lt;$AS79,"IKS","Décom."),IF(OR($AQ79="",$AS79=""),"",IF(Q$8&lt;$AQ79,"IKS",IF(Q$8&lt;$AS79,IF(Q$8=$AR79,"Bascule","Double run"),"ROKS"))))))</f>
        <v/>
      </c>
      <c r="R79" s="51" t="str">
        <f aca="false">IF(OR($A79="",R$8=""),"",IF($F79="Migré","ROKS",IF($F79="À décommissionner",IF(R$8&lt;$AS79,"IKS","Décom."),IF(OR($AQ79="",$AS79=""),"",IF(R$8&lt;$AQ79,"IKS",IF(R$8&lt;$AS79,IF(R$8=$AR79,"Bascule","Double run"),"ROKS"))))))</f>
        <v/>
      </c>
      <c r="S79" s="51" t="str">
        <f aca="false">IF(OR($A79="",S$8=""),"",IF($F79="Migré","ROKS",IF($F79="À décommissionner",IF(S$8&lt;$AS79,"IKS","Décom."),IF(OR($AQ79="",$AS79=""),"",IF(S$8&lt;$AQ79,"IKS",IF(S$8&lt;$AS79,IF(S$8=$AR79,"Bascule","Double run"),"ROKS"))))))</f>
        <v/>
      </c>
      <c r="T79" s="51" t="str">
        <f aca="false">IF(OR($A79="",T$8=""),"",IF($F79="Migré","ROKS",IF($F79="À décommissionner",IF(T$8&lt;$AS79,"IKS","Décom."),IF(OR($AQ79="",$AS79=""),"",IF(T$8&lt;$AQ79,"IKS",IF(T$8&lt;$AS79,IF(T$8=$AR79,"Bascule","Double run"),"ROKS"))))))</f>
        <v/>
      </c>
      <c r="U79" s="51" t="str">
        <f aca="false">IF(OR($A79="",U$8=""),"",IF($F79="Migré","ROKS",IF($F79="À décommissionner",IF(U$8&lt;$AS79,"IKS","Décom."),IF(OR($AQ79="",$AS79=""),"",IF(U$8&lt;$AQ79,"IKS",IF(U$8&lt;$AS79,IF(U$8=$AR79,"Bascule","Double run"),"ROKS"))))))</f>
        <v/>
      </c>
      <c r="V79" s="51" t="str">
        <f aca="false">IF(OR($A79="",V$8=""),"",IF($F79="Migré","ROKS",IF($F79="À décommissionner",IF(V$8&lt;$AS79,"IKS","Décom."),IF(OR($AQ79="",$AS79=""),"",IF(V$8&lt;$AQ79,"IKS",IF(V$8&lt;$AS79,IF(V$8=$AR79,"Bascule","Double run"),"ROKS"))))))</f>
        <v/>
      </c>
      <c r="W79" s="51" t="str">
        <f aca="false">IF(OR($A79="",W$8=""),"",IF($F79="Migré","ROKS",IF($F79="À décommissionner",IF(W$8&lt;$AS79,"IKS","Décom."),IF(OR($AQ79="",$AS79=""),"",IF(W$8&lt;$AQ79,"IKS",IF(W$8&lt;$AS79,IF(W$8=$AR79,"Bascule","Double run"),"ROKS"))))))</f>
        <v/>
      </c>
      <c r="X79" s="51" t="str">
        <f aca="false">IF(OR($A79="",X$8=""),"",IF($F79="Migré","ROKS",IF($F79="À décommissionner",IF(X$8&lt;$AS79,"IKS","Décom."),IF(OR($AQ79="",$AS79=""),"",IF(X$8&lt;$AQ79,"IKS",IF(X$8&lt;$AS79,IF(X$8=$AR79,"Bascule","Double run"),"ROKS"))))))</f>
        <v/>
      </c>
      <c r="Y79" s="51" t="str">
        <f aca="false">IF(OR($A79="",Y$8=""),"",IF($F79="Migré","ROKS",IF($F79="À décommissionner",IF(Y$8&lt;$AS79,"IKS","Décom."),IF(OR($AQ79="",$AS79=""),"",IF(Y$8&lt;$AQ79,"IKS",IF(Y$8&lt;$AS79,IF(Y$8=$AR79,"Bascule","Double run"),"ROKS"))))))</f>
        <v/>
      </c>
      <c r="Z79" s="51" t="str">
        <f aca="false">IF(OR($A79="",Z$8=""),"",IF($F79="Migré","ROKS",IF($F79="À décommissionner",IF(Z$8&lt;$AS79,"IKS","Décom."),IF(OR($AQ79="",$AS79=""),"",IF(Z$8&lt;$AQ79,"IKS",IF(Z$8&lt;$AS79,IF(Z$8=$AR79,"Bascule","Double run"),"ROKS"))))))</f>
        <v/>
      </c>
      <c r="AA79" s="51" t="str">
        <f aca="false">IF(OR($A79="",AA$8=""),"",IF($F79="Migré","ROKS",IF($F79="À décommissionner",IF(AA$8&lt;$AS79,"IKS","Décom."),IF(OR($AQ79="",$AS79=""),"",IF(AA$8&lt;$AQ79,"IKS",IF(AA$8&lt;$AS79,IF(AA$8=$AR79,"Bascule","Double run"),"ROKS"))))))</f>
        <v/>
      </c>
      <c r="AB79" s="51" t="str">
        <f aca="false">IF(OR($A79="",AB$8=""),"",IF($F79="Migré","ROKS",IF($F79="À décommissionner",IF(AB$8&lt;$AS79,"IKS","Décom."),IF(OR($AQ79="",$AS79=""),"",IF(AB$8&lt;$AQ79,"IKS",IF(AB$8&lt;$AS79,IF(AB$8=$AR79,"Bascule","Double run"),"ROKS"))))))</f>
        <v/>
      </c>
      <c r="AC79" s="51" t="str">
        <f aca="false">IF(OR($A79="",AC$8=""),"",IF($F79="Migré","ROKS",IF($F79="À décommissionner",IF(AC$8&lt;$AS79,"IKS","Décom."),IF(OR($AQ79="",$AS79=""),"",IF(AC$8&lt;$AQ79,"IKS",IF(AC$8&lt;$AS79,IF(AC$8=$AR79,"Bascule","Double run"),"ROKS"))))))</f>
        <v/>
      </c>
      <c r="AD79" s="51" t="str">
        <f aca="false">IF(OR($A79="",AD$8=""),"",IF($F79="Migré","ROKS",IF($F79="À décommissionner",IF(AD$8&lt;$AS79,"IKS","Décom."),IF(OR($AQ79="",$AS79=""),"",IF(AD$8&lt;$AQ79,"IKS",IF(AD$8&lt;$AS79,IF(AD$8=$AR79,"Bascule","Double run"),"ROKS"))))))</f>
        <v/>
      </c>
      <c r="AE79" s="51" t="str">
        <f aca="false">IF(OR($A79="",AE$8=""),"",IF($F79="Migré","ROKS",IF($F79="À décommissionner",IF(AE$8&lt;$AS79,"IKS","Décom."),IF(OR($AQ79="",$AS79=""),"",IF(AE$8&lt;$AQ79,"IKS",IF(AE$8&lt;$AS79,IF(AE$8=$AR79,"Bascule","Double run"),"ROKS"))))))</f>
        <v/>
      </c>
      <c r="AF79" s="51" t="str">
        <f aca="false">IF(OR($A79="",AF$8=""),"",IF($F79="Migré","ROKS",IF($F79="À décommissionner",IF(AF$8&lt;$AS79,"IKS","Décom."),IF(OR($AQ79="",$AS79=""),"",IF(AF$8&lt;$AQ79,"IKS",IF(AF$8&lt;$AS79,IF(AF$8=$AR79,"Bascule","Double run"),"ROKS"))))))</f>
        <v/>
      </c>
      <c r="AG79" s="51" t="str">
        <f aca="false">IF(OR($A79="",AG$8=""),"",IF($F79="Migré","ROKS",IF($F79="À décommissionner",IF(AG$8&lt;$AS79,"IKS","Décom."),IF(OR($AQ79="",$AS79=""),"",IF(AG$8&lt;$AQ79,"IKS",IF(AG$8&lt;$AS79,IF(AG$8=$AR79,"Bascule","Double run"),"ROKS"))))))</f>
        <v/>
      </c>
      <c r="AH79" s="51" t="str">
        <f aca="false">IF(OR($A79="",AH$8=""),"",IF($F79="Migré","ROKS",IF($F79="À décommissionner",IF(AH$8&lt;$AS79,"IKS","Décom."),IF(OR($AQ79="",$AS79=""),"",IF(AH$8&lt;$AQ79,"IKS",IF(AH$8&lt;$AS79,IF(AH$8=$AR79,"Bascule","Double run"),"ROKS"))))))</f>
        <v/>
      </c>
      <c r="AI79" s="51" t="str">
        <f aca="false">IF(OR($A79="",AI$8=""),"",IF($F79="Migré","ROKS",IF($F79="À décommissionner",IF(AI$8&lt;$AS79,"IKS","Décom."),IF(OR($AQ79="",$AS79=""),"",IF(AI$8&lt;$AQ79,"IKS",IF(AI$8&lt;$AS79,IF(AI$8=$AR79,"Bascule","Double run"),"ROKS"))))))</f>
        <v/>
      </c>
      <c r="AJ79" s="51" t="str">
        <f aca="false">IF(OR($A79="",AJ$8=""),"",IF($F79="Migré","ROKS",IF($F79="À décommissionner",IF(AJ$8&lt;$AS79,"IKS","Décom."),IF(OR($AQ79="",$AS79=""),"",IF(AJ$8&lt;$AQ79,"IKS",IF(AJ$8&lt;$AS79,IF(AJ$8=$AR79,"Bascule","Double run"),"ROKS"))))))</f>
        <v/>
      </c>
      <c r="AK79" s="51" t="str">
        <f aca="false">IF(OR($A79="",AK$8=""),"",IF($F79="Migré","ROKS",IF($F79="À décommissionner",IF(AK$8&lt;$AS79,"IKS","Décom."),IF(OR($AQ79="",$AS79=""),"",IF(AK$8&lt;$AQ79,"IKS",IF(AK$8&lt;$AS79,IF(AK$8=$AR79,"Bascule","Double run"),"ROKS"))))))</f>
        <v/>
      </c>
      <c r="AL79" s="51" t="str">
        <f aca="false">IF(OR($A79="",AL$8=""),"",IF($F79="Migré","ROKS",IF($F79="À décommissionner",IF(AL$8&lt;$AS79,"IKS","Décom."),IF(OR($AQ79="",$AS79=""),"",IF(AL$8&lt;$AQ79,"IKS",IF(AL$8&lt;$AS79,IF(AL$8=$AR79,"Bascule","Double run"),"ROKS"))))))</f>
        <v/>
      </c>
      <c r="AM79" s="51" t="str">
        <f aca="false">IF(OR($A79="",AM$8=""),"",IF($F79="Migré","ROKS",IF($F79="À décommissionner",IF(AM$8&lt;$AS79,"IKS","Décom."),IF(OR($AQ79="",$AS79=""),"",IF(AM$8&lt;$AQ79,"IKS",IF(AM$8&lt;$AS79,IF(AM$8=$AR79,"Bascule","Double run"),"ROKS"))))))</f>
        <v/>
      </c>
      <c r="AN79" s="51" t="str">
        <f aca="false">IF(OR($A79="",AN$8=""),"",IF($F79="Migré","ROKS",IF($F79="À décommissionner",IF(AN$8&lt;$AS79,"IKS","Décom."),IF(OR($AQ79="",$AS79=""),"",IF(AN$8&lt;$AQ79,"IKS",IF(AN$8&lt;$AS79,IF(AN$8=$AR79,"Bascule","Double run"),"ROKS"))))))</f>
        <v/>
      </c>
      <c r="AO79" s="51" t="str">
        <f aca="false">IF(OR($A79="",AO$8=""),"",IF($F79="Migré","ROKS",IF($F79="À décommissionner",IF(AO$8&lt;$AS79,"IKS","Décom."),IF(OR($AQ79="",$AS79=""),"",IF(AO$8&lt;$AQ79,"IKS",IF(AO$8&lt;$AS79,IF(AO$8=$AR79,"Bascule","Double run"),"ROKS"))))))</f>
        <v/>
      </c>
      <c r="AP79" s="51" t="str">
        <f aca="false">IF(OR($A79="",AP$8=""),"",IF($F79="Migré","ROKS",IF($F79="À décommissionner",IF(AP$8&lt;$AS79,"IKS","Décom."),IF(OR($AQ79="",$AS79=""),"",IF(AP$8&lt;$AQ79,"IKS",IF(AP$8&lt;$AS79,IF(AP$8=$AR79,"Bascule","Double run"),"ROKS"))))))</f>
        <v/>
      </c>
      <c r="AQ79" s="0" t="str">
        <f aca="false">IF($A79="","",INDEX(TblApplications[Mois prov (calc)],$A79))</f>
        <v/>
      </c>
      <c r="AR79" s="0" t="str">
        <f aca="false">IF($A79="","",IFERROR(DATE(YEAR(INDEX(TblApplications[Mois bascule],$A79)),MONTH(INDEX(TblApplications[Mois bascule],$A79)),1),""))</f>
        <v/>
      </c>
      <c r="AS79" s="0" t="str">
        <f aca="false">IF($A79="","",INDEX(TblApplications[Mois lib (calc)],$A79))</f>
        <v/>
      </c>
    </row>
    <row r="80" customFormat="false" ht="15" hidden="false" customHeight="false" outlineLevel="0" collapsed="false">
      <c r="A80" s="49" t="str">
        <f aca="false">IFERROR(MATCH(72,TblApplications[Rang frise],0),"")</f>
        <v/>
      </c>
      <c r="B80" s="50" t="str">
        <f aca="false">IF($A80="","",INDEX(TblApplications[ID],$A80))</f>
        <v/>
      </c>
      <c r="C80" s="50" t="str">
        <f aca="false">IF($A80="","",INDEX(TblApplications[Application],$A80))</f>
        <v/>
      </c>
      <c r="D80" s="50" t="str">
        <f aca="false">IF($A80="","",INDEX(TblApplications[Environnement],$A80))</f>
        <v/>
      </c>
      <c r="E80" s="50" t="str">
        <f aca="false">IF($A80="","",INDEX(TblApplications[Couloir],$A80))</f>
        <v/>
      </c>
      <c r="F80" s="50" t="str">
        <f aca="false">IF($A80="","",INDEX(TblApplications[Action],$A80))</f>
        <v/>
      </c>
      <c r="G80" s="51" t="str">
        <f aca="false">IF(OR($A80="",G$8=""),"",IF($F80="Migré","ROKS",IF($F80="À décommissionner",IF(G$8&lt;$AS80,"IKS","Décom."),IF(OR($AQ80="",$AS80=""),"",IF(G$8&lt;$AQ80,"IKS",IF(G$8&lt;$AS80,IF(G$8=$AR80,"Bascule","Double run"),"ROKS"))))))</f>
        <v/>
      </c>
      <c r="H80" s="51" t="str">
        <f aca="false">IF(OR($A80="",H$8=""),"",IF($F80="Migré","ROKS",IF($F80="À décommissionner",IF(H$8&lt;$AS80,"IKS","Décom."),IF(OR($AQ80="",$AS80=""),"",IF(H$8&lt;$AQ80,"IKS",IF(H$8&lt;$AS80,IF(H$8=$AR80,"Bascule","Double run"),"ROKS"))))))</f>
        <v/>
      </c>
      <c r="I80" s="51" t="str">
        <f aca="false">IF(OR($A80="",I$8=""),"",IF($F80="Migré","ROKS",IF($F80="À décommissionner",IF(I$8&lt;$AS80,"IKS","Décom."),IF(OR($AQ80="",$AS80=""),"",IF(I$8&lt;$AQ80,"IKS",IF(I$8&lt;$AS80,IF(I$8=$AR80,"Bascule","Double run"),"ROKS"))))))</f>
        <v/>
      </c>
      <c r="J80" s="51" t="str">
        <f aca="false">IF(OR($A80="",J$8=""),"",IF($F80="Migré","ROKS",IF($F80="À décommissionner",IF(J$8&lt;$AS80,"IKS","Décom."),IF(OR($AQ80="",$AS80=""),"",IF(J$8&lt;$AQ80,"IKS",IF(J$8&lt;$AS80,IF(J$8=$AR80,"Bascule","Double run"),"ROKS"))))))</f>
        <v/>
      </c>
      <c r="K80" s="51" t="str">
        <f aca="false">IF(OR($A80="",K$8=""),"",IF($F80="Migré","ROKS",IF($F80="À décommissionner",IF(K$8&lt;$AS80,"IKS","Décom."),IF(OR($AQ80="",$AS80=""),"",IF(K$8&lt;$AQ80,"IKS",IF(K$8&lt;$AS80,IF(K$8=$AR80,"Bascule","Double run"),"ROKS"))))))</f>
        <v/>
      </c>
      <c r="L80" s="51" t="str">
        <f aca="false">IF(OR($A80="",L$8=""),"",IF($F80="Migré","ROKS",IF($F80="À décommissionner",IF(L$8&lt;$AS80,"IKS","Décom."),IF(OR($AQ80="",$AS80=""),"",IF(L$8&lt;$AQ80,"IKS",IF(L$8&lt;$AS80,IF(L$8=$AR80,"Bascule","Double run"),"ROKS"))))))</f>
        <v/>
      </c>
      <c r="M80" s="51" t="str">
        <f aca="false">IF(OR($A80="",M$8=""),"",IF($F80="Migré","ROKS",IF($F80="À décommissionner",IF(M$8&lt;$AS80,"IKS","Décom."),IF(OR($AQ80="",$AS80=""),"",IF(M$8&lt;$AQ80,"IKS",IF(M$8&lt;$AS80,IF(M$8=$AR80,"Bascule","Double run"),"ROKS"))))))</f>
        <v/>
      </c>
      <c r="N80" s="51" t="str">
        <f aca="false">IF(OR($A80="",N$8=""),"",IF($F80="Migré","ROKS",IF($F80="À décommissionner",IF(N$8&lt;$AS80,"IKS","Décom."),IF(OR($AQ80="",$AS80=""),"",IF(N$8&lt;$AQ80,"IKS",IF(N$8&lt;$AS80,IF(N$8=$AR80,"Bascule","Double run"),"ROKS"))))))</f>
        <v/>
      </c>
      <c r="O80" s="51" t="str">
        <f aca="false">IF(OR($A80="",O$8=""),"",IF($F80="Migré","ROKS",IF($F80="À décommissionner",IF(O$8&lt;$AS80,"IKS","Décom."),IF(OR($AQ80="",$AS80=""),"",IF(O$8&lt;$AQ80,"IKS",IF(O$8&lt;$AS80,IF(O$8=$AR80,"Bascule","Double run"),"ROKS"))))))</f>
        <v/>
      </c>
      <c r="P80" s="51" t="str">
        <f aca="false">IF(OR($A80="",P$8=""),"",IF($F80="Migré","ROKS",IF($F80="À décommissionner",IF(P$8&lt;$AS80,"IKS","Décom."),IF(OR($AQ80="",$AS80=""),"",IF(P$8&lt;$AQ80,"IKS",IF(P$8&lt;$AS80,IF(P$8=$AR80,"Bascule","Double run"),"ROKS"))))))</f>
        <v/>
      </c>
      <c r="Q80" s="51" t="str">
        <f aca="false">IF(OR($A80="",Q$8=""),"",IF($F80="Migré","ROKS",IF($F80="À décommissionner",IF(Q$8&lt;$AS80,"IKS","Décom."),IF(OR($AQ80="",$AS80=""),"",IF(Q$8&lt;$AQ80,"IKS",IF(Q$8&lt;$AS80,IF(Q$8=$AR80,"Bascule","Double run"),"ROKS"))))))</f>
        <v/>
      </c>
      <c r="R80" s="51" t="str">
        <f aca="false">IF(OR($A80="",R$8=""),"",IF($F80="Migré","ROKS",IF($F80="À décommissionner",IF(R$8&lt;$AS80,"IKS","Décom."),IF(OR($AQ80="",$AS80=""),"",IF(R$8&lt;$AQ80,"IKS",IF(R$8&lt;$AS80,IF(R$8=$AR80,"Bascule","Double run"),"ROKS"))))))</f>
        <v/>
      </c>
      <c r="S80" s="51" t="str">
        <f aca="false">IF(OR($A80="",S$8=""),"",IF($F80="Migré","ROKS",IF($F80="À décommissionner",IF(S$8&lt;$AS80,"IKS","Décom."),IF(OR($AQ80="",$AS80=""),"",IF(S$8&lt;$AQ80,"IKS",IF(S$8&lt;$AS80,IF(S$8=$AR80,"Bascule","Double run"),"ROKS"))))))</f>
        <v/>
      </c>
      <c r="T80" s="51" t="str">
        <f aca="false">IF(OR($A80="",T$8=""),"",IF($F80="Migré","ROKS",IF($F80="À décommissionner",IF(T$8&lt;$AS80,"IKS","Décom."),IF(OR($AQ80="",$AS80=""),"",IF(T$8&lt;$AQ80,"IKS",IF(T$8&lt;$AS80,IF(T$8=$AR80,"Bascule","Double run"),"ROKS"))))))</f>
        <v/>
      </c>
      <c r="U80" s="51" t="str">
        <f aca="false">IF(OR($A80="",U$8=""),"",IF($F80="Migré","ROKS",IF($F80="À décommissionner",IF(U$8&lt;$AS80,"IKS","Décom."),IF(OR($AQ80="",$AS80=""),"",IF(U$8&lt;$AQ80,"IKS",IF(U$8&lt;$AS80,IF(U$8=$AR80,"Bascule","Double run"),"ROKS"))))))</f>
        <v/>
      </c>
      <c r="V80" s="51" t="str">
        <f aca="false">IF(OR($A80="",V$8=""),"",IF($F80="Migré","ROKS",IF($F80="À décommissionner",IF(V$8&lt;$AS80,"IKS","Décom."),IF(OR($AQ80="",$AS80=""),"",IF(V$8&lt;$AQ80,"IKS",IF(V$8&lt;$AS80,IF(V$8=$AR80,"Bascule","Double run"),"ROKS"))))))</f>
        <v/>
      </c>
      <c r="W80" s="51" t="str">
        <f aca="false">IF(OR($A80="",W$8=""),"",IF($F80="Migré","ROKS",IF($F80="À décommissionner",IF(W$8&lt;$AS80,"IKS","Décom."),IF(OR($AQ80="",$AS80=""),"",IF(W$8&lt;$AQ80,"IKS",IF(W$8&lt;$AS80,IF(W$8=$AR80,"Bascule","Double run"),"ROKS"))))))</f>
        <v/>
      </c>
      <c r="X80" s="51" t="str">
        <f aca="false">IF(OR($A80="",X$8=""),"",IF($F80="Migré","ROKS",IF($F80="À décommissionner",IF(X$8&lt;$AS80,"IKS","Décom."),IF(OR($AQ80="",$AS80=""),"",IF(X$8&lt;$AQ80,"IKS",IF(X$8&lt;$AS80,IF(X$8=$AR80,"Bascule","Double run"),"ROKS"))))))</f>
        <v/>
      </c>
      <c r="Y80" s="51" t="str">
        <f aca="false">IF(OR($A80="",Y$8=""),"",IF($F80="Migré","ROKS",IF($F80="À décommissionner",IF(Y$8&lt;$AS80,"IKS","Décom."),IF(OR($AQ80="",$AS80=""),"",IF(Y$8&lt;$AQ80,"IKS",IF(Y$8&lt;$AS80,IF(Y$8=$AR80,"Bascule","Double run"),"ROKS"))))))</f>
        <v/>
      </c>
      <c r="Z80" s="51" t="str">
        <f aca="false">IF(OR($A80="",Z$8=""),"",IF($F80="Migré","ROKS",IF($F80="À décommissionner",IF(Z$8&lt;$AS80,"IKS","Décom."),IF(OR($AQ80="",$AS80=""),"",IF(Z$8&lt;$AQ80,"IKS",IF(Z$8&lt;$AS80,IF(Z$8=$AR80,"Bascule","Double run"),"ROKS"))))))</f>
        <v/>
      </c>
      <c r="AA80" s="51" t="str">
        <f aca="false">IF(OR($A80="",AA$8=""),"",IF($F80="Migré","ROKS",IF($F80="À décommissionner",IF(AA$8&lt;$AS80,"IKS","Décom."),IF(OR($AQ80="",$AS80=""),"",IF(AA$8&lt;$AQ80,"IKS",IF(AA$8&lt;$AS80,IF(AA$8=$AR80,"Bascule","Double run"),"ROKS"))))))</f>
        <v/>
      </c>
      <c r="AB80" s="51" t="str">
        <f aca="false">IF(OR($A80="",AB$8=""),"",IF($F80="Migré","ROKS",IF($F80="À décommissionner",IF(AB$8&lt;$AS80,"IKS","Décom."),IF(OR($AQ80="",$AS80=""),"",IF(AB$8&lt;$AQ80,"IKS",IF(AB$8&lt;$AS80,IF(AB$8=$AR80,"Bascule","Double run"),"ROKS"))))))</f>
        <v/>
      </c>
      <c r="AC80" s="51" t="str">
        <f aca="false">IF(OR($A80="",AC$8=""),"",IF($F80="Migré","ROKS",IF($F80="À décommissionner",IF(AC$8&lt;$AS80,"IKS","Décom."),IF(OR($AQ80="",$AS80=""),"",IF(AC$8&lt;$AQ80,"IKS",IF(AC$8&lt;$AS80,IF(AC$8=$AR80,"Bascule","Double run"),"ROKS"))))))</f>
        <v/>
      </c>
      <c r="AD80" s="51" t="str">
        <f aca="false">IF(OR($A80="",AD$8=""),"",IF($F80="Migré","ROKS",IF($F80="À décommissionner",IF(AD$8&lt;$AS80,"IKS","Décom."),IF(OR($AQ80="",$AS80=""),"",IF(AD$8&lt;$AQ80,"IKS",IF(AD$8&lt;$AS80,IF(AD$8=$AR80,"Bascule","Double run"),"ROKS"))))))</f>
        <v/>
      </c>
      <c r="AE80" s="51" t="str">
        <f aca="false">IF(OR($A80="",AE$8=""),"",IF($F80="Migré","ROKS",IF($F80="À décommissionner",IF(AE$8&lt;$AS80,"IKS","Décom."),IF(OR($AQ80="",$AS80=""),"",IF(AE$8&lt;$AQ80,"IKS",IF(AE$8&lt;$AS80,IF(AE$8=$AR80,"Bascule","Double run"),"ROKS"))))))</f>
        <v/>
      </c>
      <c r="AF80" s="51" t="str">
        <f aca="false">IF(OR($A80="",AF$8=""),"",IF($F80="Migré","ROKS",IF($F80="À décommissionner",IF(AF$8&lt;$AS80,"IKS","Décom."),IF(OR($AQ80="",$AS80=""),"",IF(AF$8&lt;$AQ80,"IKS",IF(AF$8&lt;$AS80,IF(AF$8=$AR80,"Bascule","Double run"),"ROKS"))))))</f>
        <v/>
      </c>
      <c r="AG80" s="51" t="str">
        <f aca="false">IF(OR($A80="",AG$8=""),"",IF($F80="Migré","ROKS",IF($F80="À décommissionner",IF(AG$8&lt;$AS80,"IKS","Décom."),IF(OR($AQ80="",$AS80=""),"",IF(AG$8&lt;$AQ80,"IKS",IF(AG$8&lt;$AS80,IF(AG$8=$AR80,"Bascule","Double run"),"ROKS"))))))</f>
        <v/>
      </c>
      <c r="AH80" s="51" t="str">
        <f aca="false">IF(OR($A80="",AH$8=""),"",IF($F80="Migré","ROKS",IF($F80="À décommissionner",IF(AH$8&lt;$AS80,"IKS","Décom."),IF(OR($AQ80="",$AS80=""),"",IF(AH$8&lt;$AQ80,"IKS",IF(AH$8&lt;$AS80,IF(AH$8=$AR80,"Bascule","Double run"),"ROKS"))))))</f>
        <v/>
      </c>
      <c r="AI80" s="51" t="str">
        <f aca="false">IF(OR($A80="",AI$8=""),"",IF($F80="Migré","ROKS",IF($F80="À décommissionner",IF(AI$8&lt;$AS80,"IKS","Décom."),IF(OR($AQ80="",$AS80=""),"",IF(AI$8&lt;$AQ80,"IKS",IF(AI$8&lt;$AS80,IF(AI$8=$AR80,"Bascule","Double run"),"ROKS"))))))</f>
        <v/>
      </c>
      <c r="AJ80" s="51" t="str">
        <f aca="false">IF(OR($A80="",AJ$8=""),"",IF($F80="Migré","ROKS",IF($F80="À décommissionner",IF(AJ$8&lt;$AS80,"IKS","Décom."),IF(OR($AQ80="",$AS80=""),"",IF(AJ$8&lt;$AQ80,"IKS",IF(AJ$8&lt;$AS80,IF(AJ$8=$AR80,"Bascule","Double run"),"ROKS"))))))</f>
        <v/>
      </c>
      <c r="AK80" s="51" t="str">
        <f aca="false">IF(OR($A80="",AK$8=""),"",IF($F80="Migré","ROKS",IF($F80="À décommissionner",IF(AK$8&lt;$AS80,"IKS","Décom."),IF(OR($AQ80="",$AS80=""),"",IF(AK$8&lt;$AQ80,"IKS",IF(AK$8&lt;$AS80,IF(AK$8=$AR80,"Bascule","Double run"),"ROKS"))))))</f>
        <v/>
      </c>
      <c r="AL80" s="51" t="str">
        <f aca="false">IF(OR($A80="",AL$8=""),"",IF($F80="Migré","ROKS",IF($F80="À décommissionner",IF(AL$8&lt;$AS80,"IKS","Décom."),IF(OR($AQ80="",$AS80=""),"",IF(AL$8&lt;$AQ80,"IKS",IF(AL$8&lt;$AS80,IF(AL$8=$AR80,"Bascule","Double run"),"ROKS"))))))</f>
        <v/>
      </c>
      <c r="AM80" s="51" t="str">
        <f aca="false">IF(OR($A80="",AM$8=""),"",IF($F80="Migré","ROKS",IF($F80="À décommissionner",IF(AM$8&lt;$AS80,"IKS","Décom."),IF(OR($AQ80="",$AS80=""),"",IF(AM$8&lt;$AQ80,"IKS",IF(AM$8&lt;$AS80,IF(AM$8=$AR80,"Bascule","Double run"),"ROKS"))))))</f>
        <v/>
      </c>
      <c r="AN80" s="51" t="str">
        <f aca="false">IF(OR($A80="",AN$8=""),"",IF($F80="Migré","ROKS",IF($F80="À décommissionner",IF(AN$8&lt;$AS80,"IKS","Décom."),IF(OR($AQ80="",$AS80=""),"",IF(AN$8&lt;$AQ80,"IKS",IF(AN$8&lt;$AS80,IF(AN$8=$AR80,"Bascule","Double run"),"ROKS"))))))</f>
        <v/>
      </c>
      <c r="AO80" s="51" t="str">
        <f aca="false">IF(OR($A80="",AO$8=""),"",IF($F80="Migré","ROKS",IF($F80="À décommissionner",IF(AO$8&lt;$AS80,"IKS","Décom."),IF(OR($AQ80="",$AS80=""),"",IF(AO$8&lt;$AQ80,"IKS",IF(AO$8&lt;$AS80,IF(AO$8=$AR80,"Bascule","Double run"),"ROKS"))))))</f>
        <v/>
      </c>
      <c r="AP80" s="51" t="str">
        <f aca="false">IF(OR($A80="",AP$8=""),"",IF($F80="Migré","ROKS",IF($F80="À décommissionner",IF(AP$8&lt;$AS80,"IKS","Décom."),IF(OR($AQ80="",$AS80=""),"",IF(AP$8&lt;$AQ80,"IKS",IF(AP$8&lt;$AS80,IF(AP$8=$AR80,"Bascule","Double run"),"ROKS"))))))</f>
        <v/>
      </c>
      <c r="AQ80" s="0" t="str">
        <f aca="false">IF($A80="","",INDEX(TblApplications[Mois prov (calc)],$A80))</f>
        <v/>
      </c>
      <c r="AR80" s="0" t="str">
        <f aca="false">IF($A80="","",IFERROR(DATE(YEAR(INDEX(TblApplications[Mois bascule],$A80)),MONTH(INDEX(TblApplications[Mois bascule],$A80)),1),""))</f>
        <v/>
      </c>
      <c r="AS80" s="0" t="str">
        <f aca="false">IF($A80="","",INDEX(TblApplications[Mois lib (calc)],$A80))</f>
        <v/>
      </c>
    </row>
    <row r="81" customFormat="false" ht="15" hidden="false" customHeight="false" outlineLevel="0" collapsed="false">
      <c r="A81" s="49" t="str">
        <f aca="false">IFERROR(MATCH(73,TblApplications[Rang frise],0),"")</f>
        <v/>
      </c>
      <c r="B81" s="50" t="str">
        <f aca="false">IF($A81="","",INDEX(TblApplications[ID],$A81))</f>
        <v/>
      </c>
      <c r="C81" s="50" t="str">
        <f aca="false">IF($A81="","",INDEX(TblApplications[Application],$A81))</f>
        <v/>
      </c>
      <c r="D81" s="50" t="str">
        <f aca="false">IF($A81="","",INDEX(TblApplications[Environnement],$A81))</f>
        <v/>
      </c>
      <c r="E81" s="50" t="str">
        <f aca="false">IF($A81="","",INDEX(TblApplications[Couloir],$A81))</f>
        <v/>
      </c>
      <c r="F81" s="50" t="str">
        <f aca="false">IF($A81="","",INDEX(TblApplications[Action],$A81))</f>
        <v/>
      </c>
      <c r="G81" s="51" t="str">
        <f aca="false">IF(OR($A81="",G$8=""),"",IF($F81="Migré","ROKS",IF($F81="À décommissionner",IF(G$8&lt;$AS81,"IKS","Décom."),IF(OR($AQ81="",$AS81=""),"",IF(G$8&lt;$AQ81,"IKS",IF(G$8&lt;$AS81,IF(G$8=$AR81,"Bascule","Double run"),"ROKS"))))))</f>
        <v/>
      </c>
      <c r="H81" s="51" t="str">
        <f aca="false">IF(OR($A81="",H$8=""),"",IF($F81="Migré","ROKS",IF($F81="À décommissionner",IF(H$8&lt;$AS81,"IKS","Décom."),IF(OR($AQ81="",$AS81=""),"",IF(H$8&lt;$AQ81,"IKS",IF(H$8&lt;$AS81,IF(H$8=$AR81,"Bascule","Double run"),"ROKS"))))))</f>
        <v/>
      </c>
      <c r="I81" s="51" t="str">
        <f aca="false">IF(OR($A81="",I$8=""),"",IF($F81="Migré","ROKS",IF($F81="À décommissionner",IF(I$8&lt;$AS81,"IKS","Décom."),IF(OR($AQ81="",$AS81=""),"",IF(I$8&lt;$AQ81,"IKS",IF(I$8&lt;$AS81,IF(I$8=$AR81,"Bascule","Double run"),"ROKS"))))))</f>
        <v/>
      </c>
      <c r="J81" s="51" t="str">
        <f aca="false">IF(OR($A81="",J$8=""),"",IF($F81="Migré","ROKS",IF($F81="À décommissionner",IF(J$8&lt;$AS81,"IKS","Décom."),IF(OR($AQ81="",$AS81=""),"",IF(J$8&lt;$AQ81,"IKS",IF(J$8&lt;$AS81,IF(J$8=$AR81,"Bascule","Double run"),"ROKS"))))))</f>
        <v/>
      </c>
      <c r="K81" s="51" t="str">
        <f aca="false">IF(OR($A81="",K$8=""),"",IF($F81="Migré","ROKS",IF($F81="À décommissionner",IF(K$8&lt;$AS81,"IKS","Décom."),IF(OR($AQ81="",$AS81=""),"",IF(K$8&lt;$AQ81,"IKS",IF(K$8&lt;$AS81,IF(K$8=$AR81,"Bascule","Double run"),"ROKS"))))))</f>
        <v/>
      </c>
      <c r="L81" s="51" t="str">
        <f aca="false">IF(OR($A81="",L$8=""),"",IF($F81="Migré","ROKS",IF($F81="À décommissionner",IF(L$8&lt;$AS81,"IKS","Décom."),IF(OR($AQ81="",$AS81=""),"",IF(L$8&lt;$AQ81,"IKS",IF(L$8&lt;$AS81,IF(L$8=$AR81,"Bascule","Double run"),"ROKS"))))))</f>
        <v/>
      </c>
      <c r="M81" s="51" t="str">
        <f aca="false">IF(OR($A81="",M$8=""),"",IF($F81="Migré","ROKS",IF($F81="À décommissionner",IF(M$8&lt;$AS81,"IKS","Décom."),IF(OR($AQ81="",$AS81=""),"",IF(M$8&lt;$AQ81,"IKS",IF(M$8&lt;$AS81,IF(M$8=$AR81,"Bascule","Double run"),"ROKS"))))))</f>
        <v/>
      </c>
      <c r="N81" s="51" t="str">
        <f aca="false">IF(OR($A81="",N$8=""),"",IF($F81="Migré","ROKS",IF($F81="À décommissionner",IF(N$8&lt;$AS81,"IKS","Décom."),IF(OR($AQ81="",$AS81=""),"",IF(N$8&lt;$AQ81,"IKS",IF(N$8&lt;$AS81,IF(N$8=$AR81,"Bascule","Double run"),"ROKS"))))))</f>
        <v/>
      </c>
      <c r="O81" s="51" t="str">
        <f aca="false">IF(OR($A81="",O$8=""),"",IF($F81="Migré","ROKS",IF($F81="À décommissionner",IF(O$8&lt;$AS81,"IKS","Décom."),IF(OR($AQ81="",$AS81=""),"",IF(O$8&lt;$AQ81,"IKS",IF(O$8&lt;$AS81,IF(O$8=$AR81,"Bascule","Double run"),"ROKS"))))))</f>
        <v/>
      </c>
      <c r="P81" s="51" t="str">
        <f aca="false">IF(OR($A81="",P$8=""),"",IF($F81="Migré","ROKS",IF($F81="À décommissionner",IF(P$8&lt;$AS81,"IKS","Décom."),IF(OR($AQ81="",$AS81=""),"",IF(P$8&lt;$AQ81,"IKS",IF(P$8&lt;$AS81,IF(P$8=$AR81,"Bascule","Double run"),"ROKS"))))))</f>
        <v/>
      </c>
      <c r="Q81" s="51" t="str">
        <f aca="false">IF(OR($A81="",Q$8=""),"",IF($F81="Migré","ROKS",IF($F81="À décommissionner",IF(Q$8&lt;$AS81,"IKS","Décom."),IF(OR($AQ81="",$AS81=""),"",IF(Q$8&lt;$AQ81,"IKS",IF(Q$8&lt;$AS81,IF(Q$8=$AR81,"Bascule","Double run"),"ROKS"))))))</f>
        <v/>
      </c>
      <c r="R81" s="51" t="str">
        <f aca="false">IF(OR($A81="",R$8=""),"",IF($F81="Migré","ROKS",IF($F81="À décommissionner",IF(R$8&lt;$AS81,"IKS","Décom."),IF(OR($AQ81="",$AS81=""),"",IF(R$8&lt;$AQ81,"IKS",IF(R$8&lt;$AS81,IF(R$8=$AR81,"Bascule","Double run"),"ROKS"))))))</f>
        <v/>
      </c>
      <c r="S81" s="51" t="str">
        <f aca="false">IF(OR($A81="",S$8=""),"",IF($F81="Migré","ROKS",IF($F81="À décommissionner",IF(S$8&lt;$AS81,"IKS","Décom."),IF(OR($AQ81="",$AS81=""),"",IF(S$8&lt;$AQ81,"IKS",IF(S$8&lt;$AS81,IF(S$8=$AR81,"Bascule","Double run"),"ROKS"))))))</f>
        <v/>
      </c>
      <c r="T81" s="51" t="str">
        <f aca="false">IF(OR($A81="",T$8=""),"",IF($F81="Migré","ROKS",IF($F81="À décommissionner",IF(T$8&lt;$AS81,"IKS","Décom."),IF(OR($AQ81="",$AS81=""),"",IF(T$8&lt;$AQ81,"IKS",IF(T$8&lt;$AS81,IF(T$8=$AR81,"Bascule","Double run"),"ROKS"))))))</f>
        <v/>
      </c>
      <c r="U81" s="51" t="str">
        <f aca="false">IF(OR($A81="",U$8=""),"",IF($F81="Migré","ROKS",IF($F81="À décommissionner",IF(U$8&lt;$AS81,"IKS","Décom."),IF(OR($AQ81="",$AS81=""),"",IF(U$8&lt;$AQ81,"IKS",IF(U$8&lt;$AS81,IF(U$8=$AR81,"Bascule","Double run"),"ROKS"))))))</f>
        <v/>
      </c>
      <c r="V81" s="51" t="str">
        <f aca="false">IF(OR($A81="",V$8=""),"",IF($F81="Migré","ROKS",IF($F81="À décommissionner",IF(V$8&lt;$AS81,"IKS","Décom."),IF(OR($AQ81="",$AS81=""),"",IF(V$8&lt;$AQ81,"IKS",IF(V$8&lt;$AS81,IF(V$8=$AR81,"Bascule","Double run"),"ROKS"))))))</f>
        <v/>
      </c>
      <c r="W81" s="51" t="str">
        <f aca="false">IF(OR($A81="",W$8=""),"",IF($F81="Migré","ROKS",IF($F81="À décommissionner",IF(W$8&lt;$AS81,"IKS","Décom."),IF(OR($AQ81="",$AS81=""),"",IF(W$8&lt;$AQ81,"IKS",IF(W$8&lt;$AS81,IF(W$8=$AR81,"Bascule","Double run"),"ROKS"))))))</f>
        <v/>
      </c>
      <c r="X81" s="51" t="str">
        <f aca="false">IF(OR($A81="",X$8=""),"",IF($F81="Migré","ROKS",IF($F81="À décommissionner",IF(X$8&lt;$AS81,"IKS","Décom."),IF(OR($AQ81="",$AS81=""),"",IF(X$8&lt;$AQ81,"IKS",IF(X$8&lt;$AS81,IF(X$8=$AR81,"Bascule","Double run"),"ROKS"))))))</f>
        <v/>
      </c>
      <c r="Y81" s="51" t="str">
        <f aca="false">IF(OR($A81="",Y$8=""),"",IF($F81="Migré","ROKS",IF($F81="À décommissionner",IF(Y$8&lt;$AS81,"IKS","Décom."),IF(OR($AQ81="",$AS81=""),"",IF(Y$8&lt;$AQ81,"IKS",IF(Y$8&lt;$AS81,IF(Y$8=$AR81,"Bascule","Double run"),"ROKS"))))))</f>
        <v/>
      </c>
      <c r="Z81" s="51" t="str">
        <f aca="false">IF(OR($A81="",Z$8=""),"",IF($F81="Migré","ROKS",IF($F81="À décommissionner",IF(Z$8&lt;$AS81,"IKS","Décom."),IF(OR($AQ81="",$AS81=""),"",IF(Z$8&lt;$AQ81,"IKS",IF(Z$8&lt;$AS81,IF(Z$8=$AR81,"Bascule","Double run"),"ROKS"))))))</f>
        <v/>
      </c>
      <c r="AA81" s="51" t="str">
        <f aca="false">IF(OR($A81="",AA$8=""),"",IF($F81="Migré","ROKS",IF($F81="À décommissionner",IF(AA$8&lt;$AS81,"IKS","Décom."),IF(OR($AQ81="",$AS81=""),"",IF(AA$8&lt;$AQ81,"IKS",IF(AA$8&lt;$AS81,IF(AA$8=$AR81,"Bascule","Double run"),"ROKS"))))))</f>
        <v/>
      </c>
      <c r="AB81" s="51" t="str">
        <f aca="false">IF(OR($A81="",AB$8=""),"",IF($F81="Migré","ROKS",IF($F81="À décommissionner",IF(AB$8&lt;$AS81,"IKS","Décom."),IF(OR($AQ81="",$AS81=""),"",IF(AB$8&lt;$AQ81,"IKS",IF(AB$8&lt;$AS81,IF(AB$8=$AR81,"Bascule","Double run"),"ROKS"))))))</f>
        <v/>
      </c>
      <c r="AC81" s="51" t="str">
        <f aca="false">IF(OR($A81="",AC$8=""),"",IF($F81="Migré","ROKS",IF($F81="À décommissionner",IF(AC$8&lt;$AS81,"IKS","Décom."),IF(OR($AQ81="",$AS81=""),"",IF(AC$8&lt;$AQ81,"IKS",IF(AC$8&lt;$AS81,IF(AC$8=$AR81,"Bascule","Double run"),"ROKS"))))))</f>
        <v/>
      </c>
      <c r="AD81" s="51" t="str">
        <f aca="false">IF(OR($A81="",AD$8=""),"",IF($F81="Migré","ROKS",IF($F81="À décommissionner",IF(AD$8&lt;$AS81,"IKS","Décom."),IF(OR($AQ81="",$AS81=""),"",IF(AD$8&lt;$AQ81,"IKS",IF(AD$8&lt;$AS81,IF(AD$8=$AR81,"Bascule","Double run"),"ROKS"))))))</f>
        <v/>
      </c>
      <c r="AE81" s="51" t="str">
        <f aca="false">IF(OR($A81="",AE$8=""),"",IF($F81="Migré","ROKS",IF($F81="À décommissionner",IF(AE$8&lt;$AS81,"IKS","Décom."),IF(OR($AQ81="",$AS81=""),"",IF(AE$8&lt;$AQ81,"IKS",IF(AE$8&lt;$AS81,IF(AE$8=$AR81,"Bascule","Double run"),"ROKS"))))))</f>
        <v/>
      </c>
      <c r="AF81" s="51" t="str">
        <f aca="false">IF(OR($A81="",AF$8=""),"",IF($F81="Migré","ROKS",IF($F81="À décommissionner",IF(AF$8&lt;$AS81,"IKS","Décom."),IF(OR($AQ81="",$AS81=""),"",IF(AF$8&lt;$AQ81,"IKS",IF(AF$8&lt;$AS81,IF(AF$8=$AR81,"Bascule","Double run"),"ROKS"))))))</f>
        <v/>
      </c>
      <c r="AG81" s="51" t="str">
        <f aca="false">IF(OR($A81="",AG$8=""),"",IF($F81="Migré","ROKS",IF($F81="À décommissionner",IF(AG$8&lt;$AS81,"IKS","Décom."),IF(OR($AQ81="",$AS81=""),"",IF(AG$8&lt;$AQ81,"IKS",IF(AG$8&lt;$AS81,IF(AG$8=$AR81,"Bascule","Double run"),"ROKS"))))))</f>
        <v/>
      </c>
      <c r="AH81" s="51" t="str">
        <f aca="false">IF(OR($A81="",AH$8=""),"",IF($F81="Migré","ROKS",IF($F81="À décommissionner",IF(AH$8&lt;$AS81,"IKS","Décom."),IF(OR($AQ81="",$AS81=""),"",IF(AH$8&lt;$AQ81,"IKS",IF(AH$8&lt;$AS81,IF(AH$8=$AR81,"Bascule","Double run"),"ROKS"))))))</f>
        <v/>
      </c>
      <c r="AI81" s="51" t="str">
        <f aca="false">IF(OR($A81="",AI$8=""),"",IF($F81="Migré","ROKS",IF($F81="À décommissionner",IF(AI$8&lt;$AS81,"IKS","Décom."),IF(OR($AQ81="",$AS81=""),"",IF(AI$8&lt;$AQ81,"IKS",IF(AI$8&lt;$AS81,IF(AI$8=$AR81,"Bascule","Double run"),"ROKS"))))))</f>
        <v/>
      </c>
      <c r="AJ81" s="51" t="str">
        <f aca="false">IF(OR($A81="",AJ$8=""),"",IF($F81="Migré","ROKS",IF($F81="À décommissionner",IF(AJ$8&lt;$AS81,"IKS","Décom."),IF(OR($AQ81="",$AS81=""),"",IF(AJ$8&lt;$AQ81,"IKS",IF(AJ$8&lt;$AS81,IF(AJ$8=$AR81,"Bascule","Double run"),"ROKS"))))))</f>
        <v/>
      </c>
      <c r="AK81" s="51" t="str">
        <f aca="false">IF(OR($A81="",AK$8=""),"",IF($F81="Migré","ROKS",IF($F81="À décommissionner",IF(AK$8&lt;$AS81,"IKS","Décom."),IF(OR($AQ81="",$AS81=""),"",IF(AK$8&lt;$AQ81,"IKS",IF(AK$8&lt;$AS81,IF(AK$8=$AR81,"Bascule","Double run"),"ROKS"))))))</f>
        <v/>
      </c>
      <c r="AL81" s="51" t="str">
        <f aca="false">IF(OR($A81="",AL$8=""),"",IF($F81="Migré","ROKS",IF($F81="À décommissionner",IF(AL$8&lt;$AS81,"IKS","Décom."),IF(OR($AQ81="",$AS81=""),"",IF(AL$8&lt;$AQ81,"IKS",IF(AL$8&lt;$AS81,IF(AL$8=$AR81,"Bascule","Double run"),"ROKS"))))))</f>
        <v/>
      </c>
      <c r="AM81" s="51" t="str">
        <f aca="false">IF(OR($A81="",AM$8=""),"",IF($F81="Migré","ROKS",IF($F81="À décommissionner",IF(AM$8&lt;$AS81,"IKS","Décom."),IF(OR($AQ81="",$AS81=""),"",IF(AM$8&lt;$AQ81,"IKS",IF(AM$8&lt;$AS81,IF(AM$8=$AR81,"Bascule","Double run"),"ROKS"))))))</f>
        <v/>
      </c>
      <c r="AN81" s="51" t="str">
        <f aca="false">IF(OR($A81="",AN$8=""),"",IF($F81="Migré","ROKS",IF($F81="À décommissionner",IF(AN$8&lt;$AS81,"IKS","Décom."),IF(OR($AQ81="",$AS81=""),"",IF(AN$8&lt;$AQ81,"IKS",IF(AN$8&lt;$AS81,IF(AN$8=$AR81,"Bascule","Double run"),"ROKS"))))))</f>
        <v/>
      </c>
      <c r="AO81" s="51" t="str">
        <f aca="false">IF(OR($A81="",AO$8=""),"",IF($F81="Migré","ROKS",IF($F81="À décommissionner",IF(AO$8&lt;$AS81,"IKS","Décom."),IF(OR($AQ81="",$AS81=""),"",IF(AO$8&lt;$AQ81,"IKS",IF(AO$8&lt;$AS81,IF(AO$8=$AR81,"Bascule","Double run"),"ROKS"))))))</f>
        <v/>
      </c>
      <c r="AP81" s="51" t="str">
        <f aca="false">IF(OR($A81="",AP$8=""),"",IF($F81="Migré","ROKS",IF($F81="À décommissionner",IF(AP$8&lt;$AS81,"IKS","Décom."),IF(OR($AQ81="",$AS81=""),"",IF(AP$8&lt;$AQ81,"IKS",IF(AP$8&lt;$AS81,IF(AP$8=$AR81,"Bascule","Double run"),"ROKS"))))))</f>
        <v/>
      </c>
      <c r="AQ81" s="0" t="str">
        <f aca="false">IF($A81="","",INDEX(TblApplications[Mois prov (calc)],$A81))</f>
        <v/>
      </c>
      <c r="AR81" s="0" t="str">
        <f aca="false">IF($A81="","",IFERROR(DATE(YEAR(INDEX(TblApplications[Mois bascule],$A81)),MONTH(INDEX(TblApplications[Mois bascule],$A81)),1),""))</f>
        <v/>
      </c>
      <c r="AS81" s="0" t="str">
        <f aca="false">IF($A81="","",INDEX(TblApplications[Mois lib (calc)],$A81))</f>
        <v/>
      </c>
    </row>
    <row r="82" customFormat="false" ht="15" hidden="false" customHeight="false" outlineLevel="0" collapsed="false">
      <c r="A82" s="49" t="str">
        <f aca="false">IFERROR(MATCH(74,TblApplications[Rang frise],0),"")</f>
        <v/>
      </c>
      <c r="B82" s="50" t="str">
        <f aca="false">IF($A82="","",INDEX(TblApplications[ID],$A82))</f>
        <v/>
      </c>
      <c r="C82" s="50" t="str">
        <f aca="false">IF($A82="","",INDEX(TblApplications[Application],$A82))</f>
        <v/>
      </c>
      <c r="D82" s="50" t="str">
        <f aca="false">IF($A82="","",INDEX(TblApplications[Environnement],$A82))</f>
        <v/>
      </c>
      <c r="E82" s="50" t="str">
        <f aca="false">IF($A82="","",INDEX(TblApplications[Couloir],$A82))</f>
        <v/>
      </c>
      <c r="F82" s="50" t="str">
        <f aca="false">IF($A82="","",INDEX(TblApplications[Action],$A82))</f>
        <v/>
      </c>
      <c r="G82" s="51" t="str">
        <f aca="false">IF(OR($A82="",G$8=""),"",IF($F82="Migré","ROKS",IF($F82="À décommissionner",IF(G$8&lt;$AS82,"IKS","Décom."),IF(OR($AQ82="",$AS82=""),"",IF(G$8&lt;$AQ82,"IKS",IF(G$8&lt;$AS82,IF(G$8=$AR82,"Bascule","Double run"),"ROKS"))))))</f>
        <v/>
      </c>
      <c r="H82" s="51" t="str">
        <f aca="false">IF(OR($A82="",H$8=""),"",IF($F82="Migré","ROKS",IF($F82="À décommissionner",IF(H$8&lt;$AS82,"IKS","Décom."),IF(OR($AQ82="",$AS82=""),"",IF(H$8&lt;$AQ82,"IKS",IF(H$8&lt;$AS82,IF(H$8=$AR82,"Bascule","Double run"),"ROKS"))))))</f>
        <v/>
      </c>
      <c r="I82" s="51" t="str">
        <f aca="false">IF(OR($A82="",I$8=""),"",IF($F82="Migré","ROKS",IF($F82="À décommissionner",IF(I$8&lt;$AS82,"IKS","Décom."),IF(OR($AQ82="",$AS82=""),"",IF(I$8&lt;$AQ82,"IKS",IF(I$8&lt;$AS82,IF(I$8=$AR82,"Bascule","Double run"),"ROKS"))))))</f>
        <v/>
      </c>
      <c r="J82" s="51" t="str">
        <f aca="false">IF(OR($A82="",J$8=""),"",IF($F82="Migré","ROKS",IF($F82="À décommissionner",IF(J$8&lt;$AS82,"IKS","Décom."),IF(OR($AQ82="",$AS82=""),"",IF(J$8&lt;$AQ82,"IKS",IF(J$8&lt;$AS82,IF(J$8=$AR82,"Bascule","Double run"),"ROKS"))))))</f>
        <v/>
      </c>
      <c r="K82" s="51" t="str">
        <f aca="false">IF(OR($A82="",K$8=""),"",IF($F82="Migré","ROKS",IF($F82="À décommissionner",IF(K$8&lt;$AS82,"IKS","Décom."),IF(OR($AQ82="",$AS82=""),"",IF(K$8&lt;$AQ82,"IKS",IF(K$8&lt;$AS82,IF(K$8=$AR82,"Bascule","Double run"),"ROKS"))))))</f>
        <v/>
      </c>
      <c r="L82" s="51" t="str">
        <f aca="false">IF(OR($A82="",L$8=""),"",IF($F82="Migré","ROKS",IF($F82="À décommissionner",IF(L$8&lt;$AS82,"IKS","Décom."),IF(OR($AQ82="",$AS82=""),"",IF(L$8&lt;$AQ82,"IKS",IF(L$8&lt;$AS82,IF(L$8=$AR82,"Bascule","Double run"),"ROKS"))))))</f>
        <v/>
      </c>
      <c r="M82" s="51" t="str">
        <f aca="false">IF(OR($A82="",M$8=""),"",IF($F82="Migré","ROKS",IF($F82="À décommissionner",IF(M$8&lt;$AS82,"IKS","Décom."),IF(OR($AQ82="",$AS82=""),"",IF(M$8&lt;$AQ82,"IKS",IF(M$8&lt;$AS82,IF(M$8=$AR82,"Bascule","Double run"),"ROKS"))))))</f>
        <v/>
      </c>
      <c r="N82" s="51" t="str">
        <f aca="false">IF(OR($A82="",N$8=""),"",IF($F82="Migré","ROKS",IF($F82="À décommissionner",IF(N$8&lt;$AS82,"IKS","Décom."),IF(OR($AQ82="",$AS82=""),"",IF(N$8&lt;$AQ82,"IKS",IF(N$8&lt;$AS82,IF(N$8=$AR82,"Bascule","Double run"),"ROKS"))))))</f>
        <v/>
      </c>
      <c r="O82" s="51" t="str">
        <f aca="false">IF(OR($A82="",O$8=""),"",IF($F82="Migré","ROKS",IF($F82="À décommissionner",IF(O$8&lt;$AS82,"IKS","Décom."),IF(OR($AQ82="",$AS82=""),"",IF(O$8&lt;$AQ82,"IKS",IF(O$8&lt;$AS82,IF(O$8=$AR82,"Bascule","Double run"),"ROKS"))))))</f>
        <v/>
      </c>
      <c r="P82" s="51" t="str">
        <f aca="false">IF(OR($A82="",P$8=""),"",IF($F82="Migré","ROKS",IF($F82="À décommissionner",IF(P$8&lt;$AS82,"IKS","Décom."),IF(OR($AQ82="",$AS82=""),"",IF(P$8&lt;$AQ82,"IKS",IF(P$8&lt;$AS82,IF(P$8=$AR82,"Bascule","Double run"),"ROKS"))))))</f>
        <v/>
      </c>
      <c r="Q82" s="51" t="str">
        <f aca="false">IF(OR($A82="",Q$8=""),"",IF($F82="Migré","ROKS",IF($F82="À décommissionner",IF(Q$8&lt;$AS82,"IKS","Décom."),IF(OR($AQ82="",$AS82=""),"",IF(Q$8&lt;$AQ82,"IKS",IF(Q$8&lt;$AS82,IF(Q$8=$AR82,"Bascule","Double run"),"ROKS"))))))</f>
        <v/>
      </c>
      <c r="R82" s="51" t="str">
        <f aca="false">IF(OR($A82="",R$8=""),"",IF($F82="Migré","ROKS",IF($F82="À décommissionner",IF(R$8&lt;$AS82,"IKS","Décom."),IF(OR($AQ82="",$AS82=""),"",IF(R$8&lt;$AQ82,"IKS",IF(R$8&lt;$AS82,IF(R$8=$AR82,"Bascule","Double run"),"ROKS"))))))</f>
        <v/>
      </c>
      <c r="S82" s="51" t="str">
        <f aca="false">IF(OR($A82="",S$8=""),"",IF($F82="Migré","ROKS",IF($F82="À décommissionner",IF(S$8&lt;$AS82,"IKS","Décom."),IF(OR($AQ82="",$AS82=""),"",IF(S$8&lt;$AQ82,"IKS",IF(S$8&lt;$AS82,IF(S$8=$AR82,"Bascule","Double run"),"ROKS"))))))</f>
        <v/>
      </c>
      <c r="T82" s="51" t="str">
        <f aca="false">IF(OR($A82="",T$8=""),"",IF($F82="Migré","ROKS",IF($F82="À décommissionner",IF(T$8&lt;$AS82,"IKS","Décom."),IF(OR($AQ82="",$AS82=""),"",IF(T$8&lt;$AQ82,"IKS",IF(T$8&lt;$AS82,IF(T$8=$AR82,"Bascule","Double run"),"ROKS"))))))</f>
        <v/>
      </c>
      <c r="U82" s="51" t="str">
        <f aca="false">IF(OR($A82="",U$8=""),"",IF($F82="Migré","ROKS",IF($F82="À décommissionner",IF(U$8&lt;$AS82,"IKS","Décom."),IF(OR($AQ82="",$AS82=""),"",IF(U$8&lt;$AQ82,"IKS",IF(U$8&lt;$AS82,IF(U$8=$AR82,"Bascule","Double run"),"ROKS"))))))</f>
        <v/>
      </c>
      <c r="V82" s="51" t="str">
        <f aca="false">IF(OR($A82="",V$8=""),"",IF($F82="Migré","ROKS",IF($F82="À décommissionner",IF(V$8&lt;$AS82,"IKS","Décom."),IF(OR($AQ82="",$AS82=""),"",IF(V$8&lt;$AQ82,"IKS",IF(V$8&lt;$AS82,IF(V$8=$AR82,"Bascule","Double run"),"ROKS"))))))</f>
        <v/>
      </c>
      <c r="W82" s="51" t="str">
        <f aca="false">IF(OR($A82="",W$8=""),"",IF($F82="Migré","ROKS",IF($F82="À décommissionner",IF(W$8&lt;$AS82,"IKS","Décom."),IF(OR($AQ82="",$AS82=""),"",IF(W$8&lt;$AQ82,"IKS",IF(W$8&lt;$AS82,IF(W$8=$AR82,"Bascule","Double run"),"ROKS"))))))</f>
        <v/>
      </c>
      <c r="X82" s="51" t="str">
        <f aca="false">IF(OR($A82="",X$8=""),"",IF($F82="Migré","ROKS",IF($F82="À décommissionner",IF(X$8&lt;$AS82,"IKS","Décom."),IF(OR($AQ82="",$AS82=""),"",IF(X$8&lt;$AQ82,"IKS",IF(X$8&lt;$AS82,IF(X$8=$AR82,"Bascule","Double run"),"ROKS"))))))</f>
        <v/>
      </c>
      <c r="Y82" s="51" t="str">
        <f aca="false">IF(OR($A82="",Y$8=""),"",IF($F82="Migré","ROKS",IF($F82="À décommissionner",IF(Y$8&lt;$AS82,"IKS","Décom."),IF(OR($AQ82="",$AS82=""),"",IF(Y$8&lt;$AQ82,"IKS",IF(Y$8&lt;$AS82,IF(Y$8=$AR82,"Bascule","Double run"),"ROKS"))))))</f>
        <v/>
      </c>
      <c r="Z82" s="51" t="str">
        <f aca="false">IF(OR($A82="",Z$8=""),"",IF($F82="Migré","ROKS",IF($F82="À décommissionner",IF(Z$8&lt;$AS82,"IKS","Décom."),IF(OR($AQ82="",$AS82=""),"",IF(Z$8&lt;$AQ82,"IKS",IF(Z$8&lt;$AS82,IF(Z$8=$AR82,"Bascule","Double run"),"ROKS"))))))</f>
        <v/>
      </c>
      <c r="AA82" s="51" t="str">
        <f aca="false">IF(OR($A82="",AA$8=""),"",IF($F82="Migré","ROKS",IF($F82="À décommissionner",IF(AA$8&lt;$AS82,"IKS","Décom."),IF(OR($AQ82="",$AS82=""),"",IF(AA$8&lt;$AQ82,"IKS",IF(AA$8&lt;$AS82,IF(AA$8=$AR82,"Bascule","Double run"),"ROKS"))))))</f>
        <v/>
      </c>
      <c r="AB82" s="51" t="str">
        <f aca="false">IF(OR($A82="",AB$8=""),"",IF($F82="Migré","ROKS",IF($F82="À décommissionner",IF(AB$8&lt;$AS82,"IKS","Décom."),IF(OR($AQ82="",$AS82=""),"",IF(AB$8&lt;$AQ82,"IKS",IF(AB$8&lt;$AS82,IF(AB$8=$AR82,"Bascule","Double run"),"ROKS"))))))</f>
        <v/>
      </c>
      <c r="AC82" s="51" t="str">
        <f aca="false">IF(OR($A82="",AC$8=""),"",IF($F82="Migré","ROKS",IF($F82="À décommissionner",IF(AC$8&lt;$AS82,"IKS","Décom."),IF(OR($AQ82="",$AS82=""),"",IF(AC$8&lt;$AQ82,"IKS",IF(AC$8&lt;$AS82,IF(AC$8=$AR82,"Bascule","Double run"),"ROKS"))))))</f>
        <v/>
      </c>
      <c r="AD82" s="51" t="str">
        <f aca="false">IF(OR($A82="",AD$8=""),"",IF($F82="Migré","ROKS",IF($F82="À décommissionner",IF(AD$8&lt;$AS82,"IKS","Décom."),IF(OR($AQ82="",$AS82=""),"",IF(AD$8&lt;$AQ82,"IKS",IF(AD$8&lt;$AS82,IF(AD$8=$AR82,"Bascule","Double run"),"ROKS"))))))</f>
        <v/>
      </c>
      <c r="AE82" s="51" t="str">
        <f aca="false">IF(OR($A82="",AE$8=""),"",IF($F82="Migré","ROKS",IF($F82="À décommissionner",IF(AE$8&lt;$AS82,"IKS","Décom."),IF(OR($AQ82="",$AS82=""),"",IF(AE$8&lt;$AQ82,"IKS",IF(AE$8&lt;$AS82,IF(AE$8=$AR82,"Bascule","Double run"),"ROKS"))))))</f>
        <v/>
      </c>
      <c r="AF82" s="51" t="str">
        <f aca="false">IF(OR($A82="",AF$8=""),"",IF($F82="Migré","ROKS",IF($F82="À décommissionner",IF(AF$8&lt;$AS82,"IKS","Décom."),IF(OR($AQ82="",$AS82=""),"",IF(AF$8&lt;$AQ82,"IKS",IF(AF$8&lt;$AS82,IF(AF$8=$AR82,"Bascule","Double run"),"ROKS"))))))</f>
        <v/>
      </c>
      <c r="AG82" s="51" t="str">
        <f aca="false">IF(OR($A82="",AG$8=""),"",IF($F82="Migré","ROKS",IF($F82="À décommissionner",IF(AG$8&lt;$AS82,"IKS","Décom."),IF(OR($AQ82="",$AS82=""),"",IF(AG$8&lt;$AQ82,"IKS",IF(AG$8&lt;$AS82,IF(AG$8=$AR82,"Bascule","Double run"),"ROKS"))))))</f>
        <v/>
      </c>
      <c r="AH82" s="51" t="str">
        <f aca="false">IF(OR($A82="",AH$8=""),"",IF($F82="Migré","ROKS",IF($F82="À décommissionner",IF(AH$8&lt;$AS82,"IKS","Décom."),IF(OR($AQ82="",$AS82=""),"",IF(AH$8&lt;$AQ82,"IKS",IF(AH$8&lt;$AS82,IF(AH$8=$AR82,"Bascule","Double run"),"ROKS"))))))</f>
        <v/>
      </c>
      <c r="AI82" s="51" t="str">
        <f aca="false">IF(OR($A82="",AI$8=""),"",IF($F82="Migré","ROKS",IF($F82="À décommissionner",IF(AI$8&lt;$AS82,"IKS","Décom."),IF(OR($AQ82="",$AS82=""),"",IF(AI$8&lt;$AQ82,"IKS",IF(AI$8&lt;$AS82,IF(AI$8=$AR82,"Bascule","Double run"),"ROKS"))))))</f>
        <v/>
      </c>
      <c r="AJ82" s="51" t="str">
        <f aca="false">IF(OR($A82="",AJ$8=""),"",IF($F82="Migré","ROKS",IF($F82="À décommissionner",IF(AJ$8&lt;$AS82,"IKS","Décom."),IF(OR($AQ82="",$AS82=""),"",IF(AJ$8&lt;$AQ82,"IKS",IF(AJ$8&lt;$AS82,IF(AJ$8=$AR82,"Bascule","Double run"),"ROKS"))))))</f>
        <v/>
      </c>
      <c r="AK82" s="51" t="str">
        <f aca="false">IF(OR($A82="",AK$8=""),"",IF($F82="Migré","ROKS",IF($F82="À décommissionner",IF(AK$8&lt;$AS82,"IKS","Décom."),IF(OR($AQ82="",$AS82=""),"",IF(AK$8&lt;$AQ82,"IKS",IF(AK$8&lt;$AS82,IF(AK$8=$AR82,"Bascule","Double run"),"ROKS"))))))</f>
        <v/>
      </c>
      <c r="AL82" s="51" t="str">
        <f aca="false">IF(OR($A82="",AL$8=""),"",IF($F82="Migré","ROKS",IF($F82="À décommissionner",IF(AL$8&lt;$AS82,"IKS","Décom."),IF(OR($AQ82="",$AS82=""),"",IF(AL$8&lt;$AQ82,"IKS",IF(AL$8&lt;$AS82,IF(AL$8=$AR82,"Bascule","Double run"),"ROKS"))))))</f>
        <v/>
      </c>
      <c r="AM82" s="51" t="str">
        <f aca="false">IF(OR($A82="",AM$8=""),"",IF($F82="Migré","ROKS",IF($F82="À décommissionner",IF(AM$8&lt;$AS82,"IKS","Décom."),IF(OR($AQ82="",$AS82=""),"",IF(AM$8&lt;$AQ82,"IKS",IF(AM$8&lt;$AS82,IF(AM$8=$AR82,"Bascule","Double run"),"ROKS"))))))</f>
        <v/>
      </c>
      <c r="AN82" s="51" t="str">
        <f aca="false">IF(OR($A82="",AN$8=""),"",IF($F82="Migré","ROKS",IF($F82="À décommissionner",IF(AN$8&lt;$AS82,"IKS","Décom."),IF(OR($AQ82="",$AS82=""),"",IF(AN$8&lt;$AQ82,"IKS",IF(AN$8&lt;$AS82,IF(AN$8=$AR82,"Bascule","Double run"),"ROKS"))))))</f>
        <v/>
      </c>
      <c r="AO82" s="51" t="str">
        <f aca="false">IF(OR($A82="",AO$8=""),"",IF($F82="Migré","ROKS",IF($F82="À décommissionner",IF(AO$8&lt;$AS82,"IKS","Décom."),IF(OR($AQ82="",$AS82=""),"",IF(AO$8&lt;$AQ82,"IKS",IF(AO$8&lt;$AS82,IF(AO$8=$AR82,"Bascule","Double run"),"ROKS"))))))</f>
        <v/>
      </c>
      <c r="AP82" s="51" t="str">
        <f aca="false">IF(OR($A82="",AP$8=""),"",IF($F82="Migré","ROKS",IF($F82="À décommissionner",IF(AP$8&lt;$AS82,"IKS","Décom."),IF(OR($AQ82="",$AS82=""),"",IF(AP$8&lt;$AQ82,"IKS",IF(AP$8&lt;$AS82,IF(AP$8=$AR82,"Bascule","Double run"),"ROKS"))))))</f>
        <v/>
      </c>
      <c r="AQ82" s="0" t="str">
        <f aca="false">IF($A82="","",INDEX(TblApplications[Mois prov (calc)],$A82))</f>
        <v/>
      </c>
      <c r="AR82" s="0" t="str">
        <f aca="false">IF($A82="","",IFERROR(DATE(YEAR(INDEX(TblApplications[Mois bascule],$A82)),MONTH(INDEX(TblApplications[Mois bascule],$A82)),1),""))</f>
        <v/>
      </c>
      <c r="AS82" s="0" t="str">
        <f aca="false">IF($A82="","",INDEX(TblApplications[Mois lib (calc)],$A82))</f>
        <v/>
      </c>
    </row>
    <row r="83" customFormat="false" ht="15" hidden="false" customHeight="false" outlineLevel="0" collapsed="false">
      <c r="A83" s="49" t="str">
        <f aca="false">IFERROR(MATCH(75,TblApplications[Rang frise],0),"")</f>
        <v/>
      </c>
      <c r="B83" s="50" t="str">
        <f aca="false">IF($A83="","",INDEX(TblApplications[ID],$A83))</f>
        <v/>
      </c>
      <c r="C83" s="50" t="str">
        <f aca="false">IF($A83="","",INDEX(TblApplications[Application],$A83))</f>
        <v/>
      </c>
      <c r="D83" s="50" t="str">
        <f aca="false">IF($A83="","",INDEX(TblApplications[Environnement],$A83))</f>
        <v/>
      </c>
      <c r="E83" s="50" t="str">
        <f aca="false">IF($A83="","",INDEX(TblApplications[Couloir],$A83))</f>
        <v/>
      </c>
      <c r="F83" s="50" t="str">
        <f aca="false">IF($A83="","",INDEX(TblApplications[Action],$A83))</f>
        <v/>
      </c>
      <c r="G83" s="51" t="str">
        <f aca="false">IF(OR($A83="",G$8=""),"",IF($F83="Migré","ROKS",IF($F83="À décommissionner",IF(G$8&lt;$AS83,"IKS","Décom."),IF(OR($AQ83="",$AS83=""),"",IF(G$8&lt;$AQ83,"IKS",IF(G$8&lt;$AS83,IF(G$8=$AR83,"Bascule","Double run"),"ROKS"))))))</f>
        <v/>
      </c>
      <c r="H83" s="51" t="str">
        <f aca="false">IF(OR($A83="",H$8=""),"",IF($F83="Migré","ROKS",IF($F83="À décommissionner",IF(H$8&lt;$AS83,"IKS","Décom."),IF(OR($AQ83="",$AS83=""),"",IF(H$8&lt;$AQ83,"IKS",IF(H$8&lt;$AS83,IF(H$8=$AR83,"Bascule","Double run"),"ROKS"))))))</f>
        <v/>
      </c>
      <c r="I83" s="51" t="str">
        <f aca="false">IF(OR($A83="",I$8=""),"",IF($F83="Migré","ROKS",IF($F83="À décommissionner",IF(I$8&lt;$AS83,"IKS","Décom."),IF(OR($AQ83="",$AS83=""),"",IF(I$8&lt;$AQ83,"IKS",IF(I$8&lt;$AS83,IF(I$8=$AR83,"Bascule","Double run"),"ROKS"))))))</f>
        <v/>
      </c>
      <c r="J83" s="51" t="str">
        <f aca="false">IF(OR($A83="",J$8=""),"",IF($F83="Migré","ROKS",IF($F83="À décommissionner",IF(J$8&lt;$AS83,"IKS","Décom."),IF(OR($AQ83="",$AS83=""),"",IF(J$8&lt;$AQ83,"IKS",IF(J$8&lt;$AS83,IF(J$8=$AR83,"Bascule","Double run"),"ROKS"))))))</f>
        <v/>
      </c>
      <c r="K83" s="51" t="str">
        <f aca="false">IF(OR($A83="",K$8=""),"",IF($F83="Migré","ROKS",IF($F83="À décommissionner",IF(K$8&lt;$AS83,"IKS","Décom."),IF(OR($AQ83="",$AS83=""),"",IF(K$8&lt;$AQ83,"IKS",IF(K$8&lt;$AS83,IF(K$8=$AR83,"Bascule","Double run"),"ROKS"))))))</f>
        <v/>
      </c>
      <c r="L83" s="51" t="str">
        <f aca="false">IF(OR($A83="",L$8=""),"",IF($F83="Migré","ROKS",IF($F83="À décommissionner",IF(L$8&lt;$AS83,"IKS","Décom."),IF(OR($AQ83="",$AS83=""),"",IF(L$8&lt;$AQ83,"IKS",IF(L$8&lt;$AS83,IF(L$8=$AR83,"Bascule","Double run"),"ROKS"))))))</f>
        <v/>
      </c>
      <c r="M83" s="51" t="str">
        <f aca="false">IF(OR($A83="",M$8=""),"",IF($F83="Migré","ROKS",IF($F83="À décommissionner",IF(M$8&lt;$AS83,"IKS","Décom."),IF(OR($AQ83="",$AS83=""),"",IF(M$8&lt;$AQ83,"IKS",IF(M$8&lt;$AS83,IF(M$8=$AR83,"Bascule","Double run"),"ROKS"))))))</f>
        <v/>
      </c>
      <c r="N83" s="51" t="str">
        <f aca="false">IF(OR($A83="",N$8=""),"",IF($F83="Migré","ROKS",IF($F83="À décommissionner",IF(N$8&lt;$AS83,"IKS","Décom."),IF(OR($AQ83="",$AS83=""),"",IF(N$8&lt;$AQ83,"IKS",IF(N$8&lt;$AS83,IF(N$8=$AR83,"Bascule","Double run"),"ROKS"))))))</f>
        <v/>
      </c>
      <c r="O83" s="51" t="str">
        <f aca="false">IF(OR($A83="",O$8=""),"",IF($F83="Migré","ROKS",IF($F83="À décommissionner",IF(O$8&lt;$AS83,"IKS","Décom."),IF(OR($AQ83="",$AS83=""),"",IF(O$8&lt;$AQ83,"IKS",IF(O$8&lt;$AS83,IF(O$8=$AR83,"Bascule","Double run"),"ROKS"))))))</f>
        <v/>
      </c>
      <c r="P83" s="51" t="str">
        <f aca="false">IF(OR($A83="",P$8=""),"",IF($F83="Migré","ROKS",IF($F83="À décommissionner",IF(P$8&lt;$AS83,"IKS","Décom."),IF(OR($AQ83="",$AS83=""),"",IF(P$8&lt;$AQ83,"IKS",IF(P$8&lt;$AS83,IF(P$8=$AR83,"Bascule","Double run"),"ROKS"))))))</f>
        <v/>
      </c>
      <c r="Q83" s="51" t="str">
        <f aca="false">IF(OR($A83="",Q$8=""),"",IF($F83="Migré","ROKS",IF($F83="À décommissionner",IF(Q$8&lt;$AS83,"IKS","Décom."),IF(OR($AQ83="",$AS83=""),"",IF(Q$8&lt;$AQ83,"IKS",IF(Q$8&lt;$AS83,IF(Q$8=$AR83,"Bascule","Double run"),"ROKS"))))))</f>
        <v/>
      </c>
      <c r="R83" s="51" t="str">
        <f aca="false">IF(OR($A83="",R$8=""),"",IF($F83="Migré","ROKS",IF($F83="À décommissionner",IF(R$8&lt;$AS83,"IKS","Décom."),IF(OR($AQ83="",$AS83=""),"",IF(R$8&lt;$AQ83,"IKS",IF(R$8&lt;$AS83,IF(R$8=$AR83,"Bascule","Double run"),"ROKS"))))))</f>
        <v/>
      </c>
      <c r="S83" s="51" t="str">
        <f aca="false">IF(OR($A83="",S$8=""),"",IF($F83="Migré","ROKS",IF($F83="À décommissionner",IF(S$8&lt;$AS83,"IKS","Décom."),IF(OR($AQ83="",$AS83=""),"",IF(S$8&lt;$AQ83,"IKS",IF(S$8&lt;$AS83,IF(S$8=$AR83,"Bascule","Double run"),"ROKS"))))))</f>
        <v/>
      </c>
      <c r="T83" s="51" t="str">
        <f aca="false">IF(OR($A83="",T$8=""),"",IF($F83="Migré","ROKS",IF($F83="À décommissionner",IF(T$8&lt;$AS83,"IKS","Décom."),IF(OR($AQ83="",$AS83=""),"",IF(T$8&lt;$AQ83,"IKS",IF(T$8&lt;$AS83,IF(T$8=$AR83,"Bascule","Double run"),"ROKS"))))))</f>
        <v/>
      </c>
      <c r="U83" s="51" t="str">
        <f aca="false">IF(OR($A83="",U$8=""),"",IF($F83="Migré","ROKS",IF($F83="À décommissionner",IF(U$8&lt;$AS83,"IKS","Décom."),IF(OR($AQ83="",$AS83=""),"",IF(U$8&lt;$AQ83,"IKS",IF(U$8&lt;$AS83,IF(U$8=$AR83,"Bascule","Double run"),"ROKS"))))))</f>
        <v/>
      </c>
      <c r="V83" s="51" t="str">
        <f aca="false">IF(OR($A83="",V$8=""),"",IF($F83="Migré","ROKS",IF($F83="À décommissionner",IF(V$8&lt;$AS83,"IKS","Décom."),IF(OR($AQ83="",$AS83=""),"",IF(V$8&lt;$AQ83,"IKS",IF(V$8&lt;$AS83,IF(V$8=$AR83,"Bascule","Double run"),"ROKS"))))))</f>
        <v/>
      </c>
      <c r="W83" s="51" t="str">
        <f aca="false">IF(OR($A83="",W$8=""),"",IF($F83="Migré","ROKS",IF($F83="À décommissionner",IF(W$8&lt;$AS83,"IKS","Décom."),IF(OR($AQ83="",$AS83=""),"",IF(W$8&lt;$AQ83,"IKS",IF(W$8&lt;$AS83,IF(W$8=$AR83,"Bascule","Double run"),"ROKS"))))))</f>
        <v/>
      </c>
      <c r="X83" s="51" t="str">
        <f aca="false">IF(OR($A83="",X$8=""),"",IF($F83="Migré","ROKS",IF($F83="À décommissionner",IF(X$8&lt;$AS83,"IKS","Décom."),IF(OR($AQ83="",$AS83=""),"",IF(X$8&lt;$AQ83,"IKS",IF(X$8&lt;$AS83,IF(X$8=$AR83,"Bascule","Double run"),"ROKS"))))))</f>
        <v/>
      </c>
      <c r="Y83" s="51" t="str">
        <f aca="false">IF(OR($A83="",Y$8=""),"",IF($F83="Migré","ROKS",IF($F83="À décommissionner",IF(Y$8&lt;$AS83,"IKS","Décom."),IF(OR($AQ83="",$AS83=""),"",IF(Y$8&lt;$AQ83,"IKS",IF(Y$8&lt;$AS83,IF(Y$8=$AR83,"Bascule","Double run"),"ROKS"))))))</f>
        <v/>
      </c>
      <c r="Z83" s="51" t="str">
        <f aca="false">IF(OR($A83="",Z$8=""),"",IF($F83="Migré","ROKS",IF($F83="À décommissionner",IF(Z$8&lt;$AS83,"IKS","Décom."),IF(OR($AQ83="",$AS83=""),"",IF(Z$8&lt;$AQ83,"IKS",IF(Z$8&lt;$AS83,IF(Z$8=$AR83,"Bascule","Double run"),"ROKS"))))))</f>
        <v/>
      </c>
      <c r="AA83" s="51" t="str">
        <f aca="false">IF(OR($A83="",AA$8=""),"",IF($F83="Migré","ROKS",IF($F83="À décommissionner",IF(AA$8&lt;$AS83,"IKS","Décom."),IF(OR($AQ83="",$AS83=""),"",IF(AA$8&lt;$AQ83,"IKS",IF(AA$8&lt;$AS83,IF(AA$8=$AR83,"Bascule","Double run"),"ROKS"))))))</f>
        <v/>
      </c>
      <c r="AB83" s="51" t="str">
        <f aca="false">IF(OR($A83="",AB$8=""),"",IF($F83="Migré","ROKS",IF($F83="À décommissionner",IF(AB$8&lt;$AS83,"IKS","Décom."),IF(OR($AQ83="",$AS83=""),"",IF(AB$8&lt;$AQ83,"IKS",IF(AB$8&lt;$AS83,IF(AB$8=$AR83,"Bascule","Double run"),"ROKS"))))))</f>
        <v/>
      </c>
      <c r="AC83" s="51" t="str">
        <f aca="false">IF(OR($A83="",AC$8=""),"",IF($F83="Migré","ROKS",IF($F83="À décommissionner",IF(AC$8&lt;$AS83,"IKS","Décom."),IF(OR($AQ83="",$AS83=""),"",IF(AC$8&lt;$AQ83,"IKS",IF(AC$8&lt;$AS83,IF(AC$8=$AR83,"Bascule","Double run"),"ROKS"))))))</f>
        <v/>
      </c>
      <c r="AD83" s="51" t="str">
        <f aca="false">IF(OR($A83="",AD$8=""),"",IF($F83="Migré","ROKS",IF($F83="À décommissionner",IF(AD$8&lt;$AS83,"IKS","Décom."),IF(OR($AQ83="",$AS83=""),"",IF(AD$8&lt;$AQ83,"IKS",IF(AD$8&lt;$AS83,IF(AD$8=$AR83,"Bascule","Double run"),"ROKS"))))))</f>
        <v/>
      </c>
      <c r="AE83" s="51" t="str">
        <f aca="false">IF(OR($A83="",AE$8=""),"",IF($F83="Migré","ROKS",IF($F83="À décommissionner",IF(AE$8&lt;$AS83,"IKS","Décom."),IF(OR($AQ83="",$AS83=""),"",IF(AE$8&lt;$AQ83,"IKS",IF(AE$8&lt;$AS83,IF(AE$8=$AR83,"Bascule","Double run"),"ROKS"))))))</f>
        <v/>
      </c>
      <c r="AF83" s="51" t="str">
        <f aca="false">IF(OR($A83="",AF$8=""),"",IF($F83="Migré","ROKS",IF($F83="À décommissionner",IF(AF$8&lt;$AS83,"IKS","Décom."),IF(OR($AQ83="",$AS83=""),"",IF(AF$8&lt;$AQ83,"IKS",IF(AF$8&lt;$AS83,IF(AF$8=$AR83,"Bascule","Double run"),"ROKS"))))))</f>
        <v/>
      </c>
      <c r="AG83" s="51" t="str">
        <f aca="false">IF(OR($A83="",AG$8=""),"",IF($F83="Migré","ROKS",IF($F83="À décommissionner",IF(AG$8&lt;$AS83,"IKS","Décom."),IF(OR($AQ83="",$AS83=""),"",IF(AG$8&lt;$AQ83,"IKS",IF(AG$8&lt;$AS83,IF(AG$8=$AR83,"Bascule","Double run"),"ROKS"))))))</f>
        <v/>
      </c>
      <c r="AH83" s="51" t="str">
        <f aca="false">IF(OR($A83="",AH$8=""),"",IF($F83="Migré","ROKS",IF($F83="À décommissionner",IF(AH$8&lt;$AS83,"IKS","Décom."),IF(OR($AQ83="",$AS83=""),"",IF(AH$8&lt;$AQ83,"IKS",IF(AH$8&lt;$AS83,IF(AH$8=$AR83,"Bascule","Double run"),"ROKS"))))))</f>
        <v/>
      </c>
      <c r="AI83" s="51" t="str">
        <f aca="false">IF(OR($A83="",AI$8=""),"",IF($F83="Migré","ROKS",IF($F83="À décommissionner",IF(AI$8&lt;$AS83,"IKS","Décom."),IF(OR($AQ83="",$AS83=""),"",IF(AI$8&lt;$AQ83,"IKS",IF(AI$8&lt;$AS83,IF(AI$8=$AR83,"Bascule","Double run"),"ROKS"))))))</f>
        <v/>
      </c>
      <c r="AJ83" s="51" t="str">
        <f aca="false">IF(OR($A83="",AJ$8=""),"",IF($F83="Migré","ROKS",IF($F83="À décommissionner",IF(AJ$8&lt;$AS83,"IKS","Décom."),IF(OR($AQ83="",$AS83=""),"",IF(AJ$8&lt;$AQ83,"IKS",IF(AJ$8&lt;$AS83,IF(AJ$8=$AR83,"Bascule","Double run"),"ROKS"))))))</f>
        <v/>
      </c>
      <c r="AK83" s="51" t="str">
        <f aca="false">IF(OR($A83="",AK$8=""),"",IF($F83="Migré","ROKS",IF($F83="À décommissionner",IF(AK$8&lt;$AS83,"IKS","Décom."),IF(OR($AQ83="",$AS83=""),"",IF(AK$8&lt;$AQ83,"IKS",IF(AK$8&lt;$AS83,IF(AK$8=$AR83,"Bascule","Double run"),"ROKS"))))))</f>
        <v/>
      </c>
      <c r="AL83" s="51" t="str">
        <f aca="false">IF(OR($A83="",AL$8=""),"",IF($F83="Migré","ROKS",IF($F83="À décommissionner",IF(AL$8&lt;$AS83,"IKS","Décom."),IF(OR($AQ83="",$AS83=""),"",IF(AL$8&lt;$AQ83,"IKS",IF(AL$8&lt;$AS83,IF(AL$8=$AR83,"Bascule","Double run"),"ROKS"))))))</f>
        <v/>
      </c>
      <c r="AM83" s="51" t="str">
        <f aca="false">IF(OR($A83="",AM$8=""),"",IF($F83="Migré","ROKS",IF($F83="À décommissionner",IF(AM$8&lt;$AS83,"IKS","Décom."),IF(OR($AQ83="",$AS83=""),"",IF(AM$8&lt;$AQ83,"IKS",IF(AM$8&lt;$AS83,IF(AM$8=$AR83,"Bascule","Double run"),"ROKS"))))))</f>
        <v/>
      </c>
      <c r="AN83" s="51" t="str">
        <f aca="false">IF(OR($A83="",AN$8=""),"",IF($F83="Migré","ROKS",IF($F83="À décommissionner",IF(AN$8&lt;$AS83,"IKS","Décom."),IF(OR($AQ83="",$AS83=""),"",IF(AN$8&lt;$AQ83,"IKS",IF(AN$8&lt;$AS83,IF(AN$8=$AR83,"Bascule","Double run"),"ROKS"))))))</f>
        <v/>
      </c>
      <c r="AO83" s="51" t="str">
        <f aca="false">IF(OR($A83="",AO$8=""),"",IF($F83="Migré","ROKS",IF($F83="À décommissionner",IF(AO$8&lt;$AS83,"IKS","Décom."),IF(OR($AQ83="",$AS83=""),"",IF(AO$8&lt;$AQ83,"IKS",IF(AO$8&lt;$AS83,IF(AO$8=$AR83,"Bascule","Double run"),"ROKS"))))))</f>
        <v/>
      </c>
      <c r="AP83" s="51" t="str">
        <f aca="false">IF(OR($A83="",AP$8=""),"",IF($F83="Migré","ROKS",IF($F83="À décommissionner",IF(AP$8&lt;$AS83,"IKS","Décom."),IF(OR($AQ83="",$AS83=""),"",IF(AP$8&lt;$AQ83,"IKS",IF(AP$8&lt;$AS83,IF(AP$8=$AR83,"Bascule","Double run"),"ROKS"))))))</f>
        <v/>
      </c>
      <c r="AQ83" s="0" t="str">
        <f aca="false">IF($A83="","",INDEX(TblApplications[Mois prov (calc)],$A83))</f>
        <v/>
      </c>
      <c r="AR83" s="0" t="str">
        <f aca="false">IF($A83="","",IFERROR(DATE(YEAR(INDEX(TblApplications[Mois bascule],$A83)),MONTH(INDEX(TblApplications[Mois bascule],$A83)),1),""))</f>
        <v/>
      </c>
      <c r="AS83" s="0" t="str">
        <f aca="false">IF($A83="","",INDEX(TblApplications[Mois lib (calc)],$A83))</f>
        <v/>
      </c>
    </row>
    <row r="84" customFormat="false" ht="15" hidden="false" customHeight="false" outlineLevel="0" collapsed="false">
      <c r="A84" s="49" t="str">
        <f aca="false">IFERROR(MATCH(76,TblApplications[Rang frise],0),"")</f>
        <v/>
      </c>
      <c r="B84" s="50" t="str">
        <f aca="false">IF($A84="","",INDEX(TblApplications[ID],$A84))</f>
        <v/>
      </c>
      <c r="C84" s="50" t="str">
        <f aca="false">IF($A84="","",INDEX(TblApplications[Application],$A84))</f>
        <v/>
      </c>
      <c r="D84" s="50" t="str">
        <f aca="false">IF($A84="","",INDEX(TblApplications[Environnement],$A84))</f>
        <v/>
      </c>
      <c r="E84" s="50" t="str">
        <f aca="false">IF($A84="","",INDEX(TblApplications[Couloir],$A84))</f>
        <v/>
      </c>
      <c r="F84" s="50" t="str">
        <f aca="false">IF($A84="","",INDEX(TblApplications[Action],$A84))</f>
        <v/>
      </c>
      <c r="G84" s="51" t="str">
        <f aca="false">IF(OR($A84="",G$8=""),"",IF($F84="Migré","ROKS",IF($F84="À décommissionner",IF(G$8&lt;$AS84,"IKS","Décom."),IF(OR($AQ84="",$AS84=""),"",IF(G$8&lt;$AQ84,"IKS",IF(G$8&lt;$AS84,IF(G$8=$AR84,"Bascule","Double run"),"ROKS"))))))</f>
        <v/>
      </c>
      <c r="H84" s="51" t="str">
        <f aca="false">IF(OR($A84="",H$8=""),"",IF($F84="Migré","ROKS",IF($F84="À décommissionner",IF(H$8&lt;$AS84,"IKS","Décom."),IF(OR($AQ84="",$AS84=""),"",IF(H$8&lt;$AQ84,"IKS",IF(H$8&lt;$AS84,IF(H$8=$AR84,"Bascule","Double run"),"ROKS"))))))</f>
        <v/>
      </c>
      <c r="I84" s="51" t="str">
        <f aca="false">IF(OR($A84="",I$8=""),"",IF($F84="Migré","ROKS",IF($F84="À décommissionner",IF(I$8&lt;$AS84,"IKS","Décom."),IF(OR($AQ84="",$AS84=""),"",IF(I$8&lt;$AQ84,"IKS",IF(I$8&lt;$AS84,IF(I$8=$AR84,"Bascule","Double run"),"ROKS"))))))</f>
        <v/>
      </c>
      <c r="J84" s="51" t="str">
        <f aca="false">IF(OR($A84="",J$8=""),"",IF($F84="Migré","ROKS",IF($F84="À décommissionner",IF(J$8&lt;$AS84,"IKS","Décom."),IF(OR($AQ84="",$AS84=""),"",IF(J$8&lt;$AQ84,"IKS",IF(J$8&lt;$AS84,IF(J$8=$AR84,"Bascule","Double run"),"ROKS"))))))</f>
        <v/>
      </c>
      <c r="K84" s="51" t="str">
        <f aca="false">IF(OR($A84="",K$8=""),"",IF($F84="Migré","ROKS",IF($F84="À décommissionner",IF(K$8&lt;$AS84,"IKS","Décom."),IF(OR($AQ84="",$AS84=""),"",IF(K$8&lt;$AQ84,"IKS",IF(K$8&lt;$AS84,IF(K$8=$AR84,"Bascule","Double run"),"ROKS"))))))</f>
        <v/>
      </c>
      <c r="L84" s="51" t="str">
        <f aca="false">IF(OR($A84="",L$8=""),"",IF($F84="Migré","ROKS",IF($F84="À décommissionner",IF(L$8&lt;$AS84,"IKS","Décom."),IF(OR($AQ84="",$AS84=""),"",IF(L$8&lt;$AQ84,"IKS",IF(L$8&lt;$AS84,IF(L$8=$AR84,"Bascule","Double run"),"ROKS"))))))</f>
        <v/>
      </c>
      <c r="M84" s="51" t="str">
        <f aca="false">IF(OR($A84="",M$8=""),"",IF($F84="Migré","ROKS",IF($F84="À décommissionner",IF(M$8&lt;$AS84,"IKS","Décom."),IF(OR($AQ84="",$AS84=""),"",IF(M$8&lt;$AQ84,"IKS",IF(M$8&lt;$AS84,IF(M$8=$AR84,"Bascule","Double run"),"ROKS"))))))</f>
        <v/>
      </c>
      <c r="N84" s="51" t="str">
        <f aca="false">IF(OR($A84="",N$8=""),"",IF($F84="Migré","ROKS",IF($F84="À décommissionner",IF(N$8&lt;$AS84,"IKS","Décom."),IF(OR($AQ84="",$AS84=""),"",IF(N$8&lt;$AQ84,"IKS",IF(N$8&lt;$AS84,IF(N$8=$AR84,"Bascule","Double run"),"ROKS"))))))</f>
        <v/>
      </c>
      <c r="O84" s="51" t="str">
        <f aca="false">IF(OR($A84="",O$8=""),"",IF($F84="Migré","ROKS",IF($F84="À décommissionner",IF(O$8&lt;$AS84,"IKS","Décom."),IF(OR($AQ84="",$AS84=""),"",IF(O$8&lt;$AQ84,"IKS",IF(O$8&lt;$AS84,IF(O$8=$AR84,"Bascule","Double run"),"ROKS"))))))</f>
        <v/>
      </c>
      <c r="P84" s="51" t="str">
        <f aca="false">IF(OR($A84="",P$8=""),"",IF($F84="Migré","ROKS",IF($F84="À décommissionner",IF(P$8&lt;$AS84,"IKS","Décom."),IF(OR($AQ84="",$AS84=""),"",IF(P$8&lt;$AQ84,"IKS",IF(P$8&lt;$AS84,IF(P$8=$AR84,"Bascule","Double run"),"ROKS"))))))</f>
        <v/>
      </c>
      <c r="Q84" s="51" t="str">
        <f aca="false">IF(OR($A84="",Q$8=""),"",IF($F84="Migré","ROKS",IF($F84="À décommissionner",IF(Q$8&lt;$AS84,"IKS","Décom."),IF(OR($AQ84="",$AS84=""),"",IF(Q$8&lt;$AQ84,"IKS",IF(Q$8&lt;$AS84,IF(Q$8=$AR84,"Bascule","Double run"),"ROKS"))))))</f>
        <v/>
      </c>
      <c r="R84" s="51" t="str">
        <f aca="false">IF(OR($A84="",R$8=""),"",IF($F84="Migré","ROKS",IF($F84="À décommissionner",IF(R$8&lt;$AS84,"IKS","Décom."),IF(OR($AQ84="",$AS84=""),"",IF(R$8&lt;$AQ84,"IKS",IF(R$8&lt;$AS84,IF(R$8=$AR84,"Bascule","Double run"),"ROKS"))))))</f>
        <v/>
      </c>
      <c r="S84" s="51" t="str">
        <f aca="false">IF(OR($A84="",S$8=""),"",IF($F84="Migré","ROKS",IF($F84="À décommissionner",IF(S$8&lt;$AS84,"IKS","Décom."),IF(OR($AQ84="",$AS84=""),"",IF(S$8&lt;$AQ84,"IKS",IF(S$8&lt;$AS84,IF(S$8=$AR84,"Bascule","Double run"),"ROKS"))))))</f>
        <v/>
      </c>
      <c r="T84" s="51" t="str">
        <f aca="false">IF(OR($A84="",T$8=""),"",IF($F84="Migré","ROKS",IF($F84="À décommissionner",IF(T$8&lt;$AS84,"IKS","Décom."),IF(OR($AQ84="",$AS84=""),"",IF(T$8&lt;$AQ84,"IKS",IF(T$8&lt;$AS84,IF(T$8=$AR84,"Bascule","Double run"),"ROKS"))))))</f>
        <v/>
      </c>
      <c r="U84" s="51" t="str">
        <f aca="false">IF(OR($A84="",U$8=""),"",IF($F84="Migré","ROKS",IF($F84="À décommissionner",IF(U$8&lt;$AS84,"IKS","Décom."),IF(OR($AQ84="",$AS84=""),"",IF(U$8&lt;$AQ84,"IKS",IF(U$8&lt;$AS84,IF(U$8=$AR84,"Bascule","Double run"),"ROKS"))))))</f>
        <v/>
      </c>
      <c r="V84" s="51" t="str">
        <f aca="false">IF(OR($A84="",V$8=""),"",IF($F84="Migré","ROKS",IF($F84="À décommissionner",IF(V$8&lt;$AS84,"IKS","Décom."),IF(OR($AQ84="",$AS84=""),"",IF(V$8&lt;$AQ84,"IKS",IF(V$8&lt;$AS84,IF(V$8=$AR84,"Bascule","Double run"),"ROKS"))))))</f>
        <v/>
      </c>
      <c r="W84" s="51" t="str">
        <f aca="false">IF(OR($A84="",W$8=""),"",IF($F84="Migré","ROKS",IF($F84="À décommissionner",IF(W$8&lt;$AS84,"IKS","Décom."),IF(OR($AQ84="",$AS84=""),"",IF(W$8&lt;$AQ84,"IKS",IF(W$8&lt;$AS84,IF(W$8=$AR84,"Bascule","Double run"),"ROKS"))))))</f>
        <v/>
      </c>
      <c r="X84" s="51" t="str">
        <f aca="false">IF(OR($A84="",X$8=""),"",IF($F84="Migré","ROKS",IF($F84="À décommissionner",IF(X$8&lt;$AS84,"IKS","Décom."),IF(OR($AQ84="",$AS84=""),"",IF(X$8&lt;$AQ84,"IKS",IF(X$8&lt;$AS84,IF(X$8=$AR84,"Bascule","Double run"),"ROKS"))))))</f>
        <v/>
      </c>
      <c r="Y84" s="51" t="str">
        <f aca="false">IF(OR($A84="",Y$8=""),"",IF($F84="Migré","ROKS",IF($F84="À décommissionner",IF(Y$8&lt;$AS84,"IKS","Décom."),IF(OR($AQ84="",$AS84=""),"",IF(Y$8&lt;$AQ84,"IKS",IF(Y$8&lt;$AS84,IF(Y$8=$AR84,"Bascule","Double run"),"ROKS"))))))</f>
        <v/>
      </c>
      <c r="Z84" s="51" t="str">
        <f aca="false">IF(OR($A84="",Z$8=""),"",IF($F84="Migré","ROKS",IF($F84="À décommissionner",IF(Z$8&lt;$AS84,"IKS","Décom."),IF(OR($AQ84="",$AS84=""),"",IF(Z$8&lt;$AQ84,"IKS",IF(Z$8&lt;$AS84,IF(Z$8=$AR84,"Bascule","Double run"),"ROKS"))))))</f>
        <v/>
      </c>
      <c r="AA84" s="51" t="str">
        <f aca="false">IF(OR($A84="",AA$8=""),"",IF($F84="Migré","ROKS",IF($F84="À décommissionner",IF(AA$8&lt;$AS84,"IKS","Décom."),IF(OR($AQ84="",$AS84=""),"",IF(AA$8&lt;$AQ84,"IKS",IF(AA$8&lt;$AS84,IF(AA$8=$AR84,"Bascule","Double run"),"ROKS"))))))</f>
        <v/>
      </c>
      <c r="AB84" s="51" t="str">
        <f aca="false">IF(OR($A84="",AB$8=""),"",IF($F84="Migré","ROKS",IF($F84="À décommissionner",IF(AB$8&lt;$AS84,"IKS","Décom."),IF(OR($AQ84="",$AS84=""),"",IF(AB$8&lt;$AQ84,"IKS",IF(AB$8&lt;$AS84,IF(AB$8=$AR84,"Bascule","Double run"),"ROKS"))))))</f>
        <v/>
      </c>
      <c r="AC84" s="51" t="str">
        <f aca="false">IF(OR($A84="",AC$8=""),"",IF($F84="Migré","ROKS",IF($F84="À décommissionner",IF(AC$8&lt;$AS84,"IKS","Décom."),IF(OR($AQ84="",$AS84=""),"",IF(AC$8&lt;$AQ84,"IKS",IF(AC$8&lt;$AS84,IF(AC$8=$AR84,"Bascule","Double run"),"ROKS"))))))</f>
        <v/>
      </c>
      <c r="AD84" s="51" t="str">
        <f aca="false">IF(OR($A84="",AD$8=""),"",IF($F84="Migré","ROKS",IF($F84="À décommissionner",IF(AD$8&lt;$AS84,"IKS","Décom."),IF(OR($AQ84="",$AS84=""),"",IF(AD$8&lt;$AQ84,"IKS",IF(AD$8&lt;$AS84,IF(AD$8=$AR84,"Bascule","Double run"),"ROKS"))))))</f>
        <v/>
      </c>
      <c r="AE84" s="51" t="str">
        <f aca="false">IF(OR($A84="",AE$8=""),"",IF($F84="Migré","ROKS",IF($F84="À décommissionner",IF(AE$8&lt;$AS84,"IKS","Décom."),IF(OR($AQ84="",$AS84=""),"",IF(AE$8&lt;$AQ84,"IKS",IF(AE$8&lt;$AS84,IF(AE$8=$AR84,"Bascule","Double run"),"ROKS"))))))</f>
        <v/>
      </c>
      <c r="AF84" s="51" t="str">
        <f aca="false">IF(OR($A84="",AF$8=""),"",IF($F84="Migré","ROKS",IF($F84="À décommissionner",IF(AF$8&lt;$AS84,"IKS","Décom."),IF(OR($AQ84="",$AS84=""),"",IF(AF$8&lt;$AQ84,"IKS",IF(AF$8&lt;$AS84,IF(AF$8=$AR84,"Bascule","Double run"),"ROKS"))))))</f>
        <v/>
      </c>
      <c r="AG84" s="51" t="str">
        <f aca="false">IF(OR($A84="",AG$8=""),"",IF($F84="Migré","ROKS",IF($F84="À décommissionner",IF(AG$8&lt;$AS84,"IKS","Décom."),IF(OR($AQ84="",$AS84=""),"",IF(AG$8&lt;$AQ84,"IKS",IF(AG$8&lt;$AS84,IF(AG$8=$AR84,"Bascule","Double run"),"ROKS"))))))</f>
        <v/>
      </c>
      <c r="AH84" s="51" t="str">
        <f aca="false">IF(OR($A84="",AH$8=""),"",IF($F84="Migré","ROKS",IF($F84="À décommissionner",IF(AH$8&lt;$AS84,"IKS","Décom."),IF(OR($AQ84="",$AS84=""),"",IF(AH$8&lt;$AQ84,"IKS",IF(AH$8&lt;$AS84,IF(AH$8=$AR84,"Bascule","Double run"),"ROKS"))))))</f>
        <v/>
      </c>
      <c r="AI84" s="51" t="str">
        <f aca="false">IF(OR($A84="",AI$8=""),"",IF($F84="Migré","ROKS",IF($F84="À décommissionner",IF(AI$8&lt;$AS84,"IKS","Décom."),IF(OR($AQ84="",$AS84=""),"",IF(AI$8&lt;$AQ84,"IKS",IF(AI$8&lt;$AS84,IF(AI$8=$AR84,"Bascule","Double run"),"ROKS"))))))</f>
        <v/>
      </c>
      <c r="AJ84" s="51" t="str">
        <f aca="false">IF(OR($A84="",AJ$8=""),"",IF($F84="Migré","ROKS",IF($F84="À décommissionner",IF(AJ$8&lt;$AS84,"IKS","Décom."),IF(OR($AQ84="",$AS84=""),"",IF(AJ$8&lt;$AQ84,"IKS",IF(AJ$8&lt;$AS84,IF(AJ$8=$AR84,"Bascule","Double run"),"ROKS"))))))</f>
        <v/>
      </c>
      <c r="AK84" s="51" t="str">
        <f aca="false">IF(OR($A84="",AK$8=""),"",IF($F84="Migré","ROKS",IF($F84="À décommissionner",IF(AK$8&lt;$AS84,"IKS","Décom."),IF(OR($AQ84="",$AS84=""),"",IF(AK$8&lt;$AQ84,"IKS",IF(AK$8&lt;$AS84,IF(AK$8=$AR84,"Bascule","Double run"),"ROKS"))))))</f>
        <v/>
      </c>
      <c r="AL84" s="51" t="str">
        <f aca="false">IF(OR($A84="",AL$8=""),"",IF($F84="Migré","ROKS",IF($F84="À décommissionner",IF(AL$8&lt;$AS84,"IKS","Décom."),IF(OR($AQ84="",$AS84=""),"",IF(AL$8&lt;$AQ84,"IKS",IF(AL$8&lt;$AS84,IF(AL$8=$AR84,"Bascule","Double run"),"ROKS"))))))</f>
        <v/>
      </c>
      <c r="AM84" s="51" t="str">
        <f aca="false">IF(OR($A84="",AM$8=""),"",IF($F84="Migré","ROKS",IF($F84="À décommissionner",IF(AM$8&lt;$AS84,"IKS","Décom."),IF(OR($AQ84="",$AS84=""),"",IF(AM$8&lt;$AQ84,"IKS",IF(AM$8&lt;$AS84,IF(AM$8=$AR84,"Bascule","Double run"),"ROKS"))))))</f>
        <v/>
      </c>
      <c r="AN84" s="51" t="str">
        <f aca="false">IF(OR($A84="",AN$8=""),"",IF($F84="Migré","ROKS",IF($F84="À décommissionner",IF(AN$8&lt;$AS84,"IKS","Décom."),IF(OR($AQ84="",$AS84=""),"",IF(AN$8&lt;$AQ84,"IKS",IF(AN$8&lt;$AS84,IF(AN$8=$AR84,"Bascule","Double run"),"ROKS"))))))</f>
        <v/>
      </c>
      <c r="AO84" s="51" t="str">
        <f aca="false">IF(OR($A84="",AO$8=""),"",IF($F84="Migré","ROKS",IF($F84="À décommissionner",IF(AO$8&lt;$AS84,"IKS","Décom."),IF(OR($AQ84="",$AS84=""),"",IF(AO$8&lt;$AQ84,"IKS",IF(AO$8&lt;$AS84,IF(AO$8=$AR84,"Bascule","Double run"),"ROKS"))))))</f>
        <v/>
      </c>
      <c r="AP84" s="51" t="str">
        <f aca="false">IF(OR($A84="",AP$8=""),"",IF($F84="Migré","ROKS",IF($F84="À décommissionner",IF(AP$8&lt;$AS84,"IKS","Décom."),IF(OR($AQ84="",$AS84=""),"",IF(AP$8&lt;$AQ84,"IKS",IF(AP$8&lt;$AS84,IF(AP$8=$AR84,"Bascule","Double run"),"ROKS"))))))</f>
        <v/>
      </c>
      <c r="AQ84" s="0" t="str">
        <f aca="false">IF($A84="","",INDEX(TblApplications[Mois prov (calc)],$A84))</f>
        <v/>
      </c>
      <c r="AR84" s="0" t="str">
        <f aca="false">IF($A84="","",IFERROR(DATE(YEAR(INDEX(TblApplications[Mois bascule],$A84)),MONTH(INDEX(TblApplications[Mois bascule],$A84)),1),""))</f>
        <v/>
      </c>
      <c r="AS84" s="0" t="str">
        <f aca="false">IF($A84="","",INDEX(TblApplications[Mois lib (calc)],$A84))</f>
        <v/>
      </c>
    </row>
    <row r="85" customFormat="false" ht="15" hidden="false" customHeight="false" outlineLevel="0" collapsed="false">
      <c r="A85" s="49" t="str">
        <f aca="false">IFERROR(MATCH(77,TblApplications[Rang frise],0),"")</f>
        <v/>
      </c>
      <c r="B85" s="50" t="str">
        <f aca="false">IF($A85="","",INDEX(TblApplications[ID],$A85))</f>
        <v/>
      </c>
      <c r="C85" s="50" t="str">
        <f aca="false">IF($A85="","",INDEX(TblApplications[Application],$A85))</f>
        <v/>
      </c>
      <c r="D85" s="50" t="str">
        <f aca="false">IF($A85="","",INDEX(TblApplications[Environnement],$A85))</f>
        <v/>
      </c>
      <c r="E85" s="50" t="str">
        <f aca="false">IF($A85="","",INDEX(TblApplications[Couloir],$A85))</f>
        <v/>
      </c>
      <c r="F85" s="50" t="str">
        <f aca="false">IF($A85="","",INDEX(TblApplications[Action],$A85))</f>
        <v/>
      </c>
      <c r="G85" s="51" t="str">
        <f aca="false">IF(OR($A85="",G$8=""),"",IF($F85="Migré","ROKS",IF($F85="À décommissionner",IF(G$8&lt;$AS85,"IKS","Décom."),IF(OR($AQ85="",$AS85=""),"",IF(G$8&lt;$AQ85,"IKS",IF(G$8&lt;$AS85,IF(G$8=$AR85,"Bascule","Double run"),"ROKS"))))))</f>
        <v/>
      </c>
      <c r="H85" s="51" t="str">
        <f aca="false">IF(OR($A85="",H$8=""),"",IF($F85="Migré","ROKS",IF($F85="À décommissionner",IF(H$8&lt;$AS85,"IKS","Décom."),IF(OR($AQ85="",$AS85=""),"",IF(H$8&lt;$AQ85,"IKS",IF(H$8&lt;$AS85,IF(H$8=$AR85,"Bascule","Double run"),"ROKS"))))))</f>
        <v/>
      </c>
      <c r="I85" s="51" t="str">
        <f aca="false">IF(OR($A85="",I$8=""),"",IF($F85="Migré","ROKS",IF($F85="À décommissionner",IF(I$8&lt;$AS85,"IKS","Décom."),IF(OR($AQ85="",$AS85=""),"",IF(I$8&lt;$AQ85,"IKS",IF(I$8&lt;$AS85,IF(I$8=$AR85,"Bascule","Double run"),"ROKS"))))))</f>
        <v/>
      </c>
      <c r="J85" s="51" t="str">
        <f aca="false">IF(OR($A85="",J$8=""),"",IF($F85="Migré","ROKS",IF($F85="À décommissionner",IF(J$8&lt;$AS85,"IKS","Décom."),IF(OR($AQ85="",$AS85=""),"",IF(J$8&lt;$AQ85,"IKS",IF(J$8&lt;$AS85,IF(J$8=$AR85,"Bascule","Double run"),"ROKS"))))))</f>
        <v/>
      </c>
      <c r="K85" s="51" t="str">
        <f aca="false">IF(OR($A85="",K$8=""),"",IF($F85="Migré","ROKS",IF($F85="À décommissionner",IF(K$8&lt;$AS85,"IKS","Décom."),IF(OR($AQ85="",$AS85=""),"",IF(K$8&lt;$AQ85,"IKS",IF(K$8&lt;$AS85,IF(K$8=$AR85,"Bascule","Double run"),"ROKS"))))))</f>
        <v/>
      </c>
      <c r="L85" s="51" t="str">
        <f aca="false">IF(OR($A85="",L$8=""),"",IF($F85="Migré","ROKS",IF($F85="À décommissionner",IF(L$8&lt;$AS85,"IKS","Décom."),IF(OR($AQ85="",$AS85=""),"",IF(L$8&lt;$AQ85,"IKS",IF(L$8&lt;$AS85,IF(L$8=$AR85,"Bascule","Double run"),"ROKS"))))))</f>
        <v/>
      </c>
      <c r="M85" s="51" t="str">
        <f aca="false">IF(OR($A85="",M$8=""),"",IF($F85="Migré","ROKS",IF($F85="À décommissionner",IF(M$8&lt;$AS85,"IKS","Décom."),IF(OR($AQ85="",$AS85=""),"",IF(M$8&lt;$AQ85,"IKS",IF(M$8&lt;$AS85,IF(M$8=$AR85,"Bascule","Double run"),"ROKS"))))))</f>
        <v/>
      </c>
      <c r="N85" s="51" t="str">
        <f aca="false">IF(OR($A85="",N$8=""),"",IF($F85="Migré","ROKS",IF($F85="À décommissionner",IF(N$8&lt;$AS85,"IKS","Décom."),IF(OR($AQ85="",$AS85=""),"",IF(N$8&lt;$AQ85,"IKS",IF(N$8&lt;$AS85,IF(N$8=$AR85,"Bascule","Double run"),"ROKS"))))))</f>
        <v/>
      </c>
      <c r="O85" s="51" t="str">
        <f aca="false">IF(OR($A85="",O$8=""),"",IF($F85="Migré","ROKS",IF($F85="À décommissionner",IF(O$8&lt;$AS85,"IKS","Décom."),IF(OR($AQ85="",$AS85=""),"",IF(O$8&lt;$AQ85,"IKS",IF(O$8&lt;$AS85,IF(O$8=$AR85,"Bascule","Double run"),"ROKS"))))))</f>
        <v/>
      </c>
      <c r="P85" s="51" t="str">
        <f aca="false">IF(OR($A85="",P$8=""),"",IF($F85="Migré","ROKS",IF($F85="À décommissionner",IF(P$8&lt;$AS85,"IKS","Décom."),IF(OR($AQ85="",$AS85=""),"",IF(P$8&lt;$AQ85,"IKS",IF(P$8&lt;$AS85,IF(P$8=$AR85,"Bascule","Double run"),"ROKS"))))))</f>
        <v/>
      </c>
      <c r="Q85" s="51" t="str">
        <f aca="false">IF(OR($A85="",Q$8=""),"",IF($F85="Migré","ROKS",IF($F85="À décommissionner",IF(Q$8&lt;$AS85,"IKS","Décom."),IF(OR($AQ85="",$AS85=""),"",IF(Q$8&lt;$AQ85,"IKS",IF(Q$8&lt;$AS85,IF(Q$8=$AR85,"Bascule","Double run"),"ROKS"))))))</f>
        <v/>
      </c>
      <c r="R85" s="51" t="str">
        <f aca="false">IF(OR($A85="",R$8=""),"",IF($F85="Migré","ROKS",IF($F85="À décommissionner",IF(R$8&lt;$AS85,"IKS","Décom."),IF(OR($AQ85="",$AS85=""),"",IF(R$8&lt;$AQ85,"IKS",IF(R$8&lt;$AS85,IF(R$8=$AR85,"Bascule","Double run"),"ROKS"))))))</f>
        <v/>
      </c>
      <c r="S85" s="51" t="str">
        <f aca="false">IF(OR($A85="",S$8=""),"",IF($F85="Migré","ROKS",IF($F85="À décommissionner",IF(S$8&lt;$AS85,"IKS","Décom."),IF(OR($AQ85="",$AS85=""),"",IF(S$8&lt;$AQ85,"IKS",IF(S$8&lt;$AS85,IF(S$8=$AR85,"Bascule","Double run"),"ROKS"))))))</f>
        <v/>
      </c>
      <c r="T85" s="51" t="str">
        <f aca="false">IF(OR($A85="",T$8=""),"",IF($F85="Migré","ROKS",IF($F85="À décommissionner",IF(T$8&lt;$AS85,"IKS","Décom."),IF(OR($AQ85="",$AS85=""),"",IF(T$8&lt;$AQ85,"IKS",IF(T$8&lt;$AS85,IF(T$8=$AR85,"Bascule","Double run"),"ROKS"))))))</f>
        <v/>
      </c>
      <c r="U85" s="51" t="str">
        <f aca="false">IF(OR($A85="",U$8=""),"",IF($F85="Migré","ROKS",IF($F85="À décommissionner",IF(U$8&lt;$AS85,"IKS","Décom."),IF(OR($AQ85="",$AS85=""),"",IF(U$8&lt;$AQ85,"IKS",IF(U$8&lt;$AS85,IF(U$8=$AR85,"Bascule","Double run"),"ROKS"))))))</f>
        <v/>
      </c>
      <c r="V85" s="51" t="str">
        <f aca="false">IF(OR($A85="",V$8=""),"",IF($F85="Migré","ROKS",IF($F85="À décommissionner",IF(V$8&lt;$AS85,"IKS","Décom."),IF(OR($AQ85="",$AS85=""),"",IF(V$8&lt;$AQ85,"IKS",IF(V$8&lt;$AS85,IF(V$8=$AR85,"Bascule","Double run"),"ROKS"))))))</f>
        <v/>
      </c>
      <c r="W85" s="51" t="str">
        <f aca="false">IF(OR($A85="",W$8=""),"",IF($F85="Migré","ROKS",IF($F85="À décommissionner",IF(W$8&lt;$AS85,"IKS","Décom."),IF(OR($AQ85="",$AS85=""),"",IF(W$8&lt;$AQ85,"IKS",IF(W$8&lt;$AS85,IF(W$8=$AR85,"Bascule","Double run"),"ROKS"))))))</f>
        <v/>
      </c>
      <c r="X85" s="51" t="str">
        <f aca="false">IF(OR($A85="",X$8=""),"",IF($F85="Migré","ROKS",IF($F85="À décommissionner",IF(X$8&lt;$AS85,"IKS","Décom."),IF(OR($AQ85="",$AS85=""),"",IF(X$8&lt;$AQ85,"IKS",IF(X$8&lt;$AS85,IF(X$8=$AR85,"Bascule","Double run"),"ROKS"))))))</f>
        <v/>
      </c>
      <c r="Y85" s="51" t="str">
        <f aca="false">IF(OR($A85="",Y$8=""),"",IF($F85="Migré","ROKS",IF($F85="À décommissionner",IF(Y$8&lt;$AS85,"IKS","Décom."),IF(OR($AQ85="",$AS85=""),"",IF(Y$8&lt;$AQ85,"IKS",IF(Y$8&lt;$AS85,IF(Y$8=$AR85,"Bascule","Double run"),"ROKS"))))))</f>
        <v/>
      </c>
      <c r="Z85" s="51" t="str">
        <f aca="false">IF(OR($A85="",Z$8=""),"",IF($F85="Migré","ROKS",IF($F85="À décommissionner",IF(Z$8&lt;$AS85,"IKS","Décom."),IF(OR($AQ85="",$AS85=""),"",IF(Z$8&lt;$AQ85,"IKS",IF(Z$8&lt;$AS85,IF(Z$8=$AR85,"Bascule","Double run"),"ROKS"))))))</f>
        <v/>
      </c>
      <c r="AA85" s="51" t="str">
        <f aca="false">IF(OR($A85="",AA$8=""),"",IF($F85="Migré","ROKS",IF($F85="À décommissionner",IF(AA$8&lt;$AS85,"IKS","Décom."),IF(OR($AQ85="",$AS85=""),"",IF(AA$8&lt;$AQ85,"IKS",IF(AA$8&lt;$AS85,IF(AA$8=$AR85,"Bascule","Double run"),"ROKS"))))))</f>
        <v/>
      </c>
      <c r="AB85" s="51" t="str">
        <f aca="false">IF(OR($A85="",AB$8=""),"",IF($F85="Migré","ROKS",IF($F85="À décommissionner",IF(AB$8&lt;$AS85,"IKS","Décom."),IF(OR($AQ85="",$AS85=""),"",IF(AB$8&lt;$AQ85,"IKS",IF(AB$8&lt;$AS85,IF(AB$8=$AR85,"Bascule","Double run"),"ROKS"))))))</f>
        <v/>
      </c>
      <c r="AC85" s="51" t="str">
        <f aca="false">IF(OR($A85="",AC$8=""),"",IF($F85="Migré","ROKS",IF($F85="À décommissionner",IF(AC$8&lt;$AS85,"IKS","Décom."),IF(OR($AQ85="",$AS85=""),"",IF(AC$8&lt;$AQ85,"IKS",IF(AC$8&lt;$AS85,IF(AC$8=$AR85,"Bascule","Double run"),"ROKS"))))))</f>
        <v/>
      </c>
      <c r="AD85" s="51" t="str">
        <f aca="false">IF(OR($A85="",AD$8=""),"",IF($F85="Migré","ROKS",IF($F85="À décommissionner",IF(AD$8&lt;$AS85,"IKS","Décom."),IF(OR($AQ85="",$AS85=""),"",IF(AD$8&lt;$AQ85,"IKS",IF(AD$8&lt;$AS85,IF(AD$8=$AR85,"Bascule","Double run"),"ROKS"))))))</f>
        <v/>
      </c>
      <c r="AE85" s="51" t="str">
        <f aca="false">IF(OR($A85="",AE$8=""),"",IF($F85="Migré","ROKS",IF($F85="À décommissionner",IF(AE$8&lt;$AS85,"IKS","Décom."),IF(OR($AQ85="",$AS85=""),"",IF(AE$8&lt;$AQ85,"IKS",IF(AE$8&lt;$AS85,IF(AE$8=$AR85,"Bascule","Double run"),"ROKS"))))))</f>
        <v/>
      </c>
      <c r="AF85" s="51" t="str">
        <f aca="false">IF(OR($A85="",AF$8=""),"",IF($F85="Migré","ROKS",IF($F85="À décommissionner",IF(AF$8&lt;$AS85,"IKS","Décom."),IF(OR($AQ85="",$AS85=""),"",IF(AF$8&lt;$AQ85,"IKS",IF(AF$8&lt;$AS85,IF(AF$8=$AR85,"Bascule","Double run"),"ROKS"))))))</f>
        <v/>
      </c>
      <c r="AG85" s="51" t="str">
        <f aca="false">IF(OR($A85="",AG$8=""),"",IF($F85="Migré","ROKS",IF($F85="À décommissionner",IF(AG$8&lt;$AS85,"IKS","Décom."),IF(OR($AQ85="",$AS85=""),"",IF(AG$8&lt;$AQ85,"IKS",IF(AG$8&lt;$AS85,IF(AG$8=$AR85,"Bascule","Double run"),"ROKS"))))))</f>
        <v/>
      </c>
      <c r="AH85" s="51" t="str">
        <f aca="false">IF(OR($A85="",AH$8=""),"",IF($F85="Migré","ROKS",IF($F85="À décommissionner",IF(AH$8&lt;$AS85,"IKS","Décom."),IF(OR($AQ85="",$AS85=""),"",IF(AH$8&lt;$AQ85,"IKS",IF(AH$8&lt;$AS85,IF(AH$8=$AR85,"Bascule","Double run"),"ROKS"))))))</f>
        <v/>
      </c>
      <c r="AI85" s="51" t="str">
        <f aca="false">IF(OR($A85="",AI$8=""),"",IF($F85="Migré","ROKS",IF($F85="À décommissionner",IF(AI$8&lt;$AS85,"IKS","Décom."),IF(OR($AQ85="",$AS85=""),"",IF(AI$8&lt;$AQ85,"IKS",IF(AI$8&lt;$AS85,IF(AI$8=$AR85,"Bascule","Double run"),"ROKS"))))))</f>
        <v/>
      </c>
      <c r="AJ85" s="51" t="str">
        <f aca="false">IF(OR($A85="",AJ$8=""),"",IF($F85="Migré","ROKS",IF($F85="À décommissionner",IF(AJ$8&lt;$AS85,"IKS","Décom."),IF(OR($AQ85="",$AS85=""),"",IF(AJ$8&lt;$AQ85,"IKS",IF(AJ$8&lt;$AS85,IF(AJ$8=$AR85,"Bascule","Double run"),"ROKS"))))))</f>
        <v/>
      </c>
      <c r="AK85" s="51" t="str">
        <f aca="false">IF(OR($A85="",AK$8=""),"",IF($F85="Migré","ROKS",IF($F85="À décommissionner",IF(AK$8&lt;$AS85,"IKS","Décom."),IF(OR($AQ85="",$AS85=""),"",IF(AK$8&lt;$AQ85,"IKS",IF(AK$8&lt;$AS85,IF(AK$8=$AR85,"Bascule","Double run"),"ROKS"))))))</f>
        <v/>
      </c>
      <c r="AL85" s="51" t="str">
        <f aca="false">IF(OR($A85="",AL$8=""),"",IF($F85="Migré","ROKS",IF($F85="À décommissionner",IF(AL$8&lt;$AS85,"IKS","Décom."),IF(OR($AQ85="",$AS85=""),"",IF(AL$8&lt;$AQ85,"IKS",IF(AL$8&lt;$AS85,IF(AL$8=$AR85,"Bascule","Double run"),"ROKS"))))))</f>
        <v/>
      </c>
      <c r="AM85" s="51" t="str">
        <f aca="false">IF(OR($A85="",AM$8=""),"",IF($F85="Migré","ROKS",IF($F85="À décommissionner",IF(AM$8&lt;$AS85,"IKS","Décom."),IF(OR($AQ85="",$AS85=""),"",IF(AM$8&lt;$AQ85,"IKS",IF(AM$8&lt;$AS85,IF(AM$8=$AR85,"Bascule","Double run"),"ROKS"))))))</f>
        <v/>
      </c>
      <c r="AN85" s="51" t="str">
        <f aca="false">IF(OR($A85="",AN$8=""),"",IF($F85="Migré","ROKS",IF($F85="À décommissionner",IF(AN$8&lt;$AS85,"IKS","Décom."),IF(OR($AQ85="",$AS85=""),"",IF(AN$8&lt;$AQ85,"IKS",IF(AN$8&lt;$AS85,IF(AN$8=$AR85,"Bascule","Double run"),"ROKS"))))))</f>
        <v/>
      </c>
      <c r="AO85" s="51" t="str">
        <f aca="false">IF(OR($A85="",AO$8=""),"",IF($F85="Migré","ROKS",IF($F85="À décommissionner",IF(AO$8&lt;$AS85,"IKS","Décom."),IF(OR($AQ85="",$AS85=""),"",IF(AO$8&lt;$AQ85,"IKS",IF(AO$8&lt;$AS85,IF(AO$8=$AR85,"Bascule","Double run"),"ROKS"))))))</f>
        <v/>
      </c>
      <c r="AP85" s="51" t="str">
        <f aca="false">IF(OR($A85="",AP$8=""),"",IF($F85="Migré","ROKS",IF($F85="À décommissionner",IF(AP$8&lt;$AS85,"IKS","Décom."),IF(OR($AQ85="",$AS85=""),"",IF(AP$8&lt;$AQ85,"IKS",IF(AP$8&lt;$AS85,IF(AP$8=$AR85,"Bascule","Double run"),"ROKS"))))))</f>
        <v/>
      </c>
      <c r="AQ85" s="0" t="str">
        <f aca="false">IF($A85="","",INDEX(TblApplications[Mois prov (calc)],$A85))</f>
        <v/>
      </c>
      <c r="AR85" s="0" t="str">
        <f aca="false">IF($A85="","",IFERROR(DATE(YEAR(INDEX(TblApplications[Mois bascule],$A85)),MONTH(INDEX(TblApplications[Mois bascule],$A85)),1),""))</f>
        <v/>
      </c>
      <c r="AS85" s="0" t="str">
        <f aca="false">IF($A85="","",INDEX(TblApplications[Mois lib (calc)],$A85))</f>
        <v/>
      </c>
    </row>
    <row r="86" customFormat="false" ht="15" hidden="false" customHeight="false" outlineLevel="0" collapsed="false">
      <c r="A86" s="49" t="str">
        <f aca="false">IFERROR(MATCH(78,TblApplications[Rang frise],0),"")</f>
        <v/>
      </c>
      <c r="B86" s="50" t="str">
        <f aca="false">IF($A86="","",INDEX(TblApplications[ID],$A86))</f>
        <v/>
      </c>
      <c r="C86" s="50" t="str">
        <f aca="false">IF($A86="","",INDEX(TblApplications[Application],$A86))</f>
        <v/>
      </c>
      <c r="D86" s="50" t="str">
        <f aca="false">IF($A86="","",INDEX(TblApplications[Environnement],$A86))</f>
        <v/>
      </c>
      <c r="E86" s="50" t="str">
        <f aca="false">IF($A86="","",INDEX(TblApplications[Couloir],$A86))</f>
        <v/>
      </c>
      <c r="F86" s="50" t="str">
        <f aca="false">IF($A86="","",INDEX(TblApplications[Action],$A86))</f>
        <v/>
      </c>
      <c r="G86" s="51" t="str">
        <f aca="false">IF(OR($A86="",G$8=""),"",IF($F86="Migré","ROKS",IF($F86="À décommissionner",IF(G$8&lt;$AS86,"IKS","Décom."),IF(OR($AQ86="",$AS86=""),"",IF(G$8&lt;$AQ86,"IKS",IF(G$8&lt;$AS86,IF(G$8=$AR86,"Bascule","Double run"),"ROKS"))))))</f>
        <v/>
      </c>
      <c r="H86" s="51" t="str">
        <f aca="false">IF(OR($A86="",H$8=""),"",IF($F86="Migré","ROKS",IF($F86="À décommissionner",IF(H$8&lt;$AS86,"IKS","Décom."),IF(OR($AQ86="",$AS86=""),"",IF(H$8&lt;$AQ86,"IKS",IF(H$8&lt;$AS86,IF(H$8=$AR86,"Bascule","Double run"),"ROKS"))))))</f>
        <v/>
      </c>
      <c r="I86" s="51" t="str">
        <f aca="false">IF(OR($A86="",I$8=""),"",IF($F86="Migré","ROKS",IF($F86="À décommissionner",IF(I$8&lt;$AS86,"IKS","Décom."),IF(OR($AQ86="",$AS86=""),"",IF(I$8&lt;$AQ86,"IKS",IF(I$8&lt;$AS86,IF(I$8=$AR86,"Bascule","Double run"),"ROKS"))))))</f>
        <v/>
      </c>
      <c r="J86" s="51" t="str">
        <f aca="false">IF(OR($A86="",J$8=""),"",IF($F86="Migré","ROKS",IF($F86="À décommissionner",IF(J$8&lt;$AS86,"IKS","Décom."),IF(OR($AQ86="",$AS86=""),"",IF(J$8&lt;$AQ86,"IKS",IF(J$8&lt;$AS86,IF(J$8=$AR86,"Bascule","Double run"),"ROKS"))))))</f>
        <v/>
      </c>
      <c r="K86" s="51" t="str">
        <f aca="false">IF(OR($A86="",K$8=""),"",IF($F86="Migré","ROKS",IF($F86="À décommissionner",IF(K$8&lt;$AS86,"IKS","Décom."),IF(OR($AQ86="",$AS86=""),"",IF(K$8&lt;$AQ86,"IKS",IF(K$8&lt;$AS86,IF(K$8=$AR86,"Bascule","Double run"),"ROKS"))))))</f>
        <v/>
      </c>
      <c r="L86" s="51" t="str">
        <f aca="false">IF(OR($A86="",L$8=""),"",IF($F86="Migré","ROKS",IF($F86="À décommissionner",IF(L$8&lt;$AS86,"IKS","Décom."),IF(OR($AQ86="",$AS86=""),"",IF(L$8&lt;$AQ86,"IKS",IF(L$8&lt;$AS86,IF(L$8=$AR86,"Bascule","Double run"),"ROKS"))))))</f>
        <v/>
      </c>
      <c r="M86" s="51" t="str">
        <f aca="false">IF(OR($A86="",M$8=""),"",IF($F86="Migré","ROKS",IF($F86="À décommissionner",IF(M$8&lt;$AS86,"IKS","Décom."),IF(OR($AQ86="",$AS86=""),"",IF(M$8&lt;$AQ86,"IKS",IF(M$8&lt;$AS86,IF(M$8=$AR86,"Bascule","Double run"),"ROKS"))))))</f>
        <v/>
      </c>
      <c r="N86" s="51" t="str">
        <f aca="false">IF(OR($A86="",N$8=""),"",IF($F86="Migré","ROKS",IF($F86="À décommissionner",IF(N$8&lt;$AS86,"IKS","Décom."),IF(OR($AQ86="",$AS86=""),"",IF(N$8&lt;$AQ86,"IKS",IF(N$8&lt;$AS86,IF(N$8=$AR86,"Bascule","Double run"),"ROKS"))))))</f>
        <v/>
      </c>
      <c r="O86" s="51" t="str">
        <f aca="false">IF(OR($A86="",O$8=""),"",IF($F86="Migré","ROKS",IF($F86="À décommissionner",IF(O$8&lt;$AS86,"IKS","Décom."),IF(OR($AQ86="",$AS86=""),"",IF(O$8&lt;$AQ86,"IKS",IF(O$8&lt;$AS86,IF(O$8=$AR86,"Bascule","Double run"),"ROKS"))))))</f>
        <v/>
      </c>
      <c r="P86" s="51" t="str">
        <f aca="false">IF(OR($A86="",P$8=""),"",IF($F86="Migré","ROKS",IF($F86="À décommissionner",IF(P$8&lt;$AS86,"IKS","Décom."),IF(OR($AQ86="",$AS86=""),"",IF(P$8&lt;$AQ86,"IKS",IF(P$8&lt;$AS86,IF(P$8=$AR86,"Bascule","Double run"),"ROKS"))))))</f>
        <v/>
      </c>
      <c r="Q86" s="51" t="str">
        <f aca="false">IF(OR($A86="",Q$8=""),"",IF($F86="Migré","ROKS",IF($F86="À décommissionner",IF(Q$8&lt;$AS86,"IKS","Décom."),IF(OR($AQ86="",$AS86=""),"",IF(Q$8&lt;$AQ86,"IKS",IF(Q$8&lt;$AS86,IF(Q$8=$AR86,"Bascule","Double run"),"ROKS"))))))</f>
        <v/>
      </c>
      <c r="R86" s="51" t="str">
        <f aca="false">IF(OR($A86="",R$8=""),"",IF($F86="Migré","ROKS",IF($F86="À décommissionner",IF(R$8&lt;$AS86,"IKS","Décom."),IF(OR($AQ86="",$AS86=""),"",IF(R$8&lt;$AQ86,"IKS",IF(R$8&lt;$AS86,IF(R$8=$AR86,"Bascule","Double run"),"ROKS"))))))</f>
        <v/>
      </c>
      <c r="S86" s="51" t="str">
        <f aca="false">IF(OR($A86="",S$8=""),"",IF($F86="Migré","ROKS",IF($F86="À décommissionner",IF(S$8&lt;$AS86,"IKS","Décom."),IF(OR($AQ86="",$AS86=""),"",IF(S$8&lt;$AQ86,"IKS",IF(S$8&lt;$AS86,IF(S$8=$AR86,"Bascule","Double run"),"ROKS"))))))</f>
        <v/>
      </c>
      <c r="T86" s="51" t="str">
        <f aca="false">IF(OR($A86="",T$8=""),"",IF($F86="Migré","ROKS",IF($F86="À décommissionner",IF(T$8&lt;$AS86,"IKS","Décom."),IF(OR($AQ86="",$AS86=""),"",IF(T$8&lt;$AQ86,"IKS",IF(T$8&lt;$AS86,IF(T$8=$AR86,"Bascule","Double run"),"ROKS"))))))</f>
        <v/>
      </c>
      <c r="U86" s="51" t="str">
        <f aca="false">IF(OR($A86="",U$8=""),"",IF($F86="Migré","ROKS",IF($F86="À décommissionner",IF(U$8&lt;$AS86,"IKS","Décom."),IF(OR($AQ86="",$AS86=""),"",IF(U$8&lt;$AQ86,"IKS",IF(U$8&lt;$AS86,IF(U$8=$AR86,"Bascule","Double run"),"ROKS"))))))</f>
        <v/>
      </c>
      <c r="V86" s="51" t="str">
        <f aca="false">IF(OR($A86="",V$8=""),"",IF($F86="Migré","ROKS",IF($F86="À décommissionner",IF(V$8&lt;$AS86,"IKS","Décom."),IF(OR($AQ86="",$AS86=""),"",IF(V$8&lt;$AQ86,"IKS",IF(V$8&lt;$AS86,IF(V$8=$AR86,"Bascule","Double run"),"ROKS"))))))</f>
        <v/>
      </c>
      <c r="W86" s="51" t="str">
        <f aca="false">IF(OR($A86="",W$8=""),"",IF($F86="Migré","ROKS",IF($F86="À décommissionner",IF(W$8&lt;$AS86,"IKS","Décom."),IF(OR($AQ86="",$AS86=""),"",IF(W$8&lt;$AQ86,"IKS",IF(W$8&lt;$AS86,IF(W$8=$AR86,"Bascule","Double run"),"ROKS"))))))</f>
        <v/>
      </c>
      <c r="X86" s="51" t="str">
        <f aca="false">IF(OR($A86="",X$8=""),"",IF($F86="Migré","ROKS",IF($F86="À décommissionner",IF(X$8&lt;$AS86,"IKS","Décom."),IF(OR($AQ86="",$AS86=""),"",IF(X$8&lt;$AQ86,"IKS",IF(X$8&lt;$AS86,IF(X$8=$AR86,"Bascule","Double run"),"ROKS"))))))</f>
        <v/>
      </c>
      <c r="Y86" s="51" t="str">
        <f aca="false">IF(OR($A86="",Y$8=""),"",IF($F86="Migré","ROKS",IF($F86="À décommissionner",IF(Y$8&lt;$AS86,"IKS","Décom."),IF(OR($AQ86="",$AS86=""),"",IF(Y$8&lt;$AQ86,"IKS",IF(Y$8&lt;$AS86,IF(Y$8=$AR86,"Bascule","Double run"),"ROKS"))))))</f>
        <v/>
      </c>
      <c r="Z86" s="51" t="str">
        <f aca="false">IF(OR($A86="",Z$8=""),"",IF($F86="Migré","ROKS",IF($F86="À décommissionner",IF(Z$8&lt;$AS86,"IKS","Décom."),IF(OR($AQ86="",$AS86=""),"",IF(Z$8&lt;$AQ86,"IKS",IF(Z$8&lt;$AS86,IF(Z$8=$AR86,"Bascule","Double run"),"ROKS"))))))</f>
        <v/>
      </c>
      <c r="AA86" s="51" t="str">
        <f aca="false">IF(OR($A86="",AA$8=""),"",IF($F86="Migré","ROKS",IF($F86="À décommissionner",IF(AA$8&lt;$AS86,"IKS","Décom."),IF(OR($AQ86="",$AS86=""),"",IF(AA$8&lt;$AQ86,"IKS",IF(AA$8&lt;$AS86,IF(AA$8=$AR86,"Bascule","Double run"),"ROKS"))))))</f>
        <v/>
      </c>
      <c r="AB86" s="51" t="str">
        <f aca="false">IF(OR($A86="",AB$8=""),"",IF($F86="Migré","ROKS",IF($F86="À décommissionner",IF(AB$8&lt;$AS86,"IKS","Décom."),IF(OR($AQ86="",$AS86=""),"",IF(AB$8&lt;$AQ86,"IKS",IF(AB$8&lt;$AS86,IF(AB$8=$AR86,"Bascule","Double run"),"ROKS"))))))</f>
        <v/>
      </c>
      <c r="AC86" s="51" t="str">
        <f aca="false">IF(OR($A86="",AC$8=""),"",IF($F86="Migré","ROKS",IF($F86="À décommissionner",IF(AC$8&lt;$AS86,"IKS","Décom."),IF(OR($AQ86="",$AS86=""),"",IF(AC$8&lt;$AQ86,"IKS",IF(AC$8&lt;$AS86,IF(AC$8=$AR86,"Bascule","Double run"),"ROKS"))))))</f>
        <v/>
      </c>
      <c r="AD86" s="51" t="str">
        <f aca="false">IF(OR($A86="",AD$8=""),"",IF($F86="Migré","ROKS",IF($F86="À décommissionner",IF(AD$8&lt;$AS86,"IKS","Décom."),IF(OR($AQ86="",$AS86=""),"",IF(AD$8&lt;$AQ86,"IKS",IF(AD$8&lt;$AS86,IF(AD$8=$AR86,"Bascule","Double run"),"ROKS"))))))</f>
        <v/>
      </c>
      <c r="AE86" s="51" t="str">
        <f aca="false">IF(OR($A86="",AE$8=""),"",IF($F86="Migré","ROKS",IF($F86="À décommissionner",IF(AE$8&lt;$AS86,"IKS","Décom."),IF(OR($AQ86="",$AS86=""),"",IF(AE$8&lt;$AQ86,"IKS",IF(AE$8&lt;$AS86,IF(AE$8=$AR86,"Bascule","Double run"),"ROKS"))))))</f>
        <v/>
      </c>
      <c r="AF86" s="51" t="str">
        <f aca="false">IF(OR($A86="",AF$8=""),"",IF($F86="Migré","ROKS",IF($F86="À décommissionner",IF(AF$8&lt;$AS86,"IKS","Décom."),IF(OR($AQ86="",$AS86=""),"",IF(AF$8&lt;$AQ86,"IKS",IF(AF$8&lt;$AS86,IF(AF$8=$AR86,"Bascule","Double run"),"ROKS"))))))</f>
        <v/>
      </c>
      <c r="AG86" s="51" t="str">
        <f aca="false">IF(OR($A86="",AG$8=""),"",IF($F86="Migré","ROKS",IF($F86="À décommissionner",IF(AG$8&lt;$AS86,"IKS","Décom."),IF(OR($AQ86="",$AS86=""),"",IF(AG$8&lt;$AQ86,"IKS",IF(AG$8&lt;$AS86,IF(AG$8=$AR86,"Bascule","Double run"),"ROKS"))))))</f>
        <v/>
      </c>
      <c r="AH86" s="51" t="str">
        <f aca="false">IF(OR($A86="",AH$8=""),"",IF($F86="Migré","ROKS",IF($F86="À décommissionner",IF(AH$8&lt;$AS86,"IKS","Décom."),IF(OR($AQ86="",$AS86=""),"",IF(AH$8&lt;$AQ86,"IKS",IF(AH$8&lt;$AS86,IF(AH$8=$AR86,"Bascule","Double run"),"ROKS"))))))</f>
        <v/>
      </c>
      <c r="AI86" s="51" t="str">
        <f aca="false">IF(OR($A86="",AI$8=""),"",IF($F86="Migré","ROKS",IF($F86="À décommissionner",IF(AI$8&lt;$AS86,"IKS","Décom."),IF(OR($AQ86="",$AS86=""),"",IF(AI$8&lt;$AQ86,"IKS",IF(AI$8&lt;$AS86,IF(AI$8=$AR86,"Bascule","Double run"),"ROKS"))))))</f>
        <v/>
      </c>
      <c r="AJ86" s="51" t="str">
        <f aca="false">IF(OR($A86="",AJ$8=""),"",IF($F86="Migré","ROKS",IF($F86="À décommissionner",IF(AJ$8&lt;$AS86,"IKS","Décom."),IF(OR($AQ86="",$AS86=""),"",IF(AJ$8&lt;$AQ86,"IKS",IF(AJ$8&lt;$AS86,IF(AJ$8=$AR86,"Bascule","Double run"),"ROKS"))))))</f>
        <v/>
      </c>
      <c r="AK86" s="51" t="str">
        <f aca="false">IF(OR($A86="",AK$8=""),"",IF($F86="Migré","ROKS",IF($F86="À décommissionner",IF(AK$8&lt;$AS86,"IKS","Décom."),IF(OR($AQ86="",$AS86=""),"",IF(AK$8&lt;$AQ86,"IKS",IF(AK$8&lt;$AS86,IF(AK$8=$AR86,"Bascule","Double run"),"ROKS"))))))</f>
        <v/>
      </c>
      <c r="AL86" s="51" t="str">
        <f aca="false">IF(OR($A86="",AL$8=""),"",IF($F86="Migré","ROKS",IF($F86="À décommissionner",IF(AL$8&lt;$AS86,"IKS","Décom."),IF(OR($AQ86="",$AS86=""),"",IF(AL$8&lt;$AQ86,"IKS",IF(AL$8&lt;$AS86,IF(AL$8=$AR86,"Bascule","Double run"),"ROKS"))))))</f>
        <v/>
      </c>
      <c r="AM86" s="51" t="str">
        <f aca="false">IF(OR($A86="",AM$8=""),"",IF($F86="Migré","ROKS",IF($F86="À décommissionner",IF(AM$8&lt;$AS86,"IKS","Décom."),IF(OR($AQ86="",$AS86=""),"",IF(AM$8&lt;$AQ86,"IKS",IF(AM$8&lt;$AS86,IF(AM$8=$AR86,"Bascule","Double run"),"ROKS"))))))</f>
        <v/>
      </c>
      <c r="AN86" s="51" t="str">
        <f aca="false">IF(OR($A86="",AN$8=""),"",IF($F86="Migré","ROKS",IF($F86="À décommissionner",IF(AN$8&lt;$AS86,"IKS","Décom."),IF(OR($AQ86="",$AS86=""),"",IF(AN$8&lt;$AQ86,"IKS",IF(AN$8&lt;$AS86,IF(AN$8=$AR86,"Bascule","Double run"),"ROKS"))))))</f>
        <v/>
      </c>
      <c r="AO86" s="51" t="str">
        <f aca="false">IF(OR($A86="",AO$8=""),"",IF($F86="Migré","ROKS",IF($F86="À décommissionner",IF(AO$8&lt;$AS86,"IKS","Décom."),IF(OR($AQ86="",$AS86=""),"",IF(AO$8&lt;$AQ86,"IKS",IF(AO$8&lt;$AS86,IF(AO$8=$AR86,"Bascule","Double run"),"ROKS"))))))</f>
        <v/>
      </c>
      <c r="AP86" s="51" t="str">
        <f aca="false">IF(OR($A86="",AP$8=""),"",IF($F86="Migré","ROKS",IF($F86="À décommissionner",IF(AP$8&lt;$AS86,"IKS","Décom."),IF(OR($AQ86="",$AS86=""),"",IF(AP$8&lt;$AQ86,"IKS",IF(AP$8&lt;$AS86,IF(AP$8=$AR86,"Bascule","Double run"),"ROKS"))))))</f>
        <v/>
      </c>
      <c r="AQ86" s="0" t="str">
        <f aca="false">IF($A86="","",INDEX(TblApplications[Mois prov (calc)],$A86))</f>
        <v/>
      </c>
      <c r="AR86" s="0" t="str">
        <f aca="false">IF($A86="","",IFERROR(DATE(YEAR(INDEX(TblApplications[Mois bascule],$A86)),MONTH(INDEX(TblApplications[Mois bascule],$A86)),1),""))</f>
        <v/>
      </c>
      <c r="AS86" s="0" t="str">
        <f aca="false">IF($A86="","",INDEX(TblApplications[Mois lib (calc)],$A86))</f>
        <v/>
      </c>
    </row>
    <row r="87" customFormat="false" ht="15" hidden="false" customHeight="false" outlineLevel="0" collapsed="false">
      <c r="A87" s="49" t="str">
        <f aca="false">IFERROR(MATCH(79,TblApplications[Rang frise],0),"")</f>
        <v/>
      </c>
      <c r="B87" s="50" t="str">
        <f aca="false">IF($A87="","",INDEX(TblApplications[ID],$A87))</f>
        <v/>
      </c>
      <c r="C87" s="50" t="str">
        <f aca="false">IF($A87="","",INDEX(TblApplications[Application],$A87))</f>
        <v/>
      </c>
      <c r="D87" s="50" t="str">
        <f aca="false">IF($A87="","",INDEX(TblApplications[Environnement],$A87))</f>
        <v/>
      </c>
      <c r="E87" s="50" t="str">
        <f aca="false">IF($A87="","",INDEX(TblApplications[Couloir],$A87))</f>
        <v/>
      </c>
      <c r="F87" s="50" t="str">
        <f aca="false">IF($A87="","",INDEX(TblApplications[Action],$A87))</f>
        <v/>
      </c>
      <c r="G87" s="51" t="str">
        <f aca="false">IF(OR($A87="",G$8=""),"",IF($F87="Migré","ROKS",IF($F87="À décommissionner",IF(G$8&lt;$AS87,"IKS","Décom."),IF(OR($AQ87="",$AS87=""),"",IF(G$8&lt;$AQ87,"IKS",IF(G$8&lt;$AS87,IF(G$8=$AR87,"Bascule","Double run"),"ROKS"))))))</f>
        <v/>
      </c>
      <c r="H87" s="51" t="str">
        <f aca="false">IF(OR($A87="",H$8=""),"",IF($F87="Migré","ROKS",IF($F87="À décommissionner",IF(H$8&lt;$AS87,"IKS","Décom."),IF(OR($AQ87="",$AS87=""),"",IF(H$8&lt;$AQ87,"IKS",IF(H$8&lt;$AS87,IF(H$8=$AR87,"Bascule","Double run"),"ROKS"))))))</f>
        <v/>
      </c>
      <c r="I87" s="51" t="str">
        <f aca="false">IF(OR($A87="",I$8=""),"",IF($F87="Migré","ROKS",IF($F87="À décommissionner",IF(I$8&lt;$AS87,"IKS","Décom."),IF(OR($AQ87="",$AS87=""),"",IF(I$8&lt;$AQ87,"IKS",IF(I$8&lt;$AS87,IF(I$8=$AR87,"Bascule","Double run"),"ROKS"))))))</f>
        <v/>
      </c>
      <c r="J87" s="51" t="str">
        <f aca="false">IF(OR($A87="",J$8=""),"",IF($F87="Migré","ROKS",IF($F87="À décommissionner",IF(J$8&lt;$AS87,"IKS","Décom."),IF(OR($AQ87="",$AS87=""),"",IF(J$8&lt;$AQ87,"IKS",IF(J$8&lt;$AS87,IF(J$8=$AR87,"Bascule","Double run"),"ROKS"))))))</f>
        <v/>
      </c>
      <c r="K87" s="51" t="str">
        <f aca="false">IF(OR($A87="",K$8=""),"",IF($F87="Migré","ROKS",IF($F87="À décommissionner",IF(K$8&lt;$AS87,"IKS","Décom."),IF(OR($AQ87="",$AS87=""),"",IF(K$8&lt;$AQ87,"IKS",IF(K$8&lt;$AS87,IF(K$8=$AR87,"Bascule","Double run"),"ROKS"))))))</f>
        <v/>
      </c>
      <c r="L87" s="51" t="str">
        <f aca="false">IF(OR($A87="",L$8=""),"",IF($F87="Migré","ROKS",IF($F87="À décommissionner",IF(L$8&lt;$AS87,"IKS","Décom."),IF(OR($AQ87="",$AS87=""),"",IF(L$8&lt;$AQ87,"IKS",IF(L$8&lt;$AS87,IF(L$8=$AR87,"Bascule","Double run"),"ROKS"))))))</f>
        <v/>
      </c>
      <c r="M87" s="51" t="str">
        <f aca="false">IF(OR($A87="",M$8=""),"",IF($F87="Migré","ROKS",IF($F87="À décommissionner",IF(M$8&lt;$AS87,"IKS","Décom."),IF(OR($AQ87="",$AS87=""),"",IF(M$8&lt;$AQ87,"IKS",IF(M$8&lt;$AS87,IF(M$8=$AR87,"Bascule","Double run"),"ROKS"))))))</f>
        <v/>
      </c>
      <c r="N87" s="51" t="str">
        <f aca="false">IF(OR($A87="",N$8=""),"",IF($F87="Migré","ROKS",IF($F87="À décommissionner",IF(N$8&lt;$AS87,"IKS","Décom."),IF(OR($AQ87="",$AS87=""),"",IF(N$8&lt;$AQ87,"IKS",IF(N$8&lt;$AS87,IF(N$8=$AR87,"Bascule","Double run"),"ROKS"))))))</f>
        <v/>
      </c>
      <c r="O87" s="51" t="str">
        <f aca="false">IF(OR($A87="",O$8=""),"",IF($F87="Migré","ROKS",IF($F87="À décommissionner",IF(O$8&lt;$AS87,"IKS","Décom."),IF(OR($AQ87="",$AS87=""),"",IF(O$8&lt;$AQ87,"IKS",IF(O$8&lt;$AS87,IF(O$8=$AR87,"Bascule","Double run"),"ROKS"))))))</f>
        <v/>
      </c>
      <c r="P87" s="51" t="str">
        <f aca="false">IF(OR($A87="",P$8=""),"",IF($F87="Migré","ROKS",IF($F87="À décommissionner",IF(P$8&lt;$AS87,"IKS","Décom."),IF(OR($AQ87="",$AS87=""),"",IF(P$8&lt;$AQ87,"IKS",IF(P$8&lt;$AS87,IF(P$8=$AR87,"Bascule","Double run"),"ROKS"))))))</f>
        <v/>
      </c>
      <c r="Q87" s="51" t="str">
        <f aca="false">IF(OR($A87="",Q$8=""),"",IF($F87="Migré","ROKS",IF($F87="À décommissionner",IF(Q$8&lt;$AS87,"IKS","Décom."),IF(OR($AQ87="",$AS87=""),"",IF(Q$8&lt;$AQ87,"IKS",IF(Q$8&lt;$AS87,IF(Q$8=$AR87,"Bascule","Double run"),"ROKS"))))))</f>
        <v/>
      </c>
      <c r="R87" s="51" t="str">
        <f aca="false">IF(OR($A87="",R$8=""),"",IF($F87="Migré","ROKS",IF($F87="À décommissionner",IF(R$8&lt;$AS87,"IKS","Décom."),IF(OR($AQ87="",$AS87=""),"",IF(R$8&lt;$AQ87,"IKS",IF(R$8&lt;$AS87,IF(R$8=$AR87,"Bascule","Double run"),"ROKS"))))))</f>
        <v/>
      </c>
      <c r="S87" s="51" t="str">
        <f aca="false">IF(OR($A87="",S$8=""),"",IF($F87="Migré","ROKS",IF($F87="À décommissionner",IF(S$8&lt;$AS87,"IKS","Décom."),IF(OR($AQ87="",$AS87=""),"",IF(S$8&lt;$AQ87,"IKS",IF(S$8&lt;$AS87,IF(S$8=$AR87,"Bascule","Double run"),"ROKS"))))))</f>
        <v/>
      </c>
      <c r="T87" s="51" t="str">
        <f aca="false">IF(OR($A87="",T$8=""),"",IF($F87="Migré","ROKS",IF($F87="À décommissionner",IF(T$8&lt;$AS87,"IKS","Décom."),IF(OR($AQ87="",$AS87=""),"",IF(T$8&lt;$AQ87,"IKS",IF(T$8&lt;$AS87,IF(T$8=$AR87,"Bascule","Double run"),"ROKS"))))))</f>
        <v/>
      </c>
      <c r="U87" s="51" t="str">
        <f aca="false">IF(OR($A87="",U$8=""),"",IF($F87="Migré","ROKS",IF($F87="À décommissionner",IF(U$8&lt;$AS87,"IKS","Décom."),IF(OR($AQ87="",$AS87=""),"",IF(U$8&lt;$AQ87,"IKS",IF(U$8&lt;$AS87,IF(U$8=$AR87,"Bascule","Double run"),"ROKS"))))))</f>
        <v/>
      </c>
      <c r="V87" s="51" t="str">
        <f aca="false">IF(OR($A87="",V$8=""),"",IF($F87="Migré","ROKS",IF($F87="À décommissionner",IF(V$8&lt;$AS87,"IKS","Décom."),IF(OR($AQ87="",$AS87=""),"",IF(V$8&lt;$AQ87,"IKS",IF(V$8&lt;$AS87,IF(V$8=$AR87,"Bascule","Double run"),"ROKS"))))))</f>
        <v/>
      </c>
      <c r="W87" s="51" t="str">
        <f aca="false">IF(OR($A87="",W$8=""),"",IF($F87="Migré","ROKS",IF($F87="À décommissionner",IF(W$8&lt;$AS87,"IKS","Décom."),IF(OR($AQ87="",$AS87=""),"",IF(W$8&lt;$AQ87,"IKS",IF(W$8&lt;$AS87,IF(W$8=$AR87,"Bascule","Double run"),"ROKS"))))))</f>
        <v/>
      </c>
      <c r="X87" s="51" t="str">
        <f aca="false">IF(OR($A87="",X$8=""),"",IF($F87="Migré","ROKS",IF($F87="À décommissionner",IF(X$8&lt;$AS87,"IKS","Décom."),IF(OR($AQ87="",$AS87=""),"",IF(X$8&lt;$AQ87,"IKS",IF(X$8&lt;$AS87,IF(X$8=$AR87,"Bascule","Double run"),"ROKS"))))))</f>
        <v/>
      </c>
      <c r="Y87" s="51" t="str">
        <f aca="false">IF(OR($A87="",Y$8=""),"",IF($F87="Migré","ROKS",IF($F87="À décommissionner",IF(Y$8&lt;$AS87,"IKS","Décom."),IF(OR($AQ87="",$AS87=""),"",IF(Y$8&lt;$AQ87,"IKS",IF(Y$8&lt;$AS87,IF(Y$8=$AR87,"Bascule","Double run"),"ROKS"))))))</f>
        <v/>
      </c>
      <c r="Z87" s="51" t="str">
        <f aca="false">IF(OR($A87="",Z$8=""),"",IF($F87="Migré","ROKS",IF($F87="À décommissionner",IF(Z$8&lt;$AS87,"IKS","Décom."),IF(OR($AQ87="",$AS87=""),"",IF(Z$8&lt;$AQ87,"IKS",IF(Z$8&lt;$AS87,IF(Z$8=$AR87,"Bascule","Double run"),"ROKS"))))))</f>
        <v/>
      </c>
      <c r="AA87" s="51" t="str">
        <f aca="false">IF(OR($A87="",AA$8=""),"",IF($F87="Migré","ROKS",IF($F87="À décommissionner",IF(AA$8&lt;$AS87,"IKS","Décom."),IF(OR($AQ87="",$AS87=""),"",IF(AA$8&lt;$AQ87,"IKS",IF(AA$8&lt;$AS87,IF(AA$8=$AR87,"Bascule","Double run"),"ROKS"))))))</f>
        <v/>
      </c>
      <c r="AB87" s="51" t="str">
        <f aca="false">IF(OR($A87="",AB$8=""),"",IF($F87="Migré","ROKS",IF($F87="À décommissionner",IF(AB$8&lt;$AS87,"IKS","Décom."),IF(OR($AQ87="",$AS87=""),"",IF(AB$8&lt;$AQ87,"IKS",IF(AB$8&lt;$AS87,IF(AB$8=$AR87,"Bascule","Double run"),"ROKS"))))))</f>
        <v/>
      </c>
      <c r="AC87" s="51" t="str">
        <f aca="false">IF(OR($A87="",AC$8=""),"",IF($F87="Migré","ROKS",IF($F87="À décommissionner",IF(AC$8&lt;$AS87,"IKS","Décom."),IF(OR($AQ87="",$AS87=""),"",IF(AC$8&lt;$AQ87,"IKS",IF(AC$8&lt;$AS87,IF(AC$8=$AR87,"Bascule","Double run"),"ROKS"))))))</f>
        <v/>
      </c>
      <c r="AD87" s="51" t="str">
        <f aca="false">IF(OR($A87="",AD$8=""),"",IF($F87="Migré","ROKS",IF($F87="À décommissionner",IF(AD$8&lt;$AS87,"IKS","Décom."),IF(OR($AQ87="",$AS87=""),"",IF(AD$8&lt;$AQ87,"IKS",IF(AD$8&lt;$AS87,IF(AD$8=$AR87,"Bascule","Double run"),"ROKS"))))))</f>
        <v/>
      </c>
      <c r="AE87" s="51" t="str">
        <f aca="false">IF(OR($A87="",AE$8=""),"",IF($F87="Migré","ROKS",IF($F87="À décommissionner",IF(AE$8&lt;$AS87,"IKS","Décom."),IF(OR($AQ87="",$AS87=""),"",IF(AE$8&lt;$AQ87,"IKS",IF(AE$8&lt;$AS87,IF(AE$8=$AR87,"Bascule","Double run"),"ROKS"))))))</f>
        <v/>
      </c>
      <c r="AF87" s="51" t="str">
        <f aca="false">IF(OR($A87="",AF$8=""),"",IF($F87="Migré","ROKS",IF($F87="À décommissionner",IF(AF$8&lt;$AS87,"IKS","Décom."),IF(OR($AQ87="",$AS87=""),"",IF(AF$8&lt;$AQ87,"IKS",IF(AF$8&lt;$AS87,IF(AF$8=$AR87,"Bascule","Double run"),"ROKS"))))))</f>
        <v/>
      </c>
      <c r="AG87" s="51" t="str">
        <f aca="false">IF(OR($A87="",AG$8=""),"",IF($F87="Migré","ROKS",IF($F87="À décommissionner",IF(AG$8&lt;$AS87,"IKS","Décom."),IF(OR($AQ87="",$AS87=""),"",IF(AG$8&lt;$AQ87,"IKS",IF(AG$8&lt;$AS87,IF(AG$8=$AR87,"Bascule","Double run"),"ROKS"))))))</f>
        <v/>
      </c>
      <c r="AH87" s="51" t="str">
        <f aca="false">IF(OR($A87="",AH$8=""),"",IF($F87="Migré","ROKS",IF($F87="À décommissionner",IF(AH$8&lt;$AS87,"IKS","Décom."),IF(OR($AQ87="",$AS87=""),"",IF(AH$8&lt;$AQ87,"IKS",IF(AH$8&lt;$AS87,IF(AH$8=$AR87,"Bascule","Double run"),"ROKS"))))))</f>
        <v/>
      </c>
      <c r="AI87" s="51" t="str">
        <f aca="false">IF(OR($A87="",AI$8=""),"",IF($F87="Migré","ROKS",IF($F87="À décommissionner",IF(AI$8&lt;$AS87,"IKS","Décom."),IF(OR($AQ87="",$AS87=""),"",IF(AI$8&lt;$AQ87,"IKS",IF(AI$8&lt;$AS87,IF(AI$8=$AR87,"Bascule","Double run"),"ROKS"))))))</f>
        <v/>
      </c>
      <c r="AJ87" s="51" t="str">
        <f aca="false">IF(OR($A87="",AJ$8=""),"",IF($F87="Migré","ROKS",IF($F87="À décommissionner",IF(AJ$8&lt;$AS87,"IKS","Décom."),IF(OR($AQ87="",$AS87=""),"",IF(AJ$8&lt;$AQ87,"IKS",IF(AJ$8&lt;$AS87,IF(AJ$8=$AR87,"Bascule","Double run"),"ROKS"))))))</f>
        <v/>
      </c>
      <c r="AK87" s="51" t="str">
        <f aca="false">IF(OR($A87="",AK$8=""),"",IF($F87="Migré","ROKS",IF($F87="À décommissionner",IF(AK$8&lt;$AS87,"IKS","Décom."),IF(OR($AQ87="",$AS87=""),"",IF(AK$8&lt;$AQ87,"IKS",IF(AK$8&lt;$AS87,IF(AK$8=$AR87,"Bascule","Double run"),"ROKS"))))))</f>
        <v/>
      </c>
      <c r="AL87" s="51" t="str">
        <f aca="false">IF(OR($A87="",AL$8=""),"",IF($F87="Migré","ROKS",IF($F87="À décommissionner",IF(AL$8&lt;$AS87,"IKS","Décom."),IF(OR($AQ87="",$AS87=""),"",IF(AL$8&lt;$AQ87,"IKS",IF(AL$8&lt;$AS87,IF(AL$8=$AR87,"Bascule","Double run"),"ROKS"))))))</f>
        <v/>
      </c>
      <c r="AM87" s="51" t="str">
        <f aca="false">IF(OR($A87="",AM$8=""),"",IF($F87="Migré","ROKS",IF($F87="À décommissionner",IF(AM$8&lt;$AS87,"IKS","Décom."),IF(OR($AQ87="",$AS87=""),"",IF(AM$8&lt;$AQ87,"IKS",IF(AM$8&lt;$AS87,IF(AM$8=$AR87,"Bascule","Double run"),"ROKS"))))))</f>
        <v/>
      </c>
      <c r="AN87" s="51" t="str">
        <f aca="false">IF(OR($A87="",AN$8=""),"",IF($F87="Migré","ROKS",IF($F87="À décommissionner",IF(AN$8&lt;$AS87,"IKS","Décom."),IF(OR($AQ87="",$AS87=""),"",IF(AN$8&lt;$AQ87,"IKS",IF(AN$8&lt;$AS87,IF(AN$8=$AR87,"Bascule","Double run"),"ROKS"))))))</f>
        <v/>
      </c>
      <c r="AO87" s="51" t="str">
        <f aca="false">IF(OR($A87="",AO$8=""),"",IF($F87="Migré","ROKS",IF($F87="À décommissionner",IF(AO$8&lt;$AS87,"IKS","Décom."),IF(OR($AQ87="",$AS87=""),"",IF(AO$8&lt;$AQ87,"IKS",IF(AO$8&lt;$AS87,IF(AO$8=$AR87,"Bascule","Double run"),"ROKS"))))))</f>
        <v/>
      </c>
      <c r="AP87" s="51" t="str">
        <f aca="false">IF(OR($A87="",AP$8=""),"",IF($F87="Migré","ROKS",IF($F87="À décommissionner",IF(AP$8&lt;$AS87,"IKS","Décom."),IF(OR($AQ87="",$AS87=""),"",IF(AP$8&lt;$AQ87,"IKS",IF(AP$8&lt;$AS87,IF(AP$8=$AR87,"Bascule","Double run"),"ROKS"))))))</f>
        <v/>
      </c>
      <c r="AQ87" s="0" t="str">
        <f aca="false">IF($A87="","",INDEX(TblApplications[Mois prov (calc)],$A87))</f>
        <v/>
      </c>
      <c r="AR87" s="0" t="str">
        <f aca="false">IF($A87="","",IFERROR(DATE(YEAR(INDEX(TblApplications[Mois bascule],$A87)),MONTH(INDEX(TblApplications[Mois bascule],$A87)),1),""))</f>
        <v/>
      </c>
      <c r="AS87" s="0" t="str">
        <f aca="false">IF($A87="","",INDEX(TblApplications[Mois lib (calc)],$A87))</f>
        <v/>
      </c>
    </row>
    <row r="88" customFormat="false" ht="15" hidden="false" customHeight="false" outlineLevel="0" collapsed="false">
      <c r="A88" s="49" t="str">
        <f aca="false">IFERROR(MATCH(80,TblApplications[Rang frise],0),"")</f>
        <v/>
      </c>
      <c r="B88" s="50" t="str">
        <f aca="false">IF($A88="","",INDEX(TblApplications[ID],$A88))</f>
        <v/>
      </c>
      <c r="C88" s="50" t="str">
        <f aca="false">IF($A88="","",INDEX(TblApplications[Application],$A88))</f>
        <v/>
      </c>
      <c r="D88" s="50" t="str">
        <f aca="false">IF($A88="","",INDEX(TblApplications[Environnement],$A88))</f>
        <v/>
      </c>
      <c r="E88" s="50" t="str">
        <f aca="false">IF($A88="","",INDEX(TblApplications[Couloir],$A88))</f>
        <v/>
      </c>
      <c r="F88" s="50" t="str">
        <f aca="false">IF($A88="","",INDEX(TblApplications[Action],$A88))</f>
        <v/>
      </c>
      <c r="G88" s="51" t="str">
        <f aca="false">IF(OR($A88="",G$8=""),"",IF($F88="Migré","ROKS",IF($F88="À décommissionner",IF(G$8&lt;$AS88,"IKS","Décom."),IF(OR($AQ88="",$AS88=""),"",IF(G$8&lt;$AQ88,"IKS",IF(G$8&lt;$AS88,IF(G$8=$AR88,"Bascule","Double run"),"ROKS"))))))</f>
        <v/>
      </c>
      <c r="H88" s="51" t="str">
        <f aca="false">IF(OR($A88="",H$8=""),"",IF($F88="Migré","ROKS",IF($F88="À décommissionner",IF(H$8&lt;$AS88,"IKS","Décom."),IF(OR($AQ88="",$AS88=""),"",IF(H$8&lt;$AQ88,"IKS",IF(H$8&lt;$AS88,IF(H$8=$AR88,"Bascule","Double run"),"ROKS"))))))</f>
        <v/>
      </c>
      <c r="I88" s="51" t="str">
        <f aca="false">IF(OR($A88="",I$8=""),"",IF($F88="Migré","ROKS",IF($F88="À décommissionner",IF(I$8&lt;$AS88,"IKS","Décom."),IF(OR($AQ88="",$AS88=""),"",IF(I$8&lt;$AQ88,"IKS",IF(I$8&lt;$AS88,IF(I$8=$AR88,"Bascule","Double run"),"ROKS"))))))</f>
        <v/>
      </c>
      <c r="J88" s="51" t="str">
        <f aca="false">IF(OR($A88="",J$8=""),"",IF($F88="Migré","ROKS",IF($F88="À décommissionner",IF(J$8&lt;$AS88,"IKS","Décom."),IF(OR($AQ88="",$AS88=""),"",IF(J$8&lt;$AQ88,"IKS",IF(J$8&lt;$AS88,IF(J$8=$AR88,"Bascule","Double run"),"ROKS"))))))</f>
        <v/>
      </c>
      <c r="K88" s="51" t="str">
        <f aca="false">IF(OR($A88="",K$8=""),"",IF($F88="Migré","ROKS",IF($F88="À décommissionner",IF(K$8&lt;$AS88,"IKS","Décom."),IF(OR($AQ88="",$AS88=""),"",IF(K$8&lt;$AQ88,"IKS",IF(K$8&lt;$AS88,IF(K$8=$AR88,"Bascule","Double run"),"ROKS"))))))</f>
        <v/>
      </c>
      <c r="L88" s="51" t="str">
        <f aca="false">IF(OR($A88="",L$8=""),"",IF($F88="Migré","ROKS",IF($F88="À décommissionner",IF(L$8&lt;$AS88,"IKS","Décom."),IF(OR($AQ88="",$AS88=""),"",IF(L$8&lt;$AQ88,"IKS",IF(L$8&lt;$AS88,IF(L$8=$AR88,"Bascule","Double run"),"ROKS"))))))</f>
        <v/>
      </c>
      <c r="M88" s="51" t="str">
        <f aca="false">IF(OR($A88="",M$8=""),"",IF($F88="Migré","ROKS",IF($F88="À décommissionner",IF(M$8&lt;$AS88,"IKS","Décom."),IF(OR($AQ88="",$AS88=""),"",IF(M$8&lt;$AQ88,"IKS",IF(M$8&lt;$AS88,IF(M$8=$AR88,"Bascule","Double run"),"ROKS"))))))</f>
        <v/>
      </c>
      <c r="N88" s="51" t="str">
        <f aca="false">IF(OR($A88="",N$8=""),"",IF($F88="Migré","ROKS",IF($F88="À décommissionner",IF(N$8&lt;$AS88,"IKS","Décom."),IF(OR($AQ88="",$AS88=""),"",IF(N$8&lt;$AQ88,"IKS",IF(N$8&lt;$AS88,IF(N$8=$AR88,"Bascule","Double run"),"ROKS"))))))</f>
        <v/>
      </c>
      <c r="O88" s="51" t="str">
        <f aca="false">IF(OR($A88="",O$8=""),"",IF($F88="Migré","ROKS",IF($F88="À décommissionner",IF(O$8&lt;$AS88,"IKS","Décom."),IF(OR($AQ88="",$AS88=""),"",IF(O$8&lt;$AQ88,"IKS",IF(O$8&lt;$AS88,IF(O$8=$AR88,"Bascule","Double run"),"ROKS"))))))</f>
        <v/>
      </c>
      <c r="P88" s="51" t="str">
        <f aca="false">IF(OR($A88="",P$8=""),"",IF($F88="Migré","ROKS",IF($F88="À décommissionner",IF(P$8&lt;$AS88,"IKS","Décom."),IF(OR($AQ88="",$AS88=""),"",IF(P$8&lt;$AQ88,"IKS",IF(P$8&lt;$AS88,IF(P$8=$AR88,"Bascule","Double run"),"ROKS"))))))</f>
        <v/>
      </c>
      <c r="Q88" s="51" t="str">
        <f aca="false">IF(OR($A88="",Q$8=""),"",IF($F88="Migré","ROKS",IF($F88="À décommissionner",IF(Q$8&lt;$AS88,"IKS","Décom."),IF(OR($AQ88="",$AS88=""),"",IF(Q$8&lt;$AQ88,"IKS",IF(Q$8&lt;$AS88,IF(Q$8=$AR88,"Bascule","Double run"),"ROKS"))))))</f>
        <v/>
      </c>
      <c r="R88" s="51" t="str">
        <f aca="false">IF(OR($A88="",R$8=""),"",IF($F88="Migré","ROKS",IF($F88="À décommissionner",IF(R$8&lt;$AS88,"IKS","Décom."),IF(OR($AQ88="",$AS88=""),"",IF(R$8&lt;$AQ88,"IKS",IF(R$8&lt;$AS88,IF(R$8=$AR88,"Bascule","Double run"),"ROKS"))))))</f>
        <v/>
      </c>
      <c r="S88" s="51" t="str">
        <f aca="false">IF(OR($A88="",S$8=""),"",IF($F88="Migré","ROKS",IF($F88="À décommissionner",IF(S$8&lt;$AS88,"IKS","Décom."),IF(OR($AQ88="",$AS88=""),"",IF(S$8&lt;$AQ88,"IKS",IF(S$8&lt;$AS88,IF(S$8=$AR88,"Bascule","Double run"),"ROKS"))))))</f>
        <v/>
      </c>
      <c r="T88" s="51" t="str">
        <f aca="false">IF(OR($A88="",T$8=""),"",IF($F88="Migré","ROKS",IF($F88="À décommissionner",IF(T$8&lt;$AS88,"IKS","Décom."),IF(OR($AQ88="",$AS88=""),"",IF(T$8&lt;$AQ88,"IKS",IF(T$8&lt;$AS88,IF(T$8=$AR88,"Bascule","Double run"),"ROKS"))))))</f>
        <v/>
      </c>
      <c r="U88" s="51" t="str">
        <f aca="false">IF(OR($A88="",U$8=""),"",IF($F88="Migré","ROKS",IF($F88="À décommissionner",IF(U$8&lt;$AS88,"IKS","Décom."),IF(OR($AQ88="",$AS88=""),"",IF(U$8&lt;$AQ88,"IKS",IF(U$8&lt;$AS88,IF(U$8=$AR88,"Bascule","Double run"),"ROKS"))))))</f>
        <v/>
      </c>
      <c r="V88" s="51" t="str">
        <f aca="false">IF(OR($A88="",V$8=""),"",IF($F88="Migré","ROKS",IF($F88="À décommissionner",IF(V$8&lt;$AS88,"IKS","Décom."),IF(OR($AQ88="",$AS88=""),"",IF(V$8&lt;$AQ88,"IKS",IF(V$8&lt;$AS88,IF(V$8=$AR88,"Bascule","Double run"),"ROKS"))))))</f>
        <v/>
      </c>
      <c r="W88" s="51" t="str">
        <f aca="false">IF(OR($A88="",W$8=""),"",IF($F88="Migré","ROKS",IF($F88="À décommissionner",IF(W$8&lt;$AS88,"IKS","Décom."),IF(OR($AQ88="",$AS88=""),"",IF(W$8&lt;$AQ88,"IKS",IF(W$8&lt;$AS88,IF(W$8=$AR88,"Bascule","Double run"),"ROKS"))))))</f>
        <v/>
      </c>
      <c r="X88" s="51" t="str">
        <f aca="false">IF(OR($A88="",X$8=""),"",IF($F88="Migré","ROKS",IF($F88="À décommissionner",IF(X$8&lt;$AS88,"IKS","Décom."),IF(OR($AQ88="",$AS88=""),"",IF(X$8&lt;$AQ88,"IKS",IF(X$8&lt;$AS88,IF(X$8=$AR88,"Bascule","Double run"),"ROKS"))))))</f>
        <v/>
      </c>
      <c r="Y88" s="51" t="str">
        <f aca="false">IF(OR($A88="",Y$8=""),"",IF($F88="Migré","ROKS",IF($F88="À décommissionner",IF(Y$8&lt;$AS88,"IKS","Décom."),IF(OR($AQ88="",$AS88=""),"",IF(Y$8&lt;$AQ88,"IKS",IF(Y$8&lt;$AS88,IF(Y$8=$AR88,"Bascule","Double run"),"ROKS"))))))</f>
        <v/>
      </c>
      <c r="Z88" s="51" t="str">
        <f aca="false">IF(OR($A88="",Z$8=""),"",IF($F88="Migré","ROKS",IF($F88="À décommissionner",IF(Z$8&lt;$AS88,"IKS","Décom."),IF(OR($AQ88="",$AS88=""),"",IF(Z$8&lt;$AQ88,"IKS",IF(Z$8&lt;$AS88,IF(Z$8=$AR88,"Bascule","Double run"),"ROKS"))))))</f>
        <v/>
      </c>
      <c r="AA88" s="51" t="str">
        <f aca="false">IF(OR($A88="",AA$8=""),"",IF($F88="Migré","ROKS",IF($F88="À décommissionner",IF(AA$8&lt;$AS88,"IKS","Décom."),IF(OR($AQ88="",$AS88=""),"",IF(AA$8&lt;$AQ88,"IKS",IF(AA$8&lt;$AS88,IF(AA$8=$AR88,"Bascule","Double run"),"ROKS"))))))</f>
        <v/>
      </c>
      <c r="AB88" s="51" t="str">
        <f aca="false">IF(OR($A88="",AB$8=""),"",IF($F88="Migré","ROKS",IF($F88="À décommissionner",IF(AB$8&lt;$AS88,"IKS","Décom."),IF(OR($AQ88="",$AS88=""),"",IF(AB$8&lt;$AQ88,"IKS",IF(AB$8&lt;$AS88,IF(AB$8=$AR88,"Bascule","Double run"),"ROKS"))))))</f>
        <v/>
      </c>
      <c r="AC88" s="51" t="str">
        <f aca="false">IF(OR($A88="",AC$8=""),"",IF($F88="Migré","ROKS",IF($F88="À décommissionner",IF(AC$8&lt;$AS88,"IKS","Décom."),IF(OR($AQ88="",$AS88=""),"",IF(AC$8&lt;$AQ88,"IKS",IF(AC$8&lt;$AS88,IF(AC$8=$AR88,"Bascule","Double run"),"ROKS"))))))</f>
        <v/>
      </c>
      <c r="AD88" s="51" t="str">
        <f aca="false">IF(OR($A88="",AD$8=""),"",IF($F88="Migré","ROKS",IF($F88="À décommissionner",IF(AD$8&lt;$AS88,"IKS","Décom."),IF(OR($AQ88="",$AS88=""),"",IF(AD$8&lt;$AQ88,"IKS",IF(AD$8&lt;$AS88,IF(AD$8=$AR88,"Bascule","Double run"),"ROKS"))))))</f>
        <v/>
      </c>
      <c r="AE88" s="51" t="str">
        <f aca="false">IF(OR($A88="",AE$8=""),"",IF($F88="Migré","ROKS",IF($F88="À décommissionner",IF(AE$8&lt;$AS88,"IKS","Décom."),IF(OR($AQ88="",$AS88=""),"",IF(AE$8&lt;$AQ88,"IKS",IF(AE$8&lt;$AS88,IF(AE$8=$AR88,"Bascule","Double run"),"ROKS"))))))</f>
        <v/>
      </c>
      <c r="AF88" s="51" t="str">
        <f aca="false">IF(OR($A88="",AF$8=""),"",IF($F88="Migré","ROKS",IF($F88="À décommissionner",IF(AF$8&lt;$AS88,"IKS","Décom."),IF(OR($AQ88="",$AS88=""),"",IF(AF$8&lt;$AQ88,"IKS",IF(AF$8&lt;$AS88,IF(AF$8=$AR88,"Bascule","Double run"),"ROKS"))))))</f>
        <v/>
      </c>
      <c r="AG88" s="51" t="str">
        <f aca="false">IF(OR($A88="",AG$8=""),"",IF($F88="Migré","ROKS",IF($F88="À décommissionner",IF(AG$8&lt;$AS88,"IKS","Décom."),IF(OR($AQ88="",$AS88=""),"",IF(AG$8&lt;$AQ88,"IKS",IF(AG$8&lt;$AS88,IF(AG$8=$AR88,"Bascule","Double run"),"ROKS"))))))</f>
        <v/>
      </c>
      <c r="AH88" s="51" t="str">
        <f aca="false">IF(OR($A88="",AH$8=""),"",IF($F88="Migré","ROKS",IF($F88="À décommissionner",IF(AH$8&lt;$AS88,"IKS","Décom."),IF(OR($AQ88="",$AS88=""),"",IF(AH$8&lt;$AQ88,"IKS",IF(AH$8&lt;$AS88,IF(AH$8=$AR88,"Bascule","Double run"),"ROKS"))))))</f>
        <v/>
      </c>
      <c r="AI88" s="51" t="str">
        <f aca="false">IF(OR($A88="",AI$8=""),"",IF($F88="Migré","ROKS",IF($F88="À décommissionner",IF(AI$8&lt;$AS88,"IKS","Décom."),IF(OR($AQ88="",$AS88=""),"",IF(AI$8&lt;$AQ88,"IKS",IF(AI$8&lt;$AS88,IF(AI$8=$AR88,"Bascule","Double run"),"ROKS"))))))</f>
        <v/>
      </c>
      <c r="AJ88" s="51" t="str">
        <f aca="false">IF(OR($A88="",AJ$8=""),"",IF($F88="Migré","ROKS",IF($F88="À décommissionner",IF(AJ$8&lt;$AS88,"IKS","Décom."),IF(OR($AQ88="",$AS88=""),"",IF(AJ$8&lt;$AQ88,"IKS",IF(AJ$8&lt;$AS88,IF(AJ$8=$AR88,"Bascule","Double run"),"ROKS"))))))</f>
        <v/>
      </c>
      <c r="AK88" s="51" t="str">
        <f aca="false">IF(OR($A88="",AK$8=""),"",IF($F88="Migré","ROKS",IF($F88="À décommissionner",IF(AK$8&lt;$AS88,"IKS","Décom."),IF(OR($AQ88="",$AS88=""),"",IF(AK$8&lt;$AQ88,"IKS",IF(AK$8&lt;$AS88,IF(AK$8=$AR88,"Bascule","Double run"),"ROKS"))))))</f>
        <v/>
      </c>
      <c r="AL88" s="51" t="str">
        <f aca="false">IF(OR($A88="",AL$8=""),"",IF($F88="Migré","ROKS",IF($F88="À décommissionner",IF(AL$8&lt;$AS88,"IKS","Décom."),IF(OR($AQ88="",$AS88=""),"",IF(AL$8&lt;$AQ88,"IKS",IF(AL$8&lt;$AS88,IF(AL$8=$AR88,"Bascule","Double run"),"ROKS"))))))</f>
        <v/>
      </c>
      <c r="AM88" s="51" t="str">
        <f aca="false">IF(OR($A88="",AM$8=""),"",IF($F88="Migré","ROKS",IF($F88="À décommissionner",IF(AM$8&lt;$AS88,"IKS","Décom."),IF(OR($AQ88="",$AS88=""),"",IF(AM$8&lt;$AQ88,"IKS",IF(AM$8&lt;$AS88,IF(AM$8=$AR88,"Bascule","Double run"),"ROKS"))))))</f>
        <v/>
      </c>
      <c r="AN88" s="51" t="str">
        <f aca="false">IF(OR($A88="",AN$8=""),"",IF($F88="Migré","ROKS",IF($F88="À décommissionner",IF(AN$8&lt;$AS88,"IKS","Décom."),IF(OR($AQ88="",$AS88=""),"",IF(AN$8&lt;$AQ88,"IKS",IF(AN$8&lt;$AS88,IF(AN$8=$AR88,"Bascule","Double run"),"ROKS"))))))</f>
        <v/>
      </c>
      <c r="AO88" s="51" t="str">
        <f aca="false">IF(OR($A88="",AO$8=""),"",IF($F88="Migré","ROKS",IF($F88="À décommissionner",IF(AO$8&lt;$AS88,"IKS","Décom."),IF(OR($AQ88="",$AS88=""),"",IF(AO$8&lt;$AQ88,"IKS",IF(AO$8&lt;$AS88,IF(AO$8=$AR88,"Bascule","Double run"),"ROKS"))))))</f>
        <v/>
      </c>
      <c r="AP88" s="51" t="str">
        <f aca="false">IF(OR($A88="",AP$8=""),"",IF($F88="Migré","ROKS",IF($F88="À décommissionner",IF(AP$8&lt;$AS88,"IKS","Décom."),IF(OR($AQ88="",$AS88=""),"",IF(AP$8&lt;$AQ88,"IKS",IF(AP$8&lt;$AS88,IF(AP$8=$AR88,"Bascule","Double run"),"ROKS"))))))</f>
        <v/>
      </c>
      <c r="AQ88" s="0" t="str">
        <f aca="false">IF($A88="","",INDEX(TblApplications[Mois prov (calc)],$A88))</f>
        <v/>
      </c>
      <c r="AR88" s="0" t="str">
        <f aca="false">IF($A88="","",IFERROR(DATE(YEAR(INDEX(TblApplications[Mois bascule],$A88)),MONTH(INDEX(TblApplications[Mois bascule],$A88)),1),""))</f>
        <v/>
      </c>
      <c r="AS88" s="0" t="str">
        <f aca="false">IF($A88="","",INDEX(TblApplications[Mois lib (calc)],$A88))</f>
        <v/>
      </c>
    </row>
    <row r="89" customFormat="false" ht="15" hidden="false" customHeight="false" outlineLevel="0" collapsed="false">
      <c r="A89" s="49" t="str">
        <f aca="false">IFERROR(MATCH(81,TblApplications[Rang frise],0),"")</f>
        <v/>
      </c>
      <c r="B89" s="50" t="str">
        <f aca="false">IF($A89="","",INDEX(TblApplications[ID],$A89))</f>
        <v/>
      </c>
      <c r="C89" s="50" t="str">
        <f aca="false">IF($A89="","",INDEX(TblApplications[Application],$A89))</f>
        <v/>
      </c>
      <c r="D89" s="50" t="str">
        <f aca="false">IF($A89="","",INDEX(TblApplications[Environnement],$A89))</f>
        <v/>
      </c>
      <c r="E89" s="50" t="str">
        <f aca="false">IF($A89="","",INDEX(TblApplications[Couloir],$A89))</f>
        <v/>
      </c>
      <c r="F89" s="50" t="str">
        <f aca="false">IF($A89="","",INDEX(TblApplications[Action],$A89))</f>
        <v/>
      </c>
      <c r="G89" s="51" t="str">
        <f aca="false">IF(OR($A89="",G$8=""),"",IF($F89="Migré","ROKS",IF($F89="À décommissionner",IF(G$8&lt;$AS89,"IKS","Décom."),IF(OR($AQ89="",$AS89=""),"",IF(G$8&lt;$AQ89,"IKS",IF(G$8&lt;$AS89,IF(G$8=$AR89,"Bascule","Double run"),"ROKS"))))))</f>
        <v/>
      </c>
      <c r="H89" s="51" t="str">
        <f aca="false">IF(OR($A89="",H$8=""),"",IF($F89="Migré","ROKS",IF($F89="À décommissionner",IF(H$8&lt;$AS89,"IKS","Décom."),IF(OR($AQ89="",$AS89=""),"",IF(H$8&lt;$AQ89,"IKS",IF(H$8&lt;$AS89,IF(H$8=$AR89,"Bascule","Double run"),"ROKS"))))))</f>
        <v/>
      </c>
      <c r="I89" s="51" t="str">
        <f aca="false">IF(OR($A89="",I$8=""),"",IF($F89="Migré","ROKS",IF($F89="À décommissionner",IF(I$8&lt;$AS89,"IKS","Décom."),IF(OR($AQ89="",$AS89=""),"",IF(I$8&lt;$AQ89,"IKS",IF(I$8&lt;$AS89,IF(I$8=$AR89,"Bascule","Double run"),"ROKS"))))))</f>
        <v/>
      </c>
      <c r="J89" s="51" t="str">
        <f aca="false">IF(OR($A89="",J$8=""),"",IF($F89="Migré","ROKS",IF($F89="À décommissionner",IF(J$8&lt;$AS89,"IKS","Décom."),IF(OR($AQ89="",$AS89=""),"",IF(J$8&lt;$AQ89,"IKS",IF(J$8&lt;$AS89,IF(J$8=$AR89,"Bascule","Double run"),"ROKS"))))))</f>
        <v/>
      </c>
      <c r="K89" s="51" t="str">
        <f aca="false">IF(OR($A89="",K$8=""),"",IF($F89="Migré","ROKS",IF($F89="À décommissionner",IF(K$8&lt;$AS89,"IKS","Décom."),IF(OR($AQ89="",$AS89=""),"",IF(K$8&lt;$AQ89,"IKS",IF(K$8&lt;$AS89,IF(K$8=$AR89,"Bascule","Double run"),"ROKS"))))))</f>
        <v/>
      </c>
      <c r="L89" s="51" t="str">
        <f aca="false">IF(OR($A89="",L$8=""),"",IF($F89="Migré","ROKS",IF($F89="À décommissionner",IF(L$8&lt;$AS89,"IKS","Décom."),IF(OR($AQ89="",$AS89=""),"",IF(L$8&lt;$AQ89,"IKS",IF(L$8&lt;$AS89,IF(L$8=$AR89,"Bascule","Double run"),"ROKS"))))))</f>
        <v/>
      </c>
      <c r="M89" s="51" t="str">
        <f aca="false">IF(OR($A89="",M$8=""),"",IF($F89="Migré","ROKS",IF($F89="À décommissionner",IF(M$8&lt;$AS89,"IKS","Décom."),IF(OR($AQ89="",$AS89=""),"",IF(M$8&lt;$AQ89,"IKS",IF(M$8&lt;$AS89,IF(M$8=$AR89,"Bascule","Double run"),"ROKS"))))))</f>
        <v/>
      </c>
      <c r="N89" s="51" t="str">
        <f aca="false">IF(OR($A89="",N$8=""),"",IF($F89="Migré","ROKS",IF($F89="À décommissionner",IF(N$8&lt;$AS89,"IKS","Décom."),IF(OR($AQ89="",$AS89=""),"",IF(N$8&lt;$AQ89,"IKS",IF(N$8&lt;$AS89,IF(N$8=$AR89,"Bascule","Double run"),"ROKS"))))))</f>
        <v/>
      </c>
      <c r="O89" s="51" t="str">
        <f aca="false">IF(OR($A89="",O$8=""),"",IF($F89="Migré","ROKS",IF($F89="À décommissionner",IF(O$8&lt;$AS89,"IKS","Décom."),IF(OR($AQ89="",$AS89=""),"",IF(O$8&lt;$AQ89,"IKS",IF(O$8&lt;$AS89,IF(O$8=$AR89,"Bascule","Double run"),"ROKS"))))))</f>
        <v/>
      </c>
      <c r="P89" s="51" t="str">
        <f aca="false">IF(OR($A89="",P$8=""),"",IF($F89="Migré","ROKS",IF($F89="À décommissionner",IF(P$8&lt;$AS89,"IKS","Décom."),IF(OR($AQ89="",$AS89=""),"",IF(P$8&lt;$AQ89,"IKS",IF(P$8&lt;$AS89,IF(P$8=$AR89,"Bascule","Double run"),"ROKS"))))))</f>
        <v/>
      </c>
      <c r="Q89" s="51" t="str">
        <f aca="false">IF(OR($A89="",Q$8=""),"",IF($F89="Migré","ROKS",IF($F89="À décommissionner",IF(Q$8&lt;$AS89,"IKS","Décom."),IF(OR($AQ89="",$AS89=""),"",IF(Q$8&lt;$AQ89,"IKS",IF(Q$8&lt;$AS89,IF(Q$8=$AR89,"Bascule","Double run"),"ROKS"))))))</f>
        <v/>
      </c>
      <c r="R89" s="51" t="str">
        <f aca="false">IF(OR($A89="",R$8=""),"",IF($F89="Migré","ROKS",IF($F89="À décommissionner",IF(R$8&lt;$AS89,"IKS","Décom."),IF(OR($AQ89="",$AS89=""),"",IF(R$8&lt;$AQ89,"IKS",IF(R$8&lt;$AS89,IF(R$8=$AR89,"Bascule","Double run"),"ROKS"))))))</f>
        <v/>
      </c>
      <c r="S89" s="51" t="str">
        <f aca="false">IF(OR($A89="",S$8=""),"",IF($F89="Migré","ROKS",IF($F89="À décommissionner",IF(S$8&lt;$AS89,"IKS","Décom."),IF(OR($AQ89="",$AS89=""),"",IF(S$8&lt;$AQ89,"IKS",IF(S$8&lt;$AS89,IF(S$8=$AR89,"Bascule","Double run"),"ROKS"))))))</f>
        <v/>
      </c>
      <c r="T89" s="51" t="str">
        <f aca="false">IF(OR($A89="",T$8=""),"",IF($F89="Migré","ROKS",IF($F89="À décommissionner",IF(T$8&lt;$AS89,"IKS","Décom."),IF(OR($AQ89="",$AS89=""),"",IF(T$8&lt;$AQ89,"IKS",IF(T$8&lt;$AS89,IF(T$8=$AR89,"Bascule","Double run"),"ROKS"))))))</f>
        <v/>
      </c>
      <c r="U89" s="51" t="str">
        <f aca="false">IF(OR($A89="",U$8=""),"",IF($F89="Migré","ROKS",IF($F89="À décommissionner",IF(U$8&lt;$AS89,"IKS","Décom."),IF(OR($AQ89="",$AS89=""),"",IF(U$8&lt;$AQ89,"IKS",IF(U$8&lt;$AS89,IF(U$8=$AR89,"Bascule","Double run"),"ROKS"))))))</f>
        <v/>
      </c>
      <c r="V89" s="51" t="str">
        <f aca="false">IF(OR($A89="",V$8=""),"",IF($F89="Migré","ROKS",IF($F89="À décommissionner",IF(V$8&lt;$AS89,"IKS","Décom."),IF(OR($AQ89="",$AS89=""),"",IF(V$8&lt;$AQ89,"IKS",IF(V$8&lt;$AS89,IF(V$8=$AR89,"Bascule","Double run"),"ROKS"))))))</f>
        <v/>
      </c>
      <c r="W89" s="51" t="str">
        <f aca="false">IF(OR($A89="",W$8=""),"",IF($F89="Migré","ROKS",IF($F89="À décommissionner",IF(W$8&lt;$AS89,"IKS","Décom."),IF(OR($AQ89="",$AS89=""),"",IF(W$8&lt;$AQ89,"IKS",IF(W$8&lt;$AS89,IF(W$8=$AR89,"Bascule","Double run"),"ROKS"))))))</f>
        <v/>
      </c>
      <c r="X89" s="51" t="str">
        <f aca="false">IF(OR($A89="",X$8=""),"",IF($F89="Migré","ROKS",IF($F89="À décommissionner",IF(X$8&lt;$AS89,"IKS","Décom."),IF(OR($AQ89="",$AS89=""),"",IF(X$8&lt;$AQ89,"IKS",IF(X$8&lt;$AS89,IF(X$8=$AR89,"Bascule","Double run"),"ROKS"))))))</f>
        <v/>
      </c>
      <c r="Y89" s="51" t="str">
        <f aca="false">IF(OR($A89="",Y$8=""),"",IF($F89="Migré","ROKS",IF($F89="À décommissionner",IF(Y$8&lt;$AS89,"IKS","Décom."),IF(OR($AQ89="",$AS89=""),"",IF(Y$8&lt;$AQ89,"IKS",IF(Y$8&lt;$AS89,IF(Y$8=$AR89,"Bascule","Double run"),"ROKS"))))))</f>
        <v/>
      </c>
      <c r="Z89" s="51" t="str">
        <f aca="false">IF(OR($A89="",Z$8=""),"",IF($F89="Migré","ROKS",IF($F89="À décommissionner",IF(Z$8&lt;$AS89,"IKS","Décom."),IF(OR($AQ89="",$AS89=""),"",IF(Z$8&lt;$AQ89,"IKS",IF(Z$8&lt;$AS89,IF(Z$8=$AR89,"Bascule","Double run"),"ROKS"))))))</f>
        <v/>
      </c>
      <c r="AA89" s="51" t="str">
        <f aca="false">IF(OR($A89="",AA$8=""),"",IF($F89="Migré","ROKS",IF($F89="À décommissionner",IF(AA$8&lt;$AS89,"IKS","Décom."),IF(OR($AQ89="",$AS89=""),"",IF(AA$8&lt;$AQ89,"IKS",IF(AA$8&lt;$AS89,IF(AA$8=$AR89,"Bascule","Double run"),"ROKS"))))))</f>
        <v/>
      </c>
      <c r="AB89" s="51" t="str">
        <f aca="false">IF(OR($A89="",AB$8=""),"",IF($F89="Migré","ROKS",IF($F89="À décommissionner",IF(AB$8&lt;$AS89,"IKS","Décom."),IF(OR($AQ89="",$AS89=""),"",IF(AB$8&lt;$AQ89,"IKS",IF(AB$8&lt;$AS89,IF(AB$8=$AR89,"Bascule","Double run"),"ROKS"))))))</f>
        <v/>
      </c>
      <c r="AC89" s="51" t="str">
        <f aca="false">IF(OR($A89="",AC$8=""),"",IF($F89="Migré","ROKS",IF($F89="À décommissionner",IF(AC$8&lt;$AS89,"IKS","Décom."),IF(OR($AQ89="",$AS89=""),"",IF(AC$8&lt;$AQ89,"IKS",IF(AC$8&lt;$AS89,IF(AC$8=$AR89,"Bascule","Double run"),"ROKS"))))))</f>
        <v/>
      </c>
      <c r="AD89" s="51" t="str">
        <f aca="false">IF(OR($A89="",AD$8=""),"",IF($F89="Migré","ROKS",IF($F89="À décommissionner",IF(AD$8&lt;$AS89,"IKS","Décom."),IF(OR($AQ89="",$AS89=""),"",IF(AD$8&lt;$AQ89,"IKS",IF(AD$8&lt;$AS89,IF(AD$8=$AR89,"Bascule","Double run"),"ROKS"))))))</f>
        <v/>
      </c>
      <c r="AE89" s="51" t="str">
        <f aca="false">IF(OR($A89="",AE$8=""),"",IF($F89="Migré","ROKS",IF($F89="À décommissionner",IF(AE$8&lt;$AS89,"IKS","Décom."),IF(OR($AQ89="",$AS89=""),"",IF(AE$8&lt;$AQ89,"IKS",IF(AE$8&lt;$AS89,IF(AE$8=$AR89,"Bascule","Double run"),"ROKS"))))))</f>
        <v/>
      </c>
      <c r="AF89" s="51" t="str">
        <f aca="false">IF(OR($A89="",AF$8=""),"",IF($F89="Migré","ROKS",IF($F89="À décommissionner",IF(AF$8&lt;$AS89,"IKS","Décom."),IF(OR($AQ89="",$AS89=""),"",IF(AF$8&lt;$AQ89,"IKS",IF(AF$8&lt;$AS89,IF(AF$8=$AR89,"Bascule","Double run"),"ROKS"))))))</f>
        <v/>
      </c>
      <c r="AG89" s="51" t="str">
        <f aca="false">IF(OR($A89="",AG$8=""),"",IF($F89="Migré","ROKS",IF($F89="À décommissionner",IF(AG$8&lt;$AS89,"IKS","Décom."),IF(OR($AQ89="",$AS89=""),"",IF(AG$8&lt;$AQ89,"IKS",IF(AG$8&lt;$AS89,IF(AG$8=$AR89,"Bascule","Double run"),"ROKS"))))))</f>
        <v/>
      </c>
      <c r="AH89" s="51" t="str">
        <f aca="false">IF(OR($A89="",AH$8=""),"",IF($F89="Migré","ROKS",IF($F89="À décommissionner",IF(AH$8&lt;$AS89,"IKS","Décom."),IF(OR($AQ89="",$AS89=""),"",IF(AH$8&lt;$AQ89,"IKS",IF(AH$8&lt;$AS89,IF(AH$8=$AR89,"Bascule","Double run"),"ROKS"))))))</f>
        <v/>
      </c>
      <c r="AI89" s="51" t="str">
        <f aca="false">IF(OR($A89="",AI$8=""),"",IF($F89="Migré","ROKS",IF($F89="À décommissionner",IF(AI$8&lt;$AS89,"IKS","Décom."),IF(OR($AQ89="",$AS89=""),"",IF(AI$8&lt;$AQ89,"IKS",IF(AI$8&lt;$AS89,IF(AI$8=$AR89,"Bascule","Double run"),"ROKS"))))))</f>
        <v/>
      </c>
      <c r="AJ89" s="51" t="str">
        <f aca="false">IF(OR($A89="",AJ$8=""),"",IF($F89="Migré","ROKS",IF($F89="À décommissionner",IF(AJ$8&lt;$AS89,"IKS","Décom."),IF(OR($AQ89="",$AS89=""),"",IF(AJ$8&lt;$AQ89,"IKS",IF(AJ$8&lt;$AS89,IF(AJ$8=$AR89,"Bascule","Double run"),"ROKS"))))))</f>
        <v/>
      </c>
      <c r="AK89" s="51" t="str">
        <f aca="false">IF(OR($A89="",AK$8=""),"",IF($F89="Migré","ROKS",IF($F89="À décommissionner",IF(AK$8&lt;$AS89,"IKS","Décom."),IF(OR($AQ89="",$AS89=""),"",IF(AK$8&lt;$AQ89,"IKS",IF(AK$8&lt;$AS89,IF(AK$8=$AR89,"Bascule","Double run"),"ROKS"))))))</f>
        <v/>
      </c>
      <c r="AL89" s="51" t="str">
        <f aca="false">IF(OR($A89="",AL$8=""),"",IF($F89="Migré","ROKS",IF($F89="À décommissionner",IF(AL$8&lt;$AS89,"IKS","Décom."),IF(OR($AQ89="",$AS89=""),"",IF(AL$8&lt;$AQ89,"IKS",IF(AL$8&lt;$AS89,IF(AL$8=$AR89,"Bascule","Double run"),"ROKS"))))))</f>
        <v/>
      </c>
      <c r="AM89" s="51" t="str">
        <f aca="false">IF(OR($A89="",AM$8=""),"",IF($F89="Migré","ROKS",IF($F89="À décommissionner",IF(AM$8&lt;$AS89,"IKS","Décom."),IF(OR($AQ89="",$AS89=""),"",IF(AM$8&lt;$AQ89,"IKS",IF(AM$8&lt;$AS89,IF(AM$8=$AR89,"Bascule","Double run"),"ROKS"))))))</f>
        <v/>
      </c>
      <c r="AN89" s="51" t="str">
        <f aca="false">IF(OR($A89="",AN$8=""),"",IF($F89="Migré","ROKS",IF($F89="À décommissionner",IF(AN$8&lt;$AS89,"IKS","Décom."),IF(OR($AQ89="",$AS89=""),"",IF(AN$8&lt;$AQ89,"IKS",IF(AN$8&lt;$AS89,IF(AN$8=$AR89,"Bascule","Double run"),"ROKS"))))))</f>
        <v/>
      </c>
      <c r="AO89" s="51" t="str">
        <f aca="false">IF(OR($A89="",AO$8=""),"",IF($F89="Migré","ROKS",IF($F89="À décommissionner",IF(AO$8&lt;$AS89,"IKS","Décom."),IF(OR($AQ89="",$AS89=""),"",IF(AO$8&lt;$AQ89,"IKS",IF(AO$8&lt;$AS89,IF(AO$8=$AR89,"Bascule","Double run"),"ROKS"))))))</f>
        <v/>
      </c>
      <c r="AP89" s="51" t="str">
        <f aca="false">IF(OR($A89="",AP$8=""),"",IF($F89="Migré","ROKS",IF($F89="À décommissionner",IF(AP$8&lt;$AS89,"IKS","Décom."),IF(OR($AQ89="",$AS89=""),"",IF(AP$8&lt;$AQ89,"IKS",IF(AP$8&lt;$AS89,IF(AP$8=$AR89,"Bascule","Double run"),"ROKS"))))))</f>
        <v/>
      </c>
      <c r="AQ89" s="0" t="str">
        <f aca="false">IF($A89="","",INDEX(TblApplications[Mois prov (calc)],$A89))</f>
        <v/>
      </c>
      <c r="AR89" s="0" t="str">
        <f aca="false">IF($A89="","",IFERROR(DATE(YEAR(INDEX(TblApplications[Mois bascule],$A89)),MONTH(INDEX(TblApplications[Mois bascule],$A89)),1),""))</f>
        <v/>
      </c>
      <c r="AS89" s="0" t="str">
        <f aca="false">IF($A89="","",INDEX(TblApplications[Mois lib (calc)],$A89))</f>
        <v/>
      </c>
    </row>
    <row r="90" customFormat="false" ht="15" hidden="false" customHeight="false" outlineLevel="0" collapsed="false">
      <c r="A90" s="49" t="str">
        <f aca="false">IFERROR(MATCH(82,TblApplications[Rang frise],0),"")</f>
        <v/>
      </c>
      <c r="B90" s="50" t="str">
        <f aca="false">IF($A90="","",INDEX(TblApplications[ID],$A90))</f>
        <v/>
      </c>
      <c r="C90" s="50" t="str">
        <f aca="false">IF($A90="","",INDEX(TblApplications[Application],$A90))</f>
        <v/>
      </c>
      <c r="D90" s="50" t="str">
        <f aca="false">IF($A90="","",INDEX(TblApplications[Environnement],$A90))</f>
        <v/>
      </c>
      <c r="E90" s="50" t="str">
        <f aca="false">IF($A90="","",INDEX(TblApplications[Couloir],$A90))</f>
        <v/>
      </c>
      <c r="F90" s="50" t="str">
        <f aca="false">IF($A90="","",INDEX(TblApplications[Action],$A90))</f>
        <v/>
      </c>
      <c r="G90" s="51" t="str">
        <f aca="false">IF(OR($A90="",G$8=""),"",IF($F90="Migré","ROKS",IF($F90="À décommissionner",IF(G$8&lt;$AS90,"IKS","Décom."),IF(OR($AQ90="",$AS90=""),"",IF(G$8&lt;$AQ90,"IKS",IF(G$8&lt;$AS90,IF(G$8=$AR90,"Bascule","Double run"),"ROKS"))))))</f>
        <v/>
      </c>
      <c r="H90" s="51" t="str">
        <f aca="false">IF(OR($A90="",H$8=""),"",IF($F90="Migré","ROKS",IF($F90="À décommissionner",IF(H$8&lt;$AS90,"IKS","Décom."),IF(OR($AQ90="",$AS90=""),"",IF(H$8&lt;$AQ90,"IKS",IF(H$8&lt;$AS90,IF(H$8=$AR90,"Bascule","Double run"),"ROKS"))))))</f>
        <v/>
      </c>
      <c r="I90" s="51" t="str">
        <f aca="false">IF(OR($A90="",I$8=""),"",IF($F90="Migré","ROKS",IF($F90="À décommissionner",IF(I$8&lt;$AS90,"IKS","Décom."),IF(OR($AQ90="",$AS90=""),"",IF(I$8&lt;$AQ90,"IKS",IF(I$8&lt;$AS90,IF(I$8=$AR90,"Bascule","Double run"),"ROKS"))))))</f>
        <v/>
      </c>
      <c r="J90" s="51" t="str">
        <f aca="false">IF(OR($A90="",J$8=""),"",IF($F90="Migré","ROKS",IF($F90="À décommissionner",IF(J$8&lt;$AS90,"IKS","Décom."),IF(OR($AQ90="",$AS90=""),"",IF(J$8&lt;$AQ90,"IKS",IF(J$8&lt;$AS90,IF(J$8=$AR90,"Bascule","Double run"),"ROKS"))))))</f>
        <v/>
      </c>
      <c r="K90" s="51" t="str">
        <f aca="false">IF(OR($A90="",K$8=""),"",IF($F90="Migré","ROKS",IF($F90="À décommissionner",IF(K$8&lt;$AS90,"IKS","Décom."),IF(OR($AQ90="",$AS90=""),"",IF(K$8&lt;$AQ90,"IKS",IF(K$8&lt;$AS90,IF(K$8=$AR90,"Bascule","Double run"),"ROKS"))))))</f>
        <v/>
      </c>
      <c r="L90" s="51" t="str">
        <f aca="false">IF(OR($A90="",L$8=""),"",IF($F90="Migré","ROKS",IF($F90="À décommissionner",IF(L$8&lt;$AS90,"IKS","Décom."),IF(OR($AQ90="",$AS90=""),"",IF(L$8&lt;$AQ90,"IKS",IF(L$8&lt;$AS90,IF(L$8=$AR90,"Bascule","Double run"),"ROKS"))))))</f>
        <v/>
      </c>
      <c r="M90" s="51" t="str">
        <f aca="false">IF(OR($A90="",M$8=""),"",IF($F90="Migré","ROKS",IF($F90="À décommissionner",IF(M$8&lt;$AS90,"IKS","Décom."),IF(OR($AQ90="",$AS90=""),"",IF(M$8&lt;$AQ90,"IKS",IF(M$8&lt;$AS90,IF(M$8=$AR90,"Bascule","Double run"),"ROKS"))))))</f>
        <v/>
      </c>
      <c r="N90" s="51" t="str">
        <f aca="false">IF(OR($A90="",N$8=""),"",IF($F90="Migré","ROKS",IF($F90="À décommissionner",IF(N$8&lt;$AS90,"IKS","Décom."),IF(OR($AQ90="",$AS90=""),"",IF(N$8&lt;$AQ90,"IKS",IF(N$8&lt;$AS90,IF(N$8=$AR90,"Bascule","Double run"),"ROKS"))))))</f>
        <v/>
      </c>
      <c r="O90" s="51" t="str">
        <f aca="false">IF(OR($A90="",O$8=""),"",IF($F90="Migré","ROKS",IF($F90="À décommissionner",IF(O$8&lt;$AS90,"IKS","Décom."),IF(OR($AQ90="",$AS90=""),"",IF(O$8&lt;$AQ90,"IKS",IF(O$8&lt;$AS90,IF(O$8=$AR90,"Bascule","Double run"),"ROKS"))))))</f>
        <v/>
      </c>
      <c r="P90" s="51" t="str">
        <f aca="false">IF(OR($A90="",P$8=""),"",IF($F90="Migré","ROKS",IF($F90="À décommissionner",IF(P$8&lt;$AS90,"IKS","Décom."),IF(OR($AQ90="",$AS90=""),"",IF(P$8&lt;$AQ90,"IKS",IF(P$8&lt;$AS90,IF(P$8=$AR90,"Bascule","Double run"),"ROKS"))))))</f>
        <v/>
      </c>
      <c r="Q90" s="51" t="str">
        <f aca="false">IF(OR($A90="",Q$8=""),"",IF($F90="Migré","ROKS",IF($F90="À décommissionner",IF(Q$8&lt;$AS90,"IKS","Décom."),IF(OR($AQ90="",$AS90=""),"",IF(Q$8&lt;$AQ90,"IKS",IF(Q$8&lt;$AS90,IF(Q$8=$AR90,"Bascule","Double run"),"ROKS"))))))</f>
        <v/>
      </c>
      <c r="R90" s="51" t="str">
        <f aca="false">IF(OR($A90="",R$8=""),"",IF($F90="Migré","ROKS",IF($F90="À décommissionner",IF(R$8&lt;$AS90,"IKS","Décom."),IF(OR($AQ90="",$AS90=""),"",IF(R$8&lt;$AQ90,"IKS",IF(R$8&lt;$AS90,IF(R$8=$AR90,"Bascule","Double run"),"ROKS"))))))</f>
        <v/>
      </c>
      <c r="S90" s="51" t="str">
        <f aca="false">IF(OR($A90="",S$8=""),"",IF($F90="Migré","ROKS",IF($F90="À décommissionner",IF(S$8&lt;$AS90,"IKS","Décom."),IF(OR($AQ90="",$AS90=""),"",IF(S$8&lt;$AQ90,"IKS",IF(S$8&lt;$AS90,IF(S$8=$AR90,"Bascule","Double run"),"ROKS"))))))</f>
        <v/>
      </c>
      <c r="T90" s="51" t="str">
        <f aca="false">IF(OR($A90="",T$8=""),"",IF($F90="Migré","ROKS",IF($F90="À décommissionner",IF(T$8&lt;$AS90,"IKS","Décom."),IF(OR($AQ90="",$AS90=""),"",IF(T$8&lt;$AQ90,"IKS",IF(T$8&lt;$AS90,IF(T$8=$AR90,"Bascule","Double run"),"ROKS"))))))</f>
        <v/>
      </c>
      <c r="U90" s="51" t="str">
        <f aca="false">IF(OR($A90="",U$8=""),"",IF($F90="Migré","ROKS",IF($F90="À décommissionner",IF(U$8&lt;$AS90,"IKS","Décom."),IF(OR($AQ90="",$AS90=""),"",IF(U$8&lt;$AQ90,"IKS",IF(U$8&lt;$AS90,IF(U$8=$AR90,"Bascule","Double run"),"ROKS"))))))</f>
        <v/>
      </c>
      <c r="V90" s="51" t="str">
        <f aca="false">IF(OR($A90="",V$8=""),"",IF($F90="Migré","ROKS",IF($F90="À décommissionner",IF(V$8&lt;$AS90,"IKS","Décom."),IF(OR($AQ90="",$AS90=""),"",IF(V$8&lt;$AQ90,"IKS",IF(V$8&lt;$AS90,IF(V$8=$AR90,"Bascule","Double run"),"ROKS"))))))</f>
        <v/>
      </c>
      <c r="W90" s="51" t="str">
        <f aca="false">IF(OR($A90="",W$8=""),"",IF($F90="Migré","ROKS",IF($F90="À décommissionner",IF(W$8&lt;$AS90,"IKS","Décom."),IF(OR($AQ90="",$AS90=""),"",IF(W$8&lt;$AQ90,"IKS",IF(W$8&lt;$AS90,IF(W$8=$AR90,"Bascule","Double run"),"ROKS"))))))</f>
        <v/>
      </c>
      <c r="X90" s="51" t="str">
        <f aca="false">IF(OR($A90="",X$8=""),"",IF($F90="Migré","ROKS",IF($F90="À décommissionner",IF(X$8&lt;$AS90,"IKS","Décom."),IF(OR($AQ90="",$AS90=""),"",IF(X$8&lt;$AQ90,"IKS",IF(X$8&lt;$AS90,IF(X$8=$AR90,"Bascule","Double run"),"ROKS"))))))</f>
        <v/>
      </c>
      <c r="Y90" s="51" t="str">
        <f aca="false">IF(OR($A90="",Y$8=""),"",IF($F90="Migré","ROKS",IF($F90="À décommissionner",IF(Y$8&lt;$AS90,"IKS","Décom."),IF(OR($AQ90="",$AS90=""),"",IF(Y$8&lt;$AQ90,"IKS",IF(Y$8&lt;$AS90,IF(Y$8=$AR90,"Bascule","Double run"),"ROKS"))))))</f>
        <v/>
      </c>
      <c r="Z90" s="51" t="str">
        <f aca="false">IF(OR($A90="",Z$8=""),"",IF($F90="Migré","ROKS",IF($F90="À décommissionner",IF(Z$8&lt;$AS90,"IKS","Décom."),IF(OR($AQ90="",$AS90=""),"",IF(Z$8&lt;$AQ90,"IKS",IF(Z$8&lt;$AS90,IF(Z$8=$AR90,"Bascule","Double run"),"ROKS"))))))</f>
        <v/>
      </c>
      <c r="AA90" s="51" t="str">
        <f aca="false">IF(OR($A90="",AA$8=""),"",IF($F90="Migré","ROKS",IF($F90="À décommissionner",IF(AA$8&lt;$AS90,"IKS","Décom."),IF(OR($AQ90="",$AS90=""),"",IF(AA$8&lt;$AQ90,"IKS",IF(AA$8&lt;$AS90,IF(AA$8=$AR90,"Bascule","Double run"),"ROKS"))))))</f>
        <v/>
      </c>
      <c r="AB90" s="51" t="str">
        <f aca="false">IF(OR($A90="",AB$8=""),"",IF($F90="Migré","ROKS",IF($F90="À décommissionner",IF(AB$8&lt;$AS90,"IKS","Décom."),IF(OR($AQ90="",$AS90=""),"",IF(AB$8&lt;$AQ90,"IKS",IF(AB$8&lt;$AS90,IF(AB$8=$AR90,"Bascule","Double run"),"ROKS"))))))</f>
        <v/>
      </c>
      <c r="AC90" s="51" t="str">
        <f aca="false">IF(OR($A90="",AC$8=""),"",IF($F90="Migré","ROKS",IF($F90="À décommissionner",IF(AC$8&lt;$AS90,"IKS","Décom."),IF(OR($AQ90="",$AS90=""),"",IF(AC$8&lt;$AQ90,"IKS",IF(AC$8&lt;$AS90,IF(AC$8=$AR90,"Bascule","Double run"),"ROKS"))))))</f>
        <v/>
      </c>
      <c r="AD90" s="51" t="str">
        <f aca="false">IF(OR($A90="",AD$8=""),"",IF($F90="Migré","ROKS",IF($F90="À décommissionner",IF(AD$8&lt;$AS90,"IKS","Décom."),IF(OR($AQ90="",$AS90=""),"",IF(AD$8&lt;$AQ90,"IKS",IF(AD$8&lt;$AS90,IF(AD$8=$AR90,"Bascule","Double run"),"ROKS"))))))</f>
        <v/>
      </c>
      <c r="AE90" s="51" t="str">
        <f aca="false">IF(OR($A90="",AE$8=""),"",IF($F90="Migré","ROKS",IF($F90="À décommissionner",IF(AE$8&lt;$AS90,"IKS","Décom."),IF(OR($AQ90="",$AS90=""),"",IF(AE$8&lt;$AQ90,"IKS",IF(AE$8&lt;$AS90,IF(AE$8=$AR90,"Bascule","Double run"),"ROKS"))))))</f>
        <v/>
      </c>
      <c r="AF90" s="51" t="str">
        <f aca="false">IF(OR($A90="",AF$8=""),"",IF($F90="Migré","ROKS",IF($F90="À décommissionner",IF(AF$8&lt;$AS90,"IKS","Décom."),IF(OR($AQ90="",$AS90=""),"",IF(AF$8&lt;$AQ90,"IKS",IF(AF$8&lt;$AS90,IF(AF$8=$AR90,"Bascule","Double run"),"ROKS"))))))</f>
        <v/>
      </c>
      <c r="AG90" s="51" t="str">
        <f aca="false">IF(OR($A90="",AG$8=""),"",IF($F90="Migré","ROKS",IF($F90="À décommissionner",IF(AG$8&lt;$AS90,"IKS","Décom."),IF(OR($AQ90="",$AS90=""),"",IF(AG$8&lt;$AQ90,"IKS",IF(AG$8&lt;$AS90,IF(AG$8=$AR90,"Bascule","Double run"),"ROKS"))))))</f>
        <v/>
      </c>
      <c r="AH90" s="51" t="str">
        <f aca="false">IF(OR($A90="",AH$8=""),"",IF($F90="Migré","ROKS",IF($F90="À décommissionner",IF(AH$8&lt;$AS90,"IKS","Décom."),IF(OR($AQ90="",$AS90=""),"",IF(AH$8&lt;$AQ90,"IKS",IF(AH$8&lt;$AS90,IF(AH$8=$AR90,"Bascule","Double run"),"ROKS"))))))</f>
        <v/>
      </c>
      <c r="AI90" s="51" t="str">
        <f aca="false">IF(OR($A90="",AI$8=""),"",IF($F90="Migré","ROKS",IF($F90="À décommissionner",IF(AI$8&lt;$AS90,"IKS","Décom."),IF(OR($AQ90="",$AS90=""),"",IF(AI$8&lt;$AQ90,"IKS",IF(AI$8&lt;$AS90,IF(AI$8=$AR90,"Bascule","Double run"),"ROKS"))))))</f>
        <v/>
      </c>
      <c r="AJ90" s="51" t="str">
        <f aca="false">IF(OR($A90="",AJ$8=""),"",IF($F90="Migré","ROKS",IF($F90="À décommissionner",IF(AJ$8&lt;$AS90,"IKS","Décom."),IF(OR($AQ90="",$AS90=""),"",IF(AJ$8&lt;$AQ90,"IKS",IF(AJ$8&lt;$AS90,IF(AJ$8=$AR90,"Bascule","Double run"),"ROKS"))))))</f>
        <v/>
      </c>
      <c r="AK90" s="51" t="str">
        <f aca="false">IF(OR($A90="",AK$8=""),"",IF($F90="Migré","ROKS",IF($F90="À décommissionner",IF(AK$8&lt;$AS90,"IKS","Décom."),IF(OR($AQ90="",$AS90=""),"",IF(AK$8&lt;$AQ90,"IKS",IF(AK$8&lt;$AS90,IF(AK$8=$AR90,"Bascule","Double run"),"ROKS"))))))</f>
        <v/>
      </c>
      <c r="AL90" s="51" t="str">
        <f aca="false">IF(OR($A90="",AL$8=""),"",IF($F90="Migré","ROKS",IF($F90="À décommissionner",IF(AL$8&lt;$AS90,"IKS","Décom."),IF(OR($AQ90="",$AS90=""),"",IF(AL$8&lt;$AQ90,"IKS",IF(AL$8&lt;$AS90,IF(AL$8=$AR90,"Bascule","Double run"),"ROKS"))))))</f>
        <v/>
      </c>
      <c r="AM90" s="51" t="str">
        <f aca="false">IF(OR($A90="",AM$8=""),"",IF($F90="Migré","ROKS",IF($F90="À décommissionner",IF(AM$8&lt;$AS90,"IKS","Décom."),IF(OR($AQ90="",$AS90=""),"",IF(AM$8&lt;$AQ90,"IKS",IF(AM$8&lt;$AS90,IF(AM$8=$AR90,"Bascule","Double run"),"ROKS"))))))</f>
        <v/>
      </c>
      <c r="AN90" s="51" t="str">
        <f aca="false">IF(OR($A90="",AN$8=""),"",IF($F90="Migré","ROKS",IF($F90="À décommissionner",IF(AN$8&lt;$AS90,"IKS","Décom."),IF(OR($AQ90="",$AS90=""),"",IF(AN$8&lt;$AQ90,"IKS",IF(AN$8&lt;$AS90,IF(AN$8=$AR90,"Bascule","Double run"),"ROKS"))))))</f>
        <v/>
      </c>
      <c r="AO90" s="51" t="str">
        <f aca="false">IF(OR($A90="",AO$8=""),"",IF($F90="Migré","ROKS",IF($F90="À décommissionner",IF(AO$8&lt;$AS90,"IKS","Décom."),IF(OR($AQ90="",$AS90=""),"",IF(AO$8&lt;$AQ90,"IKS",IF(AO$8&lt;$AS90,IF(AO$8=$AR90,"Bascule","Double run"),"ROKS"))))))</f>
        <v/>
      </c>
      <c r="AP90" s="51" t="str">
        <f aca="false">IF(OR($A90="",AP$8=""),"",IF($F90="Migré","ROKS",IF($F90="À décommissionner",IF(AP$8&lt;$AS90,"IKS","Décom."),IF(OR($AQ90="",$AS90=""),"",IF(AP$8&lt;$AQ90,"IKS",IF(AP$8&lt;$AS90,IF(AP$8=$AR90,"Bascule","Double run"),"ROKS"))))))</f>
        <v/>
      </c>
      <c r="AQ90" s="0" t="str">
        <f aca="false">IF($A90="","",INDEX(TblApplications[Mois prov (calc)],$A90))</f>
        <v/>
      </c>
      <c r="AR90" s="0" t="str">
        <f aca="false">IF($A90="","",IFERROR(DATE(YEAR(INDEX(TblApplications[Mois bascule],$A90)),MONTH(INDEX(TblApplications[Mois bascule],$A90)),1),""))</f>
        <v/>
      </c>
      <c r="AS90" s="0" t="str">
        <f aca="false">IF($A90="","",INDEX(TblApplications[Mois lib (calc)],$A90))</f>
        <v/>
      </c>
    </row>
    <row r="91" customFormat="false" ht="15" hidden="false" customHeight="false" outlineLevel="0" collapsed="false">
      <c r="A91" s="49" t="str">
        <f aca="false">IFERROR(MATCH(83,TblApplications[Rang frise],0),"")</f>
        <v/>
      </c>
      <c r="B91" s="50" t="str">
        <f aca="false">IF($A91="","",INDEX(TblApplications[ID],$A91))</f>
        <v/>
      </c>
      <c r="C91" s="50" t="str">
        <f aca="false">IF($A91="","",INDEX(TblApplications[Application],$A91))</f>
        <v/>
      </c>
      <c r="D91" s="50" t="str">
        <f aca="false">IF($A91="","",INDEX(TblApplications[Environnement],$A91))</f>
        <v/>
      </c>
      <c r="E91" s="50" t="str">
        <f aca="false">IF($A91="","",INDEX(TblApplications[Couloir],$A91))</f>
        <v/>
      </c>
      <c r="F91" s="50" t="str">
        <f aca="false">IF($A91="","",INDEX(TblApplications[Action],$A91))</f>
        <v/>
      </c>
      <c r="G91" s="51" t="str">
        <f aca="false">IF(OR($A91="",G$8=""),"",IF($F91="Migré","ROKS",IF($F91="À décommissionner",IF(G$8&lt;$AS91,"IKS","Décom."),IF(OR($AQ91="",$AS91=""),"",IF(G$8&lt;$AQ91,"IKS",IF(G$8&lt;$AS91,IF(G$8=$AR91,"Bascule","Double run"),"ROKS"))))))</f>
        <v/>
      </c>
      <c r="H91" s="51" t="str">
        <f aca="false">IF(OR($A91="",H$8=""),"",IF($F91="Migré","ROKS",IF($F91="À décommissionner",IF(H$8&lt;$AS91,"IKS","Décom."),IF(OR($AQ91="",$AS91=""),"",IF(H$8&lt;$AQ91,"IKS",IF(H$8&lt;$AS91,IF(H$8=$AR91,"Bascule","Double run"),"ROKS"))))))</f>
        <v/>
      </c>
      <c r="I91" s="51" t="str">
        <f aca="false">IF(OR($A91="",I$8=""),"",IF($F91="Migré","ROKS",IF($F91="À décommissionner",IF(I$8&lt;$AS91,"IKS","Décom."),IF(OR($AQ91="",$AS91=""),"",IF(I$8&lt;$AQ91,"IKS",IF(I$8&lt;$AS91,IF(I$8=$AR91,"Bascule","Double run"),"ROKS"))))))</f>
        <v/>
      </c>
      <c r="J91" s="51" t="str">
        <f aca="false">IF(OR($A91="",J$8=""),"",IF($F91="Migré","ROKS",IF($F91="À décommissionner",IF(J$8&lt;$AS91,"IKS","Décom."),IF(OR($AQ91="",$AS91=""),"",IF(J$8&lt;$AQ91,"IKS",IF(J$8&lt;$AS91,IF(J$8=$AR91,"Bascule","Double run"),"ROKS"))))))</f>
        <v/>
      </c>
      <c r="K91" s="51" t="str">
        <f aca="false">IF(OR($A91="",K$8=""),"",IF($F91="Migré","ROKS",IF($F91="À décommissionner",IF(K$8&lt;$AS91,"IKS","Décom."),IF(OR($AQ91="",$AS91=""),"",IF(K$8&lt;$AQ91,"IKS",IF(K$8&lt;$AS91,IF(K$8=$AR91,"Bascule","Double run"),"ROKS"))))))</f>
        <v/>
      </c>
      <c r="L91" s="51" t="str">
        <f aca="false">IF(OR($A91="",L$8=""),"",IF($F91="Migré","ROKS",IF($F91="À décommissionner",IF(L$8&lt;$AS91,"IKS","Décom."),IF(OR($AQ91="",$AS91=""),"",IF(L$8&lt;$AQ91,"IKS",IF(L$8&lt;$AS91,IF(L$8=$AR91,"Bascule","Double run"),"ROKS"))))))</f>
        <v/>
      </c>
      <c r="M91" s="51" t="str">
        <f aca="false">IF(OR($A91="",M$8=""),"",IF($F91="Migré","ROKS",IF($F91="À décommissionner",IF(M$8&lt;$AS91,"IKS","Décom."),IF(OR($AQ91="",$AS91=""),"",IF(M$8&lt;$AQ91,"IKS",IF(M$8&lt;$AS91,IF(M$8=$AR91,"Bascule","Double run"),"ROKS"))))))</f>
        <v/>
      </c>
      <c r="N91" s="51" t="str">
        <f aca="false">IF(OR($A91="",N$8=""),"",IF($F91="Migré","ROKS",IF($F91="À décommissionner",IF(N$8&lt;$AS91,"IKS","Décom."),IF(OR($AQ91="",$AS91=""),"",IF(N$8&lt;$AQ91,"IKS",IF(N$8&lt;$AS91,IF(N$8=$AR91,"Bascule","Double run"),"ROKS"))))))</f>
        <v/>
      </c>
      <c r="O91" s="51" t="str">
        <f aca="false">IF(OR($A91="",O$8=""),"",IF($F91="Migré","ROKS",IF($F91="À décommissionner",IF(O$8&lt;$AS91,"IKS","Décom."),IF(OR($AQ91="",$AS91=""),"",IF(O$8&lt;$AQ91,"IKS",IF(O$8&lt;$AS91,IF(O$8=$AR91,"Bascule","Double run"),"ROKS"))))))</f>
        <v/>
      </c>
      <c r="P91" s="51" t="str">
        <f aca="false">IF(OR($A91="",P$8=""),"",IF($F91="Migré","ROKS",IF($F91="À décommissionner",IF(P$8&lt;$AS91,"IKS","Décom."),IF(OR($AQ91="",$AS91=""),"",IF(P$8&lt;$AQ91,"IKS",IF(P$8&lt;$AS91,IF(P$8=$AR91,"Bascule","Double run"),"ROKS"))))))</f>
        <v/>
      </c>
      <c r="Q91" s="51" t="str">
        <f aca="false">IF(OR($A91="",Q$8=""),"",IF($F91="Migré","ROKS",IF($F91="À décommissionner",IF(Q$8&lt;$AS91,"IKS","Décom."),IF(OR($AQ91="",$AS91=""),"",IF(Q$8&lt;$AQ91,"IKS",IF(Q$8&lt;$AS91,IF(Q$8=$AR91,"Bascule","Double run"),"ROKS"))))))</f>
        <v/>
      </c>
      <c r="R91" s="51" t="str">
        <f aca="false">IF(OR($A91="",R$8=""),"",IF($F91="Migré","ROKS",IF($F91="À décommissionner",IF(R$8&lt;$AS91,"IKS","Décom."),IF(OR($AQ91="",$AS91=""),"",IF(R$8&lt;$AQ91,"IKS",IF(R$8&lt;$AS91,IF(R$8=$AR91,"Bascule","Double run"),"ROKS"))))))</f>
        <v/>
      </c>
      <c r="S91" s="51" t="str">
        <f aca="false">IF(OR($A91="",S$8=""),"",IF($F91="Migré","ROKS",IF($F91="À décommissionner",IF(S$8&lt;$AS91,"IKS","Décom."),IF(OR($AQ91="",$AS91=""),"",IF(S$8&lt;$AQ91,"IKS",IF(S$8&lt;$AS91,IF(S$8=$AR91,"Bascule","Double run"),"ROKS"))))))</f>
        <v/>
      </c>
      <c r="T91" s="51" t="str">
        <f aca="false">IF(OR($A91="",T$8=""),"",IF($F91="Migré","ROKS",IF($F91="À décommissionner",IF(T$8&lt;$AS91,"IKS","Décom."),IF(OR($AQ91="",$AS91=""),"",IF(T$8&lt;$AQ91,"IKS",IF(T$8&lt;$AS91,IF(T$8=$AR91,"Bascule","Double run"),"ROKS"))))))</f>
        <v/>
      </c>
      <c r="U91" s="51" t="str">
        <f aca="false">IF(OR($A91="",U$8=""),"",IF($F91="Migré","ROKS",IF($F91="À décommissionner",IF(U$8&lt;$AS91,"IKS","Décom."),IF(OR($AQ91="",$AS91=""),"",IF(U$8&lt;$AQ91,"IKS",IF(U$8&lt;$AS91,IF(U$8=$AR91,"Bascule","Double run"),"ROKS"))))))</f>
        <v/>
      </c>
      <c r="V91" s="51" t="str">
        <f aca="false">IF(OR($A91="",V$8=""),"",IF($F91="Migré","ROKS",IF($F91="À décommissionner",IF(V$8&lt;$AS91,"IKS","Décom."),IF(OR($AQ91="",$AS91=""),"",IF(V$8&lt;$AQ91,"IKS",IF(V$8&lt;$AS91,IF(V$8=$AR91,"Bascule","Double run"),"ROKS"))))))</f>
        <v/>
      </c>
      <c r="W91" s="51" t="str">
        <f aca="false">IF(OR($A91="",W$8=""),"",IF($F91="Migré","ROKS",IF($F91="À décommissionner",IF(W$8&lt;$AS91,"IKS","Décom."),IF(OR($AQ91="",$AS91=""),"",IF(W$8&lt;$AQ91,"IKS",IF(W$8&lt;$AS91,IF(W$8=$AR91,"Bascule","Double run"),"ROKS"))))))</f>
        <v/>
      </c>
      <c r="X91" s="51" t="str">
        <f aca="false">IF(OR($A91="",X$8=""),"",IF($F91="Migré","ROKS",IF($F91="À décommissionner",IF(X$8&lt;$AS91,"IKS","Décom."),IF(OR($AQ91="",$AS91=""),"",IF(X$8&lt;$AQ91,"IKS",IF(X$8&lt;$AS91,IF(X$8=$AR91,"Bascule","Double run"),"ROKS"))))))</f>
        <v/>
      </c>
      <c r="Y91" s="51" t="str">
        <f aca="false">IF(OR($A91="",Y$8=""),"",IF($F91="Migré","ROKS",IF($F91="À décommissionner",IF(Y$8&lt;$AS91,"IKS","Décom."),IF(OR($AQ91="",$AS91=""),"",IF(Y$8&lt;$AQ91,"IKS",IF(Y$8&lt;$AS91,IF(Y$8=$AR91,"Bascule","Double run"),"ROKS"))))))</f>
        <v/>
      </c>
      <c r="Z91" s="51" t="str">
        <f aca="false">IF(OR($A91="",Z$8=""),"",IF($F91="Migré","ROKS",IF($F91="À décommissionner",IF(Z$8&lt;$AS91,"IKS","Décom."),IF(OR($AQ91="",$AS91=""),"",IF(Z$8&lt;$AQ91,"IKS",IF(Z$8&lt;$AS91,IF(Z$8=$AR91,"Bascule","Double run"),"ROKS"))))))</f>
        <v/>
      </c>
      <c r="AA91" s="51" t="str">
        <f aca="false">IF(OR($A91="",AA$8=""),"",IF($F91="Migré","ROKS",IF($F91="À décommissionner",IF(AA$8&lt;$AS91,"IKS","Décom."),IF(OR($AQ91="",$AS91=""),"",IF(AA$8&lt;$AQ91,"IKS",IF(AA$8&lt;$AS91,IF(AA$8=$AR91,"Bascule","Double run"),"ROKS"))))))</f>
        <v/>
      </c>
      <c r="AB91" s="51" t="str">
        <f aca="false">IF(OR($A91="",AB$8=""),"",IF($F91="Migré","ROKS",IF($F91="À décommissionner",IF(AB$8&lt;$AS91,"IKS","Décom."),IF(OR($AQ91="",$AS91=""),"",IF(AB$8&lt;$AQ91,"IKS",IF(AB$8&lt;$AS91,IF(AB$8=$AR91,"Bascule","Double run"),"ROKS"))))))</f>
        <v/>
      </c>
      <c r="AC91" s="51" t="str">
        <f aca="false">IF(OR($A91="",AC$8=""),"",IF($F91="Migré","ROKS",IF($F91="À décommissionner",IF(AC$8&lt;$AS91,"IKS","Décom."),IF(OR($AQ91="",$AS91=""),"",IF(AC$8&lt;$AQ91,"IKS",IF(AC$8&lt;$AS91,IF(AC$8=$AR91,"Bascule","Double run"),"ROKS"))))))</f>
        <v/>
      </c>
      <c r="AD91" s="51" t="str">
        <f aca="false">IF(OR($A91="",AD$8=""),"",IF($F91="Migré","ROKS",IF($F91="À décommissionner",IF(AD$8&lt;$AS91,"IKS","Décom."),IF(OR($AQ91="",$AS91=""),"",IF(AD$8&lt;$AQ91,"IKS",IF(AD$8&lt;$AS91,IF(AD$8=$AR91,"Bascule","Double run"),"ROKS"))))))</f>
        <v/>
      </c>
      <c r="AE91" s="51" t="str">
        <f aca="false">IF(OR($A91="",AE$8=""),"",IF($F91="Migré","ROKS",IF($F91="À décommissionner",IF(AE$8&lt;$AS91,"IKS","Décom."),IF(OR($AQ91="",$AS91=""),"",IF(AE$8&lt;$AQ91,"IKS",IF(AE$8&lt;$AS91,IF(AE$8=$AR91,"Bascule","Double run"),"ROKS"))))))</f>
        <v/>
      </c>
      <c r="AF91" s="51" t="str">
        <f aca="false">IF(OR($A91="",AF$8=""),"",IF($F91="Migré","ROKS",IF($F91="À décommissionner",IF(AF$8&lt;$AS91,"IKS","Décom."),IF(OR($AQ91="",$AS91=""),"",IF(AF$8&lt;$AQ91,"IKS",IF(AF$8&lt;$AS91,IF(AF$8=$AR91,"Bascule","Double run"),"ROKS"))))))</f>
        <v/>
      </c>
      <c r="AG91" s="51" t="str">
        <f aca="false">IF(OR($A91="",AG$8=""),"",IF($F91="Migré","ROKS",IF($F91="À décommissionner",IF(AG$8&lt;$AS91,"IKS","Décom."),IF(OR($AQ91="",$AS91=""),"",IF(AG$8&lt;$AQ91,"IKS",IF(AG$8&lt;$AS91,IF(AG$8=$AR91,"Bascule","Double run"),"ROKS"))))))</f>
        <v/>
      </c>
      <c r="AH91" s="51" t="str">
        <f aca="false">IF(OR($A91="",AH$8=""),"",IF($F91="Migré","ROKS",IF($F91="À décommissionner",IF(AH$8&lt;$AS91,"IKS","Décom."),IF(OR($AQ91="",$AS91=""),"",IF(AH$8&lt;$AQ91,"IKS",IF(AH$8&lt;$AS91,IF(AH$8=$AR91,"Bascule","Double run"),"ROKS"))))))</f>
        <v/>
      </c>
      <c r="AI91" s="51" t="str">
        <f aca="false">IF(OR($A91="",AI$8=""),"",IF($F91="Migré","ROKS",IF($F91="À décommissionner",IF(AI$8&lt;$AS91,"IKS","Décom."),IF(OR($AQ91="",$AS91=""),"",IF(AI$8&lt;$AQ91,"IKS",IF(AI$8&lt;$AS91,IF(AI$8=$AR91,"Bascule","Double run"),"ROKS"))))))</f>
        <v/>
      </c>
      <c r="AJ91" s="51" t="str">
        <f aca="false">IF(OR($A91="",AJ$8=""),"",IF($F91="Migré","ROKS",IF($F91="À décommissionner",IF(AJ$8&lt;$AS91,"IKS","Décom."),IF(OR($AQ91="",$AS91=""),"",IF(AJ$8&lt;$AQ91,"IKS",IF(AJ$8&lt;$AS91,IF(AJ$8=$AR91,"Bascule","Double run"),"ROKS"))))))</f>
        <v/>
      </c>
      <c r="AK91" s="51" t="str">
        <f aca="false">IF(OR($A91="",AK$8=""),"",IF($F91="Migré","ROKS",IF($F91="À décommissionner",IF(AK$8&lt;$AS91,"IKS","Décom."),IF(OR($AQ91="",$AS91=""),"",IF(AK$8&lt;$AQ91,"IKS",IF(AK$8&lt;$AS91,IF(AK$8=$AR91,"Bascule","Double run"),"ROKS"))))))</f>
        <v/>
      </c>
      <c r="AL91" s="51" t="str">
        <f aca="false">IF(OR($A91="",AL$8=""),"",IF($F91="Migré","ROKS",IF($F91="À décommissionner",IF(AL$8&lt;$AS91,"IKS","Décom."),IF(OR($AQ91="",$AS91=""),"",IF(AL$8&lt;$AQ91,"IKS",IF(AL$8&lt;$AS91,IF(AL$8=$AR91,"Bascule","Double run"),"ROKS"))))))</f>
        <v/>
      </c>
      <c r="AM91" s="51" t="str">
        <f aca="false">IF(OR($A91="",AM$8=""),"",IF($F91="Migré","ROKS",IF($F91="À décommissionner",IF(AM$8&lt;$AS91,"IKS","Décom."),IF(OR($AQ91="",$AS91=""),"",IF(AM$8&lt;$AQ91,"IKS",IF(AM$8&lt;$AS91,IF(AM$8=$AR91,"Bascule","Double run"),"ROKS"))))))</f>
        <v/>
      </c>
      <c r="AN91" s="51" t="str">
        <f aca="false">IF(OR($A91="",AN$8=""),"",IF($F91="Migré","ROKS",IF($F91="À décommissionner",IF(AN$8&lt;$AS91,"IKS","Décom."),IF(OR($AQ91="",$AS91=""),"",IF(AN$8&lt;$AQ91,"IKS",IF(AN$8&lt;$AS91,IF(AN$8=$AR91,"Bascule","Double run"),"ROKS"))))))</f>
        <v/>
      </c>
      <c r="AO91" s="51" t="str">
        <f aca="false">IF(OR($A91="",AO$8=""),"",IF($F91="Migré","ROKS",IF($F91="À décommissionner",IF(AO$8&lt;$AS91,"IKS","Décom."),IF(OR($AQ91="",$AS91=""),"",IF(AO$8&lt;$AQ91,"IKS",IF(AO$8&lt;$AS91,IF(AO$8=$AR91,"Bascule","Double run"),"ROKS"))))))</f>
        <v/>
      </c>
      <c r="AP91" s="51" t="str">
        <f aca="false">IF(OR($A91="",AP$8=""),"",IF($F91="Migré","ROKS",IF($F91="À décommissionner",IF(AP$8&lt;$AS91,"IKS","Décom."),IF(OR($AQ91="",$AS91=""),"",IF(AP$8&lt;$AQ91,"IKS",IF(AP$8&lt;$AS91,IF(AP$8=$AR91,"Bascule","Double run"),"ROKS"))))))</f>
        <v/>
      </c>
      <c r="AQ91" s="0" t="str">
        <f aca="false">IF($A91="","",INDEX(TblApplications[Mois prov (calc)],$A91))</f>
        <v/>
      </c>
      <c r="AR91" s="0" t="str">
        <f aca="false">IF($A91="","",IFERROR(DATE(YEAR(INDEX(TblApplications[Mois bascule],$A91)),MONTH(INDEX(TblApplications[Mois bascule],$A91)),1),""))</f>
        <v/>
      </c>
      <c r="AS91" s="0" t="str">
        <f aca="false">IF($A91="","",INDEX(TblApplications[Mois lib (calc)],$A91))</f>
        <v/>
      </c>
    </row>
    <row r="92" customFormat="false" ht="15" hidden="false" customHeight="false" outlineLevel="0" collapsed="false">
      <c r="A92" s="49" t="str">
        <f aca="false">IFERROR(MATCH(84,TblApplications[Rang frise],0),"")</f>
        <v/>
      </c>
      <c r="B92" s="50" t="str">
        <f aca="false">IF($A92="","",INDEX(TblApplications[ID],$A92))</f>
        <v/>
      </c>
      <c r="C92" s="50" t="str">
        <f aca="false">IF($A92="","",INDEX(TblApplications[Application],$A92))</f>
        <v/>
      </c>
      <c r="D92" s="50" t="str">
        <f aca="false">IF($A92="","",INDEX(TblApplications[Environnement],$A92))</f>
        <v/>
      </c>
      <c r="E92" s="50" t="str">
        <f aca="false">IF($A92="","",INDEX(TblApplications[Couloir],$A92))</f>
        <v/>
      </c>
      <c r="F92" s="50" t="str">
        <f aca="false">IF($A92="","",INDEX(TblApplications[Action],$A92))</f>
        <v/>
      </c>
      <c r="G92" s="51" t="str">
        <f aca="false">IF(OR($A92="",G$8=""),"",IF($F92="Migré","ROKS",IF($F92="À décommissionner",IF(G$8&lt;$AS92,"IKS","Décom."),IF(OR($AQ92="",$AS92=""),"",IF(G$8&lt;$AQ92,"IKS",IF(G$8&lt;$AS92,IF(G$8=$AR92,"Bascule","Double run"),"ROKS"))))))</f>
        <v/>
      </c>
      <c r="H92" s="51" t="str">
        <f aca="false">IF(OR($A92="",H$8=""),"",IF($F92="Migré","ROKS",IF($F92="À décommissionner",IF(H$8&lt;$AS92,"IKS","Décom."),IF(OR($AQ92="",$AS92=""),"",IF(H$8&lt;$AQ92,"IKS",IF(H$8&lt;$AS92,IF(H$8=$AR92,"Bascule","Double run"),"ROKS"))))))</f>
        <v/>
      </c>
      <c r="I92" s="51" t="str">
        <f aca="false">IF(OR($A92="",I$8=""),"",IF($F92="Migré","ROKS",IF($F92="À décommissionner",IF(I$8&lt;$AS92,"IKS","Décom."),IF(OR($AQ92="",$AS92=""),"",IF(I$8&lt;$AQ92,"IKS",IF(I$8&lt;$AS92,IF(I$8=$AR92,"Bascule","Double run"),"ROKS"))))))</f>
        <v/>
      </c>
      <c r="J92" s="51" t="str">
        <f aca="false">IF(OR($A92="",J$8=""),"",IF($F92="Migré","ROKS",IF($F92="À décommissionner",IF(J$8&lt;$AS92,"IKS","Décom."),IF(OR($AQ92="",$AS92=""),"",IF(J$8&lt;$AQ92,"IKS",IF(J$8&lt;$AS92,IF(J$8=$AR92,"Bascule","Double run"),"ROKS"))))))</f>
        <v/>
      </c>
      <c r="K92" s="51" t="str">
        <f aca="false">IF(OR($A92="",K$8=""),"",IF($F92="Migré","ROKS",IF($F92="À décommissionner",IF(K$8&lt;$AS92,"IKS","Décom."),IF(OR($AQ92="",$AS92=""),"",IF(K$8&lt;$AQ92,"IKS",IF(K$8&lt;$AS92,IF(K$8=$AR92,"Bascule","Double run"),"ROKS"))))))</f>
        <v/>
      </c>
      <c r="L92" s="51" t="str">
        <f aca="false">IF(OR($A92="",L$8=""),"",IF($F92="Migré","ROKS",IF($F92="À décommissionner",IF(L$8&lt;$AS92,"IKS","Décom."),IF(OR($AQ92="",$AS92=""),"",IF(L$8&lt;$AQ92,"IKS",IF(L$8&lt;$AS92,IF(L$8=$AR92,"Bascule","Double run"),"ROKS"))))))</f>
        <v/>
      </c>
      <c r="M92" s="51" t="str">
        <f aca="false">IF(OR($A92="",M$8=""),"",IF($F92="Migré","ROKS",IF($F92="À décommissionner",IF(M$8&lt;$AS92,"IKS","Décom."),IF(OR($AQ92="",$AS92=""),"",IF(M$8&lt;$AQ92,"IKS",IF(M$8&lt;$AS92,IF(M$8=$AR92,"Bascule","Double run"),"ROKS"))))))</f>
        <v/>
      </c>
      <c r="N92" s="51" t="str">
        <f aca="false">IF(OR($A92="",N$8=""),"",IF($F92="Migré","ROKS",IF($F92="À décommissionner",IF(N$8&lt;$AS92,"IKS","Décom."),IF(OR($AQ92="",$AS92=""),"",IF(N$8&lt;$AQ92,"IKS",IF(N$8&lt;$AS92,IF(N$8=$AR92,"Bascule","Double run"),"ROKS"))))))</f>
        <v/>
      </c>
      <c r="O92" s="51" t="str">
        <f aca="false">IF(OR($A92="",O$8=""),"",IF($F92="Migré","ROKS",IF($F92="À décommissionner",IF(O$8&lt;$AS92,"IKS","Décom."),IF(OR($AQ92="",$AS92=""),"",IF(O$8&lt;$AQ92,"IKS",IF(O$8&lt;$AS92,IF(O$8=$AR92,"Bascule","Double run"),"ROKS"))))))</f>
        <v/>
      </c>
      <c r="P92" s="51" t="str">
        <f aca="false">IF(OR($A92="",P$8=""),"",IF($F92="Migré","ROKS",IF($F92="À décommissionner",IF(P$8&lt;$AS92,"IKS","Décom."),IF(OR($AQ92="",$AS92=""),"",IF(P$8&lt;$AQ92,"IKS",IF(P$8&lt;$AS92,IF(P$8=$AR92,"Bascule","Double run"),"ROKS"))))))</f>
        <v/>
      </c>
      <c r="Q92" s="51" t="str">
        <f aca="false">IF(OR($A92="",Q$8=""),"",IF($F92="Migré","ROKS",IF($F92="À décommissionner",IF(Q$8&lt;$AS92,"IKS","Décom."),IF(OR($AQ92="",$AS92=""),"",IF(Q$8&lt;$AQ92,"IKS",IF(Q$8&lt;$AS92,IF(Q$8=$AR92,"Bascule","Double run"),"ROKS"))))))</f>
        <v/>
      </c>
      <c r="R92" s="51" t="str">
        <f aca="false">IF(OR($A92="",R$8=""),"",IF($F92="Migré","ROKS",IF($F92="À décommissionner",IF(R$8&lt;$AS92,"IKS","Décom."),IF(OR($AQ92="",$AS92=""),"",IF(R$8&lt;$AQ92,"IKS",IF(R$8&lt;$AS92,IF(R$8=$AR92,"Bascule","Double run"),"ROKS"))))))</f>
        <v/>
      </c>
      <c r="S92" s="51" t="str">
        <f aca="false">IF(OR($A92="",S$8=""),"",IF($F92="Migré","ROKS",IF($F92="À décommissionner",IF(S$8&lt;$AS92,"IKS","Décom."),IF(OR($AQ92="",$AS92=""),"",IF(S$8&lt;$AQ92,"IKS",IF(S$8&lt;$AS92,IF(S$8=$AR92,"Bascule","Double run"),"ROKS"))))))</f>
        <v/>
      </c>
      <c r="T92" s="51" t="str">
        <f aca="false">IF(OR($A92="",T$8=""),"",IF($F92="Migré","ROKS",IF($F92="À décommissionner",IF(T$8&lt;$AS92,"IKS","Décom."),IF(OR($AQ92="",$AS92=""),"",IF(T$8&lt;$AQ92,"IKS",IF(T$8&lt;$AS92,IF(T$8=$AR92,"Bascule","Double run"),"ROKS"))))))</f>
        <v/>
      </c>
      <c r="U92" s="51" t="str">
        <f aca="false">IF(OR($A92="",U$8=""),"",IF($F92="Migré","ROKS",IF($F92="À décommissionner",IF(U$8&lt;$AS92,"IKS","Décom."),IF(OR($AQ92="",$AS92=""),"",IF(U$8&lt;$AQ92,"IKS",IF(U$8&lt;$AS92,IF(U$8=$AR92,"Bascule","Double run"),"ROKS"))))))</f>
        <v/>
      </c>
      <c r="V92" s="51" t="str">
        <f aca="false">IF(OR($A92="",V$8=""),"",IF($F92="Migré","ROKS",IF($F92="À décommissionner",IF(V$8&lt;$AS92,"IKS","Décom."),IF(OR($AQ92="",$AS92=""),"",IF(V$8&lt;$AQ92,"IKS",IF(V$8&lt;$AS92,IF(V$8=$AR92,"Bascule","Double run"),"ROKS"))))))</f>
        <v/>
      </c>
      <c r="W92" s="51" t="str">
        <f aca="false">IF(OR($A92="",W$8=""),"",IF($F92="Migré","ROKS",IF($F92="À décommissionner",IF(W$8&lt;$AS92,"IKS","Décom."),IF(OR($AQ92="",$AS92=""),"",IF(W$8&lt;$AQ92,"IKS",IF(W$8&lt;$AS92,IF(W$8=$AR92,"Bascule","Double run"),"ROKS"))))))</f>
        <v/>
      </c>
      <c r="X92" s="51" t="str">
        <f aca="false">IF(OR($A92="",X$8=""),"",IF($F92="Migré","ROKS",IF($F92="À décommissionner",IF(X$8&lt;$AS92,"IKS","Décom."),IF(OR($AQ92="",$AS92=""),"",IF(X$8&lt;$AQ92,"IKS",IF(X$8&lt;$AS92,IF(X$8=$AR92,"Bascule","Double run"),"ROKS"))))))</f>
        <v/>
      </c>
      <c r="Y92" s="51" t="str">
        <f aca="false">IF(OR($A92="",Y$8=""),"",IF($F92="Migré","ROKS",IF($F92="À décommissionner",IF(Y$8&lt;$AS92,"IKS","Décom."),IF(OR($AQ92="",$AS92=""),"",IF(Y$8&lt;$AQ92,"IKS",IF(Y$8&lt;$AS92,IF(Y$8=$AR92,"Bascule","Double run"),"ROKS"))))))</f>
        <v/>
      </c>
      <c r="Z92" s="51" t="str">
        <f aca="false">IF(OR($A92="",Z$8=""),"",IF($F92="Migré","ROKS",IF($F92="À décommissionner",IF(Z$8&lt;$AS92,"IKS","Décom."),IF(OR($AQ92="",$AS92=""),"",IF(Z$8&lt;$AQ92,"IKS",IF(Z$8&lt;$AS92,IF(Z$8=$AR92,"Bascule","Double run"),"ROKS"))))))</f>
        <v/>
      </c>
      <c r="AA92" s="51" t="str">
        <f aca="false">IF(OR($A92="",AA$8=""),"",IF($F92="Migré","ROKS",IF($F92="À décommissionner",IF(AA$8&lt;$AS92,"IKS","Décom."),IF(OR($AQ92="",$AS92=""),"",IF(AA$8&lt;$AQ92,"IKS",IF(AA$8&lt;$AS92,IF(AA$8=$AR92,"Bascule","Double run"),"ROKS"))))))</f>
        <v/>
      </c>
      <c r="AB92" s="51" t="str">
        <f aca="false">IF(OR($A92="",AB$8=""),"",IF($F92="Migré","ROKS",IF($F92="À décommissionner",IF(AB$8&lt;$AS92,"IKS","Décom."),IF(OR($AQ92="",$AS92=""),"",IF(AB$8&lt;$AQ92,"IKS",IF(AB$8&lt;$AS92,IF(AB$8=$AR92,"Bascule","Double run"),"ROKS"))))))</f>
        <v/>
      </c>
      <c r="AC92" s="51" t="str">
        <f aca="false">IF(OR($A92="",AC$8=""),"",IF($F92="Migré","ROKS",IF($F92="À décommissionner",IF(AC$8&lt;$AS92,"IKS","Décom."),IF(OR($AQ92="",$AS92=""),"",IF(AC$8&lt;$AQ92,"IKS",IF(AC$8&lt;$AS92,IF(AC$8=$AR92,"Bascule","Double run"),"ROKS"))))))</f>
        <v/>
      </c>
      <c r="AD92" s="51" t="str">
        <f aca="false">IF(OR($A92="",AD$8=""),"",IF($F92="Migré","ROKS",IF($F92="À décommissionner",IF(AD$8&lt;$AS92,"IKS","Décom."),IF(OR($AQ92="",$AS92=""),"",IF(AD$8&lt;$AQ92,"IKS",IF(AD$8&lt;$AS92,IF(AD$8=$AR92,"Bascule","Double run"),"ROKS"))))))</f>
        <v/>
      </c>
      <c r="AE92" s="51" t="str">
        <f aca="false">IF(OR($A92="",AE$8=""),"",IF($F92="Migré","ROKS",IF($F92="À décommissionner",IF(AE$8&lt;$AS92,"IKS","Décom."),IF(OR($AQ92="",$AS92=""),"",IF(AE$8&lt;$AQ92,"IKS",IF(AE$8&lt;$AS92,IF(AE$8=$AR92,"Bascule","Double run"),"ROKS"))))))</f>
        <v/>
      </c>
      <c r="AF92" s="51" t="str">
        <f aca="false">IF(OR($A92="",AF$8=""),"",IF($F92="Migré","ROKS",IF($F92="À décommissionner",IF(AF$8&lt;$AS92,"IKS","Décom."),IF(OR($AQ92="",$AS92=""),"",IF(AF$8&lt;$AQ92,"IKS",IF(AF$8&lt;$AS92,IF(AF$8=$AR92,"Bascule","Double run"),"ROKS"))))))</f>
        <v/>
      </c>
      <c r="AG92" s="51" t="str">
        <f aca="false">IF(OR($A92="",AG$8=""),"",IF($F92="Migré","ROKS",IF($F92="À décommissionner",IF(AG$8&lt;$AS92,"IKS","Décom."),IF(OR($AQ92="",$AS92=""),"",IF(AG$8&lt;$AQ92,"IKS",IF(AG$8&lt;$AS92,IF(AG$8=$AR92,"Bascule","Double run"),"ROKS"))))))</f>
        <v/>
      </c>
      <c r="AH92" s="51" t="str">
        <f aca="false">IF(OR($A92="",AH$8=""),"",IF($F92="Migré","ROKS",IF($F92="À décommissionner",IF(AH$8&lt;$AS92,"IKS","Décom."),IF(OR($AQ92="",$AS92=""),"",IF(AH$8&lt;$AQ92,"IKS",IF(AH$8&lt;$AS92,IF(AH$8=$AR92,"Bascule","Double run"),"ROKS"))))))</f>
        <v/>
      </c>
      <c r="AI92" s="51" t="str">
        <f aca="false">IF(OR($A92="",AI$8=""),"",IF($F92="Migré","ROKS",IF($F92="À décommissionner",IF(AI$8&lt;$AS92,"IKS","Décom."),IF(OR($AQ92="",$AS92=""),"",IF(AI$8&lt;$AQ92,"IKS",IF(AI$8&lt;$AS92,IF(AI$8=$AR92,"Bascule","Double run"),"ROKS"))))))</f>
        <v/>
      </c>
      <c r="AJ92" s="51" t="str">
        <f aca="false">IF(OR($A92="",AJ$8=""),"",IF($F92="Migré","ROKS",IF($F92="À décommissionner",IF(AJ$8&lt;$AS92,"IKS","Décom."),IF(OR($AQ92="",$AS92=""),"",IF(AJ$8&lt;$AQ92,"IKS",IF(AJ$8&lt;$AS92,IF(AJ$8=$AR92,"Bascule","Double run"),"ROKS"))))))</f>
        <v/>
      </c>
      <c r="AK92" s="51" t="str">
        <f aca="false">IF(OR($A92="",AK$8=""),"",IF($F92="Migré","ROKS",IF($F92="À décommissionner",IF(AK$8&lt;$AS92,"IKS","Décom."),IF(OR($AQ92="",$AS92=""),"",IF(AK$8&lt;$AQ92,"IKS",IF(AK$8&lt;$AS92,IF(AK$8=$AR92,"Bascule","Double run"),"ROKS"))))))</f>
        <v/>
      </c>
      <c r="AL92" s="51" t="str">
        <f aca="false">IF(OR($A92="",AL$8=""),"",IF($F92="Migré","ROKS",IF($F92="À décommissionner",IF(AL$8&lt;$AS92,"IKS","Décom."),IF(OR($AQ92="",$AS92=""),"",IF(AL$8&lt;$AQ92,"IKS",IF(AL$8&lt;$AS92,IF(AL$8=$AR92,"Bascule","Double run"),"ROKS"))))))</f>
        <v/>
      </c>
      <c r="AM92" s="51" t="str">
        <f aca="false">IF(OR($A92="",AM$8=""),"",IF($F92="Migré","ROKS",IF($F92="À décommissionner",IF(AM$8&lt;$AS92,"IKS","Décom."),IF(OR($AQ92="",$AS92=""),"",IF(AM$8&lt;$AQ92,"IKS",IF(AM$8&lt;$AS92,IF(AM$8=$AR92,"Bascule","Double run"),"ROKS"))))))</f>
        <v/>
      </c>
      <c r="AN92" s="51" t="str">
        <f aca="false">IF(OR($A92="",AN$8=""),"",IF($F92="Migré","ROKS",IF($F92="À décommissionner",IF(AN$8&lt;$AS92,"IKS","Décom."),IF(OR($AQ92="",$AS92=""),"",IF(AN$8&lt;$AQ92,"IKS",IF(AN$8&lt;$AS92,IF(AN$8=$AR92,"Bascule","Double run"),"ROKS"))))))</f>
        <v/>
      </c>
      <c r="AO92" s="51" t="str">
        <f aca="false">IF(OR($A92="",AO$8=""),"",IF($F92="Migré","ROKS",IF($F92="À décommissionner",IF(AO$8&lt;$AS92,"IKS","Décom."),IF(OR($AQ92="",$AS92=""),"",IF(AO$8&lt;$AQ92,"IKS",IF(AO$8&lt;$AS92,IF(AO$8=$AR92,"Bascule","Double run"),"ROKS"))))))</f>
        <v/>
      </c>
      <c r="AP92" s="51" t="str">
        <f aca="false">IF(OR($A92="",AP$8=""),"",IF($F92="Migré","ROKS",IF($F92="À décommissionner",IF(AP$8&lt;$AS92,"IKS","Décom."),IF(OR($AQ92="",$AS92=""),"",IF(AP$8&lt;$AQ92,"IKS",IF(AP$8&lt;$AS92,IF(AP$8=$AR92,"Bascule","Double run"),"ROKS"))))))</f>
        <v/>
      </c>
      <c r="AQ92" s="0" t="str">
        <f aca="false">IF($A92="","",INDEX(TblApplications[Mois prov (calc)],$A92))</f>
        <v/>
      </c>
      <c r="AR92" s="0" t="str">
        <f aca="false">IF($A92="","",IFERROR(DATE(YEAR(INDEX(TblApplications[Mois bascule],$A92)),MONTH(INDEX(TblApplications[Mois bascule],$A92)),1),""))</f>
        <v/>
      </c>
      <c r="AS92" s="0" t="str">
        <f aca="false">IF($A92="","",INDEX(TblApplications[Mois lib (calc)],$A92))</f>
        <v/>
      </c>
    </row>
    <row r="93" customFormat="false" ht="15" hidden="false" customHeight="false" outlineLevel="0" collapsed="false">
      <c r="A93" s="49" t="str">
        <f aca="false">IFERROR(MATCH(85,TblApplications[Rang frise],0),"")</f>
        <v/>
      </c>
      <c r="B93" s="50" t="str">
        <f aca="false">IF($A93="","",INDEX(TblApplications[ID],$A93))</f>
        <v/>
      </c>
      <c r="C93" s="50" t="str">
        <f aca="false">IF($A93="","",INDEX(TblApplications[Application],$A93))</f>
        <v/>
      </c>
      <c r="D93" s="50" t="str">
        <f aca="false">IF($A93="","",INDEX(TblApplications[Environnement],$A93))</f>
        <v/>
      </c>
      <c r="E93" s="50" t="str">
        <f aca="false">IF($A93="","",INDEX(TblApplications[Couloir],$A93))</f>
        <v/>
      </c>
      <c r="F93" s="50" t="str">
        <f aca="false">IF($A93="","",INDEX(TblApplications[Action],$A93))</f>
        <v/>
      </c>
      <c r="G93" s="51" t="str">
        <f aca="false">IF(OR($A93="",G$8=""),"",IF($F93="Migré","ROKS",IF($F93="À décommissionner",IF(G$8&lt;$AS93,"IKS","Décom."),IF(OR($AQ93="",$AS93=""),"",IF(G$8&lt;$AQ93,"IKS",IF(G$8&lt;$AS93,IF(G$8=$AR93,"Bascule","Double run"),"ROKS"))))))</f>
        <v/>
      </c>
      <c r="H93" s="51" t="str">
        <f aca="false">IF(OR($A93="",H$8=""),"",IF($F93="Migré","ROKS",IF($F93="À décommissionner",IF(H$8&lt;$AS93,"IKS","Décom."),IF(OR($AQ93="",$AS93=""),"",IF(H$8&lt;$AQ93,"IKS",IF(H$8&lt;$AS93,IF(H$8=$AR93,"Bascule","Double run"),"ROKS"))))))</f>
        <v/>
      </c>
      <c r="I93" s="51" t="str">
        <f aca="false">IF(OR($A93="",I$8=""),"",IF($F93="Migré","ROKS",IF($F93="À décommissionner",IF(I$8&lt;$AS93,"IKS","Décom."),IF(OR($AQ93="",$AS93=""),"",IF(I$8&lt;$AQ93,"IKS",IF(I$8&lt;$AS93,IF(I$8=$AR93,"Bascule","Double run"),"ROKS"))))))</f>
        <v/>
      </c>
      <c r="J93" s="51" t="str">
        <f aca="false">IF(OR($A93="",J$8=""),"",IF($F93="Migré","ROKS",IF($F93="À décommissionner",IF(J$8&lt;$AS93,"IKS","Décom."),IF(OR($AQ93="",$AS93=""),"",IF(J$8&lt;$AQ93,"IKS",IF(J$8&lt;$AS93,IF(J$8=$AR93,"Bascule","Double run"),"ROKS"))))))</f>
        <v/>
      </c>
      <c r="K93" s="51" t="str">
        <f aca="false">IF(OR($A93="",K$8=""),"",IF($F93="Migré","ROKS",IF($F93="À décommissionner",IF(K$8&lt;$AS93,"IKS","Décom."),IF(OR($AQ93="",$AS93=""),"",IF(K$8&lt;$AQ93,"IKS",IF(K$8&lt;$AS93,IF(K$8=$AR93,"Bascule","Double run"),"ROKS"))))))</f>
        <v/>
      </c>
      <c r="L93" s="51" t="str">
        <f aca="false">IF(OR($A93="",L$8=""),"",IF($F93="Migré","ROKS",IF($F93="À décommissionner",IF(L$8&lt;$AS93,"IKS","Décom."),IF(OR($AQ93="",$AS93=""),"",IF(L$8&lt;$AQ93,"IKS",IF(L$8&lt;$AS93,IF(L$8=$AR93,"Bascule","Double run"),"ROKS"))))))</f>
        <v/>
      </c>
      <c r="M93" s="51" t="str">
        <f aca="false">IF(OR($A93="",M$8=""),"",IF($F93="Migré","ROKS",IF($F93="À décommissionner",IF(M$8&lt;$AS93,"IKS","Décom."),IF(OR($AQ93="",$AS93=""),"",IF(M$8&lt;$AQ93,"IKS",IF(M$8&lt;$AS93,IF(M$8=$AR93,"Bascule","Double run"),"ROKS"))))))</f>
        <v/>
      </c>
      <c r="N93" s="51" t="str">
        <f aca="false">IF(OR($A93="",N$8=""),"",IF($F93="Migré","ROKS",IF($F93="À décommissionner",IF(N$8&lt;$AS93,"IKS","Décom."),IF(OR($AQ93="",$AS93=""),"",IF(N$8&lt;$AQ93,"IKS",IF(N$8&lt;$AS93,IF(N$8=$AR93,"Bascule","Double run"),"ROKS"))))))</f>
        <v/>
      </c>
      <c r="O93" s="51" t="str">
        <f aca="false">IF(OR($A93="",O$8=""),"",IF($F93="Migré","ROKS",IF($F93="À décommissionner",IF(O$8&lt;$AS93,"IKS","Décom."),IF(OR($AQ93="",$AS93=""),"",IF(O$8&lt;$AQ93,"IKS",IF(O$8&lt;$AS93,IF(O$8=$AR93,"Bascule","Double run"),"ROKS"))))))</f>
        <v/>
      </c>
      <c r="P93" s="51" t="str">
        <f aca="false">IF(OR($A93="",P$8=""),"",IF($F93="Migré","ROKS",IF($F93="À décommissionner",IF(P$8&lt;$AS93,"IKS","Décom."),IF(OR($AQ93="",$AS93=""),"",IF(P$8&lt;$AQ93,"IKS",IF(P$8&lt;$AS93,IF(P$8=$AR93,"Bascule","Double run"),"ROKS"))))))</f>
        <v/>
      </c>
      <c r="Q93" s="51" t="str">
        <f aca="false">IF(OR($A93="",Q$8=""),"",IF($F93="Migré","ROKS",IF($F93="À décommissionner",IF(Q$8&lt;$AS93,"IKS","Décom."),IF(OR($AQ93="",$AS93=""),"",IF(Q$8&lt;$AQ93,"IKS",IF(Q$8&lt;$AS93,IF(Q$8=$AR93,"Bascule","Double run"),"ROKS"))))))</f>
        <v/>
      </c>
      <c r="R93" s="51" t="str">
        <f aca="false">IF(OR($A93="",R$8=""),"",IF($F93="Migré","ROKS",IF($F93="À décommissionner",IF(R$8&lt;$AS93,"IKS","Décom."),IF(OR($AQ93="",$AS93=""),"",IF(R$8&lt;$AQ93,"IKS",IF(R$8&lt;$AS93,IF(R$8=$AR93,"Bascule","Double run"),"ROKS"))))))</f>
        <v/>
      </c>
      <c r="S93" s="51" t="str">
        <f aca="false">IF(OR($A93="",S$8=""),"",IF($F93="Migré","ROKS",IF($F93="À décommissionner",IF(S$8&lt;$AS93,"IKS","Décom."),IF(OR($AQ93="",$AS93=""),"",IF(S$8&lt;$AQ93,"IKS",IF(S$8&lt;$AS93,IF(S$8=$AR93,"Bascule","Double run"),"ROKS"))))))</f>
        <v/>
      </c>
      <c r="T93" s="51" t="str">
        <f aca="false">IF(OR($A93="",T$8=""),"",IF($F93="Migré","ROKS",IF($F93="À décommissionner",IF(T$8&lt;$AS93,"IKS","Décom."),IF(OR($AQ93="",$AS93=""),"",IF(T$8&lt;$AQ93,"IKS",IF(T$8&lt;$AS93,IF(T$8=$AR93,"Bascule","Double run"),"ROKS"))))))</f>
        <v/>
      </c>
      <c r="U93" s="51" t="str">
        <f aca="false">IF(OR($A93="",U$8=""),"",IF($F93="Migré","ROKS",IF($F93="À décommissionner",IF(U$8&lt;$AS93,"IKS","Décom."),IF(OR($AQ93="",$AS93=""),"",IF(U$8&lt;$AQ93,"IKS",IF(U$8&lt;$AS93,IF(U$8=$AR93,"Bascule","Double run"),"ROKS"))))))</f>
        <v/>
      </c>
      <c r="V93" s="51" t="str">
        <f aca="false">IF(OR($A93="",V$8=""),"",IF($F93="Migré","ROKS",IF($F93="À décommissionner",IF(V$8&lt;$AS93,"IKS","Décom."),IF(OR($AQ93="",$AS93=""),"",IF(V$8&lt;$AQ93,"IKS",IF(V$8&lt;$AS93,IF(V$8=$AR93,"Bascule","Double run"),"ROKS"))))))</f>
        <v/>
      </c>
      <c r="W93" s="51" t="str">
        <f aca="false">IF(OR($A93="",W$8=""),"",IF($F93="Migré","ROKS",IF($F93="À décommissionner",IF(W$8&lt;$AS93,"IKS","Décom."),IF(OR($AQ93="",$AS93=""),"",IF(W$8&lt;$AQ93,"IKS",IF(W$8&lt;$AS93,IF(W$8=$AR93,"Bascule","Double run"),"ROKS"))))))</f>
        <v/>
      </c>
      <c r="X93" s="51" t="str">
        <f aca="false">IF(OR($A93="",X$8=""),"",IF($F93="Migré","ROKS",IF($F93="À décommissionner",IF(X$8&lt;$AS93,"IKS","Décom."),IF(OR($AQ93="",$AS93=""),"",IF(X$8&lt;$AQ93,"IKS",IF(X$8&lt;$AS93,IF(X$8=$AR93,"Bascule","Double run"),"ROKS"))))))</f>
        <v/>
      </c>
      <c r="Y93" s="51" t="str">
        <f aca="false">IF(OR($A93="",Y$8=""),"",IF($F93="Migré","ROKS",IF($F93="À décommissionner",IF(Y$8&lt;$AS93,"IKS","Décom."),IF(OR($AQ93="",$AS93=""),"",IF(Y$8&lt;$AQ93,"IKS",IF(Y$8&lt;$AS93,IF(Y$8=$AR93,"Bascule","Double run"),"ROKS"))))))</f>
        <v/>
      </c>
      <c r="Z93" s="51" t="str">
        <f aca="false">IF(OR($A93="",Z$8=""),"",IF($F93="Migré","ROKS",IF($F93="À décommissionner",IF(Z$8&lt;$AS93,"IKS","Décom."),IF(OR($AQ93="",$AS93=""),"",IF(Z$8&lt;$AQ93,"IKS",IF(Z$8&lt;$AS93,IF(Z$8=$AR93,"Bascule","Double run"),"ROKS"))))))</f>
        <v/>
      </c>
      <c r="AA93" s="51" t="str">
        <f aca="false">IF(OR($A93="",AA$8=""),"",IF($F93="Migré","ROKS",IF($F93="À décommissionner",IF(AA$8&lt;$AS93,"IKS","Décom."),IF(OR($AQ93="",$AS93=""),"",IF(AA$8&lt;$AQ93,"IKS",IF(AA$8&lt;$AS93,IF(AA$8=$AR93,"Bascule","Double run"),"ROKS"))))))</f>
        <v/>
      </c>
      <c r="AB93" s="51" t="str">
        <f aca="false">IF(OR($A93="",AB$8=""),"",IF($F93="Migré","ROKS",IF($F93="À décommissionner",IF(AB$8&lt;$AS93,"IKS","Décom."),IF(OR($AQ93="",$AS93=""),"",IF(AB$8&lt;$AQ93,"IKS",IF(AB$8&lt;$AS93,IF(AB$8=$AR93,"Bascule","Double run"),"ROKS"))))))</f>
        <v/>
      </c>
      <c r="AC93" s="51" t="str">
        <f aca="false">IF(OR($A93="",AC$8=""),"",IF($F93="Migré","ROKS",IF($F93="À décommissionner",IF(AC$8&lt;$AS93,"IKS","Décom."),IF(OR($AQ93="",$AS93=""),"",IF(AC$8&lt;$AQ93,"IKS",IF(AC$8&lt;$AS93,IF(AC$8=$AR93,"Bascule","Double run"),"ROKS"))))))</f>
        <v/>
      </c>
      <c r="AD93" s="51" t="str">
        <f aca="false">IF(OR($A93="",AD$8=""),"",IF($F93="Migré","ROKS",IF($F93="À décommissionner",IF(AD$8&lt;$AS93,"IKS","Décom."),IF(OR($AQ93="",$AS93=""),"",IF(AD$8&lt;$AQ93,"IKS",IF(AD$8&lt;$AS93,IF(AD$8=$AR93,"Bascule","Double run"),"ROKS"))))))</f>
        <v/>
      </c>
      <c r="AE93" s="51" t="str">
        <f aca="false">IF(OR($A93="",AE$8=""),"",IF($F93="Migré","ROKS",IF($F93="À décommissionner",IF(AE$8&lt;$AS93,"IKS","Décom."),IF(OR($AQ93="",$AS93=""),"",IF(AE$8&lt;$AQ93,"IKS",IF(AE$8&lt;$AS93,IF(AE$8=$AR93,"Bascule","Double run"),"ROKS"))))))</f>
        <v/>
      </c>
      <c r="AF93" s="51" t="str">
        <f aca="false">IF(OR($A93="",AF$8=""),"",IF($F93="Migré","ROKS",IF($F93="À décommissionner",IF(AF$8&lt;$AS93,"IKS","Décom."),IF(OR($AQ93="",$AS93=""),"",IF(AF$8&lt;$AQ93,"IKS",IF(AF$8&lt;$AS93,IF(AF$8=$AR93,"Bascule","Double run"),"ROKS"))))))</f>
        <v/>
      </c>
      <c r="AG93" s="51" t="str">
        <f aca="false">IF(OR($A93="",AG$8=""),"",IF($F93="Migré","ROKS",IF($F93="À décommissionner",IF(AG$8&lt;$AS93,"IKS","Décom."),IF(OR($AQ93="",$AS93=""),"",IF(AG$8&lt;$AQ93,"IKS",IF(AG$8&lt;$AS93,IF(AG$8=$AR93,"Bascule","Double run"),"ROKS"))))))</f>
        <v/>
      </c>
      <c r="AH93" s="51" t="str">
        <f aca="false">IF(OR($A93="",AH$8=""),"",IF($F93="Migré","ROKS",IF($F93="À décommissionner",IF(AH$8&lt;$AS93,"IKS","Décom."),IF(OR($AQ93="",$AS93=""),"",IF(AH$8&lt;$AQ93,"IKS",IF(AH$8&lt;$AS93,IF(AH$8=$AR93,"Bascule","Double run"),"ROKS"))))))</f>
        <v/>
      </c>
      <c r="AI93" s="51" t="str">
        <f aca="false">IF(OR($A93="",AI$8=""),"",IF($F93="Migré","ROKS",IF($F93="À décommissionner",IF(AI$8&lt;$AS93,"IKS","Décom."),IF(OR($AQ93="",$AS93=""),"",IF(AI$8&lt;$AQ93,"IKS",IF(AI$8&lt;$AS93,IF(AI$8=$AR93,"Bascule","Double run"),"ROKS"))))))</f>
        <v/>
      </c>
      <c r="AJ93" s="51" t="str">
        <f aca="false">IF(OR($A93="",AJ$8=""),"",IF($F93="Migré","ROKS",IF($F93="À décommissionner",IF(AJ$8&lt;$AS93,"IKS","Décom."),IF(OR($AQ93="",$AS93=""),"",IF(AJ$8&lt;$AQ93,"IKS",IF(AJ$8&lt;$AS93,IF(AJ$8=$AR93,"Bascule","Double run"),"ROKS"))))))</f>
        <v/>
      </c>
      <c r="AK93" s="51" t="str">
        <f aca="false">IF(OR($A93="",AK$8=""),"",IF($F93="Migré","ROKS",IF($F93="À décommissionner",IF(AK$8&lt;$AS93,"IKS","Décom."),IF(OR($AQ93="",$AS93=""),"",IF(AK$8&lt;$AQ93,"IKS",IF(AK$8&lt;$AS93,IF(AK$8=$AR93,"Bascule","Double run"),"ROKS"))))))</f>
        <v/>
      </c>
      <c r="AL93" s="51" t="str">
        <f aca="false">IF(OR($A93="",AL$8=""),"",IF($F93="Migré","ROKS",IF($F93="À décommissionner",IF(AL$8&lt;$AS93,"IKS","Décom."),IF(OR($AQ93="",$AS93=""),"",IF(AL$8&lt;$AQ93,"IKS",IF(AL$8&lt;$AS93,IF(AL$8=$AR93,"Bascule","Double run"),"ROKS"))))))</f>
        <v/>
      </c>
      <c r="AM93" s="51" t="str">
        <f aca="false">IF(OR($A93="",AM$8=""),"",IF($F93="Migré","ROKS",IF($F93="À décommissionner",IF(AM$8&lt;$AS93,"IKS","Décom."),IF(OR($AQ93="",$AS93=""),"",IF(AM$8&lt;$AQ93,"IKS",IF(AM$8&lt;$AS93,IF(AM$8=$AR93,"Bascule","Double run"),"ROKS"))))))</f>
        <v/>
      </c>
      <c r="AN93" s="51" t="str">
        <f aca="false">IF(OR($A93="",AN$8=""),"",IF($F93="Migré","ROKS",IF($F93="À décommissionner",IF(AN$8&lt;$AS93,"IKS","Décom."),IF(OR($AQ93="",$AS93=""),"",IF(AN$8&lt;$AQ93,"IKS",IF(AN$8&lt;$AS93,IF(AN$8=$AR93,"Bascule","Double run"),"ROKS"))))))</f>
        <v/>
      </c>
      <c r="AO93" s="51" t="str">
        <f aca="false">IF(OR($A93="",AO$8=""),"",IF($F93="Migré","ROKS",IF($F93="À décommissionner",IF(AO$8&lt;$AS93,"IKS","Décom."),IF(OR($AQ93="",$AS93=""),"",IF(AO$8&lt;$AQ93,"IKS",IF(AO$8&lt;$AS93,IF(AO$8=$AR93,"Bascule","Double run"),"ROKS"))))))</f>
        <v/>
      </c>
      <c r="AP93" s="51" t="str">
        <f aca="false">IF(OR($A93="",AP$8=""),"",IF($F93="Migré","ROKS",IF($F93="À décommissionner",IF(AP$8&lt;$AS93,"IKS","Décom."),IF(OR($AQ93="",$AS93=""),"",IF(AP$8&lt;$AQ93,"IKS",IF(AP$8&lt;$AS93,IF(AP$8=$AR93,"Bascule","Double run"),"ROKS"))))))</f>
        <v/>
      </c>
      <c r="AQ93" s="0" t="str">
        <f aca="false">IF($A93="","",INDEX(TblApplications[Mois prov (calc)],$A93))</f>
        <v/>
      </c>
      <c r="AR93" s="0" t="str">
        <f aca="false">IF($A93="","",IFERROR(DATE(YEAR(INDEX(TblApplications[Mois bascule],$A93)),MONTH(INDEX(TblApplications[Mois bascule],$A93)),1),""))</f>
        <v/>
      </c>
      <c r="AS93" s="0" t="str">
        <f aca="false">IF($A93="","",INDEX(TblApplications[Mois lib (calc)],$A93))</f>
        <v/>
      </c>
    </row>
    <row r="94" customFormat="false" ht="15" hidden="false" customHeight="false" outlineLevel="0" collapsed="false">
      <c r="A94" s="49" t="str">
        <f aca="false">IFERROR(MATCH(86,TblApplications[Rang frise],0),"")</f>
        <v/>
      </c>
      <c r="B94" s="50" t="str">
        <f aca="false">IF($A94="","",INDEX(TblApplications[ID],$A94))</f>
        <v/>
      </c>
      <c r="C94" s="50" t="str">
        <f aca="false">IF($A94="","",INDEX(TblApplications[Application],$A94))</f>
        <v/>
      </c>
      <c r="D94" s="50" t="str">
        <f aca="false">IF($A94="","",INDEX(TblApplications[Environnement],$A94))</f>
        <v/>
      </c>
      <c r="E94" s="50" t="str">
        <f aca="false">IF($A94="","",INDEX(TblApplications[Couloir],$A94))</f>
        <v/>
      </c>
      <c r="F94" s="50" t="str">
        <f aca="false">IF($A94="","",INDEX(TblApplications[Action],$A94))</f>
        <v/>
      </c>
      <c r="G94" s="51" t="str">
        <f aca="false">IF(OR($A94="",G$8=""),"",IF($F94="Migré","ROKS",IF($F94="À décommissionner",IF(G$8&lt;$AS94,"IKS","Décom."),IF(OR($AQ94="",$AS94=""),"",IF(G$8&lt;$AQ94,"IKS",IF(G$8&lt;$AS94,IF(G$8=$AR94,"Bascule","Double run"),"ROKS"))))))</f>
        <v/>
      </c>
      <c r="H94" s="51" t="str">
        <f aca="false">IF(OR($A94="",H$8=""),"",IF($F94="Migré","ROKS",IF($F94="À décommissionner",IF(H$8&lt;$AS94,"IKS","Décom."),IF(OR($AQ94="",$AS94=""),"",IF(H$8&lt;$AQ94,"IKS",IF(H$8&lt;$AS94,IF(H$8=$AR94,"Bascule","Double run"),"ROKS"))))))</f>
        <v/>
      </c>
      <c r="I94" s="51" t="str">
        <f aca="false">IF(OR($A94="",I$8=""),"",IF($F94="Migré","ROKS",IF($F94="À décommissionner",IF(I$8&lt;$AS94,"IKS","Décom."),IF(OR($AQ94="",$AS94=""),"",IF(I$8&lt;$AQ94,"IKS",IF(I$8&lt;$AS94,IF(I$8=$AR94,"Bascule","Double run"),"ROKS"))))))</f>
        <v/>
      </c>
      <c r="J94" s="51" t="str">
        <f aca="false">IF(OR($A94="",J$8=""),"",IF($F94="Migré","ROKS",IF($F94="À décommissionner",IF(J$8&lt;$AS94,"IKS","Décom."),IF(OR($AQ94="",$AS94=""),"",IF(J$8&lt;$AQ94,"IKS",IF(J$8&lt;$AS94,IF(J$8=$AR94,"Bascule","Double run"),"ROKS"))))))</f>
        <v/>
      </c>
      <c r="K94" s="51" t="str">
        <f aca="false">IF(OR($A94="",K$8=""),"",IF($F94="Migré","ROKS",IF($F94="À décommissionner",IF(K$8&lt;$AS94,"IKS","Décom."),IF(OR($AQ94="",$AS94=""),"",IF(K$8&lt;$AQ94,"IKS",IF(K$8&lt;$AS94,IF(K$8=$AR94,"Bascule","Double run"),"ROKS"))))))</f>
        <v/>
      </c>
      <c r="L94" s="51" t="str">
        <f aca="false">IF(OR($A94="",L$8=""),"",IF($F94="Migré","ROKS",IF($F94="À décommissionner",IF(L$8&lt;$AS94,"IKS","Décom."),IF(OR($AQ94="",$AS94=""),"",IF(L$8&lt;$AQ94,"IKS",IF(L$8&lt;$AS94,IF(L$8=$AR94,"Bascule","Double run"),"ROKS"))))))</f>
        <v/>
      </c>
      <c r="M94" s="51" t="str">
        <f aca="false">IF(OR($A94="",M$8=""),"",IF($F94="Migré","ROKS",IF($F94="À décommissionner",IF(M$8&lt;$AS94,"IKS","Décom."),IF(OR($AQ94="",$AS94=""),"",IF(M$8&lt;$AQ94,"IKS",IF(M$8&lt;$AS94,IF(M$8=$AR94,"Bascule","Double run"),"ROKS"))))))</f>
        <v/>
      </c>
      <c r="N94" s="51" t="str">
        <f aca="false">IF(OR($A94="",N$8=""),"",IF($F94="Migré","ROKS",IF($F94="À décommissionner",IF(N$8&lt;$AS94,"IKS","Décom."),IF(OR($AQ94="",$AS94=""),"",IF(N$8&lt;$AQ94,"IKS",IF(N$8&lt;$AS94,IF(N$8=$AR94,"Bascule","Double run"),"ROKS"))))))</f>
        <v/>
      </c>
      <c r="O94" s="51" t="str">
        <f aca="false">IF(OR($A94="",O$8=""),"",IF($F94="Migré","ROKS",IF($F94="À décommissionner",IF(O$8&lt;$AS94,"IKS","Décom."),IF(OR($AQ94="",$AS94=""),"",IF(O$8&lt;$AQ94,"IKS",IF(O$8&lt;$AS94,IF(O$8=$AR94,"Bascule","Double run"),"ROKS"))))))</f>
        <v/>
      </c>
      <c r="P94" s="51" t="str">
        <f aca="false">IF(OR($A94="",P$8=""),"",IF($F94="Migré","ROKS",IF($F94="À décommissionner",IF(P$8&lt;$AS94,"IKS","Décom."),IF(OR($AQ94="",$AS94=""),"",IF(P$8&lt;$AQ94,"IKS",IF(P$8&lt;$AS94,IF(P$8=$AR94,"Bascule","Double run"),"ROKS"))))))</f>
        <v/>
      </c>
      <c r="Q94" s="51" t="str">
        <f aca="false">IF(OR($A94="",Q$8=""),"",IF($F94="Migré","ROKS",IF($F94="À décommissionner",IF(Q$8&lt;$AS94,"IKS","Décom."),IF(OR($AQ94="",$AS94=""),"",IF(Q$8&lt;$AQ94,"IKS",IF(Q$8&lt;$AS94,IF(Q$8=$AR94,"Bascule","Double run"),"ROKS"))))))</f>
        <v/>
      </c>
      <c r="R94" s="51" t="str">
        <f aca="false">IF(OR($A94="",R$8=""),"",IF($F94="Migré","ROKS",IF($F94="À décommissionner",IF(R$8&lt;$AS94,"IKS","Décom."),IF(OR($AQ94="",$AS94=""),"",IF(R$8&lt;$AQ94,"IKS",IF(R$8&lt;$AS94,IF(R$8=$AR94,"Bascule","Double run"),"ROKS"))))))</f>
        <v/>
      </c>
      <c r="S94" s="51" t="str">
        <f aca="false">IF(OR($A94="",S$8=""),"",IF($F94="Migré","ROKS",IF($F94="À décommissionner",IF(S$8&lt;$AS94,"IKS","Décom."),IF(OR($AQ94="",$AS94=""),"",IF(S$8&lt;$AQ94,"IKS",IF(S$8&lt;$AS94,IF(S$8=$AR94,"Bascule","Double run"),"ROKS"))))))</f>
        <v/>
      </c>
      <c r="T94" s="51" t="str">
        <f aca="false">IF(OR($A94="",T$8=""),"",IF($F94="Migré","ROKS",IF($F94="À décommissionner",IF(T$8&lt;$AS94,"IKS","Décom."),IF(OR($AQ94="",$AS94=""),"",IF(T$8&lt;$AQ94,"IKS",IF(T$8&lt;$AS94,IF(T$8=$AR94,"Bascule","Double run"),"ROKS"))))))</f>
        <v/>
      </c>
      <c r="U94" s="51" t="str">
        <f aca="false">IF(OR($A94="",U$8=""),"",IF($F94="Migré","ROKS",IF($F94="À décommissionner",IF(U$8&lt;$AS94,"IKS","Décom."),IF(OR($AQ94="",$AS94=""),"",IF(U$8&lt;$AQ94,"IKS",IF(U$8&lt;$AS94,IF(U$8=$AR94,"Bascule","Double run"),"ROKS"))))))</f>
        <v/>
      </c>
      <c r="V94" s="51" t="str">
        <f aca="false">IF(OR($A94="",V$8=""),"",IF($F94="Migré","ROKS",IF($F94="À décommissionner",IF(V$8&lt;$AS94,"IKS","Décom."),IF(OR($AQ94="",$AS94=""),"",IF(V$8&lt;$AQ94,"IKS",IF(V$8&lt;$AS94,IF(V$8=$AR94,"Bascule","Double run"),"ROKS"))))))</f>
        <v/>
      </c>
      <c r="W94" s="51" t="str">
        <f aca="false">IF(OR($A94="",W$8=""),"",IF($F94="Migré","ROKS",IF($F94="À décommissionner",IF(W$8&lt;$AS94,"IKS","Décom."),IF(OR($AQ94="",$AS94=""),"",IF(W$8&lt;$AQ94,"IKS",IF(W$8&lt;$AS94,IF(W$8=$AR94,"Bascule","Double run"),"ROKS"))))))</f>
        <v/>
      </c>
      <c r="X94" s="51" t="str">
        <f aca="false">IF(OR($A94="",X$8=""),"",IF($F94="Migré","ROKS",IF($F94="À décommissionner",IF(X$8&lt;$AS94,"IKS","Décom."),IF(OR($AQ94="",$AS94=""),"",IF(X$8&lt;$AQ94,"IKS",IF(X$8&lt;$AS94,IF(X$8=$AR94,"Bascule","Double run"),"ROKS"))))))</f>
        <v/>
      </c>
      <c r="Y94" s="51" t="str">
        <f aca="false">IF(OR($A94="",Y$8=""),"",IF($F94="Migré","ROKS",IF($F94="À décommissionner",IF(Y$8&lt;$AS94,"IKS","Décom."),IF(OR($AQ94="",$AS94=""),"",IF(Y$8&lt;$AQ94,"IKS",IF(Y$8&lt;$AS94,IF(Y$8=$AR94,"Bascule","Double run"),"ROKS"))))))</f>
        <v/>
      </c>
      <c r="Z94" s="51" t="str">
        <f aca="false">IF(OR($A94="",Z$8=""),"",IF($F94="Migré","ROKS",IF($F94="À décommissionner",IF(Z$8&lt;$AS94,"IKS","Décom."),IF(OR($AQ94="",$AS94=""),"",IF(Z$8&lt;$AQ94,"IKS",IF(Z$8&lt;$AS94,IF(Z$8=$AR94,"Bascule","Double run"),"ROKS"))))))</f>
        <v/>
      </c>
      <c r="AA94" s="51" t="str">
        <f aca="false">IF(OR($A94="",AA$8=""),"",IF($F94="Migré","ROKS",IF($F94="À décommissionner",IF(AA$8&lt;$AS94,"IKS","Décom."),IF(OR($AQ94="",$AS94=""),"",IF(AA$8&lt;$AQ94,"IKS",IF(AA$8&lt;$AS94,IF(AA$8=$AR94,"Bascule","Double run"),"ROKS"))))))</f>
        <v/>
      </c>
      <c r="AB94" s="51" t="str">
        <f aca="false">IF(OR($A94="",AB$8=""),"",IF($F94="Migré","ROKS",IF($F94="À décommissionner",IF(AB$8&lt;$AS94,"IKS","Décom."),IF(OR($AQ94="",$AS94=""),"",IF(AB$8&lt;$AQ94,"IKS",IF(AB$8&lt;$AS94,IF(AB$8=$AR94,"Bascule","Double run"),"ROKS"))))))</f>
        <v/>
      </c>
      <c r="AC94" s="51" t="str">
        <f aca="false">IF(OR($A94="",AC$8=""),"",IF($F94="Migré","ROKS",IF($F94="À décommissionner",IF(AC$8&lt;$AS94,"IKS","Décom."),IF(OR($AQ94="",$AS94=""),"",IF(AC$8&lt;$AQ94,"IKS",IF(AC$8&lt;$AS94,IF(AC$8=$AR94,"Bascule","Double run"),"ROKS"))))))</f>
        <v/>
      </c>
      <c r="AD94" s="51" t="str">
        <f aca="false">IF(OR($A94="",AD$8=""),"",IF($F94="Migré","ROKS",IF($F94="À décommissionner",IF(AD$8&lt;$AS94,"IKS","Décom."),IF(OR($AQ94="",$AS94=""),"",IF(AD$8&lt;$AQ94,"IKS",IF(AD$8&lt;$AS94,IF(AD$8=$AR94,"Bascule","Double run"),"ROKS"))))))</f>
        <v/>
      </c>
      <c r="AE94" s="51" t="str">
        <f aca="false">IF(OR($A94="",AE$8=""),"",IF($F94="Migré","ROKS",IF($F94="À décommissionner",IF(AE$8&lt;$AS94,"IKS","Décom."),IF(OR($AQ94="",$AS94=""),"",IF(AE$8&lt;$AQ94,"IKS",IF(AE$8&lt;$AS94,IF(AE$8=$AR94,"Bascule","Double run"),"ROKS"))))))</f>
        <v/>
      </c>
      <c r="AF94" s="51" t="str">
        <f aca="false">IF(OR($A94="",AF$8=""),"",IF($F94="Migré","ROKS",IF($F94="À décommissionner",IF(AF$8&lt;$AS94,"IKS","Décom."),IF(OR($AQ94="",$AS94=""),"",IF(AF$8&lt;$AQ94,"IKS",IF(AF$8&lt;$AS94,IF(AF$8=$AR94,"Bascule","Double run"),"ROKS"))))))</f>
        <v/>
      </c>
      <c r="AG94" s="51" t="str">
        <f aca="false">IF(OR($A94="",AG$8=""),"",IF($F94="Migré","ROKS",IF($F94="À décommissionner",IF(AG$8&lt;$AS94,"IKS","Décom."),IF(OR($AQ94="",$AS94=""),"",IF(AG$8&lt;$AQ94,"IKS",IF(AG$8&lt;$AS94,IF(AG$8=$AR94,"Bascule","Double run"),"ROKS"))))))</f>
        <v/>
      </c>
      <c r="AH94" s="51" t="str">
        <f aca="false">IF(OR($A94="",AH$8=""),"",IF($F94="Migré","ROKS",IF($F94="À décommissionner",IF(AH$8&lt;$AS94,"IKS","Décom."),IF(OR($AQ94="",$AS94=""),"",IF(AH$8&lt;$AQ94,"IKS",IF(AH$8&lt;$AS94,IF(AH$8=$AR94,"Bascule","Double run"),"ROKS"))))))</f>
        <v/>
      </c>
      <c r="AI94" s="51" t="str">
        <f aca="false">IF(OR($A94="",AI$8=""),"",IF($F94="Migré","ROKS",IF($F94="À décommissionner",IF(AI$8&lt;$AS94,"IKS","Décom."),IF(OR($AQ94="",$AS94=""),"",IF(AI$8&lt;$AQ94,"IKS",IF(AI$8&lt;$AS94,IF(AI$8=$AR94,"Bascule","Double run"),"ROKS"))))))</f>
        <v/>
      </c>
      <c r="AJ94" s="51" t="str">
        <f aca="false">IF(OR($A94="",AJ$8=""),"",IF($F94="Migré","ROKS",IF($F94="À décommissionner",IF(AJ$8&lt;$AS94,"IKS","Décom."),IF(OR($AQ94="",$AS94=""),"",IF(AJ$8&lt;$AQ94,"IKS",IF(AJ$8&lt;$AS94,IF(AJ$8=$AR94,"Bascule","Double run"),"ROKS"))))))</f>
        <v/>
      </c>
      <c r="AK94" s="51" t="str">
        <f aca="false">IF(OR($A94="",AK$8=""),"",IF($F94="Migré","ROKS",IF($F94="À décommissionner",IF(AK$8&lt;$AS94,"IKS","Décom."),IF(OR($AQ94="",$AS94=""),"",IF(AK$8&lt;$AQ94,"IKS",IF(AK$8&lt;$AS94,IF(AK$8=$AR94,"Bascule","Double run"),"ROKS"))))))</f>
        <v/>
      </c>
      <c r="AL94" s="51" t="str">
        <f aca="false">IF(OR($A94="",AL$8=""),"",IF($F94="Migré","ROKS",IF($F94="À décommissionner",IF(AL$8&lt;$AS94,"IKS","Décom."),IF(OR($AQ94="",$AS94=""),"",IF(AL$8&lt;$AQ94,"IKS",IF(AL$8&lt;$AS94,IF(AL$8=$AR94,"Bascule","Double run"),"ROKS"))))))</f>
        <v/>
      </c>
      <c r="AM94" s="51" t="str">
        <f aca="false">IF(OR($A94="",AM$8=""),"",IF($F94="Migré","ROKS",IF($F94="À décommissionner",IF(AM$8&lt;$AS94,"IKS","Décom."),IF(OR($AQ94="",$AS94=""),"",IF(AM$8&lt;$AQ94,"IKS",IF(AM$8&lt;$AS94,IF(AM$8=$AR94,"Bascule","Double run"),"ROKS"))))))</f>
        <v/>
      </c>
      <c r="AN94" s="51" t="str">
        <f aca="false">IF(OR($A94="",AN$8=""),"",IF($F94="Migré","ROKS",IF($F94="À décommissionner",IF(AN$8&lt;$AS94,"IKS","Décom."),IF(OR($AQ94="",$AS94=""),"",IF(AN$8&lt;$AQ94,"IKS",IF(AN$8&lt;$AS94,IF(AN$8=$AR94,"Bascule","Double run"),"ROKS"))))))</f>
        <v/>
      </c>
      <c r="AO94" s="51" t="str">
        <f aca="false">IF(OR($A94="",AO$8=""),"",IF($F94="Migré","ROKS",IF($F94="À décommissionner",IF(AO$8&lt;$AS94,"IKS","Décom."),IF(OR($AQ94="",$AS94=""),"",IF(AO$8&lt;$AQ94,"IKS",IF(AO$8&lt;$AS94,IF(AO$8=$AR94,"Bascule","Double run"),"ROKS"))))))</f>
        <v/>
      </c>
      <c r="AP94" s="51" t="str">
        <f aca="false">IF(OR($A94="",AP$8=""),"",IF($F94="Migré","ROKS",IF($F94="À décommissionner",IF(AP$8&lt;$AS94,"IKS","Décom."),IF(OR($AQ94="",$AS94=""),"",IF(AP$8&lt;$AQ94,"IKS",IF(AP$8&lt;$AS94,IF(AP$8=$AR94,"Bascule","Double run"),"ROKS"))))))</f>
        <v/>
      </c>
      <c r="AQ94" s="0" t="str">
        <f aca="false">IF($A94="","",INDEX(TblApplications[Mois prov (calc)],$A94))</f>
        <v/>
      </c>
      <c r="AR94" s="0" t="str">
        <f aca="false">IF($A94="","",IFERROR(DATE(YEAR(INDEX(TblApplications[Mois bascule],$A94)),MONTH(INDEX(TblApplications[Mois bascule],$A94)),1),""))</f>
        <v/>
      </c>
      <c r="AS94" s="0" t="str">
        <f aca="false">IF($A94="","",INDEX(TblApplications[Mois lib (calc)],$A94))</f>
        <v/>
      </c>
    </row>
    <row r="95" customFormat="false" ht="15" hidden="false" customHeight="false" outlineLevel="0" collapsed="false">
      <c r="A95" s="49" t="str">
        <f aca="false">IFERROR(MATCH(87,TblApplications[Rang frise],0),"")</f>
        <v/>
      </c>
      <c r="B95" s="50" t="str">
        <f aca="false">IF($A95="","",INDEX(TblApplications[ID],$A95))</f>
        <v/>
      </c>
      <c r="C95" s="50" t="str">
        <f aca="false">IF($A95="","",INDEX(TblApplications[Application],$A95))</f>
        <v/>
      </c>
      <c r="D95" s="50" t="str">
        <f aca="false">IF($A95="","",INDEX(TblApplications[Environnement],$A95))</f>
        <v/>
      </c>
      <c r="E95" s="50" t="str">
        <f aca="false">IF($A95="","",INDEX(TblApplications[Couloir],$A95))</f>
        <v/>
      </c>
      <c r="F95" s="50" t="str">
        <f aca="false">IF($A95="","",INDEX(TblApplications[Action],$A95))</f>
        <v/>
      </c>
      <c r="G95" s="51" t="str">
        <f aca="false">IF(OR($A95="",G$8=""),"",IF($F95="Migré","ROKS",IF($F95="À décommissionner",IF(G$8&lt;$AS95,"IKS","Décom."),IF(OR($AQ95="",$AS95=""),"",IF(G$8&lt;$AQ95,"IKS",IF(G$8&lt;$AS95,IF(G$8=$AR95,"Bascule","Double run"),"ROKS"))))))</f>
        <v/>
      </c>
      <c r="H95" s="51" t="str">
        <f aca="false">IF(OR($A95="",H$8=""),"",IF($F95="Migré","ROKS",IF($F95="À décommissionner",IF(H$8&lt;$AS95,"IKS","Décom."),IF(OR($AQ95="",$AS95=""),"",IF(H$8&lt;$AQ95,"IKS",IF(H$8&lt;$AS95,IF(H$8=$AR95,"Bascule","Double run"),"ROKS"))))))</f>
        <v/>
      </c>
      <c r="I95" s="51" t="str">
        <f aca="false">IF(OR($A95="",I$8=""),"",IF($F95="Migré","ROKS",IF($F95="À décommissionner",IF(I$8&lt;$AS95,"IKS","Décom."),IF(OR($AQ95="",$AS95=""),"",IF(I$8&lt;$AQ95,"IKS",IF(I$8&lt;$AS95,IF(I$8=$AR95,"Bascule","Double run"),"ROKS"))))))</f>
        <v/>
      </c>
      <c r="J95" s="51" t="str">
        <f aca="false">IF(OR($A95="",J$8=""),"",IF($F95="Migré","ROKS",IF($F95="À décommissionner",IF(J$8&lt;$AS95,"IKS","Décom."),IF(OR($AQ95="",$AS95=""),"",IF(J$8&lt;$AQ95,"IKS",IF(J$8&lt;$AS95,IF(J$8=$AR95,"Bascule","Double run"),"ROKS"))))))</f>
        <v/>
      </c>
      <c r="K95" s="51" t="str">
        <f aca="false">IF(OR($A95="",K$8=""),"",IF($F95="Migré","ROKS",IF($F95="À décommissionner",IF(K$8&lt;$AS95,"IKS","Décom."),IF(OR($AQ95="",$AS95=""),"",IF(K$8&lt;$AQ95,"IKS",IF(K$8&lt;$AS95,IF(K$8=$AR95,"Bascule","Double run"),"ROKS"))))))</f>
        <v/>
      </c>
      <c r="L95" s="51" t="str">
        <f aca="false">IF(OR($A95="",L$8=""),"",IF($F95="Migré","ROKS",IF($F95="À décommissionner",IF(L$8&lt;$AS95,"IKS","Décom."),IF(OR($AQ95="",$AS95=""),"",IF(L$8&lt;$AQ95,"IKS",IF(L$8&lt;$AS95,IF(L$8=$AR95,"Bascule","Double run"),"ROKS"))))))</f>
        <v/>
      </c>
      <c r="M95" s="51" t="str">
        <f aca="false">IF(OR($A95="",M$8=""),"",IF($F95="Migré","ROKS",IF($F95="À décommissionner",IF(M$8&lt;$AS95,"IKS","Décom."),IF(OR($AQ95="",$AS95=""),"",IF(M$8&lt;$AQ95,"IKS",IF(M$8&lt;$AS95,IF(M$8=$AR95,"Bascule","Double run"),"ROKS"))))))</f>
        <v/>
      </c>
      <c r="N95" s="51" t="str">
        <f aca="false">IF(OR($A95="",N$8=""),"",IF($F95="Migré","ROKS",IF($F95="À décommissionner",IF(N$8&lt;$AS95,"IKS","Décom."),IF(OR($AQ95="",$AS95=""),"",IF(N$8&lt;$AQ95,"IKS",IF(N$8&lt;$AS95,IF(N$8=$AR95,"Bascule","Double run"),"ROKS"))))))</f>
        <v/>
      </c>
      <c r="O95" s="51" t="str">
        <f aca="false">IF(OR($A95="",O$8=""),"",IF($F95="Migré","ROKS",IF($F95="À décommissionner",IF(O$8&lt;$AS95,"IKS","Décom."),IF(OR($AQ95="",$AS95=""),"",IF(O$8&lt;$AQ95,"IKS",IF(O$8&lt;$AS95,IF(O$8=$AR95,"Bascule","Double run"),"ROKS"))))))</f>
        <v/>
      </c>
      <c r="P95" s="51" t="str">
        <f aca="false">IF(OR($A95="",P$8=""),"",IF($F95="Migré","ROKS",IF($F95="À décommissionner",IF(P$8&lt;$AS95,"IKS","Décom."),IF(OR($AQ95="",$AS95=""),"",IF(P$8&lt;$AQ95,"IKS",IF(P$8&lt;$AS95,IF(P$8=$AR95,"Bascule","Double run"),"ROKS"))))))</f>
        <v/>
      </c>
      <c r="Q95" s="51" t="str">
        <f aca="false">IF(OR($A95="",Q$8=""),"",IF($F95="Migré","ROKS",IF($F95="À décommissionner",IF(Q$8&lt;$AS95,"IKS","Décom."),IF(OR($AQ95="",$AS95=""),"",IF(Q$8&lt;$AQ95,"IKS",IF(Q$8&lt;$AS95,IF(Q$8=$AR95,"Bascule","Double run"),"ROKS"))))))</f>
        <v/>
      </c>
      <c r="R95" s="51" t="str">
        <f aca="false">IF(OR($A95="",R$8=""),"",IF($F95="Migré","ROKS",IF($F95="À décommissionner",IF(R$8&lt;$AS95,"IKS","Décom."),IF(OR($AQ95="",$AS95=""),"",IF(R$8&lt;$AQ95,"IKS",IF(R$8&lt;$AS95,IF(R$8=$AR95,"Bascule","Double run"),"ROKS"))))))</f>
        <v/>
      </c>
      <c r="S95" s="51" t="str">
        <f aca="false">IF(OR($A95="",S$8=""),"",IF($F95="Migré","ROKS",IF($F95="À décommissionner",IF(S$8&lt;$AS95,"IKS","Décom."),IF(OR($AQ95="",$AS95=""),"",IF(S$8&lt;$AQ95,"IKS",IF(S$8&lt;$AS95,IF(S$8=$AR95,"Bascule","Double run"),"ROKS"))))))</f>
        <v/>
      </c>
      <c r="T95" s="51" t="str">
        <f aca="false">IF(OR($A95="",T$8=""),"",IF($F95="Migré","ROKS",IF($F95="À décommissionner",IF(T$8&lt;$AS95,"IKS","Décom."),IF(OR($AQ95="",$AS95=""),"",IF(T$8&lt;$AQ95,"IKS",IF(T$8&lt;$AS95,IF(T$8=$AR95,"Bascule","Double run"),"ROKS"))))))</f>
        <v/>
      </c>
      <c r="U95" s="51" t="str">
        <f aca="false">IF(OR($A95="",U$8=""),"",IF($F95="Migré","ROKS",IF($F95="À décommissionner",IF(U$8&lt;$AS95,"IKS","Décom."),IF(OR($AQ95="",$AS95=""),"",IF(U$8&lt;$AQ95,"IKS",IF(U$8&lt;$AS95,IF(U$8=$AR95,"Bascule","Double run"),"ROKS"))))))</f>
        <v/>
      </c>
      <c r="V95" s="51" t="str">
        <f aca="false">IF(OR($A95="",V$8=""),"",IF($F95="Migré","ROKS",IF($F95="À décommissionner",IF(V$8&lt;$AS95,"IKS","Décom."),IF(OR($AQ95="",$AS95=""),"",IF(V$8&lt;$AQ95,"IKS",IF(V$8&lt;$AS95,IF(V$8=$AR95,"Bascule","Double run"),"ROKS"))))))</f>
        <v/>
      </c>
      <c r="W95" s="51" t="str">
        <f aca="false">IF(OR($A95="",W$8=""),"",IF($F95="Migré","ROKS",IF($F95="À décommissionner",IF(W$8&lt;$AS95,"IKS","Décom."),IF(OR($AQ95="",$AS95=""),"",IF(W$8&lt;$AQ95,"IKS",IF(W$8&lt;$AS95,IF(W$8=$AR95,"Bascule","Double run"),"ROKS"))))))</f>
        <v/>
      </c>
      <c r="X95" s="51" t="str">
        <f aca="false">IF(OR($A95="",X$8=""),"",IF($F95="Migré","ROKS",IF($F95="À décommissionner",IF(X$8&lt;$AS95,"IKS","Décom."),IF(OR($AQ95="",$AS95=""),"",IF(X$8&lt;$AQ95,"IKS",IF(X$8&lt;$AS95,IF(X$8=$AR95,"Bascule","Double run"),"ROKS"))))))</f>
        <v/>
      </c>
      <c r="Y95" s="51" t="str">
        <f aca="false">IF(OR($A95="",Y$8=""),"",IF($F95="Migré","ROKS",IF($F95="À décommissionner",IF(Y$8&lt;$AS95,"IKS","Décom."),IF(OR($AQ95="",$AS95=""),"",IF(Y$8&lt;$AQ95,"IKS",IF(Y$8&lt;$AS95,IF(Y$8=$AR95,"Bascule","Double run"),"ROKS"))))))</f>
        <v/>
      </c>
      <c r="Z95" s="51" t="str">
        <f aca="false">IF(OR($A95="",Z$8=""),"",IF($F95="Migré","ROKS",IF($F95="À décommissionner",IF(Z$8&lt;$AS95,"IKS","Décom."),IF(OR($AQ95="",$AS95=""),"",IF(Z$8&lt;$AQ95,"IKS",IF(Z$8&lt;$AS95,IF(Z$8=$AR95,"Bascule","Double run"),"ROKS"))))))</f>
        <v/>
      </c>
      <c r="AA95" s="51" t="str">
        <f aca="false">IF(OR($A95="",AA$8=""),"",IF($F95="Migré","ROKS",IF($F95="À décommissionner",IF(AA$8&lt;$AS95,"IKS","Décom."),IF(OR($AQ95="",$AS95=""),"",IF(AA$8&lt;$AQ95,"IKS",IF(AA$8&lt;$AS95,IF(AA$8=$AR95,"Bascule","Double run"),"ROKS"))))))</f>
        <v/>
      </c>
      <c r="AB95" s="51" t="str">
        <f aca="false">IF(OR($A95="",AB$8=""),"",IF($F95="Migré","ROKS",IF($F95="À décommissionner",IF(AB$8&lt;$AS95,"IKS","Décom."),IF(OR($AQ95="",$AS95=""),"",IF(AB$8&lt;$AQ95,"IKS",IF(AB$8&lt;$AS95,IF(AB$8=$AR95,"Bascule","Double run"),"ROKS"))))))</f>
        <v/>
      </c>
      <c r="AC95" s="51" t="str">
        <f aca="false">IF(OR($A95="",AC$8=""),"",IF($F95="Migré","ROKS",IF($F95="À décommissionner",IF(AC$8&lt;$AS95,"IKS","Décom."),IF(OR($AQ95="",$AS95=""),"",IF(AC$8&lt;$AQ95,"IKS",IF(AC$8&lt;$AS95,IF(AC$8=$AR95,"Bascule","Double run"),"ROKS"))))))</f>
        <v/>
      </c>
      <c r="AD95" s="51" t="str">
        <f aca="false">IF(OR($A95="",AD$8=""),"",IF($F95="Migré","ROKS",IF($F95="À décommissionner",IF(AD$8&lt;$AS95,"IKS","Décom."),IF(OR($AQ95="",$AS95=""),"",IF(AD$8&lt;$AQ95,"IKS",IF(AD$8&lt;$AS95,IF(AD$8=$AR95,"Bascule","Double run"),"ROKS"))))))</f>
        <v/>
      </c>
      <c r="AE95" s="51" t="str">
        <f aca="false">IF(OR($A95="",AE$8=""),"",IF($F95="Migré","ROKS",IF($F95="À décommissionner",IF(AE$8&lt;$AS95,"IKS","Décom."),IF(OR($AQ95="",$AS95=""),"",IF(AE$8&lt;$AQ95,"IKS",IF(AE$8&lt;$AS95,IF(AE$8=$AR95,"Bascule","Double run"),"ROKS"))))))</f>
        <v/>
      </c>
      <c r="AF95" s="51" t="str">
        <f aca="false">IF(OR($A95="",AF$8=""),"",IF($F95="Migré","ROKS",IF($F95="À décommissionner",IF(AF$8&lt;$AS95,"IKS","Décom."),IF(OR($AQ95="",$AS95=""),"",IF(AF$8&lt;$AQ95,"IKS",IF(AF$8&lt;$AS95,IF(AF$8=$AR95,"Bascule","Double run"),"ROKS"))))))</f>
        <v/>
      </c>
      <c r="AG95" s="51" t="str">
        <f aca="false">IF(OR($A95="",AG$8=""),"",IF($F95="Migré","ROKS",IF($F95="À décommissionner",IF(AG$8&lt;$AS95,"IKS","Décom."),IF(OR($AQ95="",$AS95=""),"",IF(AG$8&lt;$AQ95,"IKS",IF(AG$8&lt;$AS95,IF(AG$8=$AR95,"Bascule","Double run"),"ROKS"))))))</f>
        <v/>
      </c>
      <c r="AH95" s="51" t="str">
        <f aca="false">IF(OR($A95="",AH$8=""),"",IF($F95="Migré","ROKS",IF($F95="À décommissionner",IF(AH$8&lt;$AS95,"IKS","Décom."),IF(OR($AQ95="",$AS95=""),"",IF(AH$8&lt;$AQ95,"IKS",IF(AH$8&lt;$AS95,IF(AH$8=$AR95,"Bascule","Double run"),"ROKS"))))))</f>
        <v/>
      </c>
      <c r="AI95" s="51" t="str">
        <f aca="false">IF(OR($A95="",AI$8=""),"",IF($F95="Migré","ROKS",IF($F95="À décommissionner",IF(AI$8&lt;$AS95,"IKS","Décom."),IF(OR($AQ95="",$AS95=""),"",IF(AI$8&lt;$AQ95,"IKS",IF(AI$8&lt;$AS95,IF(AI$8=$AR95,"Bascule","Double run"),"ROKS"))))))</f>
        <v/>
      </c>
      <c r="AJ95" s="51" t="str">
        <f aca="false">IF(OR($A95="",AJ$8=""),"",IF($F95="Migré","ROKS",IF($F95="À décommissionner",IF(AJ$8&lt;$AS95,"IKS","Décom."),IF(OR($AQ95="",$AS95=""),"",IF(AJ$8&lt;$AQ95,"IKS",IF(AJ$8&lt;$AS95,IF(AJ$8=$AR95,"Bascule","Double run"),"ROKS"))))))</f>
        <v/>
      </c>
      <c r="AK95" s="51" t="str">
        <f aca="false">IF(OR($A95="",AK$8=""),"",IF($F95="Migré","ROKS",IF($F95="À décommissionner",IF(AK$8&lt;$AS95,"IKS","Décom."),IF(OR($AQ95="",$AS95=""),"",IF(AK$8&lt;$AQ95,"IKS",IF(AK$8&lt;$AS95,IF(AK$8=$AR95,"Bascule","Double run"),"ROKS"))))))</f>
        <v/>
      </c>
      <c r="AL95" s="51" t="str">
        <f aca="false">IF(OR($A95="",AL$8=""),"",IF($F95="Migré","ROKS",IF($F95="À décommissionner",IF(AL$8&lt;$AS95,"IKS","Décom."),IF(OR($AQ95="",$AS95=""),"",IF(AL$8&lt;$AQ95,"IKS",IF(AL$8&lt;$AS95,IF(AL$8=$AR95,"Bascule","Double run"),"ROKS"))))))</f>
        <v/>
      </c>
      <c r="AM95" s="51" t="str">
        <f aca="false">IF(OR($A95="",AM$8=""),"",IF($F95="Migré","ROKS",IF($F95="À décommissionner",IF(AM$8&lt;$AS95,"IKS","Décom."),IF(OR($AQ95="",$AS95=""),"",IF(AM$8&lt;$AQ95,"IKS",IF(AM$8&lt;$AS95,IF(AM$8=$AR95,"Bascule","Double run"),"ROKS"))))))</f>
        <v/>
      </c>
      <c r="AN95" s="51" t="str">
        <f aca="false">IF(OR($A95="",AN$8=""),"",IF($F95="Migré","ROKS",IF($F95="À décommissionner",IF(AN$8&lt;$AS95,"IKS","Décom."),IF(OR($AQ95="",$AS95=""),"",IF(AN$8&lt;$AQ95,"IKS",IF(AN$8&lt;$AS95,IF(AN$8=$AR95,"Bascule","Double run"),"ROKS"))))))</f>
        <v/>
      </c>
      <c r="AO95" s="51" t="str">
        <f aca="false">IF(OR($A95="",AO$8=""),"",IF($F95="Migré","ROKS",IF($F95="À décommissionner",IF(AO$8&lt;$AS95,"IKS","Décom."),IF(OR($AQ95="",$AS95=""),"",IF(AO$8&lt;$AQ95,"IKS",IF(AO$8&lt;$AS95,IF(AO$8=$AR95,"Bascule","Double run"),"ROKS"))))))</f>
        <v/>
      </c>
      <c r="AP95" s="51" t="str">
        <f aca="false">IF(OR($A95="",AP$8=""),"",IF($F95="Migré","ROKS",IF($F95="À décommissionner",IF(AP$8&lt;$AS95,"IKS","Décom."),IF(OR($AQ95="",$AS95=""),"",IF(AP$8&lt;$AQ95,"IKS",IF(AP$8&lt;$AS95,IF(AP$8=$AR95,"Bascule","Double run"),"ROKS"))))))</f>
        <v/>
      </c>
      <c r="AQ95" s="0" t="str">
        <f aca="false">IF($A95="","",INDEX(TblApplications[Mois prov (calc)],$A95))</f>
        <v/>
      </c>
      <c r="AR95" s="0" t="str">
        <f aca="false">IF($A95="","",IFERROR(DATE(YEAR(INDEX(TblApplications[Mois bascule],$A95)),MONTH(INDEX(TblApplications[Mois bascule],$A95)),1),""))</f>
        <v/>
      </c>
      <c r="AS95" s="0" t="str">
        <f aca="false">IF($A95="","",INDEX(TblApplications[Mois lib (calc)],$A95))</f>
        <v/>
      </c>
    </row>
    <row r="96" customFormat="false" ht="15" hidden="false" customHeight="false" outlineLevel="0" collapsed="false">
      <c r="A96" s="49" t="str">
        <f aca="false">IFERROR(MATCH(88,TblApplications[Rang frise],0),"")</f>
        <v/>
      </c>
      <c r="B96" s="50" t="str">
        <f aca="false">IF($A96="","",INDEX(TblApplications[ID],$A96))</f>
        <v/>
      </c>
      <c r="C96" s="50" t="str">
        <f aca="false">IF($A96="","",INDEX(TblApplications[Application],$A96))</f>
        <v/>
      </c>
      <c r="D96" s="50" t="str">
        <f aca="false">IF($A96="","",INDEX(TblApplications[Environnement],$A96))</f>
        <v/>
      </c>
      <c r="E96" s="50" t="str">
        <f aca="false">IF($A96="","",INDEX(TblApplications[Couloir],$A96))</f>
        <v/>
      </c>
      <c r="F96" s="50" t="str">
        <f aca="false">IF($A96="","",INDEX(TblApplications[Action],$A96))</f>
        <v/>
      </c>
      <c r="G96" s="51" t="str">
        <f aca="false">IF(OR($A96="",G$8=""),"",IF($F96="Migré","ROKS",IF($F96="À décommissionner",IF(G$8&lt;$AS96,"IKS","Décom."),IF(OR($AQ96="",$AS96=""),"",IF(G$8&lt;$AQ96,"IKS",IF(G$8&lt;$AS96,IF(G$8=$AR96,"Bascule","Double run"),"ROKS"))))))</f>
        <v/>
      </c>
      <c r="H96" s="51" t="str">
        <f aca="false">IF(OR($A96="",H$8=""),"",IF($F96="Migré","ROKS",IF($F96="À décommissionner",IF(H$8&lt;$AS96,"IKS","Décom."),IF(OR($AQ96="",$AS96=""),"",IF(H$8&lt;$AQ96,"IKS",IF(H$8&lt;$AS96,IF(H$8=$AR96,"Bascule","Double run"),"ROKS"))))))</f>
        <v/>
      </c>
      <c r="I96" s="51" t="str">
        <f aca="false">IF(OR($A96="",I$8=""),"",IF($F96="Migré","ROKS",IF($F96="À décommissionner",IF(I$8&lt;$AS96,"IKS","Décom."),IF(OR($AQ96="",$AS96=""),"",IF(I$8&lt;$AQ96,"IKS",IF(I$8&lt;$AS96,IF(I$8=$AR96,"Bascule","Double run"),"ROKS"))))))</f>
        <v/>
      </c>
      <c r="J96" s="51" t="str">
        <f aca="false">IF(OR($A96="",J$8=""),"",IF($F96="Migré","ROKS",IF($F96="À décommissionner",IF(J$8&lt;$AS96,"IKS","Décom."),IF(OR($AQ96="",$AS96=""),"",IF(J$8&lt;$AQ96,"IKS",IF(J$8&lt;$AS96,IF(J$8=$AR96,"Bascule","Double run"),"ROKS"))))))</f>
        <v/>
      </c>
      <c r="K96" s="51" t="str">
        <f aca="false">IF(OR($A96="",K$8=""),"",IF($F96="Migré","ROKS",IF($F96="À décommissionner",IF(K$8&lt;$AS96,"IKS","Décom."),IF(OR($AQ96="",$AS96=""),"",IF(K$8&lt;$AQ96,"IKS",IF(K$8&lt;$AS96,IF(K$8=$AR96,"Bascule","Double run"),"ROKS"))))))</f>
        <v/>
      </c>
      <c r="L96" s="51" t="str">
        <f aca="false">IF(OR($A96="",L$8=""),"",IF($F96="Migré","ROKS",IF($F96="À décommissionner",IF(L$8&lt;$AS96,"IKS","Décom."),IF(OR($AQ96="",$AS96=""),"",IF(L$8&lt;$AQ96,"IKS",IF(L$8&lt;$AS96,IF(L$8=$AR96,"Bascule","Double run"),"ROKS"))))))</f>
        <v/>
      </c>
      <c r="M96" s="51" t="str">
        <f aca="false">IF(OR($A96="",M$8=""),"",IF($F96="Migré","ROKS",IF($F96="À décommissionner",IF(M$8&lt;$AS96,"IKS","Décom."),IF(OR($AQ96="",$AS96=""),"",IF(M$8&lt;$AQ96,"IKS",IF(M$8&lt;$AS96,IF(M$8=$AR96,"Bascule","Double run"),"ROKS"))))))</f>
        <v/>
      </c>
      <c r="N96" s="51" t="str">
        <f aca="false">IF(OR($A96="",N$8=""),"",IF($F96="Migré","ROKS",IF($F96="À décommissionner",IF(N$8&lt;$AS96,"IKS","Décom."),IF(OR($AQ96="",$AS96=""),"",IF(N$8&lt;$AQ96,"IKS",IF(N$8&lt;$AS96,IF(N$8=$AR96,"Bascule","Double run"),"ROKS"))))))</f>
        <v/>
      </c>
      <c r="O96" s="51" t="str">
        <f aca="false">IF(OR($A96="",O$8=""),"",IF($F96="Migré","ROKS",IF($F96="À décommissionner",IF(O$8&lt;$AS96,"IKS","Décom."),IF(OR($AQ96="",$AS96=""),"",IF(O$8&lt;$AQ96,"IKS",IF(O$8&lt;$AS96,IF(O$8=$AR96,"Bascule","Double run"),"ROKS"))))))</f>
        <v/>
      </c>
      <c r="P96" s="51" t="str">
        <f aca="false">IF(OR($A96="",P$8=""),"",IF($F96="Migré","ROKS",IF($F96="À décommissionner",IF(P$8&lt;$AS96,"IKS","Décom."),IF(OR($AQ96="",$AS96=""),"",IF(P$8&lt;$AQ96,"IKS",IF(P$8&lt;$AS96,IF(P$8=$AR96,"Bascule","Double run"),"ROKS"))))))</f>
        <v/>
      </c>
      <c r="Q96" s="51" t="str">
        <f aca="false">IF(OR($A96="",Q$8=""),"",IF($F96="Migré","ROKS",IF($F96="À décommissionner",IF(Q$8&lt;$AS96,"IKS","Décom."),IF(OR($AQ96="",$AS96=""),"",IF(Q$8&lt;$AQ96,"IKS",IF(Q$8&lt;$AS96,IF(Q$8=$AR96,"Bascule","Double run"),"ROKS"))))))</f>
        <v/>
      </c>
      <c r="R96" s="51" t="str">
        <f aca="false">IF(OR($A96="",R$8=""),"",IF($F96="Migré","ROKS",IF($F96="À décommissionner",IF(R$8&lt;$AS96,"IKS","Décom."),IF(OR($AQ96="",$AS96=""),"",IF(R$8&lt;$AQ96,"IKS",IF(R$8&lt;$AS96,IF(R$8=$AR96,"Bascule","Double run"),"ROKS"))))))</f>
        <v/>
      </c>
      <c r="S96" s="51" t="str">
        <f aca="false">IF(OR($A96="",S$8=""),"",IF($F96="Migré","ROKS",IF($F96="À décommissionner",IF(S$8&lt;$AS96,"IKS","Décom."),IF(OR($AQ96="",$AS96=""),"",IF(S$8&lt;$AQ96,"IKS",IF(S$8&lt;$AS96,IF(S$8=$AR96,"Bascule","Double run"),"ROKS"))))))</f>
        <v/>
      </c>
      <c r="T96" s="51" t="str">
        <f aca="false">IF(OR($A96="",T$8=""),"",IF($F96="Migré","ROKS",IF($F96="À décommissionner",IF(T$8&lt;$AS96,"IKS","Décom."),IF(OR($AQ96="",$AS96=""),"",IF(T$8&lt;$AQ96,"IKS",IF(T$8&lt;$AS96,IF(T$8=$AR96,"Bascule","Double run"),"ROKS"))))))</f>
        <v/>
      </c>
      <c r="U96" s="51" t="str">
        <f aca="false">IF(OR($A96="",U$8=""),"",IF($F96="Migré","ROKS",IF($F96="À décommissionner",IF(U$8&lt;$AS96,"IKS","Décom."),IF(OR($AQ96="",$AS96=""),"",IF(U$8&lt;$AQ96,"IKS",IF(U$8&lt;$AS96,IF(U$8=$AR96,"Bascule","Double run"),"ROKS"))))))</f>
        <v/>
      </c>
      <c r="V96" s="51" t="str">
        <f aca="false">IF(OR($A96="",V$8=""),"",IF($F96="Migré","ROKS",IF($F96="À décommissionner",IF(V$8&lt;$AS96,"IKS","Décom."),IF(OR($AQ96="",$AS96=""),"",IF(V$8&lt;$AQ96,"IKS",IF(V$8&lt;$AS96,IF(V$8=$AR96,"Bascule","Double run"),"ROKS"))))))</f>
        <v/>
      </c>
      <c r="W96" s="51" t="str">
        <f aca="false">IF(OR($A96="",W$8=""),"",IF($F96="Migré","ROKS",IF($F96="À décommissionner",IF(W$8&lt;$AS96,"IKS","Décom."),IF(OR($AQ96="",$AS96=""),"",IF(W$8&lt;$AQ96,"IKS",IF(W$8&lt;$AS96,IF(W$8=$AR96,"Bascule","Double run"),"ROKS"))))))</f>
        <v/>
      </c>
      <c r="X96" s="51" t="str">
        <f aca="false">IF(OR($A96="",X$8=""),"",IF($F96="Migré","ROKS",IF($F96="À décommissionner",IF(X$8&lt;$AS96,"IKS","Décom."),IF(OR($AQ96="",$AS96=""),"",IF(X$8&lt;$AQ96,"IKS",IF(X$8&lt;$AS96,IF(X$8=$AR96,"Bascule","Double run"),"ROKS"))))))</f>
        <v/>
      </c>
      <c r="Y96" s="51" t="str">
        <f aca="false">IF(OR($A96="",Y$8=""),"",IF($F96="Migré","ROKS",IF($F96="À décommissionner",IF(Y$8&lt;$AS96,"IKS","Décom."),IF(OR($AQ96="",$AS96=""),"",IF(Y$8&lt;$AQ96,"IKS",IF(Y$8&lt;$AS96,IF(Y$8=$AR96,"Bascule","Double run"),"ROKS"))))))</f>
        <v/>
      </c>
      <c r="Z96" s="51" t="str">
        <f aca="false">IF(OR($A96="",Z$8=""),"",IF($F96="Migré","ROKS",IF($F96="À décommissionner",IF(Z$8&lt;$AS96,"IKS","Décom."),IF(OR($AQ96="",$AS96=""),"",IF(Z$8&lt;$AQ96,"IKS",IF(Z$8&lt;$AS96,IF(Z$8=$AR96,"Bascule","Double run"),"ROKS"))))))</f>
        <v/>
      </c>
      <c r="AA96" s="51" t="str">
        <f aca="false">IF(OR($A96="",AA$8=""),"",IF($F96="Migré","ROKS",IF($F96="À décommissionner",IF(AA$8&lt;$AS96,"IKS","Décom."),IF(OR($AQ96="",$AS96=""),"",IF(AA$8&lt;$AQ96,"IKS",IF(AA$8&lt;$AS96,IF(AA$8=$AR96,"Bascule","Double run"),"ROKS"))))))</f>
        <v/>
      </c>
      <c r="AB96" s="51" t="str">
        <f aca="false">IF(OR($A96="",AB$8=""),"",IF($F96="Migré","ROKS",IF($F96="À décommissionner",IF(AB$8&lt;$AS96,"IKS","Décom."),IF(OR($AQ96="",$AS96=""),"",IF(AB$8&lt;$AQ96,"IKS",IF(AB$8&lt;$AS96,IF(AB$8=$AR96,"Bascule","Double run"),"ROKS"))))))</f>
        <v/>
      </c>
      <c r="AC96" s="51" t="str">
        <f aca="false">IF(OR($A96="",AC$8=""),"",IF($F96="Migré","ROKS",IF($F96="À décommissionner",IF(AC$8&lt;$AS96,"IKS","Décom."),IF(OR($AQ96="",$AS96=""),"",IF(AC$8&lt;$AQ96,"IKS",IF(AC$8&lt;$AS96,IF(AC$8=$AR96,"Bascule","Double run"),"ROKS"))))))</f>
        <v/>
      </c>
      <c r="AD96" s="51" t="str">
        <f aca="false">IF(OR($A96="",AD$8=""),"",IF($F96="Migré","ROKS",IF($F96="À décommissionner",IF(AD$8&lt;$AS96,"IKS","Décom."),IF(OR($AQ96="",$AS96=""),"",IF(AD$8&lt;$AQ96,"IKS",IF(AD$8&lt;$AS96,IF(AD$8=$AR96,"Bascule","Double run"),"ROKS"))))))</f>
        <v/>
      </c>
      <c r="AE96" s="51" t="str">
        <f aca="false">IF(OR($A96="",AE$8=""),"",IF($F96="Migré","ROKS",IF($F96="À décommissionner",IF(AE$8&lt;$AS96,"IKS","Décom."),IF(OR($AQ96="",$AS96=""),"",IF(AE$8&lt;$AQ96,"IKS",IF(AE$8&lt;$AS96,IF(AE$8=$AR96,"Bascule","Double run"),"ROKS"))))))</f>
        <v/>
      </c>
      <c r="AF96" s="51" t="str">
        <f aca="false">IF(OR($A96="",AF$8=""),"",IF($F96="Migré","ROKS",IF($F96="À décommissionner",IF(AF$8&lt;$AS96,"IKS","Décom."),IF(OR($AQ96="",$AS96=""),"",IF(AF$8&lt;$AQ96,"IKS",IF(AF$8&lt;$AS96,IF(AF$8=$AR96,"Bascule","Double run"),"ROKS"))))))</f>
        <v/>
      </c>
      <c r="AG96" s="51" t="str">
        <f aca="false">IF(OR($A96="",AG$8=""),"",IF($F96="Migré","ROKS",IF($F96="À décommissionner",IF(AG$8&lt;$AS96,"IKS","Décom."),IF(OR($AQ96="",$AS96=""),"",IF(AG$8&lt;$AQ96,"IKS",IF(AG$8&lt;$AS96,IF(AG$8=$AR96,"Bascule","Double run"),"ROKS"))))))</f>
        <v/>
      </c>
      <c r="AH96" s="51" t="str">
        <f aca="false">IF(OR($A96="",AH$8=""),"",IF($F96="Migré","ROKS",IF($F96="À décommissionner",IF(AH$8&lt;$AS96,"IKS","Décom."),IF(OR($AQ96="",$AS96=""),"",IF(AH$8&lt;$AQ96,"IKS",IF(AH$8&lt;$AS96,IF(AH$8=$AR96,"Bascule","Double run"),"ROKS"))))))</f>
        <v/>
      </c>
      <c r="AI96" s="51" t="str">
        <f aca="false">IF(OR($A96="",AI$8=""),"",IF($F96="Migré","ROKS",IF($F96="À décommissionner",IF(AI$8&lt;$AS96,"IKS","Décom."),IF(OR($AQ96="",$AS96=""),"",IF(AI$8&lt;$AQ96,"IKS",IF(AI$8&lt;$AS96,IF(AI$8=$AR96,"Bascule","Double run"),"ROKS"))))))</f>
        <v/>
      </c>
      <c r="AJ96" s="51" t="str">
        <f aca="false">IF(OR($A96="",AJ$8=""),"",IF($F96="Migré","ROKS",IF($F96="À décommissionner",IF(AJ$8&lt;$AS96,"IKS","Décom."),IF(OR($AQ96="",$AS96=""),"",IF(AJ$8&lt;$AQ96,"IKS",IF(AJ$8&lt;$AS96,IF(AJ$8=$AR96,"Bascule","Double run"),"ROKS"))))))</f>
        <v/>
      </c>
      <c r="AK96" s="51" t="str">
        <f aca="false">IF(OR($A96="",AK$8=""),"",IF($F96="Migré","ROKS",IF($F96="À décommissionner",IF(AK$8&lt;$AS96,"IKS","Décom."),IF(OR($AQ96="",$AS96=""),"",IF(AK$8&lt;$AQ96,"IKS",IF(AK$8&lt;$AS96,IF(AK$8=$AR96,"Bascule","Double run"),"ROKS"))))))</f>
        <v/>
      </c>
      <c r="AL96" s="51" t="str">
        <f aca="false">IF(OR($A96="",AL$8=""),"",IF($F96="Migré","ROKS",IF($F96="À décommissionner",IF(AL$8&lt;$AS96,"IKS","Décom."),IF(OR($AQ96="",$AS96=""),"",IF(AL$8&lt;$AQ96,"IKS",IF(AL$8&lt;$AS96,IF(AL$8=$AR96,"Bascule","Double run"),"ROKS"))))))</f>
        <v/>
      </c>
      <c r="AM96" s="51" t="str">
        <f aca="false">IF(OR($A96="",AM$8=""),"",IF($F96="Migré","ROKS",IF($F96="À décommissionner",IF(AM$8&lt;$AS96,"IKS","Décom."),IF(OR($AQ96="",$AS96=""),"",IF(AM$8&lt;$AQ96,"IKS",IF(AM$8&lt;$AS96,IF(AM$8=$AR96,"Bascule","Double run"),"ROKS"))))))</f>
        <v/>
      </c>
      <c r="AN96" s="51" t="str">
        <f aca="false">IF(OR($A96="",AN$8=""),"",IF($F96="Migré","ROKS",IF($F96="À décommissionner",IF(AN$8&lt;$AS96,"IKS","Décom."),IF(OR($AQ96="",$AS96=""),"",IF(AN$8&lt;$AQ96,"IKS",IF(AN$8&lt;$AS96,IF(AN$8=$AR96,"Bascule","Double run"),"ROKS"))))))</f>
        <v/>
      </c>
      <c r="AO96" s="51" t="str">
        <f aca="false">IF(OR($A96="",AO$8=""),"",IF($F96="Migré","ROKS",IF($F96="À décommissionner",IF(AO$8&lt;$AS96,"IKS","Décom."),IF(OR($AQ96="",$AS96=""),"",IF(AO$8&lt;$AQ96,"IKS",IF(AO$8&lt;$AS96,IF(AO$8=$AR96,"Bascule","Double run"),"ROKS"))))))</f>
        <v/>
      </c>
      <c r="AP96" s="51" t="str">
        <f aca="false">IF(OR($A96="",AP$8=""),"",IF($F96="Migré","ROKS",IF($F96="À décommissionner",IF(AP$8&lt;$AS96,"IKS","Décom."),IF(OR($AQ96="",$AS96=""),"",IF(AP$8&lt;$AQ96,"IKS",IF(AP$8&lt;$AS96,IF(AP$8=$AR96,"Bascule","Double run"),"ROKS"))))))</f>
        <v/>
      </c>
      <c r="AQ96" s="0" t="str">
        <f aca="false">IF($A96="","",INDEX(TblApplications[Mois prov (calc)],$A96))</f>
        <v/>
      </c>
      <c r="AR96" s="0" t="str">
        <f aca="false">IF($A96="","",IFERROR(DATE(YEAR(INDEX(TblApplications[Mois bascule],$A96)),MONTH(INDEX(TblApplications[Mois bascule],$A96)),1),""))</f>
        <v/>
      </c>
      <c r="AS96" s="0" t="str">
        <f aca="false">IF($A96="","",INDEX(TblApplications[Mois lib (calc)],$A96))</f>
        <v/>
      </c>
    </row>
    <row r="97" customFormat="false" ht="15" hidden="false" customHeight="false" outlineLevel="0" collapsed="false">
      <c r="A97" s="49" t="str">
        <f aca="false">IFERROR(MATCH(89,TblApplications[Rang frise],0),"")</f>
        <v/>
      </c>
      <c r="B97" s="50" t="str">
        <f aca="false">IF($A97="","",INDEX(TblApplications[ID],$A97))</f>
        <v/>
      </c>
      <c r="C97" s="50" t="str">
        <f aca="false">IF($A97="","",INDEX(TblApplications[Application],$A97))</f>
        <v/>
      </c>
      <c r="D97" s="50" t="str">
        <f aca="false">IF($A97="","",INDEX(TblApplications[Environnement],$A97))</f>
        <v/>
      </c>
      <c r="E97" s="50" t="str">
        <f aca="false">IF($A97="","",INDEX(TblApplications[Couloir],$A97))</f>
        <v/>
      </c>
      <c r="F97" s="50" t="str">
        <f aca="false">IF($A97="","",INDEX(TblApplications[Action],$A97))</f>
        <v/>
      </c>
      <c r="G97" s="51" t="str">
        <f aca="false">IF(OR($A97="",G$8=""),"",IF($F97="Migré","ROKS",IF($F97="À décommissionner",IF(G$8&lt;$AS97,"IKS","Décom."),IF(OR($AQ97="",$AS97=""),"",IF(G$8&lt;$AQ97,"IKS",IF(G$8&lt;$AS97,IF(G$8=$AR97,"Bascule","Double run"),"ROKS"))))))</f>
        <v/>
      </c>
      <c r="H97" s="51" t="str">
        <f aca="false">IF(OR($A97="",H$8=""),"",IF($F97="Migré","ROKS",IF($F97="À décommissionner",IF(H$8&lt;$AS97,"IKS","Décom."),IF(OR($AQ97="",$AS97=""),"",IF(H$8&lt;$AQ97,"IKS",IF(H$8&lt;$AS97,IF(H$8=$AR97,"Bascule","Double run"),"ROKS"))))))</f>
        <v/>
      </c>
      <c r="I97" s="51" t="str">
        <f aca="false">IF(OR($A97="",I$8=""),"",IF($F97="Migré","ROKS",IF($F97="À décommissionner",IF(I$8&lt;$AS97,"IKS","Décom."),IF(OR($AQ97="",$AS97=""),"",IF(I$8&lt;$AQ97,"IKS",IF(I$8&lt;$AS97,IF(I$8=$AR97,"Bascule","Double run"),"ROKS"))))))</f>
        <v/>
      </c>
      <c r="J97" s="51" t="str">
        <f aca="false">IF(OR($A97="",J$8=""),"",IF($F97="Migré","ROKS",IF($F97="À décommissionner",IF(J$8&lt;$AS97,"IKS","Décom."),IF(OR($AQ97="",$AS97=""),"",IF(J$8&lt;$AQ97,"IKS",IF(J$8&lt;$AS97,IF(J$8=$AR97,"Bascule","Double run"),"ROKS"))))))</f>
        <v/>
      </c>
      <c r="K97" s="51" t="str">
        <f aca="false">IF(OR($A97="",K$8=""),"",IF($F97="Migré","ROKS",IF($F97="À décommissionner",IF(K$8&lt;$AS97,"IKS","Décom."),IF(OR($AQ97="",$AS97=""),"",IF(K$8&lt;$AQ97,"IKS",IF(K$8&lt;$AS97,IF(K$8=$AR97,"Bascule","Double run"),"ROKS"))))))</f>
        <v/>
      </c>
      <c r="L97" s="51" t="str">
        <f aca="false">IF(OR($A97="",L$8=""),"",IF($F97="Migré","ROKS",IF($F97="À décommissionner",IF(L$8&lt;$AS97,"IKS","Décom."),IF(OR($AQ97="",$AS97=""),"",IF(L$8&lt;$AQ97,"IKS",IF(L$8&lt;$AS97,IF(L$8=$AR97,"Bascule","Double run"),"ROKS"))))))</f>
        <v/>
      </c>
      <c r="M97" s="51" t="str">
        <f aca="false">IF(OR($A97="",M$8=""),"",IF($F97="Migré","ROKS",IF($F97="À décommissionner",IF(M$8&lt;$AS97,"IKS","Décom."),IF(OR($AQ97="",$AS97=""),"",IF(M$8&lt;$AQ97,"IKS",IF(M$8&lt;$AS97,IF(M$8=$AR97,"Bascule","Double run"),"ROKS"))))))</f>
        <v/>
      </c>
      <c r="N97" s="51" t="str">
        <f aca="false">IF(OR($A97="",N$8=""),"",IF($F97="Migré","ROKS",IF($F97="À décommissionner",IF(N$8&lt;$AS97,"IKS","Décom."),IF(OR($AQ97="",$AS97=""),"",IF(N$8&lt;$AQ97,"IKS",IF(N$8&lt;$AS97,IF(N$8=$AR97,"Bascule","Double run"),"ROKS"))))))</f>
        <v/>
      </c>
      <c r="O97" s="51" t="str">
        <f aca="false">IF(OR($A97="",O$8=""),"",IF($F97="Migré","ROKS",IF($F97="À décommissionner",IF(O$8&lt;$AS97,"IKS","Décom."),IF(OR($AQ97="",$AS97=""),"",IF(O$8&lt;$AQ97,"IKS",IF(O$8&lt;$AS97,IF(O$8=$AR97,"Bascule","Double run"),"ROKS"))))))</f>
        <v/>
      </c>
      <c r="P97" s="51" t="str">
        <f aca="false">IF(OR($A97="",P$8=""),"",IF($F97="Migré","ROKS",IF($F97="À décommissionner",IF(P$8&lt;$AS97,"IKS","Décom."),IF(OR($AQ97="",$AS97=""),"",IF(P$8&lt;$AQ97,"IKS",IF(P$8&lt;$AS97,IF(P$8=$AR97,"Bascule","Double run"),"ROKS"))))))</f>
        <v/>
      </c>
      <c r="Q97" s="51" t="str">
        <f aca="false">IF(OR($A97="",Q$8=""),"",IF($F97="Migré","ROKS",IF($F97="À décommissionner",IF(Q$8&lt;$AS97,"IKS","Décom."),IF(OR($AQ97="",$AS97=""),"",IF(Q$8&lt;$AQ97,"IKS",IF(Q$8&lt;$AS97,IF(Q$8=$AR97,"Bascule","Double run"),"ROKS"))))))</f>
        <v/>
      </c>
      <c r="R97" s="51" t="str">
        <f aca="false">IF(OR($A97="",R$8=""),"",IF($F97="Migré","ROKS",IF($F97="À décommissionner",IF(R$8&lt;$AS97,"IKS","Décom."),IF(OR($AQ97="",$AS97=""),"",IF(R$8&lt;$AQ97,"IKS",IF(R$8&lt;$AS97,IF(R$8=$AR97,"Bascule","Double run"),"ROKS"))))))</f>
        <v/>
      </c>
      <c r="S97" s="51" t="str">
        <f aca="false">IF(OR($A97="",S$8=""),"",IF($F97="Migré","ROKS",IF($F97="À décommissionner",IF(S$8&lt;$AS97,"IKS","Décom."),IF(OR($AQ97="",$AS97=""),"",IF(S$8&lt;$AQ97,"IKS",IF(S$8&lt;$AS97,IF(S$8=$AR97,"Bascule","Double run"),"ROKS"))))))</f>
        <v/>
      </c>
      <c r="T97" s="51" t="str">
        <f aca="false">IF(OR($A97="",T$8=""),"",IF($F97="Migré","ROKS",IF($F97="À décommissionner",IF(T$8&lt;$AS97,"IKS","Décom."),IF(OR($AQ97="",$AS97=""),"",IF(T$8&lt;$AQ97,"IKS",IF(T$8&lt;$AS97,IF(T$8=$AR97,"Bascule","Double run"),"ROKS"))))))</f>
        <v/>
      </c>
      <c r="U97" s="51" t="str">
        <f aca="false">IF(OR($A97="",U$8=""),"",IF($F97="Migré","ROKS",IF($F97="À décommissionner",IF(U$8&lt;$AS97,"IKS","Décom."),IF(OR($AQ97="",$AS97=""),"",IF(U$8&lt;$AQ97,"IKS",IF(U$8&lt;$AS97,IF(U$8=$AR97,"Bascule","Double run"),"ROKS"))))))</f>
        <v/>
      </c>
      <c r="V97" s="51" t="str">
        <f aca="false">IF(OR($A97="",V$8=""),"",IF($F97="Migré","ROKS",IF($F97="À décommissionner",IF(V$8&lt;$AS97,"IKS","Décom."),IF(OR($AQ97="",$AS97=""),"",IF(V$8&lt;$AQ97,"IKS",IF(V$8&lt;$AS97,IF(V$8=$AR97,"Bascule","Double run"),"ROKS"))))))</f>
        <v/>
      </c>
      <c r="W97" s="51" t="str">
        <f aca="false">IF(OR($A97="",W$8=""),"",IF($F97="Migré","ROKS",IF($F97="À décommissionner",IF(W$8&lt;$AS97,"IKS","Décom."),IF(OR($AQ97="",$AS97=""),"",IF(W$8&lt;$AQ97,"IKS",IF(W$8&lt;$AS97,IF(W$8=$AR97,"Bascule","Double run"),"ROKS"))))))</f>
        <v/>
      </c>
      <c r="X97" s="51" t="str">
        <f aca="false">IF(OR($A97="",X$8=""),"",IF($F97="Migré","ROKS",IF($F97="À décommissionner",IF(X$8&lt;$AS97,"IKS","Décom."),IF(OR($AQ97="",$AS97=""),"",IF(X$8&lt;$AQ97,"IKS",IF(X$8&lt;$AS97,IF(X$8=$AR97,"Bascule","Double run"),"ROKS"))))))</f>
        <v/>
      </c>
      <c r="Y97" s="51" t="str">
        <f aca="false">IF(OR($A97="",Y$8=""),"",IF($F97="Migré","ROKS",IF($F97="À décommissionner",IF(Y$8&lt;$AS97,"IKS","Décom."),IF(OR($AQ97="",$AS97=""),"",IF(Y$8&lt;$AQ97,"IKS",IF(Y$8&lt;$AS97,IF(Y$8=$AR97,"Bascule","Double run"),"ROKS"))))))</f>
        <v/>
      </c>
      <c r="Z97" s="51" t="str">
        <f aca="false">IF(OR($A97="",Z$8=""),"",IF($F97="Migré","ROKS",IF($F97="À décommissionner",IF(Z$8&lt;$AS97,"IKS","Décom."),IF(OR($AQ97="",$AS97=""),"",IF(Z$8&lt;$AQ97,"IKS",IF(Z$8&lt;$AS97,IF(Z$8=$AR97,"Bascule","Double run"),"ROKS"))))))</f>
        <v/>
      </c>
      <c r="AA97" s="51" t="str">
        <f aca="false">IF(OR($A97="",AA$8=""),"",IF($F97="Migré","ROKS",IF($F97="À décommissionner",IF(AA$8&lt;$AS97,"IKS","Décom."),IF(OR($AQ97="",$AS97=""),"",IF(AA$8&lt;$AQ97,"IKS",IF(AA$8&lt;$AS97,IF(AA$8=$AR97,"Bascule","Double run"),"ROKS"))))))</f>
        <v/>
      </c>
      <c r="AB97" s="51" t="str">
        <f aca="false">IF(OR($A97="",AB$8=""),"",IF($F97="Migré","ROKS",IF($F97="À décommissionner",IF(AB$8&lt;$AS97,"IKS","Décom."),IF(OR($AQ97="",$AS97=""),"",IF(AB$8&lt;$AQ97,"IKS",IF(AB$8&lt;$AS97,IF(AB$8=$AR97,"Bascule","Double run"),"ROKS"))))))</f>
        <v/>
      </c>
      <c r="AC97" s="51" t="str">
        <f aca="false">IF(OR($A97="",AC$8=""),"",IF($F97="Migré","ROKS",IF($F97="À décommissionner",IF(AC$8&lt;$AS97,"IKS","Décom."),IF(OR($AQ97="",$AS97=""),"",IF(AC$8&lt;$AQ97,"IKS",IF(AC$8&lt;$AS97,IF(AC$8=$AR97,"Bascule","Double run"),"ROKS"))))))</f>
        <v/>
      </c>
      <c r="AD97" s="51" t="str">
        <f aca="false">IF(OR($A97="",AD$8=""),"",IF($F97="Migré","ROKS",IF($F97="À décommissionner",IF(AD$8&lt;$AS97,"IKS","Décom."),IF(OR($AQ97="",$AS97=""),"",IF(AD$8&lt;$AQ97,"IKS",IF(AD$8&lt;$AS97,IF(AD$8=$AR97,"Bascule","Double run"),"ROKS"))))))</f>
        <v/>
      </c>
      <c r="AE97" s="51" t="str">
        <f aca="false">IF(OR($A97="",AE$8=""),"",IF($F97="Migré","ROKS",IF($F97="À décommissionner",IF(AE$8&lt;$AS97,"IKS","Décom."),IF(OR($AQ97="",$AS97=""),"",IF(AE$8&lt;$AQ97,"IKS",IF(AE$8&lt;$AS97,IF(AE$8=$AR97,"Bascule","Double run"),"ROKS"))))))</f>
        <v/>
      </c>
      <c r="AF97" s="51" t="str">
        <f aca="false">IF(OR($A97="",AF$8=""),"",IF($F97="Migré","ROKS",IF($F97="À décommissionner",IF(AF$8&lt;$AS97,"IKS","Décom."),IF(OR($AQ97="",$AS97=""),"",IF(AF$8&lt;$AQ97,"IKS",IF(AF$8&lt;$AS97,IF(AF$8=$AR97,"Bascule","Double run"),"ROKS"))))))</f>
        <v/>
      </c>
      <c r="AG97" s="51" t="str">
        <f aca="false">IF(OR($A97="",AG$8=""),"",IF($F97="Migré","ROKS",IF($F97="À décommissionner",IF(AG$8&lt;$AS97,"IKS","Décom."),IF(OR($AQ97="",$AS97=""),"",IF(AG$8&lt;$AQ97,"IKS",IF(AG$8&lt;$AS97,IF(AG$8=$AR97,"Bascule","Double run"),"ROKS"))))))</f>
        <v/>
      </c>
      <c r="AH97" s="51" t="str">
        <f aca="false">IF(OR($A97="",AH$8=""),"",IF($F97="Migré","ROKS",IF($F97="À décommissionner",IF(AH$8&lt;$AS97,"IKS","Décom."),IF(OR($AQ97="",$AS97=""),"",IF(AH$8&lt;$AQ97,"IKS",IF(AH$8&lt;$AS97,IF(AH$8=$AR97,"Bascule","Double run"),"ROKS"))))))</f>
        <v/>
      </c>
      <c r="AI97" s="51" t="str">
        <f aca="false">IF(OR($A97="",AI$8=""),"",IF($F97="Migré","ROKS",IF($F97="À décommissionner",IF(AI$8&lt;$AS97,"IKS","Décom."),IF(OR($AQ97="",$AS97=""),"",IF(AI$8&lt;$AQ97,"IKS",IF(AI$8&lt;$AS97,IF(AI$8=$AR97,"Bascule","Double run"),"ROKS"))))))</f>
        <v/>
      </c>
      <c r="AJ97" s="51" t="str">
        <f aca="false">IF(OR($A97="",AJ$8=""),"",IF($F97="Migré","ROKS",IF($F97="À décommissionner",IF(AJ$8&lt;$AS97,"IKS","Décom."),IF(OR($AQ97="",$AS97=""),"",IF(AJ$8&lt;$AQ97,"IKS",IF(AJ$8&lt;$AS97,IF(AJ$8=$AR97,"Bascule","Double run"),"ROKS"))))))</f>
        <v/>
      </c>
      <c r="AK97" s="51" t="str">
        <f aca="false">IF(OR($A97="",AK$8=""),"",IF($F97="Migré","ROKS",IF($F97="À décommissionner",IF(AK$8&lt;$AS97,"IKS","Décom."),IF(OR($AQ97="",$AS97=""),"",IF(AK$8&lt;$AQ97,"IKS",IF(AK$8&lt;$AS97,IF(AK$8=$AR97,"Bascule","Double run"),"ROKS"))))))</f>
        <v/>
      </c>
      <c r="AL97" s="51" t="str">
        <f aca="false">IF(OR($A97="",AL$8=""),"",IF($F97="Migré","ROKS",IF($F97="À décommissionner",IF(AL$8&lt;$AS97,"IKS","Décom."),IF(OR($AQ97="",$AS97=""),"",IF(AL$8&lt;$AQ97,"IKS",IF(AL$8&lt;$AS97,IF(AL$8=$AR97,"Bascule","Double run"),"ROKS"))))))</f>
        <v/>
      </c>
      <c r="AM97" s="51" t="str">
        <f aca="false">IF(OR($A97="",AM$8=""),"",IF($F97="Migré","ROKS",IF($F97="À décommissionner",IF(AM$8&lt;$AS97,"IKS","Décom."),IF(OR($AQ97="",$AS97=""),"",IF(AM$8&lt;$AQ97,"IKS",IF(AM$8&lt;$AS97,IF(AM$8=$AR97,"Bascule","Double run"),"ROKS"))))))</f>
        <v/>
      </c>
      <c r="AN97" s="51" t="str">
        <f aca="false">IF(OR($A97="",AN$8=""),"",IF($F97="Migré","ROKS",IF($F97="À décommissionner",IF(AN$8&lt;$AS97,"IKS","Décom."),IF(OR($AQ97="",$AS97=""),"",IF(AN$8&lt;$AQ97,"IKS",IF(AN$8&lt;$AS97,IF(AN$8=$AR97,"Bascule","Double run"),"ROKS"))))))</f>
        <v/>
      </c>
      <c r="AO97" s="51" t="str">
        <f aca="false">IF(OR($A97="",AO$8=""),"",IF($F97="Migré","ROKS",IF($F97="À décommissionner",IF(AO$8&lt;$AS97,"IKS","Décom."),IF(OR($AQ97="",$AS97=""),"",IF(AO$8&lt;$AQ97,"IKS",IF(AO$8&lt;$AS97,IF(AO$8=$AR97,"Bascule","Double run"),"ROKS"))))))</f>
        <v/>
      </c>
      <c r="AP97" s="51" t="str">
        <f aca="false">IF(OR($A97="",AP$8=""),"",IF($F97="Migré","ROKS",IF($F97="À décommissionner",IF(AP$8&lt;$AS97,"IKS","Décom."),IF(OR($AQ97="",$AS97=""),"",IF(AP$8&lt;$AQ97,"IKS",IF(AP$8&lt;$AS97,IF(AP$8=$AR97,"Bascule","Double run"),"ROKS"))))))</f>
        <v/>
      </c>
      <c r="AQ97" s="0" t="str">
        <f aca="false">IF($A97="","",INDEX(TblApplications[Mois prov (calc)],$A97))</f>
        <v/>
      </c>
      <c r="AR97" s="0" t="str">
        <f aca="false">IF($A97="","",IFERROR(DATE(YEAR(INDEX(TblApplications[Mois bascule],$A97)),MONTH(INDEX(TblApplications[Mois bascule],$A97)),1),""))</f>
        <v/>
      </c>
      <c r="AS97" s="0" t="str">
        <f aca="false">IF($A97="","",INDEX(TblApplications[Mois lib (calc)],$A97))</f>
        <v/>
      </c>
    </row>
    <row r="98" customFormat="false" ht="15" hidden="false" customHeight="false" outlineLevel="0" collapsed="false">
      <c r="A98" s="49" t="str">
        <f aca="false">IFERROR(MATCH(90,TblApplications[Rang frise],0),"")</f>
        <v/>
      </c>
      <c r="B98" s="50" t="str">
        <f aca="false">IF($A98="","",INDEX(TblApplications[ID],$A98))</f>
        <v/>
      </c>
      <c r="C98" s="50" t="str">
        <f aca="false">IF($A98="","",INDEX(TblApplications[Application],$A98))</f>
        <v/>
      </c>
      <c r="D98" s="50" t="str">
        <f aca="false">IF($A98="","",INDEX(TblApplications[Environnement],$A98))</f>
        <v/>
      </c>
      <c r="E98" s="50" t="str">
        <f aca="false">IF($A98="","",INDEX(TblApplications[Couloir],$A98))</f>
        <v/>
      </c>
      <c r="F98" s="50" t="str">
        <f aca="false">IF($A98="","",INDEX(TblApplications[Action],$A98))</f>
        <v/>
      </c>
      <c r="G98" s="51" t="str">
        <f aca="false">IF(OR($A98="",G$8=""),"",IF($F98="Migré","ROKS",IF($F98="À décommissionner",IF(G$8&lt;$AS98,"IKS","Décom."),IF(OR($AQ98="",$AS98=""),"",IF(G$8&lt;$AQ98,"IKS",IF(G$8&lt;$AS98,IF(G$8=$AR98,"Bascule","Double run"),"ROKS"))))))</f>
        <v/>
      </c>
      <c r="H98" s="51" t="str">
        <f aca="false">IF(OR($A98="",H$8=""),"",IF($F98="Migré","ROKS",IF($F98="À décommissionner",IF(H$8&lt;$AS98,"IKS","Décom."),IF(OR($AQ98="",$AS98=""),"",IF(H$8&lt;$AQ98,"IKS",IF(H$8&lt;$AS98,IF(H$8=$AR98,"Bascule","Double run"),"ROKS"))))))</f>
        <v/>
      </c>
      <c r="I98" s="51" t="str">
        <f aca="false">IF(OR($A98="",I$8=""),"",IF($F98="Migré","ROKS",IF($F98="À décommissionner",IF(I$8&lt;$AS98,"IKS","Décom."),IF(OR($AQ98="",$AS98=""),"",IF(I$8&lt;$AQ98,"IKS",IF(I$8&lt;$AS98,IF(I$8=$AR98,"Bascule","Double run"),"ROKS"))))))</f>
        <v/>
      </c>
      <c r="J98" s="51" t="str">
        <f aca="false">IF(OR($A98="",J$8=""),"",IF($F98="Migré","ROKS",IF($F98="À décommissionner",IF(J$8&lt;$AS98,"IKS","Décom."),IF(OR($AQ98="",$AS98=""),"",IF(J$8&lt;$AQ98,"IKS",IF(J$8&lt;$AS98,IF(J$8=$AR98,"Bascule","Double run"),"ROKS"))))))</f>
        <v/>
      </c>
      <c r="K98" s="51" t="str">
        <f aca="false">IF(OR($A98="",K$8=""),"",IF($F98="Migré","ROKS",IF($F98="À décommissionner",IF(K$8&lt;$AS98,"IKS","Décom."),IF(OR($AQ98="",$AS98=""),"",IF(K$8&lt;$AQ98,"IKS",IF(K$8&lt;$AS98,IF(K$8=$AR98,"Bascule","Double run"),"ROKS"))))))</f>
        <v/>
      </c>
      <c r="L98" s="51" t="str">
        <f aca="false">IF(OR($A98="",L$8=""),"",IF($F98="Migré","ROKS",IF($F98="À décommissionner",IF(L$8&lt;$AS98,"IKS","Décom."),IF(OR($AQ98="",$AS98=""),"",IF(L$8&lt;$AQ98,"IKS",IF(L$8&lt;$AS98,IF(L$8=$AR98,"Bascule","Double run"),"ROKS"))))))</f>
        <v/>
      </c>
      <c r="M98" s="51" t="str">
        <f aca="false">IF(OR($A98="",M$8=""),"",IF($F98="Migré","ROKS",IF($F98="À décommissionner",IF(M$8&lt;$AS98,"IKS","Décom."),IF(OR($AQ98="",$AS98=""),"",IF(M$8&lt;$AQ98,"IKS",IF(M$8&lt;$AS98,IF(M$8=$AR98,"Bascule","Double run"),"ROKS"))))))</f>
        <v/>
      </c>
      <c r="N98" s="51" t="str">
        <f aca="false">IF(OR($A98="",N$8=""),"",IF($F98="Migré","ROKS",IF($F98="À décommissionner",IF(N$8&lt;$AS98,"IKS","Décom."),IF(OR($AQ98="",$AS98=""),"",IF(N$8&lt;$AQ98,"IKS",IF(N$8&lt;$AS98,IF(N$8=$AR98,"Bascule","Double run"),"ROKS"))))))</f>
        <v/>
      </c>
      <c r="O98" s="51" t="str">
        <f aca="false">IF(OR($A98="",O$8=""),"",IF($F98="Migré","ROKS",IF($F98="À décommissionner",IF(O$8&lt;$AS98,"IKS","Décom."),IF(OR($AQ98="",$AS98=""),"",IF(O$8&lt;$AQ98,"IKS",IF(O$8&lt;$AS98,IF(O$8=$AR98,"Bascule","Double run"),"ROKS"))))))</f>
        <v/>
      </c>
      <c r="P98" s="51" t="str">
        <f aca="false">IF(OR($A98="",P$8=""),"",IF($F98="Migré","ROKS",IF($F98="À décommissionner",IF(P$8&lt;$AS98,"IKS","Décom."),IF(OR($AQ98="",$AS98=""),"",IF(P$8&lt;$AQ98,"IKS",IF(P$8&lt;$AS98,IF(P$8=$AR98,"Bascule","Double run"),"ROKS"))))))</f>
        <v/>
      </c>
      <c r="Q98" s="51" t="str">
        <f aca="false">IF(OR($A98="",Q$8=""),"",IF($F98="Migré","ROKS",IF($F98="À décommissionner",IF(Q$8&lt;$AS98,"IKS","Décom."),IF(OR($AQ98="",$AS98=""),"",IF(Q$8&lt;$AQ98,"IKS",IF(Q$8&lt;$AS98,IF(Q$8=$AR98,"Bascule","Double run"),"ROKS"))))))</f>
        <v/>
      </c>
      <c r="R98" s="51" t="str">
        <f aca="false">IF(OR($A98="",R$8=""),"",IF($F98="Migré","ROKS",IF($F98="À décommissionner",IF(R$8&lt;$AS98,"IKS","Décom."),IF(OR($AQ98="",$AS98=""),"",IF(R$8&lt;$AQ98,"IKS",IF(R$8&lt;$AS98,IF(R$8=$AR98,"Bascule","Double run"),"ROKS"))))))</f>
        <v/>
      </c>
      <c r="S98" s="51" t="str">
        <f aca="false">IF(OR($A98="",S$8=""),"",IF($F98="Migré","ROKS",IF($F98="À décommissionner",IF(S$8&lt;$AS98,"IKS","Décom."),IF(OR($AQ98="",$AS98=""),"",IF(S$8&lt;$AQ98,"IKS",IF(S$8&lt;$AS98,IF(S$8=$AR98,"Bascule","Double run"),"ROKS"))))))</f>
        <v/>
      </c>
      <c r="T98" s="51" t="str">
        <f aca="false">IF(OR($A98="",T$8=""),"",IF($F98="Migré","ROKS",IF($F98="À décommissionner",IF(T$8&lt;$AS98,"IKS","Décom."),IF(OR($AQ98="",$AS98=""),"",IF(T$8&lt;$AQ98,"IKS",IF(T$8&lt;$AS98,IF(T$8=$AR98,"Bascule","Double run"),"ROKS"))))))</f>
        <v/>
      </c>
      <c r="U98" s="51" t="str">
        <f aca="false">IF(OR($A98="",U$8=""),"",IF($F98="Migré","ROKS",IF($F98="À décommissionner",IF(U$8&lt;$AS98,"IKS","Décom."),IF(OR($AQ98="",$AS98=""),"",IF(U$8&lt;$AQ98,"IKS",IF(U$8&lt;$AS98,IF(U$8=$AR98,"Bascule","Double run"),"ROKS"))))))</f>
        <v/>
      </c>
      <c r="V98" s="51" t="str">
        <f aca="false">IF(OR($A98="",V$8=""),"",IF($F98="Migré","ROKS",IF($F98="À décommissionner",IF(V$8&lt;$AS98,"IKS","Décom."),IF(OR($AQ98="",$AS98=""),"",IF(V$8&lt;$AQ98,"IKS",IF(V$8&lt;$AS98,IF(V$8=$AR98,"Bascule","Double run"),"ROKS"))))))</f>
        <v/>
      </c>
      <c r="W98" s="51" t="str">
        <f aca="false">IF(OR($A98="",W$8=""),"",IF($F98="Migré","ROKS",IF($F98="À décommissionner",IF(W$8&lt;$AS98,"IKS","Décom."),IF(OR($AQ98="",$AS98=""),"",IF(W$8&lt;$AQ98,"IKS",IF(W$8&lt;$AS98,IF(W$8=$AR98,"Bascule","Double run"),"ROKS"))))))</f>
        <v/>
      </c>
      <c r="X98" s="51" t="str">
        <f aca="false">IF(OR($A98="",X$8=""),"",IF($F98="Migré","ROKS",IF($F98="À décommissionner",IF(X$8&lt;$AS98,"IKS","Décom."),IF(OR($AQ98="",$AS98=""),"",IF(X$8&lt;$AQ98,"IKS",IF(X$8&lt;$AS98,IF(X$8=$AR98,"Bascule","Double run"),"ROKS"))))))</f>
        <v/>
      </c>
      <c r="Y98" s="51" t="str">
        <f aca="false">IF(OR($A98="",Y$8=""),"",IF($F98="Migré","ROKS",IF($F98="À décommissionner",IF(Y$8&lt;$AS98,"IKS","Décom."),IF(OR($AQ98="",$AS98=""),"",IF(Y$8&lt;$AQ98,"IKS",IF(Y$8&lt;$AS98,IF(Y$8=$AR98,"Bascule","Double run"),"ROKS"))))))</f>
        <v/>
      </c>
      <c r="Z98" s="51" t="str">
        <f aca="false">IF(OR($A98="",Z$8=""),"",IF($F98="Migré","ROKS",IF($F98="À décommissionner",IF(Z$8&lt;$AS98,"IKS","Décom."),IF(OR($AQ98="",$AS98=""),"",IF(Z$8&lt;$AQ98,"IKS",IF(Z$8&lt;$AS98,IF(Z$8=$AR98,"Bascule","Double run"),"ROKS"))))))</f>
        <v/>
      </c>
      <c r="AA98" s="51" t="str">
        <f aca="false">IF(OR($A98="",AA$8=""),"",IF($F98="Migré","ROKS",IF($F98="À décommissionner",IF(AA$8&lt;$AS98,"IKS","Décom."),IF(OR($AQ98="",$AS98=""),"",IF(AA$8&lt;$AQ98,"IKS",IF(AA$8&lt;$AS98,IF(AA$8=$AR98,"Bascule","Double run"),"ROKS"))))))</f>
        <v/>
      </c>
      <c r="AB98" s="51" t="str">
        <f aca="false">IF(OR($A98="",AB$8=""),"",IF($F98="Migré","ROKS",IF($F98="À décommissionner",IF(AB$8&lt;$AS98,"IKS","Décom."),IF(OR($AQ98="",$AS98=""),"",IF(AB$8&lt;$AQ98,"IKS",IF(AB$8&lt;$AS98,IF(AB$8=$AR98,"Bascule","Double run"),"ROKS"))))))</f>
        <v/>
      </c>
      <c r="AC98" s="51" t="str">
        <f aca="false">IF(OR($A98="",AC$8=""),"",IF($F98="Migré","ROKS",IF($F98="À décommissionner",IF(AC$8&lt;$AS98,"IKS","Décom."),IF(OR($AQ98="",$AS98=""),"",IF(AC$8&lt;$AQ98,"IKS",IF(AC$8&lt;$AS98,IF(AC$8=$AR98,"Bascule","Double run"),"ROKS"))))))</f>
        <v/>
      </c>
      <c r="AD98" s="51" t="str">
        <f aca="false">IF(OR($A98="",AD$8=""),"",IF($F98="Migré","ROKS",IF($F98="À décommissionner",IF(AD$8&lt;$AS98,"IKS","Décom."),IF(OR($AQ98="",$AS98=""),"",IF(AD$8&lt;$AQ98,"IKS",IF(AD$8&lt;$AS98,IF(AD$8=$AR98,"Bascule","Double run"),"ROKS"))))))</f>
        <v/>
      </c>
      <c r="AE98" s="51" t="str">
        <f aca="false">IF(OR($A98="",AE$8=""),"",IF($F98="Migré","ROKS",IF($F98="À décommissionner",IF(AE$8&lt;$AS98,"IKS","Décom."),IF(OR($AQ98="",$AS98=""),"",IF(AE$8&lt;$AQ98,"IKS",IF(AE$8&lt;$AS98,IF(AE$8=$AR98,"Bascule","Double run"),"ROKS"))))))</f>
        <v/>
      </c>
      <c r="AF98" s="51" t="str">
        <f aca="false">IF(OR($A98="",AF$8=""),"",IF($F98="Migré","ROKS",IF($F98="À décommissionner",IF(AF$8&lt;$AS98,"IKS","Décom."),IF(OR($AQ98="",$AS98=""),"",IF(AF$8&lt;$AQ98,"IKS",IF(AF$8&lt;$AS98,IF(AF$8=$AR98,"Bascule","Double run"),"ROKS"))))))</f>
        <v/>
      </c>
      <c r="AG98" s="51" t="str">
        <f aca="false">IF(OR($A98="",AG$8=""),"",IF($F98="Migré","ROKS",IF($F98="À décommissionner",IF(AG$8&lt;$AS98,"IKS","Décom."),IF(OR($AQ98="",$AS98=""),"",IF(AG$8&lt;$AQ98,"IKS",IF(AG$8&lt;$AS98,IF(AG$8=$AR98,"Bascule","Double run"),"ROKS"))))))</f>
        <v/>
      </c>
      <c r="AH98" s="51" t="str">
        <f aca="false">IF(OR($A98="",AH$8=""),"",IF($F98="Migré","ROKS",IF($F98="À décommissionner",IF(AH$8&lt;$AS98,"IKS","Décom."),IF(OR($AQ98="",$AS98=""),"",IF(AH$8&lt;$AQ98,"IKS",IF(AH$8&lt;$AS98,IF(AH$8=$AR98,"Bascule","Double run"),"ROKS"))))))</f>
        <v/>
      </c>
      <c r="AI98" s="51" t="str">
        <f aca="false">IF(OR($A98="",AI$8=""),"",IF($F98="Migré","ROKS",IF($F98="À décommissionner",IF(AI$8&lt;$AS98,"IKS","Décom."),IF(OR($AQ98="",$AS98=""),"",IF(AI$8&lt;$AQ98,"IKS",IF(AI$8&lt;$AS98,IF(AI$8=$AR98,"Bascule","Double run"),"ROKS"))))))</f>
        <v/>
      </c>
      <c r="AJ98" s="51" t="str">
        <f aca="false">IF(OR($A98="",AJ$8=""),"",IF($F98="Migré","ROKS",IF($F98="À décommissionner",IF(AJ$8&lt;$AS98,"IKS","Décom."),IF(OR($AQ98="",$AS98=""),"",IF(AJ$8&lt;$AQ98,"IKS",IF(AJ$8&lt;$AS98,IF(AJ$8=$AR98,"Bascule","Double run"),"ROKS"))))))</f>
        <v/>
      </c>
      <c r="AK98" s="51" t="str">
        <f aca="false">IF(OR($A98="",AK$8=""),"",IF($F98="Migré","ROKS",IF($F98="À décommissionner",IF(AK$8&lt;$AS98,"IKS","Décom."),IF(OR($AQ98="",$AS98=""),"",IF(AK$8&lt;$AQ98,"IKS",IF(AK$8&lt;$AS98,IF(AK$8=$AR98,"Bascule","Double run"),"ROKS"))))))</f>
        <v/>
      </c>
      <c r="AL98" s="51" t="str">
        <f aca="false">IF(OR($A98="",AL$8=""),"",IF($F98="Migré","ROKS",IF($F98="À décommissionner",IF(AL$8&lt;$AS98,"IKS","Décom."),IF(OR($AQ98="",$AS98=""),"",IF(AL$8&lt;$AQ98,"IKS",IF(AL$8&lt;$AS98,IF(AL$8=$AR98,"Bascule","Double run"),"ROKS"))))))</f>
        <v/>
      </c>
      <c r="AM98" s="51" t="str">
        <f aca="false">IF(OR($A98="",AM$8=""),"",IF($F98="Migré","ROKS",IF($F98="À décommissionner",IF(AM$8&lt;$AS98,"IKS","Décom."),IF(OR($AQ98="",$AS98=""),"",IF(AM$8&lt;$AQ98,"IKS",IF(AM$8&lt;$AS98,IF(AM$8=$AR98,"Bascule","Double run"),"ROKS"))))))</f>
        <v/>
      </c>
      <c r="AN98" s="51" t="str">
        <f aca="false">IF(OR($A98="",AN$8=""),"",IF($F98="Migré","ROKS",IF($F98="À décommissionner",IF(AN$8&lt;$AS98,"IKS","Décom."),IF(OR($AQ98="",$AS98=""),"",IF(AN$8&lt;$AQ98,"IKS",IF(AN$8&lt;$AS98,IF(AN$8=$AR98,"Bascule","Double run"),"ROKS"))))))</f>
        <v/>
      </c>
      <c r="AO98" s="51" t="str">
        <f aca="false">IF(OR($A98="",AO$8=""),"",IF($F98="Migré","ROKS",IF($F98="À décommissionner",IF(AO$8&lt;$AS98,"IKS","Décom."),IF(OR($AQ98="",$AS98=""),"",IF(AO$8&lt;$AQ98,"IKS",IF(AO$8&lt;$AS98,IF(AO$8=$AR98,"Bascule","Double run"),"ROKS"))))))</f>
        <v/>
      </c>
      <c r="AP98" s="51" t="str">
        <f aca="false">IF(OR($A98="",AP$8=""),"",IF($F98="Migré","ROKS",IF($F98="À décommissionner",IF(AP$8&lt;$AS98,"IKS","Décom."),IF(OR($AQ98="",$AS98=""),"",IF(AP$8&lt;$AQ98,"IKS",IF(AP$8&lt;$AS98,IF(AP$8=$AR98,"Bascule","Double run"),"ROKS"))))))</f>
        <v/>
      </c>
      <c r="AQ98" s="0" t="str">
        <f aca="false">IF($A98="","",INDEX(TblApplications[Mois prov (calc)],$A98))</f>
        <v/>
      </c>
      <c r="AR98" s="0" t="str">
        <f aca="false">IF($A98="","",IFERROR(DATE(YEAR(INDEX(TblApplications[Mois bascule],$A98)),MONTH(INDEX(TblApplications[Mois bascule],$A98)),1),""))</f>
        <v/>
      </c>
      <c r="AS98" s="0" t="str">
        <f aca="false">IF($A98="","",INDEX(TblApplications[Mois lib (calc)],$A98))</f>
        <v/>
      </c>
    </row>
    <row r="99" customFormat="false" ht="15" hidden="false" customHeight="false" outlineLevel="0" collapsed="false">
      <c r="A99" s="49" t="str">
        <f aca="false">IFERROR(MATCH(91,TblApplications[Rang frise],0),"")</f>
        <v/>
      </c>
      <c r="B99" s="50" t="str">
        <f aca="false">IF($A99="","",INDEX(TblApplications[ID],$A99))</f>
        <v/>
      </c>
      <c r="C99" s="50" t="str">
        <f aca="false">IF($A99="","",INDEX(TblApplications[Application],$A99))</f>
        <v/>
      </c>
      <c r="D99" s="50" t="str">
        <f aca="false">IF($A99="","",INDEX(TblApplications[Environnement],$A99))</f>
        <v/>
      </c>
      <c r="E99" s="50" t="str">
        <f aca="false">IF($A99="","",INDEX(TblApplications[Couloir],$A99))</f>
        <v/>
      </c>
      <c r="F99" s="50" t="str">
        <f aca="false">IF($A99="","",INDEX(TblApplications[Action],$A99))</f>
        <v/>
      </c>
      <c r="G99" s="51" t="str">
        <f aca="false">IF(OR($A99="",G$8=""),"",IF($F99="Migré","ROKS",IF($F99="À décommissionner",IF(G$8&lt;$AS99,"IKS","Décom."),IF(OR($AQ99="",$AS99=""),"",IF(G$8&lt;$AQ99,"IKS",IF(G$8&lt;$AS99,IF(G$8=$AR99,"Bascule","Double run"),"ROKS"))))))</f>
        <v/>
      </c>
      <c r="H99" s="51" t="str">
        <f aca="false">IF(OR($A99="",H$8=""),"",IF($F99="Migré","ROKS",IF($F99="À décommissionner",IF(H$8&lt;$AS99,"IKS","Décom."),IF(OR($AQ99="",$AS99=""),"",IF(H$8&lt;$AQ99,"IKS",IF(H$8&lt;$AS99,IF(H$8=$AR99,"Bascule","Double run"),"ROKS"))))))</f>
        <v/>
      </c>
      <c r="I99" s="51" t="str">
        <f aca="false">IF(OR($A99="",I$8=""),"",IF($F99="Migré","ROKS",IF($F99="À décommissionner",IF(I$8&lt;$AS99,"IKS","Décom."),IF(OR($AQ99="",$AS99=""),"",IF(I$8&lt;$AQ99,"IKS",IF(I$8&lt;$AS99,IF(I$8=$AR99,"Bascule","Double run"),"ROKS"))))))</f>
        <v/>
      </c>
      <c r="J99" s="51" t="str">
        <f aca="false">IF(OR($A99="",J$8=""),"",IF($F99="Migré","ROKS",IF($F99="À décommissionner",IF(J$8&lt;$AS99,"IKS","Décom."),IF(OR($AQ99="",$AS99=""),"",IF(J$8&lt;$AQ99,"IKS",IF(J$8&lt;$AS99,IF(J$8=$AR99,"Bascule","Double run"),"ROKS"))))))</f>
        <v/>
      </c>
      <c r="K99" s="51" t="str">
        <f aca="false">IF(OR($A99="",K$8=""),"",IF($F99="Migré","ROKS",IF($F99="À décommissionner",IF(K$8&lt;$AS99,"IKS","Décom."),IF(OR($AQ99="",$AS99=""),"",IF(K$8&lt;$AQ99,"IKS",IF(K$8&lt;$AS99,IF(K$8=$AR99,"Bascule","Double run"),"ROKS"))))))</f>
        <v/>
      </c>
      <c r="L99" s="51" t="str">
        <f aca="false">IF(OR($A99="",L$8=""),"",IF($F99="Migré","ROKS",IF($F99="À décommissionner",IF(L$8&lt;$AS99,"IKS","Décom."),IF(OR($AQ99="",$AS99=""),"",IF(L$8&lt;$AQ99,"IKS",IF(L$8&lt;$AS99,IF(L$8=$AR99,"Bascule","Double run"),"ROKS"))))))</f>
        <v/>
      </c>
      <c r="M99" s="51" t="str">
        <f aca="false">IF(OR($A99="",M$8=""),"",IF($F99="Migré","ROKS",IF($F99="À décommissionner",IF(M$8&lt;$AS99,"IKS","Décom."),IF(OR($AQ99="",$AS99=""),"",IF(M$8&lt;$AQ99,"IKS",IF(M$8&lt;$AS99,IF(M$8=$AR99,"Bascule","Double run"),"ROKS"))))))</f>
        <v/>
      </c>
      <c r="N99" s="51" t="str">
        <f aca="false">IF(OR($A99="",N$8=""),"",IF($F99="Migré","ROKS",IF($F99="À décommissionner",IF(N$8&lt;$AS99,"IKS","Décom."),IF(OR($AQ99="",$AS99=""),"",IF(N$8&lt;$AQ99,"IKS",IF(N$8&lt;$AS99,IF(N$8=$AR99,"Bascule","Double run"),"ROKS"))))))</f>
        <v/>
      </c>
      <c r="O99" s="51" t="str">
        <f aca="false">IF(OR($A99="",O$8=""),"",IF($F99="Migré","ROKS",IF($F99="À décommissionner",IF(O$8&lt;$AS99,"IKS","Décom."),IF(OR($AQ99="",$AS99=""),"",IF(O$8&lt;$AQ99,"IKS",IF(O$8&lt;$AS99,IF(O$8=$AR99,"Bascule","Double run"),"ROKS"))))))</f>
        <v/>
      </c>
      <c r="P99" s="51" t="str">
        <f aca="false">IF(OR($A99="",P$8=""),"",IF($F99="Migré","ROKS",IF($F99="À décommissionner",IF(P$8&lt;$AS99,"IKS","Décom."),IF(OR($AQ99="",$AS99=""),"",IF(P$8&lt;$AQ99,"IKS",IF(P$8&lt;$AS99,IF(P$8=$AR99,"Bascule","Double run"),"ROKS"))))))</f>
        <v/>
      </c>
      <c r="Q99" s="51" t="str">
        <f aca="false">IF(OR($A99="",Q$8=""),"",IF($F99="Migré","ROKS",IF($F99="À décommissionner",IF(Q$8&lt;$AS99,"IKS","Décom."),IF(OR($AQ99="",$AS99=""),"",IF(Q$8&lt;$AQ99,"IKS",IF(Q$8&lt;$AS99,IF(Q$8=$AR99,"Bascule","Double run"),"ROKS"))))))</f>
        <v/>
      </c>
      <c r="R99" s="51" t="str">
        <f aca="false">IF(OR($A99="",R$8=""),"",IF($F99="Migré","ROKS",IF($F99="À décommissionner",IF(R$8&lt;$AS99,"IKS","Décom."),IF(OR($AQ99="",$AS99=""),"",IF(R$8&lt;$AQ99,"IKS",IF(R$8&lt;$AS99,IF(R$8=$AR99,"Bascule","Double run"),"ROKS"))))))</f>
        <v/>
      </c>
      <c r="S99" s="51" t="str">
        <f aca="false">IF(OR($A99="",S$8=""),"",IF($F99="Migré","ROKS",IF($F99="À décommissionner",IF(S$8&lt;$AS99,"IKS","Décom."),IF(OR($AQ99="",$AS99=""),"",IF(S$8&lt;$AQ99,"IKS",IF(S$8&lt;$AS99,IF(S$8=$AR99,"Bascule","Double run"),"ROKS"))))))</f>
        <v/>
      </c>
      <c r="T99" s="51" t="str">
        <f aca="false">IF(OR($A99="",T$8=""),"",IF($F99="Migré","ROKS",IF($F99="À décommissionner",IF(T$8&lt;$AS99,"IKS","Décom."),IF(OR($AQ99="",$AS99=""),"",IF(T$8&lt;$AQ99,"IKS",IF(T$8&lt;$AS99,IF(T$8=$AR99,"Bascule","Double run"),"ROKS"))))))</f>
        <v/>
      </c>
      <c r="U99" s="51" t="str">
        <f aca="false">IF(OR($A99="",U$8=""),"",IF($F99="Migré","ROKS",IF($F99="À décommissionner",IF(U$8&lt;$AS99,"IKS","Décom."),IF(OR($AQ99="",$AS99=""),"",IF(U$8&lt;$AQ99,"IKS",IF(U$8&lt;$AS99,IF(U$8=$AR99,"Bascule","Double run"),"ROKS"))))))</f>
        <v/>
      </c>
      <c r="V99" s="51" t="str">
        <f aca="false">IF(OR($A99="",V$8=""),"",IF($F99="Migré","ROKS",IF($F99="À décommissionner",IF(V$8&lt;$AS99,"IKS","Décom."),IF(OR($AQ99="",$AS99=""),"",IF(V$8&lt;$AQ99,"IKS",IF(V$8&lt;$AS99,IF(V$8=$AR99,"Bascule","Double run"),"ROKS"))))))</f>
        <v/>
      </c>
      <c r="W99" s="51" t="str">
        <f aca="false">IF(OR($A99="",W$8=""),"",IF($F99="Migré","ROKS",IF($F99="À décommissionner",IF(W$8&lt;$AS99,"IKS","Décom."),IF(OR($AQ99="",$AS99=""),"",IF(W$8&lt;$AQ99,"IKS",IF(W$8&lt;$AS99,IF(W$8=$AR99,"Bascule","Double run"),"ROKS"))))))</f>
        <v/>
      </c>
      <c r="X99" s="51" t="str">
        <f aca="false">IF(OR($A99="",X$8=""),"",IF($F99="Migré","ROKS",IF($F99="À décommissionner",IF(X$8&lt;$AS99,"IKS","Décom."),IF(OR($AQ99="",$AS99=""),"",IF(X$8&lt;$AQ99,"IKS",IF(X$8&lt;$AS99,IF(X$8=$AR99,"Bascule","Double run"),"ROKS"))))))</f>
        <v/>
      </c>
      <c r="Y99" s="51" t="str">
        <f aca="false">IF(OR($A99="",Y$8=""),"",IF($F99="Migré","ROKS",IF($F99="À décommissionner",IF(Y$8&lt;$AS99,"IKS","Décom."),IF(OR($AQ99="",$AS99=""),"",IF(Y$8&lt;$AQ99,"IKS",IF(Y$8&lt;$AS99,IF(Y$8=$AR99,"Bascule","Double run"),"ROKS"))))))</f>
        <v/>
      </c>
      <c r="Z99" s="51" t="str">
        <f aca="false">IF(OR($A99="",Z$8=""),"",IF($F99="Migré","ROKS",IF($F99="À décommissionner",IF(Z$8&lt;$AS99,"IKS","Décom."),IF(OR($AQ99="",$AS99=""),"",IF(Z$8&lt;$AQ99,"IKS",IF(Z$8&lt;$AS99,IF(Z$8=$AR99,"Bascule","Double run"),"ROKS"))))))</f>
        <v/>
      </c>
      <c r="AA99" s="51" t="str">
        <f aca="false">IF(OR($A99="",AA$8=""),"",IF($F99="Migré","ROKS",IF($F99="À décommissionner",IF(AA$8&lt;$AS99,"IKS","Décom."),IF(OR($AQ99="",$AS99=""),"",IF(AA$8&lt;$AQ99,"IKS",IF(AA$8&lt;$AS99,IF(AA$8=$AR99,"Bascule","Double run"),"ROKS"))))))</f>
        <v/>
      </c>
      <c r="AB99" s="51" t="str">
        <f aca="false">IF(OR($A99="",AB$8=""),"",IF($F99="Migré","ROKS",IF($F99="À décommissionner",IF(AB$8&lt;$AS99,"IKS","Décom."),IF(OR($AQ99="",$AS99=""),"",IF(AB$8&lt;$AQ99,"IKS",IF(AB$8&lt;$AS99,IF(AB$8=$AR99,"Bascule","Double run"),"ROKS"))))))</f>
        <v/>
      </c>
      <c r="AC99" s="51" t="str">
        <f aca="false">IF(OR($A99="",AC$8=""),"",IF($F99="Migré","ROKS",IF($F99="À décommissionner",IF(AC$8&lt;$AS99,"IKS","Décom."),IF(OR($AQ99="",$AS99=""),"",IF(AC$8&lt;$AQ99,"IKS",IF(AC$8&lt;$AS99,IF(AC$8=$AR99,"Bascule","Double run"),"ROKS"))))))</f>
        <v/>
      </c>
      <c r="AD99" s="51" t="str">
        <f aca="false">IF(OR($A99="",AD$8=""),"",IF($F99="Migré","ROKS",IF($F99="À décommissionner",IF(AD$8&lt;$AS99,"IKS","Décom."),IF(OR($AQ99="",$AS99=""),"",IF(AD$8&lt;$AQ99,"IKS",IF(AD$8&lt;$AS99,IF(AD$8=$AR99,"Bascule","Double run"),"ROKS"))))))</f>
        <v/>
      </c>
      <c r="AE99" s="51" t="str">
        <f aca="false">IF(OR($A99="",AE$8=""),"",IF($F99="Migré","ROKS",IF($F99="À décommissionner",IF(AE$8&lt;$AS99,"IKS","Décom."),IF(OR($AQ99="",$AS99=""),"",IF(AE$8&lt;$AQ99,"IKS",IF(AE$8&lt;$AS99,IF(AE$8=$AR99,"Bascule","Double run"),"ROKS"))))))</f>
        <v/>
      </c>
      <c r="AF99" s="51" t="str">
        <f aca="false">IF(OR($A99="",AF$8=""),"",IF($F99="Migré","ROKS",IF($F99="À décommissionner",IF(AF$8&lt;$AS99,"IKS","Décom."),IF(OR($AQ99="",$AS99=""),"",IF(AF$8&lt;$AQ99,"IKS",IF(AF$8&lt;$AS99,IF(AF$8=$AR99,"Bascule","Double run"),"ROKS"))))))</f>
        <v/>
      </c>
      <c r="AG99" s="51" t="str">
        <f aca="false">IF(OR($A99="",AG$8=""),"",IF($F99="Migré","ROKS",IF($F99="À décommissionner",IF(AG$8&lt;$AS99,"IKS","Décom."),IF(OR($AQ99="",$AS99=""),"",IF(AG$8&lt;$AQ99,"IKS",IF(AG$8&lt;$AS99,IF(AG$8=$AR99,"Bascule","Double run"),"ROKS"))))))</f>
        <v/>
      </c>
      <c r="AH99" s="51" t="str">
        <f aca="false">IF(OR($A99="",AH$8=""),"",IF($F99="Migré","ROKS",IF($F99="À décommissionner",IF(AH$8&lt;$AS99,"IKS","Décom."),IF(OR($AQ99="",$AS99=""),"",IF(AH$8&lt;$AQ99,"IKS",IF(AH$8&lt;$AS99,IF(AH$8=$AR99,"Bascule","Double run"),"ROKS"))))))</f>
        <v/>
      </c>
      <c r="AI99" s="51" t="str">
        <f aca="false">IF(OR($A99="",AI$8=""),"",IF($F99="Migré","ROKS",IF($F99="À décommissionner",IF(AI$8&lt;$AS99,"IKS","Décom."),IF(OR($AQ99="",$AS99=""),"",IF(AI$8&lt;$AQ99,"IKS",IF(AI$8&lt;$AS99,IF(AI$8=$AR99,"Bascule","Double run"),"ROKS"))))))</f>
        <v/>
      </c>
      <c r="AJ99" s="51" t="str">
        <f aca="false">IF(OR($A99="",AJ$8=""),"",IF($F99="Migré","ROKS",IF($F99="À décommissionner",IF(AJ$8&lt;$AS99,"IKS","Décom."),IF(OR($AQ99="",$AS99=""),"",IF(AJ$8&lt;$AQ99,"IKS",IF(AJ$8&lt;$AS99,IF(AJ$8=$AR99,"Bascule","Double run"),"ROKS"))))))</f>
        <v/>
      </c>
      <c r="AK99" s="51" t="str">
        <f aca="false">IF(OR($A99="",AK$8=""),"",IF($F99="Migré","ROKS",IF($F99="À décommissionner",IF(AK$8&lt;$AS99,"IKS","Décom."),IF(OR($AQ99="",$AS99=""),"",IF(AK$8&lt;$AQ99,"IKS",IF(AK$8&lt;$AS99,IF(AK$8=$AR99,"Bascule","Double run"),"ROKS"))))))</f>
        <v/>
      </c>
      <c r="AL99" s="51" t="str">
        <f aca="false">IF(OR($A99="",AL$8=""),"",IF($F99="Migré","ROKS",IF($F99="À décommissionner",IF(AL$8&lt;$AS99,"IKS","Décom."),IF(OR($AQ99="",$AS99=""),"",IF(AL$8&lt;$AQ99,"IKS",IF(AL$8&lt;$AS99,IF(AL$8=$AR99,"Bascule","Double run"),"ROKS"))))))</f>
        <v/>
      </c>
      <c r="AM99" s="51" t="str">
        <f aca="false">IF(OR($A99="",AM$8=""),"",IF($F99="Migré","ROKS",IF($F99="À décommissionner",IF(AM$8&lt;$AS99,"IKS","Décom."),IF(OR($AQ99="",$AS99=""),"",IF(AM$8&lt;$AQ99,"IKS",IF(AM$8&lt;$AS99,IF(AM$8=$AR99,"Bascule","Double run"),"ROKS"))))))</f>
        <v/>
      </c>
      <c r="AN99" s="51" t="str">
        <f aca="false">IF(OR($A99="",AN$8=""),"",IF($F99="Migré","ROKS",IF($F99="À décommissionner",IF(AN$8&lt;$AS99,"IKS","Décom."),IF(OR($AQ99="",$AS99=""),"",IF(AN$8&lt;$AQ99,"IKS",IF(AN$8&lt;$AS99,IF(AN$8=$AR99,"Bascule","Double run"),"ROKS"))))))</f>
        <v/>
      </c>
      <c r="AO99" s="51" t="str">
        <f aca="false">IF(OR($A99="",AO$8=""),"",IF($F99="Migré","ROKS",IF($F99="À décommissionner",IF(AO$8&lt;$AS99,"IKS","Décom."),IF(OR($AQ99="",$AS99=""),"",IF(AO$8&lt;$AQ99,"IKS",IF(AO$8&lt;$AS99,IF(AO$8=$AR99,"Bascule","Double run"),"ROKS"))))))</f>
        <v/>
      </c>
      <c r="AP99" s="51" t="str">
        <f aca="false">IF(OR($A99="",AP$8=""),"",IF($F99="Migré","ROKS",IF($F99="À décommissionner",IF(AP$8&lt;$AS99,"IKS","Décom."),IF(OR($AQ99="",$AS99=""),"",IF(AP$8&lt;$AQ99,"IKS",IF(AP$8&lt;$AS99,IF(AP$8=$AR99,"Bascule","Double run"),"ROKS"))))))</f>
        <v/>
      </c>
      <c r="AQ99" s="0" t="str">
        <f aca="false">IF($A99="","",INDEX(TblApplications[Mois prov (calc)],$A99))</f>
        <v/>
      </c>
      <c r="AR99" s="0" t="str">
        <f aca="false">IF($A99="","",IFERROR(DATE(YEAR(INDEX(TblApplications[Mois bascule],$A99)),MONTH(INDEX(TblApplications[Mois bascule],$A99)),1),""))</f>
        <v/>
      </c>
      <c r="AS99" s="0" t="str">
        <f aca="false">IF($A99="","",INDEX(TblApplications[Mois lib (calc)],$A99))</f>
        <v/>
      </c>
    </row>
    <row r="100" customFormat="false" ht="15" hidden="false" customHeight="false" outlineLevel="0" collapsed="false">
      <c r="A100" s="49" t="str">
        <f aca="false">IFERROR(MATCH(92,TblApplications[Rang frise],0),"")</f>
        <v/>
      </c>
      <c r="B100" s="50" t="str">
        <f aca="false">IF($A100="","",INDEX(TblApplications[ID],$A100))</f>
        <v/>
      </c>
      <c r="C100" s="50" t="str">
        <f aca="false">IF($A100="","",INDEX(TblApplications[Application],$A100))</f>
        <v/>
      </c>
      <c r="D100" s="50" t="str">
        <f aca="false">IF($A100="","",INDEX(TblApplications[Environnement],$A100))</f>
        <v/>
      </c>
      <c r="E100" s="50" t="str">
        <f aca="false">IF($A100="","",INDEX(TblApplications[Couloir],$A100))</f>
        <v/>
      </c>
      <c r="F100" s="50" t="str">
        <f aca="false">IF($A100="","",INDEX(TblApplications[Action],$A100))</f>
        <v/>
      </c>
      <c r="G100" s="51" t="str">
        <f aca="false">IF(OR($A100="",G$8=""),"",IF($F100="Migré","ROKS",IF($F100="À décommissionner",IF(G$8&lt;$AS100,"IKS","Décom."),IF(OR($AQ100="",$AS100=""),"",IF(G$8&lt;$AQ100,"IKS",IF(G$8&lt;$AS100,IF(G$8=$AR100,"Bascule","Double run"),"ROKS"))))))</f>
        <v/>
      </c>
      <c r="H100" s="51" t="str">
        <f aca="false">IF(OR($A100="",H$8=""),"",IF($F100="Migré","ROKS",IF($F100="À décommissionner",IF(H$8&lt;$AS100,"IKS","Décom."),IF(OR($AQ100="",$AS100=""),"",IF(H$8&lt;$AQ100,"IKS",IF(H$8&lt;$AS100,IF(H$8=$AR100,"Bascule","Double run"),"ROKS"))))))</f>
        <v/>
      </c>
      <c r="I100" s="51" t="str">
        <f aca="false">IF(OR($A100="",I$8=""),"",IF($F100="Migré","ROKS",IF($F100="À décommissionner",IF(I$8&lt;$AS100,"IKS","Décom."),IF(OR($AQ100="",$AS100=""),"",IF(I$8&lt;$AQ100,"IKS",IF(I$8&lt;$AS100,IF(I$8=$AR100,"Bascule","Double run"),"ROKS"))))))</f>
        <v/>
      </c>
      <c r="J100" s="51" t="str">
        <f aca="false">IF(OR($A100="",J$8=""),"",IF($F100="Migré","ROKS",IF($F100="À décommissionner",IF(J$8&lt;$AS100,"IKS","Décom."),IF(OR($AQ100="",$AS100=""),"",IF(J$8&lt;$AQ100,"IKS",IF(J$8&lt;$AS100,IF(J$8=$AR100,"Bascule","Double run"),"ROKS"))))))</f>
        <v/>
      </c>
      <c r="K100" s="51" t="str">
        <f aca="false">IF(OR($A100="",K$8=""),"",IF($F100="Migré","ROKS",IF($F100="À décommissionner",IF(K$8&lt;$AS100,"IKS","Décom."),IF(OR($AQ100="",$AS100=""),"",IF(K$8&lt;$AQ100,"IKS",IF(K$8&lt;$AS100,IF(K$8=$AR100,"Bascule","Double run"),"ROKS"))))))</f>
        <v/>
      </c>
      <c r="L100" s="51" t="str">
        <f aca="false">IF(OR($A100="",L$8=""),"",IF($F100="Migré","ROKS",IF($F100="À décommissionner",IF(L$8&lt;$AS100,"IKS","Décom."),IF(OR($AQ100="",$AS100=""),"",IF(L$8&lt;$AQ100,"IKS",IF(L$8&lt;$AS100,IF(L$8=$AR100,"Bascule","Double run"),"ROKS"))))))</f>
        <v/>
      </c>
      <c r="M100" s="51" t="str">
        <f aca="false">IF(OR($A100="",M$8=""),"",IF($F100="Migré","ROKS",IF($F100="À décommissionner",IF(M$8&lt;$AS100,"IKS","Décom."),IF(OR($AQ100="",$AS100=""),"",IF(M$8&lt;$AQ100,"IKS",IF(M$8&lt;$AS100,IF(M$8=$AR100,"Bascule","Double run"),"ROKS"))))))</f>
        <v/>
      </c>
      <c r="N100" s="51" t="str">
        <f aca="false">IF(OR($A100="",N$8=""),"",IF($F100="Migré","ROKS",IF($F100="À décommissionner",IF(N$8&lt;$AS100,"IKS","Décom."),IF(OR($AQ100="",$AS100=""),"",IF(N$8&lt;$AQ100,"IKS",IF(N$8&lt;$AS100,IF(N$8=$AR100,"Bascule","Double run"),"ROKS"))))))</f>
        <v/>
      </c>
      <c r="O100" s="51" t="str">
        <f aca="false">IF(OR($A100="",O$8=""),"",IF($F100="Migré","ROKS",IF($F100="À décommissionner",IF(O$8&lt;$AS100,"IKS","Décom."),IF(OR($AQ100="",$AS100=""),"",IF(O$8&lt;$AQ100,"IKS",IF(O$8&lt;$AS100,IF(O$8=$AR100,"Bascule","Double run"),"ROKS"))))))</f>
        <v/>
      </c>
      <c r="P100" s="51" t="str">
        <f aca="false">IF(OR($A100="",P$8=""),"",IF($F100="Migré","ROKS",IF($F100="À décommissionner",IF(P$8&lt;$AS100,"IKS","Décom."),IF(OR($AQ100="",$AS100=""),"",IF(P$8&lt;$AQ100,"IKS",IF(P$8&lt;$AS100,IF(P$8=$AR100,"Bascule","Double run"),"ROKS"))))))</f>
        <v/>
      </c>
      <c r="Q100" s="51" t="str">
        <f aca="false">IF(OR($A100="",Q$8=""),"",IF($F100="Migré","ROKS",IF($F100="À décommissionner",IF(Q$8&lt;$AS100,"IKS","Décom."),IF(OR($AQ100="",$AS100=""),"",IF(Q$8&lt;$AQ100,"IKS",IF(Q$8&lt;$AS100,IF(Q$8=$AR100,"Bascule","Double run"),"ROKS"))))))</f>
        <v/>
      </c>
      <c r="R100" s="51" t="str">
        <f aca="false">IF(OR($A100="",R$8=""),"",IF($F100="Migré","ROKS",IF($F100="À décommissionner",IF(R$8&lt;$AS100,"IKS","Décom."),IF(OR($AQ100="",$AS100=""),"",IF(R$8&lt;$AQ100,"IKS",IF(R$8&lt;$AS100,IF(R$8=$AR100,"Bascule","Double run"),"ROKS"))))))</f>
        <v/>
      </c>
      <c r="S100" s="51" t="str">
        <f aca="false">IF(OR($A100="",S$8=""),"",IF($F100="Migré","ROKS",IF($F100="À décommissionner",IF(S$8&lt;$AS100,"IKS","Décom."),IF(OR($AQ100="",$AS100=""),"",IF(S$8&lt;$AQ100,"IKS",IF(S$8&lt;$AS100,IF(S$8=$AR100,"Bascule","Double run"),"ROKS"))))))</f>
        <v/>
      </c>
      <c r="T100" s="51" t="str">
        <f aca="false">IF(OR($A100="",T$8=""),"",IF($F100="Migré","ROKS",IF($F100="À décommissionner",IF(T$8&lt;$AS100,"IKS","Décom."),IF(OR($AQ100="",$AS100=""),"",IF(T$8&lt;$AQ100,"IKS",IF(T$8&lt;$AS100,IF(T$8=$AR100,"Bascule","Double run"),"ROKS"))))))</f>
        <v/>
      </c>
      <c r="U100" s="51" t="str">
        <f aca="false">IF(OR($A100="",U$8=""),"",IF($F100="Migré","ROKS",IF($F100="À décommissionner",IF(U$8&lt;$AS100,"IKS","Décom."),IF(OR($AQ100="",$AS100=""),"",IF(U$8&lt;$AQ100,"IKS",IF(U$8&lt;$AS100,IF(U$8=$AR100,"Bascule","Double run"),"ROKS"))))))</f>
        <v/>
      </c>
      <c r="V100" s="51" t="str">
        <f aca="false">IF(OR($A100="",V$8=""),"",IF($F100="Migré","ROKS",IF($F100="À décommissionner",IF(V$8&lt;$AS100,"IKS","Décom."),IF(OR($AQ100="",$AS100=""),"",IF(V$8&lt;$AQ100,"IKS",IF(V$8&lt;$AS100,IF(V$8=$AR100,"Bascule","Double run"),"ROKS"))))))</f>
        <v/>
      </c>
      <c r="W100" s="51" t="str">
        <f aca="false">IF(OR($A100="",W$8=""),"",IF($F100="Migré","ROKS",IF($F100="À décommissionner",IF(W$8&lt;$AS100,"IKS","Décom."),IF(OR($AQ100="",$AS100=""),"",IF(W$8&lt;$AQ100,"IKS",IF(W$8&lt;$AS100,IF(W$8=$AR100,"Bascule","Double run"),"ROKS"))))))</f>
        <v/>
      </c>
      <c r="X100" s="51" t="str">
        <f aca="false">IF(OR($A100="",X$8=""),"",IF($F100="Migré","ROKS",IF($F100="À décommissionner",IF(X$8&lt;$AS100,"IKS","Décom."),IF(OR($AQ100="",$AS100=""),"",IF(X$8&lt;$AQ100,"IKS",IF(X$8&lt;$AS100,IF(X$8=$AR100,"Bascule","Double run"),"ROKS"))))))</f>
        <v/>
      </c>
      <c r="Y100" s="51" t="str">
        <f aca="false">IF(OR($A100="",Y$8=""),"",IF($F100="Migré","ROKS",IF($F100="À décommissionner",IF(Y$8&lt;$AS100,"IKS","Décom."),IF(OR($AQ100="",$AS100=""),"",IF(Y$8&lt;$AQ100,"IKS",IF(Y$8&lt;$AS100,IF(Y$8=$AR100,"Bascule","Double run"),"ROKS"))))))</f>
        <v/>
      </c>
      <c r="Z100" s="51" t="str">
        <f aca="false">IF(OR($A100="",Z$8=""),"",IF($F100="Migré","ROKS",IF($F100="À décommissionner",IF(Z$8&lt;$AS100,"IKS","Décom."),IF(OR($AQ100="",$AS100=""),"",IF(Z$8&lt;$AQ100,"IKS",IF(Z$8&lt;$AS100,IF(Z$8=$AR100,"Bascule","Double run"),"ROKS"))))))</f>
        <v/>
      </c>
      <c r="AA100" s="51" t="str">
        <f aca="false">IF(OR($A100="",AA$8=""),"",IF($F100="Migré","ROKS",IF($F100="À décommissionner",IF(AA$8&lt;$AS100,"IKS","Décom."),IF(OR($AQ100="",$AS100=""),"",IF(AA$8&lt;$AQ100,"IKS",IF(AA$8&lt;$AS100,IF(AA$8=$AR100,"Bascule","Double run"),"ROKS"))))))</f>
        <v/>
      </c>
      <c r="AB100" s="51" t="str">
        <f aca="false">IF(OR($A100="",AB$8=""),"",IF($F100="Migré","ROKS",IF($F100="À décommissionner",IF(AB$8&lt;$AS100,"IKS","Décom."),IF(OR($AQ100="",$AS100=""),"",IF(AB$8&lt;$AQ100,"IKS",IF(AB$8&lt;$AS100,IF(AB$8=$AR100,"Bascule","Double run"),"ROKS"))))))</f>
        <v/>
      </c>
      <c r="AC100" s="51" t="str">
        <f aca="false">IF(OR($A100="",AC$8=""),"",IF($F100="Migré","ROKS",IF($F100="À décommissionner",IF(AC$8&lt;$AS100,"IKS","Décom."),IF(OR($AQ100="",$AS100=""),"",IF(AC$8&lt;$AQ100,"IKS",IF(AC$8&lt;$AS100,IF(AC$8=$AR100,"Bascule","Double run"),"ROKS"))))))</f>
        <v/>
      </c>
      <c r="AD100" s="51" t="str">
        <f aca="false">IF(OR($A100="",AD$8=""),"",IF($F100="Migré","ROKS",IF($F100="À décommissionner",IF(AD$8&lt;$AS100,"IKS","Décom."),IF(OR($AQ100="",$AS100=""),"",IF(AD$8&lt;$AQ100,"IKS",IF(AD$8&lt;$AS100,IF(AD$8=$AR100,"Bascule","Double run"),"ROKS"))))))</f>
        <v/>
      </c>
      <c r="AE100" s="51" t="str">
        <f aca="false">IF(OR($A100="",AE$8=""),"",IF($F100="Migré","ROKS",IF($F100="À décommissionner",IF(AE$8&lt;$AS100,"IKS","Décom."),IF(OR($AQ100="",$AS100=""),"",IF(AE$8&lt;$AQ100,"IKS",IF(AE$8&lt;$AS100,IF(AE$8=$AR100,"Bascule","Double run"),"ROKS"))))))</f>
        <v/>
      </c>
      <c r="AF100" s="51" t="str">
        <f aca="false">IF(OR($A100="",AF$8=""),"",IF($F100="Migré","ROKS",IF($F100="À décommissionner",IF(AF$8&lt;$AS100,"IKS","Décom."),IF(OR($AQ100="",$AS100=""),"",IF(AF$8&lt;$AQ100,"IKS",IF(AF$8&lt;$AS100,IF(AF$8=$AR100,"Bascule","Double run"),"ROKS"))))))</f>
        <v/>
      </c>
      <c r="AG100" s="51" t="str">
        <f aca="false">IF(OR($A100="",AG$8=""),"",IF($F100="Migré","ROKS",IF($F100="À décommissionner",IF(AG$8&lt;$AS100,"IKS","Décom."),IF(OR($AQ100="",$AS100=""),"",IF(AG$8&lt;$AQ100,"IKS",IF(AG$8&lt;$AS100,IF(AG$8=$AR100,"Bascule","Double run"),"ROKS"))))))</f>
        <v/>
      </c>
      <c r="AH100" s="51" t="str">
        <f aca="false">IF(OR($A100="",AH$8=""),"",IF($F100="Migré","ROKS",IF($F100="À décommissionner",IF(AH$8&lt;$AS100,"IKS","Décom."),IF(OR($AQ100="",$AS100=""),"",IF(AH$8&lt;$AQ100,"IKS",IF(AH$8&lt;$AS100,IF(AH$8=$AR100,"Bascule","Double run"),"ROKS"))))))</f>
        <v/>
      </c>
      <c r="AI100" s="51" t="str">
        <f aca="false">IF(OR($A100="",AI$8=""),"",IF($F100="Migré","ROKS",IF($F100="À décommissionner",IF(AI$8&lt;$AS100,"IKS","Décom."),IF(OR($AQ100="",$AS100=""),"",IF(AI$8&lt;$AQ100,"IKS",IF(AI$8&lt;$AS100,IF(AI$8=$AR100,"Bascule","Double run"),"ROKS"))))))</f>
        <v/>
      </c>
      <c r="AJ100" s="51" t="str">
        <f aca="false">IF(OR($A100="",AJ$8=""),"",IF($F100="Migré","ROKS",IF($F100="À décommissionner",IF(AJ$8&lt;$AS100,"IKS","Décom."),IF(OR($AQ100="",$AS100=""),"",IF(AJ$8&lt;$AQ100,"IKS",IF(AJ$8&lt;$AS100,IF(AJ$8=$AR100,"Bascule","Double run"),"ROKS"))))))</f>
        <v/>
      </c>
      <c r="AK100" s="51" t="str">
        <f aca="false">IF(OR($A100="",AK$8=""),"",IF($F100="Migré","ROKS",IF($F100="À décommissionner",IF(AK$8&lt;$AS100,"IKS","Décom."),IF(OR($AQ100="",$AS100=""),"",IF(AK$8&lt;$AQ100,"IKS",IF(AK$8&lt;$AS100,IF(AK$8=$AR100,"Bascule","Double run"),"ROKS"))))))</f>
        <v/>
      </c>
      <c r="AL100" s="51" t="str">
        <f aca="false">IF(OR($A100="",AL$8=""),"",IF($F100="Migré","ROKS",IF($F100="À décommissionner",IF(AL$8&lt;$AS100,"IKS","Décom."),IF(OR($AQ100="",$AS100=""),"",IF(AL$8&lt;$AQ100,"IKS",IF(AL$8&lt;$AS100,IF(AL$8=$AR100,"Bascule","Double run"),"ROKS"))))))</f>
        <v/>
      </c>
      <c r="AM100" s="51" t="str">
        <f aca="false">IF(OR($A100="",AM$8=""),"",IF($F100="Migré","ROKS",IF($F100="À décommissionner",IF(AM$8&lt;$AS100,"IKS","Décom."),IF(OR($AQ100="",$AS100=""),"",IF(AM$8&lt;$AQ100,"IKS",IF(AM$8&lt;$AS100,IF(AM$8=$AR100,"Bascule","Double run"),"ROKS"))))))</f>
        <v/>
      </c>
      <c r="AN100" s="51" t="str">
        <f aca="false">IF(OR($A100="",AN$8=""),"",IF($F100="Migré","ROKS",IF($F100="À décommissionner",IF(AN$8&lt;$AS100,"IKS","Décom."),IF(OR($AQ100="",$AS100=""),"",IF(AN$8&lt;$AQ100,"IKS",IF(AN$8&lt;$AS100,IF(AN$8=$AR100,"Bascule","Double run"),"ROKS"))))))</f>
        <v/>
      </c>
      <c r="AO100" s="51" t="str">
        <f aca="false">IF(OR($A100="",AO$8=""),"",IF($F100="Migré","ROKS",IF($F100="À décommissionner",IF(AO$8&lt;$AS100,"IKS","Décom."),IF(OR($AQ100="",$AS100=""),"",IF(AO$8&lt;$AQ100,"IKS",IF(AO$8&lt;$AS100,IF(AO$8=$AR100,"Bascule","Double run"),"ROKS"))))))</f>
        <v/>
      </c>
      <c r="AP100" s="51" t="str">
        <f aca="false">IF(OR($A100="",AP$8=""),"",IF($F100="Migré","ROKS",IF($F100="À décommissionner",IF(AP$8&lt;$AS100,"IKS","Décom."),IF(OR($AQ100="",$AS100=""),"",IF(AP$8&lt;$AQ100,"IKS",IF(AP$8&lt;$AS100,IF(AP$8=$AR100,"Bascule","Double run"),"ROKS"))))))</f>
        <v/>
      </c>
      <c r="AQ100" s="0" t="str">
        <f aca="false">IF($A100="","",INDEX(TblApplications[Mois prov (calc)],$A100))</f>
        <v/>
      </c>
      <c r="AR100" s="0" t="str">
        <f aca="false">IF($A100="","",IFERROR(DATE(YEAR(INDEX(TblApplications[Mois bascule],$A100)),MONTH(INDEX(TblApplications[Mois bascule],$A100)),1),""))</f>
        <v/>
      </c>
      <c r="AS100" s="0" t="str">
        <f aca="false">IF($A100="","",INDEX(TblApplications[Mois lib (calc)],$A100))</f>
        <v/>
      </c>
    </row>
    <row r="101" customFormat="false" ht="15" hidden="false" customHeight="false" outlineLevel="0" collapsed="false">
      <c r="A101" s="49" t="str">
        <f aca="false">IFERROR(MATCH(93,TblApplications[Rang frise],0),"")</f>
        <v/>
      </c>
      <c r="B101" s="50" t="str">
        <f aca="false">IF($A101="","",INDEX(TblApplications[ID],$A101))</f>
        <v/>
      </c>
      <c r="C101" s="50" t="str">
        <f aca="false">IF($A101="","",INDEX(TblApplications[Application],$A101))</f>
        <v/>
      </c>
      <c r="D101" s="50" t="str">
        <f aca="false">IF($A101="","",INDEX(TblApplications[Environnement],$A101))</f>
        <v/>
      </c>
      <c r="E101" s="50" t="str">
        <f aca="false">IF($A101="","",INDEX(TblApplications[Couloir],$A101))</f>
        <v/>
      </c>
      <c r="F101" s="50" t="str">
        <f aca="false">IF($A101="","",INDEX(TblApplications[Action],$A101))</f>
        <v/>
      </c>
      <c r="G101" s="51" t="str">
        <f aca="false">IF(OR($A101="",G$8=""),"",IF($F101="Migré","ROKS",IF($F101="À décommissionner",IF(G$8&lt;$AS101,"IKS","Décom."),IF(OR($AQ101="",$AS101=""),"",IF(G$8&lt;$AQ101,"IKS",IF(G$8&lt;$AS101,IF(G$8=$AR101,"Bascule","Double run"),"ROKS"))))))</f>
        <v/>
      </c>
      <c r="H101" s="51" t="str">
        <f aca="false">IF(OR($A101="",H$8=""),"",IF($F101="Migré","ROKS",IF($F101="À décommissionner",IF(H$8&lt;$AS101,"IKS","Décom."),IF(OR($AQ101="",$AS101=""),"",IF(H$8&lt;$AQ101,"IKS",IF(H$8&lt;$AS101,IF(H$8=$AR101,"Bascule","Double run"),"ROKS"))))))</f>
        <v/>
      </c>
      <c r="I101" s="51" t="str">
        <f aca="false">IF(OR($A101="",I$8=""),"",IF($F101="Migré","ROKS",IF($F101="À décommissionner",IF(I$8&lt;$AS101,"IKS","Décom."),IF(OR($AQ101="",$AS101=""),"",IF(I$8&lt;$AQ101,"IKS",IF(I$8&lt;$AS101,IF(I$8=$AR101,"Bascule","Double run"),"ROKS"))))))</f>
        <v/>
      </c>
      <c r="J101" s="51" t="str">
        <f aca="false">IF(OR($A101="",J$8=""),"",IF($F101="Migré","ROKS",IF($F101="À décommissionner",IF(J$8&lt;$AS101,"IKS","Décom."),IF(OR($AQ101="",$AS101=""),"",IF(J$8&lt;$AQ101,"IKS",IF(J$8&lt;$AS101,IF(J$8=$AR101,"Bascule","Double run"),"ROKS"))))))</f>
        <v/>
      </c>
      <c r="K101" s="51" t="str">
        <f aca="false">IF(OR($A101="",K$8=""),"",IF($F101="Migré","ROKS",IF($F101="À décommissionner",IF(K$8&lt;$AS101,"IKS","Décom."),IF(OR($AQ101="",$AS101=""),"",IF(K$8&lt;$AQ101,"IKS",IF(K$8&lt;$AS101,IF(K$8=$AR101,"Bascule","Double run"),"ROKS"))))))</f>
        <v/>
      </c>
      <c r="L101" s="51" t="str">
        <f aca="false">IF(OR($A101="",L$8=""),"",IF($F101="Migré","ROKS",IF($F101="À décommissionner",IF(L$8&lt;$AS101,"IKS","Décom."),IF(OR($AQ101="",$AS101=""),"",IF(L$8&lt;$AQ101,"IKS",IF(L$8&lt;$AS101,IF(L$8=$AR101,"Bascule","Double run"),"ROKS"))))))</f>
        <v/>
      </c>
      <c r="M101" s="51" t="str">
        <f aca="false">IF(OR($A101="",M$8=""),"",IF($F101="Migré","ROKS",IF($F101="À décommissionner",IF(M$8&lt;$AS101,"IKS","Décom."),IF(OR($AQ101="",$AS101=""),"",IF(M$8&lt;$AQ101,"IKS",IF(M$8&lt;$AS101,IF(M$8=$AR101,"Bascule","Double run"),"ROKS"))))))</f>
        <v/>
      </c>
      <c r="N101" s="51" t="str">
        <f aca="false">IF(OR($A101="",N$8=""),"",IF($F101="Migré","ROKS",IF($F101="À décommissionner",IF(N$8&lt;$AS101,"IKS","Décom."),IF(OR($AQ101="",$AS101=""),"",IF(N$8&lt;$AQ101,"IKS",IF(N$8&lt;$AS101,IF(N$8=$AR101,"Bascule","Double run"),"ROKS"))))))</f>
        <v/>
      </c>
      <c r="O101" s="51" t="str">
        <f aca="false">IF(OR($A101="",O$8=""),"",IF($F101="Migré","ROKS",IF($F101="À décommissionner",IF(O$8&lt;$AS101,"IKS","Décom."),IF(OR($AQ101="",$AS101=""),"",IF(O$8&lt;$AQ101,"IKS",IF(O$8&lt;$AS101,IF(O$8=$AR101,"Bascule","Double run"),"ROKS"))))))</f>
        <v/>
      </c>
      <c r="P101" s="51" t="str">
        <f aca="false">IF(OR($A101="",P$8=""),"",IF($F101="Migré","ROKS",IF($F101="À décommissionner",IF(P$8&lt;$AS101,"IKS","Décom."),IF(OR($AQ101="",$AS101=""),"",IF(P$8&lt;$AQ101,"IKS",IF(P$8&lt;$AS101,IF(P$8=$AR101,"Bascule","Double run"),"ROKS"))))))</f>
        <v/>
      </c>
      <c r="Q101" s="51" t="str">
        <f aca="false">IF(OR($A101="",Q$8=""),"",IF($F101="Migré","ROKS",IF($F101="À décommissionner",IF(Q$8&lt;$AS101,"IKS","Décom."),IF(OR($AQ101="",$AS101=""),"",IF(Q$8&lt;$AQ101,"IKS",IF(Q$8&lt;$AS101,IF(Q$8=$AR101,"Bascule","Double run"),"ROKS"))))))</f>
        <v/>
      </c>
      <c r="R101" s="51" t="str">
        <f aca="false">IF(OR($A101="",R$8=""),"",IF($F101="Migré","ROKS",IF($F101="À décommissionner",IF(R$8&lt;$AS101,"IKS","Décom."),IF(OR($AQ101="",$AS101=""),"",IF(R$8&lt;$AQ101,"IKS",IF(R$8&lt;$AS101,IF(R$8=$AR101,"Bascule","Double run"),"ROKS"))))))</f>
        <v/>
      </c>
      <c r="S101" s="51" t="str">
        <f aca="false">IF(OR($A101="",S$8=""),"",IF($F101="Migré","ROKS",IF($F101="À décommissionner",IF(S$8&lt;$AS101,"IKS","Décom."),IF(OR($AQ101="",$AS101=""),"",IF(S$8&lt;$AQ101,"IKS",IF(S$8&lt;$AS101,IF(S$8=$AR101,"Bascule","Double run"),"ROKS"))))))</f>
        <v/>
      </c>
      <c r="T101" s="51" t="str">
        <f aca="false">IF(OR($A101="",T$8=""),"",IF($F101="Migré","ROKS",IF($F101="À décommissionner",IF(T$8&lt;$AS101,"IKS","Décom."),IF(OR($AQ101="",$AS101=""),"",IF(T$8&lt;$AQ101,"IKS",IF(T$8&lt;$AS101,IF(T$8=$AR101,"Bascule","Double run"),"ROKS"))))))</f>
        <v/>
      </c>
      <c r="U101" s="51" t="str">
        <f aca="false">IF(OR($A101="",U$8=""),"",IF($F101="Migré","ROKS",IF($F101="À décommissionner",IF(U$8&lt;$AS101,"IKS","Décom."),IF(OR($AQ101="",$AS101=""),"",IF(U$8&lt;$AQ101,"IKS",IF(U$8&lt;$AS101,IF(U$8=$AR101,"Bascule","Double run"),"ROKS"))))))</f>
        <v/>
      </c>
      <c r="V101" s="51" t="str">
        <f aca="false">IF(OR($A101="",V$8=""),"",IF($F101="Migré","ROKS",IF($F101="À décommissionner",IF(V$8&lt;$AS101,"IKS","Décom."),IF(OR($AQ101="",$AS101=""),"",IF(V$8&lt;$AQ101,"IKS",IF(V$8&lt;$AS101,IF(V$8=$AR101,"Bascule","Double run"),"ROKS"))))))</f>
        <v/>
      </c>
      <c r="W101" s="51" t="str">
        <f aca="false">IF(OR($A101="",W$8=""),"",IF($F101="Migré","ROKS",IF($F101="À décommissionner",IF(W$8&lt;$AS101,"IKS","Décom."),IF(OR($AQ101="",$AS101=""),"",IF(W$8&lt;$AQ101,"IKS",IF(W$8&lt;$AS101,IF(W$8=$AR101,"Bascule","Double run"),"ROKS"))))))</f>
        <v/>
      </c>
      <c r="X101" s="51" t="str">
        <f aca="false">IF(OR($A101="",X$8=""),"",IF($F101="Migré","ROKS",IF($F101="À décommissionner",IF(X$8&lt;$AS101,"IKS","Décom."),IF(OR($AQ101="",$AS101=""),"",IF(X$8&lt;$AQ101,"IKS",IF(X$8&lt;$AS101,IF(X$8=$AR101,"Bascule","Double run"),"ROKS"))))))</f>
        <v/>
      </c>
      <c r="Y101" s="51" t="str">
        <f aca="false">IF(OR($A101="",Y$8=""),"",IF($F101="Migré","ROKS",IF($F101="À décommissionner",IF(Y$8&lt;$AS101,"IKS","Décom."),IF(OR($AQ101="",$AS101=""),"",IF(Y$8&lt;$AQ101,"IKS",IF(Y$8&lt;$AS101,IF(Y$8=$AR101,"Bascule","Double run"),"ROKS"))))))</f>
        <v/>
      </c>
      <c r="Z101" s="51" t="str">
        <f aca="false">IF(OR($A101="",Z$8=""),"",IF($F101="Migré","ROKS",IF($F101="À décommissionner",IF(Z$8&lt;$AS101,"IKS","Décom."),IF(OR($AQ101="",$AS101=""),"",IF(Z$8&lt;$AQ101,"IKS",IF(Z$8&lt;$AS101,IF(Z$8=$AR101,"Bascule","Double run"),"ROKS"))))))</f>
        <v/>
      </c>
      <c r="AA101" s="51" t="str">
        <f aca="false">IF(OR($A101="",AA$8=""),"",IF($F101="Migré","ROKS",IF($F101="À décommissionner",IF(AA$8&lt;$AS101,"IKS","Décom."),IF(OR($AQ101="",$AS101=""),"",IF(AA$8&lt;$AQ101,"IKS",IF(AA$8&lt;$AS101,IF(AA$8=$AR101,"Bascule","Double run"),"ROKS"))))))</f>
        <v/>
      </c>
      <c r="AB101" s="51" t="str">
        <f aca="false">IF(OR($A101="",AB$8=""),"",IF($F101="Migré","ROKS",IF($F101="À décommissionner",IF(AB$8&lt;$AS101,"IKS","Décom."),IF(OR($AQ101="",$AS101=""),"",IF(AB$8&lt;$AQ101,"IKS",IF(AB$8&lt;$AS101,IF(AB$8=$AR101,"Bascule","Double run"),"ROKS"))))))</f>
        <v/>
      </c>
      <c r="AC101" s="51" t="str">
        <f aca="false">IF(OR($A101="",AC$8=""),"",IF($F101="Migré","ROKS",IF($F101="À décommissionner",IF(AC$8&lt;$AS101,"IKS","Décom."),IF(OR($AQ101="",$AS101=""),"",IF(AC$8&lt;$AQ101,"IKS",IF(AC$8&lt;$AS101,IF(AC$8=$AR101,"Bascule","Double run"),"ROKS"))))))</f>
        <v/>
      </c>
      <c r="AD101" s="51" t="str">
        <f aca="false">IF(OR($A101="",AD$8=""),"",IF($F101="Migré","ROKS",IF($F101="À décommissionner",IF(AD$8&lt;$AS101,"IKS","Décom."),IF(OR($AQ101="",$AS101=""),"",IF(AD$8&lt;$AQ101,"IKS",IF(AD$8&lt;$AS101,IF(AD$8=$AR101,"Bascule","Double run"),"ROKS"))))))</f>
        <v/>
      </c>
      <c r="AE101" s="51" t="str">
        <f aca="false">IF(OR($A101="",AE$8=""),"",IF($F101="Migré","ROKS",IF($F101="À décommissionner",IF(AE$8&lt;$AS101,"IKS","Décom."),IF(OR($AQ101="",$AS101=""),"",IF(AE$8&lt;$AQ101,"IKS",IF(AE$8&lt;$AS101,IF(AE$8=$AR101,"Bascule","Double run"),"ROKS"))))))</f>
        <v/>
      </c>
      <c r="AF101" s="51" t="str">
        <f aca="false">IF(OR($A101="",AF$8=""),"",IF($F101="Migré","ROKS",IF($F101="À décommissionner",IF(AF$8&lt;$AS101,"IKS","Décom."),IF(OR($AQ101="",$AS101=""),"",IF(AF$8&lt;$AQ101,"IKS",IF(AF$8&lt;$AS101,IF(AF$8=$AR101,"Bascule","Double run"),"ROKS"))))))</f>
        <v/>
      </c>
      <c r="AG101" s="51" t="str">
        <f aca="false">IF(OR($A101="",AG$8=""),"",IF($F101="Migré","ROKS",IF($F101="À décommissionner",IF(AG$8&lt;$AS101,"IKS","Décom."),IF(OR($AQ101="",$AS101=""),"",IF(AG$8&lt;$AQ101,"IKS",IF(AG$8&lt;$AS101,IF(AG$8=$AR101,"Bascule","Double run"),"ROKS"))))))</f>
        <v/>
      </c>
      <c r="AH101" s="51" t="str">
        <f aca="false">IF(OR($A101="",AH$8=""),"",IF($F101="Migré","ROKS",IF($F101="À décommissionner",IF(AH$8&lt;$AS101,"IKS","Décom."),IF(OR($AQ101="",$AS101=""),"",IF(AH$8&lt;$AQ101,"IKS",IF(AH$8&lt;$AS101,IF(AH$8=$AR101,"Bascule","Double run"),"ROKS"))))))</f>
        <v/>
      </c>
      <c r="AI101" s="51" t="str">
        <f aca="false">IF(OR($A101="",AI$8=""),"",IF($F101="Migré","ROKS",IF($F101="À décommissionner",IF(AI$8&lt;$AS101,"IKS","Décom."),IF(OR($AQ101="",$AS101=""),"",IF(AI$8&lt;$AQ101,"IKS",IF(AI$8&lt;$AS101,IF(AI$8=$AR101,"Bascule","Double run"),"ROKS"))))))</f>
        <v/>
      </c>
      <c r="AJ101" s="51" t="str">
        <f aca="false">IF(OR($A101="",AJ$8=""),"",IF($F101="Migré","ROKS",IF($F101="À décommissionner",IF(AJ$8&lt;$AS101,"IKS","Décom."),IF(OR($AQ101="",$AS101=""),"",IF(AJ$8&lt;$AQ101,"IKS",IF(AJ$8&lt;$AS101,IF(AJ$8=$AR101,"Bascule","Double run"),"ROKS"))))))</f>
        <v/>
      </c>
      <c r="AK101" s="51" t="str">
        <f aca="false">IF(OR($A101="",AK$8=""),"",IF($F101="Migré","ROKS",IF($F101="À décommissionner",IF(AK$8&lt;$AS101,"IKS","Décom."),IF(OR($AQ101="",$AS101=""),"",IF(AK$8&lt;$AQ101,"IKS",IF(AK$8&lt;$AS101,IF(AK$8=$AR101,"Bascule","Double run"),"ROKS"))))))</f>
        <v/>
      </c>
      <c r="AL101" s="51" t="str">
        <f aca="false">IF(OR($A101="",AL$8=""),"",IF($F101="Migré","ROKS",IF($F101="À décommissionner",IF(AL$8&lt;$AS101,"IKS","Décom."),IF(OR($AQ101="",$AS101=""),"",IF(AL$8&lt;$AQ101,"IKS",IF(AL$8&lt;$AS101,IF(AL$8=$AR101,"Bascule","Double run"),"ROKS"))))))</f>
        <v/>
      </c>
      <c r="AM101" s="51" t="str">
        <f aca="false">IF(OR($A101="",AM$8=""),"",IF($F101="Migré","ROKS",IF($F101="À décommissionner",IF(AM$8&lt;$AS101,"IKS","Décom."),IF(OR($AQ101="",$AS101=""),"",IF(AM$8&lt;$AQ101,"IKS",IF(AM$8&lt;$AS101,IF(AM$8=$AR101,"Bascule","Double run"),"ROKS"))))))</f>
        <v/>
      </c>
      <c r="AN101" s="51" t="str">
        <f aca="false">IF(OR($A101="",AN$8=""),"",IF($F101="Migré","ROKS",IF($F101="À décommissionner",IF(AN$8&lt;$AS101,"IKS","Décom."),IF(OR($AQ101="",$AS101=""),"",IF(AN$8&lt;$AQ101,"IKS",IF(AN$8&lt;$AS101,IF(AN$8=$AR101,"Bascule","Double run"),"ROKS"))))))</f>
        <v/>
      </c>
      <c r="AO101" s="51" t="str">
        <f aca="false">IF(OR($A101="",AO$8=""),"",IF($F101="Migré","ROKS",IF($F101="À décommissionner",IF(AO$8&lt;$AS101,"IKS","Décom."),IF(OR($AQ101="",$AS101=""),"",IF(AO$8&lt;$AQ101,"IKS",IF(AO$8&lt;$AS101,IF(AO$8=$AR101,"Bascule","Double run"),"ROKS"))))))</f>
        <v/>
      </c>
      <c r="AP101" s="51" t="str">
        <f aca="false">IF(OR($A101="",AP$8=""),"",IF($F101="Migré","ROKS",IF($F101="À décommissionner",IF(AP$8&lt;$AS101,"IKS","Décom."),IF(OR($AQ101="",$AS101=""),"",IF(AP$8&lt;$AQ101,"IKS",IF(AP$8&lt;$AS101,IF(AP$8=$AR101,"Bascule","Double run"),"ROKS"))))))</f>
        <v/>
      </c>
      <c r="AQ101" s="0" t="str">
        <f aca="false">IF($A101="","",INDEX(TblApplications[Mois prov (calc)],$A101))</f>
        <v/>
      </c>
      <c r="AR101" s="0" t="str">
        <f aca="false">IF($A101="","",IFERROR(DATE(YEAR(INDEX(TblApplications[Mois bascule],$A101)),MONTH(INDEX(TblApplications[Mois bascule],$A101)),1),""))</f>
        <v/>
      </c>
      <c r="AS101" s="0" t="str">
        <f aca="false">IF($A101="","",INDEX(TblApplications[Mois lib (calc)],$A101))</f>
        <v/>
      </c>
    </row>
    <row r="102" customFormat="false" ht="15" hidden="false" customHeight="false" outlineLevel="0" collapsed="false">
      <c r="A102" s="49" t="str">
        <f aca="false">IFERROR(MATCH(94,TblApplications[Rang frise],0),"")</f>
        <v/>
      </c>
      <c r="B102" s="50" t="str">
        <f aca="false">IF($A102="","",INDEX(TblApplications[ID],$A102))</f>
        <v/>
      </c>
      <c r="C102" s="50" t="str">
        <f aca="false">IF($A102="","",INDEX(TblApplications[Application],$A102))</f>
        <v/>
      </c>
      <c r="D102" s="50" t="str">
        <f aca="false">IF($A102="","",INDEX(TblApplications[Environnement],$A102))</f>
        <v/>
      </c>
      <c r="E102" s="50" t="str">
        <f aca="false">IF($A102="","",INDEX(TblApplications[Couloir],$A102))</f>
        <v/>
      </c>
      <c r="F102" s="50" t="str">
        <f aca="false">IF($A102="","",INDEX(TblApplications[Action],$A102))</f>
        <v/>
      </c>
      <c r="G102" s="51" t="str">
        <f aca="false">IF(OR($A102="",G$8=""),"",IF($F102="Migré","ROKS",IF($F102="À décommissionner",IF(G$8&lt;$AS102,"IKS","Décom."),IF(OR($AQ102="",$AS102=""),"",IF(G$8&lt;$AQ102,"IKS",IF(G$8&lt;$AS102,IF(G$8=$AR102,"Bascule","Double run"),"ROKS"))))))</f>
        <v/>
      </c>
      <c r="H102" s="51" t="str">
        <f aca="false">IF(OR($A102="",H$8=""),"",IF($F102="Migré","ROKS",IF($F102="À décommissionner",IF(H$8&lt;$AS102,"IKS","Décom."),IF(OR($AQ102="",$AS102=""),"",IF(H$8&lt;$AQ102,"IKS",IF(H$8&lt;$AS102,IF(H$8=$AR102,"Bascule","Double run"),"ROKS"))))))</f>
        <v/>
      </c>
      <c r="I102" s="51" t="str">
        <f aca="false">IF(OR($A102="",I$8=""),"",IF($F102="Migré","ROKS",IF($F102="À décommissionner",IF(I$8&lt;$AS102,"IKS","Décom."),IF(OR($AQ102="",$AS102=""),"",IF(I$8&lt;$AQ102,"IKS",IF(I$8&lt;$AS102,IF(I$8=$AR102,"Bascule","Double run"),"ROKS"))))))</f>
        <v/>
      </c>
      <c r="J102" s="51" t="str">
        <f aca="false">IF(OR($A102="",J$8=""),"",IF($F102="Migré","ROKS",IF($F102="À décommissionner",IF(J$8&lt;$AS102,"IKS","Décom."),IF(OR($AQ102="",$AS102=""),"",IF(J$8&lt;$AQ102,"IKS",IF(J$8&lt;$AS102,IF(J$8=$AR102,"Bascule","Double run"),"ROKS"))))))</f>
        <v/>
      </c>
      <c r="K102" s="51" t="str">
        <f aca="false">IF(OR($A102="",K$8=""),"",IF($F102="Migré","ROKS",IF($F102="À décommissionner",IF(K$8&lt;$AS102,"IKS","Décom."),IF(OR($AQ102="",$AS102=""),"",IF(K$8&lt;$AQ102,"IKS",IF(K$8&lt;$AS102,IF(K$8=$AR102,"Bascule","Double run"),"ROKS"))))))</f>
        <v/>
      </c>
      <c r="L102" s="51" t="str">
        <f aca="false">IF(OR($A102="",L$8=""),"",IF($F102="Migré","ROKS",IF($F102="À décommissionner",IF(L$8&lt;$AS102,"IKS","Décom."),IF(OR($AQ102="",$AS102=""),"",IF(L$8&lt;$AQ102,"IKS",IF(L$8&lt;$AS102,IF(L$8=$AR102,"Bascule","Double run"),"ROKS"))))))</f>
        <v/>
      </c>
      <c r="M102" s="51" t="str">
        <f aca="false">IF(OR($A102="",M$8=""),"",IF($F102="Migré","ROKS",IF($F102="À décommissionner",IF(M$8&lt;$AS102,"IKS","Décom."),IF(OR($AQ102="",$AS102=""),"",IF(M$8&lt;$AQ102,"IKS",IF(M$8&lt;$AS102,IF(M$8=$AR102,"Bascule","Double run"),"ROKS"))))))</f>
        <v/>
      </c>
      <c r="N102" s="51" t="str">
        <f aca="false">IF(OR($A102="",N$8=""),"",IF($F102="Migré","ROKS",IF($F102="À décommissionner",IF(N$8&lt;$AS102,"IKS","Décom."),IF(OR($AQ102="",$AS102=""),"",IF(N$8&lt;$AQ102,"IKS",IF(N$8&lt;$AS102,IF(N$8=$AR102,"Bascule","Double run"),"ROKS"))))))</f>
        <v/>
      </c>
      <c r="O102" s="51" t="str">
        <f aca="false">IF(OR($A102="",O$8=""),"",IF($F102="Migré","ROKS",IF($F102="À décommissionner",IF(O$8&lt;$AS102,"IKS","Décom."),IF(OR($AQ102="",$AS102=""),"",IF(O$8&lt;$AQ102,"IKS",IF(O$8&lt;$AS102,IF(O$8=$AR102,"Bascule","Double run"),"ROKS"))))))</f>
        <v/>
      </c>
      <c r="P102" s="51" t="str">
        <f aca="false">IF(OR($A102="",P$8=""),"",IF($F102="Migré","ROKS",IF($F102="À décommissionner",IF(P$8&lt;$AS102,"IKS","Décom."),IF(OR($AQ102="",$AS102=""),"",IF(P$8&lt;$AQ102,"IKS",IF(P$8&lt;$AS102,IF(P$8=$AR102,"Bascule","Double run"),"ROKS"))))))</f>
        <v/>
      </c>
      <c r="Q102" s="51" t="str">
        <f aca="false">IF(OR($A102="",Q$8=""),"",IF($F102="Migré","ROKS",IF($F102="À décommissionner",IF(Q$8&lt;$AS102,"IKS","Décom."),IF(OR($AQ102="",$AS102=""),"",IF(Q$8&lt;$AQ102,"IKS",IF(Q$8&lt;$AS102,IF(Q$8=$AR102,"Bascule","Double run"),"ROKS"))))))</f>
        <v/>
      </c>
      <c r="R102" s="51" t="str">
        <f aca="false">IF(OR($A102="",R$8=""),"",IF($F102="Migré","ROKS",IF($F102="À décommissionner",IF(R$8&lt;$AS102,"IKS","Décom."),IF(OR($AQ102="",$AS102=""),"",IF(R$8&lt;$AQ102,"IKS",IF(R$8&lt;$AS102,IF(R$8=$AR102,"Bascule","Double run"),"ROKS"))))))</f>
        <v/>
      </c>
      <c r="S102" s="51" t="str">
        <f aca="false">IF(OR($A102="",S$8=""),"",IF($F102="Migré","ROKS",IF($F102="À décommissionner",IF(S$8&lt;$AS102,"IKS","Décom."),IF(OR($AQ102="",$AS102=""),"",IF(S$8&lt;$AQ102,"IKS",IF(S$8&lt;$AS102,IF(S$8=$AR102,"Bascule","Double run"),"ROKS"))))))</f>
        <v/>
      </c>
      <c r="T102" s="51" t="str">
        <f aca="false">IF(OR($A102="",T$8=""),"",IF($F102="Migré","ROKS",IF($F102="À décommissionner",IF(T$8&lt;$AS102,"IKS","Décom."),IF(OR($AQ102="",$AS102=""),"",IF(T$8&lt;$AQ102,"IKS",IF(T$8&lt;$AS102,IF(T$8=$AR102,"Bascule","Double run"),"ROKS"))))))</f>
        <v/>
      </c>
      <c r="U102" s="51" t="str">
        <f aca="false">IF(OR($A102="",U$8=""),"",IF($F102="Migré","ROKS",IF($F102="À décommissionner",IF(U$8&lt;$AS102,"IKS","Décom."),IF(OR($AQ102="",$AS102=""),"",IF(U$8&lt;$AQ102,"IKS",IF(U$8&lt;$AS102,IF(U$8=$AR102,"Bascule","Double run"),"ROKS"))))))</f>
        <v/>
      </c>
      <c r="V102" s="51" t="str">
        <f aca="false">IF(OR($A102="",V$8=""),"",IF($F102="Migré","ROKS",IF($F102="À décommissionner",IF(V$8&lt;$AS102,"IKS","Décom."),IF(OR($AQ102="",$AS102=""),"",IF(V$8&lt;$AQ102,"IKS",IF(V$8&lt;$AS102,IF(V$8=$AR102,"Bascule","Double run"),"ROKS"))))))</f>
        <v/>
      </c>
      <c r="W102" s="51" t="str">
        <f aca="false">IF(OR($A102="",W$8=""),"",IF($F102="Migré","ROKS",IF($F102="À décommissionner",IF(W$8&lt;$AS102,"IKS","Décom."),IF(OR($AQ102="",$AS102=""),"",IF(W$8&lt;$AQ102,"IKS",IF(W$8&lt;$AS102,IF(W$8=$AR102,"Bascule","Double run"),"ROKS"))))))</f>
        <v/>
      </c>
      <c r="X102" s="51" t="str">
        <f aca="false">IF(OR($A102="",X$8=""),"",IF($F102="Migré","ROKS",IF($F102="À décommissionner",IF(X$8&lt;$AS102,"IKS","Décom."),IF(OR($AQ102="",$AS102=""),"",IF(X$8&lt;$AQ102,"IKS",IF(X$8&lt;$AS102,IF(X$8=$AR102,"Bascule","Double run"),"ROKS"))))))</f>
        <v/>
      </c>
      <c r="Y102" s="51" t="str">
        <f aca="false">IF(OR($A102="",Y$8=""),"",IF($F102="Migré","ROKS",IF($F102="À décommissionner",IF(Y$8&lt;$AS102,"IKS","Décom."),IF(OR($AQ102="",$AS102=""),"",IF(Y$8&lt;$AQ102,"IKS",IF(Y$8&lt;$AS102,IF(Y$8=$AR102,"Bascule","Double run"),"ROKS"))))))</f>
        <v/>
      </c>
      <c r="Z102" s="51" t="str">
        <f aca="false">IF(OR($A102="",Z$8=""),"",IF($F102="Migré","ROKS",IF($F102="À décommissionner",IF(Z$8&lt;$AS102,"IKS","Décom."),IF(OR($AQ102="",$AS102=""),"",IF(Z$8&lt;$AQ102,"IKS",IF(Z$8&lt;$AS102,IF(Z$8=$AR102,"Bascule","Double run"),"ROKS"))))))</f>
        <v/>
      </c>
      <c r="AA102" s="51" t="str">
        <f aca="false">IF(OR($A102="",AA$8=""),"",IF($F102="Migré","ROKS",IF($F102="À décommissionner",IF(AA$8&lt;$AS102,"IKS","Décom."),IF(OR($AQ102="",$AS102=""),"",IF(AA$8&lt;$AQ102,"IKS",IF(AA$8&lt;$AS102,IF(AA$8=$AR102,"Bascule","Double run"),"ROKS"))))))</f>
        <v/>
      </c>
      <c r="AB102" s="51" t="str">
        <f aca="false">IF(OR($A102="",AB$8=""),"",IF($F102="Migré","ROKS",IF($F102="À décommissionner",IF(AB$8&lt;$AS102,"IKS","Décom."),IF(OR($AQ102="",$AS102=""),"",IF(AB$8&lt;$AQ102,"IKS",IF(AB$8&lt;$AS102,IF(AB$8=$AR102,"Bascule","Double run"),"ROKS"))))))</f>
        <v/>
      </c>
      <c r="AC102" s="51" t="str">
        <f aca="false">IF(OR($A102="",AC$8=""),"",IF($F102="Migré","ROKS",IF($F102="À décommissionner",IF(AC$8&lt;$AS102,"IKS","Décom."),IF(OR($AQ102="",$AS102=""),"",IF(AC$8&lt;$AQ102,"IKS",IF(AC$8&lt;$AS102,IF(AC$8=$AR102,"Bascule","Double run"),"ROKS"))))))</f>
        <v/>
      </c>
      <c r="AD102" s="51" t="str">
        <f aca="false">IF(OR($A102="",AD$8=""),"",IF($F102="Migré","ROKS",IF($F102="À décommissionner",IF(AD$8&lt;$AS102,"IKS","Décom."),IF(OR($AQ102="",$AS102=""),"",IF(AD$8&lt;$AQ102,"IKS",IF(AD$8&lt;$AS102,IF(AD$8=$AR102,"Bascule","Double run"),"ROKS"))))))</f>
        <v/>
      </c>
      <c r="AE102" s="51" t="str">
        <f aca="false">IF(OR($A102="",AE$8=""),"",IF($F102="Migré","ROKS",IF($F102="À décommissionner",IF(AE$8&lt;$AS102,"IKS","Décom."),IF(OR($AQ102="",$AS102=""),"",IF(AE$8&lt;$AQ102,"IKS",IF(AE$8&lt;$AS102,IF(AE$8=$AR102,"Bascule","Double run"),"ROKS"))))))</f>
        <v/>
      </c>
      <c r="AF102" s="51" t="str">
        <f aca="false">IF(OR($A102="",AF$8=""),"",IF($F102="Migré","ROKS",IF($F102="À décommissionner",IF(AF$8&lt;$AS102,"IKS","Décom."),IF(OR($AQ102="",$AS102=""),"",IF(AF$8&lt;$AQ102,"IKS",IF(AF$8&lt;$AS102,IF(AF$8=$AR102,"Bascule","Double run"),"ROKS"))))))</f>
        <v/>
      </c>
      <c r="AG102" s="51" t="str">
        <f aca="false">IF(OR($A102="",AG$8=""),"",IF($F102="Migré","ROKS",IF($F102="À décommissionner",IF(AG$8&lt;$AS102,"IKS","Décom."),IF(OR($AQ102="",$AS102=""),"",IF(AG$8&lt;$AQ102,"IKS",IF(AG$8&lt;$AS102,IF(AG$8=$AR102,"Bascule","Double run"),"ROKS"))))))</f>
        <v/>
      </c>
      <c r="AH102" s="51" t="str">
        <f aca="false">IF(OR($A102="",AH$8=""),"",IF($F102="Migré","ROKS",IF($F102="À décommissionner",IF(AH$8&lt;$AS102,"IKS","Décom."),IF(OR($AQ102="",$AS102=""),"",IF(AH$8&lt;$AQ102,"IKS",IF(AH$8&lt;$AS102,IF(AH$8=$AR102,"Bascule","Double run"),"ROKS"))))))</f>
        <v/>
      </c>
      <c r="AI102" s="51" t="str">
        <f aca="false">IF(OR($A102="",AI$8=""),"",IF($F102="Migré","ROKS",IF($F102="À décommissionner",IF(AI$8&lt;$AS102,"IKS","Décom."),IF(OR($AQ102="",$AS102=""),"",IF(AI$8&lt;$AQ102,"IKS",IF(AI$8&lt;$AS102,IF(AI$8=$AR102,"Bascule","Double run"),"ROKS"))))))</f>
        <v/>
      </c>
      <c r="AJ102" s="51" t="str">
        <f aca="false">IF(OR($A102="",AJ$8=""),"",IF($F102="Migré","ROKS",IF($F102="À décommissionner",IF(AJ$8&lt;$AS102,"IKS","Décom."),IF(OR($AQ102="",$AS102=""),"",IF(AJ$8&lt;$AQ102,"IKS",IF(AJ$8&lt;$AS102,IF(AJ$8=$AR102,"Bascule","Double run"),"ROKS"))))))</f>
        <v/>
      </c>
      <c r="AK102" s="51" t="str">
        <f aca="false">IF(OR($A102="",AK$8=""),"",IF($F102="Migré","ROKS",IF($F102="À décommissionner",IF(AK$8&lt;$AS102,"IKS","Décom."),IF(OR($AQ102="",$AS102=""),"",IF(AK$8&lt;$AQ102,"IKS",IF(AK$8&lt;$AS102,IF(AK$8=$AR102,"Bascule","Double run"),"ROKS"))))))</f>
        <v/>
      </c>
      <c r="AL102" s="51" t="str">
        <f aca="false">IF(OR($A102="",AL$8=""),"",IF($F102="Migré","ROKS",IF($F102="À décommissionner",IF(AL$8&lt;$AS102,"IKS","Décom."),IF(OR($AQ102="",$AS102=""),"",IF(AL$8&lt;$AQ102,"IKS",IF(AL$8&lt;$AS102,IF(AL$8=$AR102,"Bascule","Double run"),"ROKS"))))))</f>
        <v/>
      </c>
      <c r="AM102" s="51" t="str">
        <f aca="false">IF(OR($A102="",AM$8=""),"",IF($F102="Migré","ROKS",IF($F102="À décommissionner",IF(AM$8&lt;$AS102,"IKS","Décom."),IF(OR($AQ102="",$AS102=""),"",IF(AM$8&lt;$AQ102,"IKS",IF(AM$8&lt;$AS102,IF(AM$8=$AR102,"Bascule","Double run"),"ROKS"))))))</f>
        <v/>
      </c>
      <c r="AN102" s="51" t="str">
        <f aca="false">IF(OR($A102="",AN$8=""),"",IF($F102="Migré","ROKS",IF($F102="À décommissionner",IF(AN$8&lt;$AS102,"IKS","Décom."),IF(OR($AQ102="",$AS102=""),"",IF(AN$8&lt;$AQ102,"IKS",IF(AN$8&lt;$AS102,IF(AN$8=$AR102,"Bascule","Double run"),"ROKS"))))))</f>
        <v/>
      </c>
      <c r="AO102" s="51" t="str">
        <f aca="false">IF(OR($A102="",AO$8=""),"",IF($F102="Migré","ROKS",IF($F102="À décommissionner",IF(AO$8&lt;$AS102,"IKS","Décom."),IF(OR($AQ102="",$AS102=""),"",IF(AO$8&lt;$AQ102,"IKS",IF(AO$8&lt;$AS102,IF(AO$8=$AR102,"Bascule","Double run"),"ROKS"))))))</f>
        <v/>
      </c>
      <c r="AP102" s="51" t="str">
        <f aca="false">IF(OR($A102="",AP$8=""),"",IF($F102="Migré","ROKS",IF($F102="À décommissionner",IF(AP$8&lt;$AS102,"IKS","Décom."),IF(OR($AQ102="",$AS102=""),"",IF(AP$8&lt;$AQ102,"IKS",IF(AP$8&lt;$AS102,IF(AP$8=$AR102,"Bascule","Double run"),"ROKS"))))))</f>
        <v/>
      </c>
      <c r="AQ102" s="0" t="str">
        <f aca="false">IF($A102="","",INDEX(TblApplications[Mois prov (calc)],$A102))</f>
        <v/>
      </c>
      <c r="AR102" s="0" t="str">
        <f aca="false">IF($A102="","",IFERROR(DATE(YEAR(INDEX(TblApplications[Mois bascule],$A102)),MONTH(INDEX(TblApplications[Mois bascule],$A102)),1),""))</f>
        <v/>
      </c>
      <c r="AS102" s="0" t="str">
        <f aca="false">IF($A102="","",INDEX(TblApplications[Mois lib (calc)],$A102))</f>
        <v/>
      </c>
    </row>
    <row r="103" customFormat="false" ht="15" hidden="false" customHeight="false" outlineLevel="0" collapsed="false">
      <c r="A103" s="49" t="str">
        <f aca="false">IFERROR(MATCH(95,TblApplications[Rang frise],0),"")</f>
        <v/>
      </c>
      <c r="B103" s="50" t="str">
        <f aca="false">IF($A103="","",INDEX(TblApplications[ID],$A103))</f>
        <v/>
      </c>
      <c r="C103" s="50" t="str">
        <f aca="false">IF($A103="","",INDEX(TblApplications[Application],$A103))</f>
        <v/>
      </c>
      <c r="D103" s="50" t="str">
        <f aca="false">IF($A103="","",INDEX(TblApplications[Environnement],$A103))</f>
        <v/>
      </c>
      <c r="E103" s="50" t="str">
        <f aca="false">IF($A103="","",INDEX(TblApplications[Couloir],$A103))</f>
        <v/>
      </c>
      <c r="F103" s="50" t="str">
        <f aca="false">IF($A103="","",INDEX(TblApplications[Action],$A103))</f>
        <v/>
      </c>
      <c r="G103" s="51" t="str">
        <f aca="false">IF(OR($A103="",G$8=""),"",IF($F103="Migré","ROKS",IF($F103="À décommissionner",IF(G$8&lt;$AS103,"IKS","Décom."),IF(OR($AQ103="",$AS103=""),"",IF(G$8&lt;$AQ103,"IKS",IF(G$8&lt;$AS103,IF(G$8=$AR103,"Bascule","Double run"),"ROKS"))))))</f>
        <v/>
      </c>
      <c r="H103" s="51" t="str">
        <f aca="false">IF(OR($A103="",H$8=""),"",IF($F103="Migré","ROKS",IF($F103="À décommissionner",IF(H$8&lt;$AS103,"IKS","Décom."),IF(OR($AQ103="",$AS103=""),"",IF(H$8&lt;$AQ103,"IKS",IF(H$8&lt;$AS103,IF(H$8=$AR103,"Bascule","Double run"),"ROKS"))))))</f>
        <v/>
      </c>
      <c r="I103" s="51" t="str">
        <f aca="false">IF(OR($A103="",I$8=""),"",IF($F103="Migré","ROKS",IF($F103="À décommissionner",IF(I$8&lt;$AS103,"IKS","Décom."),IF(OR($AQ103="",$AS103=""),"",IF(I$8&lt;$AQ103,"IKS",IF(I$8&lt;$AS103,IF(I$8=$AR103,"Bascule","Double run"),"ROKS"))))))</f>
        <v/>
      </c>
      <c r="J103" s="51" t="str">
        <f aca="false">IF(OR($A103="",J$8=""),"",IF($F103="Migré","ROKS",IF($F103="À décommissionner",IF(J$8&lt;$AS103,"IKS","Décom."),IF(OR($AQ103="",$AS103=""),"",IF(J$8&lt;$AQ103,"IKS",IF(J$8&lt;$AS103,IF(J$8=$AR103,"Bascule","Double run"),"ROKS"))))))</f>
        <v/>
      </c>
      <c r="K103" s="51" t="str">
        <f aca="false">IF(OR($A103="",K$8=""),"",IF($F103="Migré","ROKS",IF($F103="À décommissionner",IF(K$8&lt;$AS103,"IKS","Décom."),IF(OR($AQ103="",$AS103=""),"",IF(K$8&lt;$AQ103,"IKS",IF(K$8&lt;$AS103,IF(K$8=$AR103,"Bascule","Double run"),"ROKS"))))))</f>
        <v/>
      </c>
      <c r="L103" s="51" t="str">
        <f aca="false">IF(OR($A103="",L$8=""),"",IF($F103="Migré","ROKS",IF($F103="À décommissionner",IF(L$8&lt;$AS103,"IKS","Décom."),IF(OR($AQ103="",$AS103=""),"",IF(L$8&lt;$AQ103,"IKS",IF(L$8&lt;$AS103,IF(L$8=$AR103,"Bascule","Double run"),"ROKS"))))))</f>
        <v/>
      </c>
      <c r="M103" s="51" t="str">
        <f aca="false">IF(OR($A103="",M$8=""),"",IF($F103="Migré","ROKS",IF($F103="À décommissionner",IF(M$8&lt;$AS103,"IKS","Décom."),IF(OR($AQ103="",$AS103=""),"",IF(M$8&lt;$AQ103,"IKS",IF(M$8&lt;$AS103,IF(M$8=$AR103,"Bascule","Double run"),"ROKS"))))))</f>
        <v/>
      </c>
      <c r="N103" s="51" t="str">
        <f aca="false">IF(OR($A103="",N$8=""),"",IF($F103="Migré","ROKS",IF($F103="À décommissionner",IF(N$8&lt;$AS103,"IKS","Décom."),IF(OR($AQ103="",$AS103=""),"",IF(N$8&lt;$AQ103,"IKS",IF(N$8&lt;$AS103,IF(N$8=$AR103,"Bascule","Double run"),"ROKS"))))))</f>
        <v/>
      </c>
      <c r="O103" s="51" t="str">
        <f aca="false">IF(OR($A103="",O$8=""),"",IF($F103="Migré","ROKS",IF($F103="À décommissionner",IF(O$8&lt;$AS103,"IKS","Décom."),IF(OR($AQ103="",$AS103=""),"",IF(O$8&lt;$AQ103,"IKS",IF(O$8&lt;$AS103,IF(O$8=$AR103,"Bascule","Double run"),"ROKS"))))))</f>
        <v/>
      </c>
      <c r="P103" s="51" t="str">
        <f aca="false">IF(OR($A103="",P$8=""),"",IF($F103="Migré","ROKS",IF($F103="À décommissionner",IF(P$8&lt;$AS103,"IKS","Décom."),IF(OR($AQ103="",$AS103=""),"",IF(P$8&lt;$AQ103,"IKS",IF(P$8&lt;$AS103,IF(P$8=$AR103,"Bascule","Double run"),"ROKS"))))))</f>
        <v/>
      </c>
      <c r="Q103" s="51" t="str">
        <f aca="false">IF(OR($A103="",Q$8=""),"",IF($F103="Migré","ROKS",IF($F103="À décommissionner",IF(Q$8&lt;$AS103,"IKS","Décom."),IF(OR($AQ103="",$AS103=""),"",IF(Q$8&lt;$AQ103,"IKS",IF(Q$8&lt;$AS103,IF(Q$8=$AR103,"Bascule","Double run"),"ROKS"))))))</f>
        <v/>
      </c>
      <c r="R103" s="51" t="str">
        <f aca="false">IF(OR($A103="",R$8=""),"",IF($F103="Migré","ROKS",IF($F103="À décommissionner",IF(R$8&lt;$AS103,"IKS","Décom."),IF(OR($AQ103="",$AS103=""),"",IF(R$8&lt;$AQ103,"IKS",IF(R$8&lt;$AS103,IF(R$8=$AR103,"Bascule","Double run"),"ROKS"))))))</f>
        <v/>
      </c>
      <c r="S103" s="51" t="str">
        <f aca="false">IF(OR($A103="",S$8=""),"",IF($F103="Migré","ROKS",IF($F103="À décommissionner",IF(S$8&lt;$AS103,"IKS","Décom."),IF(OR($AQ103="",$AS103=""),"",IF(S$8&lt;$AQ103,"IKS",IF(S$8&lt;$AS103,IF(S$8=$AR103,"Bascule","Double run"),"ROKS"))))))</f>
        <v/>
      </c>
      <c r="T103" s="51" t="str">
        <f aca="false">IF(OR($A103="",T$8=""),"",IF($F103="Migré","ROKS",IF($F103="À décommissionner",IF(T$8&lt;$AS103,"IKS","Décom."),IF(OR($AQ103="",$AS103=""),"",IF(T$8&lt;$AQ103,"IKS",IF(T$8&lt;$AS103,IF(T$8=$AR103,"Bascule","Double run"),"ROKS"))))))</f>
        <v/>
      </c>
      <c r="U103" s="51" t="str">
        <f aca="false">IF(OR($A103="",U$8=""),"",IF($F103="Migré","ROKS",IF($F103="À décommissionner",IF(U$8&lt;$AS103,"IKS","Décom."),IF(OR($AQ103="",$AS103=""),"",IF(U$8&lt;$AQ103,"IKS",IF(U$8&lt;$AS103,IF(U$8=$AR103,"Bascule","Double run"),"ROKS"))))))</f>
        <v/>
      </c>
      <c r="V103" s="51" t="str">
        <f aca="false">IF(OR($A103="",V$8=""),"",IF($F103="Migré","ROKS",IF($F103="À décommissionner",IF(V$8&lt;$AS103,"IKS","Décom."),IF(OR($AQ103="",$AS103=""),"",IF(V$8&lt;$AQ103,"IKS",IF(V$8&lt;$AS103,IF(V$8=$AR103,"Bascule","Double run"),"ROKS"))))))</f>
        <v/>
      </c>
      <c r="W103" s="51" t="str">
        <f aca="false">IF(OR($A103="",W$8=""),"",IF($F103="Migré","ROKS",IF($F103="À décommissionner",IF(W$8&lt;$AS103,"IKS","Décom."),IF(OR($AQ103="",$AS103=""),"",IF(W$8&lt;$AQ103,"IKS",IF(W$8&lt;$AS103,IF(W$8=$AR103,"Bascule","Double run"),"ROKS"))))))</f>
        <v/>
      </c>
      <c r="X103" s="51" t="str">
        <f aca="false">IF(OR($A103="",X$8=""),"",IF($F103="Migré","ROKS",IF($F103="À décommissionner",IF(X$8&lt;$AS103,"IKS","Décom."),IF(OR($AQ103="",$AS103=""),"",IF(X$8&lt;$AQ103,"IKS",IF(X$8&lt;$AS103,IF(X$8=$AR103,"Bascule","Double run"),"ROKS"))))))</f>
        <v/>
      </c>
      <c r="Y103" s="51" t="str">
        <f aca="false">IF(OR($A103="",Y$8=""),"",IF($F103="Migré","ROKS",IF($F103="À décommissionner",IF(Y$8&lt;$AS103,"IKS","Décom."),IF(OR($AQ103="",$AS103=""),"",IF(Y$8&lt;$AQ103,"IKS",IF(Y$8&lt;$AS103,IF(Y$8=$AR103,"Bascule","Double run"),"ROKS"))))))</f>
        <v/>
      </c>
      <c r="Z103" s="51" t="str">
        <f aca="false">IF(OR($A103="",Z$8=""),"",IF($F103="Migré","ROKS",IF($F103="À décommissionner",IF(Z$8&lt;$AS103,"IKS","Décom."),IF(OR($AQ103="",$AS103=""),"",IF(Z$8&lt;$AQ103,"IKS",IF(Z$8&lt;$AS103,IF(Z$8=$AR103,"Bascule","Double run"),"ROKS"))))))</f>
        <v/>
      </c>
      <c r="AA103" s="51" t="str">
        <f aca="false">IF(OR($A103="",AA$8=""),"",IF($F103="Migré","ROKS",IF($F103="À décommissionner",IF(AA$8&lt;$AS103,"IKS","Décom."),IF(OR($AQ103="",$AS103=""),"",IF(AA$8&lt;$AQ103,"IKS",IF(AA$8&lt;$AS103,IF(AA$8=$AR103,"Bascule","Double run"),"ROKS"))))))</f>
        <v/>
      </c>
      <c r="AB103" s="51" t="str">
        <f aca="false">IF(OR($A103="",AB$8=""),"",IF($F103="Migré","ROKS",IF($F103="À décommissionner",IF(AB$8&lt;$AS103,"IKS","Décom."),IF(OR($AQ103="",$AS103=""),"",IF(AB$8&lt;$AQ103,"IKS",IF(AB$8&lt;$AS103,IF(AB$8=$AR103,"Bascule","Double run"),"ROKS"))))))</f>
        <v/>
      </c>
      <c r="AC103" s="51" t="str">
        <f aca="false">IF(OR($A103="",AC$8=""),"",IF($F103="Migré","ROKS",IF($F103="À décommissionner",IF(AC$8&lt;$AS103,"IKS","Décom."),IF(OR($AQ103="",$AS103=""),"",IF(AC$8&lt;$AQ103,"IKS",IF(AC$8&lt;$AS103,IF(AC$8=$AR103,"Bascule","Double run"),"ROKS"))))))</f>
        <v/>
      </c>
      <c r="AD103" s="51" t="str">
        <f aca="false">IF(OR($A103="",AD$8=""),"",IF($F103="Migré","ROKS",IF($F103="À décommissionner",IF(AD$8&lt;$AS103,"IKS","Décom."),IF(OR($AQ103="",$AS103=""),"",IF(AD$8&lt;$AQ103,"IKS",IF(AD$8&lt;$AS103,IF(AD$8=$AR103,"Bascule","Double run"),"ROKS"))))))</f>
        <v/>
      </c>
      <c r="AE103" s="51" t="str">
        <f aca="false">IF(OR($A103="",AE$8=""),"",IF($F103="Migré","ROKS",IF($F103="À décommissionner",IF(AE$8&lt;$AS103,"IKS","Décom."),IF(OR($AQ103="",$AS103=""),"",IF(AE$8&lt;$AQ103,"IKS",IF(AE$8&lt;$AS103,IF(AE$8=$AR103,"Bascule","Double run"),"ROKS"))))))</f>
        <v/>
      </c>
      <c r="AF103" s="51" t="str">
        <f aca="false">IF(OR($A103="",AF$8=""),"",IF($F103="Migré","ROKS",IF($F103="À décommissionner",IF(AF$8&lt;$AS103,"IKS","Décom."),IF(OR($AQ103="",$AS103=""),"",IF(AF$8&lt;$AQ103,"IKS",IF(AF$8&lt;$AS103,IF(AF$8=$AR103,"Bascule","Double run"),"ROKS"))))))</f>
        <v/>
      </c>
      <c r="AG103" s="51" t="str">
        <f aca="false">IF(OR($A103="",AG$8=""),"",IF($F103="Migré","ROKS",IF($F103="À décommissionner",IF(AG$8&lt;$AS103,"IKS","Décom."),IF(OR($AQ103="",$AS103=""),"",IF(AG$8&lt;$AQ103,"IKS",IF(AG$8&lt;$AS103,IF(AG$8=$AR103,"Bascule","Double run"),"ROKS"))))))</f>
        <v/>
      </c>
      <c r="AH103" s="51" t="str">
        <f aca="false">IF(OR($A103="",AH$8=""),"",IF($F103="Migré","ROKS",IF($F103="À décommissionner",IF(AH$8&lt;$AS103,"IKS","Décom."),IF(OR($AQ103="",$AS103=""),"",IF(AH$8&lt;$AQ103,"IKS",IF(AH$8&lt;$AS103,IF(AH$8=$AR103,"Bascule","Double run"),"ROKS"))))))</f>
        <v/>
      </c>
      <c r="AI103" s="51" t="str">
        <f aca="false">IF(OR($A103="",AI$8=""),"",IF($F103="Migré","ROKS",IF($F103="À décommissionner",IF(AI$8&lt;$AS103,"IKS","Décom."),IF(OR($AQ103="",$AS103=""),"",IF(AI$8&lt;$AQ103,"IKS",IF(AI$8&lt;$AS103,IF(AI$8=$AR103,"Bascule","Double run"),"ROKS"))))))</f>
        <v/>
      </c>
      <c r="AJ103" s="51" t="str">
        <f aca="false">IF(OR($A103="",AJ$8=""),"",IF($F103="Migré","ROKS",IF($F103="À décommissionner",IF(AJ$8&lt;$AS103,"IKS","Décom."),IF(OR($AQ103="",$AS103=""),"",IF(AJ$8&lt;$AQ103,"IKS",IF(AJ$8&lt;$AS103,IF(AJ$8=$AR103,"Bascule","Double run"),"ROKS"))))))</f>
        <v/>
      </c>
      <c r="AK103" s="51" t="str">
        <f aca="false">IF(OR($A103="",AK$8=""),"",IF($F103="Migré","ROKS",IF($F103="À décommissionner",IF(AK$8&lt;$AS103,"IKS","Décom."),IF(OR($AQ103="",$AS103=""),"",IF(AK$8&lt;$AQ103,"IKS",IF(AK$8&lt;$AS103,IF(AK$8=$AR103,"Bascule","Double run"),"ROKS"))))))</f>
        <v/>
      </c>
      <c r="AL103" s="51" t="str">
        <f aca="false">IF(OR($A103="",AL$8=""),"",IF($F103="Migré","ROKS",IF($F103="À décommissionner",IF(AL$8&lt;$AS103,"IKS","Décom."),IF(OR($AQ103="",$AS103=""),"",IF(AL$8&lt;$AQ103,"IKS",IF(AL$8&lt;$AS103,IF(AL$8=$AR103,"Bascule","Double run"),"ROKS"))))))</f>
        <v/>
      </c>
      <c r="AM103" s="51" t="str">
        <f aca="false">IF(OR($A103="",AM$8=""),"",IF($F103="Migré","ROKS",IF($F103="À décommissionner",IF(AM$8&lt;$AS103,"IKS","Décom."),IF(OR($AQ103="",$AS103=""),"",IF(AM$8&lt;$AQ103,"IKS",IF(AM$8&lt;$AS103,IF(AM$8=$AR103,"Bascule","Double run"),"ROKS"))))))</f>
        <v/>
      </c>
      <c r="AN103" s="51" t="str">
        <f aca="false">IF(OR($A103="",AN$8=""),"",IF($F103="Migré","ROKS",IF($F103="À décommissionner",IF(AN$8&lt;$AS103,"IKS","Décom."),IF(OR($AQ103="",$AS103=""),"",IF(AN$8&lt;$AQ103,"IKS",IF(AN$8&lt;$AS103,IF(AN$8=$AR103,"Bascule","Double run"),"ROKS"))))))</f>
        <v/>
      </c>
      <c r="AO103" s="51" t="str">
        <f aca="false">IF(OR($A103="",AO$8=""),"",IF($F103="Migré","ROKS",IF($F103="À décommissionner",IF(AO$8&lt;$AS103,"IKS","Décom."),IF(OR($AQ103="",$AS103=""),"",IF(AO$8&lt;$AQ103,"IKS",IF(AO$8&lt;$AS103,IF(AO$8=$AR103,"Bascule","Double run"),"ROKS"))))))</f>
        <v/>
      </c>
      <c r="AP103" s="51" t="str">
        <f aca="false">IF(OR($A103="",AP$8=""),"",IF($F103="Migré","ROKS",IF($F103="À décommissionner",IF(AP$8&lt;$AS103,"IKS","Décom."),IF(OR($AQ103="",$AS103=""),"",IF(AP$8&lt;$AQ103,"IKS",IF(AP$8&lt;$AS103,IF(AP$8=$AR103,"Bascule","Double run"),"ROKS"))))))</f>
        <v/>
      </c>
      <c r="AQ103" s="0" t="str">
        <f aca="false">IF($A103="","",INDEX(TblApplications[Mois prov (calc)],$A103))</f>
        <v/>
      </c>
      <c r="AR103" s="0" t="str">
        <f aca="false">IF($A103="","",IFERROR(DATE(YEAR(INDEX(TblApplications[Mois bascule],$A103)),MONTH(INDEX(TblApplications[Mois bascule],$A103)),1),""))</f>
        <v/>
      </c>
      <c r="AS103" s="0" t="str">
        <f aca="false">IF($A103="","",INDEX(TblApplications[Mois lib (calc)],$A103))</f>
        <v/>
      </c>
    </row>
    <row r="104" customFormat="false" ht="15" hidden="false" customHeight="false" outlineLevel="0" collapsed="false">
      <c r="A104" s="49" t="str">
        <f aca="false">IFERROR(MATCH(96,TblApplications[Rang frise],0),"")</f>
        <v/>
      </c>
      <c r="B104" s="50" t="str">
        <f aca="false">IF($A104="","",INDEX(TblApplications[ID],$A104))</f>
        <v/>
      </c>
      <c r="C104" s="50" t="str">
        <f aca="false">IF($A104="","",INDEX(TblApplications[Application],$A104))</f>
        <v/>
      </c>
      <c r="D104" s="50" t="str">
        <f aca="false">IF($A104="","",INDEX(TblApplications[Environnement],$A104))</f>
        <v/>
      </c>
      <c r="E104" s="50" t="str">
        <f aca="false">IF($A104="","",INDEX(TblApplications[Couloir],$A104))</f>
        <v/>
      </c>
      <c r="F104" s="50" t="str">
        <f aca="false">IF($A104="","",INDEX(TblApplications[Action],$A104))</f>
        <v/>
      </c>
      <c r="G104" s="51" t="str">
        <f aca="false">IF(OR($A104="",G$8=""),"",IF($F104="Migré","ROKS",IF($F104="À décommissionner",IF(G$8&lt;$AS104,"IKS","Décom."),IF(OR($AQ104="",$AS104=""),"",IF(G$8&lt;$AQ104,"IKS",IF(G$8&lt;$AS104,IF(G$8=$AR104,"Bascule","Double run"),"ROKS"))))))</f>
        <v/>
      </c>
      <c r="H104" s="51" t="str">
        <f aca="false">IF(OR($A104="",H$8=""),"",IF($F104="Migré","ROKS",IF($F104="À décommissionner",IF(H$8&lt;$AS104,"IKS","Décom."),IF(OR($AQ104="",$AS104=""),"",IF(H$8&lt;$AQ104,"IKS",IF(H$8&lt;$AS104,IF(H$8=$AR104,"Bascule","Double run"),"ROKS"))))))</f>
        <v/>
      </c>
      <c r="I104" s="51" t="str">
        <f aca="false">IF(OR($A104="",I$8=""),"",IF($F104="Migré","ROKS",IF($F104="À décommissionner",IF(I$8&lt;$AS104,"IKS","Décom."),IF(OR($AQ104="",$AS104=""),"",IF(I$8&lt;$AQ104,"IKS",IF(I$8&lt;$AS104,IF(I$8=$AR104,"Bascule","Double run"),"ROKS"))))))</f>
        <v/>
      </c>
      <c r="J104" s="51" t="str">
        <f aca="false">IF(OR($A104="",J$8=""),"",IF($F104="Migré","ROKS",IF($F104="À décommissionner",IF(J$8&lt;$AS104,"IKS","Décom."),IF(OR($AQ104="",$AS104=""),"",IF(J$8&lt;$AQ104,"IKS",IF(J$8&lt;$AS104,IF(J$8=$AR104,"Bascule","Double run"),"ROKS"))))))</f>
        <v/>
      </c>
      <c r="K104" s="51" t="str">
        <f aca="false">IF(OR($A104="",K$8=""),"",IF($F104="Migré","ROKS",IF($F104="À décommissionner",IF(K$8&lt;$AS104,"IKS","Décom."),IF(OR($AQ104="",$AS104=""),"",IF(K$8&lt;$AQ104,"IKS",IF(K$8&lt;$AS104,IF(K$8=$AR104,"Bascule","Double run"),"ROKS"))))))</f>
        <v/>
      </c>
      <c r="L104" s="51" t="str">
        <f aca="false">IF(OR($A104="",L$8=""),"",IF($F104="Migré","ROKS",IF($F104="À décommissionner",IF(L$8&lt;$AS104,"IKS","Décom."),IF(OR($AQ104="",$AS104=""),"",IF(L$8&lt;$AQ104,"IKS",IF(L$8&lt;$AS104,IF(L$8=$AR104,"Bascule","Double run"),"ROKS"))))))</f>
        <v/>
      </c>
      <c r="M104" s="51" t="str">
        <f aca="false">IF(OR($A104="",M$8=""),"",IF($F104="Migré","ROKS",IF($F104="À décommissionner",IF(M$8&lt;$AS104,"IKS","Décom."),IF(OR($AQ104="",$AS104=""),"",IF(M$8&lt;$AQ104,"IKS",IF(M$8&lt;$AS104,IF(M$8=$AR104,"Bascule","Double run"),"ROKS"))))))</f>
        <v/>
      </c>
      <c r="N104" s="51" t="str">
        <f aca="false">IF(OR($A104="",N$8=""),"",IF($F104="Migré","ROKS",IF($F104="À décommissionner",IF(N$8&lt;$AS104,"IKS","Décom."),IF(OR($AQ104="",$AS104=""),"",IF(N$8&lt;$AQ104,"IKS",IF(N$8&lt;$AS104,IF(N$8=$AR104,"Bascule","Double run"),"ROKS"))))))</f>
        <v/>
      </c>
      <c r="O104" s="51" t="str">
        <f aca="false">IF(OR($A104="",O$8=""),"",IF($F104="Migré","ROKS",IF($F104="À décommissionner",IF(O$8&lt;$AS104,"IKS","Décom."),IF(OR($AQ104="",$AS104=""),"",IF(O$8&lt;$AQ104,"IKS",IF(O$8&lt;$AS104,IF(O$8=$AR104,"Bascule","Double run"),"ROKS"))))))</f>
        <v/>
      </c>
      <c r="P104" s="51" t="str">
        <f aca="false">IF(OR($A104="",P$8=""),"",IF($F104="Migré","ROKS",IF($F104="À décommissionner",IF(P$8&lt;$AS104,"IKS","Décom."),IF(OR($AQ104="",$AS104=""),"",IF(P$8&lt;$AQ104,"IKS",IF(P$8&lt;$AS104,IF(P$8=$AR104,"Bascule","Double run"),"ROKS"))))))</f>
        <v/>
      </c>
      <c r="Q104" s="51" t="str">
        <f aca="false">IF(OR($A104="",Q$8=""),"",IF($F104="Migré","ROKS",IF($F104="À décommissionner",IF(Q$8&lt;$AS104,"IKS","Décom."),IF(OR($AQ104="",$AS104=""),"",IF(Q$8&lt;$AQ104,"IKS",IF(Q$8&lt;$AS104,IF(Q$8=$AR104,"Bascule","Double run"),"ROKS"))))))</f>
        <v/>
      </c>
      <c r="R104" s="51" t="str">
        <f aca="false">IF(OR($A104="",R$8=""),"",IF($F104="Migré","ROKS",IF($F104="À décommissionner",IF(R$8&lt;$AS104,"IKS","Décom."),IF(OR($AQ104="",$AS104=""),"",IF(R$8&lt;$AQ104,"IKS",IF(R$8&lt;$AS104,IF(R$8=$AR104,"Bascule","Double run"),"ROKS"))))))</f>
        <v/>
      </c>
      <c r="S104" s="51" t="str">
        <f aca="false">IF(OR($A104="",S$8=""),"",IF($F104="Migré","ROKS",IF($F104="À décommissionner",IF(S$8&lt;$AS104,"IKS","Décom."),IF(OR($AQ104="",$AS104=""),"",IF(S$8&lt;$AQ104,"IKS",IF(S$8&lt;$AS104,IF(S$8=$AR104,"Bascule","Double run"),"ROKS"))))))</f>
        <v/>
      </c>
      <c r="T104" s="51" t="str">
        <f aca="false">IF(OR($A104="",T$8=""),"",IF($F104="Migré","ROKS",IF($F104="À décommissionner",IF(T$8&lt;$AS104,"IKS","Décom."),IF(OR($AQ104="",$AS104=""),"",IF(T$8&lt;$AQ104,"IKS",IF(T$8&lt;$AS104,IF(T$8=$AR104,"Bascule","Double run"),"ROKS"))))))</f>
        <v/>
      </c>
      <c r="U104" s="51" t="str">
        <f aca="false">IF(OR($A104="",U$8=""),"",IF($F104="Migré","ROKS",IF($F104="À décommissionner",IF(U$8&lt;$AS104,"IKS","Décom."),IF(OR($AQ104="",$AS104=""),"",IF(U$8&lt;$AQ104,"IKS",IF(U$8&lt;$AS104,IF(U$8=$AR104,"Bascule","Double run"),"ROKS"))))))</f>
        <v/>
      </c>
      <c r="V104" s="51" t="str">
        <f aca="false">IF(OR($A104="",V$8=""),"",IF($F104="Migré","ROKS",IF($F104="À décommissionner",IF(V$8&lt;$AS104,"IKS","Décom."),IF(OR($AQ104="",$AS104=""),"",IF(V$8&lt;$AQ104,"IKS",IF(V$8&lt;$AS104,IF(V$8=$AR104,"Bascule","Double run"),"ROKS"))))))</f>
        <v/>
      </c>
      <c r="W104" s="51" t="str">
        <f aca="false">IF(OR($A104="",W$8=""),"",IF($F104="Migré","ROKS",IF($F104="À décommissionner",IF(W$8&lt;$AS104,"IKS","Décom."),IF(OR($AQ104="",$AS104=""),"",IF(W$8&lt;$AQ104,"IKS",IF(W$8&lt;$AS104,IF(W$8=$AR104,"Bascule","Double run"),"ROKS"))))))</f>
        <v/>
      </c>
      <c r="X104" s="51" t="str">
        <f aca="false">IF(OR($A104="",X$8=""),"",IF($F104="Migré","ROKS",IF($F104="À décommissionner",IF(X$8&lt;$AS104,"IKS","Décom."),IF(OR($AQ104="",$AS104=""),"",IF(X$8&lt;$AQ104,"IKS",IF(X$8&lt;$AS104,IF(X$8=$AR104,"Bascule","Double run"),"ROKS"))))))</f>
        <v/>
      </c>
      <c r="Y104" s="51" t="str">
        <f aca="false">IF(OR($A104="",Y$8=""),"",IF($F104="Migré","ROKS",IF($F104="À décommissionner",IF(Y$8&lt;$AS104,"IKS","Décom."),IF(OR($AQ104="",$AS104=""),"",IF(Y$8&lt;$AQ104,"IKS",IF(Y$8&lt;$AS104,IF(Y$8=$AR104,"Bascule","Double run"),"ROKS"))))))</f>
        <v/>
      </c>
      <c r="Z104" s="51" t="str">
        <f aca="false">IF(OR($A104="",Z$8=""),"",IF($F104="Migré","ROKS",IF($F104="À décommissionner",IF(Z$8&lt;$AS104,"IKS","Décom."),IF(OR($AQ104="",$AS104=""),"",IF(Z$8&lt;$AQ104,"IKS",IF(Z$8&lt;$AS104,IF(Z$8=$AR104,"Bascule","Double run"),"ROKS"))))))</f>
        <v/>
      </c>
      <c r="AA104" s="51" t="str">
        <f aca="false">IF(OR($A104="",AA$8=""),"",IF($F104="Migré","ROKS",IF($F104="À décommissionner",IF(AA$8&lt;$AS104,"IKS","Décom."),IF(OR($AQ104="",$AS104=""),"",IF(AA$8&lt;$AQ104,"IKS",IF(AA$8&lt;$AS104,IF(AA$8=$AR104,"Bascule","Double run"),"ROKS"))))))</f>
        <v/>
      </c>
      <c r="AB104" s="51" t="str">
        <f aca="false">IF(OR($A104="",AB$8=""),"",IF($F104="Migré","ROKS",IF($F104="À décommissionner",IF(AB$8&lt;$AS104,"IKS","Décom."),IF(OR($AQ104="",$AS104=""),"",IF(AB$8&lt;$AQ104,"IKS",IF(AB$8&lt;$AS104,IF(AB$8=$AR104,"Bascule","Double run"),"ROKS"))))))</f>
        <v/>
      </c>
      <c r="AC104" s="51" t="str">
        <f aca="false">IF(OR($A104="",AC$8=""),"",IF($F104="Migré","ROKS",IF($F104="À décommissionner",IF(AC$8&lt;$AS104,"IKS","Décom."),IF(OR($AQ104="",$AS104=""),"",IF(AC$8&lt;$AQ104,"IKS",IF(AC$8&lt;$AS104,IF(AC$8=$AR104,"Bascule","Double run"),"ROKS"))))))</f>
        <v/>
      </c>
      <c r="AD104" s="51" t="str">
        <f aca="false">IF(OR($A104="",AD$8=""),"",IF($F104="Migré","ROKS",IF($F104="À décommissionner",IF(AD$8&lt;$AS104,"IKS","Décom."),IF(OR($AQ104="",$AS104=""),"",IF(AD$8&lt;$AQ104,"IKS",IF(AD$8&lt;$AS104,IF(AD$8=$AR104,"Bascule","Double run"),"ROKS"))))))</f>
        <v/>
      </c>
      <c r="AE104" s="51" t="str">
        <f aca="false">IF(OR($A104="",AE$8=""),"",IF($F104="Migré","ROKS",IF($F104="À décommissionner",IF(AE$8&lt;$AS104,"IKS","Décom."),IF(OR($AQ104="",$AS104=""),"",IF(AE$8&lt;$AQ104,"IKS",IF(AE$8&lt;$AS104,IF(AE$8=$AR104,"Bascule","Double run"),"ROKS"))))))</f>
        <v/>
      </c>
      <c r="AF104" s="51" t="str">
        <f aca="false">IF(OR($A104="",AF$8=""),"",IF($F104="Migré","ROKS",IF($F104="À décommissionner",IF(AF$8&lt;$AS104,"IKS","Décom."),IF(OR($AQ104="",$AS104=""),"",IF(AF$8&lt;$AQ104,"IKS",IF(AF$8&lt;$AS104,IF(AF$8=$AR104,"Bascule","Double run"),"ROKS"))))))</f>
        <v/>
      </c>
      <c r="AG104" s="51" t="str">
        <f aca="false">IF(OR($A104="",AG$8=""),"",IF($F104="Migré","ROKS",IF($F104="À décommissionner",IF(AG$8&lt;$AS104,"IKS","Décom."),IF(OR($AQ104="",$AS104=""),"",IF(AG$8&lt;$AQ104,"IKS",IF(AG$8&lt;$AS104,IF(AG$8=$AR104,"Bascule","Double run"),"ROKS"))))))</f>
        <v/>
      </c>
      <c r="AH104" s="51" t="str">
        <f aca="false">IF(OR($A104="",AH$8=""),"",IF($F104="Migré","ROKS",IF($F104="À décommissionner",IF(AH$8&lt;$AS104,"IKS","Décom."),IF(OR($AQ104="",$AS104=""),"",IF(AH$8&lt;$AQ104,"IKS",IF(AH$8&lt;$AS104,IF(AH$8=$AR104,"Bascule","Double run"),"ROKS"))))))</f>
        <v/>
      </c>
      <c r="AI104" s="51" t="str">
        <f aca="false">IF(OR($A104="",AI$8=""),"",IF($F104="Migré","ROKS",IF($F104="À décommissionner",IF(AI$8&lt;$AS104,"IKS","Décom."),IF(OR($AQ104="",$AS104=""),"",IF(AI$8&lt;$AQ104,"IKS",IF(AI$8&lt;$AS104,IF(AI$8=$AR104,"Bascule","Double run"),"ROKS"))))))</f>
        <v/>
      </c>
      <c r="AJ104" s="51" t="str">
        <f aca="false">IF(OR($A104="",AJ$8=""),"",IF($F104="Migré","ROKS",IF($F104="À décommissionner",IF(AJ$8&lt;$AS104,"IKS","Décom."),IF(OR($AQ104="",$AS104=""),"",IF(AJ$8&lt;$AQ104,"IKS",IF(AJ$8&lt;$AS104,IF(AJ$8=$AR104,"Bascule","Double run"),"ROKS"))))))</f>
        <v/>
      </c>
      <c r="AK104" s="51" t="str">
        <f aca="false">IF(OR($A104="",AK$8=""),"",IF($F104="Migré","ROKS",IF($F104="À décommissionner",IF(AK$8&lt;$AS104,"IKS","Décom."),IF(OR($AQ104="",$AS104=""),"",IF(AK$8&lt;$AQ104,"IKS",IF(AK$8&lt;$AS104,IF(AK$8=$AR104,"Bascule","Double run"),"ROKS"))))))</f>
        <v/>
      </c>
      <c r="AL104" s="51" t="str">
        <f aca="false">IF(OR($A104="",AL$8=""),"",IF($F104="Migré","ROKS",IF($F104="À décommissionner",IF(AL$8&lt;$AS104,"IKS","Décom."),IF(OR($AQ104="",$AS104=""),"",IF(AL$8&lt;$AQ104,"IKS",IF(AL$8&lt;$AS104,IF(AL$8=$AR104,"Bascule","Double run"),"ROKS"))))))</f>
        <v/>
      </c>
      <c r="AM104" s="51" t="str">
        <f aca="false">IF(OR($A104="",AM$8=""),"",IF($F104="Migré","ROKS",IF($F104="À décommissionner",IF(AM$8&lt;$AS104,"IKS","Décom."),IF(OR($AQ104="",$AS104=""),"",IF(AM$8&lt;$AQ104,"IKS",IF(AM$8&lt;$AS104,IF(AM$8=$AR104,"Bascule","Double run"),"ROKS"))))))</f>
        <v/>
      </c>
      <c r="AN104" s="51" t="str">
        <f aca="false">IF(OR($A104="",AN$8=""),"",IF($F104="Migré","ROKS",IF($F104="À décommissionner",IF(AN$8&lt;$AS104,"IKS","Décom."),IF(OR($AQ104="",$AS104=""),"",IF(AN$8&lt;$AQ104,"IKS",IF(AN$8&lt;$AS104,IF(AN$8=$AR104,"Bascule","Double run"),"ROKS"))))))</f>
        <v/>
      </c>
      <c r="AO104" s="51" t="str">
        <f aca="false">IF(OR($A104="",AO$8=""),"",IF($F104="Migré","ROKS",IF($F104="À décommissionner",IF(AO$8&lt;$AS104,"IKS","Décom."),IF(OR($AQ104="",$AS104=""),"",IF(AO$8&lt;$AQ104,"IKS",IF(AO$8&lt;$AS104,IF(AO$8=$AR104,"Bascule","Double run"),"ROKS"))))))</f>
        <v/>
      </c>
      <c r="AP104" s="51" t="str">
        <f aca="false">IF(OR($A104="",AP$8=""),"",IF($F104="Migré","ROKS",IF($F104="À décommissionner",IF(AP$8&lt;$AS104,"IKS","Décom."),IF(OR($AQ104="",$AS104=""),"",IF(AP$8&lt;$AQ104,"IKS",IF(AP$8&lt;$AS104,IF(AP$8=$AR104,"Bascule","Double run"),"ROKS"))))))</f>
        <v/>
      </c>
      <c r="AQ104" s="0" t="str">
        <f aca="false">IF($A104="","",INDEX(TblApplications[Mois prov (calc)],$A104))</f>
        <v/>
      </c>
      <c r="AR104" s="0" t="str">
        <f aca="false">IF($A104="","",IFERROR(DATE(YEAR(INDEX(TblApplications[Mois bascule],$A104)),MONTH(INDEX(TblApplications[Mois bascule],$A104)),1),""))</f>
        <v/>
      </c>
      <c r="AS104" s="0" t="str">
        <f aca="false">IF($A104="","",INDEX(TblApplications[Mois lib (calc)],$A104))</f>
        <v/>
      </c>
    </row>
    <row r="105" customFormat="false" ht="15" hidden="false" customHeight="false" outlineLevel="0" collapsed="false">
      <c r="A105" s="49" t="str">
        <f aca="false">IFERROR(MATCH(97,TblApplications[Rang frise],0),"")</f>
        <v/>
      </c>
      <c r="B105" s="50" t="str">
        <f aca="false">IF($A105="","",INDEX(TblApplications[ID],$A105))</f>
        <v/>
      </c>
      <c r="C105" s="50" t="str">
        <f aca="false">IF($A105="","",INDEX(TblApplications[Application],$A105))</f>
        <v/>
      </c>
      <c r="D105" s="50" t="str">
        <f aca="false">IF($A105="","",INDEX(TblApplications[Environnement],$A105))</f>
        <v/>
      </c>
      <c r="E105" s="50" t="str">
        <f aca="false">IF($A105="","",INDEX(TblApplications[Couloir],$A105))</f>
        <v/>
      </c>
      <c r="F105" s="50" t="str">
        <f aca="false">IF($A105="","",INDEX(TblApplications[Action],$A105))</f>
        <v/>
      </c>
      <c r="G105" s="51" t="str">
        <f aca="false">IF(OR($A105="",G$8=""),"",IF($F105="Migré","ROKS",IF($F105="À décommissionner",IF(G$8&lt;$AS105,"IKS","Décom."),IF(OR($AQ105="",$AS105=""),"",IF(G$8&lt;$AQ105,"IKS",IF(G$8&lt;$AS105,IF(G$8=$AR105,"Bascule","Double run"),"ROKS"))))))</f>
        <v/>
      </c>
      <c r="H105" s="51" t="str">
        <f aca="false">IF(OR($A105="",H$8=""),"",IF($F105="Migré","ROKS",IF($F105="À décommissionner",IF(H$8&lt;$AS105,"IKS","Décom."),IF(OR($AQ105="",$AS105=""),"",IF(H$8&lt;$AQ105,"IKS",IF(H$8&lt;$AS105,IF(H$8=$AR105,"Bascule","Double run"),"ROKS"))))))</f>
        <v/>
      </c>
      <c r="I105" s="51" t="str">
        <f aca="false">IF(OR($A105="",I$8=""),"",IF($F105="Migré","ROKS",IF($F105="À décommissionner",IF(I$8&lt;$AS105,"IKS","Décom."),IF(OR($AQ105="",$AS105=""),"",IF(I$8&lt;$AQ105,"IKS",IF(I$8&lt;$AS105,IF(I$8=$AR105,"Bascule","Double run"),"ROKS"))))))</f>
        <v/>
      </c>
      <c r="J105" s="51" t="str">
        <f aca="false">IF(OR($A105="",J$8=""),"",IF($F105="Migré","ROKS",IF($F105="À décommissionner",IF(J$8&lt;$AS105,"IKS","Décom."),IF(OR($AQ105="",$AS105=""),"",IF(J$8&lt;$AQ105,"IKS",IF(J$8&lt;$AS105,IF(J$8=$AR105,"Bascule","Double run"),"ROKS"))))))</f>
        <v/>
      </c>
      <c r="K105" s="51" t="str">
        <f aca="false">IF(OR($A105="",K$8=""),"",IF($F105="Migré","ROKS",IF($F105="À décommissionner",IF(K$8&lt;$AS105,"IKS","Décom."),IF(OR($AQ105="",$AS105=""),"",IF(K$8&lt;$AQ105,"IKS",IF(K$8&lt;$AS105,IF(K$8=$AR105,"Bascule","Double run"),"ROKS"))))))</f>
        <v/>
      </c>
      <c r="L105" s="51" t="str">
        <f aca="false">IF(OR($A105="",L$8=""),"",IF($F105="Migré","ROKS",IF($F105="À décommissionner",IF(L$8&lt;$AS105,"IKS","Décom."),IF(OR($AQ105="",$AS105=""),"",IF(L$8&lt;$AQ105,"IKS",IF(L$8&lt;$AS105,IF(L$8=$AR105,"Bascule","Double run"),"ROKS"))))))</f>
        <v/>
      </c>
      <c r="M105" s="51" t="str">
        <f aca="false">IF(OR($A105="",M$8=""),"",IF($F105="Migré","ROKS",IF($F105="À décommissionner",IF(M$8&lt;$AS105,"IKS","Décom."),IF(OR($AQ105="",$AS105=""),"",IF(M$8&lt;$AQ105,"IKS",IF(M$8&lt;$AS105,IF(M$8=$AR105,"Bascule","Double run"),"ROKS"))))))</f>
        <v/>
      </c>
      <c r="N105" s="51" t="str">
        <f aca="false">IF(OR($A105="",N$8=""),"",IF($F105="Migré","ROKS",IF($F105="À décommissionner",IF(N$8&lt;$AS105,"IKS","Décom."),IF(OR($AQ105="",$AS105=""),"",IF(N$8&lt;$AQ105,"IKS",IF(N$8&lt;$AS105,IF(N$8=$AR105,"Bascule","Double run"),"ROKS"))))))</f>
        <v/>
      </c>
      <c r="O105" s="51" t="str">
        <f aca="false">IF(OR($A105="",O$8=""),"",IF($F105="Migré","ROKS",IF($F105="À décommissionner",IF(O$8&lt;$AS105,"IKS","Décom."),IF(OR($AQ105="",$AS105=""),"",IF(O$8&lt;$AQ105,"IKS",IF(O$8&lt;$AS105,IF(O$8=$AR105,"Bascule","Double run"),"ROKS"))))))</f>
        <v/>
      </c>
      <c r="P105" s="51" t="str">
        <f aca="false">IF(OR($A105="",P$8=""),"",IF($F105="Migré","ROKS",IF($F105="À décommissionner",IF(P$8&lt;$AS105,"IKS","Décom."),IF(OR($AQ105="",$AS105=""),"",IF(P$8&lt;$AQ105,"IKS",IF(P$8&lt;$AS105,IF(P$8=$AR105,"Bascule","Double run"),"ROKS"))))))</f>
        <v/>
      </c>
      <c r="Q105" s="51" t="str">
        <f aca="false">IF(OR($A105="",Q$8=""),"",IF($F105="Migré","ROKS",IF($F105="À décommissionner",IF(Q$8&lt;$AS105,"IKS","Décom."),IF(OR($AQ105="",$AS105=""),"",IF(Q$8&lt;$AQ105,"IKS",IF(Q$8&lt;$AS105,IF(Q$8=$AR105,"Bascule","Double run"),"ROKS"))))))</f>
        <v/>
      </c>
      <c r="R105" s="51" t="str">
        <f aca="false">IF(OR($A105="",R$8=""),"",IF($F105="Migré","ROKS",IF($F105="À décommissionner",IF(R$8&lt;$AS105,"IKS","Décom."),IF(OR($AQ105="",$AS105=""),"",IF(R$8&lt;$AQ105,"IKS",IF(R$8&lt;$AS105,IF(R$8=$AR105,"Bascule","Double run"),"ROKS"))))))</f>
        <v/>
      </c>
      <c r="S105" s="51" t="str">
        <f aca="false">IF(OR($A105="",S$8=""),"",IF($F105="Migré","ROKS",IF($F105="À décommissionner",IF(S$8&lt;$AS105,"IKS","Décom."),IF(OR($AQ105="",$AS105=""),"",IF(S$8&lt;$AQ105,"IKS",IF(S$8&lt;$AS105,IF(S$8=$AR105,"Bascule","Double run"),"ROKS"))))))</f>
        <v/>
      </c>
      <c r="T105" s="51" t="str">
        <f aca="false">IF(OR($A105="",T$8=""),"",IF($F105="Migré","ROKS",IF($F105="À décommissionner",IF(T$8&lt;$AS105,"IKS","Décom."),IF(OR($AQ105="",$AS105=""),"",IF(T$8&lt;$AQ105,"IKS",IF(T$8&lt;$AS105,IF(T$8=$AR105,"Bascule","Double run"),"ROKS"))))))</f>
        <v/>
      </c>
      <c r="U105" s="51" t="str">
        <f aca="false">IF(OR($A105="",U$8=""),"",IF($F105="Migré","ROKS",IF($F105="À décommissionner",IF(U$8&lt;$AS105,"IKS","Décom."),IF(OR($AQ105="",$AS105=""),"",IF(U$8&lt;$AQ105,"IKS",IF(U$8&lt;$AS105,IF(U$8=$AR105,"Bascule","Double run"),"ROKS"))))))</f>
        <v/>
      </c>
      <c r="V105" s="51" t="str">
        <f aca="false">IF(OR($A105="",V$8=""),"",IF($F105="Migré","ROKS",IF($F105="À décommissionner",IF(V$8&lt;$AS105,"IKS","Décom."),IF(OR($AQ105="",$AS105=""),"",IF(V$8&lt;$AQ105,"IKS",IF(V$8&lt;$AS105,IF(V$8=$AR105,"Bascule","Double run"),"ROKS"))))))</f>
        <v/>
      </c>
      <c r="W105" s="51" t="str">
        <f aca="false">IF(OR($A105="",W$8=""),"",IF($F105="Migré","ROKS",IF($F105="À décommissionner",IF(W$8&lt;$AS105,"IKS","Décom."),IF(OR($AQ105="",$AS105=""),"",IF(W$8&lt;$AQ105,"IKS",IF(W$8&lt;$AS105,IF(W$8=$AR105,"Bascule","Double run"),"ROKS"))))))</f>
        <v/>
      </c>
      <c r="X105" s="51" t="str">
        <f aca="false">IF(OR($A105="",X$8=""),"",IF($F105="Migré","ROKS",IF($F105="À décommissionner",IF(X$8&lt;$AS105,"IKS","Décom."),IF(OR($AQ105="",$AS105=""),"",IF(X$8&lt;$AQ105,"IKS",IF(X$8&lt;$AS105,IF(X$8=$AR105,"Bascule","Double run"),"ROKS"))))))</f>
        <v/>
      </c>
      <c r="Y105" s="51" t="str">
        <f aca="false">IF(OR($A105="",Y$8=""),"",IF($F105="Migré","ROKS",IF($F105="À décommissionner",IF(Y$8&lt;$AS105,"IKS","Décom."),IF(OR($AQ105="",$AS105=""),"",IF(Y$8&lt;$AQ105,"IKS",IF(Y$8&lt;$AS105,IF(Y$8=$AR105,"Bascule","Double run"),"ROKS"))))))</f>
        <v/>
      </c>
      <c r="Z105" s="51" t="str">
        <f aca="false">IF(OR($A105="",Z$8=""),"",IF($F105="Migré","ROKS",IF($F105="À décommissionner",IF(Z$8&lt;$AS105,"IKS","Décom."),IF(OR($AQ105="",$AS105=""),"",IF(Z$8&lt;$AQ105,"IKS",IF(Z$8&lt;$AS105,IF(Z$8=$AR105,"Bascule","Double run"),"ROKS"))))))</f>
        <v/>
      </c>
      <c r="AA105" s="51" t="str">
        <f aca="false">IF(OR($A105="",AA$8=""),"",IF($F105="Migré","ROKS",IF($F105="À décommissionner",IF(AA$8&lt;$AS105,"IKS","Décom."),IF(OR($AQ105="",$AS105=""),"",IF(AA$8&lt;$AQ105,"IKS",IF(AA$8&lt;$AS105,IF(AA$8=$AR105,"Bascule","Double run"),"ROKS"))))))</f>
        <v/>
      </c>
      <c r="AB105" s="51" t="str">
        <f aca="false">IF(OR($A105="",AB$8=""),"",IF($F105="Migré","ROKS",IF($F105="À décommissionner",IF(AB$8&lt;$AS105,"IKS","Décom."),IF(OR($AQ105="",$AS105=""),"",IF(AB$8&lt;$AQ105,"IKS",IF(AB$8&lt;$AS105,IF(AB$8=$AR105,"Bascule","Double run"),"ROKS"))))))</f>
        <v/>
      </c>
      <c r="AC105" s="51" t="str">
        <f aca="false">IF(OR($A105="",AC$8=""),"",IF($F105="Migré","ROKS",IF($F105="À décommissionner",IF(AC$8&lt;$AS105,"IKS","Décom."),IF(OR($AQ105="",$AS105=""),"",IF(AC$8&lt;$AQ105,"IKS",IF(AC$8&lt;$AS105,IF(AC$8=$AR105,"Bascule","Double run"),"ROKS"))))))</f>
        <v/>
      </c>
      <c r="AD105" s="51" t="str">
        <f aca="false">IF(OR($A105="",AD$8=""),"",IF($F105="Migré","ROKS",IF($F105="À décommissionner",IF(AD$8&lt;$AS105,"IKS","Décom."),IF(OR($AQ105="",$AS105=""),"",IF(AD$8&lt;$AQ105,"IKS",IF(AD$8&lt;$AS105,IF(AD$8=$AR105,"Bascule","Double run"),"ROKS"))))))</f>
        <v/>
      </c>
      <c r="AE105" s="51" t="str">
        <f aca="false">IF(OR($A105="",AE$8=""),"",IF($F105="Migré","ROKS",IF($F105="À décommissionner",IF(AE$8&lt;$AS105,"IKS","Décom."),IF(OR($AQ105="",$AS105=""),"",IF(AE$8&lt;$AQ105,"IKS",IF(AE$8&lt;$AS105,IF(AE$8=$AR105,"Bascule","Double run"),"ROKS"))))))</f>
        <v/>
      </c>
      <c r="AF105" s="51" t="str">
        <f aca="false">IF(OR($A105="",AF$8=""),"",IF($F105="Migré","ROKS",IF($F105="À décommissionner",IF(AF$8&lt;$AS105,"IKS","Décom."),IF(OR($AQ105="",$AS105=""),"",IF(AF$8&lt;$AQ105,"IKS",IF(AF$8&lt;$AS105,IF(AF$8=$AR105,"Bascule","Double run"),"ROKS"))))))</f>
        <v/>
      </c>
      <c r="AG105" s="51" t="str">
        <f aca="false">IF(OR($A105="",AG$8=""),"",IF($F105="Migré","ROKS",IF($F105="À décommissionner",IF(AG$8&lt;$AS105,"IKS","Décom."),IF(OR($AQ105="",$AS105=""),"",IF(AG$8&lt;$AQ105,"IKS",IF(AG$8&lt;$AS105,IF(AG$8=$AR105,"Bascule","Double run"),"ROKS"))))))</f>
        <v/>
      </c>
      <c r="AH105" s="51" t="str">
        <f aca="false">IF(OR($A105="",AH$8=""),"",IF($F105="Migré","ROKS",IF($F105="À décommissionner",IF(AH$8&lt;$AS105,"IKS","Décom."),IF(OR($AQ105="",$AS105=""),"",IF(AH$8&lt;$AQ105,"IKS",IF(AH$8&lt;$AS105,IF(AH$8=$AR105,"Bascule","Double run"),"ROKS"))))))</f>
        <v/>
      </c>
      <c r="AI105" s="51" t="str">
        <f aca="false">IF(OR($A105="",AI$8=""),"",IF($F105="Migré","ROKS",IF($F105="À décommissionner",IF(AI$8&lt;$AS105,"IKS","Décom."),IF(OR($AQ105="",$AS105=""),"",IF(AI$8&lt;$AQ105,"IKS",IF(AI$8&lt;$AS105,IF(AI$8=$AR105,"Bascule","Double run"),"ROKS"))))))</f>
        <v/>
      </c>
      <c r="AJ105" s="51" t="str">
        <f aca="false">IF(OR($A105="",AJ$8=""),"",IF($F105="Migré","ROKS",IF($F105="À décommissionner",IF(AJ$8&lt;$AS105,"IKS","Décom."),IF(OR($AQ105="",$AS105=""),"",IF(AJ$8&lt;$AQ105,"IKS",IF(AJ$8&lt;$AS105,IF(AJ$8=$AR105,"Bascule","Double run"),"ROKS"))))))</f>
        <v/>
      </c>
      <c r="AK105" s="51" t="str">
        <f aca="false">IF(OR($A105="",AK$8=""),"",IF($F105="Migré","ROKS",IF($F105="À décommissionner",IF(AK$8&lt;$AS105,"IKS","Décom."),IF(OR($AQ105="",$AS105=""),"",IF(AK$8&lt;$AQ105,"IKS",IF(AK$8&lt;$AS105,IF(AK$8=$AR105,"Bascule","Double run"),"ROKS"))))))</f>
        <v/>
      </c>
      <c r="AL105" s="51" t="str">
        <f aca="false">IF(OR($A105="",AL$8=""),"",IF($F105="Migré","ROKS",IF($F105="À décommissionner",IF(AL$8&lt;$AS105,"IKS","Décom."),IF(OR($AQ105="",$AS105=""),"",IF(AL$8&lt;$AQ105,"IKS",IF(AL$8&lt;$AS105,IF(AL$8=$AR105,"Bascule","Double run"),"ROKS"))))))</f>
        <v/>
      </c>
      <c r="AM105" s="51" t="str">
        <f aca="false">IF(OR($A105="",AM$8=""),"",IF($F105="Migré","ROKS",IF($F105="À décommissionner",IF(AM$8&lt;$AS105,"IKS","Décom."),IF(OR($AQ105="",$AS105=""),"",IF(AM$8&lt;$AQ105,"IKS",IF(AM$8&lt;$AS105,IF(AM$8=$AR105,"Bascule","Double run"),"ROKS"))))))</f>
        <v/>
      </c>
      <c r="AN105" s="51" t="str">
        <f aca="false">IF(OR($A105="",AN$8=""),"",IF($F105="Migré","ROKS",IF($F105="À décommissionner",IF(AN$8&lt;$AS105,"IKS","Décom."),IF(OR($AQ105="",$AS105=""),"",IF(AN$8&lt;$AQ105,"IKS",IF(AN$8&lt;$AS105,IF(AN$8=$AR105,"Bascule","Double run"),"ROKS"))))))</f>
        <v/>
      </c>
      <c r="AO105" s="51" t="str">
        <f aca="false">IF(OR($A105="",AO$8=""),"",IF($F105="Migré","ROKS",IF($F105="À décommissionner",IF(AO$8&lt;$AS105,"IKS","Décom."),IF(OR($AQ105="",$AS105=""),"",IF(AO$8&lt;$AQ105,"IKS",IF(AO$8&lt;$AS105,IF(AO$8=$AR105,"Bascule","Double run"),"ROKS"))))))</f>
        <v/>
      </c>
      <c r="AP105" s="51" t="str">
        <f aca="false">IF(OR($A105="",AP$8=""),"",IF($F105="Migré","ROKS",IF($F105="À décommissionner",IF(AP$8&lt;$AS105,"IKS","Décom."),IF(OR($AQ105="",$AS105=""),"",IF(AP$8&lt;$AQ105,"IKS",IF(AP$8&lt;$AS105,IF(AP$8=$AR105,"Bascule","Double run"),"ROKS"))))))</f>
        <v/>
      </c>
      <c r="AQ105" s="0" t="str">
        <f aca="false">IF($A105="","",INDEX(TblApplications[Mois prov (calc)],$A105))</f>
        <v/>
      </c>
      <c r="AR105" s="0" t="str">
        <f aca="false">IF($A105="","",IFERROR(DATE(YEAR(INDEX(TblApplications[Mois bascule],$A105)),MONTH(INDEX(TblApplications[Mois bascule],$A105)),1),""))</f>
        <v/>
      </c>
      <c r="AS105" s="0" t="str">
        <f aca="false">IF($A105="","",INDEX(TblApplications[Mois lib (calc)],$A105))</f>
        <v/>
      </c>
    </row>
    <row r="106" customFormat="false" ht="15" hidden="false" customHeight="false" outlineLevel="0" collapsed="false">
      <c r="A106" s="49" t="str">
        <f aca="false">IFERROR(MATCH(98,TblApplications[Rang frise],0),"")</f>
        <v/>
      </c>
      <c r="B106" s="50" t="str">
        <f aca="false">IF($A106="","",INDEX(TblApplications[ID],$A106))</f>
        <v/>
      </c>
      <c r="C106" s="50" t="str">
        <f aca="false">IF($A106="","",INDEX(TblApplications[Application],$A106))</f>
        <v/>
      </c>
      <c r="D106" s="50" t="str">
        <f aca="false">IF($A106="","",INDEX(TblApplications[Environnement],$A106))</f>
        <v/>
      </c>
      <c r="E106" s="50" t="str">
        <f aca="false">IF($A106="","",INDEX(TblApplications[Couloir],$A106))</f>
        <v/>
      </c>
      <c r="F106" s="50" t="str">
        <f aca="false">IF($A106="","",INDEX(TblApplications[Action],$A106))</f>
        <v/>
      </c>
      <c r="G106" s="51" t="str">
        <f aca="false">IF(OR($A106="",G$8=""),"",IF($F106="Migré","ROKS",IF($F106="À décommissionner",IF(G$8&lt;$AS106,"IKS","Décom."),IF(OR($AQ106="",$AS106=""),"",IF(G$8&lt;$AQ106,"IKS",IF(G$8&lt;$AS106,IF(G$8=$AR106,"Bascule","Double run"),"ROKS"))))))</f>
        <v/>
      </c>
      <c r="H106" s="51" t="str">
        <f aca="false">IF(OR($A106="",H$8=""),"",IF($F106="Migré","ROKS",IF($F106="À décommissionner",IF(H$8&lt;$AS106,"IKS","Décom."),IF(OR($AQ106="",$AS106=""),"",IF(H$8&lt;$AQ106,"IKS",IF(H$8&lt;$AS106,IF(H$8=$AR106,"Bascule","Double run"),"ROKS"))))))</f>
        <v/>
      </c>
      <c r="I106" s="51" t="str">
        <f aca="false">IF(OR($A106="",I$8=""),"",IF($F106="Migré","ROKS",IF($F106="À décommissionner",IF(I$8&lt;$AS106,"IKS","Décom."),IF(OR($AQ106="",$AS106=""),"",IF(I$8&lt;$AQ106,"IKS",IF(I$8&lt;$AS106,IF(I$8=$AR106,"Bascule","Double run"),"ROKS"))))))</f>
        <v/>
      </c>
      <c r="J106" s="51" t="str">
        <f aca="false">IF(OR($A106="",J$8=""),"",IF($F106="Migré","ROKS",IF($F106="À décommissionner",IF(J$8&lt;$AS106,"IKS","Décom."),IF(OR($AQ106="",$AS106=""),"",IF(J$8&lt;$AQ106,"IKS",IF(J$8&lt;$AS106,IF(J$8=$AR106,"Bascule","Double run"),"ROKS"))))))</f>
        <v/>
      </c>
      <c r="K106" s="51" t="str">
        <f aca="false">IF(OR($A106="",K$8=""),"",IF($F106="Migré","ROKS",IF($F106="À décommissionner",IF(K$8&lt;$AS106,"IKS","Décom."),IF(OR($AQ106="",$AS106=""),"",IF(K$8&lt;$AQ106,"IKS",IF(K$8&lt;$AS106,IF(K$8=$AR106,"Bascule","Double run"),"ROKS"))))))</f>
        <v/>
      </c>
      <c r="L106" s="51" t="str">
        <f aca="false">IF(OR($A106="",L$8=""),"",IF($F106="Migré","ROKS",IF($F106="À décommissionner",IF(L$8&lt;$AS106,"IKS","Décom."),IF(OR($AQ106="",$AS106=""),"",IF(L$8&lt;$AQ106,"IKS",IF(L$8&lt;$AS106,IF(L$8=$AR106,"Bascule","Double run"),"ROKS"))))))</f>
        <v/>
      </c>
      <c r="M106" s="51" t="str">
        <f aca="false">IF(OR($A106="",M$8=""),"",IF($F106="Migré","ROKS",IF($F106="À décommissionner",IF(M$8&lt;$AS106,"IKS","Décom."),IF(OR($AQ106="",$AS106=""),"",IF(M$8&lt;$AQ106,"IKS",IF(M$8&lt;$AS106,IF(M$8=$AR106,"Bascule","Double run"),"ROKS"))))))</f>
        <v/>
      </c>
      <c r="N106" s="51" t="str">
        <f aca="false">IF(OR($A106="",N$8=""),"",IF($F106="Migré","ROKS",IF($F106="À décommissionner",IF(N$8&lt;$AS106,"IKS","Décom."),IF(OR($AQ106="",$AS106=""),"",IF(N$8&lt;$AQ106,"IKS",IF(N$8&lt;$AS106,IF(N$8=$AR106,"Bascule","Double run"),"ROKS"))))))</f>
        <v/>
      </c>
      <c r="O106" s="51" t="str">
        <f aca="false">IF(OR($A106="",O$8=""),"",IF($F106="Migré","ROKS",IF($F106="À décommissionner",IF(O$8&lt;$AS106,"IKS","Décom."),IF(OR($AQ106="",$AS106=""),"",IF(O$8&lt;$AQ106,"IKS",IF(O$8&lt;$AS106,IF(O$8=$AR106,"Bascule","Double run"),"ROKS"))))))</f>
        <v/>
      </c>
      <c r="P106" s="51" t="str">
        <f aca="false">IF(OR($A106="",P$8=""),"",IF($F106="Migré","ROKS",IF($F106="À décommissionner",IF(P$8&lt;$AS106,"IKS","Décom."),IF(OR($AQ106="",$AS106=""),"",IF(P$8&lt;$AQ106,"IKS",IF(P$8&lt;$AS106,IF(P$8=$AR106,"Bascule","Double run"),"ROKS"))))))</f>
        <v/>
      </c>
      <c r="Q106" s="51" t="str">
        <f aca="false">IF(OR($A106="",Q$8=""),"",IF($F106="Migré","ROKS",IF($F106="À décommissionner",IF(Q$8&lt;$AS106,"IKS","Décom."),IF(OR($AQ106="",$AS106=""),"",IF(Q$8&lt;$AQ106,"IKS",IF(Q$8&lt;$AS106,IF(Q$8=$AR106,"Bascule","Double run"),"ROKS"))))))</f>
        <v/>
      </c>
      <c r="R106" s="51" t="str">
        <f aca="false">IF(OR($A106="",R$8=""),"",IF($F106="Migré","ROKS",IF($F106="À décommissionner",IF(R$8&lt;$AS106,"IKS","Décom."),IF(OR($AQ106="",$AS106=""),"",IF(R$8&lt;$AQ106,"IKS",IF(R$8&lt;$AS106,IF(R$8=$AR106,"Bascule","Double run"),"ROKS"))))))</f>
        <v/>
      </c>
      <c r="S106" s="51" t="str">
        <f aca="false">IF(OR($A106="",S$8=""),"",IF($F106="Migré","ROKS",IF($F106="À décommissionner",IF(S$8&lt;$AS106,"IKS","Décom."),IF(OR($AQ106="",$AS106=""),"",IF(S$8&lt;$AQ106,"IKS",IF(S$8&lt;$AS106,IF(S$8=$AR106,"Bascule","Double run"),"ROKS"))))))</f>
        <v/>
      </c>
      <c r="T106" s="51" t="str">
        <f aca="false">IF(OR($A106="",T$8=""),"",IF($F106="Migré","ROKS",IF($F106="À décommissionner",IF(T$8&lt;$AS106,"IKS","Décom."),IF(OR($AQ106="",$AS106=""),"",IF(T$8&lt;$AQ106,"IKS",IF(T$8&lt;$AS106,IF(T$8=$AR106,"Bascule","Double run"),"ROKS"))))))</f>
        <v/>
      </c>
      <c r="U106" s="51" t="str">
        <f aca="false">IF(OR($A106="",U$8=""),"",IF($F106="Migré","ROKS",IF($F106="À décommissionner",IF(U$8&lt;$AS106,"IKS","Décom."),IF(OR($AQ106="",$AS106=""),"",IF(U$8&lt;$AQ106,"IKS",IF(U$8&lt;$AS106,IF(U$8=$AR106,"Bascule","Double run"),"ROKS"))))))</f>
        <v/>
      </c>
      <c r="V106" s="51" t="str">
        <f aca="false">IF(OR($A106="",V$8=""),"",IF($F106="Migré","ROKS",IF($F106="À décommissionner",IF(V$8&lt;$AS106,"IKS","Décom."),IF(OR($AQ106="",$AS106=""),"",IF(V$8&lt;$AQ106,"IKS",IF(V$8&lt;$AS106,IF(V$8=$AR106,"Bascule","Double run"),"ROKS"))))))</f>
        <v/>
      </c>
      <c r="W106" s="51" t="str">
        <f aca="false">IF(OR($A106="",W$8=""),"",IF($F106="Migré","ROKS",IF($F106="À décommissionner",IF(W$8&lt;$AS106,"IKS","Décom."),IF(OR($AQ106="",$AS106=""),"",IF(W$8&lt;$AQ106,"IKS",IF(W$8&lt;$AS106,IF(W$8=$AR106,"Bascule","Double run"),"ROKS"))))))</f>
        <v/>
      </c>
      <c r="X106" s="51" t="str">
        <f aca="false">IF(OR($A106="",X$8=""),"",IF($F106="Migré","ROKS",IF($F106="À décommissionner",IF(X$8&lt;$AS106,"IKS","Décom."),IF(OR($AQ106="",$AS106=""),"",IF(X$8&lt;$AQ106,"IKS",IF(X$8&lt;$AS106,IF(X$8=$AR106,"Bascule","Double run"),"ROKS"))))))</f>
        <v/>
      </c>
      <c r="Y106" s="51" t="str">
        <f aca="false">IF(OR($A106="",Y$8=""),"",IF($F106="Migré","ROKS",IF($F106="À décommissionner",IF(Y$8&lt;$AS106,"IKS","Décom."),IF(OR($AQ106="",$AS106=""),"",IF(Y$8&lt;$AQ106,"IKS",IF(Y$8&lt;$AS106,IF(Y$8=$AR106,"Bascule","Double run"),"ROKS"))))))</f>
        <v/>
      </c>
      <c r="Z106" s="51" t="str">
        <f aca="false">IF(OR($A106="",Z$8=""),"",IF($F106="Migré","ROKS",IF($F106="À décommissionner",IF(Z$8&lt;$AS106,"IKS","Décom."),IF(OR($AQ106="",$AS106=""),"",IF(Z$8&lt;$AQ106,"IKS",IF(Z$8&lt;$AS106,IF(Z$8=$AR106,"Bascule","Double run"),"ROKS"))))))</f>
        <v/>
      </c>
      <c r="AA106" s="51" t="str">
        <f aca="false">IF(OR($A106="",AA$8=""),"",IF($F106="Migré","ROKS",IF($F106="À décommissionner",IF(AA$8&lt;$AS106,"IKS","Décom."),IF(OR($AQ106="",$AS106=""),"",IF(AA$8&lt;$AQ106,"IKS",IF(AA$8&lt;$AS106,IF(AA$8=$AR106,"Bascule","Double run"),"ROKS"))))))</f>
        <v/>
      </c>
      <c r="AB106" s="51" t="str">
        <f aca="false">IF(OR($A106="",AB$8=""),"",IF($F106="Migré","ROKS",IF($F106="À décommissionner",IF(AB$8&lt;$AS106,"IKS","Décom."),IF(OR($AQ106="",$AS106=""),"",IF(AB$8&lt;$AQ106,"IKS",IF(AB$8&lt;$AS106,IF(AB$8=$AR106,"Bascule","Double run"),"ROKS"))))))</f>
        <v/>
      </c>
      <c r="AC106" s="51" t="str">
        <f aca="false">IF(OR($A106="",AC$8=""),"",IF($F106="Migré","ROKS",IF($F106="À décommissionner",IF(AC$8&lt;$AS106,"IKS","Décom."),IF(OR($AQ106="",$AS106=""),"",IF(AC$8&lt;$AQ106,"IKS",IF(AC$8&lt;$AS106,IF(AC$8=$AR106,"Bascule","Double run"),"ROKS"))))))</f>
        <v/>
      </c>
      <c r="AD106" s="51" t="str">
        <f aca="false">IF(OR($A106="",AD$8=""),"",IF($F106="Migré","ROKS",IF($F106="À décommissionner",IF(AD$8&lt;$AS106,"IKS","Décom."),IF(OR($AQ106="",$AS106=""),"",IF(AD$8&lt;$AQ106,"IKS",IF(AD$8&lt;$AS106,IF(AD$8=$AR106,"Bascule","Double run"),"ROKS"))))))</f>
        <v/>
      </c>
      <c r="AE106" s="51" t="str">
        <f aca="false">IF(OR($A106="",AE$8=""),"",IF($F106="Migré","ROKS",IF($F106="À décommissionner",IF(AE$8&lt;$AS106,"IKS","Décom."),IF(OR($AQ106="",$AS106=""),"",IF(AE$8&lt;$AQ106,"IKS",IF(AE$8&lt;$AS106,IF(AE$8=$AR106,"Bascule","Double run"),"ROKS"))))))</f>
        <v/>
      </c>
      <c r="AF106" s="51" t="str">
        <f aca="false">IF(OR($A106="",AF$8=""),"",IF($F106="Migré","ROKS",IF($F106="À décommissionner",IF(AF$8&lt;$AS106,"IKS","Décom."),IF(OR($AQ106="",$AS106=""),"",IF(AF$8&lt;$AQ106,"IKS",IF(AF$8&lt;$AS106,IF(AF$8=$AR106,"Bascule","Double run"),"ROKS"))))))</f>
        <v/>
      </c>
      <c r="AG106" s="51" t="str">
        <f aca="false">IF(OR($A106="",AG$8=""),"",IF($F106="Migré","ROKS",IF($F106="À décommissionner",IF(AG$8&lt;$AS106,"IKS","Décom."),IF(OR($AQ106="",$AS106=""),"",IF(AG$8&lt;$AQ106,"IKS",IF(AG$8&lt;$AS106,IF(AG$8=$AR106,"Bascule","Double run"),"ROKS"))))))</f>
        <v/>
      </c>
      <c r="AH106" s="51" t="str">
        <f aca="false">IF(OR($A106="",AH$8=""),"",IF($F106="Migré","ROKS",IF($F106="À décommissionner",IF(AH$8&lt;$AS106,"IKS","Décom."),IF(OR($AQ106="",$AS106=""),"",IF(AH$8&lt;$AQ106,"IKS",IF(AH$8&lt;$AS106,IF(AH$8=$AR106,"Bascule","Double run"),"ROKS"))))))</f>
        <v/>
      </c>
      <c r="AI106" s="51" t="str">
        <f aca="false">IF(OR($A106="",AI$8=""),"",IF($F106="Migré","ROKS",IF($F106="À décommissionner",IF(AI$8&lt;$AS106,"IKS","Décom."),IF(OR($AQ106="",$AS106=""),"",IF(AI$8&lt;$AQ106,"IKS",IF(AI$8&lt;$AS106,IF(AI$8=$AR106,"Bascule","Double run"),"ROKS"))))))</f>
        <v/>
      </c>
      <c r="AJ106" s="51" t="str">
        <f aca="false">IF(OR($A106="",AJ$8=""),"",IF($F106="Migré","ROKS",IF($F106="À décommissionner",IF(AJ$8&lt;$AS106,"IKS","Décom."),IF(OR($AQ106="",$AS106=""),"",IF(AJ$8&lt;$AQ106,"IKS",IF(AJ$8&lt;$AS106,IF(AJ$8=$AR106,"Bascule","Double run"),"ROKS"))))))</f>
        <v/>
      </c>
      <c r="AK106" s="51" t="str">
        <f aca="false">IF(OR($A106="",AK$8=""),"",IF($F106="Migré","ROKS",IF($F106="À décommissionner",IF(AK$8&lt;$AS106,"IKS","Décom."),IF(OR($AQ106="",$AS106=""),"",IF(AK$8&lt;$AQ106,"IKS",IF(AK$8&lt;$AS106,IF(AK$8=$AR106,"Bascule","Double run"),"ROKS"))))))</f>
        <v/>
      </c>
      <c r="AL106" s="51" t="str">
        <f aca="false">IF(OR($A106="",AL$8=""),"",IF($F106="Migré","ROKS",IF($F106="À décommissionner",IF(AL$8&lt;$AS106,"IKS","Décom."),IF(OR($AQ106="",$AS106=""),"",IF(AL$8&lt;$AQ106,"IKS",IF(AL$8&lt;$AS106,IF(AL$8=$AR106,"Bascule","Double run"),"ROKS"))))))</f>
        <v/>
      </c>
      <c r="AM106" s="51" t="str">
        <f aca="false">IF(OR($A106="",AM$8=""),"",IF($F106="Migré","ROKS",IF($F106="À décommissionner",IF(AM$8&lt;$AS106,"IKS","Décom."),IF(OR($AQ106="",$AS106=""),"",IF(AM$8&lt;$AQ106,"IKS",IF(AM$8&lt;$AS106,IF(AM$8=$AR106,"Bascule","Double run"),"ROKS"))))))</f>
        <v/>
      </c>
      <c r="AN106" s="51" t="str">
        <f aca="false">IF(OR($A106="",AN$8=""),"",IF($F106="Migré","ROKS",IF($F106="À décommissionner",IF(AN$8&lt;$AS106,"IKS","Décom."),IF(OR($AQ106="",$AS106=""),"",IF(AN$8&lt;$AQ106,"IKS",IF(AN$8&lt;$AS106,IF(AN$8=$AR106,"Bascule","Double run"),"ROKS"))))))</f>
        <v/>
      </c>
      <c r="AO106" s="51" t="str">
        <f aca="false">IF(OR($A106="",AO$8=""),"",IF($F106="Migré","ROKS",IF($F106="À décommissionner",IF(AO$8&lt;$AS106,"IKS","Décom."),IF(OR($AQ106="",$AS106=""),"",IF(AO$8&lt;$AQ106,"IKS",IF(AO$8&lt;$AS106,IF(AO$8=$AR106,"Bascule","Double run"),"ROKS"))))))</f>
        <v/>
      </c>
      <c r="AP106" s="51" t="str">
        <f aca="false">IF(OR($A106="",AP$8=""),"",IF($F106="Migré","ROKS",IF($F106="À décommissionner",IF(AP$8&lt;$AS106,"IKS","Décom."),IF(OR($AQ106="",$AS106=""),"",IF(AP$8&lt;$AQ106,"IKS",IF(AP$8&lt;$AS106,IF(AP$8=$AR106,"Bascule","Double run"),"ROKS"))))))</f>
        <v/>
      </c>
      <c r="AQ106" s="0" t="str">
        <f aca="false">IF($A106="","",INDEX(TblApplications[Mois prov (calc)],$A106))</f>
        <v/>
      </c>
      <c r="AR106" s="0" t="str">
        <f aca="false">IF($A106="","",IFERROR(DATE(YEAR(INDEX(TblApplications[Mois bascule],$A106)),MONTH(INDEX(TblApplications[Mois bascule],$A106)),1),""))</f>
        <v/>
      </c>
      <c r="AS106" s="0" t="str">
        <f aca="false">IF($A106="","",INDEX(TblApplications[Mois lib (calc)],$A106))</f>
        <v/>
      </c>
    </row>
    <row r="107" customFormat="false" ht="15" hidden="false" customHeight="false" outlineLevel="0" collapsed="false">
      <c r="A107" s="49" t="str">
        <f aca="false">IFERROR(MATCH(99,TblApplications[Rang frise],0),"")</f>
        <v/>
      </c>
      <c r="B107" s="50" t="str">
        <f aca="false">IF($A107="","",INDEX(TblApplications[ID],$A107))</f>
        <v/>
      </c>
      <c r="C107" s="50" t="str">
        <f aca="false">IF($A107="","",INDEX(TblApplications[Application],$A107))</f>
        <v/>
      </c>
      <c r="D107" s="50" t="str">
        <f aca="false">IF($A107="","",INDEX(TblApplications[Environnement],$A107))</f>
        <v/>
      </c>
      <c r="E107" s="50" t="str">
        <f aca="false">IF($A107="","",INDEX(TblApplications[Couloir],$A107))</f>
        <v/>
      </c>
      <c r="F107" s="50" t="str">
        <f aca="false">IF($A107="","",INDEX(TblApplications[Action],$A107))</f>
        <v/>
      </c>
      <c r="G107" s="51" t="str">
        <f aca="false">IF(OR($A107="",G$8=""),"",IF($F107="Migré","ROKS",IF($F107="À décommissionner",IF(G$8&lt;$AS107,"IKS","Décom."),IF(OR($AQ107="",$AS107=""),"",IF(G$8&lt;$AQ107,"IKS",IF(G$8&lt;$AS107,IF(G$8=$AR107,"Bascule","Double run"),"ROKS"))))))</f>
        <v/>
      </c>
      <c r="H107" s="51" t="str">
        <f aca="false">IF(OR($A107="",H$8=""),"",IF($F107="Migré","ROKS",IF($F107="À décommissionner",IF(H$8&lt;$AS107,"IKS","Décom."),IF(OR($AQ107="",$AS107=""),"",IF(H$8&lt;$AQ107,"IKS",IF(H$8&lt;$AS107,IF(H$8=$AR107,"Bascule","Double run"),"ROKS"))))))</f>
        <v/>
      </c>
      <c r="I107" s="51" t="str">
        <f aca="false">IF(OR($A107="",I$8=""),"",IF($F107="Migré","ROKS",IF($F107="À décommissionner",IF(I$8&lt;$AS107,"IKS","Décom."),IF(OR($AQ107="",$AS107=""),"",IF(I$8&lt;$AQ107,"IKS",IF(I$8&lt;$AS107,IF(I$8=$AR107,"Bascule","Double run"),"ROKS"))))))</f>
        <v/>
      </c>
      <c r="J107" s="51" t="str">
        <f aca="false">IF(OR($A107="",J$8=""),"",IF($F107="Migré","ROKS",IF($F107="À décommissionner",IF(J$8&lt;$AS107,"IKS","Décom."),IF(OR($AQ107="",$AS107=""),"",IF(J$8&lt;$AQ107,"IKS",IF(J$8&lt;$AS107,IF(J$8=$AR107,"Bascule","Double run"),"ROKS"))))))</f>
        <v/>
      </c>
      <c r="K107" s="51" t="str">
        <f aca="false">IF(OR($A107="",K$8=""),"",IF($F107="Migré","ROKS",IF($F107="À décommissionner",IF(K$8&lt;$AS107,"IKS","Décom."),IF(OR($AQ107="",$AS107=""),"",IF(K$8&lt;$AQ107,"IKS",IF(K$8&lt;$AS107,IF(K$8=$AR107,"Bascule","Double run"),"ROKS"))))))</f>
        <v/>
      </c>
      <c r="L107" s="51" t="str">
        <f aca="false">IF(OR($A107="",L$8=""),"",IF($F107="Migré","ROKS",IF($F107="À décommissionner",IF(L$8&lt;$AS107,"IKS","Décom."),IF(OR($AQ107="",$AS107=""),"",IF(L$8&lt;$AQ107,"IKS",IF(L$8&lt;$AS107,IF(L$8=$AR107,"Bascule","Double run"),"ROKS"))))))</f>
        <v/>
      </c>
      <c r="M107" s="51" t="str">
        <f aca="false">IF(OR($A107="",M$8=""),"",IF($F107="Migré","ROKS",IF($F107="À décommissionner",IF(M$8&lt;$AS107,"IKS","Décom."),IF(OR($AQ107="",$AS107=""),"",IF(M$8&lt;$AQ107,"IKS",IF(M$8&lt;$AS107,IF(M$8=$AR107,"Bascule","Double run"),"ROKS"))))))</f>
        <v/>
      </c>
      <c r="N107" s="51" t="str">
        <f aca="false">IF(OR($A107="",N$8=""),"",IF($F107="Migré","ROKS",IF($F107="À décommissionner",IF(N$8&lt;$AS107,"IKS","Décom."),IF(OR($AQ107="",$AS107=""),"",IF(N$8&lt;$AQ107,"IKS",IF(N$8&lt;$AS107,IF(N$8=$AR107,"Bascule","Double run"),"ROKS"))))))</f>
        <v/>
      </c>
      <c r="O107" s="51" t="str">
        <f aca="false">IF(OR($A107="",O$8=""),"",IF($F107="Migré","ROKS",IF($F107="À décommissionner",IF(O$8&lt;$AS107,"IKS","Décom."),IF(OR($AQ107="",$AS107=""),"",IF(O$8&lt;$AQ107,"IKS",IF(O$8&lt;$AS107,IF(O$8=$AR107,"Bascule","Double run"),"ROKS"))))))</f>
        <v/>
      </c>
      <c r="P107" s="51" t="str">
        <f aca="false">IF(OR($A107="",P$8=""),"",IF($F107="Migré","ROKS",IF($F107="À décommissionner",IF(P$8&lt;$AS107,"IKS","Décom."),IF(OR($AQ107="",$AS107=""),"",IF(P$8&lt;$AQ107,"IKS",IF(P$8&lt;$AS107,IF(P$8=$AR107,"Bascule","Double run"),"ROKS"))))))</f>
        <v/>
      </c>
      <c r="Q107" s="51" t="str">
        <f aca="false">IF(OR($A107="",Q$8=""),"",IF($F107="Migré","ROKS",IF($F107="À décommissionner",IF(Q$8&lt;$AS107,"IKS","Décom."),IF(OR($AQ107="",$AS107=""),"",IF(Q$8&lt;$AQ107,"IKS",IF(Q$8&lt;$AS107,IF(Q$8=$AR107,"Bascule","Double run"),"ROKS"))))))</f>
        <v/>
      </c>
      <c r="R107" s="51" t="str">
        <f aca="false">IF(OR($A107="",R$8=""),"",IF($F107="Migré","ROKS",IF($F107="À décommissionner",IF(R$8&lt;$AS107,"IKS","Décom."),IF(OR($AQ107="",$AS107=""),"",IF(R$8&lt;$AQ107,"IKS",IF(R$8&lt;$AS107,IF(R$8=$AR107,"Bascule","Double run"),"ROKS"))))))</f>
        <v/>
      </c>
      <c r="S107" s="51" t="str">
        <f aca="false">IF(OR($A107="",S$8=""),"",IF($F107="Migré","ROKS",IF($F107="À décommissionner",IF(S$8&lt;$AS107,"IKS","Décom."),IF(OR($AQ107="",$AS107=""),"",IF(S$8&lt;$AQ107,"IKS",IF(S$8&lt;$AS107,IF(S$8=$AR107,"Bascule","Double run"),"ROKS"))))))</f>
        <v/>
      </c>
      <c r="T107" s="51" t="str">
        <f aca="false">IF(OR($A107="",T$8=""),"",IF($F107="Migré","ROKS",IF($F107="À décommissionner",IF(T$8&lt;$AS107,"IKS","Décom."),IF(OR($AQ107="",$AS107=""),"",IF(T$8&lt;$AQ107,"IKS",IF(T$8&lt;$AS107,IF(T$8=$AR107,"Bascule","Double run"),"ROKS"))))))</f>
        <v/>
      </c>
      <c r="U107" s="51" t="str">
        <f aca="false">IF(OR($A107="",U$8=""),"",IF($F107="Migré","ROKS",IF($F107="À décommissionner",IF(U$8&lt;$AS107,"IKS","Décom."),IF(OR($AQ107="",$AS107=""),"",IF(U$8&lt;$AQ107,"IKS",IF(U$8&lt;$AS107,IF(U$8=$AR107,"Bascule","Double run"),"ROKS"))))))</f>
        <v/>
      </c>
      <c r="V107" s="51" t="str">
        <f aca="false">IF(OR($A107="",V$8=""),"",IF($F107="Migré","ROKS",IF($F107="À décommissionner",IF(V$8&lt;$AS107,"IKS","Décom."),IF(OR($AQ107="",$AS107=""),"",IF(V$8&lt;$AQ107,"IKS",IF(V$8&lt;$AS107,IF(V$8=$AR107,"Bascule","Double run"),"ROKS"))))))</f>
        <v/>
      </c>
      <c r="W107" s="51" t="str">
        <f aca="false">IF(OR($A107="",W$8=""),"",IF($F107="Migré","ROKS",IF($F107="À décommissionner",IF(W$8&lt;$AS107,"IKS","Décom."),IF(OR($AQ107="",$AS107=""),"",IF(W$8&lt;$AQ107,"IKS",IF(W$8&lt;$AS107,IF(W$8=$AR107,"Bascule","Double run"),"ROKS"))))))</f>
        <v/>
      </c>
      <c r="X107" s="51" t="str">
        <f aca="false">IF(OR($A107="",X$8=""),"",IF($F107="Migré","ROKS",IF($F107="À décommissionner",IF(X$8&lt;$AS107,"IKS","Décom."),IF(OR($AQ107="",$AS107=""),"",IF(X$8&lt;$AQ107,"IKS",IF(X$8&lt;$AS107,IF(X$8=$AR107,"Bascule","Double run"),"ROKS"))))))</f>
        <v/>
      </c>
      <c r="Y107" s="51" t="str">
        <f aca="false">IF(OR($A107="",Y$8=""),"",IF($F107="Migré","ROKS",IF($F107="À décommissionner",IF(Y$8&lt;$AS107,"IKS","Décom."),IF(OR($AQ107="",$AS107=""),"",IF(Y$8&lt;$AQ107,"IKS",IF(Y$8&lt;$AS107,IF(Y$8=$AR107,"Bascule","Double run"),"ROKS"))))))</f>
        <v/>
      </c>
      <c r="Z107" s="51" t="str">
        <f aca="false">IF(OR($A107="",Z$8=""),"",IF($F107="Migré","ROKS",IF($F107="À décommissionner",IF(Z$8&lt;$AS107,"IKS","Décom."),IF(OR($AQ107="",$AS107=""),"",IF(Z$8&lt;$AQ107,"IKS",IF(Z$8&lt;$AS107,IF(Z$8=$AR107,"Bascule","Double run"),"ROKS"))))))</f>
        <v/>
      </c>
      <c r="AA107" s="51" t="str">
        <f aca="false">IF(OR($A107="",AA$8=""),"",IF($F107="Migré","ROKS",IF($F107="À décommissionner",IF(AA$8&lt;$AS107,"IKS","Décom."),IF(OR($AQ107="",$AS107=""),"",IF(AA$8&lt;$AQ107,"IKS",IF(AA$8&lt;$AS107,IF(AA$8=$AR107,"Bascule","Double run"),"ROKS"))))))</f>
        <v/>
      </c>
      <c r="AB107" s="51" t="str">
        <f aca="false">IF(OR($A107="",AB$8=""),"",IF($F107="Migré","ROKS",IF($F107="À décommissionner",IF(AB$8&lt;$AS107,"IKS","Décom."),IF(OR($AQ107="",$AS107=""),"",IF(AB$8&lt;$AQ107,"IKS",IF(AB$8&lt;$AS107,IF(AB$8=$AR107,"Bascule","Double run"),"ROKS"))))))</f>
        <v/>
      </c>
      <c r="AC107" s="51" t="str">
        <f aca="false">IF(OR($A107="",AC$8=""),"",IF($F107="Migré","ROKS",IF($F107="À décommissionner",IF(AC$8&lt;$AS107,"IKS","Décom."),IF(OR($AQ107="",$AS107=""),"",IF(AC$8&lt;$AQ107,"IKS",IF(AC$8&lt;$AS107,IF(AC$8=$AR107,"Bascule","Double run"),"ROKS"))))))</f>
        <v/>
      </c>
      <c r="AD107" s="51" t="str">
        <f aca="false">IF(OR($A107="",AD$8=""),"",IF($F107="Migré","ROKS",IF($F107="À décommissionner",IF(AD$8&lt;$AS107,"IKS","Décom."),IF(OR($AQ107="",$AS107=""),"",IF(AD$8&lt;$AQ107,"IKS",IF(AD$8&lt;$AS107,IF(AD$8=$AR107,"Bascule","Double run"),"ROKS"))))))</f>
        <v/>
      </c>
      <c r="AE107" s="51" t="str">
        <f aca="false">IF(OR($A107="",AE$8=""),"",IF($F107="Migré","ROKS",IF($F107="À décommissionner",IF(AE$8&lt;$AS107,"IKS","Décom."),IF(OR($AQ107="",$AS107=""),"",IF(AE$8&lt;$AQ107,"IKS",IF(AE$8&lt;$AS107,IF(AE$8=$AR107,"Bascule","Double run"),"ROKS"))))))</f>
        <v/>
      </c>
      <c r="AF107" s="51" t="str">
        <f aca="false">IF(OR($A107="",AF$8=""),"",IF($F107="Migré","ROKS",IF($F107="À décommissionner",IF(AF$8&lt;$AS107,"IKS","Décom."),IF(OR($AQ107="",$AS107=""),"",IF(AF$8&lt;$AQ107,"IKS",IF(AF$8&lt;$AS107,IF(AF$8=$AR107,"Bascule","Double run"),"ROKS"))))))</f>
        <v/>
      </c>
      <c r="AG107" s="51" t="str">
        <f aca="false">IF(OR($A107="",AG$8=""),"",IF($F107="Migré","ROKS",IF($F107="À décommissionner",IF(AG$8&lt;$AS107,"IKS","Décom."),IF(OR($AQ107="",$AS107=""),"",IF(AG$8&lt;$AQ107,"IKS",IF(AG$8&lt;$AS107,IF(AG$8=$AR107,"Bascule","Double run"),"ROKS"))))))</f>
        <v/>
      </c>
      <c r="AH107" s="51" t="str">
        <f aca="false">IF(OR($A107="",AH$8=""),"",IF($F107="Migré","ROKS",IF($F107="À décommissionner",IF(AH$8&lt;$AS107,"IKS","Décom."),IF(OR($AQ107="",$AS107=""),"",IF(AH$8&lt;$AQ107,"IKS",IF(AH$8&lt;$AS107,IF(AH$8=$AR107,"Bascule","Double run"),"ROKS"))))))</f>
        <v/>
      </c>
      <c r="AI107" s="51" t="str">
        <f aca="false">IF(OR($A107="",AI$8=""),"",IF($F107="Migré","ROKS",IF($F107="À décommissionner",IF(AI$8&lt;$AS107,"IKS","Décom."),IF(OR($AQ107="",$AS107=""),"",IF(AI$8&lt;$AQ107,"IKS",IF(AI$8&lt;$AS107,IF(AI$8=$AR107,"Bascule","Double run"),"ROKS"))))))</f>
        <v/>
      </c>
      <c r="AJ107" s="51" t="str">
        <f aca="false">IF(OR($A107="",AJ$8=""),"",IF($F107="Migré","ROKS",IF($F107="À décommissionner",IF(AJ$8&lt;$AS107,"IKS","Décom."),IF(OR($AQ107="",$AS107=""),"",IF(AJ$8&lt;$AQ107,"IKS",IF(AJ$8&lt;$AS107,IF(AJ$8=$AR107,"Bascule","Double run"),"ROKS"))))))</f>
        <v/>
      </c>
      <c r="AK107" s="51" t="str">
        <f aca="false">IF(OR($A107="",AK$8=""),"",IF($F107="Migré","ROKS",IF($F107="À décommissionner",IF(AK$8&lt;$AS107,"IKS","Décom."),IF(OR($AQ107="",$AS107=""),"",IF(AK$8&lt;$AQ107,"IKS",IF(AK$8&lt;$AS107,IF(AK$8=$AR107,"Bascule","Double run"),"ROKS"))))))</f>
        <v/>
      </c>
      <c r="AL107" s="51" t="str">
        <f aca="false">IF(OR($A107="",AL$8=""),"",IF($F107="Migré","ROKS",IF($F107="À décommissionner",IF(AL$8&lt;$AS107,"IKS","Décom."),IF(OR($AQ107="",$AS107=""),"",IF(AL$8&lt;$AQ107,"IKS",IF(AL$8&lt;$AS107,IF(AL$8=$AR107,"Bascule","Double run"),"ROKS"))))))</f>
        <v/>
      </c>
      <c r="AM107" s="51" t="str">
        <f aca="false">IF(OR($A107="",AM$8=""),"",IF($F107="Migré","ROKS",IF($F107="À décommissionner",IF(AM$8&lt;$AS107,"IKS","Décom."),IF(OR($AQ107="",$AS107=""),"",IF(AM$8&lt;$AQ107,"IKS",IF(AM$8&lt;$AS107,IF(AM$8=$AR107,"Bascule","Double run"),"ROKS"))))))</f>
        <v/>
      </c>
      <c r="AN107" s="51" t="str">
        <f aca="false">IF(OR($A107="",AN$8=""),"",IF($F107="Migré","ROKS",IF($F107="À décommissionner",IF(AN$8&lt;$AS107,"IKS","Décom."),IF(OR($AQ107="",$AS107=""),"",IF(AN$8&lt;$AQ107,"IKS",IF(AN$8&lt;$AS107,IF(AN$8=$AR107,"Bascule","Double run"),"ROKS"))))))</f>
        <v/>
      </c>
      <c r="AO107" s="51" t="str">
        <f aca="false">IF(OR($A107="",AO$8=""),"",IF($F107="Migré","ROKS",IF($F107="À décommissionner",IF(AO$8&lt;$AS107,"IKS","Décom."),IF(OR($AQ107="",$AS107=""),"",IF(AO$8&lt;$AQ107,"IKS",IF(AO$8&lt;$AS107,IF(AO$8=$AR107,"Bascule","Double run"),"ROKS"))))))</f>
        <v/>
      </c>
      <c r="AP107" s="51" t="str">
        <f aca="false">IF(OR($A107="",AP$8=""),"",IF($F107="Migré","ROKS",IF($F107="À décommissionner",IF(AP$8&lt;$AS107,"IKS","Décom."),IF(OR($AQ107="",$AS107=""),"",IF(AP$8&lt;$AQ107,"IKS",IF(AP$8&lt;$AS107,IF(AP$8=$AR107,"Bascule","Double run"),"ROKS"))))))</f>
        <v/>
      </c>
      <c r="AQ107" s="0" t="str">
        <f aca="false">IF($A107="","",INDEX(TblApplications[Mois prov (calc)],$A107))</f>
        <v/>
      </c>
      <c r="AR107" s="0" t="str">
        <f aca="false">IF($A107="","",IFERROR(DATE(YEAR(INDEX(TblApplications[Mois bascule],$A107)),MONTH(INDEX(TblApplications[Mois bascule],$A107)),1),""))</f>
        <v/>
      </c>
      <c r="AS107" s="0" t="str">
        <f aca="false">IF($A107="","",INDEX(TblApplications[Mois lib (calc)],$A107))</f>
        <v/>
      </c>
    </row>
    <row r="108" customFormat="false" ht="15" hidden="false" customHeight="false" outlineLevel="0" collapsed="false">
      <c r="A108" s="49" t="str">
        <f aca="false">IFERROR(MATCH(100,TblApplications[Rang frise],0),"")</f>
        <v/>
      </c>
      <c r="B108" s="50" t="str">
        <f aca="false">IF($A108="","",INDEX(TblApplications[ID],$A108))</f>
        <v/>
      </c>
      <c r="C108" s="50" t="str">
        <f aca="false">IF($A108="","",INDEX(TblApplications[Application],$A108))</f>
        <v/>
      </c>
      <c r="D108" s="50" t="str">
        <f aca="false">IF($A108="","",INDEX(TblApplications[Environnement],$A108))</f>
        <v/>
      </c>
      <c r="E108" s="50" t="str">
        <f aca="false">IF($A108="","",INDEX(TblApplications[Couloir],$A108))</f>
        <v/>
      </c>
      <c r="F108" s="50" t="str">
        <f aca="false">IF($A108="","",INDEX(TblApplications[Action],$A108))</f>
        <v/>
      </c>
      <c r="G108" s="51" t="str">
        <f aca="false">IF(OR($A108="",G$8=""),"",IF($F108="Migré","ROKS",IF($F108="À décommissionner",IF(G$8&lt;$AS108,"IKS","Décom."),IF(OR($AQ108="",$AS108=""),"",IF(G$8&lt;$AQ108,"IKS",IF(G$8&lt;$AS108,IF(G$8=$AR108,"Bascule","Double run"),"ROKS"))))))</f>
        <v/>
      </c>
      <c r="H108" s="51" t="str">
        <f aca="false">IF(OR($A108="",H$8=""),"",IF($F108="Migré","ROKS",IF($F108="À décommissionner",IF(H$8&lt;$AS108,"IKS","Décom."),IF(OR($AQ108="",$AS108=""),"",IF(H$8&lt;$AQ108,"IKS",IF(H$8&lt;$AS108,IF(H$8=$AR108,"Bascule","Double run"),"ROKS"))))))</f>
        <v/>
      </c>
      <c r="I108" s="51" t="str">
        <f aca="false">IF(OR($A108="",I$8=""),"",IF($F108="Migré","ROKS",IF($F108="À décommissionner",IF(I$8&lt;$AS108,"IKS","Décom."),IF(OR($AQ108="",$AS108=""),"",IF(I$8&lt;$AQ108,"IKS",IF(I$8&lt;$AS108,IF(I$8=$AR108,"Bascule","Double run"),"ROKS"))))))</f>
        <v/>
      </c>
      <c r="J108" s="51" t="str">
        <f aca="false">IF(OR($A108="",J$8=""),"",IF($F108="Migré","ROKS",IF($F108="À décommissionner",IF(J$8&lt;$AS108,"IKS","Décom."),IF(OR($AQ108="",$AS108=""),"",IF(J$8&lt;$AQ108,"IKS",IF(J$8&lt;$AS108,IF(J$8=$AR108,"Bascule","Double run"),"ROKS"))))))</f>
        <v/>
      </c>
      <c r="K108" s="51" t="str">
        <f aca="false">IF(OR($A108="",K$8=""),"",IF($F108="Migré","ROKS",IF($F108="À décommissionner",IF(K$8&lt;$AS108,"IKS","Décom."),IF(OR($AQ108="",$AS108=""),"",IF(K$8&lt;$AQ108,"IKS",IF(K$8&lt;$AS108,IF(K$8=$AR108,"Bascule","Double run"),"ROKS"))))))</f>
        <v/>
      </c>
      <c r="L108" s="51" t="str">
        <f aca="false">IF(OR($A108="",L$8=""),"",IF($F108="Migré","ROKS",IF($F108="À décommissionner",IF(L$8&lt;$AS108,"IKS","Décom."),IF(OR($AQ108="",$AS108=""),"",IF(L$8&lt;$AQ108,"IKS",IF(L$8&lt;$AS108,IF(L$8=$AR108,"Bascule","Double run"),"ROKS"))))))</f>
        <v/>
      </c>
      <c r="M108" s="51" t="str">
        <f aca="false">IF(OR($A108="",M$8=""),"",IF($F108="Migré","ROKS",IF($F108="À décommissionner",IF(M$8&lt;$AS108,"IKS","Décom."),IF(OR($AQ108="",$AS108=""),"",IF(M$8&lt;$AQ108,"IKS",IF(M$8&lt;$AS108,IF(M$8=$AR108,"Bascule","Double run"),"ROKS"))))))</f>
        <v/>
      </c>
      <c r="N108" s="51" t="str">
        <f aca="false">IF(OR($A108="",N$8=""),"",IF($F108="Migré","ROKS",IF($F108="À décommissionner",IF(N$8&lt;$AS108,"IKS","Décom."),IF(OR($AQ108="",$AS108=""),"",IF(N$8&lt;$AQ108,"IKS",IF(N$8&lt;$AS108,IF(N$8=$AR108,"Bascule","Double run"),"ROKS"))))))</f>
        <v/>
      </c>
      <c r="O108" s="51" t="str">
        <f aca="false">IF(OR($A108="",O$8=""),"",IF($F108="Migré","ROKS",IF($F108="À décommissionner",IF(O$8&lt;$AS108,"IKS","Décom."),IF(OR($AQ108="",$AS108=""),"",IF(O$8&lt;$AQ108,"IKS",IF(O$8&lt;$AS108,IF(O$8=$AR108,"Bascule","Double run"),"ROKS"))))))</f>
        <v/>
      </c>
      <c r="P108" s="51" t="str">
        <f aca="false">IF(OR($A108="",P$8=""),"",IF($F108="Migré","ROKS",IF($F108="À décommissionner",IF(P$8&lt;$AS108,"IKS","Décom."),IF(OR($AQ108="",$AS108=""),"",IF(P$8&lt;$AQ108,"IKS",IF(P$8&lt;$AS108,IF(P$8=$AR108,"Bascule","Double run"),"ROKS"))))))</f>
        <v/>
      </c>
      <c r="Q108" s="51" t="str">
        <f aca="false">IF(OR($A108="",Q$8=""),"",IF($F108="Migré","ROKS",IF($F108="À décommissionner",IF(Q$8&lt;$AS108,"IKS","Décom."),IF(OR($AQ108="",$AS108=""),"",IF(Q$8&lt;$AQ108,"IKS",IF(Q$8&lt;$AS108,IF(Q$8=$AR108,"Bascule","Double run"),"ROKS"))))))</f>
        <v/>
      </c>
      <c r="R108" s="51" t="str">
        <f aca="false">IF(OR($A108="",R$8=""),"",IF($F108="Migré","ROKS",IF($F108="À décommissionner",IF(R$8&lt;$AS108,"IKS","Décom."),IF(OR($AQ108="",$AS108=""),"",IF(R$8&lt;$AQ108,"IKS",IF(R$8&lt;$AS108,IF(R$8=$AR108,"Bascule","Double run"),"ROKS"))))))</f>
        <v/>
      </c>
      <c r="S108" s="51" t="str">
        <f aca="false">IF(OR($A108="",S$8=""),"",IF($F108="Migré","ROKS",IF($F108="À décommissionner",IF(S$8&lt;$AS108,"IKS","Décom."),IF(OR($AQ108="",$AS108=""),"",IF(S$8&lt;$AQ108,"IKS",IF(S$8&lt;$AS108,IF(S$8=$AR108,"Bascule","Double run"),"ROKS"))))))</f>
        <v/>
      </c>
      <c r="T108" s="51" t="str">
        <f aca="false">IF(OR($A108="",T$8=""),"",IF($F108="Migré","ROKS",IF($F108="À décommissionner",IF(T$8&lt;$AS108,"IKS","Décom."),IF(OR($AQ108="",$AS108=""),"",IF(T$8&lt;$AQ108,"IKS",IF(T$8&lt;$AS108,IF(T$8=$AR108,"Bascule","Double run"),"ROKS"))))))</f>
        <v/>
      </c>
      <c r="U108" s="51" t="str">
        <f aca="false">IF(OR($A108="",U$8=""),"",IF($F108="Migré","ROKS",IF($F108="À décommissionner",IF(U$8&lt;$AS108,"IKS","Décom."),IF(OR($AQ108="",$AS108=""),"",IF(U$8&lt;$AQ108,"IKS",IF(U$8&lt;$AS108,IF(U$8=$AR108,"Bascule","Double run"),"ROKS"))))))</f>
        <v/>
      </c>
      <c r="V108" s="51" t="str">
        <f aca="false">IF(OR($A108="",V$8=""),"",IF($F108="Migré","ROKS",IF($F108="À décommissionner",IF(V$8&lt;$AS108,"IKS","Décom."),IF(OR($AQ108="",$AS108=""),"",IF(V$8&lt;$AQ108,"IKS",IF(V$8&lt;$AS108,IF(V$8=$AR108,"Bascule","Double run"),"ROKS"))))))</f>
        <v/>
      </c>
      <c r="W108" s="51" t="str">
        <f aca="false">IF(OR($A108="",W$8=""),"",IF($F108="Migré","ROKS",IF($F108="À décommissionner",IF(W$8&lt;$AS108,"IKS","Décom."),IF(OR($AQ108="",$AS108=""),"",IF(W$8&lt;$AQ108,"IKS",IF(W$8&lt;$AS108,IF(W$8=$AR108,"Bascule","Double run"),"ROKS"))))))</f>
        <v/>
      </c>
      <c r="X108" s="51" t="str">
        <f aca="false">IF(OR($A108="",X$8=""),"",IF($F108="Migré","ROKS",IF($F108="À décommissionner",IF(X$8&lt;$AS108,"IKS","Décom."),IF(OR($AQ108="",$AS108=""),"",IF(X$8&lt;$AQ108,"IKS",IF(X$8&lt;$AS108,IF(X$8=$AR108,"Bascule","Double run"),"ROKS"))))))</f>
        <v/>
      </c>
      <c r="Y108" s="51" t="str">
        <f aca="false">IF(OR($A108="",Y$8=""),"",IF($F108="Migré","ROKS",IF($F108="À décommissionner",IF(Y$8&lt;$AS108,"IKS","Décom."),IF(OR($AQ108="",$AS108=""),"",IF(Y$8&lt;$AQ108,"IKS",IF(Y$8&lt;$AS108,IF(Y$8=$AR108,"Bascule","Double run"),"ROKS"))))))</f>
        <v/>
      </c>
      <c r="Z108" s="51" t="str">
        <f aca="false">IF(OR($A108="",Z$8=""),"",IF($F108="Migré","ROKS",IF($F108="À décommissionner",IF(Z$8&lt;$AS108,"IKS","Décom."),IF(OR($AQ108="",$AS108=""),"",IF(Z$8&lt;$AQ108,"IKS",IF(Z$8&lt;$AS108,IF(Z$8=$AR108,"Bascule","Double run"),"ROKS"))))))</f>
        <v/>
      </c>
      <c r="AA108" s="51" t="str">
        <f aca="false">IF(OR($A108="",AA$8=""),"",IF($F108="Migré","ROKS",IF($F108="À décommissionner",IF(AA$8&lt;$AS108,"IKS","Décom."),IF(OR($AQ108="",$AS108=""),"",IF(AA$8&lt;$AQ108,"IKS",IF(AA$8&lt;$AS108,IF(AA$8=$AR108,"Bascule","Double run"),"ROKS"))))))</f>
        <v/>
      </c>
      <c r="AB108" s="51" t="str">
        <f aca="false">IF(OR($A108="",AB$8=""),"",IF($F108="Migré","ROKS",IF($F108="À décommissionner",IF(AB$8&lt;$AS108,"IKS","Décom."),IF(OR($AQ108="",$AS108=""),"",IF(AB$8&lt;$AQ108,"IKS",IF(AB$8&lt;$AS108,IF(AB$8=$AR108,"Bascule","Double run"),"ROKS"))))))</f>
        <v/>
      </c>
      <c r="AC108" s="51" t="str">
        <f aca="false">IF(OR($A108="",AC$8=""),"",IF($F108="Migré","ROKS",IF($F108="À décommissionner",IF(AC$8&lt;$AS108,"IKS","Décom."),IF(OR($AQ108="",$AS108=""),"",IF(AC$8&lt;$AQ108,"IKS",IF(AC$8&lt;$AS108,IF(AC$8=$AR108,"Bascule","Double run"),"ROKS"))))))</f>
        <v/>
      </c>
      <c r="AD108" s="51" t="str">
        <f aca="false">IF(OR($A108="",AD$8=""),"",IF($F108="Migré","ROKS",IF($F108="À décommissionner",IF(AD$8&lt;$AS108,"IKS","Décom."),IF(OR($AQ108="",$AS108=""),"",IF(AD$8&lt;$AQ108,"IKS",IF(AD$8&lt;$AS108,IF(AD$8=$AR108,"Bascule","Double run"),"ROKS"))))))</f>
        <v/>
      </c>
      <c r="AE108" s="51" t="str">
        <f aca="false">IF(OR($A108="",AE$8=""),"",IF($F108="Migré","ROKS",IF($F108="À décommissionner",IF(AE$8&lt;$AS108,"IKS","Décom."),IF(OR($AQ108="",$AS108=""),"",IF(AE$8&lt;$AQ108,"IKS",IF(AE$8&lt;$AS108,IF(AE$8=$AR108,"Bascule","Double run"),"ROKS"))))))</f>
        <v/>
      </c>
      <c r="AF108" s="51" t="str">
        <f aca="false">IF(OR($A108="",AF$8=""),"",IF($F108="Migré","ROKS",IF($F108="À décommissionner",IF(AF$8&lt;$AS108,"IKS","Décom."),IF(OR($AQ108="",$AS108=""),"",IF(AF$8&lt;$AQ108,"IKS",IF(AF$8&lt;$AS108,IF(AF$8=$AR108,"Bascule","Double run"),"ROKS"))))))</f>
        <v/>
      </c>
      <c r="AG108" s="51" t="str">
        <f aca="false">IF(OR($A108="",AG$8=""),"",IF($F108="Migré","ROKS",IF($F108="À décommissionner",IF(AG$8&lt;$AS108,"IKS","Décom."),IF(OR($AQ108="",$AS108=""),"",IF(AG$8&lt;$AQ108,"IKS",IF(AG$8&lt;$AS108,IF(AG$8=$AR108,"Bascule","Double run"),"ROKS"))))))</f>
        <v/>
      </c>
      <c r="AH108" s="51" t="str">
        <f aca="false">IF(OR($A108="",AH$8=""),"",IF($F108="Migré","ROKS",IF($F108="À décommissionner",IF(AH$8&lt;$AS108,"IKS","Décom."),IF(OR($AQ108="",$AS108=""),"",IF(AH$8&lt;$AQ108,"IKS",IF(AH$8&lt;$AS108,IF(AH$8=$AR108,"Bascule","Double run"),"ROKS"))))))</f>
        <v/>
      </c>
      <c r="AI108" s="51" t="str">
        <f aca="false">IF(OR($A108="",AI$8=""),"",IF($F108="Migré","ROKS",IF($F108="À décommissionner",IF(AI$8&lt;$AS108,"IKS","Décom."),IF(OR($AQ108="",$AS108=""),"",IF(AI$8&lt;$AQ108,"IKS",IF(AI$8&lt;$AS108,IF(AI$8=$AR108,"Bascule","Double run"),"ROKS"))))))</f>
        <v/>
      </c>
      <c r="AJ108" s="51" t="str">
        <f aca="false">IF(OR($A108="",AJ$8=""),"",IF($F108="Migré","ROKS",IF($F108="À décommissionner",IF(AJ$8&lt;$AS108,"IKS","Décom."),IF(OR($AQ108="",$AS108=""),"",IF(AJ$8&lt;$AQ108,"IKS",IF(AJ$8&lt;$AS108,IF(AJ$8=$AR108,"Bascule","Double run"),"ROKS"))))))</f>
        <v/>
      </c>
      <c r="AK108" s="51" t="str">
        <f aca="false">IF(OR($A108="",AK$8=""),"",IF($F108="Migré","ROKS",IF($F108="À décommissionner",IF(AK$8&lt;$AS108,"IKS","Décom."),IF(OR($AQ108="",$AS108=""),"",IF(AK$8&lt;$AQ108,"IKS",IF(AK$8&lt;$AS108,IF(AK$8=$AR108,"Bascule","Double run"),"ROKS"))))))</f>
        <v/>
      </c>
      <c r="AL108" s="51" t="str">
        <f aca="false">IF(OR($A108="",AL$8=""),"",IF($F108="Migré","ROKS",IF($F108="À décommissionner",IF(AL$8&lt;$AS108,"IKS","Décom."),IF(OR($AQ108="",$AS108=""),"",IF(AL$8&lt;$AQ108,"IKS",IF(AL$8&lt;$AS108,IF(AL$8=$AR108,"Bascule","Double run"),"ROKS"))))))</f>
        <v/>
      </c>
      <c r="AM108" s="51" t="str">
        <f aca="false">IF(OR($A108="",AM$8=""),"",IF($F108="Migré","ROKS",IF($F108="À décommissionner",IF(AM$8&lt;$AS108,"IKS","Décom."),IF(OR($AQ108="",$AS108=""),"",IF(AM$8&lt;$AQ108,"IKS",IF(AM$8&lt;$AS108,IF(AM$8=$AR108,"Bascule","Double run"),"ROKS"))))))</f>
        <v/>
      </c>
      <c r="AN108" s="51" t="str">
        <f aca="false">IF(OR($A108="",AN$8=""),"",IF($F108="Migré","ROKS",IF($F108="À décommissionner",IF(AN$8&lt;$AS108,"IKS","Décom."),IF(OR($AQ108="",$AS108=""),"",IF(AN$8&lt;$AQ108,"IKS",IF(AN$8&lt;$AS108,IF(AN$8=$AR108,"Bascule","Double run"),"ROKS"))))))</f>
        <v/>
      </c>
      <c r="AO108" s="51" t="str">
        <f aca="false">IF(OR($A108="",AO$8=""),"",IF($F108="Migré","ROKS",IF($F108="À décommissionner",IF(AO$8&lt;$AS108,"IKS","Décom."),IF(OR($AQ108="",$AS108=""),"",IF(AO$8&lt;$AQ108,"IKS",IF(AO$8&lt;$AS108,IF(AO$8=$AR108,"Bascule","Double run"),"ROKS"))))))</f>
        <v/>
      </c>
      <c r="AP108" s="51" t="str">
        <f aca="false">IF(OR($A108="",AP$8=""),"",IF($F108="Migré","ROKS",IF($F108="À décommissionner",IF(AP$8&lt;$AS108,"IKS","Décom."),IF(OR($AQ108="",$AS108=""),"",IF(AP$8&lt;$AQ108,"IKS",IF(AP$8&lt;$AS108,IF(AP$8=$AR108,"Bascule","Double run"),"ROKS"))))))</f>
        <v/>
      </c>
      <c r="AQ108" s="0" t="str">
        <f aca="false">IF($A108="","",INDEX(TblApplications[Mois prov (calc)],$A108))</f>
        <v/>
      </c>
      <c r="AR108" s="0" t="str">
        <f aca="false">IF($A108="","",IFERROR(DATE(YEAR(INDEX(TblApplications[Mois bascule],$A108)),MONTH(INDEX(TblApplications[Mois bascule],$A108)),1),""))</f>
        <v/>
      </c>
      <c r="AS108" s="0" t="str">
        <f aca="false">IF($A108="","",INDEX(TblApplications[Mois lib (calc)],$A108))</f>
        <v/>
      </c>
    </row>
    <row r="109" customFormat="false" ht="15" hidden="false" customHeight="false" outlineLevel="0" collapsed="false">
      <c r="A109" s="49" t="str">
        <f aca="false">IFERROR(MATCH(101,TblApplications[Rang frise],0),"")</f>
        <v/>
      </c>
      <c r="B109" s="50" t="str">
        <f aca="false">IF($A109="","",INDEX(TblApplications[ID],$A109))</f>
        <v/>
      </c>
      <c r="C109" s="50" t="str">
        <f aca="false">IF($A109="","",INDEX(TblApplications[Application],$A109))</f>
        <v/>
      </c>
      <c r="D109" s="50" t="str">
        <f aca="false">IF($A109="","",INDEX(TblApplications[Environnement],$A109))</f>
        <v/>
      </c>
      <c r="E109" s="50" t="str">
        <f aca="false">IF($A109="","",INDEX(TblApplications[Couloir],$A109))</f>
        <v/>
      </c>
      <c r="F109" s="50" t="str">
        <f aca="false">IF($A109="","",INDEX(TblApplications[Action],$A109))</f>
        <v/>
      </c>
      <c r="G109" s="51" t="str">
        <f aca="false">IF(OR($A109="",G$8=""),"",IF($F109="Migré","ROKS",IF($F109="À décommissionner",IF(G$8&lt;$AS109,"IKS","Décom."),IF(OR($AQ109="",$AS109=""),"",IF(G$8&lt;$AQ109,"IKS",IF(G$8&lt;$AS109,IF(G$8=$AR109,"Bascule","Double run"),"ROKS"))))))</f>
        <v/>
      </c>
      <c r="H109" s="51" t="str">
        <f aca="false">IF(OR($A109="",H$8=""),"",IF($F109="Migré","ROKS",IF($F109="À décommissionner",IF(H$8&lt;$AS109,"IKS","Décom."),IF(OR($AQ109="",$AS109=""),"",IF(H$8&lt;$AQ109,"IKS",IF(H$8&lt;$AS109,IF(H$8=$AR109,"Bascule","Double run"),"ROKS"))))))</f>
        <v/>
      </c>
      <c r="I109" s="51" t="str">
        <f aca="false">IF(OR($A109="",I$8=""),"",IF($F109="Migré","ROKS",IF($F109="À décommissionner",IF(I$8&lt;$AS109,"IKS","Décom."),IF(OR($AQ109="",$AS109=""),"",IF(I$8&lt;$AQ109,"IKS",IF(I$8&lt;$AS109,IF(I$8=$AR109,"Bascule","Double run"),"ROKS"))))))</f>
        <v/>
      </c>
      <c r="J109" s="51" t="str">
        <f aca="false">IF(OR($A109="",J$8=""),"",IF($F109="Migré","ROKS",IF($F109="À décommissionner",IF(J$8&lt;$AS109,"IKS","Décom."),IF(OR($AQ109="",$AS109=""),"",IF(J$8&lt;$AQ109,"IKS",IF(J$8&lt;$AS109,IF(J$8=$AR109,"Bascule","Double run"),"ROKS"))))))</f>
        <v/>
      </c>
      <c r="K109" s="51" t="str">
        <f aca="false">IF(OR($A109="",K$8=""),"",IF($F109="Migré","ROKS",IF($F109="À décommissionner",IF(K$8&lt;$AS109,"IKS","Décom."),IF(OR($AQ109="",$AS109=""),"",IF(K$8&lt;$AQ109,"IKS",IF(K$8&lt;$AS109,IF(K$8=$AR109,"Bascule","Double run"),"ROKS"))))))</f>
        <v/>
      </c>
      <c r="L109" s="51" t="str">
        <f aca="false">IF(OR($A109="",L$8=""),"",IF($F109="Migré","ROKS",IF($F109="À décommissionner",IF(L$8&lt;$AS109,"IKS","Décom."),IF(OR($AQ109="",$AS109=""),"",IF(L$8&lt;$AQ109,"IKS",IF(L$8&lt;$AS109,IF(L$8=$AR109,"Bascule","Double run"),"ROKS"))))))</f>
        <v/>
      </c>
      <c r="M109" s="51" t="str">
        <f aca="false">IF(OR($A109="",M$8=""),"",IF($F109="Migré","ROKS",IF($F109="À décommissionner",IF(M$8&lt;$AS109,"IKS","Décom."),IF(OR($AQ109="",$AS109=""),"",IF(M$8&lt;$AQ109,"IKS",IF(M$8&lt;$AS109,IF(M$8=$AR109,"Bascule","Double run"),"ROKS"))))))</f>
        <v/>
      </c>
      <c r="N109" s="51" t="str">
        <f aca="false">IF(OR($A109="",N$8=""),"",IF($F109="Migré","ROKS",IF($F109="À décommissionner",IF(N$8&lt;$AS109,"IKS","Décom."),IF(OR($AQ109="",$AS109=""),"",IF(N$8&lt;$AQ109,"IKS",IF(N$8&lt;$AS109,IF(N$8=$AR109,"Bascule","Double run"),"ROKS"))))))</f>
        <v/>
      </c>
      <c r="O109" s="51" t="str">
        <f aca="false">IF(OR($A109="",O$8=""),"",IF($F109="Migré","ROKS",IF($F109="À décommissionner",IF(O$8&lt;$AS109,"IKS","Décom."),IF(OR($AQ109="",$AS109=""),"",IF(O$8&lt;$AQ109,"IKS",IF(O$8&lt;$AS109,IF(O$8=$AR109,"Bascule","Double run"),"ROKS"))))))</f>
        <v/>
      </c>
      <c r="P109" s="51" t="str">
        <f aca="false">IF(OR($A109="",P$8=""),"",IF($F109="Migré","ROKS",IF($F109="À décommissionner",IF(P$8&lt;$AS109,"IKS","Décom."),IF(OR($AQ109="",$AS109=""),"",IF(P$8&lt;$AQ109,"IKS",IF(P$8&lt;$AS109,IF(P$8=$AR109,"Bascule","Double run"),"ROKS"))))))</f>
        <v/>
      </c>
      <c r="Q109" s="51" t="str">
        <f aca="false">IF(OR($A109="",Q$8=""),"",IF($F109="Migré","ROKS",IF($F109="À décommissionner",IF(Q$8&lt;$AS109,"IKS","Décom."),IF(OR($AQ109="",$AS109=""),"",IF(Q$8&lt;$AQ109,"IKS",IF(Q$8&lt;$AS109,IF(Q$8=$AR109,"Bascule","Double run"),"ROKS"))))))</f>
        <v/>
      </c>
      <c r="R109" s="51" t="str">
        <f aca="false">IF(OR($A109="",R$8=""),"",IF($F109="Migré","ROKS",IF($F109="À décommissionner",IF(R$8&lt;$AS109,"IKS","Décom."),IF(OR($AQ109="",$AS109=""),"",IF(R$8&lt;$AQ109,"IKS",IF(R$8&lt;$AS109,IF(R$8=$AR109,"Bascule","Double run"),"ROKS"))))))</f>
        <v/>
      </c>
      <c r="S109" s="51" t="str">
        <f aca="false">IF(OR($A109="",S$8=""),"",IF($F109="Migré","ROKS",IF($F109="À décommissionner",IF(S$8&lt;$AS109,"IKS","Décom."),IF(OR($AQ109="",$AS109=""),"",IF(S$8&lt;$AQ109,"IKS",IF(S$8&lt;$AS109,IF(S$8=$AR109,"Bascule","Double run"),"ROKS"))))))</f>
        <v/>
      </c>
      <c r="T109" s="51" t="str">
        <f aca="false">IF(OR($A109="",T$8=""),"",IF($F109="Migré","ROKS",IF($F109="À décommissionner",IF(T$8&lt;$AS109,"IKS","Décom."),IF(OR($AQ109="",$AS109=""),"",IF(T$8&lt;$AQ109,"IKS",IF(T$8&lt;$AS109,IF(T$8=$AR109,"Bascule","Double run"),"ROKS"))))))</f>
        <v/>
      </c>
      <c r="U109" s="51" t="str">
        <f aca="false">IF(OR($A109="",U$8=""),"",IF($F109="Migré","ROKS",IF($F109="À décommissionner",IF(U$8&lt;$AS109,"IKS","Décom."),IF(OR($AQ109="",$AS109=""),"",IF(U$8&lt;$AQ109,"IKS",IF(U$8&lt;$AS109,IF(U$8=$AR109,"Bascule","Double run"),"ROKS"))))))</f>
        <v/>
      </c>
      <c r="V109" s="51" t="str">
        <f aca="false">IF(OR($A109="",V$8=""),"",IF($F109="Migré","ROKS",IF($F109="À décommissionner",IF(V$8&lt;$AS109,"IKS","Décom."),IF(OR($AQ109="",$AS109=""),"",IF(V$8&lt;$AQ109,"IKS",IF(V$8&lt;$AS109,IF(V$8=$AR109,"Bascule","Double run"),"ROKS"))))))</f>
        <v/>
      </c>
      <c r="W109" s="51" t="str">
        <f aca="false">IF(OR($A109="",W$8=""),"",IF($F109="Migré","ROKS",IF($F109="À décommissionner",IF(W$8&lt;$AS109,"IKS","Décom."),IF(OR($AQ109="",$AS109=""),"",IF(W$8&lt;$AQ109,"IKS",IF(W$8&lt;$AS109,IF(W$8=$AR109,"Bascule","Double run"),"ROKS"))))))</f>
        <v/>
      </c>
      <c r="X109" s="51" t="str">
        <f aca="false">IF(OR($A109="",X$8=""),"",IF($F109="Migré","ROKS",IF($F109="À décommissionner",IF(X$8&lt;$AS109,"IKS","Décom."),IF(OR($AQ109="",$AS109=""),"",IF(X$8&lt;$AQ109,"IKS",IF(X$8&lt;$AS109,IF(X$8=$AR109,"Bascule","Double run"),"ROKS"))))))</f>
        <v/>
      </c>
      <c r="Y109" s="51" t="str">
        <f aca="false">IF(OR($A109="",Y$8=""),"",IF($F109="Migré","ROKS",IF($F109="À décommissionner",IF(Y$8&lt;$AS109,"IKS","Décom."),IF(OR($AQ109="",$AS109=""),"",IF(Y$8&lt;$AQ109,"IKS",IF(Y$8&lt;$AS109,IF(Y$8=$AR109,"Bascule","Double run"),"ROKS"))))))</f>
        <v/>
      </c>
      <c r="Z109" s="51" t="str">
        <f aca="false">IF(OR($A109="",Z$8=""),"",IF($F109="Migré","ROKS",IF($F109="À décommissionner",IF(Z$8&lt;$AS109,"IKS","Décom."),IF(OR($AQ109="",$AS109=""),"",IF(Z$8&lt;$AQ109,"IKS",IF(Z$8&lt;$AS109,IF(Z$8=$AR109,"Bascule","Double run"),"ROKS"))))))</f>
        <v/>
      </c>
      <c r="AA109" s="51" t="str">
        <f aca="false">IF(OR($A109="",AA$8=""),"",IF($F109="Migré","ROKS",IF($F109="À décommissionner",IF(AA$8&lt;$AS109,"IKS","Décom."),IF(OR($AQ109="",$AS109=""),"",IF(AA$8&lt;$AQ109,"IKS",IF(AA$8&lt;$AS109,IF(AA$8=$AR109,"Bascule","Double run"),"ROKS"))))))</f>
        <v/>
      </c>
      <c r="AB109" s="51" t="str">
        <f aca="false">IF(OR($A109="",AB$8=""),"",IF($F109="Migré","ROKS",IF($F109="À décommissionner",IF(AB$8&lt;$AS109,"IKS","Décom."),IF(OR($AQ109="",$AS109=""),"",IF(AB$8&lt;$AQ109,"IKS",IF(AB$8&lt;$AS109,IF(AB$8=$AR109,"Bascule","Double run"),"ROKS"))))))</f>
        <v/>
      </c>
      <c r="AC109" s="51" t="str">
        <f aca="false">IF(OR($A109="",AC$8=""),"",IF($F109="Migré","ROKS",IF($F109="À décommissionner",IF(AC$8&lt;$AS109,"IKS","Décom."),IF(OR($AQ109="",$AS109=""),"",IF(AC$8&lt;$AQ109,"IKS",IF(AC$8&lt;$AS109,IF(AC$8=$AR109,"Bascule","Double run"),"ROKS"))))))</f>
        <v/>
      </c>
      <c r="AD109" s="51" t="str">
        <f aca="false">IF(OR($A109="",AD$8=""),"",IF($F109="Migré","ROKS",IF($F109="À décommissionner",IF(AD$8&lt;$AS109,"IKS","Décom."),IF(OR($AQ109="",$AS109=""),"",IF(AD$8&lt;$AQ109,"IKS",IF(AD$8&lt;$AS109,IF(AD$8=$AR109,"Bascule","Double run"),"ROKS"))))))</f>
        <v/>
      </c>
      <c r="AE109" s="51" t="str">
        <f aca="false">IF(OR($A109="",AE$8=""),"",IF($F109="Migré","ROKS",IF($F109="À décommissionner",IF(AE$8&lt;$AS109,"IKS","Décom."),IF(OR($AQ109="",$AS109=""),"",IF(AE$8&lt;$AQ109,"IKS",IF(AE$8&lt;$AS109,IF(AE$8=$AR109,"Bascule","Double run"),"ROKS"))))))</f>
        <v/>
      </c>
      <c r="AF109" s="51" t="str">
        <f aca="false">IF(OR($A109="",AF$8=""),"",IF($F109="Migré","ROKS",IF($F109="À décommissionner",IF(AF$8&lt;$AS109,"IKS","Décom."),IF(OR($AQ109="",$AS109=""),"",IF(AF$8&lt;$AQ109,"IKS",IF(AF$8&lt;$AS109,IF(AF$8=$AR109,"Bascule","Double run"),"ROKS"))))))</f>
        <v/>
      </c>
      <c r="AG109" s="51" t="str">
        <f aca="false">IF(OR($A109="",AG$8=""),"",IF($F109="Migré","ROKS",IF($F109="À décommissionner",IF(AG$8&lt;$AS109,"IKS","Décom."),IF(OR($AQ109="",$AS109=""),"",IF(AG$8&lt;$AQ109,"IKS",IF(AG$8&lt;$AS109,IF(AG$8=$AR109,"Bascule","Double run"),"ROKS"))))))</f>
        <v/>
      </c>
      <c r="AH109" s="51" t="str">
        <f aca="false">IF(OR($A109="",AH$8=""),"",IF($F109="Migré","ROKS",IF($F109="À décommissionner",IF(AH$8&lt;$AS109,"IKS","Décom."),IF(OR($AQ109="",$AS109=""),"",IF(AH$8&lt;$AQ109,"IKS",IF(AH$8&lt;$AS109,IF(AH$8=$AR109,"Bascule","Double run"),"ROKS"))))))</f>
        <v/>
      </c>
      <c r="AI109" s="51" t="str">
        <f aca="false">IF(OR($A109="",AI$8=""),"",IF($F109="Migré","ROKS",IF($F109="À décommissionner",IF(AI$8&lt;$AS109,"IKS","Décom."),IF(OR($AQ109="",$AS109=""),"",IF(AI$8&lt;$AQ109,"IKS",IF(AI$8&lt;$AS109,IF(AI$8=$AR109,"Bascule","Double run"),"ROKS"))))))</f>
        <v/>
      </c>
      <c r="AJ109" s="51" t="str">
        <f aca="false">IF(OR($A109="",AJ$8=""),"",IF($F109="Migré","ROKS",IF($F109="À décommissionner",IF(AJ$8&lt;$AS109,"IKS","Décom."),IF(OR($AQ109="",$AS109=""),"",IF(AJ$8&lt;$AQ109,"IKS",IF(AJ$8&lt;$AS109,IF(AJ$8=$AR109,"Bascule","Double run"),"ROKS"))))))</f>
        <v/>
      </c>
      <c r="AK109" s="51" t="str">
        <f aca="false">IF(OR($A109="",AK$8=""),"",IF($F109="Migré","ROKS",IF($F109="À décommissionner",IF(AK$8&lt;$AS109,"IKS","Décom."),IF(OR($AQ109="",$AS109=""),"",IF(AK$8&lt;$AQ109,"IKS",IF(AK$8&lt;$AS109,IF(AK$8=$AR109,"Bascule","Double run"),"ROKS"))))))</f>
        <v/>
      </c>
      <c r="AL109" s="51" t="str">
        <f aca="false">IF(OR($A109="",AL$8=""),"",IF($F109="Migré","ROKS",IF($F109="À décommissionner",IF(AL$8&lt;$AS109,"IKS","Décom."),IF(OR($AQ109="",$AS109=""),"",IF(AL$8&lt;$AQ109,"IKS",IF(AL$8&lt;$AS109,IF(AL$8=$AR109,"Bascule","Double run"),"ROKS"))))))</f>
        <v/>
      </c>
      <c r="AM109" s="51" t="str">
        <f aca="false">IF(OR($A109="",AM$8=""),"",IF($F109="Migré","ROKS",IF($F109="À décommissionner",IF(AM$8&lt;$AS109,"IKS","Décom."),IF(OR($AQ109="",$AS109=""),"",IF(AM$8&lt;$AQ109,"IKS",IF(AM$8&lt;$AS109,IF(AM$8=$AR109,"Bascule","Double run"),"ROKS"))))))</f>
        <v/>
      </c>
      <c r="AN109" s="51" t="str">
        <f aca="false">IF(OR($A109="",AN$8=""),"",IF($F109="Migré","ROKS",IF($F109="À décommissionner",IF(AN$8&lt;$AS109,"IKS","Décom."),IF(OR($AQ109="",$AS109=""),"",IF(AN$8&lt;$AQ109,"IKS",IF(AN$8&lt;$AS109,IF(AN$8=$AR109,"Bascule","Double run"),"ROKS"))))))</f>
        <v/>
      </c>
      <c r="AO109" s="51" t="str">
        <f aca="false">IF(OR($A109="",AO$8=""),"",IF($F109="Migré","ROKS",IF($F109="À décommissionner",IF(AO$8&lt;$AS109,"IKS","Décom."),IF(OR($AQ109="",$AS109=""),"",IF(AO$8&lt;$AQ109,"IKS",IF(AO$8&lt;$AS109,IF(AO$8=$AR109,"Bascule","Double run"),"ROKS"))))))</f>
        <v/>
      </c>
      <c r="AP109" s="51" t="str">
        <f aca="false">IF(OR($A109="",AP$8=""),"",IF($F109="Migré","ROKS",IF($F109="À décommissionner",IF(AP$8&lt;$AS109,"IKS","Décom."),IF(OR($AQ109="",$AS109=""),"",IF(AP$8&lt;$AQ109,"IKS",IF(AP$8&lt;$AS109,IF(AP$8=$AR109,"Bascule","Double run"),"ROKS"))))))</f>
        <v/>
      </c>
      <c r="AQ109" s="0" t="str">
        <f aca="false">IF($A109="","",INDEX(TblApplications[Mois prov (calc)],$A109))</f>
        <v/>
      </c>
      <c r="AR109" s="0" t="str">
        <f aca="false">IF($A109="","",IFERROR(DATE(YEAR(INDEX(TblApplications[Mois bascule],$A109)),MONTH(INDEX(TblApplications[Mois bascule],$A109)),1),""))</f>
        <v/>
      </c>
      <c r="AS109" s="0" t="str">
        <f aca="false">IF($A109="","",INDEX(TblApplications[Mois lib (calc)],$A109))</f>
        <v/>
      </c>
    </row>
    <row r="110" customFormat="false" ht="15" hidden="false" customHeight="false" outlineLevel="0" collapsed="false">
      <c r="A110" s="49" t="str">
        <f aca="false">IFERROR(MATCH(102,TblApplications[Rang frise],0),"")</f>
        <v/>
      </c>
      <c r="B110" s="50" t="str">
        <f aca="false">IF($A110="","",INDEX(TblApplications[ID],$A110))</f>
        <v/>
      </c>
      <c r="C110" s="50" t="str">
        <f aca="false">IF($A110="","",INDEX(TblApplications[Application],$A110))</f>
        <v/>
      </c>
      <c r="D110" s="50" t="str">
        <f aca="false">IF($A110="","",INDEX(TblApplications[Environnement],$A110))</f>
        <v/>
      </c>
      <c r="E110" s="50" t="str">
        <f aca="false">IF($A110="","",INDEX(TblApplications[Couloir],$A110))</f>
        <v/>
      </c>
      <c r="F110" s="50" t="str">
        <f aca="false">IF($A110="","",INDEX(TblApplications[Action],$A110))</f>
        <v/>
      </c>
      <c r="G110" s="51" t="str">
        <f aca="false">IF(OR($A110="",G$8=""),"",IF($F110="Migré","ROKS",IF($F110="À décommissionner",IF(G$8&lt;$AS110,"IKS","Décom."),IF(OR($AQ110="",$AS110=""),"",IF(G$8&lt;$AQ110,"IKS",IF(G$8&lt;$AS110,IF(G$8=$AR110,"Bascule","Double run"),"ROKS"))))))</f>
        <v/>
      </c>
      <c r="H110" s="51" t="str">
        <f aca="false">IF(OR($A110="",H$8=""),"",IF($F110="Migré","ROKS",IF($F110="À décommissionner",IF(H$8&lt;$AS110,"IKS","Décom."),IF(OR($AQ110="",$AS110=""),"",IF(H$8&lt;$AQ110,"IKS",IF(H$8&lt;$AS110,IF(H$8=$AR110,"Bascule","Double run"),"ROKS"))))))</f>
        <v/>
      </c>
      <c r="I110" s="51" t="str">
        <f aca="false">IF(OR($A110="",I$8=""),"",IF($F110="Migré","ROKS",IF($F110="À décommissionner",IF(I$8&lt;$AS110,"IKS","Décom."),IF(OR($AQ110="",$AS110=""),"",IF(I$8&lt;$AQ110,"IKS",IF(I$8&lt;$AS110,IF(I$8=$AR110,"Bascule","Double run"),"ROKS"))))))</f>
        <v/>
      </c>
      <c r="J110" s="51" t="str">
        <f aca="false">IF(OR($A110="",J$8=""),"",IF($F110="Migré","ROKS",IF($F110="À décommissionner",IF(J$8&lt;$AS110,"IKS","Décom."),IF(OR($AQ110="",$AS110=""),"",IF(J$8&lt;$AQ110,"IKS",IF(J$8&lt;$AS110,IF(J$8=$AR110,"Bascule","Double run"),"ROKS"))))))</f>
        <v/>
      </c>
      <c r="K110" s="51" t="str">
        <f aca="false">IF(OR($A110="",K$8=""),"",IF($F110="Migré","ROKS",IF($F110="À décommissionner",IF(K$8&lt;$AS110,"IKS","Décom."),IF(OR($AQ110="",$AS110=""),"",IF(K$8&lt;$AQ110,"IKS",IF(K$8&lt;$AS110,IF(K$8=$AR110,"Bascule","Double run"),"ROKS"))))))</f>
        <v/>
      </c>
      <c r="L110" s="51" t="str">
        <f aca="false">IF(OR($A110="",L$8=""),"",IF($F110="Migré","ROKS",IF($F110="À décommissionner",IF(L$8&lt;$AS110,"IKS","Décom."),IF(OR($AQ110="",$AS110=""),"",IF(L$8&lt;$AQ110,"IKS",IF(L$8&lt;$AS110,IF(L$8=$AR110,"Bascule","Double run"),"ROKS"))))))</f>
        <v/>
      </c>
      <c r="M110" s="51" t="str">
        <f aca="false">IF(OR($A110="",M$8=""),"",IF($F110="Migré","ROKS",IF($F110="À décommissionner",IF(M$8&lt;$AS110,"IKS","Décom."),IF(OR($AQ110="",$AS110=""),"",IF(M$8&lt;$AQ110,"IKS",IF(M$8&lt;$AS110,IF(M$8=$AR110,"Bascule","Double run"),"ROKS"))))))</f>
        <v/>
      </c>
      <c r="N110" s="51" t="str">
        <f aca="false">IF(OR($A110="",N$8=""),"",IF($F110="Migré","ROKS",IF($F110="À décommissionner",IF(N$8&lt;$AS110,"IKS","Décom."),IF(OR($AQ110="",$AS110=""),"",IF(N$8&lt;$AQ110,"IKS",IF(N$8&lt;$AS110,IF(N$8=$AR110,"Bascule","Double run"),"ROKS"))))))</f>
        <v/>
      </c>
      <c r="O110" s="51" t="str">
        <f aca="false">IF(OR($A110="",O$8=""),"",IF($F110="Migré","ROKS",IF($F110="À décommissionner",IF(O$8&lt;$AS110,"IKS","Décom."),IF(OR($AQ110="",$AS110=""),"",IF(O$8&lt;$AQ110,"IKS",IF(O$8&lt;$AS110,IF(O$8=$AR110,"Bascule","Double run"),"ROKS"))))))</f>
        <v/>
      </c>
      <c r="P110" s="51" t="str">
        <f aca="false">IF(OR($A110="",P$8=""),"",IF($F110="Migré","ROKS",IF($F110="À décommissionner",IF(P$8&lt;$AS110,"IKS","Décom."),IF(OR($AQ110="",$AS110=""),"",IF(P$8&lt;$AQ110,"IKS",IF(P$8&lt;$AS110,IF(P$8=$AR110,"Bascule","Double run"),"ROKS"))))))</f>
        <v/>
      </c>
      <c r="Q110" s="51" t="str">
        <f aca="false">IF(OR($A110="",Q$8=""),"",IF($F110="Migré","ROKS",IF($F110="À décommissionner",IF(Q$8&lt;$AS110,"IKS","Décom."),IF(OR($AQ110="",$AS110=""),"",IF(Q$8&lt;$AQ110,"IKS",IF(Q$8&lt;$AS110,IF(Q$8=$AR110,"Bascule","Double run"),"ROKS"))))))</f>
        <v/>
      </c>
      <c r="R110" s="51" t="str">
        <f aca="false">IF(OR($A110="",R$8=""),"",IF($F110="Migré","ROKS",IF($F110="À décommissionner",IF(R$8&lt;$AS110,"IKS","Décom."),IF(OR($AQ110="",$AS110=""),"",IF(R$8&lt;$AQ110,"IKS",IF(R$8&lt;$AS110,IF(R$8=$AR110,"Bascule","Double run"),"ROKS"))))))</f>
        <v/>
      </c>
      <c r="S110" s="51" t="str">
        <f aca="false">IF(OR($A110="",S$8=""),"",IF($F110="Migré","ROKS",IF($F110="À décommissionner",IF(S$8&lt;$AS110,"IKS","Décom."),IF(OR($AQ110="",$AS110=""),"",IF(S$8&lt;$AQ110,"IKS",IF(S$8&lt;$AS110,IF(S$8=$AR110,"Bascule","Double run"),"ROKS"))))))</f>
        <v/>
      </c>
      <c r="T110" s="51" t="str">
        <f aca="false">IF(OR($A110="",T$8=""),"",IF($F110="Migré","ROKS",IF($F110="À décommissionner",IF(T$8&lt;$AS110,"IKS","Décom."),IF(OR($AQ110="",$AS110=""),"",IF(T$8&lt;$AQ110,"IKS",IF(T$8&lt;$AS110,IF(T$8=$AR110,"Bascule","Double run"),"ROKS"))))))</f>
        <v/>
      </c>
      <c r="U110" s="51" t="str">
        <f aca="false">IF(OR($A110="",U$8=""),"",IF($F110="Migré","ROKS",IF($F110="À décommissionner",IF(U$8&lt;$AS110,"IKS","Décom."),IF(OR($AQ110="",$AS110=""),"",IF(U$8&lt;$AQ110,"IKS",IF(U$8&lt;$AS110,IF(U$8=$AR110,"Bascule","Double run"),"ROKS"))))))</f>
        <v/>
      </c>
      <c r="V110" s="51" t="str">
        <f aca="false">IF(OR($A110="",V$8=""),"",IF($F110="Migré","ROKS",IF($F110="À décommissionner",IF(V$8&lt;$AS110,"IKS","Décom."),IF(OR($AQ110="",$AS110=""),"",IF(V$8&lt;$AQ110,"IKS",IF(V$8&lt;$AS110,IF(V$8=$AR110,"Bascule","Double run"),"ROKS"))))))</f>
        <v/>
      </c>
      <c r="W110" s="51" t="str">
        <f aca="false">IF(OR($A110="",W$8=""),"",IF($F110="Migré","ROKS",IF($F110="À décommissionner",IF(W$8&lt;$AS110,"IKS","Décom."),IF(OR($AQ110="",$AS110=""),"",IF(W$8&lt;$AQ110,"IKS",IF(W$8&lt;$AS110,IF(W$8=$AR110,"Bascule","Double run"),"ROKS"))))))</f>
        <v/>
      </c>
      <c r="X110" s="51" t="str">
        <f aca="false">IF(OR($A110="",X$8=""),"",IF($F110="Migré","ROKS",IF($F110="À décommissionner",IF(X$8&lt;$AS110,"IKS","Décom."),IF(OR($AQ110="",$AS110=""),"",IF(X$8&lt;$AQ110,"IKS",IF(X$8&lt;$AS110,IF(X$8=$AR110,"Bascule","Double run"),"ROKS"))))))</f>
        <v/>
      </c>
      <c r="Y110" s="51" t="str">
        <f aca="false">IF(OR($A110="",Y$8=""),"",IF($F110="Migré","ROKS",IF($F110="À décommissionner",IF(Y$8&lt;$AS110,"IKS","Décom."),IF(OR($AQ110="",$AS110=""),"",IF(Y$8&lt;$AQ110,"IKS",IF(Y$8&lt;$AS110,IF(Y$8=$AR110,"Bascule","Double run"),"ROKS"))))))</f>
        <v/>
      </c>
      <c r="Z110" s="51" t="str">
        <f aca="false">IF(OR($A110="",Z$8=""),"",IF($F110="Migré","ROKS",IF($F110="À décommissionner",IF(Z$8&lt;$AS110,"IKS","Décom."),IF(OR($AQ110="",$AS110=""),"",IF(Z$8&lt;$AQ110,"IKS",IF(Z$8&lt;$AS110,IF(Z$8=$AR110,"Bascule","Double run"),"ROKS"))))))</f>
        <v/>
      </c>
      <c r="AA110" s="51" t="str">
        <f aca="false">IF(OR($A110="",AA$8=""),"",IF($F110="Migré","ROKS",IF($F110="À décommissionner",IF(AA$8&lt;$AS110,"IKS","Décom."),IF(OR($AQ110="",$AS110=""),"",IF(AA$8&lt;$AQ110,"IKS",IF(AA$8&lt;$AS110,IF(AA$8=$AR110,"Bascule","Double run"),"ROKS"))))))</f>
        <v/>
      </c>
      <c r="AB110" s="51" t="str">
        <f aca="false">IF(OR($A110="",AB$8=""),"",IF($F110="Migré","ROKS",IF($F110="À décommissionner",IF(AB$8&lt;$AS110,"IKS","Décom."),IF(OR($AQ110="",$AS110=""),"",IF(AB$8&lt;$AQ110,"IKS",IF(AB$8&lt;$AS110,IF(AB$8=$AR110,"Bascule","Double run"),"ROKS"))))))</f>
        <v/>
      </c>
      <c r="AC110" s="51" t="str">
        <f aca="false">IF(OR($A110="",AC$8=""),"",IF($F110="Migré","ROKS",IF($F110="À décommissionner",IF(AC$8&lt;$AS110,"IKS","Décom."),IF(OR($AQ110="",$AS110=""),"",IF(AC$8&lt;$AQ110,"IKS",IF(AC$8&lt;$AS110,IF(AC$8=$AR110,"Bascule","Double run"),"ROKS"))))))</f>
        <v/>
      </c>
      <c r="AD110" s="51" t="str">
        <f aca="false">IF(OR($A110="",AD$8=""),"",IF($F110="Migré","ROKS",IF($F110="À décommissionner",IF(AD$8&lt;$AS110,"IKS","Décom."),IF(OR($AQ110="",$AS110=""),"",IF(AD$8&lt;$AQ110,"IKS",IF(AD$8&lt;$AS110,IF(AD$8=$AR110,"Bascule","Double run"),"ROKS"))))))</f>
        <v/>
      </c>
      <c r="AE110" s="51" t="str">
        <f aca="false">IF(OR($A110="",AE$8=""),"",IF($F110="Migré","ROKS",IF($F110="À décommissionner",IF(AE$8&lt;$AS110,"IKS","Décom."),IF(OR($AQ110="",$AS110=""),"",IF(AE$8&lt;$AQ110,"IKS",IF(AE$8&lt;$AS110,IF(AE$8=$AR110,"Bascule","Double run"),"ROKS"))))))</f>
        <v/>
      </c>
      <c r="AF110" s="51" t="str">
        <f aca="false">IF(OR($A110="",AF$8=""),"",IF($F110="Migré","ROKS",IF($F110="À décommissionner",IF(AF$8&lt;$AS110,"IKS","Décom."),IF(OR($AQ110="",$AS110=""),"",IF(AF$8&lt;$AQ110,"IKS",IF(AF$8&lt;$AS110,IF(AF$8=$AR110,"Bascule","Double run"),"ROKS"))))))</f>
        <v/>
      </c>
      <c r="AG110" s="51" t="str">
        <f aca="false">IF(OR($A110="",AG$8=""),"",IF($F110="Migré","ROKS",IF($F110="À décommissionner",IF(AG$8&lt;$AS110,"IKS","Décom."),IF(OR($AQ110="",$AS110=""),"",IF(AG$8&lt;$AQ110,"IKS",IF(AG$8&lt;$AS110,IF(AG$8=$AR110,"Bascule","Double run"),"ROKS"))))))</f>
        <v/>
      </c>
      <c r="AH110" s="51" t="str">
        <f aca="false">IF(OR($A110="",AH$8=""),"",IF($F110="Migré","ROKS",IF($F110="À décommissionner",IF(AH$8&lt;$AS110,"IKS","Décom."),IF(OR($AQ110="",$AS110=""),"",IF(AH$8&lt;$AQ110,"IKS",IF(AH$8&lt;$AS110,IF(AH$8=$AR110,"Bascule","Double run"),"ROKS"))))))</f>
        <v/>
      </c>
      <c r="AI110" s="51" t="str">
        <f aca="false">IF(OR($A110="",AI$8=""),"",IF($F110="Migré","ROKS",IF($F110="À décommissionner",IF(AI$8&lt;$AS110,"IKS","Décom."),IF(OR($AQ110="",$AS110=""),"",IF(AI$8&lt;$AQ110,"IKS",IF(AI$8&lt;$AS110,IF(AI$8=$AR110,"Bascule","Double run"),"ROKS"))))))</f>
        <v/>
      </c>
      <c r="AJ110" s="51" t="str">
        <f aca="false">IF(OR($A110="",AJ$8=""),"",IF($F110="Migré","ROKS",IF($F110="À décommissionner",IF(AJ$8&lt;$AS110,"IKS","Décom."),IF(OR($AQ110="",$AS110=""),"",IF(AJ$8&lt;$AQ110,"IKS",IF(AJ$8&lt;$AS110,IF(AJ$8=$AR110,"Bascule","Double run"),"ROKS"))))))</f>
        <v/>
      </c>
      <c r="AK110" s="51" t="str">
        <f aca="false">IF(OR($A110="",AK$8=""),"",IF($F110="Migré","ROKS",IF($F110="À décommissionner",IF(AK$8&lt;$AS110,"IKS","Décom."),IF(OR($AQ110="",$AS110=""),"",IF(AK$8&lt;$AQ110,"IKS",IF(AK$8&lt;$AS110,IF(AK$8=$AR110,"Bascule","Double run"),"ROKS"))))))</f>
        <v/>
      </c>
      <c r="AL110" s="51" t="str">
        <f aca="false">IF(OR($A110="",AL$8=""),"",IF($F110="Migré","ROKS",IF($F110="À décommissionner",IF(AL$8&lt;$AS110,"IKS","Décom."),IF(OR($AQ110="",$AS110=""),"",IF(AL$8&lt;$AQ110,"IKS",IF(AL$8&lt;$AS110,IF(AL$8=$AR110,"Bascule","Double run"),"ROKS"))))))</f>
        <v/>
      </c>
      <c r="AM110" s="51" t="str">
        <f aca="false">IF(OR($A110="",AM$8=""),"",IF($F110="Migré","ROKS",IF($F110="À décommissionner",IF(AM$8&lt;$AS110,"IKS","Décom."),IF(OR($AQ110="",$AS110=""),"",IF(AM$8&lt;$AQ110,"IKS",IF(AM$8&lt;$AS110,IF(AM$8=$AR110,"Bascule","Double run"),"ROKS"))))))</f>
        <v/>
      </c>
      <c r="AN110" s="51" t="str">
        <f aca="false">IF(OR($A110="",AN$8=""),"",IF($F110="Migré","ROKS",IF($F110="À décommissionner",IF(AN$8&lt;$AS110,"IKS","Décom."),IF(OR($AQ110="",$AS110=""),"",IF(AN$8&lt;$AQ110,"IKS",IF(AN$8&lt;$AS110,IF(AN$8=$AR110,"Bascule","Double run"),"ROKS"))))))</f>
        <v/>
      </c>
      <c r="AO110" s="51" t="str">
        <f aca="false">IF(OR($A110="",AO$8=""),"",IF($F110="Migré","ROKS",IF($F110="À décommissionner",IF(AO$8&lt;$AS110,"IKS","Décom."),IF(OR($AQ110="",$AS110=""),"",IF(AO$8&lt;$AQ110,"IKS",IF(AO$8&lt;$AS110,IF(AO$8=$AR110,"Bascule","Double run"),"ROKS"))))))</f>
        <v/>
      </c>
      <c r="AP110" s="51" t="str">
        <f aca="false">IF(OR($A110="",AP$8=""),"",IF($F110="Migré","ROKS",IF($F110="À décommissionner",IF(AP$8&lt;$AS110,"IKS","Décom."),IF(OR($AQ110="",$AS110=""),"",IF(AP$8&lt;$AQ110,"IKS",IF(AP$8&lt;$AS110,IF(AP$8=$AR110,"Bascule","Double run"),"ROKS"))))))</f>
        <v/>
      </c>
      <c r="AQ110" s="0" t="str">
        <f aca="false">IF($A110="","",INDEX(TblApplications[Mois prov (calc)],$A110))</f>
        <v/>
      </c>
      <c r="AR110" s="0" t="str">
        <f aca="false">IF($A110="","",IFERROR(DATE(YEAR(INDEX(TblApplications[Mois bascule],$A110)),MONTH(INDEX(TblApplications[Mois bascule],$A110)),1),""))</f>
        <v/>
      </c>
      <c r="AS110" s="0" t="str">
        <f aca="false">IF($A110="","",INDEX(TblApplications[Mois lib (calc)],$A110))</f>
        <v/>
      </c>
    </row>
    <row r="111" customFormat="false" ht="15" hidden="false" customHeight="false" outlineLevel="0" collapsed="false">
      <c r="A111" s="49" t="str">
        <f aca="false">IFERROR(MATCH(103,TblApplications[Rang frise],0),"")</f>
        <v/>
      </c>
      <c r="B111" s="50" t="str">
        <f aca="false">IF($A111="","",INDEX(TblApplications[ID],$A111))</f>
        <v/>
      </c>
      <c r="C111" s="50" t="str">
        <f aca="false">IF($A111="","",INDEX(TblApplications[Application],$A111))</f>
        <v/>
      </c>
      <c r="D111" s="50" t="str">
        <f aca="false">IF($A111="","",INDEX(TblApplications[Environnement],$A111))</f>
        <v/>
      </c>
      <c r="E111" s="50" t="str">
        <f aca="false">IF($A111="","",INDEX(TblApplications[Couloir],$A111))</f>
        <v/>
      </c>
      <c r="F111" s="50" t="str">
        <f aca="false">IF($A111="","",INDEX(TblApplications[Action],$A111))</f>
        <v/>
      </c>
      <c r="G111" s="51" t="str">
        <f aca="false">IF(OR($A111="",G$8=""),"",IF($F111="Migré","ROKS",IF($F111="À décommissionner",IF(G$8&lt;$AS111,"IKS","Décom."),IF(OR($AQ111="",$AS111=""),"",IF(G$8&lt;$AQ111,"IKS",IF(G$8&lt;$AS111,IF(G$8=$AR111,"Bascule","Double run"),"ROKS"))))))</f>
        <v/>
      </c>
      <c r="H111" s="51" t="str">
        <f aca="false">IF(OR($A111="",H$8=""),"",IF($F111="Migré","ROKS",IF($F111="À décommissionner",IF(H$8&lt;$AS111,"IKS","Décom."),IF(OR($AQ111="",$AS111=""),"",IF(H$8&lt;$AQ111,"IKS",IF(H$8&lt;$AS111,IF(H$8=$AR111,"Bascule","Double run"),"ROKS"))))))</f>
        <v/>
      </c>
      <c r="I111" s="51" t="str">
        <f aca="false">IF(OR($A111="",I$8=""),"",IF($F111="Migré","ROKS",IF($F111="À décommissionner",IF(I$8&lt;$AS111,"IKS","Décom."),IF(OR($AQ111="",$AS111=""),"",IF(I$8&lt;$AQ111,"IKS",IF(I$8&lt;$AS111,IF(I$8=$AR111,"Bascule","Double run"),"ROKS"))))))</f>
        <v/>
      </c>
      <c r="J111" s="51" t="str">
        <f aca="false">IF(OR($A111="",J$8=""),"",IF($F111="Migré","ROKS",IF($F111="À décommissionner",IF(J$8&lt;$AS111,"IKS","Décom."),IF(OR($AQ111="",$AS111=""),"",IF(J$8&lt;$AQ111,"IKS",IF(J$8&lt;$AS111,IF(J$8=$AR111,"Bascule","Double run"),"ROKS"))))))</f>
        <v/>
      </c>
      <c r="K111" s="51" t="str">
        <f aca="false">IF(OR($A111="",K$8=""),"",IF($F111="Migré","ROKS",IF($F111="À décommissionner",IF(K$8&lt;$AS111,"IKS","Décom."),IF(OR($AQ111="",$AS111=""),"",IF(K$8&lt;$AQ111,"IKS",IF(K$8&lt;$AS111,IF(K$8=$AR111,"Bascule","Double run"),"ROKS"))))))</f>
        <v/>
      </c>
      <c r="L111" s="51" t="str">
        <f aca="false">IF(OR($A111="",L$8=""),"",IF($F111="Migré","ROKS",IF($F111="À décommissionner",IF(L$8&lt;$AS111,"IKS","Décom."),IF(OR($AQ111="",$AS111=""),"",IF(L$8&lt;$AQ111,"IKS",IF(L$8&lt;$AS111,IF(L$8=$AR111,"Bascule","Double run"),"ROKS"))))))</f>
        <v/>
      </c>
      <c r="M111" s="51" t="str">
        <f aca="false">IF(OR($A111="",M$8=""),"",IF($F111="Migré","ROKS",IF($F111="À décommissionner",IF(M$8&lt;$AS111,"IKS","Décom."),IF(OR($AQ111="",$AS111=""),"",IF(M$8&lt;$AQ111,"IKS",IF(M$8&lt;$AS111,IF(M$8=$AR111,"Bascule","Double run"),"ROKS"))))))</f>
        <v/>
      </c>
      <c r="N111" s="51" t="str">
        <f aca="false">IF(OR($A111="",N$8=""),"",IF($F111="Migré","ROKS",IF($F111="À décommissionner",IF(N$8&lt;$AS111,"IKS","Décom."),IF(OR($AQ111="",$AS111=""),"",IF(N$8&lt;$AQ111,"IKS",IF(N$8&lt;$AS111,IF(N$8=$AR111,"Bascule","Double run"),"ROKS"))))))</f>
        <v/>
      </c>
      <c r="O111" s="51" t="str">
        <f aca="false">IF(OR($A111="",O$8=""),"",IF($F111="Migré","ROKS",IF($F111="À décommissionner",IF(O$8&lt;$AS111,"IKS","Décom."),IF(OR($AQ111="",$AS111=""),"",IF(O$8&lt;$AQ111,"IKS",IF(O$8&lt;$AS111,IF(O$8=$AR111,"Bascule","Double run"),"ROKS"))))))</f>
        <v/>
      </c>
      <c r="P111" s="51" t="str">
        <f aca="false">IF(OR($A111="",P$8=""),"",IF($F111="Migré","ROKS",IF($F111="À décommissionner",IF(P$8&lt;$AS111,"IKS","Décom."),IF(OR($AQ111="",$AS111=""),"",IF(P$8&lt;$AQ111,"IKS",IF(P$8&lt;$AS111,IF(P$8=$AR111,"Bascule","Double run"),"ROKS"))))))</f>
        <v/>
      </c>
      <c r="Q111" s="51" t="str">
        <f aca="false">IF(OR($A111="",Q$8=""),"",IF($F111="Migré","ROKS",IF($F111="À décommissionner",IF(Q$8&lt;$AS111,"IKS","Décom."),IF(OR($AQ111="",$AS111=""),"",IF(Q$8&lt;$AQ111,"IKS",IF(Q$8&lt;$AS111,IF(Q$8=$AR111,"Bascule","Double run"),"ROKS"))))))</f>
        <v/>
      </c>
      <c r="R111" s="51" t="str">
        <f aca="false">IF(OR($A111="",R$8=""),"",IF($F111="Migré","ROKS",IF($F111="À décommissionner",IF(R$8&lt;$AS111,"IKS","Décom."),IF(OR($AQ111="",$AS111=""),"",IF(R$8&lt;$AQ111,"IKS",IF(R$8&lt;$AS111,IF(R$8=$AR111,"Bascule","Double run"),"ROKS"))))))</f>
        <v/>
      </c>
      <c r="S111" s="51" t="str">
        <f aca="false">IF(OR($A111="",S$8=""),"",IF($F111="Migré","ROKS",IF($F111="À décommissionner",IF(S$8&lt;$AS111,"IKS","Décom."),IF(OR($AQ111="",$AS111=""),"",IF(S$8&lt;$AQ111,"IKS",IF(S$8&lt;$AS111,IF(S$8=$AR111,"Bascule","Double run"),"ROKS"))))))</f>
        <v/>
      </c>
      <c r="T111" s="51" t="str">
        <f aca="false">IF(OR($A111="",T$8=""),"",IF($F111="Migré","ROKS",IF($F111="À décommissionner",IF(T$8&lt;$AS111,"IKS","Décom."),IF(OR($AQ111="",$AS111=""),"",IF(T$8&lt;$AQ111,"IKS",IF(T$8&lt;$AS111,IF(T$8=$AR111,"Bascule","Double run"),"ROKS"))))))</f>
        <v/>
      </c>
      <c r="U111" s="51" t="str">
        <f aca="false">IF(OR($A111="",U$8=""),"",IF($F111="Migré","ROKS",IF($F111="À décommissionner",IF(U$8&lt;$AS111,"IKS","Décom."),IF(OR($AQ111="",$AS111=""),"",IF(U$8&lt;$AQ111,"IKS",IF(U$8&lt;$AS111,IF(U$8=$AR111,"Bascule","Double run"),"ROKS"))))))</f>
        <v/>
      </c>
      <c r="V111" s="51" t="str">
        <f aca="false">IF(OR($A111="",V$8=""),"",IF($F111="Migré","ROKS",IF($F111="À décommissionner",IF(V$8&lt;$AS111,"IKS","Décom."),IF(OR($AQ111="",$AS111=""),"",IF(V$8&lt;$AQ111,"IKS",IF(V$8&lt;$AS111,IF(V$8=$AR111,"Bascule","Double run"),"ROKS"))))))</f>
        <v/>
      </c>
      <c r="W111" s="51" t="str">
        <f aca="false">IF(OR($A111="",W$8=""),"",IF($F111="Migré","ROKS",IF($F111="À décommissionner",IF(W$8&lt;$AS111,"IKS","Décom."),IF(OR($AQ111="",$AS111=""),"",IF(W$8&lt;$AQ111,"IKS",IF(W$8&lt;$AS111,IF(W$8=$AR111,"Bascule","Double run"),"ROKS"))))))</f>
        <v/>
      </c>
      <c r="X111" s="51" t="str">
        <f aca="false">IF(OR($A111="",X$8=""),"",IF($F111="Migré","ROKS",IF($F111="À décommissionner",IF(X$8&lt;$AS111,"IKS","Décom."),IF(OR($AQ111="",$AS111=""),"",IF(X$8&lt;$AQ111,"IKS",IF(X$8&lt;$AS111,IF(X$8=$AR111,"Bascule","Double run"),"ROKS"))))))</f>
        <v/>
      </c>
      <c r="Y111" s="51" t="str">
        <f aca="false">IF(OR($A111="",Y$8=""),"",IF($F111="Migré","ROKS",IF($F111="À décommissionner",IF(Y$8&lt;$AS111,"IKS","Décom."),IF(OR($AQ111="",$AS111=""),"",IF(Y$8&lt;$AQ111,"IKS",IF(Y$8&lt;$AS111,IF(Y$8=$AR111,"Bascule","Double run"),"ROKS"))))))</f>
        <v/>
      </c>
      <c r="Z111" s="51" t="str">
        <f aca="false">IF(OR($A111="",Z$8=""),"",IF($F111="Migré","ROKS",IF($F111="À décommissionner",IF(Z$8&lt;$AS111,"IKS","Décom."),IF(OR($AQ111="",$AS111=""),"",IF(Z$8&lt;$AQ111,"IKS",IF(Z$8&lt;$AS111,IF(Z$8=$AR111,"Bascule","Double run"),"ROKS"))))))</f>
        <v/>
      </c>
      <c r="AA111" s="51" t="str">
        <f aca="false">IF(OR($A111="",AA$8=""),"",IF($F111="Migré","ROKS",IF($F111="À décommissionner",IF(AA$8&lt;$AS111,"IKS","Décom."),IF(OR($AQ111="",$AS111=""),"",IF(AA$8&lt;$AQ111,"IKS",IF(AA$8&lt;$AS111,IF(AA$8=$AR111,"Bascule","Double run"),"ROKS"))))))</f>
        <v/>
      </c>
      <c r="AB111" s="51" t="str">
        <f aca="false">IF(OR($A111="",AB$8=""),"",IF($F111="Migré","ROKS",IF($F111="À décommissionner",IF(AB$8&lt;$AS111,"IKS","Décom."),IF(OR($AQ111="",$AS111=""),"",IF(AB$8&lt;$AQ111,"IKS",IF(AB$8&lt;$AS111,IF(AB$8=$AR111,"Bascule","Double run"),"ROKS"))))))</f>
        <v/>
      </c>
      <c r="AC111" s="51" t="str">
        <f aca="false">IF(OR($A111="",AC$8=""),"",IF($F111="Migré","ROKS",IF($F111="À décommissionner",IF(AC$8&lt;$AS111,"IKS","Décom."),IF(OR($AQ111="",$AS111=""),"",IF(AC$8&lt;$AQ111,"IKS",IF(AC$8&lt;$AS111,IF(AC$8=$AR111,"Bascule","Double run"),"ROKS"))))))</f>
        <v/>
      </c>
      <c r="AD111" s="51" t="str">
        <f aca="false">IF(OR($A111="",AD$8=""),"",IF($F111="Migré","ROKS",IF($F111="À décommissionner",IF(AD$8&lt;$AS111,"IKS","Décom."),IF(OR($AQ111="",$AS111=""),"",IF(AD$8&lt;$AQ111,"IKS",IF(AD$8&lt;$AS111,IF(AD$8=$AR111,"Bascule","Double run"),"ROKS"))))))</f>
        <v/>
      </c>
      <c r="AE111" s="51" t="str">
        <f aca="false">IF(OR($A111="",AE$8=""),"",IF($F111="Migré","ROKS",IF($F111="À décommissionner",IF(AE$8&lt;$AS111,"IKS","Décom."),IF(OR($AQ111="",$AS111=""),"",IF(AE$8&lt;$AQ111,"IKS",IF(AE$8&lt;$AS111,IF(AE$8=$AR111,"Bascule","Double run"),"ROKS"))))))</f>
        <v/>
      </c>
      <c r="AF111" s="51" t="str">
        <f aca="false">IF(OR($A111="",AF$8=""),"",IF($F111="Migré","ROKS",IF($F111="À décommissionner",IF(AF$8&lt;$AS111,"IKS","Décom."),IF(OR($AQ111="",$AS111=""),"",IF(AF$8&lt;$AQ111,"IKS",IF(AF$8&lt;$AS111,IF(AF$8=$AR111,"Bascule","Double run"),"ROKS"))))))</f>
        <v/>
      </c>
      <c r="AG111" s="51" t="str">
        <f aca="false">IF(OR($A111="",AG$8=""),"",IF($F111="Migré","ROKS",IF($F111="À décommissionner",IF(AG$8&lt;$AS111,"IKS","Décom."),IF(OR($AQ111="",$AS111=""),"",IF(AG$8&lt;$AQ111,"IKS",IF(AG$8&lt;$AS111,IF(AG$8=$AR111,"Bascule","Double run"),"ROKS"))))))</f>
        <v/>
      </c>
      <c r="AH111" s="51" t="str">
        <f aca="false">IF(OR($A111="",AH$8=""),"",IF($F111="Migré","ROKS",IF($F111="À décommissionner",IF(AH$8&lt;$AS111,"IKS","Décom."),IF(OR($AQ111="",$AS111=""),"",IF(AH$8&lt;$AQ111,"IKS",IF(AH$8&lt;$AS111,IF(AH$8=$AR111,"Bascule","Double run"),"ROKS"))))))</f>
        <v/>
      </c>
      <c r="AI111" s="51" t="str">
        <f aca="false">IF(OR($A111="",AI$8=""),"",IF($F111="Migré","ROKS",IF($F111="À décommissionner",IF(AI$8&lt;$AS111,"IKS","Décom."),IF(OR($AQ111="",$AS111=""),"",IF(AI$8&lt;$AQ111,"IKS",IF(AI$8&lt;$AS111,IF(AI$8=$AR111,"Bascule","Double run"),"ROKS"))))))</f>
        <v/>
      </c>
      <c r="AJ111" s="51" t="str">
        <f aca="false">IF(OR($A111="",AJ$8=""),"",IF($F111="Migré","ROKS",IF($F111="À décommissionner",IF(AJ$8&lt;$AS111,"IKS","Décom."),IF(OR($AQ111="",$AS111=""),"",IF(AJ$8&lt;$AQ111,"IKS",IF(AJ$8&lt;$AS111,IF(AJ$8=$AR111,"Bascule","Double run"),"ROKS"))))))</f>
        <v/>
      </c>
      <c r="AK111" s="51" t="str">
        <f aca="false">IF(OR($A111="",AK$8=""),"",IF($F111="Migré","ROKS",IF($F111="À décommissionner",IF(AK$8&lt;$AS111,"IKS","Décom."),IF(OR($AQ111="",$AS111=""),"",IF(AK$8&lt;$AQ111,"IKS",IF(AK$8&lt;$AS111,IF(AK$8=$AR111,"Bascule","Double run"),"ROKS"))))))</f>
        <v/>
      </c>
      <c r="AL111" s="51" t="str">
        <f aca="false">IF(OR($A111="",AL$8=""),"",IF($F111="Migré","ROKS",IF($F111="À décommissionner",IF(AL$8&lt;$AS111,"IKS","Décom."),IF(OR($AQ111="",$AS111=""),"",IF(AL$8&lt;$AQ111,"IKS",IF(AL$8&lt;$AS111,IF(AL$8=$AR111,"Bascule","Double run"),"ROKS"))))))</f>
        <v/>
      </c>
      <c r="AM111" s="51" t="str">
        <f aca="false">IF(OR($A111="",AM$8=""),"",IF($F111="Migré","ROKS",IF($F111="À décommissionner",IF(AM$8&lt;$AS111,"IKS","Décom."),IF(OR($AQ111="",$AS111=""),"",IF(AM$8&lt;$AQ111,"IKS",IF(AM$8&lt;$AS111,IF(AM$8=$AR111,"Bascule","Double run"),"ROKS"))))))</f>
        <v/>
      </c>
      <c r="AN111" s="51" t="str">
        <f aca="false">IF(OR($A111="",AN$8=""),"",IF($F111="Migré","ROKS",IF($F111="À décommissionner",IF(AN$8&lt;$AS111,"IKS","Décom."),IF(OR($AQ111="",$AS111=""),"",IF(AN$8&lt;$AQ111,"IKS",IF(AN$8&lt;$AS111,IF(AN$8=$AR111,"Bascule","Double run"),"ROKS"))))))</f>
        <v/>
      </c>
      <c r="AO111" s="51" t="str">
        <f aca="false">IF(OR($A111="",AO$8=""),"",IF($F111="Migré","ROKS",IF($F111="À décommissionner",IF(AO$8&lt;$AS111,"IKS","Décom."),IF(OR($AQ111="",$AS111=""),"",IF(AO$8&lt;$AQ111,"IKS",IF(AO$8&lt;$AS111,IF(AO$8=$AR111,"Bascule","Double run"),"ROKS"))))))</f>
        <v/>
      </c>
      <c r="AP111" s="51" t="str">
        <f aca="false">IF(OR($A111="",AP$8=""),"",IF($F111="Migré","ROKS",IF($F111="À décommissionner",IF(AP$8&lt;$AS111,"IKS","Décom."),IF(OR($AQ111="",$AS111=""),"",IF(AP$8&lt;$AQ111,"IKS",IF(AP$8&lt;$AS111,IF(AP$8=$AR111,"Bascule","Double run"),"ROKS"))))))</f>
        <v/>
      </c>
      <c r="AQ111" s="0" t="str">
        <f aca="false">IF($A111="","",INDEX(TblApplications[Mois prov (calc)],$A111))</f>
        <v/>
      </c>
      <c r="AR111" s="0" t="str">
        <f aca="false">IF($A111="","",IFERROR(DATE(YEAR(INDEX(TblApplications[Mois bascule],$A111)),MONTH(INDEX(TblApplications[Mois bascule],$A111)),1),""))</f>
        <v/>
      </c>
      <c r="AS111" s="0" t="str">
        <f aca="false">IF($A111="","",INDEX(TblApplications[Mois lib (calc)],$A111))</f>
        <v/>
      </c>
    </row>
    <row r="112" customFormat="false" ht="15" hidden="false" customHeight="false" outlineLevel="0" collapsed="false">
      <c r="A112" s="49" t="str">
        <f aca="false">IFERROR(MATCH(104,TblApplications[Rang frise],0),"")</f>
        <v/>
      </c>
      <c r="B112" s="50" t="str">
        <f aca="false">IF($A112="","",INDEX(TblApplications[ID],$A112))</f>
        <v/>
      </c>
      <c r="C112" s="50" t="str">
        <f aca="false">IF($A112="","",INDEX(TblApplications[Application],$A112))</f>
        <v/>
      </c>
      <c r="D112" s="50" t="str">
        <f aca="false">IF($A112="","",INDEX(TblApplications[Environnement],$A112))</f>
        <v/>
      </c>
      <c r="E112" s="50" t="str">
        <f aca="false">IF($A112="","",INDEX(TblApplications[Couloir],$A112))</f>
        <v/>
      </c>
      <c r="F112" s="50" t="str">
        <f aca="false">IF($A112="","",INDEX(TblApplications[Action],$A112))</f>
        <v/>
      </c>
      <c r="G112" s="51" t="str">
        <f aca="false">IF(OR($A112="",G$8=""),"",IF($F112="Migré","ROKS",IF($F112="À décommissionner",IF(G$8&lt;$AS112,"IKS","Décom."),IF(OR($AQ112="",$AS112=""),"",IF(G$8&lt;$AQ112,"IKS",IF(G$8&lt;$AS112,IF(G$8=$AR112,"Bascule","Double run"),"ROKS"))))))</f>
        <v/>
      </c>
      <c r="H112" s="51" t="str">
        <f aca="false">IF(OR($A112="",H$8=""),"",IF($F112="Migré","ROKS",IF($F112="À décommissionner",IF(H$8&lt;$AS112,"IKS","Décom."),IF(OR($AQ112="",$AS112=""),"",IF(H$8&lt;$AQ112,"IKS",IF(H$8&lt;$AS112,IF(H$8=$AR112,"Bascule","Double run"),"ROKS"))))))</f>
        <v/>
      </c>
      <c r="I112" s="51" t="str">
        <f aca="false">IF(OR($A112="",I$8=""),"",IF($F112="Migré","ROKS",IF($F112="À décommissionner",IF(I$8&lt;$AS112,"IKS","Décom."),IF(OR($AQ112="",$AS112=""),"",IF(I$8&lt;$AQ112,"IKS",IF(I$8&lt;$AS112,IF(I$8=$AR112,"Bascule","Double run"),"ROKS"))))))</f>
        <v/>
      </c>
      <c r="J112" s="51" t="str">
        <f aca="false">IF(OR($A112="",J$8=""),"",IF($F112="Migré","ROKS",IF($F112="À décommissionner",IF(J$8&lt;$AS112,"IKS","Décom."),IF(OR($AQ112="",$AS112=""),"",IF(J$8&lt;$AQ112,"IKS",IF(J$8&lt;$AS112,IF(J$8=$AR112,"Bascule","Double run"),"ROKS"))))))</f>
        <v/>
      </c>
      <c r="K112" s="51" t="str">
        <f aca="false">IF(OR($A112="",K$8=""),"",IF($F112="Migré","ROKS",IF($F112="À décommissionner",IF(K$8&lt;$AS112,"IKS","Décom."),IF(OR($AQ112="",$AS112=""),"",IF(K$8&lt;$AQ112,"IKS",IF(K$8&lt;$AS112,IF(K$8=$AR112,"Bascule","Double run"),"ROKS"))))))</f>
        <v/>
      </c>
      <c r="L112" s="51" t="str">
        <f aca="false">IF(OR($A112="",L$8=""),"",IF($F112="Migré","ROKS",IF($F112="À décommissionner",IF(L$8&lt;$AS112,"IKS","Décom."),IF(OR($AQ112="",$AS112=""),"",IF(L$8&lt;$AQ112,"IKS",IF(L$8&lt;$AS112,IF(L$8=$AR112,"Bascule","Double run"),"ROKS"))))))</f>
        <v/>
      </c>
      <c r="M112" s="51" t="str">
        <f aca="false">IF(OR($A112="",M$8=""),"",IF($F112="Migré","ROKS",IF($F112="À décommissionner",IF(M$8&lt;$AS112,"IKS","Décom."),IF(OR($AQ112="",$AS112=""),"",IF(M$8&lt;$AQ112,"IKS",IF(M$8&lt;$AS112,IF(M$8=$AR112,"Bascule","Double run"),"ROKS"))))))</f>
        <v/>
      </c>
      <c r="N112" s="51" t="str">
        <f aca="false">IF(OR($A112="",N$8=""),"",IF($F112="Migré","ROKS",IF($F112="À décommissionner",IF(N$8&lt;$AS112,"IKS","Décom."),IF(OR($AQ112="",$AS112=""),"",IF(N$8&lt;$AQ112,"IKS",IF(N$8&lt;$AS112,IF(N$8=$AR112,"Bascule","Double run"),"ROKS"))))))</f>
        <v/>
      </c>
      <c r="O112" s="51" t="str">
        <f aca="false">IF(OR($A112="",O$8=""),"",IF($F112="Migré","ROKS",IF($F112="À décommissionner",IF(O$8&lt;$AS112,"IKS","Décom."),IF(OR($AQ112="",$AS112=""),"",IF(O$8&lt;$AQ112,"IKS",IF(O$8&lt;$AS112,IF(O$8=$AR112,"Bascule","Double run"),"ROKS"))))))</f>
        <v/>
      </c>
      <c r="P112" s="51" t="str">
        <f aca="false">IF(OR($A112="",P$8=""),"",IF($F112="Migré","ROKS",IF($F112="À décommissionner",IF(P$8&lt;$AS112,"IKS","Décom."),IF(OR($AQ112="",$AS112=""),"",IF(P$8&lt;$AQ112,"IKS",IF(P$8&lt;$AS112,IF(P$8=$AR112,"Bascule","Double run"),"ROKS"))))))</f>
        <v/>
      </c>
      <c r="Q112" s="51" t="str">
        <f aca="false">IF(OR($A112="",Q$8=""),"",IF($F112="Migré","ROKS",IF($F112="À décommissionner",IF(Q$8&lt;$AS112,"IKS","Décom."),IF(OR($AQ112="",$AS112=""),"",IF(Q$8&lt;$AQ112,"IKS",IF(Q$8&lt;$AS112,IF(Q$8=$AR112,"Bascule","Double run"),"ROKS"))))))</f>
        <v/>
      </c>
      <c r="R112" s="51" t="str">
        <f aca="false">IF(OR($A112="",R$8=""),"",IF($F112="Migré","ROKS",IF($F112="À décommissionner",IF(R$8&lt;$AS112,"IKS","Décom."),IF(OR($AQ112="",$AS112=""),"",IF(R$8&lt;$AQ112,"IKS",IF(R$8&lt;$AS112,IF(R$8=$AR112,"Bascule","Double run"),"ROKS"))))))</f>
        <v/>
      </c>
      <c r="S112" s="51" t="str">
        <f aca="false">IF(OR($A112="",S$8=""),"",IF($F112="Migré","ROKS",IF($F112="À décommissionner",IF(S$8&lt;$AS112,"IKS","Décom."),IF(OR($AQ112="",$AS112=""),"",IF(S$8&lt;$AQ112,"IKS",IF(S$8&lt;$AS112,IF(S$8=$AR112,"Bascule","Double run"),"ROKS"))))))</f>
        <v/>
      </c>
      <c r="T112" s="51" t="str">
        <f aca="false">IF(OR($A112="",T$8=""),"",IF($F112="Migré","ROKS",IF($F112="À décommissionner",IF(T$8&lt;$AS112,"IKS","Décom."),IF(OR($AQ112="",$AS112=""),"",IF(T$8&lt;$AQ112,"IKS",IF(T$8&lt;$AS112,IF(T$8=$AR112,"Bascule","Double run"),"ROKS"))))))</f>
        <v/>
      </c>
      <c r="U112" s="51" t="str">
        <f aca="false">IF(OR($A112="",U$8=""),"",IF($F112="Migré","ROKS",IF($F112="À décommissionner",IF(U$8&lt;$AS112,"IKS","Décom."),IF(OR($AQ112="",$AS112=""),"",IF(U$8&lt;$AQ112,"IKS",IF(U$8&lt;$AS112,IF(U$8=$AR112,"Bascule","Double run"),"ROKS"))))))</f>
        <v/>
      </c>
      <c r="V112" s="51" t="str">
        <f aca="false">IF(OR($A112="",V$8=""),"",IF($F112="Migré","ROKS",IF($F112="À décommissionner",IF(V$8&lt;$AS112,"IKS","Décom."),IF(OR($AQ112="",$AS112=""),"",IF(V$8&lt;$AQ112,"IKS",IF(V$8&lt;$AS112,IF(V$8=$AR112,"Bascule","Double run"),"ROKS"))))))</f>
        <v/>
      </c>
      <c r="W112" s="51" t="str">
        <f aca="false">IF(OR($A112="",W$8=""),"",IF($F112="Migré","ROKS",IF($F112="À décommissionner",IF(W$8&lt;$AS112,"IKS","Décom."),IF(OR($AQ112="",$AS112=""),"",IF(W$8&lt;$AQ112,"IKS",IF(W$8&lt;$AS112,IF(W$8=$AR112,"Bascule","Double run"),"ROKS"))))))</f>
        <v/>
      </c>
      <c r="X112" s="51" t="str">
        <f aca="false">IF(OR($A112="",X$8=""),"",IF($F112="Migré","ROKS",IF($F112="À décommissionner",IF(X$8&lt;$AS112,"IKS","Décom."),IF(OR($AQ112="",$AS112=""),"",IF(X$8&lt;$AQ112,"IKS",IF(X$8&lt;$AS112,IF(X$8=$AR112,"Bascule","Double run"),"ROKS"))))))</f>
        <v/>
      </c>
      <c r="Y112" s="51" t="str">
        <f aca="false">IF(OR($A112="",Y$8=""),"",IF($F112="Migré","ROKS",IF($F112="À décommissionner",IF(Y$8&lt;$AS112,"IKS","Décom."),IF(OR($AQ112="",$AS112=""),"",IF(Y$8&lt;$AQ112,"IKS",IF(Y$8&lt;$AS112,IF(Y$8=$AR112,"Bascule","Double run"),"ROKS"))))))</f>
        <v/>
      </c>
      <c r="Z112" s="51" t="str">
        <f aca="false">IF(OR($A112="",Z$8=""),"",IF($F112="Migré","ROKS",IF($F112="À décommissionner",IF(Z$8&lt;$AS112,"IKS","Décom."),IF(OR($AQ112="",$AS112=""),"",IF(Z$8&lt;$AQ112,"IKS",IF(Z$8&lt;$AS112,IF(Z$8=$AR112,"Bascule","Double run"),"ROKS"))))))</f>
        <v/>
      </c>
      <c r="AA112" s="51" t="str">
        <f aca="false">IF(OR($A112="",AA$8=""),"",IF($F112="Migré","ROKS",IF($F112="À décommissionner",IF(AA$8&lt;$AS112,"IKS","Décom."),IF(OR($AQ112="",$AS112=""),"",IF(AA$8&lt;$AQ112,"IKS",IF(AA$8&lt;$AS112,IF(AA$8=$AR112,"Bascule","Double run"),"ROKS"))))))</f>
        <v/>
      </c>
      <c r="AB112" s="51" t="str">
        <f aca="false">IF(OR($A112="",AB$8=""),"",IF($F112="Migré","ROKS",IF($F112="À décommissionner",IF(AB$8&lt;$AS112,"IKS","Décom."),IF(OR($AQ112="",$AS112=""),"",IF(AB$8&lt;$AQ112,"IKS",IF(AB$8&lt;$AS112,IF(AB$8=$AR112,"Bascule","Double run"),"ROKS"))))))</f>
        <v/>
      </c>
      <c r="AC112" s="51" t="str">
        <f aca="false">IF(OR($A112="",AC$8=""),"",IF($F112="Migré","ROKS",IF($F112="À décommissionner",IF(AC$8&lt;$AS112,"IKS","Décom."),IF(OR($AQ112="",$AS112=""),"",IF(AC$8&lt;$AQ112,"IKS",IF(AC$8&lt;$AS112,IF(AC$8=$AR112,"Bascule","Double run"),"ROKS"))))))</f>
        <v/>
      </c>
      <c r="AD112" s="51" t="str">
        <f aca="false">IF(OR($A112="",AD$8=""),"",IF($F112="Migré","ROKS",IF($F112="À décommissionner",IF(AD$8&lt;$AS112,"IKS","Décom."),IF(OR($AQ112="",$AS112=""),"",IF(AD$8&lt;$AQ112,"IKS",IF(AD$8&lt;$AS112,IF(AD$8=$AR112,"Bascule","Double run"),"ROKS"))))))</f>
        <v/>
      </c>
      <c r="AE112" s="51" t="str">
        <f aca="false">IF(OR($A112="",AE$8=""),"",IF($F112="Migré","ROKS",IF($F112="À décommissionner",IF(AE$8&lt;$AS112,"IKS","Décom."),IF(OR($AQ112="",$AS112=""),"",IF(AE$8&lt;$AQ112,"IKS",IF(AE$8&lt;$AS112,IF(AE$8=$AR112,"Bascule","Double run"),"ROKS"))))))</f>
        <v/>
      </c>
      <c r="AF112" s="51" t="str">
        <f aca="false">IF(OR($A112="",AF$8=""),"",IF($F112="Migré","ROKS",IF($F112="À décommissionner",IF(AF$8&lt;$AS112,"IKS","Décom."),IF(OR($AQ112="",$AS112=""),"",IF(AF$8&lt;$AQ112,"IKS",IF(AF$8&lt;$AS112,IF(AF$8=$AR112,"Bascule","Double run"),"ROKS"))))))</f>
        <v/>
      </c>
      <c r="AG112" s="51" t="str">
        <f aca="false">IF(OR($A112="",AG$8=""),"",IF($F112="Migré","ROKS",IF($F112="À décommissionner",IF(AG$8&lt;$AS112,"IKS","Décom."),IF(OR($AQ112="",$AS112=""),"",IF(AG$8&lt;$AQ112,"IKS",IF(AG$8&lt;$AS112,IF(AG$8=$AR112,"Bascule","Double run"),"ROKS"))))))</f>
        <v/>
      </c>
      <c r="AH112" s="51" t="str">
        <f aca="false">IF(OR($A112="",AH$8=""),"",IF($F112="Migré","ROKS",IF($F112="À décommissionner",IF(AH$8&lt;$AS112,"IKS","Décom."),IF(OR($AQ112="",$AS112=""),"",IF(AH$8&lt;$AQ112,"IKS",IF(AH$8&lt;$AS112,IF(AH$8=$AR112,"Bascule","Double run"),"ROKS"))))))</f>
        <v/>
      </c>
      <c r="AI112" s="51" t="str">
        <f aca="false">IF(OR($A112="",AI$8=""),"",IF($F112="Migré","ROKS",IF($F112="À décommissionner",IF(AI$8&lt;$AS112,"IKS","Décom."),IF(OR($AQ112="",$AS112=""),"",IF(AI$8&lt;$AQ112,"IKS",IF(AI$8&lt;$AS112,IF(AI$8=$AR112,"Bascule","Double run"),"ROKS"))))))</f>
        <v/>
      </c>
      <c r="AJ112" s="51" t="str">
        <f aca="false">IF(OR($A112="",AJ$8=""),"",IF($F112="Migré","ROKS",IF($F112="À décommissionner",IF(AJ$8&lt;$AS112,"IKS","Décom."),IF(OR($AQ112="",$AS112=""),"",IF(AJ$8&lt;$AQ112,"IKS",IF(AJ$8&lt;$AS112,IF(AJ$8=$AR112,"Bascule","Double run"),"ROKS"))))))</f>
        <v/>
      </c>
      <c r="AK112" s="51" t="str">
        <f aca="false">IF(OR($A112="",AK$8=""),"",IF($F112="Migré","ROKS",IF($F112="À décommissionner",IF(AK$8&lt;$AS112,"IKS","Décom."),IF(OR($AQ112="",$AS112=""),"",IF(AK$8&lt;$AQ112,"IKS",IF(AK$8&lt;$AS112,IF(AK$8=$AR112,"Bascule","Double run"),"ROKS"))))))</f>
        <v/>
      </c>
      <c r="AL112" s="51" t="str">
        <f aca="false">IF(OR($A112="",AL$8=""),"",IF($F112="Migré","ROKS",IF($F112="À décommissionner",IF(AL$8&lt;$AS112,"IKS","Décom."),IF(OR($AQ112="",$AS112=""),"",IF(AL$8&lt;$AQ112,"IKS",IF(AL$8&lt;$AS112,IF(AL$8=$AR112,"Bascule","Double run"),"ROKS"))))))</f>
        <v/>
      </c>
      <c r="AM112" s="51" t="str">
        <f aca="false">IF(OR($A112="",AM$8=""),"",IF($F112="Migré","ROKS",IF($F112="À décommissionner",IF(AM$8&lt;$AS112,"IKS","Décom."),IF(OR($AQ112="",$AS112=""),"",IF(AM$8&lt;$AQ112,"IKS",IF(AM$8&lt;$AS112,IF(AM$8=$AR112,"Bascule","Double run"),"ROKS"))))))</f>
        <v/>
      </c>
      <c r="AN112" s="51" t="str">
        <f aca="false">IF(OR($A112="",AN$8=""),"",IF($F112="Migré","ROKS",IF($F112="À décommissionner",IF(AN$8&lt;$AS112,"IKS","Décom."),IF(OR($AQ112="",$AS112=""),"",IF(AN$8&lt;$AQ112,"IKS",IF(AN$8&lt;$AS112,IF(AN$8=$AR112,"Bascule","Double run"),"ROKS"))))))</f>
        <v/>
      </c>
      <c r="AO112" s="51" t="str">
        <f aca="false">IF(OR($A112="",AO$8=""),"",IF($F112="Migré","ROKS",IF($F112="À décommissionner",IF(AO$8&lt;$AS112,"IKS","Décom."),IF(OR($AQ112="",$AS112=""),"",IF(AO$8&lt;$AQ112,"IKS",IF(AO$8&lt;$AS112,IF(AO$8=$AR112,"Bascule","Double run"),"ROKS"))))))</f>
        <v/>
      </c>
      <c r="AP112" s="51" t="str">
        <f aca="false">IF(OR($A112="",AP$8=""),"",IF($F112="Migré","ROKS",IF($F112="À décommissionner",IF(AP$8&lt;$AS112,"IKS","Décom."),IF(OR($AQ112="",$AS112=""),"",IF(AP$8&lt;$AQ112,"IKS",IF(AP$8&lt;$AS112,IF(AP$8=$AR112,"Bascule","Double run"),"ROKS"))))))</f>
        <v/>
      </c>
      <c r="AQ112" s="0" t="str">
        <f aca="false">IF($A112="","",INDEX(TblApplications[Mois prov (calc)],$A112))</f>
        <v/>
      </c>
      <c r="AR112" s="0" t="str">
        <f aca="false">IF($A112="","",IFERROR(DATE(YEAR(INDEX(TblApplications[Mois bascule],$A112)),MONTH(INDEX(TblApplications[Mois bascule],$A112)),1),""))</f>
        <v/>
      </c>
      <c r="AS112" s="0" t="str">
        <f aca="false">IF($A112="","",INDEX(TblApplications[Mois lib (calc)],$A112))</f>
        <v/>
      </c>
    </row>
    <row r="113" customFormat="false" ht="15" hidden="false" customHeight="false" outlineLevel="0" collapsed="false">
      <c r="A113" s="49" t="str">
        <f aca="false">IFERROR(MATCH(105,TblApplications[Rang frise],0),"")</f>
        <v/>
      </c>
      <c r="B113" s="50" t="str">
        <f aca="false">IF($A113="","",INDEX(TblApplications[ID],$A113))</f>
        <v/>
      </c>
      <c r="C113" s="50" t="str">
        <f aca="false">IF($A113="","",INDEX(TblApplications[Application],$A113))</f>
        <v/>
      </c>
      <c r="D113" s="50" t="str">
        <f aca="false">IF($A113="","",INDEX(TblApplications[Environnement],$A113))</f>
        <v/>
      </c>
      <c r="E113" s="50" t="str">
        <f aca="false">IF($A113="","",INDEX(TblApplications[Couloir],$A113))</f>
        <v/>
      </c>
      <c r="F113" s="50" t="str">
        <f aca="false">IF($A113="","",INDEX(TblApplications[Action],$A113))</f>
        <v/>
      </c>
      <c r="G113" s="51" t="str">
        <f aca="false">IF(OR($A113="",G$8=""),"",IF($F113="Migré","ROKS",IF($F113="À décommissionner",IF(G$8&lt;$AS113,"IKS","Décom."),IF(OR($AQ113="",$AS113=""),"",IF(G$8&lt;$AQ113,"IKS",IF(G$8&lt;$AS113,IF(G$8=$AR113,"Bascule","Double run"),"ROKS"))))))</f>
        <v/>
      </c>
      <c r="H113" s="51" t="str">
        <f aca="false">IF(OR($A113="",H$8=""),"",IF($F113="Migré","ROKS",IF($F113="À décommissionner",IF(H$8&lt;$AS113,"IKS","Décom."),IF(OR($AQ113="",$AS113=""),"",IF(H$8&lt;$AQ113,"IKS",IF(H$8&lt;$AS113,IF(H$8=$AR113,"Bascule","Double run"),"ROKS"))))))</f>
        <v/>
      </c>
      <c r="I113" s="51" t="str">
        <f aca="false">IF(OR($A113="",I$8=""),"",IF($F113="Migré","ROKS",IF($F113="À décommissionner",IF(I$8&lt;$AS113,"IKS","Décom."),IF(OR($AQ113="",$AS113=""),"",IF(I$8&lt;$AQ113,"IKS",IF(I$8&lt;$AS113,IF(I$8=$AR113,"Bascule","Double run"),"ROKS"))))))</f>
        <v/>
      </c>
      <c r="J113" s="51" t="str">
        <f aca="false">IF(OR($A113="",J$8=""),"",IF($F113="Migré","ROKS",IF($F113="À décommissionner",IF(J$8&lt;$AS113,"IKS","Décom."),IF(OR($AQ113="",$AS113=""),"",IF(J$8&lt;$AQ113,"IKS",IF(J$8&lt;$AS113,IF(J$8=$AR113,"Bascule","Double run"),"ROKS"))))))</f>
        <v/>
      </c>
      <c r="K113" s="51" t="str">
        <f aca="false">IF(OR($A113="",K$8=""),"",IF($F113="Migré","ROKS",IF($F113="À décommissionner",IF(K$8&lt;$AS113,"IKS","Décom."),IF(OR($AQ113="",$AS113=""),"",IF(K$8&lt;$AQ113,"IKS",IF(K$8&lt;$AS113,IF(K$8=$AR113,"Bascule","Double run"),"ROKS"))))))</f>
        <v/>
      </c>
      <c r="L113" s="51" t="str">
        <f aca="false">IF(OR($A113="",L$8=""),"",IF($F113="Migré","ROKS",IF($F113="À décommissionner",IF(L$8&lt;$AS113,"IKS","Décom."),IF(OR($AQ113="",$AS113=""),"",IF(L$8&lt;$AQ113,"IKS",IF(L$8&lt;$AS113,IF(L$8=$AR113,"Bascule","Double run"),"ROKS"))))))</f>
        <v/>
      </c>
      <c r="M113" s="51" t="str">
        <f aca="false">IF(OR($A113="",M$8=""),"",IF($F113="Migré","ROKS",IF($F113="À décommissionner",IF(M$8&lt;$AS113,"IKS","Décom."),IF(OR($AQ113="",$AS113=""),"",IF(M$8&lt;$AQ113,"IKS",IF(M$8&lt;$AS113,IF(M$8=$AR113,"Bascule","Double run"),"ROKS"))))))</f>
        <v/>
      </c>
      <c r="N113" s="51" t="str">
        <f aca="false">IF(OR($A113="",N$8=""),"",IF($F113="Migré","ROKS",IF($F113="À décommissionner",IF(N$8&lt;$AS113,"IKS","Décom."),IF(OR($AQ113="",$AS113=""),"",IF(N$8&lt;$AQ113,"IKS",IF(N$8&lt;$AS113,IF(N$8=$AR113,"Bascule","Double run"),"ROKS"))))))</f>
        <v/>
      </c>
      <c r="O113" s="51" t="str">
        <f aca="false">IF(OR($A113="",O$8=""),"",IF($F113="Migré","ROKS",IF($F113="À décommissionner",IF(O$8&lt;$AS113,"IKS","Décom."),IF(OR($AQ113="",$AS113=""),"",IF(O$8&lt;$AQ113,"IKS",IF(O$8&lt;$AS113,IF(O$8=$AR113,"Bascule","Double run"),"ROKS"))))))</f>
        <v/>
      </c>
      <c r="P113" s="51" t="str">
        <f aca="false">IF(OR($A113="",P$8=""),"",IF($F113="Migré","ROKS",IF($F113="À décommissionner",IF(P$8&lt;$AS113,"IKS","Décom."),IF(OR($AQ113="",$AS113=""),"",IF(P$8&lt;$AQ113,"IKS",IF(P$8&lt;$AS113,IF(P$8=$AR113,"Bascule","Double run"),"ROKS"))))))</f>
        <v/>
      </c>
      <c r="Q113" s="51" t="str">
        <f aca="false">IF(OR($A113="",Q$8=""),"",IF($F113="Migré","ROKS",IF($F113="À décommissionner",IF(Q$8&lt;$AS113,"IKS","Décom."),IF(OR($AQ113="",$AS113=""),"",IF(Q$8&lt;$AQ113,"IKS",IF(Q$8&lt;$AS113,IF(Q$8=$AR113,"Bascule","Double run"),"ROKS"))))))</f>
        <v/>
      </c>
      <c r="R113" s="51" t="str">
        <f aca="false">IF(OR($A113="",R$8=""),"",IF($F113="Migré","ROKS",IF($F113="À décommissionner",IF(R$8&lt;$AS113,"IKS","Décom."),IF(OR($AQ113="",$AS113=""),"",IF(R$8&lt;$AQ113,"IKS",IF(R$8&lt;$AS113,IF(R$8=$AR113,"Bascule","Double run"),"ROKS"))))))</f>
        <v/>
      </c>
      <c r="S113" s="51" t="str">
        <f aca="false">IF(OR($A113="",S$8=""),"",IF($F113="Migré","ROKS",IF($F113="À décommissionner",IF(S$8&lt;$AS113,"IKS","Décom."),IF(OR($AQ113="",$AS113=""),"",IF(S$8&lt;$AQ113,"IKS",IF(S$8&lt;$AS113,IF(S$8=$AR113,"Bascule","Double run"),"ROKS"))))))</f>
        <v/>
      </c>
      <c r="T113" s="51" t="str">
        <f aca="false">IF(OR($A113="",T$8=""),"",IF($F113="Migré","ROKS",IF($F113="À décommissionner",IF(T$8&lt;$AS113,"IKS","Décom."),IF(OR($AQ113="",$AS113=""),"",IF(T$8&lt;$AQ113,"IKS",IF(T$8&lt;$AS113,IF(T$8=$AR113,"Bascule","Double run"),"ROKS"))))))</f>
        <v/>
      </c>
      <c r="U113" s="51" t="str">
        <f aca="false">IF(OR($A113="",U$8=""),"",IF($F113="Migré","ROKS",IF($F113="À décommissionner",IF(U$8&lt;$AS113,"IKS","Décom."),IF(OR($AQ113="",$AS113=""),"",IF(U$8&lt;$AQ113,"IKS",IF(U$8&lt;$AS113,IF(U$8=$AR113,"Bascule","Double run"),"ROKS"))))))</f>
        <v/>
      </c>
      <c r="V113" s="51" t="str">
        <f aca="false">IF(OR($A113="",V$8=""),"",IF($F113="Migré","ROKS",IF($F113="À décommissionner",IF(V$8&lt;$AS113,"IKS","Décom."),IF(OR($AQ113="",$AS113=""),"",IF(V$8&lt;$AQ113,"IKS",IF(V$8&lt;$AS113,IF(V$8=$AR113,"Bascule","Double run"),"ROKS"))))))</f>
        <v/>
      </c>
      <c r="W113" s="51" t="str">
        <f aca="false">IF(OR($A113="",W$8=""),"",IF($F113="Migré","ROKS",IF($F113="À décommissionner",IF(W$8&lt;$AS113,"IKS","Décom."),IF(OR($AQ113="",$AS113=""),"",IF(W$8&lt;$AQ113,"IKS",IF(W$8&lt;$AS113,IF(W$8=$AR113,"Bascule","Double run"),"ROKS"))))))</f>
        <v/>
      </c>
      <c r="X113" s="51" t="str">
        <f aca="false">IF(OR($A113="",X$8=""),"",IF($F113="Migré","ROKS",IF($F113="À décommissionner",IF(X$8&lt;$AS113,"IKS","Décom."),IF(OR($AQ113="",$AS113=""),"",IF(X$8&lt;$AQ113,"IKS",IF(X$8&lt;$AS113,IF(X$8=$AR113,"Bascule","Double run"),"ROKS"))))))</f>
        <v/>
      </c>
      <c r="Y113" s="51" t="str">
        <f aca="false">IF(OR($A113="",Y$8=""),"",IF($F113="Migré","ROKS",IF($F113="À décommissionner",IF(Y$8&lt;$AS113,"IKS","Décom."),IF(OR($AQ113="",$AS113=""),"",IF(Y$8&lt;$AQ113,"IKS",IF(Y$8&lt;$AS113,IF(Y$8=$AR113,"Bascule","Double run"),"ROKS"))))))</f>
        <v/>
      </c>
      <c r="Z113" s="51" t="str">
        <f aca="false">IF(OR($A113="",Z$8=""),"",IF($F113="Migré","ROKS",IF($F113="À décommissionner",IF(Z$8&lt;$AS113,"IKS","Décom."),IF(OR($AQ113="",$AS113=""),"",IF(Z$8&lt;$AQ113,"IKS",IF(Z$8&lt;$AS113,IF(Z$8=$AR113,"Bascule","Double run"),"ROKS"))))))</f>
        <v/>
      </c>
      <c r="AA113" s="51" t="str">
        <f aca="false">IF(OR($A113="",AA$8=""),"",IF($F113="Migré","ROKS",IF($F113="À décommissionner",IF(AA$8&lt;$AS113,"IKS","Décom."),IF(OR($AQ113="",$AS113=""),"",IF(AA$8&lt;$AQ113,"IKS",IF(AA$8&lt;$AS113,IF(AA$8=$AR113,"Bascule","Double run"),"ROKS"))))))</f>
        <v/>
      </c>
      <c r="AB113" s="51" t="str">
        <f aca="false">IF(OR($A113="",AB$8=""),"",IF($F113="Migré","ROKS",IF($F113="À décommissionner",IF(AB$8&lt;$AS113,"IKS","Décom."),IF(OR($AQ113="",$AS113=""),"",IF(AB$8&lt;$AQ113,"IKS",IF(AB$8&lt;$AS113,IF(AB$8=$AR113,"Bascule","Double run"),"ROKS"))))))</f>
        <v/>
      </c>
      <c r="AC113" s="51" t="str">
        <f aca="false">IF(OR($A113="",AC$8=""),"",IF($F113="Migré","ROKS",IF($F113="À décommissionner",IF(AC$8&lt;$AS113,"IKS","Décom."),IF(OR($AQ113="",$AS113=""),"",IF(AC$8&lt;$AQ113,"IKS",IF(AC$8&lt;$AS113,IF(AC$8=$AR113,"Bascule","Double run"),"ROKS"))))))</f>
        <v/>
      </c>
      <c r="AD113" s="51" t="str">
        <f aca="false">IF(OR($A113="",AD$8=""),"",IF($F113="Migré","ROKS",IF($F113="À décommissionner",IF(AD$8&lt;$AS113,"IKS","Décom."),IF(OR($AQ113="",$AS113=""),"",IF(AD$8&lt;$AQ113,"IKS",IF(AD$8&lt;$AS113,IF(AD$8=$AR113,"Bascule","Double run"),"ROKS"))))))</f>
        <v/>
      </c>
      <c r="AE113" s="51" t="str">
        <f aca="false">IF(OR($A113="",AE$8=""),"",IF($F113="Migré","ROKS",IF($F113="À décommissionner",IF(AE$8&lt;$AS113,"IKS","Décom."),IF(OR($AQ113="",$AS113=""),"",IF(AE$8&lt;$AQ113,"IKS",IF(AE$8&lt;$AS113,IF(AE$8=$AR113,"Bascule","Double run"),"ROKS"))))))</f>
        <v/>
      </c>
      <c r="AF113" s="51" t="str">
        <f aca="false">IF(OR($A113="",AF$8=""),"",IF($F113="Migré","ROKS",IF($F113="À décommissionner",IF(AF$8&lt;$AS113,"IKS","Décom."),IF(OR($AQ113="",$AS113=""),"",IF(AF$8&lt;$AQ113,"IKS",IF(AF$8&lt;$AS113,IF(AF$8=$AR113,"Bascule","Double run"),"ROKS"))))))</f>
        <v/>
      </c>
      <c r="AG113" s="51" t="str">
        <f aca="false">IF(OR($A113="",AG$8=""),"",IF($F113="Migré","ROKS",IF($F113="À décommissionner",IF(AG$8&lt;$AS113,"IKS","Décom."),IF(OR($AQ113="",$AS113=""),"",IF(AG$8&lt;$AQ113,"IKS",IF(AG$8&lt;$AS113,IF(AG$8=$AR113,"Bascule","Double run"),"ROKS"))))))</f>
        <v/>
      </c>
      <c r="AH113" s="51" t="str">
        <f aca="false">IF(OR($A113="",AH$8=""),"",IF($F113="Migré","ROKS",IF($F113="À décommissionner",IF(AH$8&lt;$AS113,"IKS","Décom."),IF(OR($AQ113="",$AS113=""),"",IF(AH$8&lt;$AQ113,"IKS",IF(AH$8&lt;$AS113,IF(AH$8=$AR113,"Bascule","Double run"),"ROKS"))))))</f>
        <v/>
      </c>
      <c r="AI113" s="51" t="str">
        <f aca="false">IF(OR($A113="",AI$8=""),"",IF($F113="Migré","ROKS",IF($F113="À décommissionner",IF(AI$8&lt;$AS113,"IKS","Décom."),IF(OR($AQ113="",$AS113=""),"",IF(AI$8&lt;$AQ113,"IKS",IF(AI$8&lt;$AS113,IF(AI$8=$AR113,"Bascule","Double run"),"ROKS"))))))</f>
        <v/>
      </c>
      <c r="AJ113" s="51" t="str">
        <f aca="false">IF(OR($A113="",AJ$8=""),"",IF($F113="Migré","ROKS",IF($F113="À décommissionner",IF(AJ$8&lt;$AS113,"IKS","Décom."),IF(OR($AQ113="",$AS113=""),"",IF(AJ$8&lt;$AQ113,"IKS",IF(AJ$8&lt;$AS113,IF(AJ$8=$AR113,"Bascule","Double run"),"ROKS"))))))</f>
        <v/>
      </c>
      <c r="AK113" s="51" t="str">
        <f aca="false">IF(OR($A113="",AK$8=""),"",IF($F113="Migré","ROKS",IF($F113="À décommissionner",IF(AK$8&lt;$AS113,"IKS","Décom."),IF(OR($AQ113="",$AS113=""),"",IF(AK$8&lt;$AQ113,"IKS",IF(AK$8&lt;$AS113,IF(AK$8=$AR113,"Bascule","Double run"),"ROKS"))))))</f>
        <v/>
      </c>
      <c r="AL113" s="51" t="str">
        <f aca="false">IF(OR($A113="",AL$8=""),"",IF($F113="Migré","ROKS",IF($F113="À décommissionner",IF(AL$8&lt;$AS113,"IKS","Décom."),IF(OR($AQ113="",$AS113=""),"",IF(AL$8&lt;$AQ113,"IKS",IF(AL$8&lt;$AS113,IF(AL$8=$AR113,"Bascule","Double run"),"ROKS"))))))</f>
        <v/>
      </c>
      <c r="AM113" s="51" t="str">
        <f aca="false">IF(OR($A113="",AM$8=""),"",IF($F113="Migré","ROKS",IF($F113="À décommissionner",IF(AM$8&lt;$AS113,"IKS","Décom."),IF(OR($AQ113="",$AS113=""),"",IF(AM$8&lt;$AQ113,"IKS",IF(AM$8&lt;$AS113,IF(AM$8=$AR113,"Bascule","Double run"),"ROKS"))))))</f>
        <v/>
      </c>
      <c r="AN113" s="51" t="str">
        <f aca="false">IF(OR($A113="",AN$8=""),"",IF($F113="Migré","ROKS",IF($F113="À décommissionner",IF(AN$8&lt;$AS113,"IKS","Décom."),IF(OR($AQ113="",$AS113=""),"",IF(AN$8&lt;$AQ113,"IKS",IF(AN$8&lt;$AS113,IF(AN$8=$AR113,"Bascule","Double run"),"ROKS"))))))</f>
        <v/>
      </c>
      <c r="AO113" s="51" t="str">
        <f aca="false">IF(OR($A113="",AO$8=""),"",IF($F113="Migré","ROKS",IF($F113="À décommissionner",IF(AO$8&lt;$AS113,"IKS","Décom."),IF(OR($AQ113="",$AS113=""),"",IF(AO$8&lt;$AQ113,"IKS",IF(AO$8&lt;$AS113,IF(AO$8=$AR113,"Bascule","Double run"),"ROKS"))))))</f>
        <v/>
      </c>
      <c r="AP113" s="51" t="str">
        <f aca="false">IF(OR($A113="",AP$8=""),"",IF($F113="Migré","ROKS",IF($F113="À décommissionner",IF(AP$8&lt;$AS113,"IKS","Décom."),IF(OR($AQ113="",$AS113=""),"",IF(AP$8&lt;$AQ113,"IKS",IF(AP$8&lt;$AS113,IF(AP$8=$AR113,"Bascule","Double run"),"ROKS"))))))</f>
        <v/>
      </c>
      <c r="AQ113" s="0" t="str">
        <f aca="false">IF($A113="","",INDEX(TblApplications[Mois prov (calc)],$A113))</f>
        <v/>
      </c>
      <c r="AR113" s="0" t="str">
        <f aca="false">IF($A113="","",IFERROR(DATE(YEAR(INDEX(TblApplications[Mois bascule],$A113)),MONTH(INDEX(TblApplications[Mois bascule],$A113)),1),""))</f>
        <v/>
      </c>
      <c r="AS113" s="0" t="str">
        <f aca="false">IF($A113="","",INDEX(TblApplications[Mois lib (calc)],$A113))</f>
        <v/>
      </c>
    </row>
    <row r="114" customFormat="false" ht="15" hidden="false" customHeight="false" outlineLevel="0" collapsed="false">
      <c r="A114" s="49" t="str">
        <f aca="false">IFERROR(MATCH(106,TblApplications[Rang frise],0),"")</f>
        <v/>
      </c>
      <c r="B114" s="50" t="str">
        <f aca="false">IF($A114="","",INDEX(TblApplications[ID],$A114))</f>
        <v/>
      </c>
      <c r="C114" s="50" t="str">
        <f aca="false">IF($A114="","",INDEX(TblApplications[Application],$A114))</f>
        <v/>
      </c>
      <c r="D114" s="50" t="str">
        <f aca="false">IF($A114="","",INDEX(TblApplications[Environnement],$A114))</f>
        <v/>
      </c>
      <c r="E114" s="50" t="str">
        <f aca="false">IF($A114="","",INDEX(TblApplications[Couloir],$A114))</f>
        <v/>
      </c>
      <c r="F114" s="50" t="str">
        <f aca="false">IF($A114="","",INDEX(TblApplications[Action],$A114))</f>
        <v/>
      </c>
      <c r="G114" s="51" t="str">
        <f aca="false">IF(OR($A114="",G$8=""),"",IF($F114="Migré","ROKS",IF($F114="À décommissionner",IF(G$8&lt;$AS114,"IKS","Décom."),IF(OR($AQ114="",$AS114=""),"",IF(G$8&lt;$AQ114,"IKS",IF(G$8&lt;$AS114,IF(G$8=$AR114,"Bascule","Double run"),"ROKS"))))))</f>
        <v/>
      </c>
      <c r="H114" s="51" t="str">
        <f aca="false">IF(OR($A114="",H$8=""),"",IF($F114="Migré","ROKS",IF($F114="À décommissionner",IF(H$8&lt;$AS114,"IKS","Décom."),IF(OR($AQ114="",$AS114=""),"",IF(H$8&lt;$AQ114,"IKS",IF(H$8&lt;$AS114,IF(H$8=$AR114,"Bascule","Double run"),"ROKS"))))))</f>
        <v/>
      </c>
      <c r="I114" s="51" t="str">
        <f aca="false">IF(OR($A114="",I$8=""),"",IF($F114="Migré","ROKS",IF($F114="À décommissionner",IF(I$8&lt;$AS114,"IKS","Décom."),IF(OR($AQ114="",$AS114=""),"",IF(I$8&lt;$AQ114,"IKS",IF(I$8&lt;$AS114,IF(I$8=$AR114,"Bascule","Double run"),"ROKS"))))))</f>
        <v/>
      </c>
      <c r="J114" s="51" t="str">
        <f aca="false">IF(OR($A114="",J$8=""),"",IF($F114="Migré","ROKS",IF($F114="À décommissionner",IF(J$8&lt;$AS114,"IKS","Décom."),IF(OR($AQ114="",$AS114=""),"",IF(J$8&lt;$AQ114,"IKS",IF(J$8&lt;$AS114,IF(J$8=$AR114,"Bascule","Double run"),"ROKS"))))))</f>
        <v/>
      </c>
      <c r="K114" s="51" t="str">
        <f aca="false">IF(OR($A114="",K$8=""),"",IF($F114="Migré","ROKS",IF($F114="À décommissionner",IF(K$8&lt;$AS114,"IKS","Décom."),IF(OR($AQ114="",$AS114=""),"",IF(K$8&lt;$AQ114,"IKS",IF(K$8&lt;$AS114,IF(K$8=$AR114,"Bascule","Double run"),"ROKS"))))))</f>
        <v/>
      </c>
      <c r="L114" s="51" t="str">
        <f aca="false">IF(OR($A114="",L$8=""),"",IF($F114="Migré","ROKS",IF($F114="À décommissionner",IF(L$8&lt;$AS114,"IKS","Décom."),IF(OR($AQ114="",$AS114=""),"",IF(L$8&lt;$AQ114,"IKS",IF(L$8&lt;$AS114,IF(L$8=$AR114,"Bascule","Double run"),"ROKS"))))))</f>
        <v/>
      </c>
      <c r="M114" s="51" t="str">
        <f aca="false">IF(OR($A114="",M$8=""),"",IF($F114="Migré","ROKS",IF($F114="À décommissionner",IF(M$8&lt;$AS114,"IKS","Décom."),IF(OR($AQ114="",$AS114=""),"",IF(M$8&lt;$AQ114,"IKS",IF(M$8&lt;$AS114,IF(M$8=$AR114,"Bascule","Double run"),"ROKS"))))))</f>
        <v/>
      </c>
      <c r="N114" s="51" t="str">
        <f aca="false">IF(OR($A114="",N$8=""),"",IF($F114="Migré","ROKS",IF($F114="À décommissionner",IF(N$8&lt;$AS114,"IKS","Décom."),IF(OR($AQ114="",$AS114=""),"",IF(N$8&lt;$AQ114,"IKS",IF(N$8&lt;$AS114,IF(N$8=$AR114,"Bascule","Double run"),"ROKS"))))))</f>
        <v/>
      </c>
      <c r="O114" s="51" t="str">
        <f aca="false">IF(OR($A114="",O$8=""),"",IF($F114="Migré","ROKS",IF($F114="À décommissionner",IF(O$8&lt;$AS114,"IKS","Décom."),IF(OR($AQ114="",$AS114=""),"",IF(O$8&lt;$AQ114,"IKS",IF(O$8&lt;$AS114,IF(O$8=$AR114,"Bascule","Double run"),"ROKS"))))))</f>
        <v/>
      </c>
      <c r="P114" s="51" t="str">
        <f aca="false">IF(OR($A114="",P$8=""),"",IF($F114="Migré","ROKS",IF($F114="À décommissionner",IF(P$8&lt;$AS114,"IKS","Décom."),IF(OR($AQ114="",$AS114=""),"",IF(P$8&lt;$AQ114,"IKS",IF(P$8&lt;$AS114,IF(P$8=$AR114,"Bascule","Double run"),"ROKS"))))))</f>
        <v/>
      </c>
      <c r="Q114" s="51" t="str">
        <f aca="false">IF(OR($A114="",Q$8=""),"",IF($F114="Migré","ROKS",IF($F114="À décommissionner",IF(Q$8&lt;$AS114,"IKS","Décom."),IF(OR($AQ114="",$AS114=""),"",IF(Q$8&lt;$AQ114,"IKS",IF(Q$8&lt;$AS114,IF(Q$8=$AR114,"Bascule","Double run"),"ROKS"))))))</f>
        <v/>
      </c>
      <c r="R114" s="51" t="str">
        <f aca="false">IF(OR($A114="",R$8=""),"",IF($F114="Migré","ROKS",IF($F114="À décommissionner",IF(R$8&lt;$AS114,"IKS","Décom."),IF(OR($AQ114="",$AS114=""),"",IF(R$8&lt;$AQ114,"IKS",IF(R$8&lt;$AS114,IF(R$8=$AR114,"Bascule","Double run"),"ROKS"))))))</f>
        <v/>
      </c>
      <c r="S114" s="51" t="str">
        <f aca="false">IF(OR($A114="",S$8=""),"",IF($F114="Migré","ROKS",IF($F114="À décommissionner",IF(S$8&lt;$AS114,"IKS","Décom."),IF(OR($AQ114="",$AS114=""),"",IF(S$8&lt;$AQ114,"IKS",IF(S$8&lt;$AS114,IF(S$8=$AR114,"Bascule","Double run"),"ROKS"))))))</f>
        <v/>
      </c>
      <c r="T114" s="51" t="str">
        <f aca="false">IF(OR($A114="",T$8=""),"",IF($F114="Migré","ROKS",IF($F114="À décommissionner",IF(T$8&lt;$AS114,"IKS","Décom."),IF(OR($AQ114="",$AS114=""),"",IF(T$8&lt;$AQ114,"IKS",IF(T$8&lt;$AS114,IF(T$8=$AR114,"Bascule","Double run"),"ROKS"))))))</f>
        <v/>
      </c>
      <c r="U114" s="51" t="str">
        <f aca="false">IF(OR($A114="",U$8=""),"",IF($F114="Migré","ROKS",IF($F114="À décommissionner",IF(U$8&lt;$AS114,"IKS","Décom."),IF(OR($AQ114="",$AS114=""),"",IF(U$8&lt;$AQ114,"IKS",IF(U$8&lt;$AS114,IF(U$8=$AR114,"Bascule","Double run"),"ROKS"))))))</f>
        <v/>
      </c>
      <c r="V114" s="51" t="str">
        <f aca="false">IF(OR($A114="",V$8=""),"",IF($F114="Migré","ROKS",IF($F114="À décommissionner",IF(V$8&lt;$AS114,"IKS","Décom."),IF(OR($AQ114="",$AS114=""),"",IF(V$8&lt;$AQ114,"IKS",IF(V$8&lt;$AS114,IF(V$8=$AR114,"Bascule","Double run"),"ROKS"))))))</f>
        <v/>
      </c>
      <c r="W114" s="51" t="str">
        <f aca="false">IF(OR($A114="",W$8=""),"",IF($F114="Migré","ROKS",IF($F114="À décommissionner",IF(W$8&lt;$AS114,"IKS","Décom."),IF(OR($AQ114="",$AS114=""),"",IF(W$8&lt;$AQ114,"IKS",IF(W$8&lt;$AS114,IF(W$8=$AR114,"Bascule","Double run"),"ROKS"))))))</f>
        <v/>
      </c>
      <c r="X114" s="51" t="str">
        <f aca="false">IF(OR($A114="",X$8=""),"",IF($F114="Migré","ROKS",IF($F114="À décommissionner",IF(X$8&lt;$AS114,"IKS","Décom."),IF(OR($AQ114="",$AS114=""),"",IF(X$8&lt;$AQ114,"IKS",IF(X$8&lt;$AS114,IF(X$8=$AR114,"Bascule","Double run"),"ROKS"))))))</f>
        <v/>
      </c>
      <c r="Y114" s="51" t="str">
        <f aca="false">IF(OR($A114="",Y$8=""),"",IF($F114="Migré","ROKS",IF($F114="À décommissionner",IF(Y$8&lt;$AS114,"IKS","Décom."),IF(OR($AQ114="",$AS114=""),"",IF(Y$8&lt;$AQ114,"IKS",IF(Y$8&lt;$AS114,IF(Y$8=$AR114,"Bascule","Double run"),"ROKS"))))))</f>
        <v/>
      </c>
      <c r="Z114" s="51" t="str">
        <f aca="false">IF(OR($A114="",Z$8=""),"",IF($F114="Migré","ROKS",IF($F114="À décommissionner",IF(Z$8&lt;$AS114,"IKS","Décom."),IF(OR($AQ114="",$AS114=""),"",IF(Z$8&lt;$AQ114,"IKS",IF(Z$8&lt;$AS114,IF(Z$8=$AR114,"Bascule","Double run"),"ROKS"))))))</f>
        <v/>
      </c>
      <c r="AA114" s="51" t="str">
        <f aca="false">IF(OR($A114="",AA$8=""),"",IF($F114="Migré","ROKS",IF($F114="À décommissionner",IF(AA$8&lt;$AS114,"IKS","Décom."),IF(OR($AQ114="",$AS114=""),"",IF(AA$8&lt;$AQ114,"IKS",IF(AA$8&lt;$AS114,IF(AA$8=$AR114,"Bascule","Double run"),"ROKS"))))))</f>
        <v/>
      </c>
      <c r="AB114" s="51" t="str">
        <f aca="false">IF(OR($A114="",AB$8=""),"",IF($F114="Migré","ROKS",IF($F114="À décommissionner",IF(AB$8&lt;$AS114,"IKS","Décom."),IF(OR($AQ114="",$AS114=""),"",IF(AB$8&lt;$AQ114,"IKS",IF(AB$8&lt;$AS114,IF(AB$8=$AR114,"Bascule","Double run"),"ROKS"))))))</f>
        <v/>
      </c>
      <c r="AC114" s="51" t="str">
        <f aca="false">IF(OR($A114="",AC$8=""),"",IF($F114="Migré","ROKS",IF($F114="À décommissionner",IF(AC$8&lt;$AS114,"IKS","Décom."),IF(OR($AQ114="",$AS114=""),"",IF(AC$8&lt;$AQ114,"IKS",IF(AC$8&lt;$AS114,IF(AC$8=$AR114,"Bascule","Double run"),"ROKS"))))))</f>
        <v/>
      </c>
      <c r="AD114" s="51" t="str">
        <f aca="false">IF(OR($A114="",AD$8=""),"",IF($F114="Migré","ROKS",IF($F114="À décommissionner",IF(AD$8&lt;$AS114,"IKS","Décom."),IF(OR($AQ114="",$AS114=""),"",IF(AD$8&lt;$AQ114,"IKS",IF(AD$8&lt;$AS114,IF(AD$8=$AR114,"Bascule","Double run"),"ROKS"))))))</f>
        <v/>
      </c>
      <c r="AE114" s="51" t="str">
        <f aca="false">IF(OR($A114="",AE$8=""),"",IF($F114="Migré","ROKS",IF($F114="À décommissionner",IF(AE$8&lt;$AS114,"IKS","Décom."),IF(OR($AQ114="",$AS114=""),"",IF(AE$8&lt;$AQ114,"IKS",IF(AE$8&lt;$AS114,IF(AE$8=$AR114,"Bascule","Double run"),"ROKS"))))))</f>
        <v/>
      </c>
      <c r="AF114" s="51" t="str">
        <f aca="false">IF(OR($A114="",AF$8=""),"",IF($F114="Migré","ROKS",IF($F114="À décommissionner",IF(AF$8&lt;$AS114,"IKS","Décom."),IF(OR($AQ114="",$AS114=""),"",IF(AF$8&lt;$AQ114,"IKS",IF(AF$8&lt;$AS114,IF(AF$8=$AR114,"Bascule","Double run"),"ROKS"))))))</f>
        <v/>
      </c>
      <c r="AG114" s="51" t="str">
        <f aca="false">IF(OR($A114="",AG$8=""),"",IF($F114="Migré","ROKS",IF($F114="À décommissionner",IF(AG$8&lt;$AS114,"IKS","Décom."),IF(OR($AQ114="",$AS114=""),"",IF(AG$8&lt;$AQ114,"IKS",IF(AG$8&lt;$AS114,IF(AG$8=$AR114,"Bascule","Double run"),"ROKS"))))))</f>
        <v/>
      </c>
      <c r="AH114" s="51" t="str">
        <f aca="false">IF(OR($A114="",AH$8=""),"",IF($F114="Migré","ROKS",IF($F114="À décommissionner",IF(AH$8&lt;$AS114,"IKS","Décom."),IF(OR($AQ114="",$AS114=""),"",IF(AH$8&lt;$AQ114,"IKS",IF(AH$8&lt;$AS114,IF(AH$8=$AR114,"Bascule","Double run"),"ROKS"))))))</f>
        <v/>
      </c>
      <c r="AI114" s="51" t="str">
        <f aca="false">IF(OR($A114="",AI$8=""),"",IF($F114="Migré","ROKS",IF($F114="À décommissionner",IF(AI$8&lt;$AS114,"IKS","Décom."),IF(OR($AQ114="",$AS114=""),"",IF(AI$8&lt;$AQ114,"IKS",IF(AI$8&lt;$AS114,IF(AI$8=$AR114,"Bascule","Double run"),"ROKS"))))))</f>
        <v/>
      </c>
      <c r="AJ114" s="51" t="str">
        <f aca="false">IF(OR($A114="",AJ$8=""),"",IF($F114="Migré","ROKS",IF($F114="À décommissionner",IF(AJ$8&lt;$AS114,"IKS","Décom."),IF(OR($AQ114="",$AS114=""),"",IF(AJ$8&lt;$AQ114,"IKS",IF(AJ$8&lt;$AS114,IF(AJ$8=$AR114,"Bascule","Double run"),"ROKS"))))))</f>
        <v/>
      </c>
      <c r="AK114" s="51" t="str">
        <f aca="false">IF(OR($A114="",AK$8=""),"",IF($F114="Migré","ROKS",IF($F114="À décommissionner",IF(AK$8&lt;$AS114,"IKS","Décom."),IF(OR($AQ114="",$AS114=""),"",IF(AK$8&lt;$AQ114,"IKS",IF(AK$8&lt;$AS114,IF(AK$8=$AR114,"Bascule","Double run"),"ROKS"))))))</f>
        <v/>
      </c>
      <c r="AL114" s="51" t="str">
        <f aca="false">IF(OR($A114="",AL$8=""),"",IF($F114="Migré","ROKS",IF($F114="À décommissionner",IF(AL$8&lt;$AS114,"IKS","Décom."),IF(OR($AQ114="",$AS114=""),"",IF(AL$8&lt;$AQ114,"IKS",IF(AL$8&lt;$AS114,IF(AL$8=$AR114,"Bascule","Double run"),"ROKS"))))))</f>
        <v/>
      </c>
      <c r="AM114" s="51" t="str">
        <f aca="false">IF(OR($A114="",AM$8=""),"",IF($F114="Migré","ROKS",IF($F114="À décommissionner",IF(AM$8&lt;$AS114,"IKS","Décom."),IF(OR($AQ114="",$AS114=""),"",IF(AM$8&lt;$AQ114,"IKS",IF(AM$8&lt;$AS114,IF(AM$8=$AR114,"Bascule","Double run"),"ROKS"))))))</f>
        <v/>
      </c>
      <c r="AN114" s="51" t="str">
        <f aca="false">IF(OR($A114="",AN$8=""),"",IF($F114="Migré","ROKS",IF($F114="À décommissionner",IF(AN$8&lt;$AS114,"IKS","Décom."),IF(OR($AQ114="",$AS114=""),"",IF(AN$8&lt;$AQ114,"IKS",IF(AN$8&lt;$AS114,IF(AN$8=$AR114,"Bascule","Double run"),"ROKS"))))))</f>
        <v/>
      </c>
      <c r="AO114" s="51" t="str">
        <f aca="false">IF(OR($A114="",AO$8=""),"",IF($F114="Migré","ROKS",IF($F114="À décommissionner",IF(AO$8&lt;$AS114,"IKS","Décom."),IF(OR($AQ114="",$AS114=""),"",IF(AO$8&lt;$AQ114,"IKS",IF(AO$8&lt;$AS114,IF(AO$8=$AR114,"Bascule","Double run"),"ROKS"))))))</f>
        <v/>
      </c>
      <c r="AP114" s="51" t="str">
        <f aca="false">IF(OR($A114="",AP$8=""),"",IF($F114="Migré","ROKS",IF($F114="À décommissionner",IF(AP$8&lt;$AS114,"IKS","Décom."),IF(OR($AQ114="",$AS114=""),"",IF(AP$8&lt;$AQ114,"IKS",IF(AP$8&lt;$AS114,IF(AP$8=$AR114,"Bascule","Double run"),"ROKS"))))))</f>
        <v/>
      </c>
      <c r="AQ114" s="0" t="str">
        <f aca="false">IF($A114="","",INDEX(TblApplications[Mois prov (calc)],$A114))</f>
        <v/>
      </c>
      <c r="AR114" s="0" t="str">
        <f aca="false">IF($A114="","",IFERROR(DATE(YEAR(INDEX(TblApplications[Mois bascule],$A114)),MONTH(INDEX(TblApplications[Mois bascule],$A114)),1),""))</f>
        <v/>
      </c>
      <c r="AS114" s="0" t="str">
        <f aca="false">IF($A114="","",INDEX(TblApplications[Mois lib (calc)],$A114))</f>
        <v/>
      </c>
    </row>
    <row r="115" customFormat="false" ht="15" hidden="false" customHeight="false" outlineLevel="0" collapsed="false">
      <c r="A115" s="49" t="str">
        <f aca="false">IFERROR(MATCH(107,TblApplications[Rang frise],0),"")</f>
        <v/>
      </c>
      <c r="B115" s="50" t="str">
        <f aca="false">IF($A115="","",INDEX(TblApplications[ID],$A115))</f>
        <v/>
      </c>
      <c r="C115" s="50" t="str">
        <f aca="false">IF($A115="","",INDEX(TblApplications[Application],$A115))</f>
        <v/>
      </c>
      <c r="D115" s="50" t="str">
        <f aca="false">IF($A115="","",INDEX(TblApplications[Environnement],$A115))</f>
        <v/>
      </c>
      <c r="E115" s="50" t="str">
        <f aca="false">IF($A115="","",INDEX(TblApplications[Couloir],$A115))</f>
        <v/>
      </c>
      <c r="F115" s="50" t="str">
        <f aca="false">IF($A115="","",INDEX(TblApplications[Action],$A115))</f>
        <v/>
      </c>
      <c r="G115" s="51" t="str">
        <f aca="false">IF(OR($A115="",G$8=""),"",IF($F115="Migré","ROKS",IF($F115="À décommissionner",IF(G$8&lt;$AS115,"IKS","Décom."),IF(OR($AQ115="",$AS115=""),"",IF(G$8&lt;$AQ115,"IKS",IF(G$8&lt;$AS115,IF(G$8=$AR115,"Bascule","Double run"),"ROKS"))))))</f>
        <v/>
      </c>
      <c r="H115" s="51" t="str">
        <f aca="false">IF(OR($A115="",H$8=""),"",IF($F115="Migré","ROKS",IF($F115="À décommissionner",IF(H$8&lt;$AS115,"IKS","Décom."),IF(OR($AQ115="",$AS115=""),"",IF(H$8&lt;$AQ115,"IKS",IF(H$8&lt;$AS115,IF(H$8=$AR115,"Bascule","Double run"),"ROKS"))))))</f>
        <v/>
      </c>
      <c r="I115" s="51" t="str">
        <f aca="false">IF(OR($A115="",I$8=""),"",IF($F115="Migré","ROKS",IF($F115="À décommissionner",IF(I$8&lt;$AS115,"IKS","Décom."),IF(OR($AQ115="",$AS115=""),"",IF(I$8&lt;$AQ115,"IKS",IF(I$8&lt;$AS115,IF(I$8=$AR115,"Bascule","Double run"),"ROKS"))))))</f>
        <v/>
      </c>
      <c r="J115" s="51" t="str">
        <f aca="false">IF(OR($A115="",J$8=""),"",IF($F115="Migré","ROKS",IF($F115="À décommissionner",IF(J$8&lt;$AS115,"IKS","Décom."),IF(OR($AQ115="",$AS115=""),"",IF(J$8&lt;$AQ115,"IKS",IF(J$8&lt;$AS115,IF(J$8=$AR115,"Bascule","Double run"),"ROKS"))))))</f>
        <v/>
      </c>
      <c r="K115" s="51" t="str">
        <f aca="false">IF(OR($A115="",K$8=""),"",IF($F115="Migré","ROKS",IF($F115="À décommissionner",IF(K$8&lt;$AS115,"IKS","Décom."),IF(OR($AQ115="",$AS115=""),"",IF(K$8&lt;$AQ115,"IKS",IF(K$8&lt;$AS115,IF(K$8=$AR115,"Bascule","Double run"),"ROKS"))))))</f>
        <v/>
      </c>
      <c r="L115" s="51" t="str">
        <f aca="false">IF(OR($A115="",L$8=""),"",IF($F115="Migré","ROKS",IF($F115="À décommissionner",IF(L$8&lt;$AS115,"IKS","Décom."),IF(OR($AQ115="",$AS115=""),"",IF(L$8&lt;$AQ115,"IKS",IF(L$8&lt;$AS115,IF(L$8=$AR115,"Bascule","Double run"),"ROKS"))))))</f>
        <v/>
      </c>
      <c r="M115" s="51" t="str">
        <f aca="false">IF(OR($A115="",M$8=""),"",IF($F115="Migré","ROKS",IF($F115="À décommissionner",IF(M$8&lt;$AS115,"IKS","Décom."),IF(OR($AQ115="",$AS115=""),"",IF(M$8&lt;$AQ115,"IKS",IF(M$8&lt;$AS115,IF(M$8=$AR115,"Bascule","Double run"),"ROKS"))))))</f>
        <v/>
      </c>
      <c r="N115" s="51" t="str">
        <f aca="false">IF(OR($A115="",N$8=""),"",IF($F115="Migré","ROKS",IF($F115="À décommissionner",IF(N$8&lt;$AS115,"IKS","Décom."),IF(OR($AQ115="",$AS115=""),"",IF(N$8&lt;$AQ115,"IKS",IF(N$8&lt;$AS115,IF(N$8=$AR115,"Bascule","Double run"),"ROKS"))))))</f>
        <v/>
      </c>
      <c r="O115" s="51" t="str">
        <f aca="false">IF(OR($A115="",O$8=""),"",IF($F115="Migré","ROKS",IF($F115="À décommissionner",IF(O$8&lt;$AS115,"IKS","Décom."),IF(OR($AQ115="",$AS115=""),"",IF(O$8&lt;$AQ115,"IKS",IF(O$8&lt;$AS115,IF(O$8=$AR115,"Bascule","Double run"),"ROKS"))))))</f>
        <v/>
      </c>
      <c r="P115" s="51" t="str">
        <f aca="false">IF(OR($A115="",P$8=""),"",IF($F115="Migré","ROKS",IF($F115="À décommissionner",IF(P$8&lt;$AS115,"IKS","Décom."),IF(OR($AQ115="",$AS115=""),"",IF(P$8&lt;$AQ115,"IKS",IF(P$8&lt;$AS115,IF(P$8=$AR115,"Bascule","Double run"),"ROKS"))))))</f>
        <v/>
      </c>
      <c r="Q115" s="51" t="str">
        <f aca="false">IF(OR($A115="",Q$8=""),"",IF($F115="Migré","ROKS",IF($F115="À décommissionner",IF(Q$8&lt;$AS115,"IKS","Décom."),IF(OR($AQ115="",$AS115=""),"",IF(Q$8&lt;$AQ115,"IKS",IF(Q$8&lt;$AS115,IF(Q$8=$AR115,"Bascule","Double run"),"ROKS"))))))</f>
        <v/>
      </c>
      <c r="R115" s="51" t="str">
        <f aca="false">IF(OR($A115="",R$8=""),"",IF($F115="Migré","ROKS",IF($F115="À décommissionner",IF(R$8&lt;$AS115,"IKS","Décom."),IF(OR($AQ115="",$AS115=""),"",IF(R$8&lt;$AQ115,"IKS",IF(R$8&lt;$AS115,IF(R$8=$AR115,"Bascule","Double run"),"ROKS"))))))</f>
        <v/>
      </c>
      <c r="S115" s="51" t="str">
        <f aca="false">IF(OR($A115="",S$8=""),"",IF($F115="Migré","ROKS",IF($F115="À décommissionner",IF(S$8&lt;$AS115,"IKS","Décom."),IF(OR($AQ115="",$AS115=""),"",IF(S$8&lt;$AQ115,"IKS",IF(S$8&lt;$AS115,IF(S$8=$AR115,"Bascule","Double run"),"ROKS"))))))</f>
        <v/>
      </c>
      <c r="T115" s="51" t="str">
        <f aca="false">IF(OR($A115="",T$8=""),"",IF($F115="Migré","ROKS",IF($F115="À décommissionner",IF(T$8&lt;$AS115,"IKS","Décom."),IF(OR($AQ115="",$AS115=""),"",IF(T$8&lt;$AQ115,"IKS",IF(T$8&lt;$AS115,IF(T$8=$AR115,"Bascule","Double run"),"ROKS"))))))</f>
        <v/>
      </c>
      <c r="U115" s="51" t="str">
        <f aca="false">IF(OR($A115="",U$8=""),"",IF($F115="Migré","ROKS",IF($F115="À décommissionner",IF(U$8&lt;$AS115,"IKS","Décom."),IF(OR($AQ115="",$AS115=""),"",IF(U$8&lt;$AQ115,"IKS",IF(U$8&lt;$AS115,IF(U$8=$AR115,"Bascule","Double run"),"ROKS"))))))</f>
        <v/>
      </c>
      <c r="V115" s="51" t="str">
        <f aca="false">IF(OR($A115="",V$8=""),"",IF($F115="Migré","ROKS",IF($F115="À décommissionner",IF(V$8&lt;$AS115,"IKS","Décom."),IF(OR($AQ115="",$AS115=""),"",IF(V$8&lt;$AQ115,"IKS",IF(V$8&lt;$AS115,IF(V$8=$AR115,"Bascule","Double run"),"ROKS"))))))</f>
        <v/>
      </c>
      <c r="W115" s="51" t="str">
        <f aca="false">IF(OR($A115="",W$8=""),"",IF($F115="Migré","ROKS",IF($F115="À décommissionner",IF(W$8&lt;$AS115,"IKS","Décom."),IF(OR($AQ115="",$AS115=""),"",IF(W$8&lt;$AQ115,"IKS",IF(W$8&lt;$AS115,IF(W$8=$AR115,"Bascule","Double run"),"ROKS"))))))</f>
        <v/>
      </c>
      <c r="X115" s="51" t="str">
        <f aca="false">IF(OR($A115="",X$8=""),"",IF($F115="Migré","ROKS",IF($F115="À décommissionner",IF(X$8&lt;$AS115,"IKS","Décom."),IF(OR($AQ115="",$AS115=""),"",IF(X$8&lt;$AQ115,"IKS",IF(X$8&lt;$AS115,IF(X$8=$AR115,"Bascule","Double run"),"ROKS"))))))</f>
        <v/>
      </c>
      <c r="Y115" s="51" t="str">
        <f aca="false">IF(OR($A115="",Y$8=""),"",IF($F115="Migré","ROKS",IF($F115="À décommissionner",IF(Y$8&lt;$AS115,"IKS","Décom."),IF(OR($AQ115="",$AS115=""),"",IF(Y$8&lt;$AQ115,"IKS",IF(Y$8&lt;$AS115,IF(Y$8=$AR115,"Bascule","Double run"),"ROKS"))))))</f>
        <v/>
      </c>
      <c r="Z115" s="51" t="str">
        <f aca="false">IF(OR($A115="",Z$8=""),"",IF($F115="Migré","ROKS",IF($F115="À décommissionner",IF(Z$8&lt;$AS115,"IKS","Décom."),IF(OR($AQ115="",$AS115=""),"",IF(Z$8&lt;$AQ115,"IKS",IF(Z$8&lt;$AS115,IF(Z$8=$AR115,"Bascule","Double run"),"ROKS"))))))</f>
        <v/>
      </c>
      <c r="AA115" s="51" t="str">
        <f aca="false">IF(OR($A115="",AA$8=""),"",IF($F115="Migré","ROKS",IF($F115="À décommissionner",IF(AA$8&lt;$AS115,"IKS","Décom."),IF(OR($AQ115="",$AS115=""),"",IF(AA$8&lt;$AQ115,"IKS",IF(AA$8&lt;$AS115,IF(AA$8=$AR115,"Bascule","Double run"),"ROKS"))))))</f>
        <v/>
      </c>
      <c r="AB115" s="51" t="str">
        <f aca="false">IF(OR($A115="",AB$8=""),"",IF($F115="Migré","ROKS",IF($F115="À décommissionner",IF(AB$8&lt;$AS115,"IKS","Décom."),IF(OR($AQ115="",$AS115=""),"",IF(AB$8&lt;$AQ115,"IKS",IF(AB$8&lt;$AS115,IF(AB$8=$AR115,"Bascule","Double run"),"ROKS"))))))</f>
        <v/>
      </c>
      <c r="AC115" s="51" t="str">
        <f aca="false">IF(OR($A115="",AC$8=""),"",IF($F115="Migré","ROKS",IF($F115="À décommissionner",IF(AC$8&lt;$AS115,"IKS","Décom."),IF(OR($AQ115="",$AS115=""),"",IF(AC$8&lt;$AQ115,"IKS",IF(AC$8&lt;$AS115,IF(AC$8=$AR115,"Bascule","Double run"),"ROKS"))))))</f>
        <v/>
      </c>
      <c r="AD115" s="51" t="str">
        <f aca="false">IF(OR($A115="",AD$8=""),"",IF($F115="Migré","ROKS",IF($F115="À décommissionner",IF(AD$8&lt;$AS115,"IKS","Décom."),IF(OR($AQ115="",$AS115=""),"",IF(AD$8&lt;$AQ115,"IKS",IF(AD$8&lt;$AS115,IF(AD$8=$AR115,"Bascule","Double run"),"ROKS"))))))</f>
        <v/>
      </c>
      <c r="AE115" s="51" t="str">
        <f aca="false">IF(OR($A115="",AE$8=""),"",IF($F115="Migré","ROKS",IF($F115="À décommissionner",IF(AE$8&lt;$AS115,"IKS","Décom."),IF(OR($AQ115="",$AS115=""),"",IF(AE$8&lt;$AQ115,"IKS",IF(AE$8&lt;$AS115,IF(AE$8=$AR115,"Bascule","Double run"),"ROKS"))))))</f>
        <v/>
      </c>
      <c r="AF115" s="51" t="str">
        <f aca="false">IF(OR($A115="",AF$8=""),"",IF($F115="Migré","ROKS",IF($F115="À décommissionner",IF(AF$8&lt;$AS115,"IKS","Décom."),IF(OR($AQ115="",$AS115=""),"",IF(AF$8&lt;$AQ115,"IKS",IF(AF$8&lt;$AS115,IF(AF$8=$AR115,"Bascule","Double run"),"ROKS"))))))</f>
        <v/>
      </c>
      <c r="AG115" s="51" t="str">
        <f aca="false">IF(OR($A115="",AG$8=""),"",IF($F115="Migré","ROKS",IF($F115="À décommissionner",IF(AG$8&lt;$AS115,"IKS","Décom."),IF(OR($AQ115="",$AS115=""),"",IF(AG$8&lt;$AQ115,"IKS",IF(AG$8&lt;$AS115,IF(AG$8=$AR115,"Bascule","Double run"),"ROKS"))))))</f>
        <v/>
      </c>
      <c r="AH115" s="51" t="str">
        <f aca="false">IF(OR($A115="",AH$8=""),"",IF($F115="Migré","ROKS",IF($F115="À décommissionner",IF(AH$8&lt;$AS115,"IKS","Décom."),IF(OR($AQ115="",$AS115=""),"",IF(AH$8&lt;$AQ115,"IKS",IF(AH$8&lt;$AS115,IF(AH$8=$AR115,"Bascule","Double run"),"ROKS"))))))</f>
        <v/>
      </c>
      <c r="AI115" s="51" t="str">
        <f aca="false">IF(OR($A115="",AI$8=""),"",IF($F115="Migré","ROKS",IF($F115="À décommissionner",IF(AI$8&lt;$AS115,"IKS","Décom."),IF(OR($AQ115="",$AS115=""),"",IF(AI$8&lt;$AQ115,"IKS",IF(AI$8&lt;$AS115,IF(AI$8=$AR115,"Bascule","Double run"),"ROKS"))))))</f>
        <v/>
      </c>
      <c r="AJ115" s="51" t="str">
        <f aca="false">IF(OR($A115="",AJ$8=""),"",IF($F115="Migré","ROKS",IF($F115="À décommissionner",IF(AJ$8&lt;$AS115,"IKS","Décom."),IF(OR($AQ115="",$AS115=""),"",IF(AJ$8&lt;$AQ115,"IKS",IF(AJ$8&lt;$AS115,IF(AJ$8=$AR115,"Bascule","Double run"),"ROKS"))))))</f>
        <v/>
      </c>
      <c r="AK115" s="51" t="str">
        <f aca="false">IF(OR($A115="",AK$8=""),"",IF($F115="Migré","ROKS",IF($F115="À décommissionner",IF(AK$8&lt;$AS115,"IKS","Décom."),IF(OR($AQ115="",$AS115=""),"",IF(AK$8&lt;$AQ115,"IKS",IF(AK$8&lt;$AS115,IF(AK$8=$AR115,"Bascule","Double run"),"ROKS"))))))</f>
        <v/>
      </c>
      <c r="AL115" s="51" t="str">
        <f aca="false">IF(OR($A115="",AL$8=""),"",IF($F115="Migré","ROKS",IF($F115="À décommissionner",IF(AL$8&lt;$AS115,"IKS","Décom."),IF(OR($AQ115="",$AS115=""),"",IF(AL$8&lt;$AQ115,"IKS",IF(AL$8&lt;$AS115,IF(AL$8=$AR115,"Bascule","Double run"),"ROKS"))))))</f>
        <v/>
      </c>
      <c r="AM115" s="51" t="str">
        <f aca="false">IF(OR($A115="",AM$8=""),"",IF($F115="Migré","ROKS",IF($F115="À décommissionner",IF(AM$8&lt;$AS115,"IKS","Décom."),IF(OR($AQ115="",$AS115=""),"",IF(AM$8&lt;$AQ115,"IKS",IF(AM$8&lt;$AS115,IF(AM$8=$AR115,"Bascule","Double run"),"ROKS"))))))</f>
        <v/>
      </c>
      <c r="AN115" s="51" t="str">
        <f aca="false">IF(OR($A115="",AN$8=""),"",IF($F115="Migré","ROKS",IF($F115="À décommissionner",IF(AN$8&lt;$AS115,"IKS","Décom."),IF(OR($AQ115="",$AS115=""),"",IF(AN$8&lt;$AQ115,"IKS",IF(AN$8&lt;$AS115,IF(AN$8=$AR115,"Bascule","Double run"),"ROKS"))))))</f>
        <v/>
      </c>
      <c r="AO115" s="51" t="str">
        <f aca="false">IF(OR($A115="",AO$8=""),"",IF($F115="Migré","ROKS",IF($F115="À décommissionner",IF(AO$8&lt;$AS115,"IKS","Décom."),IF(OR($AQ115="",$AS115=""),"",IF(AO$8&lt;$AQ115,"IKS",IF(AO$8&lt;$AS115,IF(AO$8=$AR115,"Bascule","Double run"),"ROKS"))))))</f>
        <v/>
      </c>
      <c r="AP115" s="51" t="str">
        <f aca="false">IF(OR($A115="",AP$8=""),"",IF($F115="Migré","ROKS",IF($F115="À décommissionner",IF(AP$8&lt;$AS115,"IKS","Décom."),IF(OR($AQ115="",$AS115=""),"",IF(AP$8&lt;$AQ115,"IKS",IF(AP$8&lt;$AS115,IF(AP$8=$AR115,"Bascule","Double run"),"ROKS"))))))</f>
        <v/>
      </c>
      <c r="AQ115" s="0" t="str">
        <f aca="false">IF($A115="","",INDEX(TblApplications[Mois prov (calc)],$A115))</f>
        <v/>
      </c>
      <c r="AR115" s="0" t="str">
        <f aca="false">IF($A115="","",IFERROR(DATE(YEAR(INDEX(TblApplications[Mois bascule],$A115)),MONTH(INDEX(TblApplications[Mois bascule],$A115)),1),""))</f>
        <v/>
      </c>
      <c r="AS115" s="0" t="str">
        <f aca="false">IF($A115="","",INDEX(TblApplications[Mois lib (calc)],$A115))</f>
        <v/>
      </c>
    </row>
    <row r="116" customFormat="false" ht="15" hidden="false" customHeight="false" outlineLevel="0" collapsed="false">
      <c r="A116" s="49" t="str">
        <f aca="false">IFERROR(MATCH(108,TblApplications[Rang frise],0),"")</f>
        <v/>
      </c>
      <c r="B116" s="50" t="str">
        <f aca="false">IF($A116="","",INDEX(TblApplications[ID],$A116))</f>
        <v/>
      </c>
      <c r="C116" s="50" t="str">
        <f aca="false">IF($A116="","",INDEX(TblApplications[Application],$A116))</f>
        <v/>
      </c>
      <c r="D116" s="50" t="str">
        <f aca="false">IF($A116="","",INDEX(TblApplications[Environnement],$A116))</f>
        <v/>
      </c>
      <c r="E116" s="50" t="str">
        <f aca="false">IF($A116="","",INDEX(TblApplications[Couloir],$A116))</f>
        <v/>
      </c>
      <c r="F116" s="50" t="str">
        <f aca="false">IF($A116="","",INDEX(TblApplications[Action],$A116))</f>
        <v/>
      </c>
      <c r="G116" s="51" t="str">
        <f aca="false">IF(OR($A116="",G$8=""),"",IF($F116="Migré","ROKS",IF($F116="À décommissionner",IF(G$8&lt;$AS116,"IKS","Décom."),IF(OR($AQ116="",$AS116=""),"",IF(G$8&lt;$AQ116,"IKS",IF(G$8&lt;$AS116,IF(G$8=$AR116,"Bascule","Double run"),"ROKS"))))))</f>
        <v/>
      </c>
      <c r="H116" s="51" t="str">
        <f aca="false">IF(OR($A116="",H$8=""),"",IF($F116="Migré","ROKS",IF($F116="À décommissionner",IF(H$8&lt;$AS116,"IKS","Décom."),IF(OR($AQ116="",$AS116=""),"",IF(H$8&lt;$AQ116,"IKS",IF(H$8&lt;$AS116,IF(H$8=$AR116,"Bascule","Double run"),"ROKS"))))))</f>
        <v/>
      </c>
      <c r="I116" s="51" t="str">
        <f aca="false">IF(OR($A116="",I$8=""),"",IF($F116="Migré","ROKS",IF($F116="À décommissionner",IF(I$8&lt;$AS116,"IKS","Décom."),IF(OR($AQ116="",$AS116=""),"",IF(I$8&lt;$AQ116,"IKS",IF(I$8&lt;$AS116,IF(I$8=$AR116,"Bascule","Double run"),"ROKS"))))))</f>
        <v/>
      </c>
      <c r="J116" s="51" t="str">
        <f aca="false">IF(OR($A116="",J$8=""),"",IF($F116="Migré","ROKS",IF($F116="À décommissionner",IF(J$8&lt;$AS116,"IKS","Décom."),IF(OR($AQ116="",$AS116=""),"",IF(J$8&lt;$AQ116,"IKS",IF(J$8&lt;$AS116,IF(J$8=$AR116,"Bascule","Double run"),"ROKS"))))))</f>
        <v/>
      </c>
      <c r="K116" s="51" t="str">
        <f aca="false">IF(OR($A116="",K$8=""),"",IF($F116="Migré","ROKS",IF($F116="À décommissionner",IF(K$8&lt;$AS116,"IKS","Décom."),IF(OR($AQ116="",$AS116=""),"",IF(K$8&lt;$AQ116,"IKS",IF(K$8&lt;$AS116,IF(K$8=$AR116,"Bascule","Double run"),"ROKS"))))))</f>
        <v/>
      </c>
      <c r="L116" s="51" t="str">
        <f aca="false">IF(OR($A116="",L$8=""),"",IF($F116="Migré","ROKS",IF($F116="À décommissionner",IF(L$8&lt;$AS116,"IKS","Décom."),IF(OR($AQ116="",$AS116=""),"",IF(L$8&lt;$AQ116,"IKS",IF(L$8&lt;$AS116,IF(L$8=$AR116,"Bascule","Double run"),"ROKS"))))))</f>
        <v/>
      </c>
      <c r="M116" s="51" t="str">
        <f aca="false">IF(OR($A116="",M$8=""),"",IF($F116="Migré","ROKS",IF($F116="À décommissionner",IF(M$8&lt;$AS116,"IKS","Décom."),IF(OR($AQ116="",$AS116=""),"",IF(M$8&lt;$AQ116,"IKS",IF(M$8&lt;$AS116,IF(M$8=$AR116,"Bascule","Double run"),"ROKS"))))))</f>
        <v/>
      </c>
      <c r="N116" s="51" t="str">
        <f aca="false">IF(OR($A116="",N$8=""),"",IF($F116="Migré","ROKS",IF($F116="À décommissionner",IF(N$8&lt;$AS116,"IKS","Décom."),IF(OR($AQ116="",$AS116=""),"",IF(N$8&lt;$AQ116,"IKS",IF(N$8&lt;$AS116,IF(N$8=$AR116,"Bascule","Double run"),"ROKS"))))))</f>
        <v/>
      </c>
      <c r="O116" s="51" t="str">
        <f aca="false">IF(OR($A116="",O$8=""),"",IF($F116="Migré","ROKS",IF($F116="À décommissionner",IF(O$8&lt;$AS116,"IKS","Décom."),IF(OR($AQ116="",$AS116=""),"",IF(O$8&lt;$AQ116,"IKS",IF(O$8&lt;$AS116,IF(O$8=$AR116,"Bascule","Double run"),"ROKS"))))))</f>
        <v/>
      </c>
      <c r="P116" s="51" t="str">
        <f aca="false">IF(OR($A116="",P$8=""),"",IF($F116="Migré","ROKS",IF($F116="À décommissionner",IF(P$8&lt;$AS116,"IKS","Décom."),IF(OR($AQ116="",$AS116=""),"",IF(P$8&lt;$AQ116,"IKS",IF(P$8&lt;$AS116,IF(P$8=$AR116,"Bascule","Double run"),"ROKS"))))))</f>
        <v/>
      </c>
      <c r="Q116" s="51" t="str">
        <f aca="false">IF(OR($A116="",Q$8=""),"",IF($F116="Migré","ROKS",IF($F116="À décommissionner",IF(Q$8&lt;$AS116,"IKS","Décom."),IF(OR($AQ116="",$AS116=""),"",IF(Q$8&lt;$AQ116,"IKS",IF(Q$8&lt;$AS116,IF(Q$8=$AR116,"Bascule","Double run"),"ROKS"))))))</f>
        <v/>
      </c>
      <c r="R116" s="51" t="str">
        <f aca="false">IF(OR($A116="",R$8=""),"",IF($F116="Migré","ROKS",IF($F116="À décommissionner",IF(R$8&lt;$AS116,"IKS","Décom."),IF(OR($AQ116="",$AS116=""),"",IF(R$8&lt;$AQ116,"IKS",IF(R$8&lt;$AS116,IF(R$8=$AR116,"Bascule","Double run"),"ROKS"))))))</f>
        <v/>
      </c>
      <c r="S116" s="51" t="str">
        <f aca="false">IF(OR($A116="",S$8=""),"",IF($F116="Migré","ROKS",IF($F116="À décommissionner",IF(S$8&lt;$AS116,"IKS","Décom."),IF(OR($AQ116="",$AS116=""),"",IF(S$8&lt;$AQ116,"IKS",IF(S$8&lt;$AS116,IF(S$8=$AR116,"Bascule","Double run"),"ROKS"))))))</f>
        <v/>
      </c>
      <c r="T116" s="51" t="str">
        <f aca="false">IF(OR($A116="",T$8=""),"",IF($F116="Migré","ROKS",IF($F116="À décommissionner",IF(T$8&lt;$AS116,"IKS","Décom."),IF(OR($AQ116="",$AS116=""),"",IF(T$8&lt;$AQ116,"IKS",IF(T$8&lt;$AS116,IF(T$8=$AR116,"Bascule","Double run"),"ROKS"))))))</f>
        <v/>
      </c>
      <c r="U116" s="51" t="str">
        <f aca="false">IF(OR($A116="",U$8=""),"",IF($F116="Migré","ROKS",IF($F116="À décommissionner",IF(U$8&lt;$AS116,"IKS","Décom."),IF(OR($AQ116="",$AS116=""),"",IF(U$8&lt;$AQ116,"IKS",IF(U$8&lt;$AS116,IF(U$8=$AR116,"Bascule","Double run"),"ROKS"))))))</f>
        <v/>
      </c>
      <c r="V116" s="51" t="str">
        <f aca="false">IF(OR($A116="",V$8=""),"",IF($F116="Migré","ROKS",IF($F116="À décommissionner",IF(V$8&lt;$AS116,"IKS","Décom."),IF(OR($AQ116="",$AS116=""),"",IF(V$8&lt;$AQ116,"IKS",IF(V$8&lt;$AS116,IF(V$8=$AR116,"Bascule","Double run"),"ROKS"))))))</f>
        <v/>
      </c>
      <c r="W116" s="51" t="str">
        <f aca="false">IF(OR($A116="",W$8=""),"",IF($F116="Migré","ROKS",IF($F116="À décommissionner",IF(W$8&lt;$AS116,"IKS","Décom."),IF(OR($AQ116="",$AS116=""),"",IF(W$8&lt;$AQ116,"IKS",IF(W$8&lt;$AS116,IF(W$8=$AR116,"Bascule","Double run"),"ROKS"))))))</f>
        <v/>
      </c>
      <c r="X116" s="51" t="str">
        <f aca="false">IF(OR($A116="",X$8=""),"",IF($F116="Migré","ROKS",IF($F116="À décommissionner",IF(X$8&lt;$AS116,"IKS","Décom."),IF(OR($AQ116="",$AS116=""),"",IF(X$8&lt;$AQ116,"IKS",IF(X$8&lt;$AS116,IF(X$8=$AR116,"Bascule","Double run"),"ROKS"))))))</f>
        <v/>
      </c>
      <c r="Y116" s="51" t="str">
        <f aca="false">IF(OR($A116="",Y$8=""),"",IF($F116="Migré","ROKS",IF($F116="À décommissionner",IF(Y$8&lt;$AS116,"IKS","Décom."),IF(OR($AQ116="",$AS116=""),"",IF(Y$8&lt;$AQ116,"IKS",IF(Y$8&lt;$AS116,IF(Y$8=$AR116,"Bascule","Double run"),"ROKS"))))))</f>
        <v/>
      </c>
      <c r="Z116" s="51" t="str">
        <f aca="false">IF(OR($A116="",Z$8=""),"",IF($F116="Migré","ROKS",IF($F116="À décommissionner",IF(Z$8&lt;$AS116,"IKS","Décom."),IF(OR($AQ116="",$AS116=""),"",IF(Z$8&lt;$AQ116,"IKS",IF(Z$8&lt;$AS116,IF(Z$8=$AR116,"Bascule","Double run"),"ROKS"))))))</f>
        <v/>
      </c>
      <c r="AA116" s="51" t="str">
        <f aca="false">IF(OR($A116="",AA$8=""),"",IF($F116="Migré","ROKS",IF($F116="À décommissionner",IF(AA$8&lt;$AS116,"IKS","Décom."),IF(OR($AQ116="",$AS116=""),"",IF(AA$8&lt;$AQ116,"IKS",IF(AA$8&lt;$AS116,IF(AA$8=$AR116,"Bascule","Double run"),"ROKS"))))))</f>
        <v/>
      </c>
      <c r="AB116" s="51" t="str">
        <f aca="false">IF(OR($A116="",AB$8=""),"",IF($F116="Migré","ROKS",IF($F116="À décommissionner",IF(AB$8&lt;$AS116,"IKS","Décom."),IF(OR($AQ116="",$AS116=""),"",IF(AB$8&lt;$AQ116,"IKS",IF(AB$8&lt;$AS116,IF(AB$8=$AR116,"Bascule","Double run"),"ROKS"))))))</f>
        <v/>
      </c>
      <c r="AC116" s="51" t="str">
        <f aca="false">IF(OR($A116="",AC$8=""),"",IF($F116="Migré","ROKS",IF($F116="À décommissionner",IF(AC$8&lt;$AS116,"IKS","Décom."),IF(OR($AQ116="",$AS116=""),"",IF(AC$8&lt;$AQ116,"IKS",IF(AC$8&lt;$AS116,IF(AC$8=$AR116,"Bascule","Double run"),"ROKS"))))))</f>
        <v/>
      </c>
      <c r="AD116" s="51" t="str">
        <f aca="false">IF(OR($A116="",AD$8=""),"",IF($F116="Migré","ROKS",IF($F116="À décommissionner",IF(AD$8&lt;$AS116,"IKS","Décom."),IF(OR($AQ116="",$AS116=""),"",IF(AD$8&lt;$AQ116,"IKS",IF(AD$8&lt;$AS116,IF(AD$8=$AR116,"Bascule","Double run"),"ROKS"))))))</f>
        <v/>
      </c>
      <c r="AE116" s="51" t="str">
        <f aca="false">IF(OR($A116="",AE$8=""),"",IF($F116="Migré","ROKS",IF($F116="À décommissionner",IF(AE$8&lt;$AS116,"IKS","Décom."),IF(OR($AQ116="",$AS116=""),"",IF(AE$8&lt;$AQ116,"IKS",IF(AE$8&lt;$AS116,IF(AE$8=$AR116,"Bascule","Double run"),"ROKS"))))))</f>
        <v/>
      </c>
      <c r="AF116" s="51" t="str">
        <f aca="false">IF(OR($A116="",AF$8=""),"",IF($F116="Migré","ROKS",IF($F116="À décommissionner",IF(AF$8&lt;$AS116,"IKS","Décom."),IF(OR($AQ116="",$AS116=""),"",IF(AF$8&lt;$AQ116,"IKS",IF(AF$8&lt;$AS116,IF(AF$8=$AR116,"Bascule","Double run"),"ROKS"))))))</f>
        <v/>
      </c>
      <c r="AG116" s="51" t="str">
        <f aca="false">IF(OR($A116="",AG$8=""),"",IF($F116="Migré","ROKS",IF($F116="À décommissionner",IF(AG$8&lt;$AS116,"IKS","Décom."),IF(OR($AQ116="",$AS116=""),"",IF(AG$8&lt;$AQ116,"IKS",IF(AG$8&lt;$AS116,IF(AG$8=$AR116,"Bascule","Double run"),"ROKS"))))))</f>
        <v/>
      </c>
      <c r="AH116" s="51" t="str">
        <f aca="false">IF(OR($A116="",AH$8=""),"",IF($F116="Migré","ROKS",IF($F116="À décommissionner",IF(AH$8&lt;$AS116,"IKS","Décom."),IF(OR($AQ116="",$AS116=""),"",IF(AH$8&lt;$AQ116,"IKS",IF(AH$8&lt;$AS116,IF(AH$8=$AR116,"Bascule","Double run"),"ROKS"))))))</f>
        <v/>
      </c>
      <c r="AI116" s="51" t="str">
        <f aca="false">IF(OR($A116="",AI$8=""),"",IF($F116="Migré","ROKS",IF($F116="À décommissionner",IF(AI$8&lt;$AS116,"IKS","Décom."),IF(OR($AQ116="",$AS116=""),"",IF(AI$8&lt;$AQ116,"IKS",IF(AI$8&lt;$AS116,IF(AI$8=$AR116,"Bascule","Double run"),"ROKS"))))))</f>
        <v/>
      </c>
      <c r="AJ116" s="51" t="str">
        <f aca="false">IF(OR($A116="",AJ$8=""),"",IF($F116="Migré","ROKS",IF($F116="À décommissionner",IF(AJ$8&lt;$AS116,"IKS","Décom."),IF(OR($AQ116="",$AS116=""),"",IF(AJ$8&lt;$AQ116,"IKS",IF(AJ$8&lt;$AS116,IF(AJ$8=$AR116,"Bascule","Double run"),"ROKS"))))))</f>
        <v/>
      </c>
      <c r="AK116" s="51" t="str">
        <f aca="false">IF(OR($A116="",AK$8=""),"",IF($F116="Migré","ROKS",IF($F116="À décommissionner",IF(AK$8&lt;$AS116,"IKS","Décom."),IF(OR($AQ116="",$AS116=""),"",IF(AK$8&lt;$AQ116,"IKS",IF(AK$8&lt;$AS116,IF(AK$8=$AR116,"Bascule","Double run"),"ROKS"))))))</f>
        <v/>
      </c>
      <c r="AL116" s="51" t="str">
        <f aca="false">IF(OR($A116="",AL$8=""),"",IF($F116="Migré","ROKS",IF($F116="À décommissionner",IF(AL$8&lt;$AS116,"IKS","Décom."),IF(OR($AQ116="",$AS116=""),"",IF(AL$8&lt;$AQ116,"IKS",IF(AL$8&lt;$AS116,IF(AL$8=$AR116,"Bascule","Double run"),"ROKS"))))))</f>
        <v/>
      </c>
      <c r="AM116" s="51" t="str">
        <f aca="false">IF(OR($A116="",AM$8=""),"",IF($F116="Migré","ROKS",IF($F116="À décommissionner",IF(AM$8&lt;$AS116,"IKS","Décom."),IF(OR($AQ116="",$AS116=""),"",IF(AM$8&lt;$AQ116,"IKS",IF(AM$8&lt;$AS116,IF(AM$8=$AR116,"Bascule","Double run"),"ROKS"))))))</f>
        <v/>
      </c>
      <c r="AN116" s="51" t="str">
        <f aca="false">IF(OR($A116="",AN$8=""),"",IF($F116="Migré","ROKS",IF($F116="À décommissionner",IF(AN$8&lt;$AS116,"IKS","Décom."),IF(OR($AQ116="",$AS116=""),"",IF(AN$8&lt;$AQ116,"IKS",IF(AN$8&lt;$AS116,IF(AN$8=$AR116,"Bascule","Double run"),"ROKS"))))))</f>
        <v/>
      </c>
      <c r="AO116" s="51" t="str">
        <f aca="false">IF(OR($A116="",AO$8=""),"",IF($F116="Migré","ROKS",IF($F116="À décommissionner",IF(AO$8&lt;$AS116,"IKS","Décom."),IF(OR($AQ116="",$AS116=""),"",IF(AO$8&lt;$AQ116,"IKS",IF(AO$8&lt;$AS116,IF(AO$8=$AR116,"Bascule","Double run"),"ROKS"))))))</f>
        <v/>
      </c>
      <c r="AP116" s="51" t="str">
        <f aca="false">IF(OR($A116="",AP$8=""),"",IF($F116="Migré","ROKS",IF($F116="À décommissionner",IF(AP$8&lt;$AS116,"IKS","Décom."),IF(OR($AQ116="",$AS116=""),"",IF(AP$8&lt;$AQ116,"IKS",IF(AP$8&lt;$AS116,IF(AP$8=$AR116,"Bascule","Double run"),"ROKS"))))))</f>
        <v/>
      </c>
      <c r="AQ116" s="0" t="str">
        <f aca="false">IF($A116="","",INDEX(TblApplications[Mois prov (calc)],$A116))</f>
        <v/>
      </c>
      <c r="AR116" s="0" t="str">
        <f aca="false">IF($A116="","",IFERROR(DATE(YEAR(INDEX(TblApplications[Mois bascule],$A116)),MONTH(INDEX(TblApplications[Mois bascule],$A116)),1),""))</f>
        <v/>
      </c>
      <c r="AS116" s="0" t="str">
        <f aca="false">IF($A116="","",INDEX(TblApplications[Mois lib (calc)],$A116))</f>
        <v/>
      </c>
    </row>
    <row r="117" customFormat="false" ht="15" hidden="false" customHeight="false" outlineLevel="0" collapsed="false">
      <c r="A117" s="49" t="str">
        <f aca="false">IFERROR(MATCH(109,TblApplications[Rang frise],0),"")</f>
        <v/>
      </c>
      <c r="B117" s="50" t="str">
        <f aca="false">IF($A117="","",INDEX(TblApplications[ID],$A117))</f>
        <v/>
      </c>
      <c r="C117" s="50" t="str">
        <f aca="false">IF($A117="","",INDEX(TblApplications[Application],$A117))</f>
        <v/>
      </c>
      <c r="D117" s="50" t="str">
        <f aca="false">IF($A117="","",INDEX(TblApplications[Environnement],$A117))</f>
        <v/>
      </c>
      <c r="E117" s="50" t="str">
        <f aca="false">IF($A117="","",INDEX(TblApplications[Couloir],$A117))</f>
        <v/>
      </c>
      <c r="F117" s="50" t="str">
        <f aca="false">IF($A117="","",INDEX(TblApplications[Action],$A117))</f>
        <v/>
      </c>
      <c r="G117" s="51" t="str">
        <f aca="false">IF(OR($A117="",G$8=""),"",IF($F117="Migré","ROKS",IF($F117="À décommissionner",IF(G$8&lt;$AS117,"IKS","Décom."),IF(OR($AQ117="",$AS117=""),"",IF(G$8&lt;$AQ117,"IKS",IF(G$8&lt;$AS117,IF(G$8=$AR117,"Bascule","Double run"),"ROKS"))))))</f>
        <v/>
      </c>
      <c r="H117" s="51" t="str">
        <f aca="false">IF(OR($A117="",H$8=""),"",IF($F117="Migré","ROKS",IF($F117="À décommissionner",IF(H$8&lt;$AS117,"IKS","Décom."),IF(OR($AQ117="",$AS117=""),"",IF(H$8&lt;$AQ117,"IKS",IF(H$8&lt;$AS117,IF(H$8=$AR117,"Bascule","Double run"),"ROKS"))))))</f>
        <v/>
      </c>
      <c r="I117" s="51" t="str">
        <f aca="false">IF(OR($A117="",I$8=""),"",IF($F117="Migré","ROKS",IF($F117="À décommissionner",IF(I$8&lt;$AS117,"IKS","Décom."),IF(OR($AQ117="",$AS117=""),"",IF(I$8&lt;$AQ117,"IKS",IF(I$8&lt;$AS117,IF(I$8=$AR117,"Bascule","Double run"),"ROKS"))))))</f>
        <v/>
      </c>
      <c r="J117" s="51" t="str">
        <f aca="false">IF(OR($A117="",J$8=""),"",IF($F117="Migré","ROKS",IF($F117="À décommissionner",IF(J$8&lt;$AS117,"IKS","Décom."),IF(OR($AQ117="",$AS117=""),"",IF(J$8&lt;$AQ117,"IKS",IF(J$8&lt;$AS117,IF(J$8=$AR117,"Bascule","Double run"),"ROKS"))))))</f>
        <v/>
      </c>
      <c r="K117" s="51" t="str">
        <f aca="false">IF(OR($A117="",K$8=""),"",IF($F117="Migré","ROKS",IF($F117="À décommissionner",IF(K$8&lt;$AS117,"IKS","Décom."),IF(OR($AQ117="",$AS117=""),"",IF(K$8&lt;$AQ117,"IKS",IF(K$8&lt;$AS117,IF(K$8=$AR117,"Bascule","Double run"),"ROKS"))))))</f>
        <v/>
      </c>
      <c r="L117" s="51" t="str">
        <f aca="false">IF(OR($A117="",L$8=""),"",IF($F117="Migré","ROKS",IF($F117="À décommissionner",IF(L$8&lt;$AS117,"IKS","Décom."),IF(OR($AQ117="",$AS117=""),"",IF(L$8&lt;$AQ117,"IKS",IF(L$8&lt;$AS117,IF(L$8=$AR117,"Bascule","Double run"),"ROKS"))))))</f>
        <v/>
      </c>
      <c r="M117" s="51" t="str">
        <f aca="false">IF(OR($A117="",M$8=""),"",IF($F117="Migré","ROKS",IF($F117="À décommissionner",IF(M$8&lt;$AS117,"IKS","Décom."),IF(OR($AQ117="",$AS117=""),"",IF(M$8&lt;$AQ117,"IKS",IF(M$8&lt;$AS117,IF(M$8=$AR117,"Bascule","Double run"),"ROKS"))))))</f>
        <v/>
      </c>
      <c r="N117" s="51" t="str">
        <f aca="false">IF(OR($A117="",N$8=""),"",IF($F117="Migré","ROKS",IF($F117="À décommissionner",IF(N$8&lt;$AS117,"IKS","Décom."),IF(OR($AQ117="",$AS117=""),"",IF(N$8&lt;$AQ117,"IKS",IF(N$8&lt;$AS117,IF(N$8=$AR117,"Bascule","Double run"),"ROKS"))))))</f>
        <v/>
      </c>
      <c r="O117" s="51" t="str">
        <f aca="false">IF(OR($A117="",O$8=""),"",IF($F117="Migré","ROKS",IF($F117="À décommissionner",IF(O$8&lt;$AS117,"IKS","Décom."),IF(OR($AQ117="",$AS117=""),"",IF(O$8&lt;$AQ117,"IKS",IF(O$8&lt;$AS117,IF(O$8=$AR117,"Bascule","Double run"),"ROKS"))))))</f>
        <v/>
      </c>
      <c r="P117" s="51" t="str">
        <f aca="false">IF(OR($A117="",P$8=""),"",IF($F117="Migré","ROKS",IF($F117="À décommissionner",IF(P$8&lt;$AS117,"IKS","Décom."),IF(OR($AQ117="",$AS117=""),"",IF(P$8&lt;$AQ117,"IKS",IF(P$8&lt;$AS117,IF(P$8=$AR117,"Bascule","Double run"),"ROKS"))))))</f>
        <v/>
      </c>
      <c r="Q117" s="51" t="str">
        <f aca="false">IF(OR($A117="",Q$8=""),"",IF($F117="Migré","ROKS",IF($F117="À décommissionner",IF(Q$8&lt;$AS117,"IKS","Décom."),IF(OR($AQ117="",$AS117=""),"",IF(Q$8&lt;$AQ117,"IKS",IF(Q$8&lt;$AS117,IF(Q$8=$AR117,"Bascule","Double run"),"ROKS"))))))</f>
        <v/>
      </c>
      <c r="R117" s="51" t="str">
        <f aca="false">IF(OR($A117="",R$8=""),"",IF($F117="Migré","ROKS",IF($F117="À décommissionner",IF(R$8&lt;$AS117,"IKS","Décom."),IF(OR($AQ117="",$AS117=""),"",IF(R$8&lt;$AQ117,"IKS",IF(R$8&lt;$AS117,IF(R$8=$AR117,"Bascule","Double run"),"ROKS"))))))</f>
        <v/>
      </c>
      <c r="S117" s="51" t="str">
        <f aca="false">IF(OR($A117="",S$8=""),"",IF($F117="Migré","ROKS",IF($F117="À décommissionner",IF(S$8&lt;$AS117,"IKS","Décom."),IF(OR($AQ117="",$AS117=""),"",IF(S$8&lt;$AQ117,"IKS",IF(S$8&lt;$AS117,IF(S$8=$AR117,"Bascule","Double run"),"ROKS"))))))</f>
        <v/>
      </c>
      <c r="T117" s="51" t="str">
        <f aca="false">IF(OR($A117="",T$8=""),"",IF($F117="Migré","ROKS",IF($F117="À décommissionner",IF(T$8&lt;$AS117,"IKS","Décom."),IF(OR($AQ117="",$AS117=""),"",IF(T$8&lt;$AQ117,"IKS",IF(T$8&lt;$AS117,IF(T$8=$AR117,"Bascule","Double run"),"ROKS"))))))</f>
        <v/>
      </c>
      <c r="U117" s="51" t="str">
        <f aca="false">IF(OR($A117="",U$8=""),"",IF($F117="Migré","ROKS",IF($F117="À décommissionner",IF(U$8&lt;$AS117,"IKS","Décom."),IF(OR($AQ117="",$AS117=""),"",IF(U$8&lt;$AQ117,"IKS",IF(U$8&lt;$AS117,IF(U$8=$AR117,"Bascule","Double run"),"ROKS"))))))</f>
        <v/>
      </c>
      <c r="V117" s="51" t="str">
        <f aca="false">IF(OR($A117="",V$8=""),"",IF($F117="Migré","ROKS",IF($F117="À décommissionner",IF(V$8&lt;$AS117,"IKS","Décom."),IF(OR($AQ117="",$AS117=""),"",IF(V$8&lt;$AQ117,"IKS",IF(V$8&lt;$AS117,IF(V$8=$AR117,"Bascule","Double run"),"ROKS"))))))</f>
        <v/>
      </c>
      <c r="W117" s="51" t="str">
        <f aca="false">IF(OR($A117="",W$8=""),"",IF($F117="Migré","ROKS",IF($F117="À décommissionner",IF(W$8&lt;$AS117,"IKS","Décom."),IF(OR($AQ117="",$AS117=""),"",IF(W$8&lt;$AQ117,"IKS",IF(W$8&lt;$AS117,IF(W$8=$AR117,"Bascule","Double run"),"ROKS"))))))</f>
        <v/>
      </c>
      <c r="X117" s="51" t="str">
        <f aca="false">IF(OR($A117="",X$8=""),"",IF($F117="Migré","ROKS",IF($F117="À décommissionner",IF(X$8&lt;$AS117,"IKS","Décom."),IF(OR($AQ117="",$AS117=""),"",IF(X$8&lt;$AQ117,"IKS",IF(X$8&lt;$AS117,IF(X$8=$AR117,"Bascule","Double run"),"ROKS"))))))</f>
        <v/>
      </c>
      <c r="Y117" s="51" t="str">
        <f aca="false">IF(OR($A117="",Y$8=""),"",IF($F117="Migré","ROKS",IF($F117="À décommissionner",IF(Y$8&lt;$AS117,"IKS","Décom."),IF(OR($AQ117="",$AS117=""),"",IF(Y$8&lt;$AQ117,"IKS",IF(Y$8&lt;$AS117,IF(Y$8=$AR117,"Bascule","Double run"),"ROKS"))))))</f>
        <v/>
      </c>
      <c r="Z117" s="51" t="str">
        <f aca="false">IF(OR($A117="",Z$8=""),"",IF($F117="Migré","ROKS",IF($F117="À décommissionner",IF(Z$8&lt;$AS117,"IKS","Décom."),IF(OR($AQ117="",$AS117=""),"",IF(Z$8&lt;$AQ117,"IKS",IF(Z$8&lt;$AS117,IF(Z$8=$AR117,"Bascule","Double run"),"ROKS"))))))</f>
        <v/>
      </c>
      <c r="AA117" s="51" t="str">
        <f aca="false">IF(OR($A117="",AA$8=""),"",IF($F117="Migré","ROKS",IF($F117="À décommissionner",IF(AA$8&lt;$AS117,"IKS","Décom."),IF(OR($AQ117="",$AS117=""),"",IF(AA$8&lt;$AQ117,"IKS",IF(AA$8&lt;$AS117,IF(AA$8=$AR117,"Bascule","Double run"),"ROKS"))))))</f>
        <v/>
      </c>
      <c r="AB117" s="51" t="str">
        <f aca="false">IF(OR($A117="",AB$8=""),"",IF($F117="Migré","ROKS",IF($F117="À décommissionner",IF(AB$8&lt;$AS117,"IKS","Décom."),IF(OR($AQ117="",$AS117=""),"",IF(AB$8&lt;$AQ117,"IKS",IF(AB$8&lt;$AS117,IF(AB$8=$AR117,"Bascule","Double run"),"ROKS"))))))</f>
        <v/>
      </c>
      <c r="AC117" s="51" t="str">
        <f aca="false">IF(OR($A117="",AC$8=""),"",IF($F117="Migré","ROKS",IF($F117="À décommissionner",IF(AC$8&lt;$AS117,"IKS","Décom."),IF(OR($AQ117="",$AS117=""),"",IF(AC$8&lt;$AQ117,"IKS",IF(AC$8&lt;$AS117,IF(AC$8=$AR117,"Bascule","Double run"),"ROKS"))))))</f>
        <v/>
      </c>
      <c r="AD117" s="51" t="str">
        <f aca="false">IF(OR($A117="",AD$8=""),"",IF($F117="Migré","ROKS",IF($F117="À décommissionner",IF(AD$8&lt;$AS117,"IKS","Décom."),IF(OR($AQ117="",$AS117=""),"",IF(AD$8&lt;$AQ117,"IKS",IF(AD$8&lt;$AS117,IF(AD$8=$AR117,"Bascule","Double run"),"ROKS"))))))</f>
        <v/>
      </c>
      <c r="AE117" s="51" t="str">
        <f aca="false">IF(OR($A117="",AE$8=""),"",IF($F117="Migré","ROKS",IF($F117="À décommissionner",IF(AE$8&lt;$AS117,"IKS","Décom."),IF(OR($AQ117="",$AS117=""),"",IF(AE$8&lt;$AQ117,"IKS",IF(AE$8&lt;$AS117,IF(AE$8=$AR117,"Bascule","Double run"),"ROKS"))))))</f>
        <v/>
      </c>
      <c r="AF117" s="51" t="str">
        <f aca="false">IF(OR($A117="",AF$8=""),"",IF($F117="Migré","ROKS",IF($F117="À décommissionner",IF(AF$8&lt;$AS117,"IKS","Décom."),IF(OR($AQ117="",$AS117=""),"",IF(AF$8&lt;$AQ117,"IKS",IF(AF$8&lt;$AS117,IF(AF$8=$AR117,"Bascule","Double run"),"ROKS"))))))</f>
        <v/>
      </c>
      <c r="AG117" s="51" t="str">
        <f aca="false">IF(OR($A117="",AG$8=""),"",IF($F117="Migré","ROKS",IF($F117="À décommissionner",IF(AG$8&lt;$AS117,"IKS","Décom."),IF(OR($AQ117="",$AS117=""),"",IF(AG$8&lt;$AQ117,"IKS",IF(AG$8&lt;$AS117,IF(AG$8=$AR117,"Bascule","Double run"),"ROKS"))))))</f>
        <v/>
      </c>
      <c r="AH117" s="51" t="str">
        <f aca="false">IF(OR($A117="",AH$8=""),"",IF($F117="Migré","ROKS",IF($F117="À décommissionner",IF(AH$8&lt;$AS117,"IKS","Décom."),IF(OR($AQ117="",$AS117=""),"",IF(AH$8&lt;$AQ117,"IKS",IF(AH$8&lt;$AS117,IF(AH$8=$AR117,"Bascule","Double run"),"ROKS"))))))</f>
        <v/>
      </c>
      <c r="AI117" s="51" t="str">
        <f aca="false">IF(OR($A117="",AI$8=""),"",IF($F117="Migré","ROKS",IF($F117="À décommissionner",IF(AI$8&lt;$AS117,"IKS","Décom."),IF(OR($AQ117="",$AS117=""),"",IF(AI$8&lt;$AQ117,"IKS",IF(AI$8&lt;$AS117,IF(AI$8=$AR117,"Bascule","Double run"),"ROKS"))))))</f>
        <v/>
      </c>
      <c r="AJ117" s="51" t="str">
        <f aca="false">IF(OR($A117="",AJ$8=""),"",IF($F117="Migré","ROKS",IF($F117="À décommissionner",IF(AJ$8&lt;$AS117,"IKS","Décom."),IF(OR($AQ117="",$AS117=""),"",IF(AJ$8&lt;$AQ117,"IKS",IF(AJ$8&lt;$AS117,IF(AJ$8=$AR117,"Bascule","Double run"),"ROKS"))))))</f>
        <v/>
      </c>
      <c r="AK117" s="51" t="str">
        <f aca="false">IF(OR($A117="",AK$8=""),"",IF($F117="Migré","ROKS",IF($F117="À décommissionner",IF(AK$8&lt;$AS117,"IKS","Décom."),IF(OR($AQ117="",$AS117=""),"",IF(AK$8&lt;$AQ117,"IKS",IF(AK$8&lt;$AS117,IF(AK$8=$AR117,"Bascule","Double run"),"ROKS"))))))</f>
        <v/>
      </c>
      <c r="AL117" s="51" t="str">
        <f aca="false">IF(OR($A117="",AL$8=""),"",IF($F117="Migré","ROKS",IF($F117="À décommissionner",IF(AL$8&lt;$AS117,"IKS","Décom."),IF(OR($AQ117="",$AS117=""),"",IF(AL$8&lt;$AQ117,"IKS",IF(AL$8&lt;$AS117,IF(AL$8=$AR117,"Bascule","Double run"),"ROKS"))))))</f>
        <v/>
      </c>
      <c r="AM117" s="51" t="str">
        <f aca="false">IF(OR($A117="",AM$8=""),"",IF($F117="Migré","ROKS",IF($F117="À décommissionner",IF(AM$8&lt;$AS117,"IKS","Décom."),IF(OR($AQ117="",$AS117=""),"",IF(AM$8&lt;$AQ117,"IKS",IF(AM$8&lt;$AS117,IF(AM$8=$AR117,"Bascule","Double run"),"ROKS"))))))</f>
        <v/>
      </c>
      <c r="AN117" s="51" t="str">
        <f aca="false">IF(OR($A117="",AN$8=""),"",IF($F117="Migré","ROKS",IF($F117="À décommissionner",IF(AN$8&lt;$AS117,"IKS","Décom."),IF(OR($AQ117="",$AS117=""),"",IF(AN$8&lt;$AQ117,"IKS",IF(AN$8&lt;$AS117,IF(AN$8=$AR117,"Bascule","Double run"),"ROKS"))))))</f>
        <v/>
      </c>
      <c r="AO117" s="51" t="str">
        <f aca="false">IF(OR($A117="",AO$8=""),"",IF($F117="Migré","ROKS",IF($F117="À décommissionner",IF(AO$8&lt;$AS117,"IKS","Décom."),IF(OR($AQ117="",$AS117=""),"",IF(AO$8&lt;$AQ117,"IKS",IF(AO$8&lt;$AS117,IF(AO$8=$AR117,"Bascule","Double run"),"ROKS"))))))</f>
        <v/>
      </c>
      <c r="AP117" s="51" t="str">
        <f aca="false">IF(OR($A117="",AP$8=""),"",IF($F117="Migré","ROKS",IF($F117="À décommissionner",IF(AP$8&lt;$AS117,"IKS","Décom."),IF(OR($AQ117="",$AS117=""),"",IF(AP$8&lt;$AQ117,"IKS",IF(AP$8&lt;$AS117,IF(AP$8=$AR117,"Bascule","Double run"),"ROKS"))))))</f>
        <v/>
      </c>
      <c r="AQ117" s="0" t="str">
        <f aca="false">IF($A117="","",INDEX(TblApplications[Mois prov (calc)],$A117))</f>
        <v/>
      </c>
      <c r="AR117" s="0" t="str">
        <f aca="false">IF($A117="","",IFERROR(DATE(YEAR(INDEX(TblApplications[Mois bascule],$A117)),MONTH(INDEX(TblApplications[Mois bascule],$A117)),1),""))</f>
        <v/>
      </c>
      <c r="AS117" s="0" t="str">
        <f aca="false">IF($A117="","",INDEX(TblApplications[Mois lib (calc)],$A117))</f>
        <v/>
      </c>
    </row>
    <row r="118" customFormat="false" ht="15" hidden="false" customHeight="false" outlineLevel="0" collapsed="false">
      <c r="A118" s="49" t="str">
        <f aca="false">IFERROR(MATCH(110,TblApplications[Rang frise],0),"")</f>
        <v/>
      </c>
      <c r="B118" s="50" t="str">
        <f aca="false">IF($A118="","",INDEX(TblApplications[ID],$A118))</f>
        <v/>
      </c>
      <c r="C118" s="50" t="str">
        <f aca="false">IF($A118="","",INDEX(TblApplications[Application],$A118))</f>
        <v/>
      </c>
      <c r="D118" s="50" t="str">
        <f aca="false">IF($A118="","",INDEX(TblApplications[Environnement],$A118))</f>
        <v/>
      </c>
      <c r="E118" s="50" t="str">
        <f aca="false">IF($A118="","",INDEX(TblApplications[Couloir],$A118))</f>
        <v/>
      </c>
      <c r="F118" s="50" t="str">
        <f aca="false">IF($A118="","",INDEX(TblApplications[Action],$A118))</f>
        <v/>
      </c>
      <c r="G118" s="51" t="str">
        <f aca="false">IF(OR($A118="",G$8=""),"",IF($F118="Migré","ROKS",IF($F118="À décommissionner",IF(G$8&lt;$AS118,"IKS","Décom."),IF(OR($AQ118="",$AS118=""),"",IF(G$8&lt;$AQ118,"IKS",IF(G$8&lt;$AS118,IF(G$8=$AR118,"Bascule","Double run"),"ROKS"))))))</f>
        <v/>
      </c>
      <c r="H118" s="51" t="str">
        <f aca="false">IF(OR($A118="",H$8=""),"",IF($F118="Migré","ROKS",IF($F118="À décommissionner",IF(H$8&lt;$AS118,"IKS","Décom."),IF(OR($AQ118="",$AS118=""),"",IF(H$8&lt;$AQ118,"IKS",IF(H$8&lt;$AS118,IF(H$8=$AR118,"Bascule","Double run"),"ROKS"))))))</f>
        <v/>
      </c>
      <c r="I118" s="51" t="str">
        <f aca="false">IF(OR($A118="",I$8=""),"",IF($F118="Migré","ROKS",IF($F118="À décommissionner",IF(I$8&lt;$AS118,"IKS","Décom."),IF(OR($AQ118="",$AS118=""),"",IF(I$8&lt;$AQ118,"IKS",IF(I$8&lt;$AS118,IF(I$8=$AR118,"Bascule","Double run"),"ROKS"))))))</f>
        <v/>
      </c>
      <c r="J118" s="51" t="str">
        <f aca="false">IF(OR($A118="",J$8=""),"",IF($F118="Migré","ROKS",IF($F118="À décommissionner",IF(J$8&lt;$AS118,"IKS","Décom."),IF(OR($AQ118="",$AS118=""),"",IF(J$8&lt;$AQ118,"IKS",IF(J$8&lt;$AS118,IF(J$8=$AR118,"Bascule","Double run"),"ROKS"))))))</f>
        <v/>
      </c>
      <c r="K118" s="51" t="str">
        <f aca="false">IF(OR($A118="",K$8=""),"",IF($F118="Migré","ROKS",IF($F118="À décommissionner",IF(K$8&lt;$AS118,"IKS","Décom."),IF(OR($AQ118="",$AS118=""),"",IF(K$8&lt;$AQ118,"IKS",IF(K$8&lt;$AS118,IF(K$8=$AR118,"Bascule","Double run"),"ROKS"))))))</f>
        <v/>
      </c>
      <c r="L118" s="51" t="str">
        <f aca="false">IF(OR($A118="",L$8=""),"",IF($F118="Migré","ROKS",IF($F118="À décommissionner",IF(L$8&lt;$AS118,"IKS","Décom."),IF(OR($AQ118="",$AS118=""),"",IF(L$8&lt;$AQ118,"IKS",IF(L$8&lt;$AS118,IF(L$8=$AR118,"Bascule","Double run"),"ROKS"))))))</f>
        <v/>
      </c>
      <c r="M118" s="51" t="str">
        <f aca="false">IF(OR($A118="",M$8=""),"",IF($F118="Migré","ROKS",IF($F118="À décommissionner",IF(M$8&lt;$AS118,"IKS","Décom."),IF(OR($AQ118="",$AS118=""),"",IF(M$8&lt;$AQ118,"IKS",IF(M$8&lt;$AS118,IF(M$8=$AR118,"Bascule","Double run"),"ROKS"))))))</f>
        <v/>
      </c>
      <c r="N118" s="51" t="str">
        <f aca="false">IF(OR($A118="",N$8=""),"",IF($F118="Migré","ROKS",IF($F118="À décommissionner",IF(N$8&lt;$AS118,"IKS","Décom."),IF(OR($AQ118="",$AS118=""),"",IF(N$8&lt;$AQ118,"IKS",IF(N$8&lt;$AS118,IF(N$8=$AR118,"Bascule","Double run"),"ROKS"))))))</f>
        <v/>
      </c>
      <c r="O118" s="51" t="str">
        <f aca="false">IF(OR($A118="",O$8=""),"",IF($F118="Migré","ROKS",IF($F118="À décommissionner",IF(O$8&lt;$AS118,"IKS","Décom."),IF(OR($AQ118="",$AS118=""),"",IF(O$8&lt;$AQ118,"IKS",IF(O$8&lt;$AS118,IF(O$8=$AR118,"Bascule","Double run"),"ROKS"))))))</f>
        <v/>
      </c>
      <c r="P118" s="51" t="str">
        <f aca="false">IF(OR($A118="",P$8=""),"",IF($F118="Migré","ROKS",IF($F118="À décommissionner",IF(P$8&lt;$AS118,"IKS","Décom."),IF(OR($AQ118="",$AS118=""),"",IF(P$8&lt;$AQ118,"IKS",IF(P$8&lt;$AS118,IF(P$8=$AR118,"Bascule","Double run"),"ROKS"))))))</f>
        <v/>
      </c>
      <c r="Q118" s="51" t="str">
        <f aca="false">IF(OR($A118="",Q$8=""),"",IF($F118="Migré","ROKS",IF($F118="À décommissionner",IF(Q$8&lt;$AS118,"IKS","Décom."),IF(OR($AQ118="",$AS118=""),"",IF(Q$8&lt;$AQ118,"IKS",IF(Q$8&lt;$AS118,IF(Q$8=$AR118,"Bascule","Double run"),"ROKS"))))))</f>
        <v/>
      </c>
      <c r="R118" s="51" t="str">
        <f aca="false">IF(OR($A118="",R$8=""),"",IF($F118="Migré","ROKS",IF($F118="À décommissionner",IF(R$8&lt;$AS118,"IKS","Décom."),IF(OR($AQ118="",$AS118=""),"",IF(R$8&lt;$AQ118,"IKS",IF(R$8&lt;$AS118,IF(R$8=$AR118,"Bascule","Double run"),"ROKS"))))))</f>
        <v/>
      </c>
      <c r="S118" s="51" t="str">
        <f aca="false">IF(OR($A118="",S$8=""),"",IF($F118="Migré","ROKS",IF($F118="À décommissionner",IF(S$8&lt;$AS118,"IKS","Décom."),IF(OR($AQ118="",$AS118=""),"",IF(S$8&lt;$AQ118,"IKS",IF(S$8&lt;$AS118,IF(S$8=$AR118,"Bascule","Double run"),"ROKS"))))))</f>
        <v/>
      </c>
      <c r="T118" s="51" t="str">
        <f aca="false">IF(OR($A118="",T$8=""),"",IF($F118="Migré","ROKS",IF($F118="À décommissionner",IF(T$8&lt;$AS118,"IKS","Décom."),IF(OR($AQ118="",$AS118=""),"",IF(T$8&lt;$AQ118,"IKS",IF(T$8&lt;$AS118,IF(T$8=$AR118,"Bascule","Double run"),"ROKS"))))))</f>
        <v/>
      </c>
      <c r="U118" s="51" t="str">
        <f aca="false">IF(OR($A118="",U$8=""),"",IF($F118="Migré","ROKS",IF($F118="À décommissionner",IF(U$8&lt;$AS118,"IKS","Décom."),IF(OR($AQ118="",$AS118=""),"",IF(U$8&lt;$AQ118,"IKS",IF(U$8&lt;$AS118,IF(U$8=$AR118,"Bascule","Double run"),"ROKS"))))))</f>
        <v/>
      </c>
      <c r="V118" s="51" t="str">
        <f aca="false">IF(OR($A118="",V$8=""),"",IF($F118="Migré","ROKS",IF($F118="À décommissionner",IF(V$8&lt;$AS118,"IKS","Décom."),IF(OR($AQ118="",$AS118=""),"",IF(V$8&lt;$AQ118,"IKS",IF(V$8&lt;$AS118,IF(V$8=$AR118,"Bascule","Double run"),"ROKS"))))))</f>
        <v/>
      </c>
      <c r="W118" s="51" t="str">
        <f aca="false">IF(OR($A118="",W$8=""),"",IF($F118="Migré","ROKS",IF($F118="À décommissionner",IF(W$8&lt;$AS118,"IKS","Décom."),IF(OR($AQ118="",$AS118=""),"",IF(W$8&lt;$AQ118,"IKS",IF(W$8&lt;$AS118,IF(W$8=$AR118,"Bascule","Double run"),"ROKS"))))))</f>
        <v/>
      </c>
      <c r="X118" s="51" t="str">
        <f aca="false">IF(OR($A118="",X$8=""),"",IF($F118="Migré","ROKS",IF($F118="À décommissionner",IF(X$8&lt;$AS118,"IKS","Décom."),IF(OR($AQ118="",$AS118=""),"",IF(X$8&lt;$AQ118,"IKS",IF(X$8&lt;$AS118,IF(X$8=$AR118,"Bascule","Double run"),"ROKS"))))))</f>
        <v/>
      </c>
      <c r="Y118" s="51" t="str">
        <f aca="false">IF(OR($A118="",Y$8=""),"",IF($F118="Migré","ROKS",IF($F118="À décommissionner",IF(Y$8&lt;$AS118,"IKS","Décom."),IF(OR($AQ118="",$AS118=""),"",IF(Y$8&lt;$AQ118,"IKS",IF(Y$8&lt;$AS118,IF(Y$8=$AR118,"Bascule","Double run"),"ROKS"))))))</f>
        <v/>
      </c>
      <c r="Z118" s="51" t="str">
        <f aca="false">IF(OR($A118="",Z$8=""),"",IF($F118="Migré","ROKS",IF($F118="À décommissionner",IF(Z$8&lt;$AS118,"IKS","Décom."),IF(OR($AQ118="",$AS118=""),"",IF(Z$8&lt;$AQ118,"IKS",IF(Z$8&lt;$AS118,IF(Z$8=$AR118,"Bascule","Double run"),"ROKS"))))))</f>
        <v/>
      </c>
      <c r="AA118" s="51" t="str">
        <f aca="false">IF(OR($A118="",AA$8=""),"",IF($F118="Migré","ROKS",IF($F118="À décommissionner",IF(AA$8&lt;$AS118,"IKS","Décom."),IF(OR($AQ118="",$AS118=""),"",IF(AA$8&lt;$AQ118,"IKS",IF(AA$8&lt;$AS118,IF(AA$8=$AR118,"Bascule","Double run"),"ROKS"))))))</f>
        <v/>
      </c>
      <c r="AB118" s="51" t="str">
        <f aca="false">IF(OR($A118="",AB$8=""),"",IF($F118="Migré","ROKS",IF($F118="À décommissionner",IF(AB$8&lt;$AS118,"IKS","Décom."),IF(OR($AQ118="",$AS118=""),"",IF(AB$8&lt;$AQ118,"IKS",IF(AB$8&lt;$AS118,IF(AB$8=$AR118,"Bascule","Double run"),"ROKS"))))))</f>
        <v/>
      </c>
      <c r="AC118" s="51" t="str">
        <f aca="false">IF(OR($A118="",AC$8=""),"",IF($F118="Migré","ROKS",IF($F118="À décommissionner",IF(AC$8&lt;$AS118,"IKS","Décom."),IF(OR($AQ118="",$AS118=""),"",IF(AC$8&lt;$AQ118,"IKS",IF(AC$8&lt;$AS118,IF(AC$8=$AR118,"Bascule","Double run"),"ROKS"))))))</f>
        <v/>
      </c>
      <c r="AD118" s="51" t="str">
        <f aca="false">IF(OR($A118="",AD$8=""),"",IF($F118="Migré","ROKS",IF($F118="À décommissionner",IF(AD$8&lt;$AS118,"IKS","Décom."),IF(OR($AQ118="",$AS118=""),"",IF(AD$8&lt;$AQ118,"IKS",IF(AD$8&lt;$AS118,IF(AD$8=$AR118,"Bascule","Double run"),"ROKS"))))))</f>
        <v/>
      </c>
      <c r="AE118" s="51" t="str">
        <f aca="false">IF(OR($A118="",AE$8=""),"",IF($F118="Migré","ROKS",IF($F118="À décommissionner",IF(AE$8&lt;$AS118,"IKS","Décom."),IF(OR($AQ118="",$AS118=""),"",IF(AE$8&lt;$AQ118,"IKS",IF(AE$8&lt;$AS118,IF(AE$8=$AR118,"Bascule","Double run"),"ROKS"))))))</f>
        <v/>
      </c>
      <c r="AF118" s="51" t="str">
        <f aca="false">IF(OR($A118="",AF$8=""),"",IF($F118="Migré","ROKS",IF($F118="À décommissionner",IF(AF$8&lt;$AS118,"IKS","Décom."),IF(OR($AQ118="",$AS118=""),"",IF(AF$8&lt;$AQ118,"IKS",IF(AF$8&lt;$AS118,IF(AF$8=$AR118,"Bascule","Double run"),"ROKS"))))))</f>
        <v/>
      </c>
      <c r="AG118" s="51" t="str">
        <f aca="false">IF(OR($A118="",AG$8=""),"",IF($F118="Migré","ROKS",IF($F118="À décommissionner",IF(AG$8&lt;$AS118,"IKS","Décom."),IF(OR($AQ118="",$AS118=""),"",IF(AG$8&lt;$AQ118,"IKS",IF(AG$8&lt;$AS118,IF(AG$8=$AR118,"Bascule","Double run"),"ROKS"))))))</f>
        <v/>
      </c>
      <c r="AH118" s="51" t="str">
        <f aca="false">IF(OR($A118="",AH$8=""),"",IF($F118="Migré","ROKS",IF($F118="À décommissionner",IF(AH$8&lt;$AS118,"IKS","Décom."),IF(OR($AQ118="",$AS118=""),"",IF(AH$8&lt;$AQ118,"IKS",IF(AH$8&lt;$AS118,IF(AH$8=$AR118,"Bascule","Double run"),"ROKS"))))))</f>
        <v/>
      </c>
      <c r="AI118" s="51" t="str">
        <f aca="false">IF(OR($A118="",AI$8=""),"",IF($F118="Migré","ROKS",IF($F118="À décommissionner",IF(AI$8&lt;$AS118,"IKS","Décom."),IF(OR($AQ118="",$AS118=""),"",IF(AI$8&lt;$AQ118,"IKS",IF(AI$8&lt;$AS118,IF(AI$8=$AR118,"Bascule","Double run"),"ROKS"))))))</f>
        <v/>
      </c>
      <c r="AJ118" s="51" t="str">
        <f aca="false">IF(OR($A118="",AJ$8=""),"",IF($F118="Migré","ROKS",IF($F118="À décommissionner",IF(AJ$8&lt;$AS118,"IKS","Décom."),IF(OR($AQ118="",$AS118=""),"",IF(AJ$8&lt;$AQ118,"IKS",IF(AJ$8&lt;$AS118,IF(AJ$8=$AR118,"Bascule","Double run"),"ROKS"))))))</f>
        <v/>
      </c>
      <c r="AK118" s="51" t="str">
        <f aca="false">IF(OR($A118="",AK$8=""),"",IF($F118="Migré","ROKS",IF($F118="À décommissionner",IF(AK$8&lt;$AS118,"IKS","Décom."),IF(OR($AQ118="",$AS118=""),"",IF(AK$8&lt;$AQ118,"IKS",IF(AK$8&lt;$AS118,IF(AK$8=$AR118,"Bascule","Double run"),"ROKS"))))))</f>
        <v/>
      </c>
      <c r="AL118" s="51" t="str">
        <f aca="false">IF(OR($A118="",AL$8=""),"",IF($F118="Migré","ROKS",IF($F118="À décommissionner",IF(AL$8&lt;$AS118,"IKS","Décom."),IF(OR($AQ118="",$AS118=""),"",IF(AL$8&lt;$AQ118,"IKS",IF(AL$8&lt;$AS118,IF(AL$8=$AR118,"Bascule","Double run"),"ROKS"))))))</f>
        <v/>
      </c>
      <c r="AM118" s="51" t="str">
        <f aca="false">IF(OR($A118="",AM$8=""),"",IF($F118="Migré","ROKS",IF($F118="À décommissionner",IF(AM$8&lt;$AS118,"IKS","Décom."),IF(OR($AQ118="",$AS118=""),"",IF(AM$8&lt;$AQ118,"IKS",IF(AM$8&lt;$AS118,IF(AM$8=$AR118,"Bascule","Double run"),"ROKS"))))))</f>
        <v/>
      </c>
      <c r="AN118" s="51" t="str">
        <f aca="false">IF(OR($A118="",AN$8=""),"",IF($F118="Migré","ROKS",IF($F118="À décommissionner",IF(AN$8&lt;$AS118,"IKS","Décom."),IF(OR($AQ118="",$AS118=""),"",IF(AN$8&lt;$AQ118,"IKS",IF(AN$8&lt;$AS118,IF(AN$8=$AR118,"Bascule","Double run"),"ROKS"))))))</f>
        <v/>
      </c>
      <c r="AO118" s="51" t="str">
        <f aca="false">IF(OR($A118="",AO$8=""),"",IF($F118="Migré","ROKS",IF($F118="À décommissionner",IF(AO$8&lt;$AS118,"IKS","Décom."),IF(OR($AQ118="",$AS118=""),"",IF(AO$8&lt;$AQ118,"IKS",IF(AO$8&lt;$AS118,IF(AO$8=$AR118,"Bascule","Double run"),"ROKS"))))))</f>
        <v/>
      </c>
      <c r="AP118" s="51" t="str">
        <f aca="false">IF(OR($A118="",AP$8=""),"",IF($F118="Migré","ROKS",IF($F118="À décommissionner",IF(AP$8&lt;$AS118,"IKS","Décom."),IF(OR($AQ118="",$AS118=""),"",IF(AP$8&lt;$AQ118,"IKS",IF(AP$8&lt;$AS118,IF(AP$8=$AR118,"Bascule","Double run"),"ROKS"))))))</f>
        <v/>
      </c>
      <c r="AQ118" s="0" t="str">
        <f aca="false">IF($A118="","",INDEX(TblApplications[Mois prov (calc)],$A118))</f>
        <v/>
      </c>
      <c r="AR118" s="0" t="str">
        <f aca="false">IF($A118="","",IFERROR(DATE(YEAR(INDEX(TblApplications[Mois bascule],$A118)),MONTH(INDEX(TblApplications[Mois bascule],$A118)),1),""))</f>
        <v/>
      </c>
      <c r="AS118" s="0" t="str">
        <f aca="false">IF($A118="","",INDEX(TblApplications[Mois lib (calc)],$A118))</f>
        <v/>
      </c>
    </row>
    <row r="119" customFormat="false" ht="15" hidden="false" customHeight="false" outlineLevel="0" collapsed="false">
      <c r="A119" s="49" t="str">
        <f aca="false">IFERROR(MATCH(111,TblApplications[Rang frise],0),"")</f>
        <v/>
      </c>
      <c r="B119" s="50" t="str">
        <f aca="false">IF($A119="","",INDEX(TblApplications[ID],$A119))</f>
        <v/>
      </c>
      <c r="C119" s="50" t="str">
        <f aca="false">IF($A119="","",INDEX(TblApplications[Application],$A119))</f>
        <v/>
      </c>
      <c r="D119" s="50" t="str">
        <f aca="false">IF($A119="","",INDEX(TblApplications[Environnement],$A119))</f>
        <v/>
      </c>
      <c r="E119" s="50" t="str">
        <f aca="false">IF($A119="","",INDEX(TblApplications[Couloir],$A119))</f>
        <v/>
      </c>
      <c r="F119" s="50" t="str">
        <f aca="false">IF($A119="","",INDEX(TblApplications[Action],$A119))</f>
        <v/>
      </c>
      <c r="G119" s="51" t="str">
        <f aca="false">IF(OR($A119="",G$8=""),"",IF($F119="Migré","ROKS",IF($F119="À décommissionner",IF(G$8&lt;$AS119,"IKS","Décom."),IF(OR($AQ119="",$AS119=""),"",IF(G$8&lt;$AQ119,"IKS",IF(G$8&lt;$AS119,IF(G$8=$AR119,"Bascule","Double run"),"ROKS"))))))</f>
        <v/>
      </c>
      <c r="H119" s="51" t="str">
        <f aca="false">IF(OR($A119="",H$8=""),"",IF($F119="Migré","ROKS",IF($F119="À décommissionner",IF(H$8&lt;$AS119,"IKS","Décom."),IF(OR($AQ119="",$AS119=""),"",IF(H$8&lt;$AQ119,"IKS",IF(H$8&lt;$AS119,IF(H$8=$AR119,"Bascule","Double run"),"ROKS"))))))</f>
        <v/>
      </c>
      <c r="I119" s="51" t="str">
        <f aca="false">IF(OR($A119="",I$8=""),"",IF($F119="Migré","ROKS",IF($F119="À décommissionner",IF(I$8&lt;$AS119,"IKS","Décom."),IF(OR($AQ119="",$AS119=""),"",IF(I$8&lt;$AQ119,"IKS",IF(I$8&lt;$AS119,IF(I$8=$AR119,"Bascule","Double run"),"ROKS"))))))</f>
        <v/>
      </c>
      <c r="J119" s="51" t="str">
        <f aca="false">IF(OR($A119="",J$8=""),"",IF($F119="Migré","ROKS",IF($F119="À décommissionner",IF(J$8&lt;$AS119,"IKS","Décom."),IF(OR($AQ119="",$AS119=""),"",IF(J$8&lt;$AQ119,"IKS",IF(J$8&lt;$AS119,IF(J$8=$AR119,"Bascule","Double run"),"ROKS"))))))</f>
        <v/>
      </c>
      <c r="K119" s="51" t="str">
        <f aca="false">IF(OR($A119="",K$8=""),"",IF($F119="Migré","ROKS",IF($F119="À décommissionner",IF(K$8&lt;$AS119,"IKS","Décom."),IF(OR($AQ119="",$AS119=""),"",IF(K$8&lt;$AQ119,"IKS",IF(K$8&lt;$AS119,IF(K$8=$AR119,"Bascule","Double run"),"ROKS"))))))</f>
        <v/>
      </c>
      <c r="L119" s="51" t="str">
        <f aca="false">IF(OR($A119="",L$8=""),"",IF($F119="Migré","ROKS",IF($F119="À décommissionner",IF(L$8&lt;$AS119,"IKS","Décom."),IF(OR($AQ119="",$AS119=""),"",IF(L$8&lt;$AQ119,"IKS",IF(L$8&lt;$AS119,IF(L$8=$AR119,"Bascule","Double run"),"ROKS"))))))</f>
        <v/>
      </c>
      <c r="M119" s="51" t="str">
        <f aca="false">IF(OR($A119="",M$8=""),"",IF($F119="Migré","ROKS",IF($F119="À décommissionner",IF(M$8&lt;$AS119,"IKS","Décom."),IF(OR($AQ119="",$AS119=""),"",IF(M$8&lt;$AQ119,"IKS",IF(M$8&lt;$AS119,IF(M$8=$AR119,"Bascule","Double run"),"ROKS"))))))</f>
        <v/>
      </c>
      <c r="N119" s="51" t="str">
        <f aca="false">IF(OR($A119="",N$8=""),"",IF($F119="Migré","ROKS",IF($F119="À décommissionner",IF(N$8&lt;$AS119,"IKS","Décom."),IF(OR($AQ119="",$AS119=""),"",IF(N$8&lt;$AQ119,"IKS",IF(N$8&lt;$AS119,IF(N$8=$AR119,"Bascule","Double run"),"ROKS"))))))</f>
        <v/>
      </c>
      <c r="O119" s="51" t="str">
        <f aca="false">IF(OR($A119="",O$8=""),"",IF($F119="Migré","ROKS",IF($F119="À décommissionner",IF(O$8&lt;$AS119,"IKS","Décom."),IF(OR($AQ119="",$AS119=""),"",IF(O$8&lt;$AQ119,"IKS",IF(O$8&lt;$AS119,IF(O$8=$AR119,"Bascule","Double run"),"ROKS"))))))</f>
        <v/>
      </c>
      <c r="P119" s="51" t="str">
        <f aca="false">IF(OR($A119="",P$8=""),"",IF($F119="Migré","ROKS",IF($F119="À décommissionner",IF(P$8&lt;$AS119,"IKS","Décom."),IF(OR($AQ119="",$AS119=""),"",IF(P$8&lt;$AQ119,"IKS",IF(P$8&lt;$AS119,IF(P$8=$AR119,"Bascule","Double run"),"ROKS"))))))</f>
        <v/>
      </c>
      <c r="Q119" s="51" t="str">
        <f aca="false">IF(OR($A119="",Q$8=""),"",IF($F119="Migré","ROKS",IF($F119="À décommissionner",IF(Q$8&lt;$AS119,"IKS","Décom."),IF(OR($AQ119="",$AS119=""),"",IF(Q$8&lt;$AQ119,"IKS",IF(Q$8&lt;$AS119,IF(Q$8=$AR119,"Bascule","Double run"),"ROKS"))))))</f>
        <v/>
      </c>
      <c r="R119" s="51" t="str">
        <f aca="false">IF(OR($A119="",R$8=""),"",IF($F119="Migré","ROKS",IF($F119="À décommissionner",IF(R$8&lt;$AS119,"IKS","Décom."),IF(OR($AQ119="",$AS119=""),"",IF(R$8&lt;$AQ119,"IKS",IF(R$8&lt;$AS119,IF(R$8=$AR119,"Bascule","Double run"),"ROKS"))))))</f>
        <v/>
      </c>
      <c r="S119" s="51" t="str">
        <f aca="false">IF(OR($A119="",S$8=""),"",IF($F119="Migré","ROKS",IF($F119="À décommissionner",IF(S$8&lt;$AS119,"IKS","Décom."),IF(OR($AQ119="",$AS119=""),"",IF(S$8&lt;$AQ119,"IKS",IF(S$8&lt;$AS119,IF(S$8=$AR119,"Bascule","Double run"),"ROKS"))))))</f>
        <v/>
      </c>
      <c r="T119" s="51" t="str">
        <f aca="false">IF(OR($A119="",T$8=""),"",IF($F119="Migré","ROKS",IF($F119="À décommissionner",IF(T$8&lt;$AS119,"IKS","Décom."),IF(OR($AQ119="",$AS119=""),"",IF(T$8&lt;$AQ119,"IKS",IF(T$8&lt;$AS119,IF(T$8=$AR119,"Bascule","Double run"),"ROKS"))))))</f>
        <v/>
      </c>
      <c r="U119" s="51" t="str">
        <f aca="false">IF(OR($A119="",U$8=""),"",IF($F119="Migré","ROKS",IF($F119="À décommissionner",IF(U$8&lt;$AS119,"IKS","Décom."),IF(OR($AQ119="",$AS119=""),"",IF(U$8&lt;$AQ119,"IKS",IF(U$8&lt;$AS119,IF(U$8=$AR119,"Bascule","Double run"),"ROKS"))))))</f>
        <v/>
      </c>
      <c r="V119" s="51" t="str">
        <f aca="false">IF(OR($A119="",V$8=""),"",IF($F119="Migré","ROKS",IF($F119="À décommissionner",IF(V$8&lt;$AS119,"IKS","Décom."),IF(OR($AQ119="",$AS119=""),"",IF(V$8&lt;$AQ119,"IKS",IF(V$8&lt;$AS119,IF(V$8=$AR119,"Bascule","Double run"),"ROKS"))))))</f>
        <v/>
      </c>
      <c r="W119" s="51" t="str">
        <f aca="false">IF(OR($A119="",W$8=""),"",IF($F119="Migré","ROKS",IF($F119="À décommissionner",IF(W$8&lt;$AS119,"IKS","Décom."),IF(OR($AQ119="",$AS119=""),"",IF(W$8&lt;$AQ119,"IKS",IF(W$8&lt;$AS119,IF(W$8=$AR119,"Bascule","Double run"),"ROKS"))))))</f>
        <v/>
      </c>
      <c r="X119" s="51" t="str">
        <f aca="false">IF(OR($A119="",X$8=""),"",IF($F119="Migré","ROKS",IF($F119="À décommissionner",IF(X$8&lt;$AS119,"IKS","Décom."),IF(OR($AQ119="",$AS119=""),"",IF(X$8&lt;$AQ119,"IKS",IF(X$8&lt;$AS119,IF(X$8=$AR119,"Bascule","Double run"),"ROKS"))))))</f>
        <v/>
      </c>
      <c r="Y119" s="51" t="str">
        <f aca="false">IF(OR($A119="",Y$8=""),"",IF($F119="Migré","ROKS",IF($F119="À décommissionner",IF(Y$8&lt;$AS119,"IKS","Décom."),IF(OR($AQ119="",$AS119=""),"",IF(Y$8&lt;$AQ119,"IKS",IF(Y$8&lt;$AS119,IF(Y$8=$AR119,"Bascule","Double run"),"ROKS"))))))</f>
        <v/>
      </c>
      <c r="Z119" s="51" t="str">
        <f aca="false">IF(OR($A119="",Z$8=""),"",IF($F119="Migré","ROKS",IF($F119="À décommissionner",IF(Z$8&lt;$AS119,"IKS","Décom."),IF(OR($AQ119="",$AS119=""),"",IF(Z$8&lt;$AQ119,"IKS",IF(Z$8&lt;$AS119,IF(Z$8=$AR119,"Bascule","Double run"),"ROKS"))))))</f>
        <v/>
      </c>
      <c r="AA119" s="51" t="str">
        <f aca="false">IF(OR($A119="",AA$8=""),"",IF($F119="Migré","ROKS",IF($F119="À décommissionner",IF(AA$8&lt;$AS119,"IKS","Décom."),IF(OR($AQ119="",$AS119=""),"",IF(AA$8&lt;$AQ119,"IKS",IF(AA$8&lt;$AS119,IF(AA$8=$AR119,"Bascule","Double run"),"ROKS"))))))</f>
        <v/>
      </c>
      <c r="AB119" s="51" t="str">
        <f aca="false">IF(OR($A119="",AB$8=""),"",IF($F119="Migré","ROKS",IF($F119="À décommissionner",IF(AB$8&lt;$AS119,"IKS","Décom."),IF(OR($AQ119="",$AS119=""),"",IF(AB$8&lt;$AQ119,"IKS",IF(AB$8&lt;$AS119,IF(AB$8=$AR119,"Bascule","Double run"),"ROKS"))))))</f>
        <v/>
      </c>
      <c r="AC119" s="51" t="str">
        <f aca="false">IF(OR($A119="",AC$8=""),"",IF($F119="Migré","ROKS",IF($F119="À décommissionner",IF(AC$8&lt;$AS119,"IKS","Décom."),IF(OR($AQ119="",$AS119=""),"",IF(AC$8&lt;$AQ119,"IKS",IF(AC$8&lt;$AS119,IF(AC$8=$AR119,"Bascule","Double run"),"ROKS"))))))</f>
        <v/>
      </c>
      <c r="AD119" s="51" t="str">
        <f aca="false">IF(OR($A119="",AD$8=""),"",IF($F119="Migré","ROKS",IF($F119="À décommissionner",IF(AD$8&lt;$AS119,"IKS","Décom."),IF(OR($AQ119="",$AS119=""),"",IF(AD$8&lt;$AQ119,"IKS",IF(AD$8&lt;$AS119,IF(AD$8=$AR119,"Bascule","Double run"),"ROKS"))))))</f>
        <v/>
      </c>
      <c r="AE119" s="51" t="str">
        <f aca="false">IF(OR($A119="",AE$8=""),"",IF($F119="Migré","ROKS",IF($F119="À décommissionner",IF(AE$8&lt;$AS119,"IKS","Décom."),IF(OR($AQ119="",$AS119=""),"",IF(AE$8&lt;$AQ119,"IKS",IF(AE$8&lt;$AS119,IF(AE$8=$AR119,"Bascule","Double run"),"ROKS"))))))</f>
        <v/>
      </c>
      <c r="AF119" s="51" t="str">
        <f aca="false">IF(OR($A119="",AF$8=""),"",IF($F119="Migré","ROKS",IF($F119="À décommissionner",IF(AF$8&lt;$AS119,"IKS","Décom."),IF(OR($AQ119="",$AS119=""),"",IF(AF$8&lt;$AQ119,"IKS",IF(AF$8&lt;$AS119,IF(AF$8=$AR119,"Bascule","Double run"),"ROKS"))))))</f>
        <v/>
      </c>
      <c r="AG119" s="51" t="str">
        <f aca="false">IF(OR($A119="",AG$8=""),"",IF($F119="Migré","ROKS",IF($F119="À décommissionner",IF(AG$8&lt;$AS119,"IKS","Décom."),IF(OR($AQ119="",$AS119=""),"",IF(AG$8&lt;$AQ119,"IKS",IF(AG$8&lt;$AS119,IF(AG$8=$AR119,"Bascule","Double run"),"ROKS"))))))</f>
        <v/>
      </c>
      <c r="AH119" s="51" t="str">
        <f aca="false">IF(OR($A119="",AH$8=""),"",IF($F119="Migré","ROKS",IF($F119="À décommissionner",IF(AH$8&lt;$AS119,"IKS","Décom."),IF(OR($AQ119="",$AS119=""),"",IF(AH$8&lt;$AQ119,"IKS",IF(AH$8&lt;$AS119,IF(AH$8=$AR119,"Bascule","Double run"),"ROKS"))))))</f>
        <v/>
      </c>
      <c r="AI119" s="51" t="str">
        <f aca="false">IF(OR($A119="",AI$8=""),"",IF($F119="Migré","ROKS",IF($F119="À décommissionner",IF(AI$8&lt;$AS119,"IKS","Décom."),IF(OR($AQ119="",$AS119=""),"",IF(AI$8&lt;$AQ119,"IKS",IF(AI$8&lt;$AS119,IF(AI$8=$AR119,"Bascule","Double run"),"ROKS"))))))</f>
        <v/>
      </c>
      <c r="AJ119" s="51" t="str">
        <f aca="false">IF(OR($A119="",AJ$8=""),"",IF($F119="Migré","ROKS",IF($F119="À décommissionner",IF(AJ$8&lt;$AS119,"IKS","Décom."),IF(OR($AQ119="",$AS119=""),"",IF(AJ$8&lt;$AQ119,"IKS",IF(AJ$8&lt;$AS119,IF(AJ$8=$AR119,"Bascule","Double run"),"ROKS"))))))</f>
        <v/>
      </c>
      <c r="AK119" s="51" t="str">
        <f aca="false">IF(OR($A119="",AK$8=""),"",IF($F119="Migré","ROKS",IF($F119="À décommissionner",IF(AK$8&lt;$AS119,"IKS","Décom."),IF(OR($AQ119="",$AS119=""),"",IF(AK$8&lt;$AQ119,"IKS",IF(AK$8&lt;$AS119,IF(AK$8=$AR119,"Bascule","Double run"),"ROKS"))))))</f>
        <v/>
      </c>
      <c r="AL119" s="51" t="str">
        <f aca="false">IF(OR($A119="",AL$8=""),"",IF($F119="Migré","ROKS",IF($F119="À décommissionner",IF(AL$8&lt;$AS119,"IKS","Décom."),IF(OR($AQ119="",$AS119=""),"",IF(AL$8&lt;$AQ119,"IKS",IF(AL$8&lt;$AS119,IF(AL$8=$AR119,"Bascule","Double run"),"ROKS"))))))</f>
        <v/>
      </c>
      <c r="AM119" s="51" t="str">
        <f aca="false">IF(OR($A119="",AM$8=""),"",IF($F119="Migré","ROKS",IF($F119="À décommissionner",IF(AM$8&lt;$AS119,"IKS","Décom."),IF(OR($AQ119="",$AS119=""),"",IF(AM$8&lt;$AQ119,"IKS",IF(AM$8&lt;$AS119,IF(AM$8=$AR119,"Bascule","Double run"),"ROKS"))))))</f>
        <v/>
      </c>
      <c r="AN119" s="51" t="str">
        <f aca="false">IF(OR($A119="",AN$8=""),"",IF($F119="Migré","ROKS",IF($F119="À décommissionner",IF(AN$8&lt;$AS119,"IKS","Décom."),IF(OR($AQ119="",$AS119=""),"",IF(AN$8&lt;$AQ119,"IKS",IF(AN$8&lt;$AS119,IF(AN$8=$AR119,"Bascule","Double run"),"ROKS"))))))</f>
        <v/>
      </c>
      <c r="AO119" s="51" t="str">
        <f aca="false">IF(OR($A119="",AO$8=""),"",IF($F119="Migré","ROKS",IF($F119="À décommissionner",IF(AO$8&lt;$AS119,"IKS","Décom."),IF(OR($AQ119="",$AS119=""),"",IF(AO$8&lt;$AQ119,"IKS",IF(AO$8&lt;$AS119,IF(AO$8=$AR119,"Bascule","Double run"),"ROKS"))))))</f>
        <v/>
      </c>
      <c r="AP119" s="51" t="str">
        <f aca="false">IF(OR($A119="",AP$8=""),"",IF($F119="Migré","ROKS",IF($F119="À décommissionner",IF(AP$8&lt;$AS119,"IKS","Décom."),IF(OR($AQ119="",$AS119=""),"",IF(AP$8&lt;$AQ119,"IKS",IF(AP$8&lt;$AS119,IF(AP$8=$AR119,"Bascule","Double run"),"ROKS"))))))</f>
        <v/>
      </c>
      <c r="AQ119" s="0" t="str">
        <f aca="false">IF($A119="","",INDEX(TblApplications[Mois prov (calc)],$A119))</f>
        <v/>
      </c>
      <c r="AR119" s="0" t="str">
        <f aca="false">IF($A119="","",IFERROR(DATE(YEAR(INDEX(TblApplications[Mois bascule],$A119)),MONTH(INDEX(TblApplications[Mois bascule],$A119)),1),""))</f>
        <v/>
      </c>
      <c r="AS119" s="0" t="str">
        <f aca="false">IF($A119="","",INDEX(TblApplications[Mois lib (calc)],$A119))</f>
        <v/>
      </c>
    </row>
    <row r="120" customFormat="false" ht="15" hidden="false" customHeight="false" outlineLevel="0" collapsed="false">
      <c r="A120" s="49" t="str">
        <f aca="false">IFERROR(MATCH(112,TblApplications[Rang frise],0),"")</f>
        <v/>
      </c>
      <c r="B120" s="50" t="str">
        <f aca="false">IF($A120="","",INDEX(TblApplications[ID],$A120))</f>
        <v/>
      </c>
      <c r="C120" s="50" t="str">
        <f aca="false">IF($A120="","",INDEX(TblApplications[Application],$A120))</f>
        <v/>
      </c>
      <c r="D120" s="50" t="str">
        <f aca="false">IF($A120="","",INDEX(TblApplications[Environnement],$A120))</f>
        <v/>
      </c>
      <c r="E120" s="50" t="str">
        <f aca="false">IF($A120="","",INDEX(TblApplications[Couloir],$A120))</f>
        <v/>
      </c>
      <c r="F120" s="50" t="str">
        <f aca="false">IF($A120="","",INDEX(TblApplications[Action],$A120))</f>
        <v/>
      </c>
      <c r="G120" s="51" t="str">
        <f aca="false">IF(OR($A120="",G$8=""),"",IF($F120="Migré","ROKS",IF($F120="À décommissionner",IF(G$8&lt;$AS120,"IKS","Décom."),IF(OR($AQ120="",$AS120=""),"",IF(G$8&lt;$AQ120,"IKS",IF(G$8&lt;$AS120,IF(G$8=$AR120,"Bascule","Double run"),"ROKS"))))))</f>
        <v/>
      </c>
      <c r="H120" s="51" t="str">
        <f aca="false">IF(OR($A120="",H$8=""),"",IF($F120="Migré","ROKS",IF($F120="À décommissionner",IF(H$8&lt;$AS120,"IKS","Décom."),IF(OR($AQ120="",$AS120=""),"",IF(H$8&lt;$AQ120,"IKS",IF(H$8&lt;$AS120,IF(H$8=$AR120,"Bascule","Double run"),"ROKS"))))))</f>
        <v/>
      </c>
      <c r="I120" s="51" t="str">
        <f aca="false">IF(OR($A120="",I$8=""),"",IF($F120="Migré","ROKS",IF($F120="À décommissionner",IF(I$8&lt;$AS120,"IKS","Décom."),IF(OR($AQ120="",$AS120=""),"",IF(I$8&lt;$AQ120,"IKS",IF(I$8&lt;$AS120,IF(I$8=$AR120,"Bascule","Double run"),"ROKS"))))))</f>
        <v/>
      </c>
      <c r="J120" s="51" t="str">
        <f aca="false">IF(OR($A120="",J$8=""),"",IF($F120="Migré","ROKS",IF($F120="À décommissionner",IF(J$8&lt;$AS120,"IKS","Décom."),IF(OR($AQ120="",$AS120=""),"",IF(J$8&lt;$AQ120,"IKS",IF(J$8&lt;$AS120,IF(J$8=$AR120,"Bascule","Double run"),"ROKS"))))))</f>
        <v/>
      </c>
      <c r="K120" s="51" t="str">
        <f aca="false">IF(OR($A120="",K$8=""),"",IF($F120="Migré","ROKS",IF($F120="À décommissionner",IF(K$8&lt;$AS120,"IKS","Décom."),IF(OR($AQ120="",$AS120=""),"",IF(K$8&lt;$AQ120,"IKS",IF(K$8&lt;$AS120,IF(K$8=$AR120,"Bascule","Double run"),"ROKS"))))))</f>
        <v/>
      </c>
      <c r="L120" s="51" t="str">
        <f aca="false">IF(OR($A120="",L$8=""),"",IF($F120="Migré","ROKS",IF($F120="À décommissionner",IF(L$8&lt;$AS120,"IKS","Décom."),IF(OR($AQ120="",$AS120=""),"",IF(L$8&lt;$AQ120,"IKS",IF(L$8&lt;$AS120,IF(L$8=$AR120,"Bascule","Double run"),"ROKS"))))))</f>
        <v/>
      </c>
      <c r="M120" s="51" t="str">
        <f aca="false">IF(OR($A120="",M$8=""),"",IF($F120="Migré","ROKS",IF($F120="À décommissionner",IF(M$8&lt;$AS120,"IKS","Décom."),IF(OR($AQ120="",$AS120=""),"",IF(M$8&lt;$AQ120,"IKS",IF(M$8&lt;$AS120,IF(M$8=$AR120,"Bascule","Double run"),"ROKS"))))))</f>
        <v/>
      </c>
      <c r="N120" s="51" t="str">
        <f aca="false">IF(OR($A120="",N$8=""),"",IF($F120="Migré","ROKS",IF($F120="À décommissionner",IF(N$8&lt;$AS120,"IKS","Décom."),IF(OR($AQ120="",$AS120=""),"",IF(N$8&lt;$AQ120,"IKS",IF(N$8&lt;$AS120,IF(N$8=$AR120,"Bascule","Double run"),"ROKS"))))))</f>
        <v/>
      </c>
      <c r="O120" s="51" t="str">
        <f aca="false">IF(OR($A120="",O$8=""),"",IF($F120="Migré","ROKS",IF($F120="À décommissionner",IF(O$8&lt;$AS120,"IKS","Décom."),IF(OR($AQ120="",$AS120=""),"",IF(O$8&lt;$AQ120,"IKS",IF(O$8&lt;$AS120,IF(O$8=$AR120,"Bascule","Double run"),"ROKS"))))))</f>
        <v/>
      </c>
      <c r="P120" s="51" t="str">
        <f aca="false">IF(OR($A120="",P$8=""),"",IF($F120="Migré","ROKS",IF($F120="À décommissionner",IF(P$8&lt;$AS120,"IKS","Décom."),IF(OR($AQ120="",$AS120=""),"",IF(P$8&lt;$AQ120,"IKS",IF(P$8&lt;$AS120,IF(P$8=$AR120,"Bascule","Double run"),"ROKS"))))))</f>
        <v/>
      </c>
      <c r="Q120" s="51" t="str">
        <f aca="false">IF(OR($A120="",Q$8=""),"",IF($F120="Migré","ROKS",IF($F120="À décommissionner",IF(Q$8&lt;$AS120,"IKS","Décom."),IF(OR($AQ120="",$AS120=""),"",IF(Q$8&lt;$AQ120,"IKS",IF(Q$8&lt;$AS120,IF(Q$8=$AR120,"Bascule","Double run"),"ROKS"))))))</f>
        <v/>
      </c>
      <c r="R120" s="51" t="str">
        <f aca="false">IF(OR($A120="",R$8=""),"",IF($F120="Migré","ROKS",IF($F120="À décommissionner",IF(R$8&lt;$AS120,"IKS","Décom."),IF(OR($AQ120="",$AS120=""),"",IF(R$8&lt;$AQ120,"IKS",IF(R$8&lt;$AS120,IF(R$8=$AR120,"Bascule","Double run"),"ROKS"))))))</f>
        <v/>
      </c>
      <c r="S120" s="51" t="str">
        <f aca="false">IF(OR($A120="",S$8=""),"",IF($F120="Migré","ROKS",IF($F120="À décommissionner",IF(S$8&lt;$AS120,"IKS","Décom."),IF(OR($AQ120="",$AS120=""),"",IF(S$8&lt;$AQ120,"IKS",IF(S$8&lt;$AS120,IF(S$8=$AR120,"Bascule","Double run"),"ROKS"))))))</f>
        <v/>
      </c>
      <c r="T120" s="51" t="str">
        <f aca="false">IF(OR($A120="",T$8=""),"",IF($F120="Migré","ROKS",IF($F120="À décommissionner",IF(T$8&lt;$AS120,"IKS","Décom."),IF(OR($AQ120="",$AS120=""),"",IF(T$8&lt;$AQ120,"IKS",IF(T$8&lt;$AS120,IF(T$8=$AR120,"Bascule","Double run"),"ROKS"))))))</f>
        <v/>
      </c>
      <c r="U120" s="51" t="str">
        <f aca="false">IF(OR($A120="",U$8=""),"",IF($F120="Migré","ROKS",IF($F120="À décommissionner",IF(U$8&lt;$AS120,"IKS","Décom."),IF(OR($AQ120="",$AS120=""),"",IF(U$8&lt;$AQ120,"IKS",IF(U$8&lt;$AS120,IF(U$8=$AR120,"Bascule","Double run"),"ROKS"))))))</f>
        <v/>
      </c>
      <c r="V120" s="51" t="str">
        <f aca="false">IF(OR($A120="",V$8=""),"",IF($F120="Migré","ROKS",IF($F120="À décommissionner",IF(V$8&lt;$AS120,"IKS","Décom."),IF(OR($AQ120="",$AS120=""),"",IF(V$8&lt;$AQ120,"IKS",IF(V$8&lt;$AS120,IF(V$8=$AR120,"Bascule","Double run"),"ROKS"))))))</f>
        <v/>
      </c>
      <c r="W120" s="51" t="str">
        <f aca="false">IF(OR($A120="",W$8=""),"",IF($F120="Migré","ROKS",IF($F120="À décommissionner",IF(W$8&lt;$AS120,"IKS","Décom."),IF(OR($AQ120="",$AS120=""),"",IF(W$8&lt;$AQ120,"IKS",IF(W$8&lt;$AS120,IF(W$8=$AR120,"Bascule","Double run"),"ROKS"))))))</f>
        <v/>
      </c>
      <c r="X120" s="51" t="str">
        <f aca="false">IF(OR($A120="",X$8=""),"",IF($F120="Migré","ROKS",IF($F120="À décommissionner",IF(X$8&lt;$AS120,"IKS","Décom."),IF(OR($AQ120="",$AS120=""),"",IF(X$8&lt;$AQ120,"IKS",IF(X$8&lt;$AS120,IF(X$8=$AR120,"Bascule","Double run"),"ROKS"))))))</f>
        <v/>
      </c>
      <c r="Y120" s="51" t="str">
        <f aca="false">IF(OR($A120="",Y$8=""),"",IF($F120="Migré","ROKS",IF($F120="À décommissionner",IF(Y$8&lt;$AS120,"IKS","Décom."),IF(OR($AQ120="",$AS120=""),"",IF(Y$8&lt;$AQ120,"IKS",IF(Y$8&lt;$AS120,IF(Y$8=$AR120,"Bascule","Double run"),"ROKS"))))))</f>
        <v/>
      </c>
      <c r="Z120" s="51" t="str">
        <f aca="false">IF(OR($A120="",Z$8=""),"",IF($F120="Migré","ROKS",IF($F120="À décommissionner",IF(Z$8&lt;$AS120,"IKS","Décom."),IF(OR($AQ120="",$AS120=""),"",IF(Z$8&lt;$AQ120,"IKS",IF(Z$8&lt;$AS120,IF(Z$8=$AR120,"Bascule","Double run"),"ROKS"))))))</f>
        <v/>
      </c>
      <c r="AA120" s="51" t="str">
        <f aca="false">IF(OR($A120="",AA$8=""),"",IF($F120="Migré","ROKS",IF($F120="À décommissionner",IF(AA$8&lt;$AS120,"IKS","Décom."),IF(OR($AQ120="",$AS120=""),"",IF(AA$8&lt;$AQ120,"IKS",IF(AA$8&lt;$AS120,IF(AA$8=$AR120,"Bascule","Double run"),"ROKS"))))))</f>
        <v/>
      </c>
      <c r="AB120" s="51" t="str">
        <f aca="false">IF(OR($A120="",AB$8=""),"",IF($F120="Migré","ROKS",IF($F120="À décommissionner",IF(AB$8&lt;$AS120,"IKS","Décom."),IF(OR($AQ120="",$AS120=""),"",IF(AB$8&lt;$AQ120,"IKS",IF(AB$8&lt;$AS120,IF(AB$8=$AR120,"Bascule","Double run"),"ROKS"))))))</f>
        <v/>
      </c>
      <c r="AC120" s="51" t="str">
        <f aca="false">IF(OR($A120="",AC$8=""),"",IF($F120="Migré","ROKS",IF($F120="À décommissionner",IF(AC$8&lt;$AS120,"IKS","Décom."),IF(OR($AQ120="",$AS120=""),"",IF(AC$8&lt;$AQ120,"IKS",IF(AC$8&lt;$AS120,IF(AC$8=$AR120,"Bascule","Double run"),"ROKS"))))))</f>
        <v/>
      </c>
      <c r="AD120" s="51" t="str">
        <f aca="false">IF(OR($A120="",AD$8=""),"",IF($F120="Migré","ROKS",IF($F120="À décommissionner",IF(AD$8&lt;$AS120,"IKS","Décom."),IF(OR($AQ120="",$AS120=""),"",IF(AD$8&lt;$AQ120,"IKS",IF(AD$8&lt;$AS120,IF(AD$8=$AR120,"Bascule","Double run"),"ROKS"))))))</f>
        <v/>
      </c>
      <c r="AE120" s="51" t="str">
        <f aca="false">IF(OR($A120="",AE$8=""),"",IF($F120="Migré","ROKS",IF($F120="À décommissionner",IF(AE$8&lt;$AS120,"IKS","Décom."),IF(OR($AQ120="",$AS120=""),"",IF(AE$8&lt;$AQ120,"IKS",IF(AE$8&lt;$AS120,IF(AE$8=$AR120,"Bascule","Double run"),"ROKS"))))))</f>
        <v/>
      </c>
      <c r="AF120" s="51" t="str">
        <f aca="false">IF(OR($A120="",AF$8=""),"",IF($F120="Migré","ROKS",IF($F120="À décommissionner",IF(AF$8&lt;$AS120,"IKS","Décom."),IF(OR($AQ120="",$AS120=""),"",IF(AF$8&lt;$AQ120,"IKS",IF(AF$8&lt;$AS120,IF(AF$8=$AR120,"Bascule","Double run"),"ROKS"))))))</f>
        <v/>
      </c>
      <c r="AG120" s="51" t="str">
        <f aca="false">IF(OR($A120="",AG$8=""),"",IF($F120="Migré","ROKS",IF($F120="À décommissionner",IF(AG$8&lt;$AS120,"IKS","Décom."),IF(OR($AQ120="",$AS120=""),"",IF(AG$8&lt;$AQ120,"IKS",IF(AG$8&lt;$AS120,IF(AG$8=$AR120,"Bascule","Double run"),"ROKS"))))))</f>
        <v/>
      </c>
      <c r="AH120" s="51" t="str">
        <f aca="false">IF(OR($A120="",AH$8=""),"",IF($F120="Migré","ROKS",IF($F120="À décommissionner",IF(AH$8&lt;$AS120,"IKS","Décom."),IF(OR($AQ120="",$AS120=""),"",IF(AH$8&lt;$AQ120,"IKS",IF(AH$8&lt;$AS120,IF(AH$8=$AR120,"Bascule","Double run"),"ROKS"))))))</f>
        <v/>
      </c>
      <c r="AI120" s="51" t="str">
        <f aca="false">IF(OR($A120="",AI$8=""),"",IF($F120="Migré","ROKS",IF($F120="À décommissionner",IF(AI$8&lt;$AS120,"IKS","Décom."),IF(OR($AQ120="",$AS120=""),"",IF(AI$8&lt;$AQ120,"IKS",IF(AI$8&lt;$AS120,IF(AI$8=$AR120,"Bascule","Double run"),"ROKS"))))))</f>
        <v/>
      </c>
      <c r="AJ120" s="51" t="str">
        <f aca="false">IF(OR($A120="",AJ$8=""),"",IF($F120="Migré","ROKS",IF($F120="À décommissionner",IF(AJ$8&lt;$AS120,"IKS","Décom."),IF(OR($AQ120="",$AS120=""),"",IF(AJ$8&lt;$AQ120,"IKS",IF(AJ$8&lt;$AS120,IF(AJ$8=$AR120,"Bascule","Double run"),"ROKS"))))))</f>
        <v/>
      </c>
      <c r="AK120" s="51" t="str">
        <f aca="false">IF(OR($A120="",AK$8=""),"",IF($F120="Migré","ROKS",IF($F120="À décommissionner",IF(AK$8&lt;$AS120,"IKS","Décom."),IF(OR($AQ120="",$AS120=""),"",IF(AK$8&lt;$AQ120,"IKS",IF(AK$8&lt;$AS120,IF(AK$8=$AR120,"Bascule","Double run"),"ROKS"))))))</f>
        <v/>
      </c>
      <c r="AL120" s="51" t="str">
        <f aca="false">IF(OR($A120="",AL$8=""),"",IF($F120="Migré","ROKS",IF($F120="À décommissionner",IF(AL$8&lt;$AS120,"IKS","Décom."),IF(OR($AQ120="",$AS120=""),"",IF(AL$8&lt;$AQ120,"IKS",IF(AL$8&lt;$AS120,IF(AL$8=$AR120,"Bascule","Double run"),"ROKS"))))))</f>
        <v/>
      </c>
      <c r="AM120" s="51" t="str">
        <f aca="false">IF(OR($A120="",AM$8=""),"",IF($F120="Migré","ROKS",IF($F120="À décommissionner",IF(AM$8&lt;$AS120,"IKS","Décom."),IF(OR($AQ120="",$AS120=""),"",IF(AM$8&lt;$AQ120,"IKS",IF(AM$8&lt;$AS120,IF(AM$8=$AR120,"Bascule","Double run"),"ROKS"))))))</f>
        <v/>
      </c>
      <c r="AN120" s="51" t="str">
        <f aca="false">IF(OR($A120="",AN$8=""),"",IF($F120="Migré","ROKS",IF($F120="À décommissionner",IF(AN$8&lt;$AS120,"IKS","Décom."),IF(OR($AQ120="",$AS120=""),"",IF(AN$8&lt;$AQ120,"IKS",IF(AN$8&lt;$AS120,IF(AN$8=$AR120,"Bascule","Double run"),"ROKS"))))))</f>
        <v/>
      </c>
      <c r="AO120" s="51" t="str">
        <f aca="false">IF(OR($A120="",AO$8=""),"",IF($F120="Migré","ROKS",IF($F120="À décommissionner",IF(AO$8&lt;$AS120,"IKS","Décom."),IF(OR($AQ120="",$AS120=""),"",IF(AO$8&lt;$AQ120,"IKS",IF(AO$8&lt;$AS120,IF(AO$8=$AR120,"Bascule","Double run"),"ROKS"))))))</f>
        <v/>
      </c>
      <c r="AP120" s="51" t="str">
        <f aca="false">IF(OR($A120="",AP$8=""),"",IF($F120="Migré","ROKS",IF($F120="À décommissionner",IF(AP$8&lt;$AS120,"IKS","Décom."),IF(OR($AQ120="",$AS120=""),"",IF(AP$8&lt;$AQ120,"IKS",IF(AP$8&lt;$AS120,IF(AP$8=$AR120,"Bascule","Double run"),"ROKS"))))))</f>
        <v/>
      </c>
      <c r="AQ120" s="0" t="str">
        <f aca="false">IF($A120="","",INDEX(TblApplications[Mois prov (calc)],$A120))</f>
        <v/>
      </c>
      <c r="AR120" s="0" t="str">
        <f aca="false">IF($A120="","",IFERROR(DATE(YEAR(INDEX(TblApplications[Mois bascule],$A120)),MONTH(INDEX(TblApplications[Mois bascule],$A120)),1),""))</f>
        <v/>
      </c>
      <c r="AS120" s="0" t="str">
        <f aca="false">IF($A120="","",INDEX(TblApplications[Mois lib (calc)],$A120))</f>
        <v/>
      </c>
    </row>
    <row r="121" customFormat="false" ht="15" hidden="false" customHeight="false" outlineLevel="0" collapsed="false">
      <c r="A121" s="49" t="str">
        <f aca="false">IFERROR(MATCH(113,TblApplications[Rang frise],0),"")</f>
        <v/>
      </c>
      <c r="B121" s="50" t="str">
        <f aca="false">IF($A121="","",INDEX(TblApplications[ID],$A121))</f>
        <v/>
      </c>
      <c r="C121" s="50" t="str">
        <f aca="false">IF($A121="","",INDEX(TblApplications[Application],$A121))</f>
        <v/>
      </c>
      <c r="D121" s="50" t="str">
        <f aca="false">IF($A121="","",INDEX(TblApplications[Environnement],$A121))</f>
        <v/>
      </c>
      <c r="E121" s="50" t="str">
        <f aca="false">IF($A121="","",INDEX(TblApplications[Couloir],$A121))</f>
        <v/>
      </c>
      <c r="F121" s="50" t="str">
        <f aca="false">IF($A121="","",INDEX(TblApplications[Action],$A121))</f>
        <v/>
      </c>
      <c r="G121" s="51" t="str">
        <f aca="false">IF(OR($A121="",G$8=""),"",IF($F121="Migré","ROKS",IF($F121="À décommissionner",IF(G$8&lt;$AS121,"IKS","Décom."),IF(OR($AQ121="",$AS121=""),"",IF(G$8&lt;$AQ121,"IKS",IF(G$8&lt;$AS121,IF(G$8=$AR121,"Bascule","Double run"),"ROKS"))))))</f>
        <v/>
      </c>
      <c r="H121" s="51" t="str">
        <f aca="false">IF(OR($A121="",H$8=""),"",IF($F121="Migré","ROKS",IF($F121="À décommissionner",IF(H$8&lt;$AS121,"IKS","Décom."),IF(OR($AQ121="",$AS121=""),"",IF(H$8&lt;$AQ121,"IKS",IF(H$8&lt;$AS121,IF(H$8=$AR121,"Bascule","Double run"),"ROKS"))))))</f>
        <v/>
      </c>
      <c r="I121" s="51" t="str">
        <f aca="false">IF(OR($A121="",I$8=""),"",IF($F121="Migré","ROKS",IF($F121="À décommissionner",IF(I$8&lt;$AS121,"IKS","Décom."),IF(OR($AQ121="",$AS121=""),"",IF(I$8&lt;$AQ121,"IKS",IF(I$8&lt;$AS121,IF(I$8=$AR121,"Bascule","Double run"),"ROKS"))))))</f>
        <v/>
      </c>
      <c r="J121" s="51" t="str">
        <f aca="false">IF(OR($A121="",J$8=""),"",IF($F121="Migré","ROKS",IF($F121="À décommissionner",IF(J$8&lt;$AS121,"IKS","Décom."),IF(OR($AQ121="",$AS121=""),"",IF(J$8&lt;$AQ121,"IKS",IF(J$8&lt;$AS121,IF(J$8=$AR121,"Bascule","Double run"),"ROKS"))))))</f>
        <v/>
      </c>
      <c r="K121" s="51" t="str">
        <f aca="false">IF(OR($A121="",K$8=""),"",IF($F121="Migré","ROKS",IF($F121="À décommissionner",IF(K$8&lt;$AS121,"IKS","Décom."),IF(OR($AQ121="",$AS121=""),"",IF(K$8&lt;$AQ121,"IKS",IF(K$8&lt;$AS121,IF(K$8=$AR121,"Bascule","Double run"),"ROKS"))))))</f>
        <v/>
      </c>
      <c r="L121" s="51" t="str">
        <f aca="false">IF(OR($A121="",L$8=""),"",IF($F121="Migré","ROKS",IF($F121="À décommissionner",IF(L$8&lt;$AS121,"IKS","Décom."),IF(OR($AQ121="",$AS121=""),"",IF(L$8&lt;$AQ121,"IKS",IF(L$8&lt;$AS121,IF(L$8=$AR121,"Bascule","Double run"),"ROKS"))))))</f>
        <v/>
      </c>
      <c r="M121" s="51" t="str">
        <f aca="false">IF(OR($A121="",M$8=""),"",IF($F121="Migré","ROKS",IF($F121="À décommissionner",IF(M$8&lt;$AS121,"IKS","Décom."),IF(OR($AQ121="",$AS121=""),"",IF(M$8&lt;$AQ121,"IKS",IF(M$8&lt;$AS121,IF(M$8=$AR121,"Bascule","Double run"),"ROKS"))))))</f>
        <v/>
      </c>
      <c r="N121" s="51" t="str">
        <f aca="false">IF(OR($A121="",N$8=""),"",IF($F121="Migré","ROKS",IF($F121="À décommissionner",IF(N$8&lt;$AS121,"IKS","Décom."),IF(OR($AQ121="",$AS121=""),"",IF(N$8&lt;$AQ121,"IKS",IF(N$8&lt;$AS121,IF(N$8=$AR121,"Bascule","Double run"),"ROKS"))))))</f>
        <v/>
      </c>
      <c r="O121" s="51" t="str">
        <f aca="false">IF(OR($A121="",O$8=""),"",IF($F121="Migré","ROKS",IF($F121="À décommissionner",IF(O$8&lt;$AS121,"IKS","Décom."),IF(OR($AQ121="",$AS121=""),"",IF(O$8&lt;$AQ121,"IKS",IF(O$8&lt;$AS121,IF(O$8=$AR121,"Bascule","Double run"),"ROKS"))))))</f>
        <v/>
      </c>
      <c r="P121" s="51" t="str">
        <f aca="false">IF(OR($A121="",P$8=""),"",IF($F121="Migré","ROKS",IF($F121="À décommissionner",IF(P$8&lt;$AS121,"IKS","Décom."),IF(OR($AQ121="",$AS121=""),"",IF(P$8&lt;$AQ121,"IKS",IF(P$8&lt;$AS121,IF(P$8=$AR121,"Bascule","Double run"),"ROKS"))))))</f>
        <v/>
      </c>
      <c r="Q121" s="51" t="str">
        <f aca="false">IF(OR($A121="",Q$8=""),"",IF($F121="Migré","ROKS",IF($F121="À décommissionner",IF(Q$8&lt;$AS121,"IKS","Décom."),IF(OR($AQ121="",$AS121=""),"",IF(Q$8&lt;$AQ121,"IKS",IF(Q$8&lt;$AS121,IF(Q$8=$AR121,"Bascule","Double run"),"ROKS"))))))</f>
        <v/>
      </c>
      <c r="R121" s="51" t="str">
        <f aca="false">IF(OR($A121="",R$8=""),"",IF($F121="Migré","ROKS",IF($F121="À décommissionner",IF(R$8&lt;$AS121,"IKS","Décom."),IF(OR($AQ121="",$AS121=""),"",IF(R$8&lt;$AQ121,"IKS",IF(R$8&lt;$AS121,IF(R$8=$AR121,"Bascule","Double run"),"ROKS"))))))</f>
        <v/>
      </c>
      <c r="S121" s="51" t="str">
        <f aca="false">IF(OR($A121="",S$8=""),"",IF($F121="Migré","ROKS",IF($F121="À décommissionner",IF(S$8&lt;$AS121,"IKS","Décom."),IF(OR($AQ121="",$AS121=""),"",IF(S$8&lt;$AQ121,"IKS",IF(S$8&lt;$AS121,IF(S$8=$AR121,"Bascule","Double run"),"ROKS"))))))</f>
        <v/>
      </c>
      <c r="T121" s="51" t="str">
        <f aca="false">IF(OR($A121="",T$8=""),"",IF($F121="Migré","ROKS",IF($F121="À décommissionner",IF(T$8&lt;$AS121,"IKS","Décom."),IF(OR($AQ121="",$AS121=""),"",IF(T$8&lt;$AQ121,"IKS",IF(T$8&lt;$AS121,IF(T$8=$AR121,"Bascule","Double run"),"ROKS"))))))</f>
        <v/>
      </c>
      <c r="U121" s="51" t="str">
        <f aca="false">IF(OR($A121="",U$8=""),"",IF($F121="Migré","ROKS",IF($F121="À décommissionner",IF(U$8&lt;$AS121,"IKS","Décom."),IF(OR($AQ121="",$AS121=""),"",IF(U$8&lt;$AQ121,"IKS",IF(U$8&lt;$AS121,IF(U$8=$AR121,"Bascule","Double run"),"ROKS"))))))</f>
        <v/>
      </c>
      <c r="V121" s="51" t="str">
        <f aca="false">IF(OR($A121="",V$8=""),"",IF($F121="Migré","ROKS",IF($F121="À décommissionner",IF(V$8&lt;$AS121,"IKS","Décom."),IF(OR($AQ121="",$AS121=""),"",IF(V$8&lt;$AQ121,"IKS",IF(V$8&lt;$AS121,IF(V$8=$AR121,"Bascule","Double run"),"ROKS"))))))</f>
        <v/>
      </c>
      <c r="W121" s="51" t="str">
        <f aca="false">IF(OR($A121="",W$8=""),"",IF($F121="Migré","ROKS",IF($F121="À décommissionner",IF(W$8&lt;$AS121,"IKS","Décom."),IF(OR($AQ121="",$AS121=""),"",IF(W$8&lt;$AQ121,"IKS",IF(W$8&lt;$AS121,IF(W$8=$AR121,"Bascule","Double run"),"ROKS"))))))</f>
        <v/>
      </c>
      <c r="X121" s="51" t="str">
        <f aca="false">IF(OR($A121="",X$8=""),"",IF($F121="Migré","ROKS",IF($F121="À décommissionner",IF(X$8&lt;$AS121,"IKS","Décom."),IF(OR($AQ121="",$AS121=""),"",IF(X$8&lt;$AQ121,"IKS",IF(X$8&lt;$AS121,IF(X$8=$AR121,"Bascule","Double run"),"ROKS"))))))</f>
        <v/>
      </c>
      <c r="Y121" s="51" t="str">
        <f aca="false">IF(OR($A121="",Y$8=""),"",IF($F121="Migré","ROKS",IF($F121="À décommissionner",IF(Y$8&lt;$AS121,"IKS","Décom."),IF(OR($AQ121="",$AS121=""),"",IF(Y$8&lt;$AQ121,"IKS",IF(Y$8&lt;$AS121,IF(Y$8=$AR121,"Bascule","Double run"),"ROKS"))))))</f>
        <v/>
      </c>
      <c r="Z121" s="51" t="str">
        <f aca="false">IF(OR($A121="",Z$8=""),"",IF($F121="Migré","ROKS",IF($F121="À décommissionner",IF(Z$8&lt;$AS121,"IKS","Décom."),IF(OR($AQ121="",$AS121=""),"",IF(Z$8&lt;$AQ121,"IKS",IF(Z$8&lt;$AS121,IF(Z$8=$AR121,"Bascule","Double run"),"ROKS"))))))</f>
        <v/>
      </c>
      <c r="AA121" s="51" t="str">
        <f aca="false">IF(OR($A121="",AA$8=""),"",IF($F121="Migré","ROKS",IF($F121="À décommissionner",IF(AA$8&lt;$AS121,"IKS","Décom."),IF(OR($AQ121="",$AS121=""),"",IF(AA$8&lt;$AQ121,"IKS",IF(AA$8&lt;$AS121,IF(AA$8=$AR121,"Bascule","Double run"),"ROKS"))))))</f>
        <v/>
      </c>
      <c r="AB121" s="51" t="str">
        <f aca="false">IF(OR($A121="",AB$8=""),"",IF($F121="Migré","ROKS",IF($F121="À décommissionner",IF(AB$8&lt;$AS121,"IKS","Décom."),IF(OR($AQ121="",$AS121=""),"",IF(AB$8&lt;$AQ121,"IKS",IF(AB$8&lt;$AS121,IF(AB$8=$AR121,"Bascule","Double run"),"ROKS"))))))</f>
        <v/>
      </c>
      <c r="AC121" s="51" t="str">
        <f aca="false">IF(OR($A121="",AC$8=""),"",IF($F121="Migré","ROKS",IF($F121="À décommissionner",IF(AC$8&lt;$AS121,"IKS","Décom."),IF(OR($AQ121="",$AS121=""),"",IF(AC$8&lt;$AQ121,"IKS",IF(AC$8&lt;$AS121,IF(AC$8=$AR121,"Bascule","Double run"),"ROKS"))))))</f>
        <v/>
      </c>
      <c r="AD121" s="51" t="str">
        <f aca="false">IF(OR($A121="",AD$8=""),"",IF($F121="Migré","ROKS",IF($F121="À décommissionner",IF(AD$8&lt;$AS121,"IKS","Décom."),IF(OR($AQ121="",$AS121=""),"",IF(AD$8&lt;$AQ121,"IKS",IF(AD$8&lt;$AS121,IF(AD$8=$AR121,"Bascule","Double run"),"ROKS"))))))</f>
        <v/>
      </c>
      <c r="AE121" s="51" t="str">
        <f aca="false">IF(OR($A121="",AE$8=""),"",IF($F121="Migré","ROKS",IF($F121="À décommissionner",IF(AE$8&lt;$AS121,"IKS","Décom."),IF(OR($AQ121="",$AS121=""),"",IF(AE$8&lt;$AQ121,"IKS",IF(AE$8&lt;$AS121,IF(AE$8=$AR121,"Bascule","Double run"),"ROKS"))))))</f>
        <v/>
      </c>
      <c r="AF121" s="51" t="str">
        <f aca="false">IF(OR($A121="",AF$8=""),"",IF($F121="Migré","ROKS",IF($F121="À décommissionner",IF(AF$8&lt;$AS121,"IKS","Décom."),IF(OR($AQ121="",$AS121=""),"",IF(AF$8&lt;$AQ121,"IKS",IF(AF$8&lt;$AS121,IF(AF$8=$AR121,"Bascule","Double run"),"ROKS"))))))</f>
        <v/>
      </c>
      <c r="AG121" s="51" t="str">
        <f aca="false">IF(OR($A121="",AG$8=""),"",IF($F121="Migré","ROKS",IF($F121="À décommissionner",IF(AG$8&lt;$AS121,"IKS","Décom."),IF(OR($AQ121="",$AS121=""),"",IF(AG$8&lt;$AQ121,"IKS",IF(AG$8&lt;$AS121,IF(AG$8=$AR121,"Bascule","Double run"),"ROKS"))))))</f>
        <v/>
      </c>
      <c r="AH121" s="51" t="str">
        <f aca="false">IF(OR($A121="",AH$8=""),"",IF($F121="Migré","ROKS",IF($F121="À décommissionner",IF(AH$8&lt;$AS121,"IKS","Décom."),IF(OR($AQ121="",$AS121=""),"",IF(AH$8&lt;$AQ121,"IKS",IF(AH$8&lt;$AS121,IF(AH$8=$AR121,"Bascule","Double run"),"ROKS"))))))</f>
        <v/>
      </c>
      <c r="AI121" s="51" t="str">
        <f aca="false">IF(OR($A121="",AI$8=""),"",IF($F121="Migré","ROKS",IF($F121="À décommissionner",IF(AI$8&lt;$AS121,"IKS","Décom."),IF(OR($AQ121="",$AS121=""),"",IF(AI$8&lt;$AQ121,"IKS",IF(AI$8&lt;$AS121,IF(AI$8=$AR121,"Bascule","Double run"),"ROKS"))))))</f>
        <v/>
      </c>
      <c r="AJ121" s="51" t="str">
        <f aca="false">IF(OR($A121="",AJ$8=""),"",IF($F121="Migré","ROKS",IF($F121="À décommissionner",IF(AJ$8&lt;$AS121,"IKS","Décom."),IF(OR($AQ121="",$AS121=""),"",IF(AJ$8&lt;$AQ121,"IKS",IF(AJ$8&lt;$AS121,IF(AJ$8=$AR121,"Bascule","Double run"),"ROKS"))))))</f>
        <v/>
      </c>
      <c r="AK121" s="51" t="str">
        <f aca="false">IF(OR($A121="",AK$8=""),"",IF($F121="Migré","ROKS",IF($F121="À décommissionner",IF(AK$8&lt;$AS121,"IKS","Décom."),IF(OR($AQ121="",$AS121=""),"",IF(AK$8&lt;$AQ121,"IKS",IF(AK$8&lt;$AS121,IF(AK$8=$AR121,"Bascule","Double run"),"ROKS"))))))</f>
        <v/>
      </c>
      <c r="AL121" s="51" t="str">
        <f aca="false">IF(OR($A121="",AL$8=""),"",IF($F121="Migré","ROKS",IF($F121="À décommissionner",IF(AL$8&lt;$AS121,"IKS","Décom."),IF(OR($AQ121="",$AS121=""),"",IF(AL$8&lt;$AQ121,"IKS",IF(AL$8&lt;$AS121,IF(AL$8=$AR121,"Bascule","Double run"),"ROKS"))))))</f>
        <v/>
      </c>
      <c r="AM121" s="51" t="str">
        <f aca="false">IF(OR($A121="",AM$8=""),"",IF($F121="Migré","ROKS",IF($F121="À décommissionner",IF(AM$8&lt;$AS121,"IKS","Décom."),IF(OR($AQ121="",$AS121=""),"",IF(AM$8&lt;$AQ121,"IKS",IF(AM$8&lt;$AS121,IF(AM$8=$AR121,"Bascule","Double run"),"ROKS"))))))</f>
        <v/>
      </c>
      <c r="AN121" s="51" t="str">
        <f aca="false">IF(OR($A121="",AN$8=""),"",IF($F121="Migré","ROKS",IF($F121="À décommissionner",IF(AN$8&lt;$AS121,"IKS","Décom."),IF(OR($AQ121="",$AS121=""),"",IF(AN$8&lt;$AQ121,"IKS",IF(AN$8&lt;$AS121,IF(AN$8=$AR121,"Bascule","Double run"),"ROKS"))))))</f>
        <v/>
      </c>
      <c r="AO121" s="51" t="str">
        <f aca="false">IF(OR($A121="",AO$8=""),"",IF($F121="Migré","ROKS",IF($F121="À décommissionner",IF(AO$8&lt;$AS121,"IKS","Décom."),IF(OR($AQ121="",$AS121=""),"",IF(AO$8&lt;$AQ121,"IKS",IF(AO$8&lt;$AS121,IF(AO$8=$AR121,"Bascule","Double run"),"ROKS"))))))</f>
        <v/>
      </c>
      <c r="AP121" s="51" t="str">
        <f aca="false">IF(OR($A121="",AP$8=""),"",IF($F121="Migré","ROKS",IF($F121="À décommissionner",IF(AP$8&lt;$AS121,"IKS","Décom."),IF(OR($AQ121="",$AS121=""),"",IF(AP$8&lt;$AQ121,"IKS",IF(AP$8&lt;$AS121,IF(AP$8=$AR121,"Bascule","Double run"),"ROKS"))))))</f>
        <v/>
      </c>
      <c r="AQ121" s="0" t="str">
        <f aca="false">IF($A121="","",INDEX(TblApplications[Mois prov (calc)],$A121))</f>
        <v/>
      </c>
      <c r="AR121" s="0" t="str">
        <f aca="false">IF($A121="","",IFERROR(DATE(YEAR(INDEX(TblApplications[Mois bascule],$A121)),MONTH(INDEX(TblApplications[Mois bascule],$A121)),1),""))</f>
        <v/>
      </c>
      <c r="AS121" s="0" t="str">
        <f aca="false">IF($A121="","",INDEX(TblApplications[Mois lib (calc)],$A121))</f>
        <v/>
      </c>
    </row>
    <row r="122" customFormat="false" ht="15" hidden="false" customHeight="false" outlineLevel="0" collapsed="false">
      <c r="A122" s="49" t="str">
        <f aca="false">IFERROR(MATCH(114,TblApplications[Rang frise],0),"")</f>
        <v/>
      </c>
      <c r="B122" s="50" t="str">
        <f aca="false">IF($A122="","",INDEX(TblApplications[ID],$A122))</f>
        <v/>
      </c>
      <c r="C122" s="50" t="str">
        <f aca="false">IF($A122="","",INDEX(TblApplications[Application],$A122))</f>
        <v/>
      </c>
      <c r="D122" s="50" t="str">
        <f aca="false">IF($A122="","",INDEX(TblApplications[Environnement],$A122))</f>
        <v/>
      </c>
      <c r="E122" s="50" t="str">
        <f aca="false">IF($A122="","",INDEX(TblApplications[Couloir],$A122))</f>
        <v/>
      </c>
      <c r="F122" s="50" t="str">
        <f aca="false">IF($A122="","",INDEX(TblApplications[Action],$A122))</f>
        <v/>
      </c>
      <c r="G122" s="51" t="str">
        <f aca="false">IF(OR($A122="",G$8=""),"",IF($F122="Migré","ROKS",IF($F122="À décommissionner",IF(G$8&lt;$AS122,"IKS","Décom."),IF(OR($AQ122="",$AS122=""),"",IF(G$8&lt;$AQ122,"IKS",IF(G$8&lt;$AS122,IF(G$8=$AR122,"Bascule","Double run"),"ROKS"))))))</f>
        <v/>
      </c>
      <c r="H122" s="51" t="str">
        <f aca="false">IF(OR($A122="",H$8=""),"",IF($F122="Migré","ROKS",IF($F122="À décommissionner",IF(H$8&lt;$AS122,"IKS","Décom."),IF(OR($AQ122="",$AS122=""),"",IF(H$8&lt;$AQ122,"IKS",IF(H$8&lt;$AS122,IF(H$8=$AR122,"Bascule","Double run"),"ROKS"))))))</f>
        <v/>
      </c>
      <c r="I122" s="51" t="str">
        <f aca="false">IF(OR($A122="",I$8=""),"",IF($F122="Migré","ROKS",IF($F122="À décommissionner",IF(I$8&lt;$AS122,"IKS","Décom."),IF(OR($AQ122="",$AS122=""),"",IF(I$8&lt;$AQ122,"IKS",IF(I$8&lt;$AS122,IF(I$8=$AR122,"Bascule","Double run"),"ROKS"))))))</f>
        <v/>
      </c>
      <c r="J122" s="51" t="str">
        <f aca="false">IF(OR($A122="",J$8=""),"",IF($F122="Migré","ROKS",IF($F122="À décommissionner",IF(J$8&lt;$AS122,"IKS","Décom."),IF(OR($AQ122="",$AS122=""),"",IF(J$8&lt;$AQ122,"IKS",IF(J$8&lt;$AS122,IF(J$8=$AR122,"Bascule","Double run"),"ROKS"))))))</f>
        <v/>
      </c>
      <c r="K122" s="51" t="str">
        <f aca="false">IF(OR($A122="",K$8=""),"",IF($F122="Migré","ROKS",IF($F122="À décommissionner",IF(K$8&lt;$AS122,"IKS","Décom."),IF(OR($AQ122="",$AS122=""),"",IF(K$8&lt;$AQ122,"IKS",IF(K$8&lt;$AS122,IF(K$8=$AR122,"Bascule","Double run"),"ROKS"))))))</f>
        <v/>
      </c>
      <c r="L122" s="51" t="str">
        <f aca="false">IF(OR($A122="",L$8=""),"",IF($F122="Migré","ROKS",IF($F122="À décommissionner",IF(L$8&lt;$AS122,"IKS","Décom."),IF(OR($AQ122="",$AS122=""),"",IF(L$8&lt;$AQ122,"IKS",IF(L$8&lt;$AS122,IF(L$8=$AR122,"Bascule","Double run"),"ROKS"))))))</f>
        <v/>
      </c>
      <c r="M122" s="51" t="str">
        <f aca="false">IF(OR($A122="",M$8=""),"",IF($F122="Migré","ROKS",IF($F122="À décommissionner",IF(M$8&lt;$AS122,"IKS","Décom."),IF(OR($AQ122="",$AS122=""),"",IF(M$8&lt;$AQ122,"IKS",IF(M$8&lt;$AS122,IF(M$8=$AR122,"Bascule","Double run"),"ROKS"))))))</f>
        <v/>
      </c>
      <c r="N122" s="51" t="str">
        <f aca="false">IF(OR($A122="",N$8=""),"",IF($F122="Migré","ROKS",IF($F122="À décommissionner",IF(N$8&lt;$AS122,"IKS","Décom."),IF(OR($AQ122="",$AS122=""),"",IF(N$8&lt;$AQ122,"IKS",IF(N$8&lt;$AS122,IF(N$8=$AR122,"Bascule","Double run"),"ROKS"))))))</f>
        <v/>
      </c>
      <c r="O122" s="51" t="str">
        <f aca="false">IF(OR($A122="",O$8=""),"",IF($F122="Migré","ROKS",IF($F122="À décommissionner",IF(O$8&lt;$AS122,"IKS","Décom."),IF(OR($AQ122="",$AS122=""),"",IF(O$8&lt;$AQ122,"IKS",IF(O$8&lt;$AS122,IF(O$8=$AR122,"Bascule","Double run"),"ROKS"))))))</f>
        <v/>
      </c>
      <c r="P122" s="51" t="str">
        <f aca="false">IF(OR($A122="",P$8=""),"",IF($F122="Migré","ROKS",IF($F122="À décommissionner",IF(P$8&lt;$AS122,"IKS","Décom."),IF(OR($AQ122="",$AS122=""),"",IF(P$8&lt;$AQ122,"IKS",IF(P$8&lt;$AS122,IF(P$8=$AR122,"Bascule","Double run"),"ROKS"))))))</f>
        <v/>
      </c>
      <c r="Q122" s="51" t="str">
        <f aca="false">IF(OR($A122="",Q$8=""),"",IF($F122="Migré","ROKS",IF($F122="À décommissionner",IF(Q$8&lt;$AS122,"IKS","Décom."),IF(OR($AQ122="",$AS122=""),"",IF(Q$8&lt;$AQ122,"IKS",IF(Q$8&lt;$AS122,IF(Q$8=$AR122,"Bascule","Double run"),"ROKS"))))))</f>
        <v/>
      </c>
      <c r="R122" s="51" t="str">
        <f aca="false">IF(OR($A122="",R$8=""),"",IF($F122="Migré","ROKS",IF($F122="À décommissionner",IF(R$8&lt;$AS122,"IKS","Décom."),IF(OR($AQ122="",$AS122=""),"",IF(R$8&lt;$AQ122,"IKS",IF(R$8&lt;$AS122,IF(R$8=$AR122,"Bascule","Double run"),"ROKS"))))))</f>
        <v/>
      </c>
      <c r="S122" s="51" t="str">
        <f aca="false">IF(OR($A122="",S$8=""),"",IF($F122="Migré","ROKS",IF($F122="À décommissionner",IF(S$8&lt;$AS122,"IKS","Décom."),IF(OR($AQ122="",$AS122=""),"",IF(S$8&lt;$AQ122,"IKS",IF(S$8&lt;$AS122,IF(S$8=$AR122,"Bascule","Double run"),"ROKS"))))))</f>
        <v/>
      </c>
      <c r="T122" s="51" t="str">
        <f aca="false">IF(OR($A122="",T$8=""),"",IF($F122="Migré","ROKS",IF($F122="À décommissionner",IF(T$8&lt;$AS122,"IKS","Décom."),IF(OR($AQ122="",$AS122=""),"",IF(T$8&lt;$AQ122,"IKS",IF(T$8&lt;$AS122,IF(T$8=$AR122,"Bascule","Double run"),"ROKS"))))))</f>
        <v/>
      </c>
      <c r="U122" s="51" t="str">
        <f aca="false">IF(OR($A122="",U$8=""),"",IF($F122="Migré","ROKS",IF($F122="À décommissionner",IF(U$8&lt;$AS122,"IKS","Décom."),IF(OR($AQ122="",$AS122=""),"",IF(U$8&lt;$AQ122,"IKS",IF(U$8&lt;$AS122,IF(U$8=$AR122,"Bascule","Double run"),"ROKS"))))))</f>
        <v/>
      </c>
      <c r="V122" s="51" t="str">
        <f aca="false">IF(OR($A122="",V$8=""),"",IF($F122="Migré","ROKS",IF($F122="À décommissionner",IF(V$8&lt;$AS122,"IKS","Décom."),IF(OR($AQ122="",$AS122=""),"",IF(V$8&lt;$AQ122,"IKS",IF(V$8&lt;$AS122,IF(V$8=$AR122,"Bascule","Double run"),"ROKS"))))))</f>
        <v/>
      </c>
      <c r="W122" s="51" t="str">
        <f aca="false">IF(OR($A122="",W$8=""),"",IF($F122="Migré","ROKS",IF($F122="À décommissionner",IF(W$8&lt;$AS122,"IKS","Décom."),IF(OR($AQ122="",$AS122=""),"",IF(W$8&lt;$AQ122,"IKS",IF(W$8&lt;$AS122,IF(W$8=$AR122,"Bascule","Double run"),"ROKS"))))))</f>
        <v/>
      </c>
      <c r="X122" s="51" t="str">
        <f aca="false">IF(OR($A122="",X$8=""),"",IF($F122="Migré","ROKS",IF($F122="À décommissionner",IF(X$8&lt;$AS122,"IKS","Décom."),IF(OR($AQ122="",$AS122=""),"",IF(X$8&lt;$AQ122,"IKS",IF(X$8&lt;$AS122,IF(X$8=$AR122,"Bascule","Double run"),"ROKS"))))))</f>
        <v/>
      </c>
      <c r="Y122" s="51" t="str">
        <f aca="false">IF(OR($A122="",Y$8=""),"",IF($F122="Migré","ROKS",IF($F122="À décommissionner",IF(Y$8&lt;$AS122,"IKS","Décom."),IF(OR($AQ122="",$AS122=""),"",IF(Y$8&lt;$AQ122,"IKS",IF(Y$8&lt;$AS122,IF(Y$8=$AR122,"Bascule","Double run"),"ROKS"))))))</f>
        <v/>
      </c>
      <c r="Z122" s="51" t="str">
        <f aca="false">IF(OR($A122="",Z$8=""),"",IF($F122="Migré","ROKS",IF($F122="À décommissionner",IF(Z$8&lt;$AS122,"IKS","Décom."),IF(OR($AQ122="",$AS122=""),"",IF(Z$8&lt;$AQ122,"IKS",IF(Z$8&lt;$AS122,IF(Z$8=$AR122,"Bascule","Double run"),"ROKS"))))))</f>
        <v/>
      </c>
      <c r="AA122" s="51" t="str">
        <f aca="false">IF(OR($A122="",AA$8=""),"",IF($F122="Migré","ROKS",IF($F122="À décommissionner",IF(AA$8&lt;$AS122,"IKS","Décom."),IF(OR($AQ122="",$AS122=""),"",IF(AA$8&lt;$AQ122,"IKS",IF(AA$8&lt;$AS122,IF(AA$8=$AR122,"Bascule","Double run"),"ROKS"))))))</f>
        <v/>
      </c>
      <c r="AB122" s="51" t="str">
        <f aca="false">IF(OR($A122="",AB$8=""),"",IF($F122="Migré","ROKS",IF($F122="À décommissionner",IF(AB$8&lt;$AS122,"IKS","Décom."),IF(OR($AQ122="",$AS122=""),"",IF(AB$8&lt;$AQ122,"IKS",IF(AB$8&lt;$AS122,IF(AB$8=$AR122,"Bascule","Double run"),"ROKS"))))))</f>
        <v/>
      </c>
      <c r="AC122" s="51" t="str">
        <f aca="false">IF(OR($A122="",AC$8=""),"",IF($F122="Migré","ROKS",IF($F122="À décommissionner",IF(AC$8&lt;$AS122,"IKS","Décom."),IF(OR($AQ122="",$AS122=""),"",IF(AC$8&lt;$AQ122,"IKS",IF(AC$8&lt;$AS122,IF(AC$8=$AR122,"Bascule","Double run"),"ROKS"))))))</f>
        <v/>
      </c>
      <c r="AD122" s="51" t="str">
        <f aca="false">IF(OR($A122="",AD$8=""),"",IF($F122="Migré","ROKS",IF($F122="À décommissionner",IF(AD$8&lt;$AS122,"IKS","Décom."),IF(OR($AQ122="",$AS122=""),"",IF(AD$8&lt;$AQ122,"IKS",IF(AD$8&lt;$AS122,IF(AD$8=$AR122,"Bascule","Double run"),"ROKS"))))))</f>
        <v/>
      </c>
      <c r="AE122" s="51" t="str">
        <f aca="false">IF(OR($A122="",AE$8=""),"",IF($F122="Migré","ROKS",IF($F122="À décommissionner",IF(AE$8&lt;$AS122,"IKS","Décom."),IF(OR($AQ122="",$AS122=""),"",IF(AE$8&lt;$AQ122,"IKS",IF(AE$8&lt;$AS122,IF(AE$8=$AR122,"Bascule","Double run"),"ROKS"))))))</f>
        <v/>
      </c>
      <c r="AF122" s="51" t="str">
        <f aca="false">IF(OR($A122="",AF$8=""),"",IF($F122="Migré","ROKS",IF($F122="À décommissionner",IF(AF$8&lt;$AS122,"IKS","Décom."),IF(OR($AQ122="",$AS122=""),"",IF(AF$8&lt;$AQ122,"IKS",IF(AF$8&lt;$AS122,IF(AF$8=$AR122,"Bascule","Double run"),"ROKS"))))))</f>
        <v/>
      </c>
      <c r="AG122" s="51" t="str">
        <f aca="false">IF(OR($A122="",AG$8=""),"",IF($F122="Migré","ROKS",IF($F122="À décommissionner",IF(AG$8&lt;$AS122,"IKS","Décom."),IF(OR($AQ122="",$AS122=""),"",IF(AG$8&lt;$AQ122,"IKS",IF(AG$8&lt;$AS122,IF(AG$8=$AR122,"Bascule","Double run"),"ROKS"))))))</f>
        <v/>
      </c>
      <c r="AH122" s="51" t="str">
        <f aca="false">IF(OR($A122="",AH$8=""),"",IF($F122="Migré","ROKS",IF($F122="À décommissionner",IF(AH$8&lt;$AS122,"IKS","Décom."),IF(OR($AQ122="",$AS122=""),"",IF(AH$8&lt;$AQ122,"IKS",IF(AH$8&lt;$AS122,IF(AH$8=$AR122,"Bascule","Double run"),"ROKS"))))))</f>
        <v/>
      </c>
      <c r="AI122" s="51" t="str">
        <f aca="false">IF(OR($A122="",AI$8=""),"",IF($F122="Migré","ROKS",IF($F122="À décommissionner",IF(AI$8&lt;$AS122,"IKS","Décom."),IF(OR($AQ122="",$AS122=""),"",IF(AI$8&lt;$AQ122,"IKS",IF(AI$8&lt;$AS122,IF(AI$8=$AR122,"Bascule","Double run"),"ROKS"))))))</f>
        <v/>
      </c>
      <c r="AJ122" s="51" t="str">
        <f aca="false">IF(OR($A122="",AJ$8=""),"",IF($F122="Migré","ROKS",IF($F122="À décommissionner",IF(AJ$8&lt;$AS122,"IKS","Décom."),IF(OR($AQ122="",$AS122=""),"",IF(AJ$8&lt;$AQ122,"IKS",IF(AJ$8&lt;$AS122,IF(AJ$8=$AR122,"Bascule","Double run"),"ROKS"))))))</f>
        <v/>
      </c>
      <c r="AK122" s="51" t="str">
        <f aca="false">IF(OR($A122="",AK$8=""),"",IF($F122="Migré","ROKS",IF($F122="À décommissionner",IF(AK$8&lt;$AS122,"IKS","Décom."),IF(OR($AQ122="",$AS122=""),"",IF(AK$8&lt;$AQ122,"IKS",IF(AK$8&lt;$AS122,IF(AK$8=$AR122,"Bascule","Double run"),"ROKS"))))))</f>
        <v/>
      </c>
      <c r="AL122" s="51" t="str">
        <f aca="false">IF(OR($A122="",AL$8=""),"",IF($F122="Migré","ROKS",IF($F122="À décommissionner",IF(AL$8&lt;$AS122,"IKS","Décom."),IF(OR($AQ122="",$AS122=""),"",IF(AL$8&lt;$AQ122,"IKS",IF(AL$8&lt;$AS122,IF(AL$8=$AR122,"Bascule","Double run"),"ROKS"))))))</f>
        <v/>
      </c>
      <c r="AM122" s="51" t="str">
        <f aca="false">IF(OR($A122="",AM$8=""),"",IF($F122="Migré","ROKS",IF($F122="À décommissionner",IF(AM$8&lt;$AS122,"IKS","Décom."),IF(OR($AQ122="",$AS122=""),"",IF(AM$8&lt;$AQ122,"IKS",IF(AM$8&lt;$AS122,IF(AM$8=$AR122,"Bascule","Double run"),"ROKS"))))))</f>
        <v/>
      </c>
      <c r="AN122" s="51" t="str">
        <f aca="false">IF(OR($A122="",AN$8=""),"",IF($F122="Migré","ROKS",IF($F122="À décommissionner",IF(AN$8&lt;$AS122,"IKS","Décom."),IF(OR($AQ122="",$AS122=""),"",IF(AN$8&lt;$AQ122,"IKS",IF(AN$8&lt;$AS122,IF(AN$8=$AR122,"Bascule","Double run"),"ROKS"))))))</f>
        <v/>
      </c>
      <c r="AO122" s="51" t="str">
        <f aca="false">IF(OR($A122="",AO$8=""),"",IF($F122="Migré","ROKS",IF($F122="À décommissionner",IF(AO$8&lt;$AS122,"IKS","Décom."),IF(OR($AQ122="",$AS122=""),"",IF(AO$8&lt;$AQ122,"IKS",IF(AO$8&lt;$AS122,IF(AO$8=$AR122,"Bascule","Double run"),"ROKS"))))))</f>
        <v/>
      </c>
      <c r="AP122" s="51" t="str">
        <f aca="false">IF(OR($A122="",AP$8=""),"",IF($F122="Migré","ROKS",IF($F122="À décommissionner",IF(AP$8&lt;$AS122,"IKS","Décom."),IF(OR($AQ122="",$AS122=""),"",IF(AP$8&lt;$AQ122,"IKS",IF(AP$8&lt;$AS122,IF(AP$8=$AR122,"Bascule","Double run"),"ROKS"))))))</f>
        <v/>
      </c>
      <c r="AQ122" s="0" t="str">
        <f aca="false">IF($A122="","",INDEX(TblApplications[Mois prov (calc)],$A122))</f>
        <v/>
      </c>
      <c r="AR122" s="0" t="str">
        <f aca="false">IF($A122="","",IFERROR(DATE(YEAR(INDEX(TblApplications[Mois bascule],$A122)),MONTH(INDEX(TblApplications[Mois bascule],$A122)),1),""))</f>
        <v/>
      </c>
      <c r="AS122" s="0" t="str">
        <f aca="false">IF($A122="","",INDEX(TblApplications[Mois lib (calc)],$A122))</f>
        <v/>
      </c>
    </row>
    <row r="123" customFormat="false" ht="15" hidden="false" customHeight="false" outlineLevel="0" collapsed="false">
      <c r="A123" s="49" t="str">
        <f aca="false">IFERROR(MATCH(115,TblApplications[Rang frise],0),"")</f>
        <v/>
      </c>
      <c r="B123" s="50" t="str">
        <f aca="false">IF($A123="","",INDEX(TblApplications[ID],$A123))</f>
        <v/>
      </c>
      <c r="C123" s="50" t="str">
        <f aca="false">IF($A123="","",INDEX(TblApplications[Application],$A123))</f>
        <v/>
      </c>
      <c r="D123" s="50" t="str">
        <f aca="false">IF($A123="","",INDEX(TblApplications[Environnement],$A123))</f>
        <v/>
      </c>
      <c r="E123" s="50" t="str">
        <f aca="false">IF($A123="","",INDEX(TblApplications[Couloir],$A123))</f>
        <v/>
      </c>
      <c r="F123" s="50" t="str">
        <f aca="false">IF($A123="","",INDEX(TblApplications[Action],$A123))</f>
        <v/>
      </c>
      <c r="G123" s="51" t="str">
        <f aca="false">IF(OR($A123="",G$8=""),"",IF($F123="Migré","ROKS",IF($F123="À décommissionner",IF(G$8&lt;$AS123,"IKS","Décom."),IF(OR($AQ123="",$AS123=""),"",IF(G$8&lt;$AQ123,"IKS",IF(G$8&lt;$AS123,IF(G$8=$AR123,"Bascule","Double run"),"ROKS"))))))</f>
        <v/>
      </c>
      <c r="H123" s="51" t="str">
        <f aca="false">IF(OR($A123="",H$8=""),"",IF($F123="Migré","ROKS",IF($F123="À décommissionner",IF(H$8&lt;$AS123,"IKS","Décom."),IF(OR($AQ123="",$AS123=""),"",IF(H$8&lt;$AQ123,"IKS",IF(H$8&lt;$AS123,IF(H$8=$AR123,"Bascule","Double run"),"ROKS"))))))</f>
        <v/>
      </c>
      <c r="I123" s="51" t="str">
        <f aca="false">IF(OR($A123="",I$8=""),"",IF($F123="Migré","ROKS",IF($F123="À décommissionner",IF(I$8&lt;$AS123,"IKS","Décom."),IF(OR($AQ123="",$AS123=""),"",IF(I$8&lt;$AQ123,"IKS",IF(I$8&lt;$AS123,IF(I$8=$AR123,"Bascule","Double run"),"ROKS"))))))</f>
        <v/>
      </c>
      <c r="J123" s="51" t="str">
        <f aca="false">IF(OR($A123="",J$8=""),"",IF($F123="Migré","ROKS",IF($F123="À décommissionner",IF(J$8&lt;$AS123,"IKS","Décom."),IF(OR($AQ123="",$AS123=""),"",IF(J$8&lt;$AQ123,"IKS",IF(J$8&lt;$AS123,IF(J$8=$AR123,"Bascule","Double run"),"ROKS"))))))</f>
        <v/>
      </c>
      <c r="K123" s="51" t="str">
        <f aca="false">IF(OR($A123="",K$8=""),"",IF($F123="Migré","ROKS",IF($F123="À décommissionner",IF(K$8&lt;$AS123,"IKS","Décom."),IF(OR($AQ123="",$AS123=""),"",IF(K$8&lt;$AQ123,"IKS",IF(K$8&lt;$AS123,IF(K$8=$AR123,"Bascule","Double run"),"ROKS"))))))</f>
        <v/>
      </c>
      <c r="L123" s="51" t="str">
        <f aca="false">IF(OR($A123="",L$8=""),"",IF($F123="Migré","ROKS",IF($F123="À décommissionner",IF(L$8&lt;$AS123,"IKS","Décom."),IF(OR($AQ123="",$AS123=""),"",IF(L$8&lt;$AQ123,"IKS",IF(L$8&lt;$AS123,IF(L$8=$AR123,"Bascule","Double run"),"ROKS"))))))</f>
        <v/>
      </c>
      <c r="M123" s="51" t="str">
        <f aca="false">IF(OR($A123="",M$8=""),"",IF($F123="Migré","ROKS",IF($F123="À décommissionner",IF(M$8&lt;$AS123,"IKS","Décom."),IF(OR($AQ123="",$AS123=""),"",IF(M$8&lt;$AQ123,"IKS",IF(M$8&lt;$AS123,IF(M$8=$AR123,"Bascule","Double run"),"ROKS"))))))</f>
        <v/>
      </c>
      <c r="N123" s="51" t="str">
        <f aca="false">IF(OR($A123="",N$8=""),"",IF($F123="Migré","ROKS",IF($F123="À décommissionner",IF(N$8&lt;$AS123,"IKS","Décom."),IF(OR($AQ123="",$AS123=""),"",IF(N$8&lt;$AQ123,"IKS",IF(N$8&lt;$AS123,IF(N$8=$AR123,"Bascule","Double run"),"ROKS"))))))</f>
        <v/>
      </c>
      <c r="O123" s="51" t="str">
        <f aca="false">IF(OR($A123="",O$8=""),"",IF($F123="Migré","ROKS",IF($F123="À décommissionner",IF(O$8&lt;$AS123,"IKS","Décom."),IF(OR($AQ123="",$AS123=""),"",IF(O$8&lt;$AQ123,"IKS",IF(O$8&lt;$AS123,IF(O$8=$AR123,"Bascule","Double run"),"ROKS"))))))</f>
        <v/>
      </c>
      <c r="P123" s="51" t="str">
        <f aca="false">IF(OR($A123="",P$8=""),"",IF($F123="Migré","ROKS",IF($F123="À décommissionner",IF(P$8&lt;$AS123,"IKS","Décom."),IF(OR($AQ123="",$AS123=""),"",IF(P$8&lt;$AQ123,"IKS",IF(P$8&lt;$AS123,IF(P$8=$AR123,"Bascule","Double run"),"ROKS"))))))</f>
        <v/>
      </c>
      <c r="Q123" s="51" t="str">
        <f aca="false">IF(OR($A123="",Q$8=""),"",IF($F123="Migré","ROKS",IF($F123="À décommissionner",IF(Q$8&lt;$AS123,"IKS","Décom."),IF(OR($AQ123="",$AS123=""),"",IF(Q$8&lt;$AQ123,"IKS",IF(Q$8&lt;$AS123,IF(Q$8=$AR123,"Bascule","Double run"),"ROKS"))))))</f>
        <v/>
      </c>
      <c r="R123" s="51" t="str">
        <f aca="false">IF(OR($A123="",R$8=""),"",IF($F123="Migré","ROKS",IF($F123="À décommissionner",IF(R$8&lt;$AS123,"IKS","Décom."),IF(OR($AQ123="",$AS123=""),"",IF(R$8&lt;$AQ123,"IKS",IF(R$8&lt;$AS123,IF(R$8=$AR123,"Bascule","Double run"),"ROKS"))))))</f>
        <v/>
      </c>
      <c r="S123" s="51" t="str">
        <f aca="false">IF(OR($A123="",S$8=""),"",IF($F123="Migré","ROKS",IF($F123="À décommissionner",IF(S$8&lt;$AS123,"IKS","Décom."),IF(OR($AQ123="",$AS123=""),"",IF(S$8&lt;$AQ123,"IKS",IF(S$8&lt;$AS123,IF(S$8=$AR123,"Bascule","Double run"),"ROKS"))))))</f>
        <v/>
      </c>
      <c r="T123" s="51" t="str">
        <f aca="false">IF(OR($A123="",T$8=""),"",IF($F123="Migré","ROKS",IF($F123="À décommissionner",IF(T$8&lt;$AS123,"IKS","Décom."),IF(OR($AQ123="",$AS123=""),"",IF(T$8&lt;$AQ123,"IKS",IF(T$8&lt;$AS123,IF(T$8=$AR123,"Bascule","Double run"),"ROKS"))))))</f>
        <v/>
      </c>
      <c r="U123" s="51" t="str">
        <f aca="false">IF(OR($A123="",U$8=""),"",IF($F123="Migré","ROKS",IF($F123="À décommissionner",IF(U$8&lt;$AS123,"IKS","Décom."),IF(OR($AQ123="",$AS123=""),"",IF(U$8&lt;$AQ123,"IKS",IF(U$8&lt;$AS123,IF(U$8=$AR123,"Bascule","Double run"),"ROKS"))))))</f>
        <v/>
      </c>
      <c r="V123" s="51" t="str">
        <f aca="false">IF(OR($A123="",V$8=""),"",IF($F123="Migré","ROKS",IF($F123="À décommissionner",IF(V$8&lt;$AS123,"IKS","Décom."),IF(OR($AQ123="",$AS123=""),"",IF(V$8&lt;$AQ123,"IKS",IF(V$8&lt;$AS123,IF(V$8=$AR123,"Bascule","Double run"),"ROKS"))))))</f>
        <v/>
      </c>
      <c r="W123" s="51" t="str">
        <f aca="false">IF(OR($A123="",W$8=""),"",IF($F123="Migré","ROKS",IF($F123="À décommissionner",IF(W$8&lt;$AS123,"IKS","Décom."),IF(OR($AQ123="",$AS123=""),"",IF(W$8&lt;$AQ123,"IKS",IF(W$8&lt;$AS123,IF(W$8=$AR123,"Bascule","Double run"),"ROKS"))))))</f>
        <v/>
      </c>
      <c r="X123" s="51" t="str">
        <f aca="false">IF(OR($A123="",X$8=""),"",IF($F123="Migré","ROKS",IF($F123="À décommissionner",IF(X$8&lt;$AS123,"IKS","Décom."),IF(OR($AQ123="",$AS123=""),"",IF(X$8&lt;$AQ123,"IKS",IF(X$8&lt;$AS123,IF(X$8=$AR123,"Bascule","Double run"),"ROKS"))))))</f>
        <v/>
      </c>
      <c r="Y123" s="51" t="str">
        <f aca="false">IF(OR($A123="",Y$8=""),"",IF($F123="Migré","ROKS",IF($F123="À décommissionner",IF(Y$8&lt;$AS123,"IKS","Décom."),IF(OR($AQ123="",$AS123=""),"",IF(Y$8&lt;$AQ123,"IKS",IF(Y$8&lt;$AS123,IF(Y$8=$AR123,"Bascule","Double run"),"ROKS"))))))</f>
        <v/>
      </c>
      <c r="Z123" s="51" t="str">
        <f aca="false">IF(OR($A123="",Z$8=""),"",IF($F123="Migré","ROKS",IF($F123="À décommissionner",IF(Z$8&lt;$AS123,"IKS","Décom."),IF(OR($AQ123="",$AS123=""),"",IF(Z$8&lt;$AQ123,"IKS",IF(Z$8&lt;$AS123,IF(Z$8=$AR123,"Bascule","Double run"),"ROKS"))))))</f>
        <v/>
      </c>
      <c r="AA123" s="51" t="str">
        <f aca="false">IF(OR($A123="",AA$8=""),"",IF($F123="Migré","ROKS",IF($F123="À décommissionner",IF(AA$8&lt;$AS123,"IKS","Décom."),IF(OR($AQ123="",$AS123=""),"",IF(AA$8&lt;$AQ123,"IKS",IF(AA$8&lt;$AS123,IF(AA$8=$AR123,"Bascule","Double run"),"ROKS"))))))</f>
        <v/>
      </c>
      <c r="AB123" s="51" t="str">
        <f aca="false">IF(OR($A123="",AB$8=""),"",IF($F123="Migré","ROKS",IF($F123="À décommissionner",IF(AB$8&lt;$AS123,"IKS","Décom."),IF(OR($AQ123="",$AS123=""),"",IF(AB$8&lt;$AQ123,"IKS",IF(AB$8&lt;$AS123,IF(AB$8=$AR123,"Bascule","Double run"),"ROKS"))))))</f>
        <v/>
      </c>
      <c r="AC123" s="51" t="str">
        <f aca="false">IF(OR($A123="",AC$8=""),"",IF($F123="Migré","ROKS",IF($F123="À décommissionner",IF(AC$8&lt;$AS123,"IKS","Décom."),IF(OR($AQ123="",$AS123=""),"",IF(AC$8&lt;$AQ123,"IKS",IF(AC$8&lt;$AS123,IF(AC$8=$AR123,"Bascule","Double run"),"ROKS"))))))</f>
        <v/>
      </c>
      <c r="AD123" s="51" t="str">
        <f aca="false">IF(OR($A123="",AD$8=""),"",IF($F123="Migré","ROKS",IF($F123="À décommissionner",IF(AD$8&lt;$AS123,"IKS","Décom."),IF(OR($AQ123="",$AS123=""),"",IF(AD$8&lt;$AQ123,"IKS",IF(AD$8&lt;$AS123,IF(AD$8=$AR123,"Bascule","Double run"),"ROKS"))))))</f>
        <v/>
      </c>
      <c r="AE123" s="51" t="str">
        <f aca="false">IF(OR($A123="",AE$8=""),"",IF($F123="Migré","ROKS",IF($F123="À décommissionner",IF(AE$8&lt;$AS123,"IKS","Décom."),IF(OR($AQ123="",$AS123=""),"",IF(AE$8&lt;$AQ123,"IKS",IF(AE$8&lt;$AS123,IF(AE$8=$AR123,"Bascule","Double run"),"ROKS"))))))</f>
        <v/>
      </c>
      <c r="AF123" s="51" t="str">
        <f aca="false">IF(OR($A123="",AF$8=""),"",IF($F123="Migré","ROKS",IF($F123="À décommissionner",IF(AF$8&lt;$AS123,"IKS","Décom."),IF(OR($AQ123="",$AS123=""),"",IF(AF$8&lt;$AQ123,"IKS",IF(AF$8&lt;$AS123,IF(AF$8=$AR123,"Bascule","Double run"),"ROKS"))))))</f>
        <v/>
      </c>
      <c r="AG123" s="51" t="str">
        <f aca="false">IF(OR($A123="",AG$8=""),"",IF($F123="Migré","ROKS",IF($F123="À décommissionner",IF(AG$8&lt;$AS123,"IKS","Décom."),IF(OR($AQ123="",$AS123=""),"",IF(AG$8&lt;$AQ123,"IKS",IF(AG$8&lt;$AS123,IF(AG$8=$AR123,"Bascule","Double run"),"ROKS"))))))</f>
        <v/>
      </c>
      <c r="AH123" s="51" t="str">
        <f aca="false">IF(OR($A123="",AH$8=""),"",IF($F123="Migré","ROKS",IF($F123="À décommissionner",IF(AH$8&lt;$AS123,"IKS","Décom."),IF(OR($AQ123="",$AS123=""),"",IF(AH$8&lt;$AQ123,"IKS",IF(AH$8&lt;$AS123,IF(AH$8=$AR123,"Bascule","Double run"),"ROKS"))))))</f>
        <v/>
      </c>
      <c r="AI123" s="51" t="str">
        <f aca="false">IF(OR($A123="",AI$8=""),"",IF($F123="Migré","ROKS",IF($F123="À décommissionner",IF(AI$8&lt;$AS123,"IKS","Décom."),IF(OR($AQ123="",$AS123=""),"",IF(AI$8&lt;$AQ123,"IKS",IF(AI$8&lt;$AS123,IF(AI$8=$AR123,"Bascule","Double run"),"ROKS"))))))</f>
        <v/>
      </c>
      <c r="AJ123" s="51" t="str">
        <f aca="false">IF(OR($A123="",AJ$8=""),"",IF($F123="Migré","ROKS",IF($F123="À décommissionner",IF(AJ$8&lt;$AS123,"IKS","Décom."),IF(OR($AQ123="",$AS123=""),"",IF(AJ$8&lt;$AQ123,"IKS",IF(AJ$8&lt;$AS123,IF(AJ$8=$AR123,"Bascule","Double run"),"ROKS"))))))</f>
        <v/>
      </c>
      <c r="AK123" s="51" t="str">
        <f aca="false">IF(OR($A123="",AK$8=""),"",IF($F123="Migré","ROKS",IF($F123="À décommissionner",IF(AK$8&lt;$AS123,"IKS","Décom."),IF(OR($AQ123="",$AS123=""),"",IF(AK$8&lt;$AQ123,"IKS",IF(AK$8&lt;$AS123,IF(AK$8=$AR123,"Bascule","Double run"),"ROKS"))))))</f>
        <v/>
      </c>
      <c r="AL123" s="51" t="str">
        <f aca="false">IF(OR($A123="",AL$8=""),"",IF($F123="Migré","ROKS",IF($F123="À décommissionner",IF(AL$8&lt;$AS123,"IKS","Décom."),IF(OR($AQ123="",$AS123=""),"",IF(AL$8&lt;$AQ123,"IKS",IF(AL$8&lt;$AS123,IF(AL$8=$AR123,"Bascule","Double run"),"ROKS"))))))</f>
        <v/>
      </c>
      <c r="AM123" s="51" t="str">
        <f aca="false">IF(OR($A123="",AM$8=""),"",IF($F123="Migré","ROKS",IF($F123="À décommissionner",IF(AM$8&lt;$AS123,"IKS","Décom."),IF(OR($AQ123="",$AS123=""),"",IF(AM$8&lt;$AQ123,"IKS",IF(AM$8&lt;$AS123,IF(AM$8=$AR123,"Bascule","Double run"),"ROKS"))))))</f>
        <v/>
      </c>
      <c r="AN123" s="51" t="str">
        <f aca="false">IF(OR($A123="",AN$8=""),"",IF($F123="Migré","ROKS",IF($F123="À décommissionner",IF(AN$8&lt;$AS123,"IKS","Décom."),IF(OR($AQ123="",$AS123=""),"",IF(AN$8&lt;$AQ123,"IKS",IF(AN$8&lt;$AS123,IF(AN$8=$AR123,"Bascule","Double run"),"ROKS"))))))</f>
        <v/>
      </c>
      <c r="AO123" s="51" t="str">
        <f aca="false">IF(OR($A123="",AO$8=""),"",IF($F123="Migré","ROKS",IF($F123="À décommissionner",IF(AO$8&lt;$AS123,"IKS","Décom."),IF(OR($AQ123="",$AS123=""),"",IF(AO$8&lt;$AQ123,"IKS",IF(AO$8&lt;$AS123,IF(AO$8=$AR123,"Bascule","Double run"),"ROKS"))))))</f>
        <v/>
      </c>
      <c r="AP123" s="51" t="str">
        <f aca="false">IF(OR($A123="",AP$8=""),"",IF($F123="Migré","ROKS",IF($F123="À décommissionner",IF(AP$8&lt;$AS123,"IKS","Décom."),IF(OR($AQ123="",$AS123=""),"",IF(AP$8&lt;$AQ123,"IKS",IF(AP$8&lt;$AS123,IF(AP$8=$AR123,"Bascule","Double run"),"ROKS"))))))</f>
        <v/>
      </c>
      <c r="AQ123" s="0" t="str">
        <f aca="false">IF($A123="","",INDEX(TblApplications[Mois prov (calc)],$A123))</f>
        <v/>
      </c>
      <c r="AR123" s="0" t="str">
        <f aca="false">IF($A123="","",IFERROR(DATE(YEAR(INDEX(TblApplications[Mois bascule],$A123)),MONTH(INDEX(TblApplications[Mois bascule],$A123)),1),""))</f>
        <v/>
      </c>
      <c r="AS123" s="0" t="str">
        <f aca="false">IF($A123="","",INDEX(TblApplications[Mois lib (calc)],$A123))</f>
        <v/>
      </c>
    </row>
    <row r="124" customFormat="false" ht="15" hidden="false" customHeight="false" outlineLevel="0" collapsed="false">
      <c r="A124" s="49" t="str">
        <f aca="false">IFERROR(MATCH(116,TblApplications[Rang frise],0),"")</f>
        <v/>
      </c>
      <c r="B124" s="50" t="str">
        <f aca="false">IF($A124="","",INDEX(TblApplications[ID],$A124))</f>
        <v/>
      </c>
      <c r="C124" s="50" t="str">
        <f aca="false">IF($A124="","",INDEX(TblApplications[Application],$A124))</f>
        <v/>
      </c>
      <c r="D124" s="50" t="str">
        <f aca="false">IF($A124="","",INDEX(TblApplications[Environnement],$A124))</f>
        <v/>
      </c>
      <c r="E124" s="50" t="str">
        <f aca="false">IF($A124="","",INDEX(TblApplications[Couloir],$A124))</f>
        <v/>
      </c>
      <c r="F124" s="50" t="str">
        <f aca="false">IF($A124="","",INDEX(TblApplications[Action],$A124))</f>
        <v/>
      </c>
      <c r="G124" s="51" t="str">
        <f aca="false">IF(OR($A124="",G$8=""),"",IF($F124="Migré","ROKS",IF($F124="À décommissionner",IF(G$8&lt;$AS124,"IKS","Décom."),IF(OR($AQ124="",$AS124=""),"",IF(G$8&lt;$AQ124,"IKS",IF(G$8&lt;$AS124,IF(G$8=$AR124,"Bascule","Double run"),"ROKS"))))))</f>
        <v/>
      </c>
      <c r="H124" s="51" t="str">
        <f aca="false">IF(OR($A124="",H$8=""),"",IF($F124="Migré","ROKS",IF($F124="À décommissionner",IF(H$8&lt;$AS124,"IKS","Décom."),IF(OR($AQ124="",$AS124=""),"",IF(H$8&lt;$AQ124,"IKS",IF(H$8&lt;$AS124,IF(H$8=$AR124,"Bascule","Double run"),"ROKS"))))))</f>
        <v/>
      </c>
      <c r="I124" s="51" t="str">
        <f aca="false">IF(OR($A124="",I$8=""),"",IF($F124="Migré","ROKS",IF($F124="À décommissionner",IF(I$8&lt;$AS124,"IKS","Décom."),IF(OR($AQ124="",$AS124=""),"",IF(I$8&lt;$AQ124,"IKS",IF(I$8&lt;$AS124,IF(I$8=$AR124,"Bascule","Double run"),"ROKS"))))))</f>
        <v/>
      </c>
      <c r="J124" s="51" t="str">
        <f aca="false">IF(OR($A124="",J$8=""),"",IF($F124="Migré","ROKS",IF($F124="À décommissionner",IF(J$8&lt;$AS124,"IKS","Décom."),IF(OR($AQ124="",$AS124=""),"",IF(J$8&lt;$AQ124,"IKS",IF(J$8&lt;$AS124,IF(J$8=$AR124,"Bascule","Double run"),"ROKS"))))))</f>
        <v/>
      </c>
      <c r="K124" s="51" t="str">
        <f aca="false">IF(OR($A124="",K$8=""),"",IF($F124="Migré","ROKS",IF($F124="À décommissionner",IF(K$8&lt;$AS124,"IKS","Décom."),IF(OR($AQ124="",$AS124=""),"",IF(K$8&lt;$AQ124,"IKS",IF(K$8&lt;$AS124,IF(K$8=$AR124,"Bascule","Double run"),"ROKS"))))))</f>
        <v/>
      </c>
      <c r="L124" s="51" t="str">
        <f aca="false">IF(OR($A124="",L$8=""),"",IF($F124="Migré","ROKS",IF($F124="À décommissionner",IF(L$8&lt;$AS124,"IKS","Décom."),IF(OR($AQ124="",$AS124=""),"",IF(L$8&lt;$AQ124,"IKS",IF(L$8&lt;$AS124,IF(L$8=$AR124,"Bascule","Double run"),"ROKS"))))))</f>
        <v/>
      </c>
      <c r="M124" s="51" t="str">
        <f aca="false">IF(OR($A124="",M$8=""),"",IF($F124="Migré","ROKS",IF($F124="À décommissionner",IF(M$8&lt;$AS124,"IKS","Décom."),IF(OR($AQ124="",$AS124=""),"",IF(M$8&lt;$AQ124,"IKS",IF(M$8&lt;$AS124,IF(M$8=$AR124,"Bascule","Double run"),"ROKS"))))))</f>
        <v/>
      </c>
      <c r="N124" s="51" t="str">
        <f aca="false">IF(OR($A124="",N$8=""),"",IF($F124="Migré","ROKS",IF($F124="À décommissionner",IF(N$8&lt;$AS124,"IKS","Décom."),IF(OR($AQ124="",$AS124=""),"",IF(N$8&lt;$AQ124,"IKS",IF(N$8&lt;$AS124,IF(N$8=$AR124,"Bascule","Double run"),"ROKS"))))))</f>
        <v/>
      </c>
      <c r="O124" s="51" t="str">
        <f aca="false">IF(OR($A124="",O$8=""),"",IF($F124="Migré","ROKS",IF($F124="À décommissionner",IF(O$8&lt;$AS124,"IKS","Décom."),IF(OR($AQ124="",$AS124=""),"",IF(O$8&lt;$AQ124,"IKS",IF(O$8&lt;$AS124,IF(O$8=$AR124,"Bascule","Double run"),"ROKS"))))))</f>
        <v/>
      </c>
      <c r="P124" s="51" t="str">
        <f aca="false">IF(OR($A124="",P$8=""),"",IF($F124="Migré","ROKS",IF($F124="À décommissionner",IF(P$8&lt;$AS124,"IKS","Décom."),IF(OR($AQ124="",$AS124=""),"",IF(P$8&lt;$AQ124,"IKS",IF(P$8&lt;$AS124,IF(P$8=$AR124,"Bascule","Double run"),"ROKS"))))))</f>
        <v/>
      </c>
      <c r="Q124" s="51" t="str">
        <f aca="false">IF(OR($A124="",Q$8=""),"",IF($F124="Migré","ROKS",IF($F124="À décommissionner",IF(Q$8&lt;$AS124,"IKS","Décom."),IF(OR($AQ124="",$AS124=""),"",IF(Q$8&lt;$AQ124,"IKS",IF(Q$8&lt;$AS124,IF(Q$8=$AR124,"Bascule","Double run"),"ROKS"))))))</f>
        <v/>
      </c>
      <c r="R124" s="51" t="str">
        <f aca="false">IF(OR($A124="",R$8=""),"",IF($F124="Migré","ROKS",IF($F124="À décommissionner",IF(R$8&lt;$AS124,"IKS","Décom."),IF(OR($AQ124="",$AS124=""),"",IF(R$8&lt;$AQ124,"IKS",IF(R$8&lt;$AS124,IF(R$8=$AR124,"Bascule","Double run"),"ROKS"))))))</f>
        <v/>
      </c>
      <c r="S124" s="51" t="str">
        <f aca="false">IF(OR($A124="",S$8=""),"",IF($F124="Migré","ROKS",IF($F124="À décommissionner",IF(S$8&lt;$AS124,"IKS","Décom."),IF(OR($AQ124="",$AS124=""),"",IF(S$8&lt;$AQ124,"IKS",IF(S$8&lt;$AS124,IF(S$8=$AR124,"Bascule","Double run"),"ROKS"))))))</f>
        <v/>
      </c>
      <c r="T124" s="51" t="str">
        <f aca="false">IF(OR($A124="",T$8=""),"",IF($F124="Migré","ROKS",IF($F124="À décommissionner",IF(T$8&lt;$AS124,"IKS","Décom."),IF(OR($AQ124="",$AS124=""),"",IF(T$8&lt;$AQ124,"IKS",IF(T$8&lt;$AS124,IF(T$8=$AR124,"Bascule","Double run"),"ROKS"))))))</f>
        <v/>
      </c>
      <c r="U124" s="51" t="str">
        <f aca="false">IF(OR($A124="",U$8=""),"",IF($F124="Migré","ROKS",IF($F124="À décommissionner",IF(U$8&lt;$AS124,"IKS","Décom."),IF(OR($AQ124="",$AS124=""),"",IF(U$8&lt;$AQ124,"IKS",IF(U$8&lt;$AS124,IF(U$8=$AR124,"Bascule","Double run"),"ROKS"))))))</f>
        <v/>
      </c>
      <c r="V124" s="51" t="str">
        <f aca="false">IF(OR($A124="",V$8=""),"",IF($F124="Migré","ROKS",IF($F124="À décommissionner",IF(V$8&lt;$AS124,"IKS","Décom."),IF(OR($AQ124="",$AS124=""),"",IF(V$8&lt;$AQ124,"IKS",IF(V$8&lt;$AS124,IF(V$8=$AR124,"Bascule","Double run"),"ROKS"))))))</f>
        <v/>
      </c>
      <c r="W124" s="51" t="str">
        <f aca="false">IF(OR($A124="",W$8=""),"",IF($F124="Migré","ROKS",IF($F124="À décommissionner",IF(W$8&lt;$AS124,"IKS","Décom."),IF(OR($AQ124="",$AS124=""),"",IF(W$8&lt;$AQ124,"IKS",IF(W$8&lt;$AS124,IF(W$8=$AR124,"Bascule","Double run"),"ROKS"))))))</f>
        <v/>
      </c>
      <c r="X124" s="51" t="str">
        <f aca="false">IF(OR($A124="",X$8=""),"",IF($F124="Migré","ROKS",IF($F124="À décommissionner",IF(X$8&lt;$AS124,"IKS","Décom."),IF(OR($AQ124="",$AS124=""),"",IF(X$8&lt;$AQ124,"IKS",IF(X$8&lt;$AS124,IF(X$8=$AR124,"Bascule","Double run"),"ROKS"))))))</f>
        <v/>
      </c>
      <c r="Y124" s="51" t="str">
        <f aca="false">IF(OR($A124="",Y$8=""),"",IF($F124="Migré","ROKS",IF($F124="À décommissionner",IF(Y$8&lt;$AS124,"IKS","Décom."),IF(OR($AQ124="",$AS124=""),"",IF(Y$8&lt;$AQ124,"IKS",IF(Y$8&lt;$AS124,IF(Y$8=$AR124,"Bascule","Double run"),"ROKS"))))))</f>
        <v/>
      </c>
      <c r="Z124" s="51" t="str">
        <f aca="false">IF(OR($A124="",Z$8=""),"",IF($F124="Migré","ROKS",IF($F124="À décommissionner",IF(Z$8&lt;$AS124,"IKS","Décom."),IF(OR($AQ124="",$AS124=""),"",IF(Z$8&lt;$AQ124,"IKS",IF(Z$8&lt;$AS124,IF(Z$8=$AR124,"Bascule","Double run"),"ROKS"))))))</f>
        <v/>
      </c>
      <c r="AA124" s="51" t="str">
        <f aca="false">IF(OR($A124="",AA$8=""),"",IF($F124="Migré","ROKS",IF($F124="À décommissionner",IF(AA$8&lt;$AS124,"IKS","Décom."),IF(OR($AQ124="",$AS124=""),"",IF(AA$8&lt;$AQ124,"IKS",IF(AA$8&lt;$AS124,IF(AA$8=$AR124,"Bascule","Double run"),"ROKS"))))))</f>
        <v/>
      </c>
      <c r="AB124" s="51" t="str">
        <f aca="false">IF(OR($A124="",AB$8=""),"",IF($F124="Migré","ROKS",IF($F124="À décommissionner",IF(AB$8&lt;$AS124,"IKS","Décom."),IF(OR($AQ124="",$AS124=""),"",IF(AB$8&lt;$AQ124,"IKS",IF(AB$8&lt;$AS124,IF(AB$8=$AR124,"Bascule","Double run"),"ROKS"))))))</f>
        <v/>
      </c>
      <c r="AC124" s="51" t="str">
        <f aca="false">IF(OR($A124="",AC$8=""),"",IF($F124="Migré","ROKS",IF($F124="À décommissionner",IF(AC$8&lt;$AS124,"IKS","Décom."),IF(OR($AQ124="",$AS124=""),"",IF(AC$8&lt;$AQ124,"IKS",IF(AC$8&lt;$AS124,IF(AC$8=$AR124,"Bascule","Double run"),"ROKS"))))))</f>
        <v/>
      </c>
      <c r="AD124" s="51" t="str">
        <f aca="false">IF(OR($A124="",AD$8=""),"",IF($F124="Migré","ROKS",IF($F124="À décommissionner",IF(AD$8&lt;$AS124,"IKS","Décom."),IF(OR($AQ124="",$AS124=""),"",IF(AD$8&lt;$AQ124,"IKS",IF(AD$8&lt;$AS124,IF(AD$8=$AR124,"Bascule","Double run"),"ROKS"))))))</f>
        <v/>
      </c>
      <c r="AE124" s="51" t="str">
        <f aca="false">IF(OR($A124="",AE$8=""),"",IF($F124="Migré","ROKS",IF($F124="À décommissionner",IF(AE$8&lt;$AS124,"IKS","Décom."),IF(OR($AQ124="",$AS124=""),"",IF(AE$8&lt;$AQ124,"IKS",IF(AE$8&lt;$AS124,IF(AE$8=$AR124,"Bascule","Double run"),"ROKS"))))))</f>
        <v/>
      </c>
      <c r="AF124" s="51" t="str">
        <f aca="false">IF(OR($A124="",AF$8=""),"",IF($F124="Migré","ROKS",IF($F124="À décommissionner",IF(AF$8&lt;$AS124,"IKS","Décom."),IF(OR($AQ124="",$AS124=""),"",IF(AF$8&lt;$AQ124,"IKS",IF(AF$8&lt;$AS124,IF(AF$8=$AR124,"Bascule","Double run"),"ROKS"))))))</f>
        <v/>
      </c>
      <c r="AG124" s="51" t="str">
        <f aca="false">IF(OR($A124="",AG$8=""),"",IF($F124="Migré","ROKS",IF($F124="À décommissionner",IF(AG$8&lt;$AS124,"IKS","Décom."),IF(OR($AQ124="",$AS124=""),"",IF(AG$8&lt;$AQ124,"IKS",IF(AG$8&lt;$AS124,IF(AG$8=$AR124,"Bascule","Double run"),"ROKS"))))))</f>
        <v/>
      </c>
      <c r="AH124" s="51" t="str">
        <f aca="false">IF(OR($A124="",AH$8=""),"",IF($F124="Migré","ROKS",IF($F124="À décommissionner",IF(AH$8&lt;$AS124,"IKS","Décom."),IF(OR($AQ124="",$AS124=""),"",IF(AH$8&lt;$AQ124,"IKS",IF(AH$8&lt;$AS124,IF(AH$8=$AR124,"Bascule","Double run"),"ROKS"))))))</f>
        <v/>
      </c>
      <c r="AI124" s="51" t="str">
        <f aca="false">IF(OR($A124="",AI$8=""),"",IF($F124="Migré","ROKS",IF($F124="À décommissionner",IF(AI$8&lt;$AS124,"IKS","Décom."),IF(OR($AQ124="",$AS124=""),"",IF(AI$8&lt;$AQ124,"IKS",IF(AI$8&lt;$AS124,IF(AI$8=$AR124,"Bascule","Double run"),"ROKS"))))))</f>
        <v/>
      </c>
      <c r="AJ124" s="51" t="str">
        <f aca="false">IF(OR($A124="",AJ$8=""),"",IF($F124="Migré","ROKS",IF($F124="À décommissionner",IF(AJ$8&lt;$AS124,"IKS","Décom."),IF(OR($AQ124="",$AS124=""),"",IF(AJ$8&lt;$AQ124,"IKS",IF(AJ$8&lt;$AS124,IF(AJ$8=$AR124,"Bascule","Double run"),"ROKS"))))))</f>
        <v/>
      </c>
      <c r="AK124" s="51" t="str">
        <f aca="false">IF(OR($A124="",AK$8=""),"",IF($F124="Migré","ROKS",IF($F124="À décommissionner",IF(AK$8&lt;$AS124,"IKS","Décom."),IF(OR($AQ124="",$AS124=""),"",IF(AK$8&lt;$AQ124,"IKS",IF(AK$8&lt;$AS124,IF(AK$8=$AR124,"Bascule","Double run"),"ROKS"))))))</f>
        <v/>
      </c>
      <c r="AL124" s="51" t="str">
        <f aca="false">IF(OR($A124="",AL$8=""),"",IF($F124="Migré","ROKS",IF($F124="À décommissionner",IF(AL$8&lt;$AS124,"IKS","Décom."),IF(OR($AQ124="",$AS124=""),"",IF(AL$8&lt;$AQ124,"IKS",IF(AL$8&lt;$AS124,IF(AL$8=$AR124,"Bascule","Double run"),"ROKS"))))))</f>
        <v/>
      </c>
      <c r="AM124" s="51" t="str">
        <f aca="false">IF(OR($A124="",AM$8=""),"",IF($F124="Migré","ROKS",IF($F124="À décommissionner",IF(AM$8&lt;$AS124,"IKS","Décom."),IF(OR($AQ124="",$AS124=""),"",IF(AM$8&lt;$AQ124,"IKS",IF(AM$8&lt;$AS124,IF(AM$8=$AR124,"Bascule","Double run"),"ROKS"))))))</f>
        <v/>
      </c>
      <c r="AN124" s="51" t="str">
        <f aca="false">IF(OR($A124="",AN$8=""),"",IF($F124="Migré","ROKS",IF($F124="À décommissionner",IF(AN$8&lt;$AS124,"IKS","Décom."),IF(OR($AQ124="",$AS124=""),"",IF(AN$8&lt;$AQ124,"IKS",IF(AN$8&lt;$AS124,IF(AN$8=$AR124,"Bascule","Double run"),"ROKS"))))))</f>
        <v/>
      </c>
      <c r="AO124" s="51" t="str">
        <f aca="false">IF(OR($A124="",AO$8=""),"",IF($F124="Migré","ROKS",IF($F124="À décommissionner",IF(AO$8&lt;$AS124,"IKS","Décom."),IF(OR($AQ124="",$AS124=""),"",IF(AO$8&lt;$AQ124,"IKS",IF(AO$8&lt;$AS124,IF(AO$8=$AR124,"Bascule","Double run"),"ROKS"))))))</f>
        <v/>
      </c>
      <c r="AP124" s="51" t="str">
        <f aca="false">IF(OR($A124="",AP$8=""),"",IF($F124="Migré","ROKS",IF($F124="À décommissionner",IF(AP$8&lt;$AS124,"IKS","Décom."),IF(OR($AQ124="",$AS124=""),"",IF(AP$8&lt;$AQ124,"IKS",IF(AP$8&lt;$AS124,IF(AP$8=$AR124,"Bascule","Double run"),"ROKS"))))))</f>
        <v/>
      </c>
      <c r="AQ124" s="0" t="str">
        <f aca="false">IF($A124="","",INDEX(TblApplications[Mois prov (calc)],$A124))</f>
        <v/>
      </c>
      <c r="AR124" s="0" t="str">
        <f aca="false">IF($A124="","",IFERROR(DATE(YEAR(INDEX(TblApplications[Mois bascule],$A124)),MONTH(INDEX(TblApplications[Mois bascule],$A124)),1),""))</f>
        <v/>
      </c>
      <c r="AS124" s="0" t="str">
        <f aca="false">IF($A124="","",INDEX(TblApplications[Mois lib (calc)],$A124))</f>
        <v/>
      </c>
    </row>
    <row r="125" customFormat="false" ht="15" hidden="false" customHeight="false" outlineLevel="0" collapsed="false">
      <c r="A125" s="49" t="str">
        <f aca="false">IFERROR(MATCH(117,TblApplications[Rang frise],0),"")</f>
        <v/>
      </c>
      <c r="B125" s="50" t="str">
        <f aca="false">IF($A125="","",INDEX(TblApplications[ID],$A125))</f>
        <v/>
      </c>
      <c r="C125" s="50" t="str">
        <f aca="false">IF($A125="","",INDEX(TblApplications[Application],$A125))</f>
        <v/>
      </c>
      <c r="D125" s="50" t="str">
        <f aca="false">IF($A125="","",INDEX(TblApplications[Environnement],$A125))</f>
        <v/>
      </c>
      <c r="E125" s="50" t="str">
        <f aca="false">IF($A125="","",INDEX(TblApplications[Couloir],$A125))</f>
        <v/>
      </c>
      <c r="F125" s="50" t="str">
        <f aca="false">IF($A125="","",INDEX(TblApplications[Action],$A125))</f>
        <v/>
      </c>
      <c r="G125" s="51" t="str">
        <f aca="false">IF(OR($A125="",G$8=""),"",IF($F125="Migré","ROKS",IF($F125="À décommissionner",IF(G$8&lt;$AS125,"IKS","Décom."),IF(OR($AQ125="",$AS125=""),"",IF(G$8&lt;$AQ125,"IKS",IF(G$8&lt;$AS125,IF(G$8=$AR125,"Bascule","Double run"),"ROKS"))))))</f>
        <v/>
      </c>
      <c r="H125" s="51" t="str">
        <f aca="false">IF(OR($A125="",H$8=""),"",IF($F125="Migré","ROKS",IF($F125="À décommissionner",IF(H$8&lt;$AS125,"IKS","Décom."),IF(OR($AQ125="",$AS125=""),"",IF(H$8&lt;$AQ125,"IKS",IF(H$8&lt;$AS125,IF(H$8=$AR125,"Bascule","Double run"),"ROKS"))))))</f>
        <v/>
      </c>
      <c r="I125" s="51" t="str">
        <f aca="false">IF(OR($A125="",I$8=""),"",IF($F125="Migré","ROKS",IF($F125="À décommissionner",IF(I$8&lt;$AS125,"IKS","Décom."),IF(OR($AQ125="",$AS125=""),"",IF(I$8&lt;$AQ125,"IKS",IF(I$8&lt;$AS125,IF(I$8=$AR125,"Bascule","Double run"),"ROKS"))))))</f>
        <v/>
      </c>
      <c r="J125" s="51" t="str">
        <f aca="false">IF(OR($A125="",J$8=""),"",IF($F125="Migré","ROKS",IF($F125="À décommissionner",IF(J$8&lt;$AS125,"IKS","Décom."),IF(OR($AQ125="",$AS125=""),"",IF(J$8&lt;$AQ125,"IKS",IF(J$8&lt;$AS125,IF(J$8=$AR125,"Bascule","Double run"),"ROKS"))))))</f>
        <v/>
      </c>
      <c r="K125" s="51" t="str">
        <f aca="false">IF(OR($A125="",K$8=""),"",IF($F125="Migré","ROKS",IF($F125="À décommissionner",IF(K$8&lt;$AS125,"IKS","Décom."),IF(OR($AQ125="",$AS125=""),"",IF(K$8&lt;$AQ125,"IKS",IF(K$8&lt;$AS125,IF(K$8=$AR125,"Bascule","Double run"),"ROKS"))))))</f>
        <v/>
      </c>
      <c r="L125" s="51" t="str">
        <f aca="false">IF(OR($A125="",L$8=""),"",IF($F125="Migré","ROKS",IF($F125="À décommissionner",IF(L$8&lt;$AS125,"IKS","Décom."),IF(OR($AQ125="",$AS125=""),"",IF(L$8&lt;$AQ125,"IKS",IF(L$8&lt;$AS125,IF(L$8=$AR125,"Bascule","Double run"),"ROKS"))))))</f>
        <v/>
      </c>
      <c r="M125" s="51" t="str">
        <f aca="false">IF(OR($A125="",M$8=""),"",IF($F125="Migré","ROKS",IF($F125="À décommissionner",IF(M$8&lt;$AS125,"IKS","Décom."),IF(OR($AQ125="",$AS125=""),"",IF(M$8&lt;$AQ125,"IKS",IF(M$8&lt;$AS125,IF(M$8=$AR125,"Bascule","Double run"),"ROKS"))))))</f>
        <v/>
      </c>
      <c r="N125" s="51" t="str">
        <f aca="false">IF(OR($A125="",N$8=""),"",IF($F125="Migré","ROKS",IF($F125="À décommissionner",IF(N$8&lt;$AS125,"IKS","Décom."),IF(OR($AQ125="",$AS125=""),"",IF(N$8&lt;$AQ125,"IKS",IF(N$8&lt;$AS125,IF(N$8=$AR125,"Bascule","Double run"),"ROKS"))))))</f>
        <v/>
      </c>
      <c r="O125" s="51" t="str">
        <f aca="false">IF(OR($A125="",O$8=""),"",IF($F125="Migré","ROKS",IF($F125="À décommissionner",IF(O$8&lt;$AS125,"IKS","Décom."),IF(OR($AQ125="",$AS125=""),"",IF(O$8&lt;$AQ125,"IKS",IF(O$8&lt;$AS125,IF(O$8=$AR125,"Bascule","Double run"),"ROKS"))))))</f>
        <v/>
      </c>
      <c r="P125" s="51" t="str">
        <f aca="false">IF(OR($A125="",P$8=""),"",IF($F125="Migré","ROKS",IF($F125="À décommissionner",IF(P$8&lt;$AS125,"IKS","Décom."),IF(OR($AQ125="",$AS125=""),"",IF(P$8&lt;$AQ125,"IKS",IF(P$8&lt;$AS125,IF(P$8=$AR125,"Bascule","Double run"),"ROKS"))))))</f>
        <v/>
      </c>
      <c r="Q125" s="51" t="str">
        <f aca="false">IF(OR($A125="",Q$8=""),"",IF($F125="Migré","ROKS",IF($F125="À décommissionner",IF(Q$8&lt;$AS125,"IKS","Décom."),IF(OR($AQ125="",$AS125=""),"",IF(Q$8&lt;$AQ125,"IKS",IF(Q$8&lt;$AS125,IF(Q$8=$AR125,"Bascule","Double run"),"ROKS"))))))</f>
        <v/>
      </c>
      <c r="R125" s="51" t="str">
        <f aca="false">IF(OR($A125="",R$8=""),"",IF($F125="Migré","ROKS",IF($F125="À décommissionner",IF(R$8&lt;$AS125,"IKS","Décom."),IF(OR($AQ125="",$AS125=""),"",IF(R$8&lt;$AQ125,"IKS",IF(R$8&lt;$AS125,IF(R$8=$AR125,"Bascule","Double run"),"ROKS"))))))</f>
        <v/>
      </c>
      <c r="S125" s="51" t="str">
        <f aca="false">IF(OR($A125="",S$8=""),"",IF($F125="Migré","ROKS",IF($F125="À décommissionner",IF(S$8&lt;$AS125,"IKS","Décom."),IF(OR($AQ125="",$AS125=""),"",IF(S$8&lt;$AQ125,"IKS",IF(S$8&lt;$AS125,IF(S$8=$AR125,"Bascule","Double run"),"ROKS"))))))</f>
        <v/>
      </c>
      <c r="T125" s="51" t="str">
        <f aca="false">IF(OR($A125="",T$8=""),"",IF($F125="Migré","ROKS",IF($F125="À décommissionner",IF(T$8&lt;$AS125,"IKS","Décom."),IF(OR($AQ125="",$AS125=""),"",IF(T$8&lt;$AQ125,"IKS",IF(T$8&lt;$AS125,IF(T$8=$AR125,"Bascule","Double run"),"ROKS"))))))</f>
        <v/>
      </c>
      <c r="U125" s="51" t="str">
        <f aca="false">IF(OR($A125="",U$8=""),"",IF($F125="Migré","ROKS",IF($F125="À décommissionner",IF(U$8&lt;$AS125,"IKS","Décom."),IF(OR($AQ125="",$AS125=""),"",IF(U$8&lt;$AQ125,"IKS",IF(U$8&lt;$AS125,IF(U$8=$AR125,"Bascule","Double run"),"ROKS"))))))</f>
        <v/>
      </c>
      <c r="V125" s="51" t="str">
        <f aca="false">IF(OR($A125="",V$8=""),"",IF($F125="Migré","ROKS",IF($F125="À décommissionner",IF(V$8&lt;$AS125,"IKS","Décom."),IF(OR($AQ125="",$AS125=""),"",IF(V$8&lt;$AQ125,"IKS",IF(V$8&lt;$AS125,IF(V$8=$AR125,"Bascule","Double run"),"ROKS"))))))</f>
        <v/>
      </c>
      <c r="W125" s="51" t="str">
        <f aca="false">IF(OR($A125="",W$8=""),"",IF($F125="Migré","ROKS",IF($F125="À décommissionner",IF(W$8&lt;$AS125,"IKS","Décom."),IF(OR($AQ125="",$AS125=""),"",IF(W$8&lt;$AQ125,"IKS",IF(W$8&lt;$AS125,IF(W$8=$AR125,"Bascule","Double run"),"ROKS"))))))</f>
        <v/>
      </c>
      <c r="X125" s="51" t="str">
        <f aca="false">IF(OR($A125="",X$8=""),"",IF($F125="Migré","ROKS",IF($F125="À décommissionner",IF(X$8&lt;$AS125,"IKS","Décom."),IF(OR($AQ125="",$AS125=""),"",IF(X$8&lt;$AQ125,"IKS",IF(X$8&lt;$AS125,IF(X$8=$AR125,"Bascule","Double run"),"ROKS"))))))</f>
        <v/>
      </c>
      <c r="Y125" s="51" t="str">
        <f aca="false">IF(OR($A125="",Y$8=""),"",IF($F125="Migré","ROKS",IF($F125="À décommissionner",IF(Y$8&lt;$AS125,"IKS","Décom."),IF(OR($AQ125="",$AS125=""),"",IF(Y$8&lt;$AQ125,"IKS",IF(Y$8&lt;$AS125,IF(Y$8=$AR125,"Bascule","Double run"),"ROKS"))))))</f>
        <v/>
      </c>
      <c r="Z125" s="51" t="str">
        <f aca="false">IF(OR($A125="",Z$8=""),"",IF($F125="Migré","ROKS",IF($F125="À décommissionner",IF(Z$8&lt;$AS125,"IKS","Décom."),IF(OR($AQ125="",$AS125=""),"",IF(Z$8&lt;$AQ125,"IKS",IF(Z$8&lt;$AS125,IF(Z$8=$AR125,"Bascule","Double run"),"ROKS"))))))</f>
        <v/>
      </c>
      <c r="AA125" s="51" t="str">
        <f aca="false">IF(OR($A125="",AA$8=""),"",IF($F125="Migré","ROKS",IF($F125="À décommissionner",IF(AA$8&lt;$AS125,"IKS","Décom."),IF(OR($AQ125="",$AS125=""),"",IF(AA$8&lt;$AQ125,"IKS",IF(AA$8&lt;$AS125,IF(AA$8=$AR125,"Bascule","Double run"),"ROKS"))))))</f>
        <v/>
      </c>
      <c r="AB125" s="51" t="str">
        <f aca="false">IF(OR($A125="",AB$8=""),"",IF($F125="Migré","ROKS",IF($F125="À décommissionner",IF(AB$8&lt;$AS125,"IKS","Décom."),IF(OR($AQ125="",$AS125=""),"",IF(AB$8&lt;$AQ125,"IKS",IF(AB$8&lt;$AS125,IF(AB$8=$AR125,"Bascule","Double run"),"ROKS"))))))</f>
        <v/>
      </c>
      <c r="AC125" s="51" t="str">
        <f aca="false">IF(OR($A125="",AC$8=""),"",IF($F125="Migré","ROKS",IF($F125="À décommissionner",IF(AC$8&lt;$AS125,"IKS","Décom."),IF(OR($AQ125="",$AS125=""),"",IF(AC$8&lt;$AQ125,"IKS",IF(AC$8&lt;$AS125,IF(AC$8=$AR125,"Bascule","Double run"),"ROKS"))))))</f>
        <v/>
      </c>
      <c r="AD125" s="51" t="str">
        <f aca="false">IF(OR($A125="",AD$8=""),"",IF($F125="Migré","ROKS",IF($F125="À décommissionner",IF(AD$8&lt;$AS125,"IKS","Décom."),IF(OR($AQ125="",$AS125=""),"",IF(AD$8&lt;$AQ125,"IKS",IF(AD$8&lt;$AS125,IF(AD$8=$AR125,"Bascule","Double run"),"ROKS"))))))</f>
        <v/>
      </c>
      <c r="AE125" s="51" t="str">
        <f aca="false">IF(OR($A125="",AE$8=""),"",IF($F125="Migré","ROKS",IF($F125="À décommissionner",IF(AE$8&lt;$AS125,"IKS","Décom."),IF(OR($AQ125="",$AS125=""),"",IF(AE$8&lt;$AQ125,"IKS",IF(AE$8&lt;$AS125,IF(AE$8=$AR125,"Bascule","Double run"),"ROKS"))))))</f>
        <v/>
      </c>
      <c r="AF125" s="51" t="str">
        <f aca="false">IF(OR($A125="",AF$8=""),"",IF($F125="Migré","ROKS",IF($F125="À décommissionner",IF(AF$8&lt;$AS125,"IKS","Décom."),IF(OR($AQ125="",$AS125=""),"",IF(AF$8&lt;$AQ125,"IKS",IF(AF$8&lt;$AS125,IF(AF$8=$AR125,"Bascule","Double run"),"ROKS"))))))</f>
        <v/>
      </c>
      <c r="AG125" s="51" t="str">
        <f aca="false">IF(OR($A125="",AG$8=""),"",IF($F125="Migré","ROKS",IF($F125="À décommissionner",IF(AG$8&lt;$AS125,"IKS","Décom."),IF(OR($AQ125="",$AS125=""),"",IF(AG$8&lt;$AQ125,"IKS",IF(AG$8&lt;$AS125,IF(AG$8=$AR125,"Bascule","Double run"),"ROKS"))))))</f>
        <v/>
      </c>
      <c r="AH125" s="51" t="str">
        <f aca="false">IF(OR($A125="",AH$8=""),"",IF($F125="Migré","ROKS",IF($F125="À décommissionner",IF(AH$8&lt;$AS125,"IKS","Décom."),IF(OR($AQ125="",$AS125=""),"",IF(AH$8&lt;$AQ125,"IKS",IF(AH$8&lt;$AS125,IF(AH$8=$AR125,"Bascule","Double run"),"ROKS"))))))</f>
        <v/>
      </c>
      <c r="AI125" s="51" t="str">
        <f aca="false">IF(OR($A125="",AI$8=""),"",IF($F125="Migré","ROKS",IF($F125="À décommissionner",IF(AI$8&lt;$AS125,"IKS","Décom."),IF(OR($AQ125="",$AS125=""),"",IF(AI$8&lt;$AQ125,"IKS",IF(AI$8&lt;$AS125,IF(AI$8=$AR125,"Bascule","Double run"),"ROKS"))))))</f>
        <v/>
      </c>
      <c r="AJ125" s="51" t="str">
        <f aca="false">IF(OR($A125="",AJ$8=""),"",IF($F125="Migré","ROKS",IF($F125="À décommissionner",IF(AJ$8&lt;$AS125,"IKS","Décom."),IF(OR($AQ125="",$AS125=""),"",IF(AJ$8&lt;$AQ125,"IKS",IF(AJ$8&lt;$AS125,IF(AJ$8=$AR125,"Bascule","Double run"),"ROKS"))))))</f>
        <v/>
      </c>
      <c r="AK125" s="51" t="str">
        <f aca="false">IF(OR($A125="",AK$8=""),"",IF($F125="Migré","ROKS",IF($F125="À décommissionner",IF(AK$8&lt;$AS125,"IKS","Décom."),IF(OR($AQ125="",$AS125=""),"",IF(AK$8&lt;$AQ125,"IKS",IF(AK$8&lt;$AS125,IF(AK$8=$AR125,"Bascule","Double run"),"ROKS"))))))</f>
        <v/>
      </c>
      <c r="AL125" s="51" t="str">
        <f aca="false">IF(OR($A125="",AL$8=""),"",IF($F125="Migré","ROKS",IF($F125="À décommissionner",IF(AL$8&lt;$AS125,"IKS","Décom."),IF(OR($AQ125="",$AS125=""),"",IF(AL$8&lt;$AQ125,"IKS",IF(AL$8&lt;$AS125,IF(AL$8=$AR125,"Bascule","Double run"),"ROKS"))))))</f>
        <v/>
      </c>
      <c r="AM125" s="51" t="str">
        <f aca="false">IF(OR($A125="",AM$8=""),"",IF($F125="Migré","ROKS",IF($F125="À décommissionner",IF(AM$8&lt;$AS125,"IKS","Décom."),IF(OR($AQ125="",$AS125=""),"",IF(AM$8&lt;$AQ125,"IKS",IF(AM$8&lt;$AS125,IF(AM$8=$AR125,"Bascule","Double run"),"ROKS"))))))</f>
        <v/>
      </c>
      <c r="AN125" s="51" t="str">
        <f aca="false">IF(OR($A125="",AN$8=""),"",IF($F125="Migré","ROKS",IF($F125="À décommissionner",IF(AN$8&lt;$AS125,"IKS","Décom."),IF(OR($AQ125="",$AS125=""),"",IF(AN$8&lt;$AQ125,"IKS",IF(AN$8&lt;$AS125,IF(AN$8=$AR125,"Bascule","Double run"),"ROKS"))))))</f>
        <v/>
      </c>
      <c r="AO125" s="51" t="str">
        <f aca="false">IF(OR($A125="",AO$8=""),"",IF($F125="Migré","ROKS",IF($F125="À décommissionner",IF(AO$8&lt;$AS125,"IKS","Décom."),IF(OR($AQ125="",$AS125=""),"",IF(AO$8&lt;$AQ125,"IKS",IF(AO$8&lt;$AS125,IF(AO$8=$AR125,"Bascule","Double run"),"ROKS"))))))</f>
        <v/>
      </c>
      <c r="AP125" s="51" t="str">
        <f aca="false">IF(OR($A125="",AP$8=""),"",IF($F125="Migré","ROKS",IF($F125="À décommissionner",IF(AP$8&lt;$AS125,"IKS","Décom."),IF(OR($AQ125="",$AS125=""),"",IF(AP$8&lt;$AQ125,"IKS",IF(AP$8&lt;$AS125,IF(AP$8=$AR125,"Bascule","Double run"),"ROKS"))))))</f>
        <v/>
      </c>
      <c r="AQ125" s="0" t="str">
        <f aca="false">IF($A125="","",INDEX(TblApplications[Mois prov (calc)],$A125))</f>
        <v/>
      </c>
      <c r="AR125" s="0" t="str">
        <f aca="false">IF($A125="","",IFERROR(DATE(YEAR(INDEX(TblApplications[Mois bascule],$A125)),MONTH(INDEX(TblApplications[Mois bascule],$A125)),1),""))</f>
        <v/>
      </c>
      <c r="AS125" s="0" t="str">
        <f aca="false">IF($A125="","",INDEX(TblApplications[Mois lib (calc)],$A125))</f>
        <v/>
      </c>
    </row>
    <row r="126" customFormat="false" ht="15" hidden="false" customHeight="false" outlineLevel="0" collapsed="false">
      <c r="A126" s="49" t="str">
        <f aca="false">IFERROR(MATCH(118,TblApplications[Rang frise],0),"")</f>
        <v/>
      </c>
      <c r="B126" s="50" t="str">
        <f aca="false">IF($A126="","",INDEX(TblApplications[ID],$A126))</f>
        <v/>
      </c>
      <c r="C126" s="50" t="str">
        <f aca="false">IF($A126="","",INDEX(TblApplications[Application],$A126))</f>
        <v/>
      </c>
      <c r="D126" s="50" t="str">
        <f aca="false">IF($A126="","",INDEX(TblApplications[Environnement],$A126))</f>
        <v/>
      </c>
      <c r="E126" s="50" t="str">
        <f aca="false">IF($A126="","",INDEX(TblApplications[Couloir],$A126))</f>
        <v/>
      </c>
      <c r="F126" s="50" t="str">
        <f aca="false">IF($A126="","",INDEX(TblApplications[Action],$A126))</f>
        <v/>
      </c>
      <c r="G126" s="51" t="str">
        <f aca="false">IF(OR($A126="",G$8=""),"",IF($F126="Migré","ROKS",IF($F126="À décommissionner",IF(G$8&lt;$AS126,"IKS","Décom."),IF(OR($AQ126="",$AS126=""),"",IF(G$8&lt;$AQ126,"IKS",IF(G$8&lt;$AS126,IF(G$8=$AR126,"Bascule","Double run"),"ROKS"))))))</f>
        <v/>
      </c>
      <c r="H126" s="51" t="str">
        <f aca="false">IF(OR($A126="",H$8=""),"",IF($F126="Migré","ROKS",IF($F126="À décommissionner",IF(H$8&lt;$AS126,"IKS","Décom."),IF(OR($AQ126="",$AS126=""),"",IF(H$8&lt;$AQ126,"IKS",IF(H$8&lt;$AS126,IF(H$8=$AR126,"Bascule","Double run"),"ROKS"))))))</f>
        <v/>
      </c>
      <c r="I126" s="51" t="str">
        <f aca="false">IF(OR($A126="",I$8=""),"",IF($F126="Migré","ROKS",IF($F126="À décommissionner",IF(I$8&lt;$AS126,"IKS","Décom."),IF(OR($AQ126="",$AS126=""),"",IF(I$8&lt;$AQ126,"IKS",IF(I$8&lt;$AS126,IF(I$8=$AR126,"Bascule","Double run"),"ROKS"))))))</f>
        <v/>
      </c>
      <c r="J126" s="51" t="str">
        <f aca="false">IF(OR($A126="",J$8=""),"",IF($F126="Migré","ROKS",IF($F126="À décommissionner",IF(J$8&lt;$AS126,"IKS","Décom."),IF(OR($AQ126="",$AS126=""),"",IF(J$8&lt;$AQ126,"IKS",IF(J$8&lt;$AS126,IF(J$8=$AR126,"Bascule","Double run"),"ROKS"))))))</f>
        <v/>
      </c>
      <c r="K126" s="51" t="str">
        <f aca="false">IF(OR($A126="",K$8=""),"",IF($F126="Migré","ROKS",IF($F126="À décommissionner",IF(K$8&lt;$AS126,"IKS","Décom."),IF(OR($AQ126="",$AS126=""),"",IF(K$8&lt;$AQ126,"IKS",IF(K$8&lt;$AS126,IF(K$8=$AR126,"Bascule","Double run"),"ROKS"))))))</f>
        <v/>
      </c>
      <c r="L126" s="51" t="str">
        <f aca="false">IF(OR($A126="",L$8=""),"",IF($F126="Migré","ROKS",IF($F126="À décommissionner",IF(L$8&lt;$AS126,"IKS","Décom."),IF(OR($AQ126="",$AS126=""),"",IF(L$8&lt;$AQ126,"IKS",IF(L$8&lt;$AS126,IF(L$8=$AR126,"Bascule","Double run"),"ROKS"))))))</f>
        <v/>
      </c>
      <c r="M126" s="51" t="str">
        <f aca="false">IF(OR($A126="",M$8=""),"",IF($F126="Migré","ROKS",IF($F126="À décommissionner",IF(M$8&lt;$AS126,"IKS","Décom."),IF(OR($AQ126="",$AS126=""),"",IF(M$8&lt;$AQ126,"IKS",IF(M$8&lt;$AS126,IF(M$8=$AR126,"Bascule","Double run"),"ROKS"))))))</f>
        <v/>
      </c>
      <c r="N126" s="51" t="str">
        <f aca="false">IF(OR($A126="",N$8=""),"",IF($F126="Migré","ROKS",IF($F126="À décommissionner",IF(N$8&lt;$AS126,"IKS","Décom."),IF(OR($AQ126="",$AS126=""),"",IF(N$8&lt;$AQ126,"IKS",IF(N$8&lt;$AS126,IF(N$8=$AR126,"Bascule","Double run"),"ROKS"))))))</f>
        <v/>
      </c>
      <c r="O126" s="51" t="str">
        <f aca="false">IF(OR($A126="",O$8=""),"",IF($F126="Migré","ROKS",IF($F126="À décommissionner",IF(O$8&lt;$AS126,"IKS","Décom."),IF(OR($AQ126="",$AS126=""),"",IF(O$8&lt;$AQ126,"IKS",IF(O$8&lt;$AS126,IF(O$8=$AR126,"Bascule","Double run"),"ROKS"))))))</f>
        <v/>
      </c>
      <c r="P126" s="51" t="str">
        <f aca="false">IF(OR($A126="",P$8=""),"",IF($F126="Migré","ROKS",IF($F126="À décommissionner",IF(P$8&lt;$AS126,"IKS","Décom."),IF(OR($AQ126="",$AS126=""),"",IF(P$8&lt;$AQ126,"IKS",IF(P$8&lt;$AS126,IF(P$8=$AR126,"Bascule","Double run"),"ROKS"))))))</f>
        <v/>
      </c>
      <c r="Q126" s="51" t="str">
        <f aca="false">IF(OR($A126="",Q$8=""),"",IF($F126="Migré","ROKS",IF($F126="À décommissionner",IF(Q$8&lt;$AS126,"IKS","Décom."),IF(OR($AQ126="",$AS126=""),"",IF(Q$8&lt;$AQ126,"IKS",IF(Q$8&lt;$AS126,IF(Q$8=$AR126,"Bascule","Double run"),"ROKS"))))))</f>
        <v/>
      </c>
      <c r="R126" s="51" t="str">
        <f aca="false">IF(OR($A126="",R$8=""),"",IF($F126="Migré","ROKS",IF($F126="À décommissionner",IF(R$8&lt;$AS126,"IKS","Décom."),IF(OR($AQ126="",$AS126=""),"",IF(R$8&lt;$AQ126,"IKS",IF(R$8&lt;$AS126,IF(R$8=$AR126,"Bascule","Double run"),"ROKS"))))))</f>
        <v/>
      </c>
      <c r="S126" s="51" t="str">
        <f aca="false">IF(OR($A126="",S$8=""),"",IF($F126="Migré","ROKS",IF($F126="À décommissionner",IF(S$8&lt;$AS126,"IKS","Décom."),IF(OR($AQ126="",$AS126=""),"",IF(S$8&lt;$AQ126,"IKS",IF(S$8&lt;$AS126,IF(S$8=$AR126,"Bascule","Double run"),"ROKS"))))))</f>
        <v/>
      </c>
      <c r="T126" s="51" t="str">
        <f aca="false">IF(OR($A126="",T$8=""),"",IF($F126="Migré","ROKS",IF($F126="À décommissionner",IF(T$8&lt;$AS126,"IKS","Décom."),IF(OR($AQ126="",$AS126=""),"",IF(T$8&lt;$AQ126,"IKS",IF(T$8&lt;$AS126,IF(T$8=$AR126,"Bascule","Double run"),"ROKS"))))))</f>
        <v/>
      </c>
      <c r="U126" s="51" t="str">
        <f aca="false">IF(OR($A126="",U$8=""),"",IF($F126="Migré","ROKS",IF($F126="À décommissionner",IF(U$8&lt;$AS126,"IKS","Décom."),IF(OR($AQ126="",$AS126=""),"",IF(U$8&lt;$AQ126,"IKS",IF(U$8&lt;$AS126,IF(U$8=$AR126,"Bascule","Double run"),"ROKS"))))))</f>
        <v/>
      </c>
      <c r="V126" s="51" t="str">
        <f aca="false">IF(OR($A126="",V$8=""),"",IF($F126="Migré","ROKS",IF($F126="À décommissionner",IF(V$8&lt;$AS126,"IKS","Décom."),IF(OR($AQ126="",$AS126=""),"",IF(V$8&lt;$AQ126,"IKS",IF(V$8&lt;$AS126,IF(V$8=$AR126,"Bascule","Double run"),"ROKS"))))))</f>
        <v/>
      </c>
      <c r="W126" s="51" t="str">
        <f aca="false">IF(OR($A126="",W$8=""),"",IF($F126="Migré","ROKS",IF($F126="À décommissionner",IF(W$8&lt;$AS126,"IKS","Décom."),IF(OR($AQ126="",$AS126=""),"",IF(W$8&lt;$AQ126,"IKS",IF(W$8&lt;$AS126,IF(W$8=$AR126,"Bascule","Double run"),"ROKS"))))))</f>
        <v/>
      </c>
      <c r="X126" s="51" t="str">
        <f aca="false">IF(OR($A126="",X$8=""),"",IF($F126="Migré","ROKS",IF($F126="À décommissionner",IF(X$8&lt;$AS126,"IKS","Décom."),IF(OR($AQ126="",$AS126=""),"",IF(X$8&lt;$AQ126,"IKS",IF(X$8&lt;$AS126,IF(X$8=$AR126,"Bascule","Double run"),"ROKS"))))))</f>
        <v/>
      </c>
      <c r="Y126" s="51" t="str">
        <f aca="false">IF(OR($A126="",Y$8=""),"",IF($F126="Migré","ROKS",IF($F126="À décommissionner",IF(Y$8&lt;$AS126,"IKS","Décom."),IF(OR($AQ126="",$AS126=""),"",IF(Y$8&lt;$AQ126,"IKS",IF(Y$8&lt;$AS126,IF(Y$8=$AR126,"Bascule","Double run"),"ROKS"))))))</f>
        <v/>
      </c>
      <c r="Z126" s="51" t="str">
        <f aca="false">IF(OR($A126="",Z$8=""),"",IF($F126="Migré","ROKS",IF($F126="À décommissionner",IF(Z$8&lt;$AS126,"IKS","Décom."),IF(OR($AQ126="",$AS126=""),"",IF(Z$8&lt;$AQ126,"IKS",IF(Z$8&lt;$AS126,IF(Z$8=$AR126,"Bascule","Double run"),"ROKS"))))))</f>
        <v/>
      </c>
      <c r="AA126" s="51" t="str">
        <f aca="false">IF(OR($A126="",AA$8=""),"",IF($F126="Migré","ROKS",IF($F126="À décommissionner",IF(AA$8&lt;$AS126,"IKS","Décom."),IF(OR($AQ126="",$AS126=""),"",IF(AA$8&lt;$AQ126,"IKS",IF(AA$8&lt;$AS126,IF(AA$8=$AR126,"Bascule","Double run"),"ROKS"))))))</f>
        <v/>
      </c>
      <c r="AB126" s="51" t="str">
        <f aca="false">IF(OR($A126="",AB$8=""),"",IF($F126="Migré","ROKS",IF($F126="À décommissionner",IF(AB$8&lt;$AS126,"IKS","Décom."),IF(OR($AQ126="",$AS126=""),"",IF(AB$8&lt;$AQ126,"IKS",IF(AB$8&lt;$AS126,IF(AB$8=$AR126,"Bascule","Double run"),"ROKS"))))))</f>
        <v/>
      </c>
      <c r="AC126" s="51" t="str">
        <f aca="false">IF(OR($A126="",AC$8=""),"",IF($F126="Migré","ROKS",IF($F126="À décommissionner",IF(AC$8&lt;$AS126,"IKS","Décom."),IF(OR($AQ126="",$AS126=""),"",IF(AC$8&lt;$AQ126,"IKS",IF(AC$8&lt;$AS126,IF(AC$8=$AR126,"Bascule","Double run"),"ROKS"))))))</f>
        <v/>
      </c>
      <c r="AD126" s="51" t="str">
        <f aca="false">IF(OR($A126="",AD$8=""),"",IF($F126="Migré","ROKS",IF($F126="À décommissionner",IF(AD$8&lt;$AS126,"IKS","Décom."),IF(OR($AQ126="",$AS126=""),"",IF(AD$8&lt;$AQ126,"IKS",IF(AD$8&lt;$AS126,IF(AD$8=$AR126,"Bascule","Double run"),"ROKS"))))))</f>
        <v/>
      </c>
      <c r="AE126" s="51" t="str">
        <f aca="false">IF(OR($A126="",AE$8=""),"",IF($F126="Migré","ROKS",IF($F126="À décommissionner",IF(AE$8&lt;$AS126,"IKS","Décom."),IF(OR($AQ126="",$AS126=""),"",IF(AE$8&lt;$AQ126,"IKS",IF(AE$8&lt;$AS126,IF(AE$8=$AR126,"Bascule","Double run"),"ROKS"))))))</f>
        <v/>
      </c>
      <c r="AF126" s="51" t="str">
        <f aca="false">IF(OR($A126="",AF$8=""),"",IF($F126="Migré","ROKS",IF($F126="À décommissionner",IF(AF$8&lt;$AS126,"IKS","Décom."),IF(OR($AQ126="",$AS126=""),"",IF(AF$8&lt;$AQ126,"IKS",IF(AF$8&lt;$AS126,IF(AF$8=$AR126,"Bascule","Double run"),"ROKS"))))))</f>
        <v/>
      </c>
      <c r="AG126" s="51" t="str">
        <f aca="false">IF(OR($A126="",AG$8=""),"",IF($F126="Migré","ROKS",IF($F126="À décommissionner",IF(AG$8&lt;$AS126,"IKS","Décom."),IF(OR($AQ126="",$AS126=""),"",IF(AG$8&lt;$AQ126,"IKS",IF(AG$8&lt;$AS126,IF(AG$8=$AR126,"Bascule","Double run"),"ROKS"))))))</f>
        <v/>
      </c>
      <c r="AH126" s="51" t="str">
        <f aca="false">IF(OR($A126="",AH$8=""),"",IF($F126="Migré","ROKS",IF($F126="À décommissionner",IF(AH$8&lt;$AS126,"IKS","Décom."),IF(OR($AQ126="",$AS126=""),"",IF(AH$8&lt;$AQ126,"IKS",IF(AH$8&lt;$AS126,IF(AH$8=$AR126,"Bascule","Double run"),"ROKS"))))))</f>
        <v/>
      </c>
      <c r="AI126" s="51" t="str">
        <f aca="false">IF(OR($A126="",AI$8=""),"",IF($F126="Migré","ROKS",IF($F126="À décommissionner",IF(AI$8&lt;$AS126,"IKS","Décom."),IF(OR($AQ126="",$AS126=""),"",IF(AI$8&lt;$AQ126,"IKS",IF(AI$8&lt;$AS126,IF(AI$8=$AR126,"Bascule","Double run"),"ROKS"))))))</f>
        <v/>
      </c>
      <c r="AJ126" s="51" t="str">
        <f aca="false">IF(OR($A126="",AJ$8=""),"",IF($F126="Migré","ROKS",IF($F126="À décommissionner",IF(AJ$8&lt;$AS126,"IKS","Décom."),IF(OR($AQ126="",$AS126=""),"",IF(AJ$8&lt;$AQ126,"IKS",IF(AJ$8&lt;$AS126,IF(AJ$8=$AR126,"Bascule","Double run"),"ROKS"))))))</f>
        <v/>
      </c>
      <c r="AK126" s="51" t="str">
        <f aca="false">IF(OR($A126="",AK$8=""),"",IF($F126="Migré","ROKS",IF($F126="À décommissionner",IF(AK$8&lt;$AS126,"IKS","Décom."),IF(OR($AQ126="",$AS126=""),"",IF(AK$8&lt;$AQ126,"IKS",IF(AK$8&lt;$AS126,IF(AK$8=$AR126,"Bascule","Double run"),"ROKS"))))))</f>
        <v/>
      </c>
      <c r="AL126" s="51" t="str">
        <f aca="false">IF(OR($A126="",AL$8=""),"",IF($F126="Migré","ROKS",IF($F126="À décommissionner",IF(AL$8&lt;$AS126,"IKS","Décom."),IF(OR($AQ126="",$AS126=""),"",IF(AL$8&lt;$AQ126,"IKS",IF(AL$8&lt;$AS126,IF(AL$8=$AR126,"Bascule","Double run"),"ROKS"))))))</f>
        <v/>
      </c>
      <c r="AM126" s="51" t="str">
        <f aca="false">IF(OR($A126="",AM$8=""),"",IF($F126="Migré","ROKS",IF($F126="À décommissionner",IF(AM$8&lt;$AS126,"IKS","Décom."),IF(OR($AQ126="",$AS126=""),"",IF(AM$8&lt;$AQ126,"IKS",IF(AM$8&lt;$AS126,IF(AM$8=$AR126,"Bascule","Double run"),"ROKS"))))))</f>
        <v/>
      </c>
      <c r="AN126" s="51" t="str">
        <f aca="false">IF(OR($A126="",AN$8=""),"",IF($F126="Migré","ROKS",IF($F126="À décommissionner",IF(AN$8&lt;$AS126,"IKS","Décom."),IF(OR($AQ126="",$AS126=""),"",IF(AN$8&lt;$AQ126,"IKS",IF(AN$8&lt;$AS126,IF(AN$8=$AR126,"Bascule","Double run"),"ROKS"))))))</f>
        <v/>
      </c>
      <c r="AO126" s="51" t="str">
        <f aca="false">IF(OR($A126="",AO$8=""),"",IF($F126="Migré","ROKS",IF($F126="À décommissionner",IF(AO$8&lt;$AS126,"IKS","Décom."),IF(OR($AQ126="",$AS126=""),"",IF(AO$8&lt;$AQ126,"IKS",IF(AO$8&lt;$AS126,IF(AO$8=$AR126,"Bascule","Double run"),"ROKS"))))))</f>
        <v/>
      </c>
      <c r="AP126" s="51" t="str">
        <f aca="false">IF(OR($A126="",AP$8=""),"",IF($F126="Migré","ROKS",IF($F126="À décommissionner",IF(AP$8&lt;$AS126,"IKS","Décom."),IF(OR($AQ126="",$AS126=""),"",IF(AP$8&lt;$AQ126,"IKS",IF(AP$8&lt;$AS126,IF(AP$8=$AR126,"Bascule","Double run"),"ROKS"))))))</f>
        <v/>
      </c>
      <c r="AQ126" s="0" t="str">
        <f aca="false">IF($A126="","",INDEX(TblApplications[Mois prov (calc)],$A126))</f>
        <v/>
      </c>
      <c r="AR126" s="0" t="str">
        <f aca="false">IF($A126="","",IFERROR(DATE(YEAR(INDEX(TblApplications[Mois bascule],$A126)),MONTH(INDEX(TblApplications[Mois bascule],$A126)),1),""))</f>
        <v/>
      </c>
      <c r="AS126" s="0" t="str">
        <f aca="false">IF($A126="","",INDEX(TblApplications[Mois lib (calc)],$A126))</f>
        <v/>
      </c>
    </row>
    <row r="127" customFormat="false" ht="15" hidden="false" customHeight="false" outlineLevel="0" collapsed="false">
      <c r="A127" s="49" t="str">
        <f aca="false">IFERROR(MATCH(119,TblApplications[Rang frise],0),"")</f>
        <v/>
      </c>
      <c r="B127" s="50" t="str">
        <f aca="false">IF($A127="","",INDEX(TblApplications[ID],$A127))</f>
        <v/>
      </c>
      <c r="C127" s="50" t="str">
        <f aca="false">IF($A127="","",INDEX(TblApplications[Application],$A127))</f>
        <v/>
      </c>
      <c r="D127" s="50" t="str">
        <f aca="false">IF($A127="","",INDEX(TblApplications[Environnement],$A127))</f>
        <v/>
      </c>
      <c r="E127" s="50" t="str">
        <f aca="false">IF($A127="","",INDEX(TblApplications[Couloir],$A127))</f>
        <v/>
      </c>
      <c r="F127" s="50" t="str">
        <f aca="false">IF($A127="","",INDEX(TblApplications[Action],$A127))</f>
        <v/>
      </c>
      <c r="G127" s="51" t="str">
        <f aca="false">IF(OR($A127="",G$8=""),"",IF($F127="Migré","ROKS",IF($F127="À décommissionner",IF(G$8&lt;$AS127,"IKS","Décom."),IF(OR($AQ127="",$AS127=""),"",IF(G$8&lt;$AQ127,"IKS",IF(G$8&lt;$AS127,IF(G$8=$AR127,"Bascule","Double run"),"ROKS"))))))</f>
        <v/>
      </c>
      <c r="H127" s="51" t="str">
        <f aca="false">IF(OR($A127="",H$8=""),"",IF($F127="Migré","ROKS",IF($F127="À décommissionner",IF(H$8&lt;$AS127,"IKS","Décom."),IF(OR($AQ127="",$AS127=""),"",IF(H$8&lt;$AQ127,"IKS",IF(H$8&lt;$AS127,IF(H$8=$AR127,"Bascule","Double run"),"ROKS"))))))</f>
        <v/>
      </c>
      <c r="I127" s="51" t="str">
        <f aca="false">IF(OR($A127="",I$8=""),"",IF($F127="Migré","ROKS",IF($F127="À décommissionner",IF(I$8&lt;$AS127,"IKS","Décom."),IF(OR($AQ127="",$AS127=""),"",IF(I$8&lt;$AQ127,"IKS",IF(I$8&lt;$AS127,IF(I$8=$AR127,"Bascule","Double run"),"ROKS"))))))</f>
        <v/>
      </c>
      <c r="J127" s="51" t="str">
        <f aca="false">IF(OR($A127="",J$8=""),"",IF($F127="Migré","ROKS",IF($F127="À décommissionner",IF(J$8&lt;$AS127,"IKS","Décom."),IF(OR($AQ127="",$AS127=""),"",IF(J$8&lt;$AQ127,"IKS",IF(J$8&lt;$AS127,IF(J$8=$AR127,"Bascule","Double run"),"ROKS"))))))</f>
        <v/>
      </c>
      <c r="K127" s="51" t="str">
        <f aca="false">IF(OR($A127="",K$8=""),"",IF($F127="Migré","ROKS",IF($F127="À décommissionner",IF(K$8&lt;$AS127,"IKS","Décom."),IF(OR($AQ127="",$AS127=""),"",IF(K$8&lt;$AQ127,"IKS",IF(K$8&lt;$AS127,IF(K$8=$AR127,"Bascule","Double run"),"ROKS"))))))</f>
        <v/>
      </c>
      <c r="L127" s="51" t="str">
        <f aca="false">IF(OR($A127="",L$8=""),"",IF($F127="Migré","ROKS",IF($F127="À décommissionner",IF(L$8&lt;$AS127,"IKS","Décom."),IF(OR($AQ127="",$AS127=""),"",IF(L$8&lt;$AQ127,"IKS",IF(L$8&lt;$AS127,IF(L$8=$AR127,"Bascule","Double run"),"ROKS"))))))</f>
        <v/>
      </c>
      <c r="M127" s="51" t="str">
        <f aca="false">IF(OR($A127="",M$8=""),"",IF($F127="Migré","ROKS",IF($F127="À décommissionner",IF(M$8&lt;$AS127,"IKS","Décom."),IF(OR($AQ127="",$AS127=""),"",IF(M$8&lt;$AQ127,"IKS",IF(M$8&lt;$AS127,IF(M$8=$AR127,"Bascule","Double run"),"ROKS"))))))</f>
        <v/>
      </c>
      <c r="N127" s="51" t="str">
        <f aca="false">IF(OR($A127="",N$8=""),"",IF($F127="Migré","ROKS",IF($F127="À décommissionner",IF(N$8&lt;$AS127,"IKS","Décom."),IF(OR($AQ127="",$AS127=""),"",IF(N$8&lt;$AQ127,"IKS",IF(N$8&lt;$AS127,IF(N$8=$AR127,"Bascule","Double run"),"ROKS"))))))</f>
        <v/>
      </c>
      <c r="O127" s="51" t="str">
        <f aca="false">IF(OR($A127="",O$8=""),"",IF($F127="Migré","ROKS",IF($F127="À décommissionner",IF(O$8&lt;$AS127,"IKS","Décom."),IF(OR($AQ127="",$AS127=""),"",IF(O$8&lt;$AQ127,"IKS",IF(O$8&lt;$AS127,IF(O$8=$AR127,"Bascule","Double run"),"ROKS"))))))</f>
        <v/>
      </c>
      <c r="P127" s="51" t="str">
        <f aca="false">IF(OR($A127="",P$8=""),"",IF($F127="Migré","ROKS",IF($F127="À décommissionner",IF(P$8&lt;$AS127,"IKS","Décom."),IF(OR($AQ127="",$AS127=""),"",IF(P$8&lt;$AQ127,"IKS",IF(P$8&lt;$AS127,IF(P$8=$AR127,"Bascule","Double run"),"ROKS"))))))</f>
        <v/>
      </c>
      <c r="Q127" s="51" t="str">
        <f aca="false">IF(OR($A127="",Q$8=""),"",IF($F127="Migré","ROKS",IF($F127="À décommissionner",IF(Q$8&lt;$AS127,"IKS","Décom."),IF(OR($AQ127="",$AS127=""),"",IF(Q$8&lt;$AQ127,"IKS",IF(Q$8&lt;$AS127,IF(Q$8=$AR127,"Bascule","Double run"),"ROKS"))))))</f>
        <v/>
      </c>
      <c r="R127" s="51" t="str">
        <f aca="false">IF(OR($A127="",R$8=""),"",IF($F127="Migré","ROKS",IF($F127="À décommissionner",IF(R$8&lt;$AS127,"IKS","Décom."),IF(OR($AQ127="",$AS127=""),"",IF(R$8&lt;$AQ127,"IKS",IF(R$8&lt;$AS127,IF(R$8=$AR127,"Bascule","Double run"),"ROKS"))))))</f>
        <v/>
      </c>
      <c r="S127" s="51" t="str">
        <f aca="false">IF(OR($A127="",S$8=""),"",IF($F127="Migré","ROKS",IF($F127="À décommissionner",IF(S$8&lt;$AS127,"IKS","Décom."),IF(OR($AQ127="",$AS127=""),"",IF(S$8&lt;$AQ127,"IKS",IF(S$8&lt;$AS127,IF(S$8=$AR127,"Bascule","Double run"),"ROKS"))))))</f>
        <v/>
      </c>
      <c r="T127" s="51" t="str">
        <f aca="false">IF(OR($A127="",T$8=""),"",IF($F127="Migré","ROKS",IF($F127="À décommissionner",IF(T$8&lt;$AS127,"IKS","Décom."),IF(OR($AQ127="",$AS127=""),"",IF(T$8&lt;$AQ127,"IKS",IF(T$8&lt;$AS127,IF(T$8=$AR127,"Bascule","Double run"),"ROKS"))))))</f>
        <v/>
      </c>
      <c r="U127" s="51" t="str">
        <f aca="false">IF(OR($A127="",U$8=""),"",IF($F127="Migré","ROKS",IF($F127="À décommissionner",IF(U$8&lt;$AS127,"IKS","Décom."),IF(OR($AQ127="",$AS127=""),"",IF(U$8&lt;$AQ127,"IKS",IF(U$8&lt;$AS127,IF(U$8=$AR127,"Bascule","Double run"),"ROKS"))))))</f>
        <v/>
      </c>
      <c r="V127" s="51" t="str">
        <f aca="false">IF(OR($A127="",V$8=""),"",IF($F127="Migré","ROKS",IF($F127="À décommissionner",IF(V$8&lt;$AS127,"IKS","Décom."),IF(OR($AQ127="",$AS127=""),"",IF(V$8&lt;$AQ127,"IKS",IF(V$8&lt;$AS127,IF(V$8=$AR127,"Bascule","Double run"),"ROKS"))))))</f>
        <v/>
      </c>
      <c r="W127" s="51" t="str">
        <f aca="false">IF(OR($A127="",W$8=""),"",IF($F127="Migré","ROKS",IF($F127="À décommissionner",IF(W$8&lt;$AS127,"IKS","Décom."),IF(OR($AQ127="",$AS127=""),"",IF(W$8&lt;$AQ127,"IKS",IF(W$8&lt;$AS127,IF(W$8=$AR127,"Bascule","Double run"),"ROKS"))))))</f>
        <v/>
      </c>
      <c r="X127" s="51" t="str">
        <f aca="false">IF(OR($A127="",X$8=""),"",IF($F127="Migré","ROKS",IF($F127="À décommissionner",IF(X$8&lt;$AS127,"IKS","Décom."),IF(OR($AQ127="",$AS127=""),"",IF(X$8&lt;$AQ127,"IKS",IF(X$8&lt;$AS127,IF(X$8=$AR127,"Bascule","Double run"),"ROKS"))))))</f>
        <v/>
      </c>
      <c r="Y127" s="51" t="str">
        <f aca="false">IF(OR($A127="",Y$8=""),"",IF($F127="Migré","ROKS",IF($F127="À décommissionner",IF(Y$8&lt;$AS127,"IKS","Décom."),IF(OR($AQ127="",$AS127=""),"",IF(Y$8&lt;$AQ127,"IKS",IF(Y$8&lt;$AS127,IF(Y$8=$AR127,"Bascule","Double run"),"ROKS"))))))</f>
        <v/>
      </c>
      <c r="Z127" s="51" t="str">
        <f aca="false">IF(OR($A127="",Z$8=""),"",IF($F127="Migré","ROKS",IF($F127="À décommissionner",IF(Z$8&lt;$AS127,"IKS","Décom."),IF(OR($AQ127="",$AS127=""),"",IF(Z$8&lt;$AQ127,"IKS",IF(Z$8&lt;$AS127,IF(Z$8=$AR127,"Bascule","Double run"),"ROKS"))))))</f>
        <v/>
      </c>
      <c r="AA127" s="51" t="str">
        <f aca="false">IF(OR($A127="",AA$8=""),"",IF($F127="Migré","ROKS",IF($F127="À décommissionner",IF(AA$8&lt;$AS127,"IKS","Décom."),IF(OR($AQ127="",$AS127=""),"",IF(AA$8&lt;$AQ127,"IKS",IF(AA$8&lt;$AS127,IF(AA$8=$AR127,"Bascule","Double run"),"ROKS"))))))</f>
        <v/>
      </c>
      <c r="AB127" s="51" t="str">
        <f aca="false">IF(OR($A127="",AB$8=""),"",IF($F127="Migré","ROKS",IF($F127="À décommissionner",IF(AB$8&lt;$AS127,"IKS","Décom."),IF(OR($AQ127="",$AS127=""),"",IF(AB$8&lt;$AQ127,"IKS",IF(AB$8&lt;$AS127,IF(AB$8=$AR127,"Bascule","Double run"),"ROKS"))))))</f>
        <v/>
      </c>
      <c r="AC127" s="51" t="str">
        <f aca="false">IF(OR($A127="",AC$8=""),"",IF($F127="Migré","ROKS",IF($F127="À décommissionner",IF(AC$8&lt;$AS127,"IKS","Décom."),IF(OR($AQ127="",$AS127=""),"",IF(AC$8&lt;$AQ127,"IKS",IF(AC$8&lt;$AS127,IF(AC$8=$AR127,"Bascule","Double run"),"ROKS"))))))</f>
        <v/>
      </c>
      <c r="AD127" s="51" t="str">
        <f aca="false">IF(OR($A127="",AD$8=""),"",IF($F127="Migré","ROKS",IF($F127="À décommissionner",IF(AD$8&lt;$AS127,"IKS","Décom."),IF(OR($AQ127="",$AS127=""),"",IF(AD$8&lt;$AQ127,"IKS",IF(AD$8&lt;$AS127,IF(AD$8=$AR127,"Bascule","Double run"),"ROKS"))))))</f>
        <v/>
      </c>
      <c r="AE127" s="51" t="str">
        <f aca="false">IF(OR($A127="",AE$8=""),"",IF($F127="Migré","ROKS",IF($F127="À décommissionner",IF(AE$8&lt;$AS127,"IKS","Décom."),IF(OR($AQ127="",$AS127=""),"",IF(AE$8&lt;$AQ127,"IKS",IF(AE$8&lt;$AS127,IF(AE$8=$AR127,"Bascule","Double run"),"ROKS"))))))</f>
        <v/>
      </c>
      <c r="AF127" s="51" t="str">
        <f aca="false">IF(OR($A127="",AF$8=""),"",IF($F127="Migré","ROKS",IF($F127="À décommissionner",IF(AF$8&lt;$AS127,"IKS","Décom."),IF(OR($AQ127="",$AS127=""),"",IF(AF$8&lt;$AQ127,"IKS",IF(AF$8&lt;$AS127,IF(AF$8=$AR127,"Bascule","Double run"),"ROKS"))))))</f>
        <v/>
      </c>
      <c r="AG127" s="51" t="str">
        <f aca="false">IF(OR($A127="",AG$8=""),"",IF($F127="Migré","ROKS",IF($F127="À décommissionner",IF(AG$8&lt;$AS127,"IKS","Décom."),IF(OR($AQ127="",$AS127=""),"",IF(AG$8&lt;$AQ127,"IKS",IF(AG$8&lt;$AS127,IF(AG$8=$AR127,"Bascule","Double run"),"ROKS"))))))</f>
        <v/>
      </c>
      <c r="AH127" s="51" t="str">
        <f aca="false">IF(OR($A127="",AH$8=""),"",IF($F127="Migré","ROKS",IF($F127="À décommissionner",IF(AH$8&lt;$AS127,"IKS","Décom."),IF(OR($AQ127="",$AS127=""),"",IF(AH$8&lt;$AQ127,"IKS",IF(AH$8&lt;$AS127,IF(AH$8=$AR127,"Bascule","Double run"),"ROKS"))))))</f>
        <v/>
      </c>
      <c r="AI127" s="51" t="str">
        <f aca="false">IF(OR($A127="",AI$8=""),"",IF($F127="Migré","ROKS",IF($F127="À décommissionner",IF(AI$8&lt;$AS127,"IKS","Décom."),IF(OR($AQ127="",$AS127=""),"",IF(AI$8&lt;$AQ127,"IKS",IF(AI$8&lt;$AS127,IF(AI$8=$AR127,"Bascule","Double run"),"ROKS"))))))</f>
        <v/>
      </c>
      <c r="AJ127" s="51" t="str">
        <f aca="false">IF(OR($A127="",AJ$8=""),"",IF($F127="Migré","ROKS",IF($F127="À décommissionner",IF(AJ$8&lt;$AS127,"IKS","Décom."),IF(OR($AQ127="",$AS127=""),"",IF(AJ$8&lt;$AQ127,"IKS",IF(AJ$8&lt;$AS127,IF(AJ$8=$AR127,"Bascule","Double run"),"ROKS"))))))</f>
        <v/>
      </c>
      <c r="AK127" s="51" t="str">
        <f aca="false">IF(OR($A127="",AK$8=""),"",IF($F127="Migré","ROKS",IF($F127="À décommissionner",IF(AK$8&lt;$AS127,"IKS","Décom."),IF(OR($AQ127="",$AS127=""),"",IF(AK$8&lt;$AQ127,"IKS",IF(AK$8&lt;$AS127,IF(AK$8=$AR127,"Bascule","Double run"),"ROKS"))))))</f>
        <v/>
      </c>
      <c r="AL127" s="51" t="str">
        <f aca="false">IF(OR($A127="",AL$8=""),"",IF($F127="Migré","ROKS",IF($F127="À décommissionner",IF(AL$8&lt;$AS127,"IKS","Décom."),IF(OR($AQ127="",$AS127=""),"",IF(AL$8&lt;$AQ127,"IKS",IF(AL$8&lt;$AS127,IF(AL$8=$AR127,"Bascule","Double run"),"ROKS"))))))</f>
        <v/>
      </c>
      <c r="AM127" s="51" t="str">
        <f aca="false">IF(OR($A127="",AM$8=""),"",IF($F127="Migré","ROKS",IF($F127="À décommissionner",IF(AM$8&lt;$AS127,"IKS","Décom."),IF(OR($AQ127="",$AS127=""),"",IF(AM$8&lt;$AQ127,"IKS",IF(AM$8&lt;$AS127,IF(AM$8=$AR127,"Bascule","Double run"),"ROKS"))))))</f>
        <v/>
      </c>
      <c r="AN127" s="51" t="str">
        <f aca="false">IF(OR($A127="",AN$8=""),"",IF($F127="Migré","ROKS",IF($F127="À décommissionner",IF(AN$8&lt;$AS127,"IKS","Décom."),IF(OR($AQ127="",$AS127=""),"",IF(AN$8&lt;$AQ127,"IKS",IF(AN$8&lt;$AS127,IF(AN$8=$AR127,"Bascule","Double run"),"ROKS"))))))</f>
        <v/>
      </c>
      <c r="AO127" s="51" t="str">
        <f aca="false">IF(OR($A127="",AO$8=""),"",IF($F127="Migré","ROKS",IF($F127="À décommissionner",IF(AO$8&lt;$AS127,"IKS","Décom."),IF(OR($AQ127="",$AS127=""),"",IF(AO$8&lt;$AQ127,"IKS",IF(AO$8&lt;$AS127,IF(AO$8=$AR127,"Bascule","Double run"),"ROKS"))))))</f>
        <v/>
      </c>
      <c r="AP127" s="51" t="str">
        <f aca="false">IF(OR($A127="",AP$8=""),"",IF($F127="Migré","ROKS",IF($F127="À décommissionner",IF(AP$8&lt;$AS127,"IKS","Décom."),IF(OR($AQ127="",$AS127=""),"",IF(AP$8&lt;$AQ127,"IKS",IF(AP$8&lt;$AS127,IF(AP$8=$AR127,"Bascule","Double run"),"ROKS"))))))</f>
        <v/>
      </c>
      <c r="AQ127" s="0" t="str">
        <f aca="false">IF($A127="","",INDEX(TblApplications[Mois prov (calc)],$A127))</f>
        <v/>
      </c>
      <c r="AR127" s="0" t="str">
        <f aca="false">IF($A127="","",IFERROR(DATE(YEAR(INDEX(TblApplications[Mois bascule],$A127)),MONTH(INDEX(TblApplications[Mois bascule],$A127)),1),""))</f>
        <v/>
      </c>
      <c r="AS127" s="0" t="str">
        <f aca="false">IF($A127="","",INDEX(TblApplications[Mois lib (calc)],$A127))</f>
        <v/>
      </c>
    </row>
    <row r="128" customFormat="false" ht="15" hidden="false" customHeight="false" outlineLevel="0" collapsed="false">
      <c r="A128" s="49" t="str">
        <f aca="false">IFERROR(MATCH(120,TblApplications[Rang frise],0),"")</f>
        <v/>
      </c>
      <c r="B128" s="50" t="str">
        <f aca="false">IF($A128="","",INDEX(TblApplications[ID],$A128))</f>
        <v/>
      </c>
      <c r="C128" s="50" t="str">
        <f aca="false">IF($A128="","",INDEX(TblApplications[Application],$A128))</f>
        <v/>
      </c>
      <c r="D128" s="50" t="str">
        <f aca="false">IF($A128="","",INDEX(TblApplications[Environnement],$A128))</f>
        <v/>
      </c>
      <c r="E128" s="50" t="str">
        <f aca="false">IF($A128="","",INDEX(TblApplications[Couloir],$A128))</f>
        <v/>
      </c>
      <c r="F128" s="50" t="str">
        <f aca="false">IF($A128="","",INDEX(TblApplications[Action],$A128))</f>
        <v/>
      </c>
      <c r="G128" s="51" t="str">
        <f aca="false">IF(OR($A128="",G$8=""),"",IF($F128="Migré","ROKS",IF($F128="À décommissionner",IF(G$8&lt;$AS128,"IKS","Décom."),IF(OR($AQ128="",$AS128=""),"",IF(G$8&lt;$AQ128,"IKS",IF(G$8&lt;$AS128,IF(G$8=$AR128,"Bascule","Double run"),"ROKS"))))))</f>
        <v/>
      </c>
      <c r="H128" s="51" t="str">
        <f aca="false">IF(OR($A128="",H$8=""),"",IF($F128="Migré","ROKS",IF($F128="À décommissionner",IF(H$8&lt;$AS128,"IKS","Décom."),IF(OR($AQ128="",$AS128=""),"",IF(H$8&lt;$AQ128,"IKS",IF(H$8&lt;$AS128,IF(H$8=$AR128,"Bascule","Double run"),"ROKS"))))))</f>
        <v/>
      </c>
      <c r="I128" s="51" t="str">
        <f aca="false">IF(OR($A128="",I$8=""),"",IF($F128="Migré","ROKS",IF($F128="À décommissionner",IF(I$8&lt;$AS128,"IKS","Décom."),IF(OR($AQ128="",$AS128=""),"",IF(I$8&lt;$AQ128,"IKS",IF(I$8&lt;$AS128,IF(I$8=$AR128,"Bascule","Double run"),"ROKS"))))))</f>
        <v/>
      </c>
      <c r="J128" s="51" t="str">
        <f aca="false">IF(OR($A128="",J$8=""),"",IF($F128="Migré","ROKS",IF($F128="À décommissionner",IF(J$8&lt;$AS128,"IKS","Décom."),IF(OR($AQ128="",$AS128=""),"",IF(J$8&lt;$AQ128,"IKS",IF(J$8&lt;$AS128,IF(J$8=$AR128,"Bascule","Double run"),"ROKS"))))))</f>
        <v/>
      </c>
      <c r="K128" s="51" t="str">
        <f aca="false">IF(OR($A128="",K$8=""),"",IF($F128="Migré","ROKS",IF($F128="À décommissionner",IF(K$8&lt;$AS128,"IKS","Décom."),IF(OR($AQ128="",$AS128=""),"",IF(K$8&lt;$AQ128,"IKS",IF(K$8&lt;$AS128,IF(K$8=$AR128,"Bascule","Double run"),"ROKS"))))))</f>
        <v/>
      </c>
      <c r="L128" s="51" t="str">
        <f aca="false">IF(OR($A128="",L$8=""),"",IF($F128="Migré","ROKS",IF($F128="À décommissionner",IF(L$8&lt;$AS128,"IKS","Décom."),IF(OR($AQ128="",$AS128=""),"",IF(L$8&lt;$AQ128,"IKS",IF(L$8&lt;$AS128,IF(L$8=$AR128,"Bascule","Double run"),"ROKS"))))))</f>
        <v/>
      </c>
      <c r="M128" s="51" t="str">
        <f aca="false">IF(OR($A128="",M$8=""),"",IF($F128="Migré","ROKS",IF($F128="À décommissionner",IF(M$8&lt;$AS128,"IKS","Décom."),IF(OR($AQ128="",$AS128=""),"",IF(M$8&lt;$AQ128,"IKS",IF(M$8&lt;$AS128,IF(M$8=$AR128,"Bascule","Double run"),"ROKS"))))))</f>
        <v/>
      </c>
      <c r="N128" s="51" t="str">
        <f aca="false">IF(OR($A128="",N$8=""),"",IF($F128="Migré","ROKS",IF($F128="À décommissionner",IF(N$8&lt;$AS128,"IKS","Décom."),IF(OR($AQ128="",$AS128=""),"",IF(N$8&lt;$AQ128,"IKS",IF(N$8&lt;$AS128,IF(N$8=$AR128,"Bascule","Double run"),"ROKS"))))))</f>
        <v/>
      </c>
      <c r="O128" s="51" t="str">
        <f aca="false">IF(OR($A128="",O$8=""),"",IF($F128="Migré","ROKS",IF($F128="À décommissionner",IF(O$8&lt;$AS128,"IKS","Décom."),IF(OR($AQ128="",$AS128=""),"",IF(O$8&lt;$AQ128,"IKS",IF(O$8&lt;$AS128,IF(O$8=$AR128,"Bascule","Double run"),"ROKS"))))))</f>
        <v/>
      </c>
      <c r="P128" s="51" t="str">
        <f aca="false">IF(OR($A128="",P$8=""),"",IF($F128="Migré","ROKS",IF($F128="À décommissionner",IF(P$8&lt;$AS128,"IKS","Décom."),IF(OR($AQ128="",$AS128=""),"",IF(P$8&lt;$AQ128,"IKS",IF(P$8&lt;$AS128,IF(P$8=$AR128,"Bascule","Double run"),"ROKS"))))))</f>
        <v/>
      </c>
      <c r="Q128" s="51" t="str">
        <f aca="false">IF(OR($A128="",Q$8=""),"",IF($F128="Migré","ROKS",IF($F128="À décommissionner",IF(Q$8&lt;$AS128,"IKS","Décom."),IF(OR($AQ128="",$AS128=""),"",IF(Q$8&lt;$AQ128,"IKS",IF(Q$8&lt;$AS128,IF(Q$8=$AR128,"Bascule","Double run"),"ROKS"))))))</f>
        <v/>
      </c>
      <c r="R128" s="51" t="str">
        <f aca="false">IF(OR($A128="",R$8=""),"",IF($F128="Migré","ROKS",IF($F128="À décommissionner",IF(R$8&lt;$AS128,"IKS","Décom."),IF(OR($AQ128="",$AS128=""),"",IF(R$8&lt;$AQ128,"IKS",IF(R$8&lt;$AS128,IF(R$8=$AR128,"Bascule","Double run"),"ROKS"))))))</f>
        <v/>
      </c>
      <c r="S128" s="51" t="str">
        <f aca="false">IF(OR($A128="",S$8=""),"",IF($F128="Migré","ROKS",IF($F128="À décommissionner",IF(S$8&lt;$AS128,"IKS","Décom."),IF(OR($AQ128="",$AS128=""),"",IF(S$8&lt;$AQ128,"IKS",IF(S$8&lt;$AS128,IF(S$8=$AR128,"Bascule","Double run"),"ROKS"))))))</f>
        <v/>
      </c>
      <c r="T128" s="51" t="str">
        <f aca="false">IF(OR($A128="",T$8=""),"",IF($F128="Migré","ROKS",IF($F128="À décommissionner",IF(T$8&lt;$AS128,"IKS","Décom."),IF(OR($AQ128="",$AS128=""),"",IF(T$8&lt;$AQ128,"IKS",IF(T$8&lt;$AS128,IF(T$8=$AR128,"Bascule","Double run"),"ROKS"))))))</f>
        <v/>
      </c>
      <c r="U128" s="51" t="str">
        <f aca="false">IF(OR($A128="",U$8=""),"",IF($F128="Migré","ROKS",IF($F128="À décommissionner",IF(U$8&lt;$AS128,"IKS","Décom."),IF(OR($AQ128="",$AS128=""),"",IF(U$8&lt;$AQ128,"IKS",IF(U$8&lt;$AS128,IF(U$8=$AR128,"Bascule","Double run"),"ROKS"))))))</f>
        <v/>
      </c>
      <c r="V128" s="51" t="str">
        <f aca="false">IF(OR($A128="",V$8=""),"",IF($F128="Migré","ROKS",IF($F128="À décommissionner",IF(V$8&lt;$AS128,"IKS","Décom."),IF(OR($AQ128="",$AS128=""),"",IF(V$8&lt;$AQ128,"IKS",IF(V$8&lt;$AS128,IF(V$8=$AR128,"Bascule","Double run"),"ROKS"))))))</f>
        <v/>
      </c>
      <c r="W128" s="51" t="str">
        <f aca="false">IF(OR($A128="",W$8=""),"",IF($F128="Migré","ROKS",IF($F128="À décommissionner",IF(W$8&lt;$AS128,"IKS","Décom."),IF(OR($AQ128="",$AS128=""),"",IF(W$8&lt;$AQ128,"IKS",IF(W$8&lt;$AS128,IF(W$8=$AR128,"Bascule","Double run"),"ROKS"))))))</f>
        <v/>
      </c>
      <c r="X128" s="51" t="str">
        <f aca="false">IF(OR($A128="",X$8=""),"",IF($F128="Migré","ROKS",IF($F128="À décommissionner",IF(X$8&lt;$AS128,"IKS","Décom."),IF(OR($AQ128="",$AS128=""),"",IF(X$8&lt;$AQ128,"IKS",IF(X$8&lt;$AS128,IF(X$8=$AR128,"Bascule","Double run"),"ROKS"))))))</f>
        <v/>
      </c>
      <c r="Y128" s="51" t="str">
        <f aca="false">IF(OR($A128="",Y$8=""),"",IF($F128="Migré","ROKS",IF($F128="À décommissionner",IF(Y$8&lt;$AS128,"IKS","Décom."),IF(OR($AQ128="",$AS128=""),"",IF(Y$8&lt;$AQ128,"IKS",IF(Y$8&lt;$AS128,IF(Y$8=$AR128,"Bascule","Double run"),"ROKS"))))))</f>
        <v/>
      </c>
      <c r="Z128" s="51" t="str">
        <f aca="false">IF(OR($A128="",Z$8=""),"",IF($F128="Migré","ROKS",IF($F128="À décommissionner",IF(Z$8&lt;$AS128,"IKS","Décom."),IF(OR($AQ128="",$AS128=""),"",IF(Z$8&lt;$AQ128,"IKS",IF(Z$8&lt;$AS128,IF(Z$8=$AR128,"Bascule","Double run"),"ROKS"))))))</f>
        <v/>
      </c>
      <c r="AA128" s="51" t="str">
        <f aca="false">IF(OR($A128="",AA$8=""),"",IF($F128="Migré","ROKS",IF($F128="À décommissionner",IF(AA$8&lt;$AS128,"IKS","Décom."),IF(OR($AQ128="",$AS128=""),"",IF(AA$8&lt;$AQ128,"IKS",IF(AA$8&lt;$AS128,IF(AA$8=$AR128,"Bascule","Double run"),"ROKS"))))))</f>
        <v/>
      </c>
      <c r="AB128" s="51" t="str">
        <f aca="false">IF(OR($A128="",AB$8=""),"",IF($F128="Migré","ROKS",IF($F128="À décommissionner",IF(AB$8&lt;$AS128,"IKS","Décom."),IF(OR($AQ128="",$AS128=""),"",IF(AB$8&lt;$AQ128,"IKS",IF(AB$8&lt;$AS128,IF(AB$8=$AR128,"Bascule","Double run"),"ROKS"))))))</f>
        <v/>
      </c>
      <c r="AC128" s="51" t="str">
        <f aca="false">IF(OR($A128="",AC$8=""),"",IF($F128="Migré","ROKS",IF($F128="À décommissionner",IF(AC$8&lt;$AS128,"IKS","Décom."),IF(OR($AQ128="",$AS128=""),"",IF(AC$8&lt;$AQ128,"IKS",IF(AC$8&lt;$AS128,IF(AC$8=$AR128,"Bascule","Double run"),"ROKS"))))))</f>
        <v/>
      </c>
      <c r="AD128" s="51" t="str">
        <f aca="false">IF(OR($A128="",AD$8=""),"",IF($F128="Migré","ROKS",IF($F128="À décommissionner",IF(AD$8&lt;$AS128,"IKS","Décom."),IF(OR($AQ128="",$AS128=""),"",IF(AD$8&lt;$AQ128,"IKS",IF(AD$8&lt;$AS128,IF(AD$8=$AR128,"Bascule","Double run"),"ROKS"))))))</f>
        <v/>
      </c>
      <c r="AE128" s="51" t="str">
        <f aca="false">IF(OR($A128="",AE$8=""),"",IF($F128="Migré","ROKS",IF($F128="À décommissionner",IF(AE$8&lt;$AS128,"IKS","Décom."),IF(OR($AQ128="",$AS128=""),"",IF(AE$8&lt;$AQ128,"IKS",IF(AE$8&lt;$AS128,IF(AE$8=$AR128,"Bascule","Double run"),"ROKS"))))))</f>
        <v/>
      </c>
      <c r="AF128" s="51" t="str">
        <f aca="false">IF(OR($A128="",AF$8=""),"",IF($F128="Migré","ROKS",IF($F128="À décommissionner",IF(AF$8&lt;$AS128,"IKS","Décom."),IF(OR($AQ128="",$AS128=""),"",IF(AF$8&lt;$AQ128,"IKS",IF(AF$8&lt;$AS128,IF(AF$8=$AR128,"Bascule","Double run"),"ROKS"))))))</f>
        <v/>
      </c>
      <c r="AG128" s="51" t="str">
        <f aca="false">IF(OR($A128="",AG$8=""),"",IF($F128="Migré","ROKS",IF($F128="À décommissionner",IF(AG$8&lt;$AS128,"IKS","Décom."),IF(OR($AQ128="",$AS128=""),"",IF(AG$8&lt;$AQ128,"IKS",IF(AG$8&lt;$AS128,IF(AG$8=$AR128,"Bascule","Double run"),"ROKS"))))))</f>
        <v/>
      </c>
      <c r="AH128" s="51" t="str">
        <f aca="false">IF(OR($A128="",AH$8=""),"",IF($F128="Migré","ROKS",IF($F128="À décommissionner",IF(AH$8&lt;$AS128,"IKS","Décom."),IF(OR($AQ128="",$AS128=""),"",IF(AH$8&lt;$AQ128,"IKS",IF(AH$8&lt;$AS128,IF(AH$8=$AR128,"Bascule","Double run"),"ROKS"))))))</f>
        <v/>
      </c>
      <c r="AI128" s="51" t="str">
        <f aca="false">IF(OR($A128="",AI$8=""),"",IF($F128="Migré","ROKS",IF($F128="À décommissionner",IF(AI$8&lt;$AS128,"IKS","Décom."),IF(OR($AQ128="",$AS128=""),"",IF(AI$8&lt;$AQ128,"IKS",IF(AI$8&lt;$AS128,IF(AI$8=$AR128,"Bascule","Double run"),"ROKS"))))))</f>
        <v/>
      </c>
      <c r="AJ128" s="51" t="str">
        <f aca="false">IF(OR($A128="",AJ$8=""),"",IF($F128="Migré","ROKS",IF($F128="À décommissionner",IF(AJ$8&lt;$AS128,"IKS","Décom."),IF(OR($AQ128="",$AS128=""),"",IF(AJ$8&lt;$AQ128,"IKS",IF(AJ$8&lt;$AS128,IF(AJ$8=$AR128,"Bascule","Double run"),"ROKS"))))))</f>
        <v/>
      </c>
      <c r="AK128" s="51" t="str">
        <f aca="false">IF(OR($A128="",AK$8=""),"",IF($F128="Migré","ROKS",IF($F128="À décommissionner",IF(AK$8&lt;$AS128,"IKS","Décom."),IF(OR($AQ128="",$AS128=""),"",IF(AK$8&lt;$AQ128,"IKS",IF(AK$8&lt;$AS128,IF(AK$8=$AR128,"Bascule","Double run"),"ROKS"))))))</f>
        <v/>
      </c>
      <c r="AL128" s="51" t="str">
        <f aca="false">IF(OR($A128="",AL$8=""),"",IF($F128="Migré","ROKS",IF($F128="À décommissionner",IF(AL$8&lt;$AS128,"IKS","Décom."),IF(OR($AQ128="",$AS128=""),"",IF(AL$8&lt;$AQ128,"IKS",IF(AL$8&lt;$AS128,IF(AL$8=$AR128,"Bascule","Double run"),"ROKS"))))))</f>
        <v/>
      </c>
      <c r="AM128" s="51" t="str">
        <f aca="false">IF(OR($A128="",AM$8=""),"",IF($F128="Migré","ROKS",IF($F128="À décommissionner",IF(AM$8&lt;$AS128,"IKS","Décom."),IF(OR($AQ128="",$AS128=""),"",IF(AM$8&lt;$AQ128,"IKS",IF(AM$8&lt;$AS128,IF(AM$8=$AR128,"Bascule","Double run"),"ROKS"))))))</f>
        <v/>
      </c>
      <c r="AN128" s="51" t="str">
        <f aca="false">IF(OR($A128="",AN$8=""),"",IF($F128="Migré","ROKS",IF($F128="À décommissionner",IF(AN$8&lt;$AS128,"IKS","Décom."),IF(OR($AQ128="",$AS128=""),"",IF(AN$8&lt;$AQ128,"IKS",IF(AN$8&lt;$AS128,IF(AN$8=$AR128,"Bascule","Double run"),"ROKS"))))))</f>
        <v/>
      </c>
      <c r="AO128" s="51" t="str">
        <f aca="false">IF(OR($A128="",AO$8=""),"",IF($F128="Migré","ROKS",IF($F128="À décommissionner",IF(AO$8&lt;$AS128,"IKS","Décom."),IF(OR($AQ128="",$AS128=""),"",IF(AO$8&lt;$AQ128,"IKS",IF(AO$8&lt;$AS128,IF(AO$8=$AR128,"Bascule","Double run"),"ROKS"))))))</f>
        <v/>
      </c>
      <c r="AP128" s="51" t="str">
        <f aca="false">IF(OR($A128="",AP$8=""),"",IF($F128="Migré","ROKS",IF($F128="À décommissionner",IF(AP$8&lt;$AS128,"IKS","Décom."),IF(OR($AQ128="",$AS128=""),"",IF(AP$8&lt;$AQ128,"IKS",IF(AP$8&lt;$AS128,IF(AP$8=$AR128,"Bascule","Double run"),"ROKS"))))))</f>
        <v/>
      </c>
      <c r="AQ128" s="0" t="str">
        <f aca="false">IF($A128="","",INDEX(TblApplications[Mois prov (calc)],$A128))</f>
        <v/>
      </c>
      <c r="AR128" s="0" t="str">
        <f aca="false">IF($A128="","",IFERROR(DATE(YEAR(INDEX(TblApplications[Mois bascule],$A128)),MONTH(INDEX(TblApplications[Mois bascule],$A128)),1),""))</f>
        <v/>
      </c>
      <c r="AS128" s="0" t="str">
        <f aca="false">IF($A128="","",INDEX(TblApplications[Mois lib (calc)],$A128))</f>
        <v/>
      </c>
    </row>
    <row r="129" customFormat="false" ht="15" hidden="false" customHeight="false" outlineLevel="0" collapsed="false">
      <c r="A129" s="49" t="str">
        <f aca="false">IFERROR(MATCH(121,TblApplications[Rang frise],0),"")</f>
        <v/>
      </c>
      <c r="B129" s="50" t="str">
        <f aca="false">IF($A129="","",INDEX(TblApplications[ID],$A129))</f>
        <v/>
      </c>
      <c r="C129" s="50" t="str">
        <f aca="false">IF($A129="","",INDEX(TblApplications[Application],$A129))</f>
        <v/>
      </c>
      <c r="D129" s="50" t="str">
        <f aca="false">IF($A129="","",INDEX(TblApplications[Environnement],$A129))</f>
        <v/>
      </c>
      <c r="E129" s="50" t="str">
        <f aca="false">IF($A129="","",INDEX(TblApplications[Couloir],$A129))</f>
        <v/>
      </c>
      <c r="F129" s="50" t="str">
        <f aca="false">IF($A129="","",INDEX(TblApplications[Action],$A129))</f>
        <v/>
      </c>
      <c r="G129" s="51" t="str">
        <f aca="false">IF(OR($A129="",G$8=""),"",IF($F129="Migré","ROKS",IF($F129="À décommissionner",IF(G$8&lt;$AS129,"IKS","Décom."),IF(OR($AQ129="",$AS129=""),"",IF(G$8&lt;$AQ129,"IKS",IF(G$8&lt;$AS129,IF(G$8=$AR129,"Bascule","Double run"),"ROKS"))))))</f>
        <v/>
      </c>
      <c r="H129" s="51" t="str">
        <f aca="false">IF(OR($A129="",H$8=""),"",IF($F129="Migré","ROKS",IF($F129="À décommissionner",IF(H$8&lt;$AS129,"IKS","Décom."),IF(OR($AQ129="",$AS129=""),"",IF(H$8&lt;$AQ129,"IKS",IF(H$8&lt;$AS129,IF(H$8=$AR129,"Bascule","Double run"),"ROKS"))))))</f>
        <v/>
      </c>
      <c r="I129" s="51" t="str">
        <f aca="false">IF(OR($A129="",I$8=""),"",IF($F129="Migré","ROKS",IF($F129="À décommissionner",IF(I$8&lt;$AS129,"IKS","Décom."),IF(OR($AQ129="",$AS129=""),"",IF(I$8&lt;$AQ129,"IKS",IF(I$8&lt;$AS129,IF(I$8=$AR129,"Bascule","Double run"),"ROKS"))))))</f>
        <v/>
      </c>
      <c r="J129" s="51" t="str">
        <f aca="false">IF(OR($A129="",J$8=""),"",IF($F129="Migré","ROKS",IF($F129="À décommissionner",IF(J$8&lt;$AS129,"IKS","Décom."),IF(OR($AQ129="",$AS129=""),"",IF(J$8&lt;$AQ129,"IKS",IF(J$8&lt;$AS129,IF(J$8=$AR129,"Bascule","Double run"),"ROKS"))))))</f>
        <v/>
      </c>
      <c r="K129" s="51" t="str">
        <f aca="false">IF(OR($A129="",K$8=""),"",IF($F129="Migré","ROKS",IF($F129="À décommissionner",IF(K$8&lt;$AS129,"IKS","Décom."),IF(OR($AQ129="",$AS129=""),"",IF(K$8&lt;$AQ129,"IKS",IF(K$8&lt;$AS129,IF(K$8=$AR129,"Bascule","Double run"),"ROKS"))))))</f>
        <v/>
      </c>
      <c r="L129" s="51" t="str">
        <f aca="false">IF(OR($A129="",L$8=""),"",IF($F129="Migré","ROKS",IF($F129="À décommissionner",IF(L$8&lt;$AS129,"IKS","Décom."),IF(OR($AQ129="",$AS129=""),"",IF(L$8&lt;$AQ129,"IKS",IF(L$8&lt;$AS129,IF(L$8=$AR129,"Bascule","Double run"),"ROKS"))))))</f>
        <v/>
      </c>
      <c r="M129" s="51" t="str">
        <f aca="false">IF(OR($A129="",M$8=""),"",IF($F129="Migré","ROKS",IF($F129="À décommissionner",IF(M$8&lt;$AS129,"IKS","Décom."),IF(OR($AQ129="",$AS129=""),"",IF(M$8&lt;$AQ129,"IKS",IF(M$8&lt;$AS129,IF(M$8=$AR129,"Bascule","Double run"),"ROKS"))))))</f>
        <v/>
      </c>
      <c r="N129" s="51" t="str">
        <f aca="false">IF(OR($A129="",N$8=""),"",IF($F129="Migré","ROKS",IF($F129="À décommissionner",IF(N$8&lt;$AS129,"IKS","Décom."),IF(OR($AQ129="",$AS129=""),"",IF(N$8&lt;$AQ129,"IKS",IF(N$8&lt;$AS129,IF(N$8=$AR129,"Bascule","Double run"),"ROKS"))))))</f>
        <v/>
      </c>
      <c r="O129" s="51" t="str">
        <f aca="false">IF(OR($A129="",O$8=""),"",IF($F129="Migré","ROKS",IF($F129="À décommissionner",IF(O$8&lt;$AS129,"IKS","Décom."),IF(OR($AQ129="",$AS129=""),"",IF(O$8&lt;$AQ129,"IKS",IF(O$8&lt;$AS129,IF(O$8=$AR129,"Bascule","Double run"),"ROKS"))))))</f>
        <v/>
      </c>
      <c r="P129" s="51" t="str">
        <f aca="false">IF(OR($A129="",P$8=""),"",IF($F129="Migré","ROKS",IF($F129="À décommissionner",IF(P$8&lt;$AS129,"IKS","Décom."),IF(OR($AQ129="",$AS129=""),"",IF(P$8&lt;$AQ129,"IKS",IF(P$8&lt;$AS129,IF(P$8=$AR129,"Bascule","Double run"),"ROKS"))))))</f>
        <v/>
      </c>
      <c r="Q129" s="51" t="str">
        <f aca="false">IF(OR($A129="",Q$8=""),"",IF($F129="Migré","ROKS",IF($F129="À décommissionner",IF(Q$8&lt;$AS129,"IKS","Décom."),IF(OR($AQ129="",$AS129=""),"",IF(Q$8&lt;$AQ129,"IKS",IF(Q$8&lt;$AS129,IF(Q$8=$AR129,"Bascule","Double run"),"ROKS"))))))</f>
        <v/>
      </c>
      <c r="R129" s="51" t="str">
        <f aca="false">IF(OR($A129="",R$8=""),"",IF($F129="Migré","ROKS",IF($F129="À décommissionner",IF(R$8&lt;$AS129,"IKS","Décom."),IF(OR($AQ129="",$AS129=""),"",IF(R$8&lt;$AQ129,"IKS",IF(R$8&lt;$AS129,IF(R$8=$AR129,"Bascule","Double run"),"ROKS"))))))</f>
        <v/>
      </c>
      <c r="S129" s="51" t="str">
        <f aca="false">IF(OR($A129="",S$8=""),"",IF($F129="Migré","ROKS",IF($F129="À décommissionner",IF(S$8&lt;$AS129,"IKS","Décom."),IF(OR($AQ129="",$AS129=""),"",IF(S$8&lt;$AQ129,"IKS",IF(S$8&lt;$AS129,IF(S$8=$AR129,"Bascule","Double run"),"ROKS"))))))</f>
        <v/>
      </c>
      <c r="T129" s="51" t="str">
        <f aca="false">IF(OR($A129="",T$8=""),"",IF($F129="Migré","ROKS",IF($F129="À décommissionner",IF(T$8&lt;$AS129,"IKS","Décom."),IF(OR($AQ129="",$AS129=""),"",IF(T$8&lt;$AQ129,"IKS",IF(T$8&lt;$AS129,IF(T$8=$AR129,"Bascule","Double run"),"ROKS"))))))</f>
        <v/>
      </c>
      <c r="U129" s="51" t="str">
        <f aca="false">IF(OR($A129="",U$8=""),"",IF($F129="Migré","ROKS",IF($F129="À décommissionner",IF(U$8&lt;$AS129,"IKS","Décom."),IF(OR($AQ129="",$AS129=""),"",IF(U$8&lt;$AQ129,"IKS",IF(U$8&lt;$AS129,IF(U$8=$AR129,"Bascule","Double run"),"ROKS"))))))</f>
        <v/>
      </c>
      <c r="V129" s="51" t="str">
        <f aca="false">IF(OR($A129="",V$8=""),"",IF($F129="Migré","ROKS",IF($F129="À décommissionner",IF(V$8&lt;$AS129,"IKS","Décom."),IF(OR($AQ129="",$AS129=""),"",IF(V$8&lt;$AQ129,"IKS",IF(V$8&lt;$AS129,IF(V$8=$AR129,"Bascule","Double run"),"ROKS"))))))</f>
        <v/>
      </c>
      <c r="W129" s="51" t="str">
        <f aca="false">IF(OR($A129="",W$8=""),"",IF($F129="Migré","ROKS",IF($F129="À décommissionner",IF(W$8&lt;$AS129,"IKS","Décom."),IF(OR($AQ129="",$AS129=""),"",IF(W$8&lt;$AQ129,"IKS",IF(W$8&lt;$AS129,IF(W$8=$AR129,"Bascule","Double run"),"ROKS"))))))</f>
        <v/>
      </c>
      <c r="X129" s="51" t="str">
        <f aca="false">IF(OR($A129="",X$8=""),"",IF($F129="Migré","ROKS",IF($F129="À décommissionner",IF(X$8&lt;$AS129,"IKS","Décom."),IF(OR($AQ129="",$AS129=""),"",IF(X$8&lt;$AQ129,"IKS",IF(X$8&lt;$AS129,IF(X$8=$AR129,"Bascule","Double run"),"ROKS"))))))</f>
        <v/>
      </c>
      <c r="Y129" s="51" t="str">
        <f aca="false">IF(OR($A129="",Y$8=""),"",IF($F129="Migré","ROKS",IF($F129="À décommissionner",IF(Y$8&lt;$AS129,"IKS","Décom."),IF(OR($AQ129="",$AS129=""),"",IF(Y$8&lt;$AQ129,"IKS",IF(Y$8&lt;$AS129,IF(Y$8=$AR129,"Bascule","Double run"),"ROKS"))))))</f>
        <v/>
      </c>
      <c r="Z129" s="51" t="str">
        <f aca="false">IF(OR($A129="",Z$8=""),"",IF($F129="Migré","ROKS",IF($F129="À décommissionner",IF(Z$8&lt;$AS129,"IKS","Décom."),IF(OR($AQ129="",$AS129=""),"",IF(Z$8&lt;$AQ129,"IKS",IF(Z$8&lt;$AS129,IF(Z$8=$AR129,"Bascule","Double run"),"ROKS"))))))</f>
        <v/>
      </c>
      <c r="AA129" s="51" t="str">
        <f aca="false">IF(OR($A129="",AA$8=""),"",IF($F129="Migré","ROKS",IF($F129="À décommissionner",IF(AA$8&lt;$AS129,"IKS","Décom."),IF(OR($AQ129="",$AS129=""),"",IF(AA$8&lt;$AQ129,"IKS",IF(AA$8&lt;$AS129,IF(AA$8=$AR129,"Bascule","Double run"),"ROKS"))))))</f>
        <v/>
      </c>
      <c r="AB129" s="51" t="str">
        <f aca="false">IF(OR($A129="",AB$8=""),"",IF($F129="Migré","ROKS",IF($F129="À décommissionner",IF(AB$8&lt;$AS129,"IKS","Décom."),IF(OR($AQ129="",$AS129=""),"",IF(AB$8&lt;$AQ129,"IKS",IF(AB$8&lt;$AS129,IF(AB$8=$AR129,"Bascule","Double run"),"ROKS"))))))</f>
        <v/>
      </c>
      <c r="AC129" s="51" t="str">
        <f aca="false">IF(OR($A129="",AC$8=""),"",IF($F129="Migré","ROKS",IF($F129="À décommissionner",IF(AC$8&lt;$AS129,"IKS","Décom."),IF(OR($AQ129="",$AS129=""),"",IF(AC$8&lt;$AQ129,"IKS",IF(AC$8&lt;$AS129,IF(AC$8=$AR129,"Bascule","Double run"),"ROKS"))))))</f>
        <v/>
      </c>
      <c r="AD129" s="51" t="str">
        <f aca="false">IF(OR($A129="",AD$8=""),"",IF($F129="Migré","ROKS",IF($F129="À décommissionner",IF(AD$8&lt;$AS129,"IKS","Décom."),IF(OR($AQ129="",$AS129=""),"",IF(AD$8&lt;$AQ129,"IKS",IF(AD$8&lt;$AS129,IF(AD$8=$AR129,"Bascule","Double run"),"ROKS"))))))</f>
        <v/>
      </c>
      <c r="AE129" s="51" t="str">
        <f aca="false">IF(OR($A129="",AE$8=""),"",IF($F129="Migré","ROKS",IF($F129="À décommissionner",IF(AE$8&lt;$AS129,"IKS","Décom."),IF(OR($AQ129="",$AS129=""),"",IF(AE$8&lt;$AQ129,"IKS",IF(AE$8&lt;$AS129,IF(AE$8=$AR129,"Bascule","Double run"),"ROKS"))))))</f>
        <v/>
      </c>
      <c r="AF129" s="51" t="str">
        <f aca="false">IF(OR($A129="",AF$8=""),"",IF($F129="Migré","ROKS",IF($F129="À décommissionner",IF(AF$8&lt;$AS129,"IKS","Décom."),IF(OR($AQ129="",$AS129=""),"",IF(AF$8&lt;$AQ129,"IKS",IF(AF$8&lt;$AS129,IF(AF$8=$AR129,"Bascule","Double run"),"ROKS"))))))</f>
        <v/>
      </c>
      <c r="AG129" s="51" t="str">
        <f aca="false">IF(OR($A129="",AG$8=""),"",IF($F129="Migré","ROKS",IF($F129="À décommissionner",IF(AG$8&lt;$AS129,"IKS","Décom."),IF(OR($AQ129="",$AS129=""),"",IF(AG$8&lt;$AQ129,"IKS",IF(AG$8&lt;$AS129,IF(AG$8=$AR129,"Bascule","Double run"),"ROKS"))))))</f>
        <v/>
      </c>
      <c r="AH129" s="51" t="str">
        <f aca="false">IF(OR($A129="",AH$8=""),"",IF($F129="Migré","ROKS",IF($F129="À décommissionner",IF(AH$8&lt;$AS129,"IKS","Décom."),IF(OR($AQ129="",$AS129=""),"",IF(AH$8&lt;$AQ129,"IKS",IF(AH$8&lt;$AS129,IF(AH$8=$AR129,"Bascule","Double run"),"ROKS"))))))</f>
        <v/>
      </c>
      <c r="AI129" s="51" t="str">
        <f aca="false">IF(OR($A129="",AI$8=""),"",IF($F129="Migré","ROKS",IF($F129="À décommissionner",IF(AI$8&lt;$AS129,"IKS","Décom."),IF(OR($AQ129="",$AS129=""),"",IF(AI$8&lt;$AQ129,"IKS",IF(AI$8&lt;$AS129,IF(AI$8=$AR129,"Bascule","Double run"),"ROKS"))))))</f>
        <v/>
      </c>
      <c r="AJ129" s="51" t="str">
        <f aca="false">IF(OR($A129="",AJ$8=""),"",IF($F129="Migré","ROKS",IF($F129="À décommissionner",IF(AJ$8&lt;$AS129,"IKS","Décom."),IF(OR($AQ129="",$AS129=""),"",IF(AJ$8&lt;$AQ129,"IKS",IF(AJ$8&lt;$AS129,IF(AJ$8=$AR129,"Bascule","Double run"),"ROKS"))))))</f>
        <v/>
      </c>
      <c r="AK129" s="51" t="str">
        <f aca="false">IF(OR($A129="",AK$8=""),"",IF($F129="Migré","ROKS",IF($F129="À décommissionner",IF(AK$8&lt;$AS129,"IKS","Décom."),IF(OR($AQ129="",$AS129=""),"",IF(AK$8&lt;$AQ129,"IKS",IF(AK$8&lt;$AS129,IF(AK$8=$AR129,"Bascule","Double run"),"ROKS"))))))</f>
        <v/>
      </c>
      <c r="AL129" s="51" t="str">
        <f aca="false">IF(OR($A129="",AL$8=""),"",IF($F129="Migré","ROKS",IF($F129="À décommissionner",IF(AL$8&lt;$AS129,"IKS","Décom."),IF(OR($AQ129="",$AS129=""),"",IF(AL$8&lt;$AQ129,"IKS",IF(AL$8&lt;$AS129,IF(AL$8=$AR129,"Bascule","Double run"),"ROKS"))))))</f>
        <v/>
      </c>
      <c r="AM129" s="51" t="str">
        <f aca="false">IF(OR($A129="",AM$8=""),"",IF($F129="Migré","ROKS",IF($F129="À décommissionner",IF(AM$8&lt;$AS129,"IKS","Décom."),IF(OR($AQ129="",$AS129=""),"",IF(AM$8&lt;$AQ129,"IKS",IF(AM$8&lt;$AS129,IF(AM$8=$AR129,"Bascule","Double run"),"ROKS"))))))</f>
        <v/>
      </c>
      <c r="AN129" s="51" t="str">
        <f aca="false">IF(OR($A129="",AN$8=""),"",IF($F129="Migré","ROKS",IF($F129="À décommissionner",IF(AN$8&lt;$AS129,"IKS","Décom."),IF(OR($AQ129="",$AS129=""),"",IF(AN$8&lt;$AQ129,"IKS",IF(AN$8&lt;$AS129,IF(AN$8=$AR129,"Bascule","Double run"),"ROKS"))))))</f>
        <v/>
      </c>
      <c r="AO129" s="51" t="str">
        <f aca="false">IF(OR($A129="",AO$8=""),"",IF($F129="Migré","ROKS",IF($F129="À décommissionner",IF(AO$8&lt;$AS129,"IKS","Décom."),IF(OR($AQ129="",$AS129=""),"",IF(AO$8&lt;$AQ129,"IKS",IF(AO$8&lt;$AS129,IF(AO$8=$AR129,"Bascule","Double run"),"ROKS"))))))</f>
        <v/>
      </c>
      <c r="AP129" s="51" t="str">
        <f aca="false">IF(OR($A129="",AP$8=""),"",IF($F129="Migré","ROKS",IF($F129="À décommissionner",IF(AP$8&lt;$AS129,"IKS","Décom."),IF(OR($AQ129="",$AS129=""),"",IF(AP$8&lt;$AQ129,"IKS",IF(AP$8&lt;$AS129,IF(AP$8=$AR129,"Bascule","Double run"),"ROKS"))))))</f>
        <v/>
      </c>
      <c r="AQ129" s="0" t="str">
        <f aca="false">IF($A129="","",INDEX(TblApplications[Mois prov (calc)],$A129))</f>
        <v/>
      </c>
      <c r="AR129" s="0" t="str">
        <f aca="false">IF($A129="","",IFERROR(DATE(YEAR(INDEX(TblApplications[Mois bascule],$A129)),MONTH(INDEX(TblApplications[Mois bascule],$A129)),1),""))</f>
        <v/>
      </c>
      <c r="AS129" s="0" t="str">
        <f aca="false">IF($A129="","",INDEX(TblApplications[Mois lib (calc)],$A129))</f>
        <v/>
      </c>
    </row>
    <row r="130" customFormat="false" ht="15" hidden="false" customHeight="false" outlineLevel="0" collapsed="false">
      <c r="A130" s="49" t="str">
        <f aca="false">IFERROR(MATCH(122,TblApplications[Rang frise],0),"")</f>
        <v/>
      </c>
      <c r="B130" s="50" t="str">
        <f aca="false">IF($A130="","",INDEX(TblApplications[ID],$A130))</f>
        <v/>
      </c>
      <c r="C130" s="50" t="str">
        <f aca="false">IF($A130="","",INDEX(TblApplications[Application],$A130))</f>
        <v/>
      </c>
      <c r="D130" s="50" t="str">
        <f aca="false">IF($A130="","",INDEX(TblApplications[Environnement],$A130))</f>
        <v/>
      </c>
      <c r="E130" s="50" t="str">
        <f aca="false">IF($A130="","",INDEX(TblApplications[Couloir],$A130))</f>
        <v/>
      </c>
      <c r="F130" s="50" t="str">
        <f aca="false">IF($A130="","",INDEX(TblApplications[Action],$A130))</f>
        <v/>
      </c>
      <c r="G130" s="51" t="str">
        <f aca="false">IF(OR($A130="",G$8=""),"",IF($F130="Migré","ROKS",IF($F130="À décommissionner",IF(G$8&lt;$AS130,"IKS","Décom."),IF(OR($AQ130="",$AS130=""),"",IF(G$8&lt;$AQ130,"IKS",IF(G$8&lt;$AS130,IF(G$8=$AR130,"Bascule","Double run"),"ROKS"))))))</f>
        <v/>
      </c>
      <c r="H130" s="51" t="str">
        <f aca="false">IF(OR($A130="",H$8=""),"",IF($F130="Migré","ROKS",IF($F130="À décommissionner",IF(H$8&lt;$AS130,"IKS","Décom."),IF(OR($AQ130="",$AS130=""),"",IF(H$8&lt;$AQ130,"IKS",IF(H$8&lt;$AS130,IF(H$8=$AR130,"Bascule","Double run"),"ROKS"))))))</f>
        <v/>
      </c>
      <c r="I130" s="51" t="str">
        <f aca="false">IF(OR($A130="",I$8=""),"",IF($F130="Migré","ROKS",IF($F130="À décommissionner",IF(I$8&lt;$AS130,"IKS","Décom."),IF(OR($AQ130="",$AS130=""),"",IF(I$8&lt;$AQ130,"IKS",IF(I$8&lt;$AS130,IF(I$8=$AR130,"Bascule","Double run"),"ROKS"))))))</f>
        <v/>
      </c>
      <c r="J130" s="51" t="str">
        <f aca="false">IF(OR($A130="",J$8=""),"",IF($F130="Migré","ROKS",IF($F130="À décommissionner",IF(J$8&lt;$AS130,"IKS","Décom."),IF(OR($AQ130="",$AS130=""),"",IF(J$8&lt;$AQ130,"IKS",IF(J$8&lt;$AS130,IF(J$8=$AR130,"Bascule","Double run"),"ROKS"))))))</f>
        <v/>
      </c>
      <c r="K130" s="51" t="str">
        <f aca="false">IF(OR($A130="",K$8=""),"",IF($F130="Migré","ROKS",IF($F130="À décommissionner",IF(K$8&lt;$AS130,"IKS","Décom."),IF(OR($AQ130="",$AS130=""),"",IF(K$8&lt;$AQ130,"IKS",IF(K$8&lt;$AS130,IF(K$8=$AR130,"Bascule","Double run"),"ROKS"))))))</f>
        <v/>
      </c>
      <c r="L130" s="51" t="str">
        <f aca="false">IF(OR($A130="",L$8=""),"",IF($F130="Migré","ROKS",IF($F130="À décommissionner",IF(L$8&lt;$AS130,"IKS","Décom."),IF(OR($AQ130="",$AS130=""),"",IF(L$8&lt;$AQ130,"IKS",IF(L$8&lt;$AS130,IF(L$8=$AR130,"Bascule","Double run"),"ROKS"))))))</f>
        <v/>
      </c>
      <c r="M130" s="51" t="str">
        <f aca="false">IF(OR($A130="",M$8=""),"",IF($F130="Migré","ROKS",IF($F130="À décommissionner",IF(M$8&lt;$AS130,"IKS","Décom."),IF(OR($AQ130="",$AS130=""),"",IF(M$8&lt;$AQ130,"IKS",IF(M$8&lt;$AS130,IF(M$8=$AR130,"Bascule","Double run"),"ROKS"))))))</f>
        <v/>
      </c>
      <c r="N130" s="51" t="str">
        <f aca="false">IF(OR($A130="",N$8=""),"",IF($F130="Migré","ROKS",IF($F130="À décommissionner",IF(N$8&lt;$AS130,"IKS","Décom."),IF(OR($AQ130="",$AS130=""),"",IF(N$8&lt;$AQ130,"IKS",IF(N$8&lt;$AS130,IF(N$8=$AR130,"Bascule","Double run"),"ROKS"))))))</f>
        <v/>
      </c>
      <c r="O130" s="51" t="str">
        <f aca="false">IF(OR($A130="",O$8=""),"",IF($F130="Migré","ROKS",IF($F130="À décommissionner",IF(O$8&lt;$AS130,"IKS","Décom."),IF(OR($AQ130="",$AS130=""),"",IF(O$8&lt;$AQ130,"IKS",IF(O$8&lt;$AS130,IF(O$8=$AR130,"Bascule","Double run"),"ROKS"))))))</f>
        <v/>
      </c>
      <c r="P130" s="51" t="str">
        <f aca="false">IF(OR($A130="",P$8=""),"",IF($F130="Migré","ROKS",IF($F130="À décommissionner",IF(P$8&lt;$AS130,"IKS","Décom."),IF(OR($AQ130="",$AS130=""),"",IF(P$8&lt;$AQ130,"IKS",IF(P$8&lt;$AS130,IF(P$8=$AR130,"Bascule","Double run"),"ROKS"))))))</f>
        <v/>
      </c>
      <c r="Q130" s="51" t="str">
        <f aca="false">IF(OR($A130="",Q$8=""),"",IF($F130="Migré","ROKS",IF($F130="À décommissionner",IF(Q$8&lt;$AS130,"IKS","Décom."),IF(OR($AQ130="",$AS130=""),"",IF(Q$8&lt;$AQ130,"IKS",IF(Q$8&lt;$AS130,IF(Q$8=$AR130,"Bascule","Double run"),"ROKS"))))))</f>
        <v/>
      </c>
      <c r="R130" s="51" t="str">
        <f aca="false">IF(OR($A130="",R$8=""),"",IF($F130="Migré","ROKS",IF($F130="À décommissionner",IF(R$8&lt;$AS130,"IKS","Décom."),IF(OR($AQ130="",$AS130=""),"",IF(R$8&lt;$AQ130,"IKS",IF(R$8&lt;$AS130,IF(R$8=$AR130,"Bascule","Double run"),"ROKS"))))))</f>
        <v/>
      </c>
      <c r="S130" s="51" t="str">
        <f aca="false">IF(OR($A130="",S$8=""),"",IF($F130="Migré","ROKS",IF($F130="À décommissionner",IF(S$8&lt;$AS130,"IKS","Décom."),IF(OR($AQ130="",$AS130=""),"",IF(S$8&lt;$AQ130,"IKS",IF(S$8&lt;$AS130,IF(S$8=$AR130,"Bascule","Double run"),"ROKS"))))))</f>
        <v/>
      </c>
      <c r="T130" s="51" t="str">
        <f aca="false">IF(OR($A130="",T$8=""),"",IF($F130="Migré","ROKS",IF($F130="À décommissionner",IF(T$8&lt;$AS130,"IKS","Décom."),IF(OR($AQ130="",$AS130=""),"",IF(T$8&lt;$AQ130,"IKS",IF(T$8&lt;$AS130,IF(T$8=$AR130,"Bascule","Double run"),"ROKS"))))))</f>
        <v/>
      </c>
      <c r="U130" s="51" t="str">
        <f aca="false">IF(OR($A130="",U$8=""),"",IF($F130="Migré","ROKS",IF($F130="À décommissionner",IF(U$8&lt;$AS130,"IKS","Décom."),IF(OR($AQ130="",$AS130=""),"",IF(U$8&lt;$AQ130,"IKS",IF(U$8&lt;$AS130,IF(U$8=$AR130,"Bascule","Double run"),"ROKS"))))))</f>
        <v/>
      </c>
      <c r="V130" s="51" t="str">
        <f aca="false">IF(OR($A130="",V$8=""),"",IF($F130="Migré","ROKS",IF($F130="À décommissionner",IF(V$8&lt;$AS130,"IKS","Décom."),IF(OR($AQ130="",$AS130=""),"",IF(V$8&lt;$AQ130,"IKS",IF(V$8&lt;$AS130,IF(V$8=$AR130,"Bascule","Double run"),"ROKS"))))))</f>
        <v/>
      </c>
      <c r="W130" s="51" t="str">
        <f aca="false">IF(OR($A130="",W$8=""),"",IF($F130="Migré","ROKS",IF($F130="À décommissionner",IF(W$8&lt;$AS130,"IKS","Décom."),IF(OR($AQ130="",$AS130=""),"",IF(W$8&lt;$AQ130,"IKS",IF(W$8&lt;$AS130,IF(W$8=$AR130,"Bascule","Double run"),"ROKS"))))))</f>
        <v/>
      </c>
      <c r="X130" s="51" t="str">
        <f aca="false">IF(OR($A130="",X$8=""),"",IF($F130="Migré","ROKS",IF($F130="À décommissionner",IF(X$8&lt;$AS130,"IKS","Décom."),IF(OR($AQ130="",$AS130=""),"",IF(X$8&lt;$AQ130,"IKS",IF(X$8&lt;$AS130,IF(X$8=$AR130,"Bascule","Double run"),"ROKS"))))))</f>
        <v/>
      </c>
      <c r="Y130" s="51" t="str">
        <f aca="false">IF(OR($A130="",Y$8=""),"",IF($F130="Migré","ROKS",IF($F130="À décommissionner",IF(Y$8&lt;$AS130,"IKS","Décom."),IF(OR($AQ130="",$AS130=""),"",IF(Y$8&lt;$AQ130,"IKS",IF(Y$8&lt;$AS130,IF(Y$8=$AR130,"Bascule","Double run"),"ROKS"))))))</f>
        <v/>
      </c>
      <c r="Z130" s="51" t="str">
        <f aca="false">IF(OR($A130="",Z$8=""),"",IF($F130="Migré","ROKS",IF($F130="À décommissionner",IF(Z$8&lt;$AS130,"IKS","Décom."),IF(OR($AQ130="",$AS130=""),"",IF(Z$8&lt;$AQ130,"IKS",IF(Z$8&lt;$AS130,IF(Z$8=$AR130,"Bascule","Double run"),"ROKS"))))))</f>
        <v/>
      </c>
      <c r="AA130" s="51" t="str">
        <f aca="false">IF(OR($A130="",AA$8=""),"",IF($F130="Migré","ROKS",IF($F130="À décommissionner",IF(AA$8&lt;$AS130,"IKS","Décom."),IF(OR($AQ130="",$AS130=""),"",IF(AA$8&lt;$AQ130,"IKS",IF(AA$8&lt;$AS130,IF(AA$8=$AR130,"Bascule","Double run"),"ROKS"))))))</f>
        <v/>
      </c>
      <c r="AB130" s="51" t="str">
        <f aca="false">IF(OR($A130="",AB$8=""),"",IF($F130="Migré","ROKS",IF($F130="À décommissionner",IF(AB$8&lt;$AS130,"IKS","Décom."),IF(OR($AQ130="",$AS130=""),"",IF(AB$8&lt;$AQ130,"IKS",IF(AB$8&lt;$AS130,IF(AB$8=$AR130,"Bascule","Double run"),"ROKS"))))))</f>
        <v/>
      </c>
      <c r="AC130" s="51" t="str">
        <f aca="false">IF(OR($A130="",AC$8=""),"",IF($F130="Migré","ROKS",IF($F130="À décommissionner",IF(AC$8&lt;$AS130,"IKS","Décom."),IF(OR($AQ130="",$AS130=""),"",IF(AC$8&lt;$AQ130,"IKS",IF(AC$8&lt;$AS130,IF(AC$8=$AR130,"Bascule","Double run"),"ROKS"))))))</f>
        <v/>
      </c>
      <c r="AD130" s="51" t="str">
        <f aca="false">IF(OR($A130="",AD$8=""),"",IF($F130="Migré","ROKS",IF($F130="À décommissionner",IF(AD$8&lt;$AS130,"IKS","Décom."),IF(OR($AQ130="",$AS130=""),"",IF(AD$8&lt;$AQ130,"IKS",IF(AD$8&lt;$AS130,IF(AD$8=$AR130,"Bascule","Double run"),"ROKS"))))))</f>
        <v/>
      </c>
      <c r="AE130" s="51" t="str">
        <f aca="false">IF(OR($A130="",AE$8=""),"",IF($F130="Migré","ROKS",IF($F130="À décommissionner",IF(AE$8&lt;$AS130,"IKS","Décom."),IF(OR($AQ130="",$AS130=""),"",IF(AE$8&lt;$AQ130,"IKS",IF(AE$8&lt;$AS130,IF(AE$8=$AR130,"Bascule","Double run"),"ROKS"))))))</f>
        <v/>
      </c>
      <c r="AF130" s="51" t="str">
        <f aca="false">IF(OR($A130="",AF$8=""),"",IF($F130="Migré","ROKS",IF($F130="À décommissionner",IF(AF$8&lt;$AS130,"IKS","Décom."),IF(OR($AQ130="",$AS130=""),"",IF(AF$8&lt;$AQ130,"IKS",IF(AF$8&lt;$AS130,IF(AF$8=$AR130,"Bascule","Double run"),"ROKS"))))))</f>
        <v/>
      </c>
      <c r="AG130" s="51" t="str">
        <f aca="false">IF(OR($A130="",AG$8=""),"",IF($F130="Migré","ROKS",IF($F130="À décommissionner",IF(AG$8&lt;$AS130,"IKS","Décom."),IF(OR($AQ130="",$AS130=""),"",IF(AG$8&lt;$AQ130,"IKS",IF(AG$8&lt;$AS130,IF(AG$8=$AR130,"Bascule","Double run"),"ROKS"))))))</f>
        <v/>
      </c>
      <c r="AH130" s="51" t="str">
        <f aca="false">IF(OR($A130="",AH$8=""),"",IF($F130="Migré","ROKS",IF($F130="À décommissionner",IF(AH$8&lt;$AS130,"IKS","Décom."),IF(OR($AQ130="",$AS130=""),"",IF(AH$8&lt;$AQ130,"IKS",IF(AH$8&lt;$AS130,IF(AH$8=$AR130,"Bascule","Double run"),"ROKS"))))))</f>
        <v/>
      </c>
      <c r="AI130" s="51" t="str">
        <f aca="false">IF(OR($A130="",AI$8=""),"",IF($F130="Migré","ROKS",IF($F130="À décommissionner",IF(AI$8&lt;$AS130,"IKS","Décom."),IF(OR($AQ130="",$AS130=""),"",IF(AI$8&lt;$AQ130,"IKS",IF(AI$8&lt;$AS130,IF(AI$8=$AR130,"Bascule","Double run"),"ROKS"))))))</f>
        <v/>
      </c>
      <c r="AJ130" s="51" t="str">
        <f aca="false">IF(OR($A130="",AJ$8=""),"",IF($F130="Migré","ROKS",IF($F130="À décommissionner",IF(AJ$8&lt;$AS130,"IKS","Décom."),IF(OR($AQ130="",$AS130=""),"",IF(AJ$8&lt;$AQ130,"IKS",IF(AJ$8&lt;$AS130,IF(AJ$8=$AR130,"Bascule","Double run"),"ROKS"))))))</f>
        <v/>
      </c>
      <c r="AK130" s="51" t="str">
        <f aca="false">IF(OR($A130="",AK$8=""),"",IF($F130="Migré","ROKS",IF($F130="À décommissionner",IF(AK$8&lt;$AS130,"IKS","Décom."),IF(OR($AQ130="",$AS130=""),"",IF(AK$8&lt;$AQ130,"IKS",IF(AK$8&lt;$AS130,IF(AK$8=$AR130,"Bascule","Double run"),"ROKS"))))))</f>
        <v/>
      </c>
      <c r="AL130" s="51" t="str">
        <f aca="false">IF(OR($A130="",AL$8=""),"",IF($F130="Migré","ROKS",IF($F130="À décommissionner",IF(AL$8&lt;$AS130,"IKS","Décom."),IF(OR($AQ130="",$AS130=""),"",IF(AL$8&lt;$AQ130,"IKS",IF(AL$8&lt;$AS130,IF(AL$8=$AR130,"Bascule","Double run"),"ROKS"))))))</f>
        <v/>
      </c>
      <c r="AM130" s="51" t="str">
        <f aca="false">IF(OR($A130="",AM$8=""),"",IF($F130="Migré","ROKS",IF($F130="À décommissionner",IF(AM$8&lt;$AS130,"IKS","Décom."),IF(OR($AQ130="",$AS130=""),"",IF(AM$8&lt;$AQ130,"IKS",IF(AM$8&lt;$AS130,IF(AM$8=$AR130,"Bascule","Double run"),"ROKS"))))))</f>
        <v/>
      </c>
      <c r="AN130" s="51" t="str">
        <f aca="false">IF(OR($A130="",AN$8=""),"",IF($F130="Migré","ROKS",IF($F130="À décommissionner",IF(AN$8&lt;$AS130,"IKS","Décom."),IF(OR($AQ130="",$AS130=""),"",IF(AN$8&lt;$AQ130,"IKS",IF(AN$8&lt;$AS130,IF(AN$8=$AR130,"Bascule","Double run"),"ROKS"))))))</f>
        <v/>
      </c>
      <c r="AO130" s="51" t="str">
        <f aca="false">IF(OR($A130="",AO$8=""),"",IF($F130="Migré","ROKS",IF($F130="À décommissionner",IF(AO$8&lt;$AS130,"IKS","Décom."),IF(OR($AQ130="",$AS130=""),"",IF(AO$8&lt;$AQ130,"IKS",IF(AO$8&lt;$AS130,IF(AO$8=$AR130,"Bascule","Double run"),"ROKS"))))))</f>
        <v/>
      </c>
      <c r="AP130" s="51" t="str">
        <f aca="false">IF(OR($A130="",AP$8=""),"",IF($F130="Migré","ROKS",IF($F130="À décommissionner",IF(AP$8&lt;$AS130,"IKS","Décom."),IF(OR($AQ130="",$AS130=""),"",IF(AP$8&lt;$AQ130,"IKS",IF(AP$8&lt;$AS130,IF(AP$8=$AR130,"Bascule","Double run"),"ROKS"))))))</f>
        <v/>
      </c>
      <c r="AQ130" s="0" t="str">
        <f aca="false">IF($A130="","",INDEX(TblApplications[Mois prov (calc)],$A130))</f>
        <v/>
      </c>
      <c r="AR130" s="0" t="str">
        <f aca="false">IF($A130="","",IFERROR(DATE(YEAR(INDEX(TblApplications[Mois bascule],$A130)),MONTH(INDEX(TblApplications[Mois bascule],$A130)),1),""))</f>
        <v/>
      </c>
      <c r="AS130" s="0" t="str">
        <f aca="false">IF($A130="","",INDEX(TblApplications[Mois lib (calc)],$A130))</f>
        <v/>
      </c>
    </row>
    <row r="131" customFormat="false" ht="15" hidden="false" customHeight="false" outlineLevel="0" collapsed="false">
      <c r="A131" s="49" t="str">
        <f aca="false">IFERROR(MATCH(123,TblApplications[Rang frise],0),"")</f>
        <v/>
      </c>
      <c r="B131" s="50" t="str">
        <f aca="false">IF($A131="","",INDEX(TblApplications[ID],$A131))</f>
        <v/>
      </c>
      <c r="C131" s="50" t="str">
        <f aca="false">IF($A131="","",INDEX(TblApplications[Application],$A131))</f>
        <v/>
      </c>
      <c r="D131" s="50" t="str">
        <f aca="false">IF($A131="","",INDEX(TblApplications[Environnement],$A131))</f>
        <v/>
      </c>
      <c r="E131" s="50" t="str">
        <f aca="false">IF($A131="","",INDEX(TblApplications[Couloir],$A131))</f>
        <v/>
      </c>
      <c r="F131" s="50" t="str">
        <f aca="false">IF($A131="","",INDEX(TblApplications[Action],$A131))</f>
        <v/>
      </c>
      <c r="G131" s="51" t="str">
        <f aca="false">IF(OR($A131="",G$8=""),"",IF($F131="Migré","ROKS",IF($F131="À décommissionner",IF(G$8&lt;$AS131,"IKS","Décom."),IF(OR($AQ131="",$AS131=""),"",IF(G$8&lt;$AQ131,"IKS",IF(G$8&lt;$AS131,IF(G$8=$AR131,"Bascule","Double run"),"ROKS"))))))</f>
        <v/>
      </c>
      <c r="H131" s="51" t="str">
        <f aca="false">IF(OR($A131="",H$8=""),"",IF($F131="Migré","ROKS",IF($F131="À décommissionner",IF(H$8&lt;$AS131,"IKS","Décom."),IF(OR($AQ131="",$AS131=""),"",IF(H$8&lt;$AQ131,"IKS",IF(H$8&lt;$AS131,IF(H$8=$AR131,"Bascule","Double run"),"ROKS"))))))</f>
        <v/>
      </c>
      <c r="I131" s="51" t="str">
        <f aca="false">IF(OR($A131="",I$8=""),"",IF($F131="Migré","ROKS",IF($F131="À décommissionner",IF(I$8&lt;$AS131,"IKS","Décom."),IF(OR($AQ131="",$AS131=""),"",IF(I$8&lt;$AQ131,"IKS",IF(I$8&lt;$AS131,IF(I$8=$AR131,"Bascule","Double run"),"ROKS"))))))</f>
        <v/>
      </c>
      <c r="J131" s="51" t="str">
        <f aca="false">IF(OR($A131="",J$8=""),"",IF($F131="Migré","ROKS",IF($F131="À décommissionner",IF(J$8&lt;$AS131,"IKS","Décom."),IF(OR($AQ131="",$AS131=""),"",IF(J$8&lt;$AQ131,"IKS",IF(J$8&lt;$AS131,IF(J$8=$AR131,"Bascule","Double run"),"ROKS"))))))</f>
        <v/>
      </c>
      <c r="K131" s="51" t="str">
        <f aca="false">IF(OR($A131="",K$8=""),"",IF($F131="Migré","ROKS",IF($F131="À décommissionner",IF(K$8&lt;$AS131,"IKS","Décom."),IF(OR($AQ131="",$AS131=""),"",IF(K$8&lt;$AQ131,"IKS",IF(K$8&lt;$AS131,IF(K$8=$AR131,"Bascule","Double run"),"ROKS"))))))</f>
        <v/>
      </c>
      <c r="L131" s="51" t="str">
        <f aca="false">IF(OR($A131="",L$8=""),"",IF($F131="Migré","ROKS",IF($F131="À décommissionner",IF(L$8&lt;$AS131,"IKS","Décom."),IF(OR($AQ131="",$AS131=""),"",IF(L$8&lt;$AQ131,"IKS",IF(L$8&lt;$AS131,IF(L$8=$AR131,"Bascule","Double run"),"ROKS"))))))</f>
        <v/>
      </c>
      <c r="M131" s="51" t="str">
        <f aca="false">IF(OR($A131="",M$8=""),"",IF($F131="Migré","ROKS",IF($F131="À décommissionner",IF(M$8&lt;$AS131,"IKS","Décom."),IF(OR($AQ131="",$AS131=""),"",IF(M$8&lt;$AQ131,"IKS",IF(M$8&lt;$AS131,IF(M$8=$AR131,"Bascule","Double run"),"ROKS"))))))</f>
        <v/>
      </c>
      <c r="N131" s="51" t="str">
        <f aca="false">IF(OR($A131="",N$8=""),"",IF($F131="Migré","ROKS",IF($F131="À décommissionner",IF(N$8&lt;$AS131,"IKS","Décom."),IF(OR($AQ131="",$AS131=""),"",IF(N$8&lt;$AQ131,"IKS",IF(N$8&lt;$AS131,IF(N$8=$AR131,"Bascule","Double run"),"ROKS"))))))</f>
        <v/>
      </c>
      <c r="O131" s="51" t="str">
        <f aca="false">IF(OR($A131="",O$8=""),"",IF($F131="Migré","ROKS",IF($F131="À décommissionner",IF(O$8&lt;$AS131,"IKS","Décom."),IF(OR($AQ131="",$AS131=""),"",IF(O$8&lt;$AQ131,"IKS",IF(O$8&lt;$AS131,IF(O$8=$AR131,"Bascule","Double run"),"ROKS"))))))</f>
        <v/>
      </c>
      <c r="P131" s="51" t="str">
        <f aca="false">IF(OR($A131="",P$8=""),"",IF($F131="Migré","ROKS",IF($F131="À décommissionner",IF(P$8&lt;$AS131,"IKS","Décom."),IF(OR($AQ131="",$AS131=""),"",IF(P$8&lt;$AQ131,"IKS",IF(P$8&lt;$AS131,IF(P$8=$AR131,"Bascule","Double run"),"ROKS"))))))</f>
        <v/>
      </c>
      <c r="Q131" s="51" t="str">
        <f aca="false">IF(OR($A131="",Q$8=""),"",IF($F131="Migré","ROKS",IF($F131="À décommissionner",IF(Q$8&lt;$AS131,"IKS","Décom."),IF(OR($AQ131="",$AS131=""),"",IF(Q$8&lt;$AQ131,"IKS",IF(Q$8&lt;$AS131,IF(Q$8=$AR131,"Bascule","Double run"),"ROKS"))))))</f>
        <v/>
      </c>
      <c r="R131" s="51" t="str">
        <f aca="false">IF(OR($A131="",R$8=""),"",IF($F131="Migré","ROKS",IF($F131="À décommissionner",IF(R$8&lt;$AS131,"IKS","Décom."),IF(OR($AQ131="",$AS131=""),"",IF(R$8&lt;$AQ131,"IKS",IF(R$8&lt;$AS131,IF(R$8=$AR131,"Bascule","Double run"),"ROKS"))))))</f>
        <v/>
      </c>
      <c r="S131" s="51" t="str">
        <f aca="false">IF(OR($A131="",S$8=""),"",IF($F131="Migré","ROKS",IF($F131="À décommissionner",IF(S$8&lt;$AS131,"IKS","Décom."),IF(OR($AQ131="",$AS131=""),"",IF(S$8&lt;$AQ131,"IKS",IF(S$8&lt;$AS131,IF(S$8=$AR131,"Bascule","Double run"),"ROKS"))))))</f>
        <v/>
      </c>
      <c r="T131" s="51" t="str">
        <f aca="false">IF(OR($A131="",T$8=""),"",IF($F131="Migré","ROKS",IF($F131="À décommissionner",IF(T$8&lt;$AS131,"IKS","Décom."),IF(OR($AQ131="",$AS131=""),"",IF(T$8&lt;$AQ131,"IKS",IF(T$8&lt;$AS131,IF(T$8=$AR131,"Bascule","Double run"),"ROKS"))))))</f>
        <v/>
      </c>
      <c r="U131" s="51" t="str">
        <f aca="false">IF(OR($A131="",U$8=""),"",IF($F131="Migré","ROKS",IF($F131="À décommissionner",IF(U$8&lt;$AS131,"IKS","Décom."),IF(OR($AQ131="",$AS131=""),"",IF(U$8&lt;$AQ131,"IKS",IF(U$8&lt;$AS131,IF(U$8=$AR131,"Bascule","Double run"),"ROKS"))))))</f>
        <v/>
      </c>
      <c r="V131" s="51" t="str">
        <f aca="false">IF(OR($A131="",V$8=""),"",IF($F131="Migré","ROKS",IF($F131="À décommissionner",IF(V$8&lt;$AS131,"IKS","Décom."),IF(OR($AQ131="",$AS131=""),"",IF(V$8&lt;$AQ131,"IKS",IF(V$8&lt;$AS131,IF(V$8=$AR131,"Bascule","Double run"),"ROKS"))))))</f>
        <v/>
      </c>
      <c r="W131" s="51" t="str">
        <f aca="false">IF(OR($A131="",W$8=""),"",IF($F131="Migré","ROKS",IF($F131="À décommissionner",IF(W$8&lt;$AS131,"IKS","Décom."),IF(OR($AQ131="",$AS131=""),"",IF(W$8&lt;$AQ131,"IKS",IF(W$8&lt;$AS131,IF(W$8=$AR131,"Bascule","Double run"),"ROKS"))))))</f>
        <v/>
      </c>
      <c r="X131" s="51" t="str">
        <f aca="false">IF(OR($A131="",X$8=""),"",IF($F131="Migré","ROKS",IF($F131="À décommissionner",IF(X$8&lt;$AS131,"IKS","Décom."),IF(OR($AQ131="",$AS131=""),"",IF(X$8&lt;$AQ131,"IKS",IF(X$8&lt;$AS131,IF(X$8=$AR131,"Bascule","Double run"),"ROKS"))))))</f>
        <v/>
      </c>
      <c r="Y131" s="51" t="str">
        <f aca="false">IF(OR($A131="",Y$8=""),"",IF($F131="Migré","ROKS",IF($F131="À décommissionner",IF(Y$8&lt;$AS131,"IKS","Décom."),IF(OR($AQ131="",$AS131=""),"",IF(Y$8&lt;$AQ131,"IKS",IF(Y$8&lt;$AS131,IF(Y$8=$AR131,"Bascule","Double run"),"ROKS"))))))</f>
        <v/>
      </c>
      <c r="Z131" s="51" t="str">
        <f aca="false">IF(OR($A131="",Z$8=""),"",IF($F131="Migré","ROKS",IF($F131="À décommissionner",IF(Z$8&lt;$AS131,"IKS","Décom."),IF(OR($AQ131="",$AS131=""),"",IF(Z$8&lt;$AQ131,"IKS",IF(Z$8&lt;$AS131,IF(Z$8=$AR131,"Bascule","Double run"),"ROKS"))))))</f>
        <v/>
      </c>
      <c r="AA131" s="51" t="str">
        <f aca="false">IF(OR($A131="",AA$8=""),"",IF($F131="Migré","ROKS",IF($F131="À décommissionner",IF(AA$8&lt;$AS131,"IKS","Décom."),IF(OR($AQ131="",$AS131=""),"",IF(AA$8&lt;$AQ131,"IKS",IF(AA$8&lt;$AS131,IF(AA$8=$AR131,"Bascule","Double run"),"ROKS"))))))</f>
        <v/>
      </c>
      <c r="AB131" s="51" t="str">
        <f aca="false">IF(OR($A131="",AB$8=""),"",IF($F131="Migré","ROKS",IF($F131="À décommissionner",IF(AB$8&lt;$AS131,"IKS","Décom."),IF(OR($AQ131="",$AS131=""),"",IF(AB$8&lt;$AQ131,"IKS",IF(AB$8&lt;$AS131,IF(AB$8=$AR131,"Bascule","Double run"),"ROKS"))))))</f>
        <v/>
      </c>
      <c r="AC131" s="51" t="str">
        <f aca="false">IF(OR($A131="",AC$8=""),"",IF($F131="Migré","ROKS",IF($F131="À décommissionner",IF(AC$8&lt;$AS131,"IKS","Décom."),IF(OR($AQ131="",$AS131=""),"",IF(AC$8&lt;$AQ131,"IKS",IF(AC$8&lt;$AS131,IF(AC$8=$AR131,"Bascule","Double run"),"ROKS"))))))</f>
        <v/>
      </c>
      <c r="AD131" s="51" t="str">
        <f aca="false">IF(OR($A131="",AD$8=""),"",IF($F131="Migré","ROKS",IF($F131="À décommissionner",IF(AD$8&lt;$AS131,"IKS","Décom."),IF(OR($AQ131="",$AS131=""),"",IF(AD$8&lt;$AQ131,"IKS",IF(AD$8&lt;$AS131,IF(AD$8=$AR131,"Bascule","Double run"),"ROKS"))))))</f>
        <v/>
      </c>
      <c r="AE131" s="51" t="str">
        <f aca="false">IF(OR($A131="",AE$8=""),"",IF($F131="Migré","ROKS",IF($F131="À décommissionner",IF(AE$8&lt;$AS131,"IKS","Décom."),IF(OR($AQ131="",$AS131=""),"",IF(AE$8&lt;$AQ131,"IKS",IF(AE$8&lt;$AS131,IF(AE$8=$AR131,"Bascule","Double run"),"ROKS"))))))</f>
        <v/>
      </c>
      <c r="AF131" s="51" t="str">
        <f aca="false">IF(OR($A131="",AF$8=""),"",IF($F131="Migré","ROKS",IF($F131="À décommissionner",IF(AF$8&lt;$AS131,"IKS","Décom."),IF(OR($AQ131="",$AS131=""),"",IF(AF$8&lt;$AQ131,"IKS",IF(AF$8&lt;$AS131,IF(AF$8=$AR131,"Bascule","Double run"),"ROKS"))))))</f>
        <v/>
      </c>
      <c r="AG131" s="51" t="str">
        <f aca="false">IF(OR($A131="",AG$8=""),"",IF($F131="Migré","ROKS",IF($F131="À décommissionner",IF(AG$8&lt;$AS131,"IKS","Décom."),IF(OR($AQ131="",$AS131=""),"",IF(AG$8&lt;$AQ131,"IKS",IF(AG$8&lt;$AS131,IF(AG$8=$AR131,"Bascule","Double run"),"ROKS"))))))</f>
        <v/>
      </c>
      <c r="AH131" s="51" t="str">
        <f aca="false">IF(OR($A131="",AH$8=""),"",IF($F131="Migré","ROKS",IF($F131="À décommissionner",IF(AH$8&lt;$AS131,"IKS","Décom."),IF(OR($AQ131="",$AS131=""),"",IF(AH$8&lt;$AQ131,"IKS",IF(AH$8&lt;$AS131,IF(AH$8=$AR131,"Bascule","Double run"),"ROKS"))))))</f>
        <v/>
      </c>
      <c r="AI131" s="51" t="str">
        <f aca="false">IF(OR($A131="",AI$8=""),"",IF($F131="Migré","ROKS",IF($F131="À décommissionner",IF(AI$8&lt;$AS131,"IKS","Décom."),IF(OR($AQ131="",$AS131=""),"",IF(AI$8&lt;$AQ131,"IKS",IF(AI$8&lt;$AS131,IF(AI$8=$AR131,"Bascule","Double run"),"ROKS"))))))</f>
        <v/>
      </c>
      <c r="AJ131" s="51" t="str">
        <f aca="false">IF(OR($A131="",AJ$8=""),"",IF($F131="Migré","ROKS",IF($F131="À décommissionner",IF(AJ$8&lt;$AS131,"IKS","Décom."),IF(OR($AQ131="",$AS131=""),"",IF(AJ$8&lt;$AQ131,"IKS",IF(AJ$8&lt;$AS131,IF(AJ$8=$AR131,"Bascule","Double run"),"ROKS"))))))</f>
        <v/>
      </c>
      <c r="AK131" s="51" t="str">
        <f aca="false">IF(OR($A131="",AK$8=""),"",IF($F131="Migré","ROKS",IF($F131="À décommissionner",IF(AK$8&lt;$AS131,"IKS","Décom."),IF(OR($AQ131="",$AS131=""),"",IF(AK$8&lt;$AQ131,"IKS",IF(AK$8&lt;$AS131,IF(AK$8=$AR131,"Bascule","Double run"),"ROKS"))))))</f>
        <v/>
      </c>
      <c r="AL131" s="51" t="str">
        <f aca="false">IF(OR($A131="",AL$8=""),"",IF($F131="Migré","ROKS",IF($F131="À décommissionner",IF(AL$8&lt;$AS131,"IKS","Décom."),IF(OR($AQ131="",$AS131=""),"",IF(AL$8&lt;$AQ131,"IKS",IF(AL$8&lt;$AS131,IF(AL$8=$AR131,"Bascule","Double run"),"ROKS"))))))</f>
        <v/>
      </c>
      <c r="AM131" s="51" t="str">
        <f aca="false">IF(OR($A131="",AM$8=""),"",IF($F131="Migré","ROKS",IF($F131="À décommissionner",IF(AM$8&lt;$AS131,"IKS","Décom."),IF(OR($AQ131="",$AS131=""),"",IF(AM$8&lt;$AQ131,"IKS",IF(AM$8&lt;$AS131,IF(AM$8=$AR131,"Bascule","Double run"),"ROKS"))))))</f>
        <v/>
      </c>
      <c r="AN131" s="51" t="str">
        <f aca="false">IF(OR($A131="",AN$8=""),"",IF($F131="Migré","ROKS",IF($F131="À décommissionner",IF(AN$8&lt;$AS131,"IKS","Décom."),IF(OR($AQ131="",$AS131=""),"",IF(AN$8&lt;$AQ131,"IKS",IF(AN$8&lt;$AS131,IF(AN$8=$AR131,"Bascule","Double run"),"ROKS"))))))</f>
        <v/>
      </c>
      <c r="AO131" s="51" t="str">
        <f aca="false">IF(OR($A131="",AO$8=""),"",IF($F131="Migré","ROKS",IF($F131="À décommissionner",IF(AO$8&lt;$AS131,"IKS","Décom."),IF(OR($AQ131="",$AS131=""),"",IF(AO$8&lt;$AQ131,"IKS",IF(AO$8&lt;$AS131,IF(AO$8=$AR131,"Bascule","Double run"),"ROKS"))))))</f>
        <v/>
      </c>
      <c r="AP131" s="51" t="str">
        <f aca="false">IF(OR($A131="",AP$8=""),"",IF($F131="Migré","ROKS",IF($F131="À décommissionner",IF(AP$8&lt;$AS131,"IKS","Décom."),IF(OR($AQ131="",$AS131=""),"",IF(AP$8&lt;$AQ131,"IKS",IF(AP$8&lt;$AS131,IF(AP$8=$AR131,"Bascule","Double run"),"ROKS"))))))</f>
        <v/>
      </c>
      <c r="AQ131" s="0" t="str">
        <f aca="false">IF($A131="","",INDEX(TblApplications[Mois prov (calc)],$A131))</f>
        <v/>
      </c>
      <c r="AR131" s="0" t="str">
        <f aca="false">IF($A131="","",IFERROR(DATE(YEAR(INDEX(TblApplications[Mois bascule],$A131)),MONTH(INDEX(TblApplications[Mois bascule],$A131)),1),""))</f>
        <v/>
      </c>
      <c r="AS131" s="0" t="str">
        <f aca="false">IF($A131="","",INDEX(TblApplications[Mois lib (calc)],$A131))</f>
        <v/>
      </c>
    </row>
    <row r="132" customFormat="false" ht="15" hidden="false" customHeight="false" outlineLevel="0" collapsed="false">
      <c r="A132" s="49" t="str">
        <f aca="false">IFERROR(MATCH(124,TblApplications[Rang frise],0),"")</f>
        <v/>
      </c>
      <c r="B132" s="50" t="str">
        <f aca="false">IF($A132="","",INDEX(TblApplications[ID],$A132))</f>
        <v/>
      </c>
      <c r="C132" s="50" t="str">
        <f aca="false">IF($A132="","",INDEX(TblApplications[Application],$A132))</f>
        <v/>
      </c>
      <c r="D132" s="50" t="str">
        <f aca="false">IF($A132="","",INDEX(TblApplications[Environnement],$A132))</f>
        <v/>
      </c>
      <c r="E132" s="50" t="str">
        <f aca="false">IF($A132="","",INDEX(TblApplications[Couloir],$A132))</f>
        <v/>
      </c>
      <c r="F132" s="50" t="str">
        <f aca="false">IF($A132="","",INDEX(TblApplications[Action],$A132))</f>
        <v/>
      </c>
      <c r="G132" s="51" t="str">
        <f aca="false">IF(OR($A132="",G$8=""),"",IF($F132="Migré","ROKS",IF($F132="À décommissionner",IF(G$8&lt;$AS132,"IKS","Décom."),IF(OR($AQ132="",$AS132=""),"",IF(G$8&lt;$AQ132,"IKS",IF(G$8&lt;$AS132,IF(G$8=$AR132,"Bascule","Double run"),"ROKS"))))))</f>
        <v/>
      </c>
      <c r="H132" s="51" t="str">
        <f aca="false">IF(OR($A132="",H$8=""),"",IF($F132="Migré","ROKS",IF($F132="À décommissionner",IF(H$8&lt;$AS132,"IKS","Décom."),IF(OR($AQ132="",$AS132=""),"",IF(H$8&lt;$AQ132,"IKS",IF(H$8&lt;$AS132,IF(H$8=$AR132,"Bascule","Double run"),"ROKS"))))))</f>
        <v/>
      </c>
      <c r="I132" s="51" t="str">
        <f aca="false">IF(OR($A132="",I$8=""),"",IF($F132="Migré","ROKS",IF($F132="À décommissionner",IF(I$8&lt;$AS132,"IKS","Décom."),IF(OR($AQ132="",$AS132=""),"",IF(I$8&lt;$AQ132,"IKS",IF(I$8&lt;$AS132,IF(I$8=$AR132,"Bascule","Double run"),"ROKS"))))))</f>
        <v/>
      </c>
      <c r="J132" s="51" t="str">
        <f aca="false">IF(OR($A132="",J$8=""),"",IF($F132="Migré","ROKS",IF($F132="À décommissionner",IF(J$8&lt;$AS132,"IKS","Décom."),IF(OR($AQ132="",$AS132=""),"",IF(J$8&lt;$AQ132,"IKS",IF(J$8&lt;$AS132,IF(J$8=$AR132,"Bascule","Double run"),"ROKS"))))))</f>
        <v/>
      </c>
      <c r="K132" s="51" t="str">
        <f aca="false">IF(OR($A132="",K$8=""),"",IF($F132="Migré","ROKS",IF($F132="À décommissionner",IF(K$8&lt;$AS132,"IKS","Décom."),IF(OR($AQ132="",$AS132=""),"",IF(K$8&lt;$AQ132,"IKS",IF(K$8&lt;$AS132,IF(K$8=$AR132,"Bascule","Double run"),"ROKS"))))))</f>
        <v/>
      </c>
      <c r="L132" s="51" t="str">
        <f aca="false">IF(OR($A132="",L$8=""),"",IF($F132="Migré","ROKS",IF($F132="À décommissionner",IF(L$8&lt;$AS132,"IKS","Décom."),IF(OR($AQ132="",$AS132=""),"",IF(L$8&lt;$AQ132,"IKS",IF(L$8&lt;$AS132,IF(L$8=$AR132,"Bascule","Double run"),"ROKS"))))))</f>
        <v/>
      </c>
      <c r="M132" s="51" t="str">
        <f aca="false">IF(OR($A132="",M$8=""),"",IF($F132="Migré","ROKS",IF($F132="À décommissionner",IF(M$8&lt;$AS132,"IKS","Décom."),IF(OR($AQ132="",$AS132=""),"",IF(M$8&lt;$AQ132,"IKS",IF(M$8&lt;$AS132,IF(M$8=$AR132,"Bascule","Double run"),"ROKS"))))))</f>
        <v/>
      </c>
      <c r="N132" s="51" t="str">
        <f aca="false">IF(OR($A132="",N$8=""),"",IF($F132="Migré","ROKS",IF($F132="À décommissionner",IF(N$8&lt;$AS132,"IKS","Décom."),IF(OR($AQ132="",$AS132=""),"",IF(N$8&lt;$AQ132,"IKS",IF(N$8&lt;$AS132,IF(N$8=$AR132,"Bascule","Double run"),"ROKS"))))))</f>
        <v/>
      </c>
      <c r="O132" s="51" t="str">
        <f aca="false">IF(OR($A132="",O$8=""),"",IF($F132="Migré","ROKS",IF($F132="À décommissionner",IF(O$8&lt;$AS132,"IKS","Décom."),IF(OR($AQ132="",$AS132=""),"",IF(O$8&lt;$AQ132,"IKS",IF(O$8&lt;$AS132,IF(O$8=$AR132,"Bascule","Double run"),"ROKS"))))))</f>
        <v/>
      </c>
      <c r="P132" s="51" t="str">
        <f aca="false">IF(OR($A132="",P$8=""),"",IF($F132="Migré","ROKS",IF($F132="À décommissionner",IF(P$8&lt;$AS132,"IKS","Décom."),IF(OR($AQ132="",$AS132=""),"",IF(P$8&lt;$AQ132,"IKS",IF(P$8&lt;$AS132,IF(P$8=$AR132,"Bascule","Double run"),"ROKS"))))))</f>
        <v/>
      </c>
      <c r="Q132" s="51" t="str">
        <f aca="false">IF(OR($A132="",Q$8=""),"",IF($F132="Migré","ROKS",IF($F132="À décommissionner",IF(Q$8&lt;$AS132,"IKS","Décom."),IF(OR($AQ132="",$AS132=""),"",IF(Q$8&lt;$AQ132,"IKS",IF(Q$8&lt;$AS132,IF(Q$8=$AR132,"Bascule","Double run"),"ROKS"))))))</f>
        <v/>
      </c>
      <c r="R132" s="51" t="str">
        <f aca="false">IF(OR($A132="",R$8=""),"",IF($F132="Migré","ROKS",IF($F132="À décommissionner",IF(R$8&lt;$AS132,"IKS","Décom."),IF(OR($AQ132="",$AS132=""),"",IF(R$8&lt;$AQ132,"IKS",IF(R$8&lt;$AS132,IF(R$8=$AR132,"Bascule","Double run"),"ROKS"))))))</f>
        <v/>
      </c>
      <c r="S132" s="51" t="str">
        <f aca="false">IF(OR($A132="",S$8=""),"",IF($F132="Migré","ROKS",IF($F132="À décommissionner",IF(S$8&lt;$AS132,"IKS","Décom."),IF(OR($AQ132="",$AS132=""),"",IF(S$8&lt;$AQ132,"IKS",IF(S$8&lt;$AS132,IF(S$8=$AR132,"Bascule","Double run"),"ROKS"))))))</f>
        <v/>
      </c>
      <c r="T132" s="51" t="str">
        <f aca="false">IF(OR($A132="",T$8=""),"",IF($F132="Migré","ROKS",IF($F132="À décommissionner",IF(T$8&lt;$AS132,"IKS","Décom."),IF(OR($AQ132="",$AS132=""),"",IF(T$8&lt;$AQ132,"IKS",IF(T$8&lt;$AS132,IF(T$8=$AR132,"Bascule","Double run"),"ROKS"))))))</f>
        <v/>
      </c>
      <c r="U132" s="51" t="str">
        <f aca="false">IF(OR($A132="",U$8=""),"",IF($F132="Migré","ROKS",IF($F132="À décommissionner",IF(U$8&lt;$AS132,"IKS","Décom."),IF(OR($AQ132="",$AS132=""),"",IF(U$8&lt;$AQ132,"IKS",IF(U$8&lt;$AS132,IF(U$8=$AR132,"Bascule","Double run"),"ROKS"))))))</f>
        <v/>
      </c>
      <c r="V132" s="51" t="str">
        <f aca="false">IF(OR($A132="",V$8=""),"",IF($F132="Migré","ROKS",IF($F132="À décommissionner",IF(V$8&lt;$AS132,"IKS","Décom."),IF(OR($AQ132="",$AS132=""),"",IF(V$8&lt;$AQ132,"IKS",IF(V$8&lt;$AS132,IF(V$8=$AR132,"Bascule","Double run"),"ROKS"))))))</f>
        <v/>
      </c>
      <c r="W132" s="51" t="str">
        <f aca="false">IF(OR($A132="",W$8=""),"",IF($F132="Migré","ROKS",IF($F132="À décommissionner",IF(W$8&lt;$AS132,"IKS","Décom."),IF(OR($AQ132="",$AS132=""),"",IF(W$8&lt;$AQ132,"IKS",IF(W$8&lt;$AS132,IF(W$8=$AR132,"Bascule","Double run"),"ROKS"))))))</f>
        <v/>
      </c>
      <c r="X132" s="51" t="str">
        <f aca="false">IF(OR($A132="",X$8=""),"",IF($F132="Migré","ROKS",IF($F132="À décommissionner",IF(X$8&lt;$AS132,"IKS","Décom."),IF(OR($AQ132="",$AS132=""),"",IF(X$8&lt;$AQ132,"IKS",IF(X$8&lt;$AS132,IF(X$8=$AR132,"Bascule","Double run"),"ROKS"))))))</f>
        <v/>
      </c>
      <c r="Y132" s="51" t="str">
        <f aca="false">IF(OR($A132="",Y$8=""),"",IF($F132="Migré","ROKS",IF($F132="À décommissionner",IF(Y$8&lt;$AS132,"IKS","Décom."),IF(OR($AQ132="",$AS132=""),"",IF(Y$8&lt;$AQ132,"IKS",IF(Y$8&lt;$AS132,IF(Y$8=$AR132,"Bascule","Double run"),"ROKS"))))))</f>
        <v/>
      </c>
      <c r="Z132" s="51" t="str">
        <f aca="false">IF(OR($A132="",Z$8=""),"",IF($F132="Migré","ROKS",IF($F132="À décommissionner",IF(Z$8&lt;$AS132,"IKS","Décom."),IF(OR($AQ132="",$AS132=""),"",IF(Z$8&lt;$AQ132,"IKS",IF(Z$8&lt;$AS132,IF(Z$8=$AR132,"Bascule","Double run"),"ROKS"))))))</f>
        <v/>
      </c>
      <c r="AA132" s="51" t="str">
        <f aca="false">IF(OR($A132="",AA$8=""),"",IF($F132="Migré","ROKS",IF($F132="À décommissionner",IF(AA$8&lt;$AS132,"IKS","Décom."),IF(OR($AQ132="",$AS132=""),"",IF(AA$8&lt;$AQ132,"IKS",IF(AA$8&lt;$AS132,IF(AA$8=$AR132,"Bascule","Double run"),"ROKS"))))))</f>
        <v/>
      </c>
      <c r="AB132" s="51" t="str">
        <f aca="false">IF(OR($A132="",AB$8=""),"",IF($F132="Migré","ROKS",IF($F132="À décommissionner",IF(AB$8&lt;$AS132,"IKS","Décom."),IF(OR($AQ132="",$AS132=""),"",IF(AB$8&lt;$AQ132,"IKS",IF(AB$8&lt;$AS132,IF(AB$8=$AR132,"Bascule","Double run"),"ROKS"))))))</f>
        <v/>
      </c>
      <c r="AC132" s="51" t="str">
        <f aca="false">IF(OR($A132="",AC$8=""),"",IF($F132="Migré","ROKS",IF($F132="À décommissionner",IF(AC$8&lt;$AS132,"IKS","Décom."),IF(OR($AQ132="",$AS132=""),"",IF(AC$8&lt;$AQ132,"IKS",IF(AC$8&lt;$AS132,IF(AC$8=$AR132,"Bascule","Double run"),"ROKS"))))))</f>
        <v/>
      </c>
      <c r="AD132" s="51" t="str">
        <f aca="false">IF(OR($A132="",AD$8=""),"",IF($F132="Migré","ROKS",IF($F132="À décommissionner",IF(AD$8&lt;$AS132,"IKS","Décom."),IF(OR($AQ132="",$AS132=""),"",IF(AD$8&lt;$AQ132,"IKS",IF(AD$8&lt;$AS132,IF(AD$8=$AR132,"Bascule","Double run"),"ROKS"))))))</f>
        <v/>
      </c>
      <c r="AE132" s="51" t="str">
        <f aca="false">IF(OR($A132="",AE$8=""),"",IF($F132="Migré","ROKS",IF($F132="À décommissionner",IF(AE$8&lt;$AS132,"IKS","Décom."),IF(OR($AQ132="",$AS132=""),"",IF(AE$8&lt;$AQ132,"IKS",IF(AE$8&lt;$AS132,IF(AE$8=$AR132,"Bascule","Double run"),"ROKS"))))))</f>
        <v/>
      </c>
      <c r="AF132" s="51" t="str">
        <f aca="false">IF(OR($A132="",AF$8=""),"",IF($F132="Migré","ROKS",IF($F132="À décommissionner",IF(AF$8&lt;$AS132,"IKS","Décom."),IF(OR($AQ132="",$AS132=""),"",IF(AF$8&lt;$AQ132,"IKS",IF(AF$8&lt;$AS132,IF(AF$8=$AR132,"Bascule","Double run"),"ROKS"))))))</f>
        <v/>
      </c>
      <c r="AG132" s="51" t="str">
        <f aca="false">IF(OR($A132="",AG$8=""),"",IF($F132="Migré","ROKS",IF($F132="À décommissionner",IF(AG$8&lt;$AS132,"IKS","Décom."),IF(OR($AQ132="",$AS132=""),"",IF(AG$8&lt;$AQ132,"IKS",IF(AG$8&lt;$AS132,IF(AG$8=$AR132,"Bascule","Double run"),"ROKS"))))))</f>
        <v/>
      </c>
      <c r="AH132" s="51" t="str">
        <f aca="false">IF(OR($A132="",AH$8=""),"",IF($F132="Migré","ROKS",IF($F132="À décommissionner",IF(AH$8&lt;$AS132,"IKS","Décom."),IF(OR($AQ132="",$AS132=""),"",IF(AH$8&lt;$AQ132,"IKS",IF(AH$8&lt;$AS132,IF(AH$8=$AR132,"Bascule","Double run"),"ROKS"))))))</f>
        <v/>
      </c>
      <c r="AI132" s="51" t="str">
        <f aca="false">IF(OR($A132="",AI$8=""),"",IF($F132="Migré","ROKS",IF($F132="À décommissionner",IF(AI$8&lt;$AS132,"IKS","Décom."),IF(OR($AQ132="",$AS132=""),"",IF(AI$8&lt;$AQ132,"IKS",IF(AI$8&lt;$AS132,IF(AI$8=$AR132,"Bascule","Double run"),"ROKS"))))))</f>
        <v/>
      </c>
      <c r="AJ132" s="51" t="str">
        <f aca="false">IF(OR($A132="",AJ$8=""),"",IF($F132="Migré","ROKS",IF($F132="À décommissionner",IF(AJ$8&lt;$AS132,"IKS","Décom."),IF(OR($AQ132="",$AS132=""),"",IF(AJ$8&lt;$AQ132,"IKS",IF(AJ$8&lt;$AS132,IF(AJ$8=$AR132,"Bascule","Double run"),"ROKS"))))))</f>
        <v/>
      </c>
      <c r="AK132" s="51" t="str">
        <f aca="false">IF(OR($A132="",AK$8=""),"",IF($F132="Migré","ROKS",IF($F132="À décommissionner",IF(AK$8&lt;$AS132,"IKS","Décom."),IF(OR($AQ132="",$AS132=""),"",IF(AK$8&lt;$AQ132,"IKS",IF(AK$8&lt;$AS132,IF(AK$8=$AR132,"Bascule","Double run"),"ROKS"))))))</f>
        <v/>
      </c>
      <c r="AL132" s="51" t="str">
        <f aca="false">IF(OR($A132="",AL$8=""),"",IF($F132="Migré","ROKS",IF($F132="À décommissionner",IF(AL$8&lt;$AS132,"IKS","Décom."),IF(OR($AQ132="",$AS132=""),"",IF(AL$8&lt;$AQ132,"IKS",IF(AL$8&lt;$AS132,IF(AL$8=$AR132,"Bascule","Double run"),"ROKS"))))))</f>
        <v/>
      </c>
      <c r="AM132" s="51" t="str">
        <f aca="false">IF(OR($A132="",AM$8=""),"",IF($F132="Migré","ROKS",IF($F132="À décommissionner",IF(AM$8&lt;$AS132,"IKS","Décom."),IF(OR($AQ132="",$AS132=""),"",IF(AM$8&lt;$AQ132,"IKS",IF(AM$8&lt;$AS132,IF(AM$8=$AR132,"Bascule","Double run"),"ROKS"))))))</f>
        <v/>
      </c>
      <c r="AN132" s="51" t="str">
        <f aca="false">IF(OR($A132="",AN$8=""),"",IF($F132="Migré","ROKS",IF($F132="À décommissionner",IF(AN$8&lt;$AS132,"IKS","Décom."),IF(OR($AQ132="",$AS132=""),"",IF(AN$8&lt;$AQ132,"IKS",IF(AN$8&lt;$AS132,IF(AN$8=$AR132,"Bascule","Double run"),"ROKS"))))))</f>
        <v/>
      </c>
      <c r="AO132" s="51" t="str">
        <f aca="false">IF(OR($A132="",AO$8=""),"",IF($F132="Migré","ROKS",IF($F132="À décommissionner",IF(AO$8&lt;$AS132,"IKS","Décom."),IF(OR($AQ132="",$AS132=""),"",IF(AO$8&lt;$AQ132,"IKS",IF(AO$8&lt;$AS132,IF(AO$8=$AR132,"Bascule","Double run"),"ROKS"))))))</f>
        <v/>
      </c>
      <c r="AP132" s="51" t="str">
        <f aca="false">IF(OR($A132="",AP$8=""),"",IF($F132="Migré","ROKS",IF($F132="À décommissionner",IF(AP$8&lt;$AS132,"IKS","Décom."),IF(OR($AQ132="",$AS132=""),"",IF(AP$8&lt;$AQ132,"IKS",IF(AP$8&lt;$AS132,IF(AP$8=$AR132,"Bascule","Double run"),"ROKS"))))))</f>
        <v/>
      </c>
      <c r="AQ132" s="0" t="str">
        <f aca="false">IF($A132="","",INDEX(TblApplications[Mois prov (calc)],$A132))</f>
        <v/>
      </c>
      <c r="AR132" s="0" t="str">
        <f aca="false">IF($A132="","",IFERROR(DATE(YEAR(INDEX(TblApplications[Mois bascule],$A132)),MONTH(INDEX(TblApplications[Mois bascule],$A132)),1),""))</f>
        <v/>
      </c>
      <c r="AS132" s="0" t="str">
        <f aca="false">IF($A132="","",INDEX(TblApplications[Mois lib (calc)],$A132))</f>
        <v/>
      </c>
    </row>
    <row r="133" customFormat="false" ht="15" hidden="false" customHeight="false" outlineLevel="0" collapsed="false">
      <c r="A133" s="49" t="str">
        <f aca="false">IFERROR(MATCH(125,TblApplications[Rang frise],0),"")</f>
        <v/>
      </c>
      <c r="B133" s="50" t="str">
        <f aca="false">IF($A133="","",INDEX(TblApplications[ID],$A133))</f>
        <v/>
      </c>
      <c r="C133" s="50" t="str">
        <f aca="false">IF($A133="","",INDEX(TblApplications[Application],$A133))</f>
        <v/>
      </c>
      <c r="D133" s="50" t="str">
        <f aca="false">IF($A133="","",INDEX(TblApplications[Environnement],$A133))</f>
        <v/>
      </c>
      <c r="E133" s="50" t="str">
        <f aca="false">IF($A133="","",INDEX(TblApplications[Couloir],$A133))</f>
        <v/>
      </c>
      <c r="F133" s="50" t="str">
        <f aca="false">IF($A133="","",INDEX(TblApplications[Action],$A133))</f>
        <v/>
      </c>
      <c r="G133" s="51" t="str">
        <f aca="false">IF(OR($A133="",G$8=""),"",IF($F133="Migré","ROKS",IF($F133="À décommissionner",IF(G$8&lt;$AS133,"IKS","Décom."),IF(OR($AQ133="",$AS133=""),"",IF(G$8&lt;$AQ133,"IKS",IF(G$8&lt;$AS133,IF(G$8=$AR133,"Bascule","Double run"),"ROKS"))))))</f>
        <v/>
      </c>
      <c r="H133" s="51" t="str">
        <f aca="false">IF(OR($A133="",H$8=""),"",IF($F133="Migré","ROKS",IF($F133="À décommissionner",IF(H$8&lt;$AS133,"IKS","Décom."),IF(OR($AQ133="",$AS133=""),"",IF(H$8&lt;$AQ133,"IKS",IF(H$8&lt;$AS133,IF(H$8=$AR133,"Bascule","Double run"),"ROKS"))))))</f>
        <v/>
      </c>
      <c r="I133" s="51" t="str">
        <f aca="false">IF(OR($A133="",I$8=""),"",IF($F133="Migré","ROKS",IF($F133="À décommissionner",IF(I$8&lt;$AS133,"IKS","Décom."),IF(OR($AQ133="",$AS133=""),"",IF(I$8&lt;$AQ133,"IKS",IF(I$8&lt;$AS133,IF(I$8=$AR133,"Bascule","Double run"),"ROKS"))))))</f>
        <v/>
      </c>
      <c r="J133" s="51" t="str">
        <f aca="false">IF(OR($A133="",J$8=""),"",IF($F133="Migré","ROKS",IF($F133="À décommissionner",IF(J$8&lt;$AS133,"IKS","Décom."),IF(OR($AQ133="",$AS133=""),"",IF(J$8&lt;$AQ133,"IKS",IF(J$8&lt;$AS133,IF(J$8=$AR133,"Bascule","Double run"),"ROKS"))))))</f>
        <v/>
      </c>
      <c r="K133" s="51" t="str">
        <f aca="false">IF(OR($A133="",K$8=""),"",IF($F133="Migré","ROKS",IF($F133="À décommissionner",IF(K$8&lt;$AS133,"IKS","Décom."),IF(OR($AQ133="",$AS133=""),"",IF(K$8&lt;$AQ133,"IKS",IF(K$8&lt;$AS133,IF(K$8=$AR133,"Bascule","Double run"),"ROKS"))))))</f>
        <v/>
      </c>
      <c r="L133" s="51" t="str">
        <f aca="false">IF(OR($A133="",L$8=""),"",IF($F133="Migré","ROKS",IF($F133="À décommissionner",IF(L$8&lt;$AS133,"IKS","Décom."),IF(OR($AQ133="",$AS133=""),"",IF(L$8&lt;$AQ133,"IKS",IF(L$8&lt;$AS133,IF(L$8=$AR133,"Bascule","Double run"),"ROKS"))))))</f>
        <v/>
      </c>
      <c r="M133" s="51" t="str">
        <f aca="false">IF(OR($A133="",M$8=""),"",IF($F133="Migré","ROKS",IF($F133="À décommissionner",IF(M$8&lt;$AS133,"IKS","Décom."),IF(OR($AQ133="",$AS133=""),"",IF(M$8&lt;$AQ133,"IKS",IF(M$8&lt;$AS133,IF(M$8=$AR133,"Bascule","Double run"),"ROKS"))))))</f>
        <v/>
      </c>
      <c r="N133" s="51" t="str">
        <f aca="false">IF(OR($A133="",N$8=""),"",IF($F133="Migré","ROKS",IF($F133="À décommissionner",IF(N$8&lt;$AS133,"IKS","Décom."),IF(OR($AQ133="",$AS133=""),"",IF(N$8&lt;$AQ133,"IKS",IF(N$8&lt;$AS133,IF(N$8=$AR133,"Bascule","Double run"),"ROKS"))))))</f>
        <v/>
      </c>
      <c r="O133" s="51" t="str">
        <f aca="false">IF(OR($A133="",O$8=""),"",IF($F133="Migré","ROKS",IF($F133="À décommissionner",IF(O$8&lt;$AS133,"IKS","Décom."),IF(OR($AQ133="",$AS133=""),"",IF(O$8&lt;$AQ133,"IKS",IF(O$8&lt;$AS133,IF(O$8=$AR133,"Bascule","Double run"),"ROKS"))))))</f>
        <v/>
      </c>
      <c r="P133" s="51" t="str">
        <f aca="false">IF(OR($A133="",P$8=""),"",IF($F133="Migré","ROKS",IF($F133="À décommissionner",IF(P$8&lt;$AS133,"IKS","Décom."),IF(OR($AQ133="",$AS133=""),"",IF(P$8&lt;$AQ133,"IKS",IF(P$8&lt;$AS133,IF(P$8=$AR133,"Bascule","Double run"),"ROKS"))))))</f>
        <v/>
      </c>
      <c r="Q133" s="51" t="str">
        <f aca="false">IF(OR($A133="",Q$8=""),"",IF($F133="Migré","ROKS",IF($F133="À décommissionner",IF(Q$8&lt;$AS133,"IKS","Décom."),IF(OR($AQ133="",$AS133=""),"",IF(Q$8&lt;$AQ133,"IKS",IF(Q$8&lt;$AS133,IF(Q$8=$AR133,"Bascule","Double run"),"ROKS"))))))</f>
        <v/>
      </c>
      <c r="R133" s="51" t="str">
        <f aca="false">IF(OR($A133="",R$8=""),"",IF($F133="Migré","ROKS",IF($F133="À décommissionner",IF(R$8&lt;$AS133,"IKS","Décom."),IF(OR($AQ133="",$AS133=""),"",IF(R$8&lt;$AQ133,"IKS",IF(R$8&lt;$AS133,IF(R$8=$AR133,"Bascule","Double run"),"ROKS"))))))</f>
        <v/>
      </c>
      <c r="S133" s="51" t="str">
        <f aca="false">IF(OR($A133="",S$8=""),"",IF($F133="Migré","ROKS",IF($F133="À décommissionner",IF(S$8&lt;$AS133,"IKS","Décom."),IF(OR($AQ133="",$AS133=""),"",IF(S$8&lt;$AQ133,"IKS",IF(S$8&lt;$AS133,IF(S$8=$AR133,"Bascule","Double run"),"ROKS"))))))</f>
        <v/>
      </c>
      <c r="T133" s="51" t="str">
        <f aca="false">IF(OR($A133="",T$8=""),"",IF($F133="Migré","ROKS",IF($F133="À décommissionner",IF(T$8&lt;$AS133,"IKS","Décom."),IF(OR($AQ133="",$AS133=""),"",IF(T$8&lt;$AQ133,"IKS",IF(T$8&lt;$AS133,IF(T$8=$AR133,"Bascule","Double run"),"ROKS"))))))</f>
        <v/>
      </c>
      <c r="U133" s="51" t="str">
        <f aca="false">IF(OR($A133="",U$8=""),"",IF($F133="Migré","ROKS",IF($F133="À décommissionner",IF(U$8&lt;$AS133,"IKS","Décom."),IF(OR($AQ133="",$AS133=""),"",IF(U$8&lt;$AQ133,"IKS",IF(U$8&lt;$AS133,IF(U$8=$AR133,"Bascule","Double run"),"ROKS"))))))</f>
        <v/>
      </c>
      <c r="V133" s="51" t="str">
        <f aca="false">IF(OR($A133="",V$8=""),"",IF($F133="Migré","ROKS",IF($F133="À décommissionner",IF(V$8&lt;$AS133,"IKS","Décom."),IF(OR($AQ133="",$AS133=""),"",IF(V$8&lt;$AQ133,"IKS",IF(V$8&lt;$AS133,IF(V$8=$AR133,"Bascule","Double run"),"ROKS"))))))</f>
        <v/>
      </c>
      <c r="W133" s="51" t="str">
        <f aca="false">IF(OR($A133="",W$8=""),"",IF($F133="Migré","ROKS",IF($F133="À décommissionner",IF(W$8&lt;$AS133,"IKS","Décom."),IF(OR($AQ133="",$AS133=""),"",IF(W$8&lt;$AQ133,"IKS",IF(W$8&lt;$AS133,IF(W$8=$AR133,"Bascule","Double run"),"ROKS"))))))</f>
        <v/>
      </c>
      <c r="X133" s="51" t="str">
        <f aca="false">IF(OR($A133="",X$8=""),"",IF($F133="Migré","ROKS",IF($F133="À décommissionner",IF(X$8&lt;$AS133,"IKS","Décom."),IF(OR($AQ133="",$AS133=""),"",IF(X$8&lt;$AQ133,"IKS",IF(X$8&lt;$AS133,IF(X$8=$AR133,"Bascule","Double run"),"ROKS"))))))</f>
        <v/>
      </c>
      <c r="Y133" s="51" t="str">
        <f aca="false">IF(OR($A133="",Y$8=""),"",IF($F133="Migré","ROKS",IF($F133="À décommissionner",IF(Y$8&lt;$AS133,"IKS","Décom."),IF(OR($AQ133="",$AS133=""),"",IF(Y$8&lt;$AQ133,"IKS",IF(Y$8&lt;$AS133,IF(Y$8=$AR133,"Bascule","Double run"),"ROKS"))))))</f>
        <v/>
      </c>
      <c r="Z133" s="51" t="str">
        <f aca="false">IF(OR($A133="",Z$8=""),"",IF($F133="Migré","ROKS",IF($F133="À décommissionner",IF(Z$8&lt;$AS133,"IKS","Décom."),IF(OR($AQ133="",$AS133=""),"",IF(Z$8&lt;$AQ133,"IKS",IF(Z$8&lt;$AS133,IF(Z$8=$AR133,"Bascule","Double run"),"ROKS"))))))</f>
        <v/>
      </c>
      <c r="AA133" s="51" t="str">
        <f aca="false">IF(OR($A133="",AA$8=""),"",IF($F133="Migré","ROKS",IF($F133="À décommissionner",IF(AA$8&lt;$AS133,"IKS","Décom."),IF(OR($AQ133="",$AS133=""),"",IF(AA$8&lt;$AQ133,"IKS",IF(AA$8&lt;$AS133,IF(AA$8=$AR133,"Bascule","Double run"),"ROKS"))))))</f>
        <v/>
      </c>
      <c r="AB133" s="51" t="str">
        <f aca="false">IF(OR($A133="",AB$8=""),"",IF($F133="Migré","ROKS",IF($F133="À décommissionner",IF(AB$8&lt;$AS133,"IKS","Décom."),IF(OR($AQ133="",$AS133=""),"",IF(AB$8&lt;$AQ133,"IKS",IF(AB$8&lt;$AS133,IF(AB$8=$AR133,"Bascule","Double run"),"ROKS"))))))</f>
        <v/>
      </c>
      <c r="AC133" s="51" t="str">
        <f aca="false">IF(OR($A133="",AC$8=""),"",IF($F133="Migré","ROKS",IF($F133="À décommissionner",IF(AC$8&lt;$AS133,"IKS","Décom."),IF(OR($AQ133="",$AS133=""),"",IF(AC$8&lt;$AQ133,"IKS",IF(AC$8&lt;$AS133,IF(AC$8=$AR133,"Bascule","Double run"),"ROKS"))))))</f>
        <v/>
      </c>
      <c r="AD133" s="51" t="str">
        <f aca="false">IF(OR($A133="",AD$8=""),"",IF($F133="Migré","ROKS",IF($F133="À décommissionner",IF(AD$8&lt;$AS133,"IKS","Décom."),IF(OR($AQ133="",$AS133=""),"",IF(AD$8&lt;$AQ133,"IKS",IF(AD$8&lt;$AS133,IF(AD$8=$AR133,"Bascule","Double run"),"ROKS"))))))</f>
        <v/>
      </c>
      <c r="AE133" s="51" t="str">
        <f aca="false">IF(OR($A133="",AE$8=""),"",IF($F133="Migré","ROKS",IF($F133="À décommissionner",IF(AE$8&lt;$AS133,"IKS","Décom."),IF(OR($AQ133="",$AS133=""),"",IF(AE$8&lt;$AQ133,"IKS",IF(AE$8&lt;$AS133,IF(AE$8=$AR133,"Bascule","Double run"),"ROKS"))))))</f>
        <v/>
      </c>
      <c r="AF133" s="51" t="str">
        <f aca="false">IF(OR($A133="",AF$8=""),"",IF($F133="Migré","ROKS",IF($F133="À décommissionner",IF(AF$8&lt;$AS133,"IKS","Décom."),IF(OR($AQ133="",$AS133=""),"",IF(AF$8&lt;$AQ133,"IKS",IF(AF$8&lt;$AS133,IF(AF$8=$AR133,"Bascule","Double run"),"ROKS"))))))</f>
        <v/>
      </c>
      <c r="AG133" s="51" t="str">
        <f aca="false">IF(OR($A133="",AG$8=""),"",IF($F133="Migré","ROKS",IF($F133="À décommissionner",IF(AG$8&lt;$AS133,"IKS","Décom."),IF(OR($AQ133="",$AS133=""),"",IF(AG$8&lt;$AQ133,"IKS",IF(AG$8&lt;$AS133,IF(AG$8=$AR133,"Bascule","Double run"),"ROKS"))))))</f>
        <v/>
      </c>
      <c r="AH133" s="51" t="str">
        <f aca="false">IF(OR($A133="",AH$8=""),"",IF($F133="Migré","ROKS",IF($F133="À décommissionner",IF(AH$8&lt;$AS133,"IKS","Décom."),IF(OR($AQ133="",$AS133=""),"",IF(AH$8&lt;$AQ133,"IKS",IF(AH$8&lt;$AS133,IF(AH$8=$AR133,"Bascule","Double run"),"ROKS"))))))</f>
        <v/>
      </c>
      <c r="AI133" s="51" t="str">
        <f aca="false">IF(OR($A133="",AI$8=""),"",IF($F133="Migré","ROKS",IF($F133="À décommissionner",IF(AI$8&lt;$AS133,"IKS","Décom."),IF(OR($AQ133="",$AS133=""),"",IF(AI$8&lt;$AQ133,"IKS",IF(AI$8&lt;$AS133,IF(AI$8=$AR133,"Bascule","Double run"),"ROKS"))))))</f>
        <v/>
      </c>
      <c r="AJ133" s="51" t="str">
        <f aca="false">IF(OR($A133="",AJ$8=""),"",IF($F133="Migré","ROKS",IF($F133="À décommissionner",IF(AJ$8&lt;$AS133,"IKS","Décom."),IF(OR($AQ133="",$AS133=""),"",IF(AJ$8&lt;$AQ133,"IKS",IF(AJ$8&lt;$AS133,IF(AJ$8=$AR133,"Bascule","Double run"),"ROKS"))))))</f>
        <v/>
      </c>
      <c r="AK133" s="51" t="str">
        <f aca="false">IF(OR($A133="",AK$8=""),"",IF($F133="Migré","ROKS",IF($F133="À décommissionner",IF(AK$8&lt;$AS133,"IKS","Décom."),IF(OR($AQ133="",$AS133=""),"",IF(AK$8&lt;$AQ133,"IKS",IF(AK$8&lt;$AS133,IF(AK$8=$AR133,"Bascule","Double run"),"ROKS"))))))</f>
        <v/>
      </c>
      <c r="AL133" s="51" t="str">
        <f aca="false">IF(OR($A133="",AL$8=""),"",IF($F133="Migré","ROKS",IF($F133="À décommissionner",IF(AL$8&lt;$AS133,"IKS","Décom."),IF(OR($AQ133="",$AS133=""),"",IF(AL$8&lt;$AQ133,"IKS",IF(AL$8&lt;$AS133,IF(AL$8=$AR133,"Bascule","Double run"),"ROKS"))))))</f>
        <v/>
      </c>
      <c r="AM133" s="51" t="str">
        <f aca="false">IF(OR($A133="",AM$8=""),"",IF($F133="Migré","ROKS",IF($F133="À décommissionner",IF(AM$8&lt;$AS133,"IKS","Décom."),IF(OR($AQ133="",$AS133=""),"",IF(AM$8&lt;$AQ133,"IKS",IF(AM$8&lt;$AS133,IF(AM$8=$AR133,"Bascule","Double run"),"ROKS"))))))</f>
        <v/>
      </c>
      <c r="AN133" s="51" t="str">
        <f aca="false">IF(OR($A133="",AN$8=""),"",IF($F133="Migré","ROKS",IF($F133="À décommissionner",IF(AN$8&lt;$AS133,"IKS","Décom."),IF(OR($AQ133="",$AS133=""),"",IF(AN$8&lt;$AQ133,"IKS",IF(AN$8&lt;$AS133,IF(AN$8=$AR133,"Bascule","Double run"),"ROKS"))))))</f>
        <v/>
      </c>
      <c r="AO133" s="51" t="str">
        <f aca="false">IF(OR($A133="",AO$8=""),"",IF($F133="Migré","ROKS",IF($F133="À décommissionner",IF(AO$8&lt;$AS133,"IKS","Décom."),IF(OR($AQ133="",$AS133=""),"",IF(AO$8&lt;$AQ133,"IKS",IF(AO$8&lt;$AS133,IF(AO$8=$AR133,"Bascule","Double run"),"ROKS"))))))</f>
        <v/>
      </c>
      <c r="AP133" s="51" t="str">
        <f aca="false">IF(OR($A133="",AP$8=""),"",IF($F133="Migré","ROKS",IF($F133="À décommissionner",IF(AP$8&lt;$AS133,"IKS","Décom."),IF(OR($AQ133="",$AS133=""),"",IF(AP$8&lt;$AQ133,"IKS",IF(AP$8&lt;$AS133,IF(AP$8=$AR133,"Bascule","Double run"),"ROKS"))))))</f>
        <v/>
      </c>
      <c r="AQ133" s="0" t="str">
        <f aca="false">IF($A133="","",INDEX(TblApplications[Mois prov (calc)],$A133))</f>
        <v/>
      </c>
      <c r="AR133" s="0" t="str">
        <f aca="false">IF($A133="","",IFERROR(DATE(YEAR(INDEX(TblApplications[Mois bascule],$A133)),MONTH(INDEX(TblApplications[Mois bascule],$A133)),1),""))</f>
        <v/>
      </c>
      <c r="AS133" s="0" t="str">
        <f aca="false">IF($A133="","",INDEX(TblApplications[Mois lib (calc)],$A133))</f>
        <v/>
      </c>
    </row>
    <row r="134" customFormat="false" ht="15" hidden="false" customHeight="false" outlineLevel="0" collapsed="false">
      <c r="A134" s="49" t="str">
        <f aca="false">IFERROR(MATCH(126,TblApplications[Rang frise],0),"")</f>
        <v/>
      </c>
      <c r="B134" s="50" t="str">
        <f aca="false">IF($A134="","",INDEX(TblApplications[ID],$A134))</f>
        <v/>
      </c>
      <c r="C134" s="50" t="str">
        <f aca="false">IF($A134="","",INDEX(TblApplications[Application],$A134))</f>
        <v/>
      </c>
      <c r="D134" s="50" t="str">
        <f aca="false">IF($A134="","",INDEX(TblApplications[Environnement],$A134))</f>
        <v/>
      </c>
      <c r="E134" s="50" t="str">
        <f aca="false">IF($A134="","",INDEX(TblApplications[Couloir],$A134))</f>
        <v/>
      </c>
      <c r="F134" s="50" t="str">
        <f aca="false">IF($A134="","",INDEX(TblApplications[Action],$A134))</f>
        <v/>
      </c>
      <c r="G134" s="51" t="str">
        <f aca="false">IF(OR($A134="",G$8=""),"",IF($F134="Migré","ROKS",IF($F134="À décommissionner",IF(G$8&lt;$AS134,"IKS","Décom."),IF(OR($AQ134="",$AS134=""),"",IF(G$8&lt;$AQ134,"IKS",IF(G$8&lt;$AS134,IF(G$8=$AR134,"Bascule","Double run"),"ROKS"))))))</f>
        <v/>
      </c>
      <c r="H134" s="51" t="str">
        <f aca="false">IF(OR($A134="",H$8=""),"",IF($F134="Migré","ROKS",IF($F134="À décommissionner",IF(H$8&lt;$AS134,"IKS","Décom."),IF(OR($AQ134="",$AS134=""),"",IF(H$8&lt;$AQ134,"IKS",IF(H$8&lt;$AS134,IF(H$8=$AR134,"Bascule","Double run"),"ROKS"))))))</f>
        <v/>
      </c>
      <c r="I134" s="51" t="str">
        <f aca="false">IF(OR($A134="",I$8=""),"",IF($F134="Migré","ROKS",IF($F134="À décommissionner",IF(I$8&lt;$AS134,"IKS","Décom."),IF(OR($AQ134="",$AS134=""),"",IF(I$8&lt;$AQ134,"IKS",IF(I$8&lt;$AS134,IF(I$8=$AR134,"Bascule","Double run"),"ROKS"))))))</f>
        <v/>
      </c>
      <c r="J134" s="51" t="str">
        <f aca="false">IF(OR($A134="",J$8=""),"",IF($F134="Migré","ROKS",IF($F134="À décommissionner",IF(J$8&lt;$AS134,"IKS","Décom."),IF(OR($AQ134="",$AS134=""),"",IF(J$8&lt;$AQ134,"IKS",IF(J$8&lt;$AS134,IF(J$8=$AR134,"Bascule","Double run"),"ROKS"))))))</f>
        <v/>
      </c>
      <c r="K134" s="51" t="str">
        <f aca="false">IF(OR($A134="",K$8=""),"",IF($F134="Migré","ROKS",IF($F134="À décommissionner",IF(K$8&lt;$AS134,"IKS","Décom."),IF(OR($AQ134="",$AS134=""),"",IF(K$8&lt;$AQ134,"IKS",IF(K$8&lt;$AS134,IF(K$8=$AR134,"Bascule","Double run"),"ROKS"))))))</f>
        <v/>
      </c>
      <c r="L134" s="51" t="str">
        <f aca="false">IF(OR($A134="",L$8=""),"",IF($F134="Migré","ROKS",IF($F134="À décommissionner",IF(L$8&lt;$AS134,"IKS","Décom."),IF(OR($AQ134="",$AS134=""),"",IF(L$8&lt;$AQ134,"IKS",IF(L$8&lt;$AS134,IF(L$8=$AR134,"Bascule","Double run"),"ROKS"))))))</f>
        <v/>
      </c>
      <c r="M134" s="51" t="str">
        <f aca="false">IF(OR($A134="",M$8=""),"",IF($F134="Migré","ROKS",IF($F134="À décommissionner",IF(M$8&lt;$AS134,"IKS","Décom."),IF(OR($AQ134="",$AS134=""),"",IF(M$8&lt;$AQ134,"IKS",IF(M$8&lt;$AS134,IF(M$8=$AR134,"Bascule","Double run"),"ROKS"))))))</f>
        <v/>
      </c>
      <c r="N134" s="51" t="str">
        <f aca="false">IF(OR($A134="",N$8=""),"",IF($F134="Migré","ROKS",IF($F134="À décommissionner",IF(N$8&lt;$AS134,"IKS","Décom."),IF(OR($AQ134="",$AS134=""),"",IF(N$8&lt;$AQ134,"IKS",IF(N$8&lt;$AS134,IF(N$8=$AR134,"Bascule","Double run"),"ROKS"))))))</f>
        <v/>
      </c>
      <c r="O134" s="51" t="str">
        <f aca="false">IF(OR($A134="",O$8=""),"",IF($F134="Migré","ROKS",IF($F134="À décommissionner",IF(O$8&lt;$AS134,"IKS","Décom."),IF(OR($AQ134="",$AS134=""),"",IF(O$8&lt;$AQ134,"IKS",IF(O$8&lt;$AS134,IF(O$8=$AR134,"Bascule","Double run"),"ROKS"))))))</f>
        <v/>
      </c>
      <c r="P134" s="51" t="str">
        <f aca="false">IF(OR($A134="",P$8=""),"",IF($F134="Migré","ROKS",IF($F134="À décommissionner",IF(P$8&lt;$AS134,"IKS","Décom."),IF(OR($AQ134="",$AS134=""),"",IF(P$8&lt;$AQ134,"IKS",IF(P$8&lt;$AS134,IF(P$8=$AR134,"Bascule","Double run"),"ROKS"))))))</f>
        <v/>
      </c>
      <c r="Q134" s="51" t="str">
        <f aca="false">IF(OR($A134="",Q$8=""),"",IF($F134="Migré","ROKS",IF($F134="À décommissionner",IF(Q$8&lt;$AS134,"IKS","Décom."),IF(OR($AQ134="",$AS134=""),"",IF(Q$8&lt;$AQ134,"IKS",IF(Q$8&lt;$AS134,IF(Q$8=$AR134,"Bascule","Double run"),"ROKS"))))))</f>
        <v/>
      </c>
      <c r="R134" s="51" t="str">
        <f aca="false">IF(OR($A134="",R$8=""),"",IF($F134="Migré","ROKS",IF($F134="À décommissionner",IF(R$8&lt;$AS134,"IKS","Décom."),IF(OR($AQ134="",$AS134=""),"",IF(R$8&lt;$AQ134,"IKS",IF(R$8&lt;$AS134,IF(R$8=$AR134,"Bascule","Double run"),"ROKS"))))))</f>
        <v/>
      </c>
      <c r="S134" s="51" t="str">
        <f aca="false">IF(OR($A134="",S$8=""),"",IF($F134="Migré","ROKS",IF($F134="À décommissionner",IF(S$8&lt;$AS134,"IKS","Décom."),IF(OR($AQ134="",$AS134=""),"",IF(S$8&lt;$AQ134,"IKS",IF(S$8&lt;$AS134,IF(S$8=$AR134,"Bascule","Double run"),"ROKS"))))))</f>
        <v/>
      </c>
      <c r="T134" s="51" t="str">
        <f aca="false">IF(OR($A134="",T$8=""),"",IF($F134="Migré","ROKS",IF($F134="À décommissionner",IF(T$8&lt;$AS134,"IKS","Décom."),IF(OR($AQ134="",$AS134=""),"",IF(T$8&lt;$AQ134,"IKS",IF(T$8&lt;$AS134,IF(T$8=$AR134,"Bascule","Double run"),"ROKS"))))))</f>
        <v/>
      </c>
      <c r="U134" s="51" t="str">
        <f aca="false">IF(OR($A134="",U$8=""),"",IF($F134="Migré","ROKS",IF($F134="À décommissionner",IF(U$8&lt;$AS134,"IKS","Décom."),IF(OR($AQ134="",$AS134=""),"",IF(U$8&lt;$AQ134,"IKS",IF(U$8&lt;$AS134,IF(U$8=$AR134,"Bascule","Double run"),"ROKS"))))))</f>
        <v/>
      </c>
      <c r="V134" s="51" t="str">
        <f aca="false">IF(OR($A134="",V$8=""),"",IF($F134="Migré","ROKS",IF($F134="À décommissionner",IF(V$8&lt;$AS134,"IKS","Décom."),IF(OR($AQ134="",$AS134=""),"",IF(V$8&lt;$AQ134,"IKS",IF(V$8&lt;$AS134,IF(V$8=$AR134,"Bascule","Double run"),"ROKS"))))))</f>
        <v/>
      </c>
      <c r="W134" s="51" t="str">
        <f aca="false">IF(OR($A134="",W$8=""),"",IF($F134="Migré","ROKS",IF($F134="À décommissionner",IF(W$8&lt;$AS134,"IKS","Décom."),IF(OR($AQ134="",$AS134=""),"",IF(W$8&lt;$AQ134,"IKS",IF(W$8&lt;$AS134,IF(W$8=$AR134,"Bascule","Double run"),"ROKS"))))))</f>
        <v/>
      </c>
      <c r="X134" s="51" t="str">
        <f aca="false">IF(OR($A134="",X$8=""),"",IF($F134="Migré","ROKS",IF($F134="À décommissionner",IF(X$8&lt;$AS134,"IKS","Décom."),IF(OR($AQ134="",$AS134=""),"",IF(X$8&lt;$AQ134,"IKS",IF(X$8&lt;$AS134,IF(X$8=$AR134,"Bascule","Double run"),"ROKS"))))))</f>
        <v/>
      </c>
      <c r="Y134" s="51" t="str">
        <f aca="false">IF(OR($A134="",Y$8=""),"",IF($F134="Migré","ROKS",IF($F134="À décommissionner",IF(Y$8&lt;$AS134,"IKS","Décom."),IF(OR($AQ134="",$AS134=""),"",IF(Y$8&lt;$AQ134,"IKS",IF(Y$8&lt;$AS134,IF(Y$8=$AR134,"Bascule","Double run"),"ROKS"))))))</f>
        <v/>
      </c>
      <c r="Z134" s="51" t="str">
        <f aca="false">IF(OR($A134="",Z$8=""),"",IF($F134="Migré","ROKS",IF($F134="À décommissionner",IF(Z$8&lt;$AS134,"IKS","Décom."),IF(OR($AQ134="",$AS134=""),"",IF(Z$8&lt;$AQ134,"IKS",IF(Z$8&lt;$AS134,IF(Z$8=$AR134,"Bascule","Double run"),"ROKS"))))))</f>
        <v/>
      </c>
      <c r="AA134" s="51" t="str">
        <f aca="false">IF(OR($A134="",AA$8=""),"",IF($F134="Migré","ROKS",IF($F134="À décommissionner",IF(AA$8&lt;$AS134,"IKS","Décom."),IF(OR($AQ134="",$AS134=""),"",IF(AA$8&lt;$AQ134,"IKS",IF(AA$8&lt;$AS134,IF(AA$8=$AR134,"Bascule","Double run"),"ROKS"))))))</f>
        <v/>
      </c>
      <c r="AB134" s="51" t="str">
        <f aca="false">IF(OR($A134="",AB$8=""),"",IF($F134="Migré","ROKS",IF($F134="À décommissionner",IF(AB$8&lt;$AS134,"IKS","Décom."),IF(OR($AQ134="",$AS134=""),"",IF(AB$8&lt;$AQ134,"IKS",IF(AB$8&lt;$AS134,IF(AB$8=$AR134,"Bascule","Double run"),"ROKS"))))))</f>
        <v/>
      </c>
      <c r="AC134" s="51" t="str">
        <f aca="false">IF(OR($A134="",AC$8=""),"",IF($F134="Migré","ROKS",IF($F134="À décommissionner",IF(AC$8&lt;$AS134,"IKS","Décom."),IF(OR($AQ134="",$AS134=""),"",IF(AC$8&lt;$AQ134,"IKS",IF(AC$8&lt;$AS134,IF(AC$8=$AR134,"Bascule","Double run"),"ROKS"))))))</f>
        <v/>
      </c>
      <c r="AD134" s="51" t="str">
        <f aca="false">IF(OR($A134="",AD$8=""),"",IF($F134="Migré","ROKS",IF($F134="À décommissionner",IF(AD$8&lt;$AS134,"IKS","Décom."),IF(OR($AQ134="",$AS134=""),"",IF(AD$8&lt;$AQ134,"IKS",IF(AD$8&lt;$AS134,IF(AD$8=$AR134,"Bascule","Double run"),"ROKS"))))))</f>
        <v/>
      </c>
      <c r="AE134" s="51" t="str">
        <f aca="false">IF(OR($A134="",AE$8=""),"",IF($F134="Migré","ROKS",IF($F134="À décommissionner",IF(AE$8&lt;$AS134,"IKS","Décom."),IF(OR($AQ134="",$AS134=""),"",IF(AE$8&lt;$AQ134,"IKS",IF(AE$8&lt;$AS134,IF(AE$8=$AR134,"Bascule","Double run"),"ROKS"))))))</f>
        <v/>
      </c>
      <c r="AF134" s="51" t="str">
        <f aca="false">IF(OR($A134="",AF$8=""),"",IF($F134="Migré","ROKS",IF($F134="À décommissionner",IF(AF$8&lt;$AS134,"IKS","Décom."),IF(OR($AQ134="",$AS134=""),"",IF(AF$8&lt;$AQ134,"IKS",IF(AF$8&lt;$AS134,IF(AF$8=$AR134,"Bascule","Double run"),"ROKS"))))))</f>
        <v/>
      </c>
      <c r="AG134" s="51" t="str">
        <f aca="false">IF(OR($A134="",AG$8=""),"",IF($F134="Migré","ROKS",IF($F134="À décommissionner",IF(AG$8&lt;$AS134,"IKS","Décom."),IF(OR($AQ134="",$AS134=""),"",IF(AG$8&lt;$AQ134,"IKS",IF(AG$8&lt;$AS134,IF(AG$8=$AR134,"Bascule","Double run"),"ROKS"))))))</f>
        <v/>
      </c>
      <c r="AH134" s="51" t="str">
        <f aca="false">IF(OR($A134="",AH$8=""),"",IF($F134="Migré","ROKS",IF($F134="À décommissionner",IF(AH$8&lt;$AS134,"IKS","Décom."),IF(OR($AQ134="",$AS134=""),"",IF(AH$8&lt;$AQ134,"IKS",IF(AH$8&lt;$AS134,IF(AH$8=$AR134,"Bascule","Double run"),"ROKS"))))))</f>
        <v/>
      </c>
      <c r="AI134" s="51" t="str">
        <f aca="false">IF(OR($A134="",AI$8=""),"",IF($F134="Migré","ROKS",IF($F134="À décommissionner",IF(AI$8&lt;$AS134,"IKS","Décom."),IF(OR($AQ134="",$AS134=""),"",IF(AI$8&lt;$AQ134,"IKS",IF(AI$8&lt;$AS134,IF(AI$8=$AR134,"Bascule","Double run"),"ROKS"))))))</f>
        <v/>
      </c>
      <c r="AJ134" s="51" t="str">
        <f aca="false">IF(OR($A134="",AJ$8=""),"",IF($F134="Migré","ROKS",IF($F134="À décommissionner",IF(AJ$8&lt;$AS134,"IKS","Décom."),IF(OR($AQ134="",$AS134=""),"",IF(AJ$8&lt;$AQ134,"IKS",IF(AJ$8&lt;$AS134,IF(AJ$8=$AR134,"Bascule","Double run"),"ROKS"))))))</f>
        <v/>
      </c>
      <c r="AK134" s="51" t="str">
        <f aca="false">IF(OR($A134="",AK$8=""),"",IF($F134="Migré","ROKS",IF($F134="À décommissionner",IF(AK$8&lt;$AS134,"IKS","Décom."),IF(OR($AQ134="",$AS134=""),"",IF(AK$8&lt;$AQ134,"IKS",IF(AK$8&lt;$AS134,IF(AK$8=$AR134,"Bascule","Double run"),"ROKS"))))))</f>
        <v/>
      </c>
      <c r="AL134" s="51" t="str">
        <f aca="false">IF(OR($A134="",AL$8=""),"",IF($F134="Migré","ROKS",IF($F134="À décommissionner",IF(AL$8&lt;$AS134,"IKS","Décom."),IF(OR($AQ134="",$AS134=""),"",IF(AL$8&lt;$AQ134,"IKS",IF(AL$8&lt;$AS134,IF(AL$8=$AR134,"Bascule","Double run"),"ROKS"))))))</f>
        <v/>
      </c>
      <c r="AM134" s="51" t="str">
        <f aca="false">IF(OR($A134="",AM$8=""),"",IF($F134="Migré","ROKS",IF($F134="À décommissionner",IF(AM$8&lt;$AS134,"IKS","Décom."),IF(OR($AQ134="",$AS134=""),"",IF(AM$8&lt;$AQ134,"IKS",IF(AM$8&lt;$AS134,IF(AM$8=$AR134,"Bascule","Double run"),"ROKS"))))))</f>
        <v/>
      </c>
      <c r="AN134" s="51" t="str">
        <f aca="false">IF(OR($A134="",AN$8=""),"",IF($F134="Migré","ROKS",IF($F134="À décommissionner",IF(AN$8&lt;$AS134,"IKS","Décom."),IF(OR($AQ134="",$AS134=""),"",IF(AN$8&lt;$AQ134,"IKS",IF(AN$8&lt;$AS134,IF(AN$8=$AR134,"Bascule","Double run"),"ROKS"))))))</f>
        <v/>
      </c>
      <c r="AO134" s="51" t="str">
        <f aca="false">IF(OR($A134="",AO$8=""),"",IF($F134="Migré","ROKS",IF($F134="À décommissionner",IF(AO$8&lt;$AS134,"IKS","Décom."),IF(OR($AQ134="",$AS134=""),"",IF(AO$8&lt;$AQ134,"IKS",IF(AO$8&lt;$AS134,IF(AO$8=$AR134,"Bascule","Double run"),"ROKS"))))))</f>
        <v/>
      </c>
      <c r="AP134" s="51" t="str">
        <f aca="false">IF(OR($A134="",AP$8=""),"",IF($F134="Migré","ROKS",IF($F134="À décommissionner",IF(AP$8&lt;$AS134,"IKS","Décom."),IF(OR($AQ134="",$AS134=""),"",IF(AP$8&lt;$AQ134,"IKS",IF(AP$8&lt;$AS134,IF(AP$8=$AR134,"Bascule","Double run"),"ROKS"))))))</f>
        <v/>
      </c>
      <c r="AQ134" s="0" t="str">
        <f aca="false">IF($A134="","",INDEX(TblApplications[Mois prov (calc)],$A134))</f>
        <v/>
      </c>
      <c r="AR134" s="0" t="str">
        <f aca="false">IF($A134="","",IFERROR(DATE(YEAR(INDEX(TblApplications[Mois bascule],$A134)),MONTH(INDEX(TblApplications[Mois bascule],$A134)),1),""))</f>
        <v/>
      </c>
      <c r="AS134" s="0" t="str">
        <f aca="false">IF($A134="","",INDEX(TblApplications[Mois lib (calc)],$A134))</f>
        <v/>
      </c>
    </row>
    <row r="135" customFormat="false" ht="15" hidden="false" customHeight="false" outlineLevel="0" collapsed="false">
      <c r="A135" s="49" t="str">
        <f aca="false">IFERROR(MATCH(127,TblApplications[Rang frise],0),"")</f>
        <v/>
      </c>
      <c r="B135" s="50" t="str">
        <f aca="false">IF($A135="","",INDEX(TblApplications[ID],$A135))</f>
        <v/>
      </c>
      <c r="C135" s="50" t="str">
        <f aca="false">IF($A135="","",INDEX(TblApplications[Application],$A135))</f>
        <v/>
      </c>
      <c r="D135" s="50" t="str">
        <f aca="false">IF($A135="","",INDEX(TblApplications[Environnement],$A135))</f>
        <v/>
      </c>
      <c r="E135" s="50" t="str">
        <f aca="false">IF($A135="","",INDEX(TblApplications[Couloir],$A135))</f>
        <v/>
      </c>
      <c r="F135" s="50" t="str">
        <f aca="false">IF($A135="","",INDEX(TblApplications[Action],$A135))</f>
        <v/>
      </c>
      <c r="G135" s="51" t="str">
        <f aca="false">IF(OR($A135="",G$8=""),"",IF($F135="Migré","ROKS",IF($F135="À décommissionner",IF(G$8&lt;$AS135,"IKS","Décom."),IF(OR($AQ135="",$AS135=""),"",IF(G$8&lt;$AQ135,"IKS",IF(G$8&lt;$AS135,IF(G$8=$AR135,"Bascule","Double run"),"ROKS"))))))</f>
        <v/>
      </c>
      <c r="H135" s="51" t="str">
        <f aca="false">IF(OR($A135="",H$8=""),"",IF($F135="Migré","ROKS",IF($F135="À décommissionner",IF(H$8&lt;$AS135,"IKS","Décom."),IF(OR($AQ135="",$AS135=""),"",IF(H$8&lt;$AQ135,"IKS",IF(H$8&lt;$AS135,IF(H$8=$AR135,"Bascule","Double run"),"ROKS"))))))</f>
        <v/>
      </c>
      <c r="I135" s="51" t="str">
        <f aca="false">IF(OR($A135="",I$8=""),"",IF($F135="Migré","ROKS",IF($F135="À décommissionner",IF(I$8&lt;$AS135,"IKS","Décom."),IF(OR($AQ135="",$AS135=""),"",IF(I$8&lt;$AQ135,"IKS",IF(I$8&lt;$AS135,IF(I$8=$AR135,"Bascule","Double run"),"ROKS"))))))</f>
        <v/>
      </c>
      <c r="J135" s="51" t="str">
        <f aca="false">IF(OR($A135="",J$8=""),"",IF($F135="Migré","ROKS",IF($F135="À décommissionner",IF(J$8&lt;$AS135,"IKS","Décom."),IF(OR($AQ135="",$AS135=""),"",IF(J$8&lt;$AQ135,"IKS",IF(J$8&lt;$AS135,IF(J$8=$AR135,"Bascule","Double run"),"ROKS"))))))</f>
        <v/>
      </c>
      <c r="K135" s="51" t="str">
        <f aca="false">IF(OR($A135="",K$8=""),"",IF($F135="Migré","ROKS",IF($F135="À décommissionner",IF(K$8&lt;$AS135,"IKS","Décom."),IF(OR($AQ135="",$AS135=""),"",IF(K$8&lt;$AQ135,"IKS",IF(K$8&lt;$AS135,IF(K$8=$AR135,"Bascule","Double run"),"ROKS"))))))</f>
        <v/>
      </c>
      <c r="L135" s="51" t="str">
        <f aca="false">IF(OR($A135="",L$8=""),"",IF($F135="Migré","ROKS",IF($F135="À décommissionner",IF(L$8&lt;$AS135,"IKS","Décom."),IF(OR($AQ135="",$AS135=""),"",IF(L$8&lt;$AQ135,"IKS",IF(L$8&lt;$AS135,IF(L$8=$AR135,"Bascule","Double run"),"ROKS"))))))</f>
        <v/>
      </c>
      <c r="M135" s="51" t="str">
        <f aca="false">IF(OR($A135="",M$8=""),"",IF($F135="Migré","ROKS",IF($F135="À décommissionner",IF(M$8&lt;$AS135,"IKS","Décom."),IF(OR($AQ135="",$AS135=""),"",IF(M$8&lt;$AQ135,"IKS",IF(M$8&lt;$AS135,IF(M$8=$AR135,"Bascule","Double run"),"ROKS"))))))</f>
        <v/>
      </c>
      <c r="N135" s="51" t="str">
        <f aca="false">IF(OR($A135="",N$8=""),"",IF($F135="Migré","ROKS",IF($F135="À décommissionner",IF(N$8&lt;$AS135,"IKS","Décom."),IF(OR($AQ135="",$AS135=""),"",IF(N$8&lt;$AQ135,"IKS",IF(N$8&lt;$AS135,IF(N$8=$AR135,"Bascule","Double run"),"ROKS"))))))</f>
        <v/>
      </c>
      <c r="O135" s="51" t="str">
        <f aca="false">IF(OR($A135="",O$8=""),"",IF($F135="Migré","ROKS",IF($F135="À décommissionner",IF(O$8&lt;$AS135,"IKS","Décom."),IF(OR($AQ135="",$AS135=""),"",IF(O$8&lt;$AQ135,"IKS",IF(O$8&lt;$AS135,IF(O$8=$AR135,"Bascule","Double run"),"ROKS"))))))</f>
        <v/>
      </c>
      <c r="P135" s="51" t="str">
        <f aca="false">IF(OR($A135="",P$8=""),"",IF($F135="Migré","ROKS",IF($F135="À décommissionner",IF(P$8&lt;$AS135,"IKS","Décom."),IF(OR($AQ135="",$AS135=""),"",IF(P$8&lt;$AQ135,"IKS",IF(P$8&lt;$AS135,IF(P$8=$AR135,"Bascule","Double run"),"ROKS"))))))</f>
        <v/>
      </c>
      <c r="Q135" s="51" t="str">
        <f aca="false">IF(OR($A135="",Q$8=""),"",IF($F135="Migré","ROKS",IF($F135="À décommissionner",IF(Q$8&lt;$AS135,"IKS","Décom."),IF(OR($AQ135="",$AS135=""),"",IF(Q$8&lt;$AQ135,"IKS",IF(Q$8&lt;$AS135,IF(Q$8=$AR135,"Bascule","Double run"),"ROKS"))))))</f>
        <v/>
      </c>
      <c r="R135" s="51" t="str">
        <f aca="false">IF(OR($A135="",R$8=""),"",IF($F135="Migré","ROKS",IF($F135="À décommissionner",IF(R$8&lt;$AS135,"IKS","Décom."),IF(OR($AQ135="",$AS135=""),"",IF(R$8&lt;$AQ135,"IKS",IF(R$8&lt;$AS135,IF(R$8=$AR135,"Bascule","Double run"),"ROKS"))))))</f>
        <v/>
      </c>
      <c r="S135" s="51" t="str">
        <f aca="false">IF(OR($A135="",S$8=""),"",IF($F135="Migré","ROKS",IF($F135="À décommissionner",IF(S$8&lt;$AS135,"IKS","Décom."),IF(OR($AQ135="",$AS135=""),"",IF(S$8&lt;$AQ135,"IKS",IF(S$8&lt;$AS135,IF(S$8=$AR135,"Bascule","Double run"),"ROKS"))))))</f>
        <v/>
      </c>
      <c r="T135" s="51" t="str">
        <f aca="false">IF(OR($A135="",T$8=""),"",IF($F135="Migré","ROKS",IF($F135="À décommissionner",IF(T$8&lt;$AS135,"IKS","Décom."),IF(OR($AQ135="",$AS135=""),"",IF(T$8&lt;$AQ135,"IKS",IF(T$8&lt;$AS135,IF(T$8=$AR135,"Bascule","Double run"),"ROKS"))))))</f>
        <v/>
      </c>
      <c r="U135" s="51" t="str">
        <f aca="false">IF(OR($A135="",U$8=""),"",IF($F135="Migré","ROKS",IF($F135="À décommissionner",IF(U$8&lt;$AS135,"IKS","Décom."),IF(OR($AQ135="",$AS135=""),"",IF(U$8&lt;$AQ135,"IKS",IF(U$8&lt;$AS135,IF(U$8=$AR135,"Bascule","Double run"),"ROKS"))))))</f>
        <v/>
      </c>
      <c r="V135" s="51" t="str">
        <f aca="false">IF(OR($A135="",V$8=""),"",IF($F135="Migré","ROKS",IF($F135="À décommissionner",IF(V$8&lt;$AS135,"IKS","Décom."),IF(OR($AQ135="",$AS135=""),"",IF(V$8&lt;$AQ135,"IKS",IF(V$8&lt;$AS135,IF(V$8=$AR135,"Bascule","Double run"),"ROKS"))))))</f>
        <v/>
      </c>
      <c r="W135" s="51" t="str">
        <f aca="false">IF(OR($A135="",W$8=""),"",IF($F135="Migré","ROKS",IF($F135="À décommissionner",IF(W$8&lt;$AS135,"IKS","Décom."),IF(OR($AQ135="",$AS135=""),"",IF(W$8&lt;$AQ135,"IKS",IF(W$8&lt;$AS135,IF(W$8=$AR135,"Bascule","Double run"),"ROKS"))))))</f>
        <v/>
      </c>
      <c r="X135" s="51" t="str">
        <f aca="false">IF(OR($A135="",X$8=""),"",IF($F135="Migré","ROKS",IF($F135="À décommissionner",IF(X$8&lt;$AS135,"IKS","Décom."),IF(OR($AQ135="",$AS135=""),"",IF(X$8&lt;$AQ135,"IKS",IF(X$8&lt;$AS135,IF(X$8=$AR135,"Bascule","Double run"),"ROKS"))))))</f>
        <v/>
      </c>
      <c r="Y135" s="51" t="str">
        <f aca="false">IF(OR($A135="",Y$8=""),"",IF($F135="Migré","ROKS",IF($F135="À décommissionner",IF(Y$8&lt;$AS135,"IKS","Décom."),IF(OR($AQ135="",$AS135=""),"",IF(Y$8&lt;$AQ135,"IKS",IF(Y$8&lt;$AS135,IF(Y$8=$AR135,"Bascule","Double run"),"ROKS"))))))</f>
        <v/>
      </c>
      <c r="Z135" s="51" t="str">
        <f aca="false">IF(OR($A135="",Z$8=""),"",IF($F135="Migré","ROKS",IF($F135="À décommissionner",IF(Z$8&lt;$AS135,"IKS","Décom."),IF(OR($AQ135="",$AS135=""),"",IF(Z$8&lt;$AQ135,"IKS",IF(Z$8&lt;$AS135,IF(Z$8=$AR135,"Bascule","Double run"),"ROKS"))))))</f>
        <v/>
      </c>
      <c r="AA135" s="51" t="str">
        <f aca="false">IF(OR($A135="",AA$8=""),"",IF($F135="Migré","ROKS",IF($F135="À décommissionner",IF(AA$8&lt;$AS135,"IKS","Décom."),IF(OR($AQ135="",$AS135=""),"",IF(AA$8&lt;$AQ135,"IKS",IF(AA$8&lt;$AS135,IF(AA$8=$AR135,"Bascule","Double run"),"ROKS"))))))</f>
        <v/>
      </c>
      <c r="AB135" s="51" t="str">
        <f aca="false">IF(OR($A135="",AB$8=""),"",IF($F135="Migré","ROKS",IF($F135="À décommissionner",IF(AB$8&lt;$AS135,"IKS","Décom."),IF(OR($AQ135="",$AS135=""),"",IF(AB$8&lt;$AQ135,"IKS",IF(AB$8&lt;$AS135,IF(AB$8=$AR135,"Bascule","Double run"),"ROKS"))))))</f>
        <v/>
      </c>
      <c r="AC135" s="51" t="str">
        <f aca="false">IF(OR($A135="",AC$8=""),"",IF($F135="Migré","ROKS",IF($F135="À décommissionner",IF(AC$8&lt;$AS135,"IKS","Décom."),IF(OR($AQ135="",$AS135=""),"",IF(AC$8&lt;$AQ135,"IKS",IF(AC$8&lt;$AS135,IF(AC$8=$AR135,"Bascule","Double run"),"ROKS"))))))</f>
        <v/>
      </c>
      <c r="AD135" s="51" t="str">
        <f aca="false">IF(OR($A135="",AD$8=""),"",IF($F135="Migré","ROKS",IF($F135="À décommissionner",IF(AD$8&lt;$AS135,"IKS","Décom."),IF(OR($AQ135="",$AS135=""),"",IF(AD$8&lt;$AQ135,"IKS",IF(AD$8&lt;$AS135,IF(AD$8=$AR135,"Bascule","Double run"),"ROKS"))))))</f>
        <v/>
      </c>
      <c r="AE135" s="51" t="str">
        <f aca="false">IF(OR($A135="",AE$8=""),"",IF($F135="Migré","ROKS",IF($F135="À décommissionner",IF(AE$8&lt;$AS135,"IKS","Décom."),IF(OR($AQ135="",$AS135=""),"",IF(AE$8&lt;$AQ135,"IKS",IF(AE$8&lt;$AS135,IF(AE$8=$AR135,"Bascule","Double run"),"ROKS"))))))</f>
        <v/>
      </c>
      <c r="AF135" s="51" t="str">
        <f aca="false">IF(OR($A135="",AF$8=""),"",IF($F135="Migré","ROKS",IF($F135="À décommissionner",IF(AF$8&lt;$AS135,"IKS","Décom."),IF(OR($AQ135="",$AS135=""),"",IF(AF$8&lt;$AQ135,"IKS",IF(AF$8&lt;$AS135,IF(AF$8=$AR135,"Bascule","Double run"),"ROKS"))))))</f>
        <v/>
      </c>
      <c r="AG135" s="51" t="str">
        <f aca="false">IF(OR($A135="",AG$8=""),"",IF($F135="Migré","ROKS",IF($F135="À décommissionner",IF(AG$8&lt;$AS135,"IKS","Décom."),IF(OR($AQ135="",$AS135=""),"",IF(AG$8&lt;$AQ135,"IKS",IF(AG$8&lt;$AS135,IF(AG$8=$AR135,"Bascule","Double run"),"ROKS"))))))</f>
        <v/>
      </c>
      <c r="AH135" s="51" t="str">
        <f aca="false">IF(OR($A135="",AH$8=""),"",IF($F135="Migré","ROKS",IF($F135="À décommissionner",IF(AH$8&lt;$AS135,"IKS","Décom."),IF(OR($AQ135="",$AS135=""),"",IF(AH$8&lt;$AQ135,"IKS",IF(AH$8&lt;$AS135,IF(AH$8=$AR135,"Bascule","Double run"),"ROKS"))))))</f>
        <v/>
      </c>
      <c r="AI135" s="51" t="str">
        <f aca="false">IF(OR($A135="",AI$8=""),"",IF($F135="Migré","ROKS",IF($F135="À décommissionner",IF(AI$8&lt;$AS135,"IKS","Décom."),IF(OR($AQ135="",$AS135=""),"",IF(AI$8&lt;$AQ135,"IKS",IF(AI$8&lt;$AS135,IF(AI$8=$AR135,"Bascule","Double run"),"ROKS"))))))</f>
        <v/>
      </c>
      <c r="AJ135" s="51" t="str">
        <f aca="false">IF(OR($A135="",AJ$8=""),"",IF($F135="Migré","ROKS",IF($F135="À décommissionner",IF(AJ$8&lt;$AS135,"IKS","Décom."),IF(OR($AQ135="",$AS135=""),"",IF(AJ$8&lt;$AQ135,"IKS",IF(AJ$8&lt;$AS135,IF(AJ$8=$AR135,"Bascule","Double run"),"ROKS"))))))</f>
        <v/>
      </c>
      <c r="AK135" s="51" t="str">
        <f aca="false">IF(OR($A135="",AK$8=""),"",IF($F135="Migré","ROKS",IF($F135="À décommissionner",IF(AK$8&lt;$AS135,"IKS","Décom."),IF(OR($AQ135="",$AS135=""),"",IF(AK$8&lt;$AQ135,"IKS",IF(AK$8&lt;$AS135,IF(AK$8=$AR135,"Bascule","Double run"),"ROKS"))))))</f>
        <v/>
      </c>
      <c r="AL135" s="51" t="str">
        <f aca="false">IF(OR($A135="",AL$8=""),"",IF($F135="Migré","ROKS",IF($F135="À décommissionner",IF(AL$8&lt;$AS135,"IKS","Décom."),IF(OR($AQ135="",$AS135=""),"",IF(AL$8&lt;$AQ135,"IKS",IF(AL$8&lt;$AS135,IF(AL$8=$AR135,"Bascule","Double run"),"ROKS"))))))</f>
        <v/>
      </c>
      <c r="AM135" s="51" t="str">
        <f aca="false">IF(OR($A135="",AM$8=""),"",IF($F135="Migré","ROKS",IF($F135="À décommissionner",IF(AM$8&lt;$AS135,"IKS","Décom."),IF(OR($AQ135="",$AS135=""),"",IF(AM$8&lt;$AQ135,"IKS",IF(AM$8&lt;$AS135,IF(AM$8=$AR135,"Bascule","Double run"),"ROKS"))))))</f>
        <v/>
      </c>
      <c r="AN135" s="51" t="str">
        <f aca="false">IF(OR($A135="",AN$8=""),"",IF($F135="Migré","ROKS",IF($F135="À décommissionner",IF(AN$8&lt;$AS135,"IKS","Décom."),IF(OR($AQ135="",$AS135=""),"",IF(AN$8&lt;$AQ135,"IKS",IF(AN$8&lt;$AS135,IF(AN$8=$AR135,"Bascule","Double run"),"ROKS"))))))</f>
        <v/>
      </c>
      <c r="AO135" s="51" t="str">
        <f aca="false">IF(OR($A135="",AO$8=""),"",IF($F135="Migré","ROKS",IF($F135="À décommissionner",IF(AO$8&lt;$AS135,"IKS","Décom."),IF(OR($AQ135="",$AS135=""),"",IF(AO$8&lt;$AQ135,"IKS",IF(AO$8&lt;$AS135,IF(AO$8=$AR135,"Bascule","Double run"),"ROKS"))))))</f>
        <v/>
      </c>
      <c r="AP135" s="51" t="str">
        <f aca="false">IF(OR($A135="",AP$8=""),"",IF($F135="Migré","ROKS",IF($F135="À décommissionner",IF(AP$8&lt;$AS135,"IKS","Décom."),IF(OR($AQ135="",$AS135=""),"",IF(AP$8&lt;$AQ135,"IKS",IF(AP$8&lt;$AS135,IF(AP$8=$AR135,"Bascule","Double run"),"ROKS"))))))</f>
        <v/>
      </c>
      <c r="AQ135" s="0" t="str">
        <f aca="false">IF($A135="","",INDEX(TblApplications[Mois prov (calc)],$A135))</f>
        <v/>
      </c>
      <c r="AR135" s="0" t="str">
        <f aca="false">IF($A135="","",IFERROR(DATE(YEAR(INDEX(TblApplications[Mois bascule],$A135)),MONTH(INDEX(TblApplications[Mois bascule],$A135)),1),""))</f>
        <v/>
      </c>
      <c r="AS135" s="0" t="str">
        <f aca="false">IF($A135="","",INDEX(TblApplications[Mois lib (calc)],$A135))</f>
        <v/>
      </c>
    </row>
    <row r="136" customFormat="false" ht="15" hidden="false" customHeight="false" outlineLevel="0" collapsed="false">
      <c r="A136" s="49" t="str">
        <f aca="false">IFERROR(MATCH(128,TblApplications[Rang frise],0),"")</f>
        <v/>
      </c>
      <c r="B136" s="50" t="str">
        <f aca="false">IF($A136="","",INDEX(TblApplications[ID],$A136))</f>
        <v/>
      </c>
      <c r="C136" s="50" t="str">
        <f aca="false">IF($A136="","",INDEX(TblApplications[Application],$A136))</f>
        <v/>
      </c>
      <c r="D136" s="50" t="str">
        <f aca="false">IF($A136="","",INDEX(TblApplications[Environnement],$A136))</f>
        <v/>
      </c>
      <c r="E136" s="50" t="str">
        <f aca="false">IF($A136="","",INDEX(TblApplications[Couloir],$A136))</f>
        <v/>
      </c>
      <c r="F136" s="50" t="str">
        <f aca="false">IF($A136="","",INDEX(TblApplications[Action],$A136))</f>
        <v/>
      </c>
      <c r="G136" s="51" t="str">
        <f aca="false">IF(OR($A136="",G$8=""),"",IF($F136="Migré","ROKS",IF($F136="À décommissionner",IF(G$8&lt;$AS136,"IKS","Décom."),IF(OR($AQ136="",$AS136=""),"",IF(G$8&lt;$AQ136,"IKS",IF(G$8&lt;$AS136,IF(G$8=$AR136,"Bascule","Double run"),"ROKS"))))))</f>
        <v/>
      </c>
      <c r="H136" s="51" t="str">
        <f aca="false">IF(OR($A136="",H$8=""),"",IF($F136="Migré","ROKS",IF($F136="À décommissionner",IF(H$8&lt;$AS136,"IKS","Décom."),IF(OR($AQ136="",$AS136=""),"",IF(H$8&lt;$AQ136,"IKS",IF(H$8&lt;$AS136,IF(H$8=$AR136,"Bascule","Double run"),"ROKS"))))))</f>
        <v/>
      </c>
      <c r="I136" s="51" t="str">
        <f aca="false">IF(OR($A136="",I$8=""),"",IF($F136="Migré","ROKS",IF($F136="À décommissionner",IF(I$8&lt;$AS136,"IKS","Décom."),IF(OR($AQ136="",$AS136=""),"",IF(I$8&lt;$AQ136,"IKS",IF(I$8&lt;$AS136,IF(I$8=$AR136,"Bascule","Double run"),"ROKS"))))))</f>
        <v/>
      </c>
      <c r="J136" s="51" t="str">
        <f aca="false">IF(OR($A136="",J$8=""),"",IF($F136="Migré","ROKS",IF($F136="À décommissionner",IF(J$8&lt;$AS136,"IKS","Décom."),IF(OR($AQ136="",$AS136=""),"",IF(J$8&lt;$AQ136,"IKS",IF(J$8&lt;$AS136,IF(J$8=$AR136,"Bascule","Double run"),"ROKS"))))))</f>
        <v/>
      </c>
      <c r="K136" s="51" t="str">
        <f aca="false">IF(OR($A136="",K$8=""),"",IF($F136="Migré","ROKS",IF($F136="À décommissionner",IF(K$8&lt;$AS136,"IKS","Décom."),IF(OR($AQ136="",$AS136=""),"",IF(K$8&lt;$AQ136,"IKS",IF(K$8&lt;$AS136,IF(K$8=$AR136,"Bascule","Double run"),"ROKS"))))))</f>
        <v/>
      </c>
      <c r="L136" s="51" t="str">
        <f aca="false">IF(OR($A136="",L$8=""),"",IF($F136="Migré","ROKS",IF($F136="À décommissionner",IF(L$8&lt;$AS136,"IKS","Décom."),IF(OR($AQ136="",$AS136=""),"",IF(L$8&lt;$AQ136,"IKS",IF(L$8&lt;$AS136,IF(L$8=$AR136,"Bascule","Double run"),"ROKS"))))))</f>
        <v/>
      </c>
      <c r="M136" s="51" t="str">
        <f aca="false">IF(OR($A136="",M$8=""),"",IF($F136="Migré","ROKS",IF($F136="À décommissionner",IF(M$8&lt;$AS136,"IKS","Décom."),IF(OR($AQ136="",$AS136=""),"",IF(M$8&lt;$AQ136,"IKS",IF(M$8&lt;$AS136,IF(M$8=$AR136,"Bascule","Double run"),"ROKS"))))))</f>
        <v/>
      </c>
      <c r="N136" s="51" t="str">
        <f aca="false">IF(OR($A136="",N$8=""),"",IF($F136="Migré","ROKS",IF($F136="À décommissionner",IF(N$8&lt;$AS136,"IKS","Décom."),IF(OR($AQ136="",$AS136=""),"",IF(N$8&lt;$AQ136,"IKS",IF(N$8&lt;$AS136,IF(N$8=$AR136,"Bascule","Double run"),"ROKS"))))))</f>
        <v/>
      </c>
      <c r="O136" s="51" t="str">
        <f aca="false">IF(OR($A136="",O$8=""),"",IF($F136="Migré","ROKS",IF($F136="À décommissionner",IF(O$8&lt;$AS136,"IKS","Décom."),IF(OR($AQ136="",$AS136=""),"",IF(O$8&lt;$AQ136,"IKS",IF(O$8&lt;$AS136,IF(O$8=$AR136,"Bascule","Double run"),"ROKS"))))))</f>
        <v/>
      </c>
      <c r="P136" s="51" t="str">
        <f aca="false">IF(OR($A136="",P$8=""),"",IF($F136="Migré","ROKS",IF($F136="À décommissionner",IF(P$8&lt;$AS136,"IKS","Décom."),IF(OR($AQ136="",$AS136=""),"",IF(P$8&lt;$AQ136,"IKS",IF(P$8&lt;$AS136,IF(P$8=$AR136,"Bascule","Double run"),"ROKS"))))))</f>
        <v/>
      </c>
      <c r="Q136" s="51" t="str">
        <f aca="false">IF(OR($A136="",Q$8=""),"",IF($F136="Migré","ROKS",IF($F136="À décommissionner",IF(Q$8&lt;$AS136,"IKS","Décom."),IF(OR($AQ136="",$AS136=""),"",IF(Q$8&lt;$AQ136,"IKS",IF(Q$8&lt;$AS136,IF(Q$8=$AR136,"Bascule","Double run"),"ROKS"))))))</f>
        <v/>
      </c>
      <c r="R136" s="51" t="str">
        <f aca="false">IF(OR($A136="",R$8=""),"",IF($F136="Migré","ROKS",IF($F136="À décommissionner",IF(R$8&lt;$AS136,"IKS","Décom."),IF(OR($AQ136="",$AS136=""),"",IF(R$8&lt;$AQ136,"IKS",IF(R$8&lt;$AS136,IF(R$8=$AR136,"Bascule","Double run"),"ROKS"))))))</f>
        <v/>
      </c>
      <c r="S136" s="51" t="str">
        <f aca="false">IF(OR($A136="",S$8=""),"",IF($F136="Migré","ROKS",IF($F136="À décommissionner",IF(S$8&lt;$AS136,"IKS","Décom."),IF(OR($AQ136="",$AS136=""),"",IF(S$8&lt;$AQ136,"IKS",IF(S$8&lt;$AS136,IF(S$8=$AR136,"Bascule","Double run"),"ROKS"))))))</f>
        <v/>
      </c>
      <c r="T136" s="51" t="str">
        <f aca="false">IF(OR($A136="",T$8=""),"",IF($F136="Migré","ROKS",IF($F136="À décommissionner",IF(T$8&lt;$AS136,"IKS","Décom."),IF(OR($AQ136="",$AS136=""),"",IF(T$8&lt;$AQ136,"IKS",IF(T$8&lt;$AS136,IF(T$8=$AR136,"Bascule","Double run"),"ROKS"))))))</f>
        <v/>
      </c>
      <c r="U136" s="51" t="str">
        <f aca="false">IF(OR($A136="",U$8=""),"",IF($F136="Migré","ROKS",IF($F136="À décommissionner",IF(U$8&lt;$AS136,"IKS","Décom."),IF(OR($AQ136="",$AS136=""),"",IF(U$8&lt;$AQ136,"IKS",IF(U$8&lt;$AS136,IF(U$8=$AR136,"Bascule","Double run"),"ROKS"))))))</f>
        <v/>
      </c>
      <c r="V136" s="51" t="str">
        <f aca="false">IF(OR($A136="",V$8=""),"",IF($F136="Migré","ROKS",IF($F136="À décommissionner",IF(V$8&lt;$AS136,"IKS","Décom."),IF(OR($AQ136="",$AS136=""),"",IF(V$8&lt;$AQ136,"IKS",IF(V$8&lt;$AS136,IF(V$8=$AR136,"Bascule","Double run"),"ROKS"))))))</f>
        <v/>
      </c>
      <c r="W136" s="51" t="str">
        <f aca="false">IF(OR($A136="",W$8=""),"",IF($F136="Migré","ROKS",IF($F136="À décommissionner",IF(W$8&lt;$AS136,"IKS","Décom."),IF(OR($AQ136="",$AS136=""),"",IF(W$8&lt;$AQ136,"IKS",IF(W$8&lt;$AS136,IF(W$8=$AR136,"Bascule","Double run"),"ROKS"))))))</f>
        <v/>
      </c>
      <c r="X136" s="51" t="str">
        <f aca="false">IF(OR($A136="",X$8=""),"",IF($F136="Migré","ROKS",IF($F136="À décommissionner",IF(X$8&lt;$AS136,"IKS","Décom."),IF(OR($AQ136="",$AS136=""),"",IF(X$8&lt;$AQ136,"IKS",IF(X$8&lt;$AS136,IF(X$8=$AR136,"Bascule","Double run"),"ROKS"))))))</f>
        <v/>
      </c>
      <c r="Y136" s="51" t="str">
        <f aca="false">IF(OR($A136="",Y$8=""),"",IF($F136="Migré","ROKS",IF($F136="À décommissionner",IF(Y$8&lt;$AS136,"IKS","Décom."),IF(OR($AQ136="",$AS136=""),"",IF(Y$8&lt;$AQ136,"IKS",IF(Y$8&lt;$AS136,IF(Y$8=$AR136,"Bascule","Double run"),"ROKS"))))))</f>
        <v/>
      </c>
      <c r="Z136" s="51" t="str">
        <f aca="false">IF(OR($A136="",Z$8=""),"",IF($F136="Migré","ROKS",IF($F136="À décommissionner",IF(Z$8&lt;$AS136,"IKS","Décom."),IF(OR($AQ136="",$AS136=""),"",IF(Z$8&lt;$AQ136,"IKS",IF(Z$8&lt;$AS136,IF(Z$8=$AR136,"Bascule","Double run"),"ROKS"))))))</f>
        <v/>
      </c>
      <c r="AA136" s="51" t="str">
        <f aca="false">IF(OR($A136="",AA$8=""),"",IF($F136="Migré","ROKS",IF($F136="À décommissionner",IF(AA$8&lt;$AS136,"IKS","Décom."),IF(OR($AQ136="",$AS136=""),"",IF(AA$8&lt;$AQ136,"IKS",IF(AA$8&lt;$AS136,IF(AA$8=$AR136,"Bascule","Double run"),"ROKS"))))))</f>
        <v/>
      </c>
      <c r="AB136" s="51" t="str">
        <f aca="false">IF(OR($A136="",AB$8=""),"",IF($F136="Migré","ROKS",IF($F136="À décommissionner",IF(AB$8&lt;$AS136,"IKS","Décom."),IF(OR($AQ136="",$AS136=""),"",IF(AB$8&lt;$AQ136,"IKS",IF(AB$8&lt;$AS136,IF(AB$8=$AR136,"Bascule","Double run"),"ROKS"))))))</f>
        <v/>
      </c>
      <c r="AC136" s="51" t="str">
        <f aca="false">IF(OR($A136="",AC$8=""),"",IF($F136="Migré","ROKS",IF($F136="À décommissionner",IF(AC$8&lt;$AS136,"IKS","Décom."),IF(OR($AQ136="",$AS136=""),"",IF(AC$8&lt;$AQ136,"IKS",IF(AC$8&lt;$AS136,IF(AC$8=$AR136,"Bascule","Double run"),"ROKS"))))))</f>
        <v/>
      </c>
      <c r="AD136" s="51" t="str">
        <f aca="false">IF(OR($A136="",AD$8=""),"",IF($F136="Migré","ROKS",IF($F136="À décommissionner",IF(AD$8&lt;$AS136,"IKS","Décom."),IF(OR($AQ136="",$AS136=""),"",IF(AD$8&lt;$AQ136,"IKS",IF(AD$8&lt;$AS136,IF(AD$8=$AR136,"Bascule","Double run"),"ROKS"))))))</f>
        <v/>
      </c>
      <c r="AE136" s="51" t="str">
        <f aca="false">IF(OR($A136="",AE$8=""),"",IF($F136="Migré","ROKS",IF($F136="À décommissionner",IF(AE$8&lt;$AS136,"IKS","Décom."),IF(OR($AQ136="",$AS136=""),"",IF(AE$8&lt;$AQ136,"IKS",IF(AE$8&lt;$AS136,IF(AE$8=$AR136,"Bascule","Double run"),"ROKS"))))))</f>
        <v/>
      </c>
      <c r="AF136" s="51" t="str">
        <f aca="false">IF(OR($A136="",AF$8=""),"",IF($F136="Migré","ROKS",IF($F136="À décommissionner",IF(AF$8&lt;$AS136,"IKS","Décom."),IF(OR($AQ136="",$AS136=""),"",IF(AF$8&lt;$AQ136,"IKS",IF(AF$8&lt;$AS136,IF(AF$8=$AR136,"Bascule","Double run"),"ROKS"))))))</f>
        <v/>
      </c>
      <c r="AG136" s="51" t="str">
        <f aca="false">IF(OR($A136="",AG$8=""),"",IF($F136="Migré","ROKS",IF($F136="À décommissionner",IF(AG$8&lt;$AS136,"IKS","Décom."),IF(OR($AQ136="",$AS136=""),"",IF(AG$8&lt;$AQ136,"IKS",IF(AG$8&lt;$AS136,IF(AG$8=$AR136,"Bascule","Double run"),"ROKS"))))))</f>
        <v/>
      </c>
      <c r="AH136" s="51" t="str">
        <f aca="false">IF(OR($A136="",AH$8=""),"",IF($F136="Migré","ROKS",IF($F136="À décommissionner",IF(AH$8&lt;$AS136,"IKS","Décom."),IF(OR($AQ136="",$AS136=""),"",IF(AH$8&lt;$AQ136,"IKS",IF(AH$8&lt;$AS136,IF(AH$8=$AR136,"Bascule","Double run"),"ROKS"))))))</f>
        <v/>
      </c>
      <c r="AI136" s="51" t="str">
        <f aca="false">IF(OR($A136="",AI$8=""),"",IF($F136="Migré","ROKS",IF($F136="À décommissionner",IF(AI$8&lt;$AS136,"IKS","Décom."),IF(OR($AQ136="",$AS136=""),"",IF(AI$8&lt;$AQ136,"IKS",IF(AI$8&lt;$AS136,IF(AI$8=$AR136,"Bascule","Double run"),"ROKS"))))))</f>
        <v/>
      </c>
      <c r="AJ136" s="51" t="str">
        <f aca="false">IF(OR($A136="",AJ$8=""),"",IF($F136="Migré","ROKS",IF($F136="À décommissionner",IF(AJ$8&lt;$AS136,"IKS","Décom."),IF(OR($AQ136="",$AS136=""),"",IF(AJ$8&lt;$AQ136,"IKS",IF(AJ$8&lt;$AS136,IF(AJ$8=$AR136,"Bascule","Double run"),"ROKS"))))))</f>
        <v/>
      </c>
      <c r="AK136" s="51" t="str">
        <f aca="false">IF(OR($A136="",AK$8=""),"",IF($F136="Migré","ROKS",IF($F136="À décommissionner",IF(AK$8&lt;$AS136,"IKS","Décom."),IF(OR($AQ136="",$AS136=""),"",IF(AK$8&lt;$AQ136,"IKS",IF(AK$8&lt;$AS136,IF(AK$8=$AR136,"Bascule","Double run"),"ROKS"))))))</f>
        <v/>
      </c>
      <c r="AL136" s="51" t="str">
        <f aca="false">IF(OR($A136="",AL$8=""),"",IF($F136="Migré","ROKS",IF($F136="À décommissionner",IF(AL$8&lt;$AS136,"IKS","Décom."),IF(OR($AQ136="",$AS136=""),"",IF(AL$8&lt;$AQ136,"IKS",IF(AL$8&lt;$AS136,IF(AL$8=$AR136,"Bascule","Double run"),"ROKS"))))))</f>
        <v/>
      </c>
      <c r="AM136" s="51" t="str">
        <f aca="false">IF(OR($A136="",AM$8=""),"",IF($F136="Migré","ROKS",IF($F136="À décommissionner",IF(AM$8&lt;$AS136,"IKS","Décom."),IF(OR($AQ136="",$AS136=""),"",IF(AM$8&lt;$AQ136,"IKS",IF(AM$8&lt;$AS136,IF(AM$8=$AR136,"Bascule","Double run"),"ROKS"))))))</f>
        <v/>
      </c>
      <c r="AN136" s="51" t="str">
        <f aca="false">IF(OR($A136="",AN$8=""),"",IF($F136="Migré","ROKS",IF($F136="À décommissionner",IF(AN$8&lt;$AS136,"IKS","Décom."),IF(OR($AQ136="",$AS136=""),"",IF(AN$8&lt;$AQ136,"IKS",IF(AN$8&lt;$AS136,IF(AN$8=$AR136,"Bascule","Double run"),"ROKS"))))))</f>
        <v/>
      </c>
      <c r="AO136" s="51" t="str">
        <f aca="false">IF(OR($A136="",AO$8=""),"",IF($F136="Migré","ROKS",IF($F136="À décommissionner",IF(AO$8&lt;$AS136,"IKS","Décom."),IF(OR($AQ136="",$AS136=""),"",IF(AO$8&lt;$AQ136,"IKS",IF(AO$8&lt;$AS136,IF(AO$8=$AR136,"Bascule","Double run"),"ROKS"))))))</f>
        <v/>
      </c>
      <c r="AP136" s="51" t="str">
        <f aca="false">IF(OR($A136="",AP$8=""),"",IF($F136="Migré","ROKS",IF($F136="À décommissionner",IF(AP$8&lt;$AS136,"IKS","Décom."),IF(OR($AQ136="",$AS136=""),"",IF(AP$8&lt;$AQ136,"IKS",IF(AP$8&lt;$AS136,IF(AP$8=$AR136,"Bascule","Double run"),"ROKS"))))))</f>
        <v/>
      </c>
      <c r="AQ136" s="0" t="str">
        <f aca="false">IF($A136="","",INDEX(TblApplications[Mois prov (calc)],$A136))</f>
        <v/>
      </c>
      <c r="AR136" s="0" t="str">
        <f aca="false">IF($A136="","",IFERROR(DATE(YEAR(INDEX(TblApplications[Mois bascule],$A136)),MONTH(INDEX(TblApplications[Mois bascule],$A136)),1),""))</f>
        <v/>
      </c>
      <c r="AS136" s="0" t="str">
        <f aca="false">IF($A136="","",INDEX(TblApplications[Mois lib (calc)],$A136))</f>
        <v/>
      </c>
    </row>
    <row r="137" customFormat="false" ht="15" hidden="false" customHeight="false" outlineLevel="0" collapsed="false">
      <c r="A137" s="49" t="str">
        <f aca="false">IFERROR(MATCH(129,TblApplications[Rang frise],0),"")</f>
        <v/>
      </c>
      <c r="B137" s="50" t="str">
        <f aca="false">IF($A137="","",INDEX(TblApplications[ID],$A137))</f>
        <v/>
      </c>
      <c r="C137" s="50" t="str">
        <f aca="false">IF($A137="","",INDEX(TblApplications[Application],$A137))</f>
        <v/>
      </c>
      <c r="D137" s="50" t="str">
        <f aca="false">IF($A137="","",INDEX(TblApplications[Environnement],$A137))</f>
        <v/>
      </c>
      <c r="E137" s="50" t="str">
        <f aca="false">IF($A137="","",INDEX(TblApplications[Couloir],$A137))</f>
        <v/>
      </c>
      <c r="F137" s="50" t="str">
        <f aca="false">IF($A137="","",INDEX(TblApplications[Action],$A137))</f>
        <v/>
      </c>
      <c r="G137" s="51" t="str">
        <f aca="false">IF(OR($A137="",G$8=""),"",IF($F137="Migré","ROKS",IF($F137="À décommissionner",IF(G$8&lt;$AS137,"IKS","Décom."),IF(OR($AQ137="",$AS137=""),"",IF(G$8&lt;$AQ137,"IKS",IF(G$8&lt;$AS137,IF(G$8=$AR137,"Bascule","Double run"),"ROKS"))))))</f>
        <v/>
      </c>
      <c r="H137" s="51" t="str">
        <f aca="false">IF(OR($A137="",H$8=""),"",IF($F137="Migré","ROKS",IF($F137="À décommissionner",IF(H$8&lt;$AS137,"IKS","Décom."),IF(OR($AQ137="",$AS137=""),"",IF(H$8&lt;$AQ137,"IKS",IF(H$8&lt;$AS137,IF(H$8=$AR137,"Bascule","Double run"),"ROKS"))))))</f>
        <v/>
      </c>
      <c r="I137" s="51" t="str">
        <f aca="false">IF(OR($A137="",I$8=""),"",IF($F137="Migré","ROKS",IF($F137="À décommissionner",IF(I$8&lt;$AS137,"IKS","Décom."),IF(OR($AQ137="",$AS137=""),"",IF(I$8&lt;$AQ137,"IKS",IF(I$8&lt;$AS137,IF(I$8=$AR137,"Bascule","Double run"),"ROKS"))))))</f>
        <v/>
      </c>
      <c r="J137" s="51" t="str">
        <f aca="false">IF(OR($A137="",J$8=""),"",IF($F137="Migré","ROKS",IF($F137="À décommissionner",IF(J$8&lt;$AS137,"IKS","Décom."),IF(OR($AQ137="",$AS137=""),"",IF(J$8&lt;$AQ137,"IKS",IF(J$8&lt;$AS137,IF(J$8=$AR137,"Bascule","Double run"),"ROKS"))))))</f>
        <v/>
      </c>
      <c r="K137" s="51" t="str">
        <f aca="false">IF(OR($A137="",K$8=""),"",IF($F137="Migré","ROKS",IF($F137="À décommissionner",IF(K$8&lt;$AS137,"IKS","Décom."),IF(OR($AQ137="",$AS137=""),"",IF(K$8&lt;$AQ137,"IKS",IF(K$8&lt;$AS137,IF(K$8=$AR137,"Bascule","Double run"),"ROKS"))))))</f>
        <v/>
      </c>
      <c r="L137" s="51" t="str">
        <f aca="false">IF(OR($A137="",L$8=""),"",IF($F137="Migré","ROKS",IF($F137="À décommissionner",IF(L$8&lt;$AS137,"IKS","Décom."),IF(OR($AQ137="",$AS137=""),"",IF(L$8&lt;$AQ137,"IKS",IF(L$8&lt;$AS137,IF(L$8=$AR137,"Bascule","Double run"),"ROKS"))))))</f>
        <v/>
      </c>
      <c r="M137" s="51" t="str">
        <f aca="false">IF(OR($A137="",M$8=""),"",IF($F137="Migré","ROKS",IF($F137="À décommissionner",IF(M$8&lt;$AS137,"IKS","Décom."),IF(OR($AQ137="",$AS137=""),"",IF(M$8&lt;$AQ137,"IKS",IF(M$8&lt;$AS137,IF(M$8=$AR137,"Bascule","Double run"),"ROKS"))))))</f>
        <v/>
      </c>
      <c r="N137" s="51" t="str">
        <f aca="false">IF(OR($A137="",N$8=""),"",IF($F137="Migré","ROKS",IF($F137="À décommissionner",IF(N$8&lt;$AS137,"IKS","Décom."),IF(OR($AQ137="",$AS137=""),"",IF(N$8&lt;$AQ137,"IKS",IF(N$8&lt;$AS137,IF(N$8=$AR137,"Bascule","Double run"),"ROKS"))))))</f>
        <v/>
      </c>
      <c r="O137" s="51" t="str">
        <f aca="false">IF(OR($A137="",O$8=""),"",IF($F137="Migré","ROKS",IF($F137="À décommissionner",IF(O$8&lt;$AS137,"IKS","Décom."),IF(OR($AQ137="",$AS137=""),"",IF(O$8&lt;$AQ137,"IKS",IF(O$8&lt;$AS137,IF(O$8=$AR137,"Bascule","Double run"),"ROKS"))))))</f>
        <v/>
      </c>
      <c r="P137" s="51" t="str">
        <f aca="false">IF(OR($A137="",P$8=""),"",IF($F137="Migré","ROKS",IF($F137="À décommissionner",IF(P$8&lt;$AS137,"IKS","Décom."),IF(OR($AQ137="",$AS137=""),"",IF(P$8&lt;$AQ137,"IKS",IF(P$8&lt;$AS137,IF(P$8=$AR137,"Bascule","Double run"),"ROKS"))))))</f>
        <v/>
      </c>
      <c r="Q137" s="51" t="str">
        <f aca="false">IF(OR($A137="",Q$8=""),"",IF($F137="Migré","ROKS",IF($F137="À décommissionner",IF(Q$8&lt;$AS137,"IKS","Décom."),IF(OR($AQ137="",$AS137=""),"",IF(Q$8&lt;$AQ137,"IKS",IF(Q$8&lt;$AS137,IF(Q$8=$AR137,"Bascule","Double run"),"ROKS"))))))</f>
        <v/>
      </c>
      <c r="R137" s="51" t="str">
        <f aca="false">IF(OR($A137="",R$8=""),"",IF($F137="Migré","ROKS",IF($F137="À décommissionner",IF(R$8&lt;$AS137,"IKS","Décom."),IF(OR($AQ137="",$AS137=""),"",IF(R$8&lt;$AQ137,"IKS",IF(R$8&lt;$AS137,IF(R$8=$AR137,"Bascule","Double run"),"ROKS"))))))</f>
        <v/>
      </c>
      <c r="S137" s="51" t="str">
        <f aca="false">IF(OR($A137="",S$8=""),"",IF($F137="Migré","ROKS",IF($F137="À décommissionner",IF(S$8&lt;$AS137,"IKS","Décom."),IF(OR($AQ137="",$AS137=""),"",IF(S$8&lt;$AQ137,"IKS",IF(S$8&lt;$AS137,IF(S$8=$AR137,"Bascule","Double run"),"ROKS"))))))</f>
        <v/>
      </c>
      <c r="T137" s="51" t="str">
        <f aca="false">IF(OR($A137="",T$8=""),"",IF($F137="Migré","ROKS",IF($F137="À décommissionner",IF(T$8&lt;$AS137,"IKS","Décom."),IF(OR($AQ137="",$AS137=""),"",IF(T$8&lt;$AQ137,"IKS",IF(T$8&lt;$AS137,IF(T$8=$AR137,"Bascule","Double run"),"ROKS"))))))</f>
        <v/>
      </c>
      <c r="U137" s="51" t="str">
        <f aca="false">IF(OR($A137="",U$8=""),"",IF($F137="Migré","ROKS",IF($F137="À décommissionner",IF(U$8&lt;$AS137,"IKS","Décom."),IF(OR($AQ137="",$AS137=""),"",IF(U$8&lt;$AQ137,"IKS",IF(U$8&lt;$AS137,IF(U$8=$AR137,"Bascule","Double run"),"ROKS"))))))</f>
        <v/>
      </c>
      <c r="V137" s="51" t="str">
        <f aca="false">IF(OR($A137="",V$8=""),"",IF($F137="Migré","ROKS",IF($F137="À décommissionner",IF(V$8&lt;$AS137,"IKS","Décom."),IF(OR($AQ137="",$AS137=""),"",IF(V$8&lt;$AQ137,"IKS",IF(V$8&lt;$AS137,IF(V$8=$AR137,"Bascule","Double run"),"ROKS"))))))</f>
        <v/>
      </c>
      <c r="W137" s="51" t="str">
        <f aca="false">IF(OR($A137="",W$8=""),"",IF($F137="Migré","ROKS",IF($F137="À décommissionner",IF(W$8&lt;$AS137,"IKS","Décom."),IF(OR($AQ137="",$AS137=""),"",IF(W$8&lt;$AQ137,"IKS",IF(W$8&lt;$AS137,IF(W$8=$AR137,"Bascule","Double run"),"ROKS"))))))</f>
        <v/>
      </c>
      <c r="X137" s="51" t="str">
        <f aca="false">IF(OR($A137="",X$8=""),"",IF($F137="Migré","ROKS",IF($F137="À décommissionner",IF(X$8&lt;$AS137,"IKS","Décom."),IF(OR($AQ137="",$AS137=""),"",IF(X$8&lt;$AQ137,"IKS",IF(X$8&lt;$AS137,IF(X$8=$AR137,"Bascule","Double run"),"ROKS"))))))</f>
        <v/>
      </c>
      <c r="Y137" s="51" t="str">
        <f aca="false">IF(OR($A137="",Y$8=""),"",IF($F137="Migré","ROKS",IF($F137="À décommissionner",IF(Y$8&lt;$AS137,"IKS","Décom."),IF(OR($AQ137="",$AS137=""),"",IF(Y$8&lt;$AQ137,"IKS",IF(Y$8&lt;$AS137,IF(Y$8=$AR137,"Bascule","Double run"),"ROKS"))))))</f>
        <v/>
      </c>
      <c r="Z137" s="51" t="str">
        <f aca="false">IF(OR($A137="",Z$8=""),"",IF($F137="Migré","ROKS",IF($F137="À décommissionner",IF(Z$8&lt;$AS137,"IKS","Décom."),IF(OR($AQ137="",$AS137=""),"",IF(Z$8&lt;$AQ137,"IKS",IF(Z$8&lt;$AS137,IF(Z$8=$AR137,"Bascule","Double run"),"ROKS"))))))</f>
        <v/>
      </c>
      <c r="AA137" s="51" t="str">
        <f aca="false">IF(OR($A137="",AA$8=""),"",IF($F137="Migré","ROKS",IF($F137="À décommissionner",IF(AA$8&lt;$AS137,"IKS","Décom."),IF(OR($AQ137="",$AS137=""),"",IF(AA$8&lt;$AQ137,"IKS",IF(AA$8&lt;$AS137,IF(AA$8=$AR137,"Bascule","Double run"),"ROKS"))))))</f>
        <v/>
      </c>
      <c r="AB137" s="51" t="str">
        <f aca="false">IF(OR($A137="",AB$8=""),"",IF($F137="Migré","ROKS",IF($F137="À décommissionner",IF(AB$8&lt;$AS137,"IKS","Décom."),IF(OR($AQ137="",$AS137=""),"",IF(AB$8&lt;$AQ137,"IKS",IF(AB$8&lt;$AS137,IF(AB$8=$AR137,"Bascule","Double run"),"ROKS"))))))</f>
        <v/>
      </c>
      <c r="AC137" s="51" t="str">
        <f aca="false">IF(OR($A137="",AC$8=""),"",IF($F137="Migré","ROKS",IF($F137="À décommissionner",IF(AC$8&lt;$AS137,"IKS","Décom."),IF(OR($AQ137="",$AS137=""),"",IF(AC$8&lt;$AQ137,"IKS",IF(AC$8&lt;$AS137,IF(AC$8=$AR137,"Bascule","Double run"),"ROKS"))))))</f>
        <v/>
      </c>
      <c r="AD137" s="51" t="str">
        <f aca="false">IF(OR($A137="",AD$8=""),"",IF($F137="Migré","ROKS",IF($F137="À décommissionner",IF(AD$8&lt;$AS137,"IKS","Décom."),IF(OR($AQ137="",$AS137=""),"",IF(AD$8&lt;$AQ137,"IKS",IF(AD$8&lt;$AS137,IF(AD$8=$AR137,"Bascule","Double run"),"ROKS"))))))</f>
        <v/>
      </c>
      <c r="AE137" s="51" t="str">
        <f aca="false">IF(OR($A137="",AE$8=""),"",IF($F137="Migré","ROKS",IF($F137="À décommissionner",IF(AE$8&lt;$AS137,"IKS","Décom."),IF(OR($AQ137="",$AS137=""),"",IF(AE$8&lt;$AQ137,"IKS",IF(AE$8&lt;$AS137,IF(AE$8=$AR137,"Bascule","Double run"),"ROKS"))))))</f>
        <v/>
      </c>
      <c r="AF137" s="51" t="str">
        <f aca="false">IF(OR($A137="",AF$8=""),"",IF($F137="Migré","ROKS",IF($F137="À décommissionner",IF(AF$8&lt;$AS137,"IKS","Décom."),IF(OR($AQ137="",$AS137=""),"",IF(AF$8&lt;$AQ137,"IKS",IF(AF$8&lt;$AS137,IF(AF$8=$AR137,"Bascule","Double run"),"ROKS"))))))</f>
        <v/>
      </c>
      <c r="AG137" s="51" t="str">
        <f aca="false">IF(OR($A137="",AG$8=""),"",IF($F137="Migré","ROKS",IF($F137="À décommissionner",IF(AG$8&lt;$AS137,"IKS","Décom."),IF(OR($AQ137="",$AS137=""),"",IF(AG$8&lt;$AQ137,"IKS",IF(AG$8&lt;$AS137,IF(AG$8=$AR137,"Bascule","Double run"),"ROKS"))))))</f>
        <v/>
      </c>
      <c r="AH137" s="51" t="str">
        <f aca="false">IF(OR($A137="",AH$8=""),"",IF($F137="Migré","ROKS",IF($F137="À décommissionner",IF(AH$8&lt;$AS137,"IKS","Décom."),IF(OR($AQ137="",$AS137=""),"",IF(AH$8&lt;$AQ137,"IKS",IF(AH$8&lt;$AS137,IF(AH$8=$AR137,"Bascule","Double run"),"ROKS"))))))</f>
        <v/>
      </c>
      <c r="AI137" s="51" t="str">
        <f aca="false">IF(OR($A137="",AI$8=""),"",IF($F137="Migré","ROKS",IF($F137="À décommissionner",IF(AI$8&lt;$AS137,"IKS","Décom."),IF(OR($AQ137="",$AS137=""),"",IF(AI$8&lt;$AQ137,"IKS",IF(AI$8&lt;$AS137,IF(AI$8=$AR137,"Bascule","Double run"),"ROKS"))))))</f>
        <v/>
      </c>
      <c r="AJ137" s="51" t="str">
        <f aca="false">IF(OR($A137="",AJ$8=""),"",IF($F137="Migré","ROKS",IF($F137="À décommissionner",IF(AJ$8&lt;$AS137,"IKS","Décom."),IF(OR($AQ137="",$AS137=""),"",IF(AJ$8&lt;$AQ137,"IKS",IF(AJ$8&lt;$AS137,IF(AJ$8=$AR137,"Bascule","Double run"),"ROKS"))))))</f>
        <v/>
      </c>
      <c r="AK137" s="51" t="str">
        <f aca="false">IF(OR($A137="",AK$8=""),"",IF($F137="Migré","ROKS",IF($F137="À décommissionner",IF(AK$8&lt;$AS137,"IKS","Décom."),IF(OR($AQ137="",$AS137=""),"",IF(AK$8&lt;$AQ137,"IKS",IF(AK$8&lt;$AS137,IF(AK$8=$AR137,"Bascule","Double run"),"ROKS"))))))</f>
        <v/>
      </c>
      <c r="AL137" s="51" t="str">
        <f aca="false">IF(OR($A137="",AL$8=""),"",IF($F137="Migré","ROKS",IF($F137="À décommissionner",IF(AL$8&lt;$AS137,"IKS","Décom."),IF(OR($AQ137="",$AS137=""),"",IF(AL$8&lt;$AQ137,"IKS",IF(AL$8&lt;$AS137,IF(AL$8=$AR137,"Bascule","Double run"),"ROKS"))))))</f>
        <v/>
      </c>
      <c r="AM137" s="51" t="str">
        <f aca="false">IF(OR($A137="",AM$8=""),"",IF($F137="Migré","ROKS",IF($F137="À décommissionner",IF(AM$8&lt;$AS137,"IKS","Décom."),IF(OR($AQ137="",$AS137=""),"",IF(AM$8&lt;$AQ137,"IKS",IF(AM$8&lt;$AS137,IF(AM$8=$AR137,"Bascule","Double run"),"ROKS"))))))</f>
        <v/>
      </c>
      <c r="AN137" s="51" t="str">
        <f aca="false">IF(OR($A137="",AN$8=""),"",IF($F137="Migré","ROKS",IF($F137="À décommissionner",IF(AN$8&lt;$AS137,"IKS","Décom."),IF(OR($AQ137="",$AS137=""),"",IF(AN$8&lt;$AQ137,"IKS",IF(AN$8&lt;$AS137,IF(AN$8=$AR137,"Bascule","Double run"),"ROKS"))))))</f>
        <v/>
      </c>
      <c r="AO137" s="51" t="str">
        <f aca="false">IF(OR($A137="",AO$8=""),"",IF($F137="Migré","ROKS",IF($F137="À décommissionner",IF(AO$8&lt;$AS137,"IKS","Décom."),IF(OR($AQ137="",$AS137=""),"",IF(AO$8&lt;$AQ137,"IKS",IF(AO$8&lt;$AS137,IF(AO$8=$AR137,"Bascule","Double run"),"ROKS"))))))</f>
        <v/>
      </c>
      <c r="AP137" s="51" t="str">
        <f aca="false">IF(OR($A137="",AP$8=""),"",IF($F137="Migré","ROKS",IF($F137="À décommissionner",IF(AP$8&lt;$AS137,"IKS","Décom."),IF(OR($AQ137="",$AS137=""),"",IF(AP$8&lt;$AQ137,"IKS",IF(AP$8&lt;$AS137,IF(AP$8=$AR137,"Bascule","Double run"),"ROKS"))))))</f>
        <v/>
      </c>
      <c r="AQ137" s="0" t="str">
        <f aca="false">IF($A137="","",INDEX(TblApplications[Mois prov (calc)],$A137))</f>
        <v/>
      </c>
      <c r="AR137" s="0" t="str">
        <f aca="false">IF($A137="","",IFERROR(DATE(YEAR(INDEX(TblApplications[Mois bascule],$A137)),MONTH(INDEX(TblApplications[Mois bascule],$A137)),1),""))</f>
        <v/>
      </c>
      <c r="AS137" s="0" t="str">
        <f aca="false">IF($A137="","",INDEX(TblApplications[Mois lib (calc)],$A137))</f>
        <v/>
      </c>
    </row>
    <row r="138" customFormat="false" ht="15" hidden="false" customHeight="false" outlineLevel="0" collapsed="false">
      <c r="A138" s="49" t="str">
        <f aca="false">IFERROR(MATCH(130,TblApplications[Rang frise],0),"")</f>
        <v/>
      </c>
      <c r="B138" s="50" t="str">
        <f aca="false">IF($A138="","",INDEX(TblApplications[ID],$A138))</f>
        <v/>
      </c>
      <c r="C138" s="50" t="str">
        <f aca="false">IF($A138="","",INDEX(TblApplications[Application],$A138))</f>
        <v/>
      </c>
      <c r="D138" s="50" t="str">
        <f aca="false">IF($A138="","",INDEX(TblApplications[Environnement],$A138))</f>
        <v/>
      </c>
      <c r="E138" s="50" t="str">
        <f aca="false">IF($A138="","",INDEX(TblApplications[Couloir],$A138))</f>
        <v/>
      </c>
      <c r="F138" s="50" t="str">
        <f aca="false">IF($A138="","",INDEX(TblApplications[Action],$A138))</f>
        <v/>
      </c>
      <c r="G138" s="51" t="str">
        <f aca="false">IF(OR($A138="",G$8=""),"",IF($F138="Migré","ROKS",IF($F138="À décommissionner",IF(G$8&lt;$AS138,"IKS","Décom."),IF(OR($AQ138="",$AS138=""),"",IF(G$8&lt;$AQ138,"IKS",IF(G$8&lt;$AS138,IF(G$8=$AR138,"Bascule","Double run"),"ROKS"))))))</f>
        <v/>
      </c>
      <c r="H138" s="51" t="str">
        <f aca="false">IF(OR($A138="",H$8=""),"",IF($F138="Migré","ROKS",IF($F138="À décommissionner",IF(H$8&lt;$AS138,"IKS","Décom."),IF(OR($AQ138="",$AS138=""),"",IF(H$8&lt;$AQ138,"IKS",IF(H$8&lt;$AS138,IF(H$8=$AR138,"Bascule","Double run"),"ROKS"))))))</f>
        <v/>
      </c>
      <c r="I138" s="51" t="str">
        <f aca="false">IF(OR($A138="",I$8=""),"",IF($F138="Migré","ROKS",IF($F138="À décommissionner",IF(I$8&lt;$AS138,"IKS","Décom."),IF(OR($AQ138="",$AS138=""),"",IF(I$8&lt;$AQ138,"IKS",IF(I$8&lt;$AS138,IF(I$8=$AR138,"Bascule","Double run"),"ROKS"))))))</f>
        <v/>
      </c>
      <c r="J138" s="51" t="str">
        <f aca="false">IF(OR($A138="",J$8=""),"",IF($F138="Migré","ROKS",IF($F138="À décommissionner",IF(J$8&lt;$AS138,"IKS","Décom."),IF(OR($AQ138="",$AS138=""),"",IF(J$8&lt;$AQ138,"IKS",IF(J$8&lt;$AS138,IF(J$8=$AR138,"Bascule","Double run"),"ROKS"))))))</f>
        <v/>
      </c>
      <c r="K138" s="51" t="str">
        <f aca="false">IF(OR($A138="",K$8=""),"",IF($F138="Migré","ROKS",IF($F138="À décommissionner",IF(K$8&lt;$AS138,"IKS","Décom."),IF(OR($AQ138="",$AS138=""),"",IF(K$8&lt;$AQ138,"IKS",IF(K$8&lt;$AS138,IF(K$8=$AR138,"Bascule","Double run"),"ROKS"))))))</f>
        <v/>
      </c>
      <c r="L138" s="51" t="str">
        <f aca="false">IF(OR($A138="",L$8=""),"",IF($F138="Migré","ROKS",IF($F138="À décommissionner",IF(L$8&lt;$AS138,"IKS","Décom."),IF(OR($AQ138="",$AS138=""),"",IF(L$8&lt;$AQ138,"IKS",IF(L$8&lt;$AS138,IF(L$8=$AR138,"Bascule","Double run"),"ROKS"))))))</f>
        <v/>
      </c>
      <c r="M138" s="51" t="str">
        <f aca="false">IF(OR($A138="",M$8=""),"",IF($F138="Migré","ROKS",IF($F138="À décommissionner",IF(M$8&lt;$AS138,"IKS","Décom."),IF(OR($AQ138="",$AS138=""),"",IF(M$8&lt;$AQ138,"IKS",IF(M$8&lt;$AS138,IF(M$8=$AR138,"Bascule","Double run"),"ROKS"))))))</f>
        <v/>
      </c>
      <c r="N138" s="51" t="str">
        <f aca="false">IF(OR($A138="",N$8=""),"",IF($F138="Migré","ROKS",IF($F138="À décommissionner",IF(N$8&lt;$AS138,"IKS","Décom."),IF(OR($AQ138="",$AS138=""),"",IF(N$8&lt;$AQ138,"IKS",IF(N$8&lt;$AS138,IF(N$8=$AR138,"Bascule","Double run"),"ROKS"))))))</f>
        <v/>
      </c>
      <c r="O138" s="51" t="str">
        <f aca="false">IF(OR($A138="",O$8=""),"",IF($F138="Migré","ROKS",IF($F138="À décommissionner",IF(O$8&lt;$AS138,"IKS","Décom."),IF(OR($AQ138="",$AS138=""),"",IF(O$8&lt;$AQ138,"IKS",IF(O$8&lt;$AS138,IF(O$8=$AR138,"Bascule","Double run"),"ROKS"))))))</f>
        <v/>
      </c>
      <c r="P138" s="51" t="str">
        <f aca="false">IF(OR($A138="",P$8=""),"",IF($F138="Migré","ROKS",IF($F138="À décommissionner",IF(P$8&lt;$AS138,"IKS","Décom."),IF(OR($AQ138="",$AS138=""),"",IF(P$8&lt;$AQ138,"IKS",IF(P$8&lt;$AS138,IF(P$8=$AR138,"Bascule","Double run"),"ROKS"))))))</f>
        <v/>
      </c>
      <c r="Q138" s="51" t="str">
        <f aca="false">IF(OR($A138="",Q$8=""),"",IF($F138="Migré","ROKS",IF($F138="À décommissionner",IF(Q$8&lt;$AS138,"IKS","Décom."),IF(OR($AQ138="",$AS138=""),"",IF(Q$8&lt;$AQ138,"IKS",IF(Q$8&lt;$AS138,IF(Q$8=$AR138,"Bascule","Double run"),"ROKS"))))))</f>
        <v/>
      </c>
      <c r="R138" s="51" t="str">
        <f aca="false">IF(OR($A138="",R$8=""),"",IF($F138="Migré","ROKS",IF($F138="À décommissionner",IF(R$8&lt;$AS138,"IKS","Décom."),IF(OR($AQ138="",$AS138=""),"",IF(R$8&lt;$AQ138,"IKS",IF(R$8&lt;$AS138,IF(R$8=$AR138,"Bascule","Double run"),"ROKS"))))))</f>
        <v/>
      </c>
      <c r="S138" s="51" t="str">
        <f aca="false">IF(OR($A138="",S$8=""),"",IF($F138="Migré","ROKS",IF($F138="À décommissionner",IF(S$8&lt;$AS138,"IKS","Décom."),IF(OR($AQ138="",$AS138=""),"",IF(S$8&lt;$AQ138,"IKS",IF(S$8&lt;$AS138,IF(S$8=$AR138,"Bascule","Double run"),"ROKS"))))))</f>
        <v/>
      </c>
      <c r="T138" s="51" t="str">
        <f aca="false">IF(OR($A138="",T$8=""),"",IF($F138="Migré","ROKS",IF($F138="À décommissionner",IF(T$8&lt;$AS138,"IKS","Décom."),IF(OR($AQ138="",$AS138=""),"",IF(T$8&lt;$AQ138,"IKS",IF(T$8&lt;$AS138,IF(T$8=$AR138,"Bascule","Double run"),"ROKS"))))))</f>
        <v/>
      </c>
      <c r="U138" s="51" t="str">
        <f aca="false">IF(OR($A138="",U$8=""),"",IF($F138="Migré","ROKS",IF($F138="À décommissionner",IF(U$8&lt;$AS138,"IKS","Décom."),IF(OR($AQ138="",$AS138=""),"",IF(U$8&lt;$AQ138,"IKS",IF(U$8&lt;$AS138,IF(U$8=$AR138,"Bascule","Double run"),"ROKS"))))))</f>
        <v/>
      </c>
      <c r="V138" s="51" t="str">
        <f aca="false">IF(OR($A138="",V$8=""),"",IF($F138="Migré","ROKS",IF($F138="À décommissionner",IF(V$8&lt;$AS138,"IKS","Décom."),IF(OR($AQ138="",$AS138=""),"",IF(V$8&lt;$AQ138,"IKS",IF(V$8&lt;$AS138,IF(V$8=$AR138,"Bascule","Double run"),"ROKS"))))))</f>
        <v/>
      </c>
      <c r="W138" s="51" t="str">
        <f aca="false">IF(OR($A138="",W$8=""),"",IF($F138="Migré","ROKS",IF($F138="À décommissionner",IF(W$8&lt;$AS138,"IKS","Décom."),IF(OR($AQ138="",$AS138=""),"",IF(W$8&lt;$AQ138,"IKS",IF(W$8&lt;$AS138,IF(W$8=$AR138,"Bascule","Double run"),"ROKS"))))))</f>
        <v/>
      </c>
      <c r="X138" s="51" t="str">
        <f aca="false">IF(OR($A138="",X$8=""),"",IF($F138="Migré","ROKS",IF($F138="À décommissionner",IF(X$8&lt;$AS138,"IKS","Décom."),IF(OR($AQ138="",$AS138=""),"",IF(X$8&lt;$AQ138,"IKS",IF(X$8&lt;$AS138,IF(X$8=$AR138,"Bascule","Double run"),"ROKS"))))))</f>
        <v/>
      </c>
      <c r="Y138" s="51" t="str">
        <f aca="false">IF(OR($A138="",Y$8=""),"",IF($F138="Migré","ROKS",IF($F138="À décommissionner",IF(Y$8&lt;$AS138,"IKS","Décom."),IF(OR($AQ138="",$AS138=""),"",IF(Y$8&lt;$AQ138,"IKS",IF(Y$8&lt;$AS138,IF(Y$8=$AR138,"Bascule","Double run"),"ROKS"))))))</f>
        <v/>
      </c>
      <c r="Z138" s="51" t="str">
        <f aca="false">IF(OR($A138="",Z$8=""),"",IF($F138="Migré","ROKS",IF($F138="À décommissionner",IF(Z$8&lt;$AS138,"IKS","Décom."),IF(OR($AQ138="",$AS138=""),"",IF(Z$8&lt;$AQ138,"IKS",IF(Z$8&lt;$AS138,IF(Z$8=$AR138,"Bascule","Double run"),"ROKS"))))))</f>
        <v/>
      </c>
      <c r="AA138" s="51" t="str">
        <f aca="false">IF(OR($A138="",AA$8=""),"",IF($F138="Migré","ROKS",IF($F138="À décommissionner",IF(AA$8&lt;$AS138,"IKS","Décom."),IF(OR($AQ138="",$AS138=""),"",IF(AA$8&lt;$AQ138,"IKS",IF(AA$8&lt;$AS138,IF(AA$8=$AR138,"Bascule","Double run"),"ROKS"))))))</f>
        <v/>
      </c>
      <c r="AB138" s="51" t="str">
        <f aca="false">IF(OR($A138="",AB$8=""),"",IF($F138="Migré","ROKS",IF($F138="À décommissionner",IF(AB$8&lt;$AS138,"IKS","Décom."),IF(OR($AQ138="",$AS138=""),"",IF(AB$8&lt;$AQ138,"IKS",IF(AB$8&lt;$AS138,IF(AB$8=$AR138,"Bascule","Double run"),"ROKS"))))))</f>
        <v/>
      </c>
      <c r="AC138" s="51" t="str">
        <f aca="false">IF(OR($A138="",AC$8=""),"",IF($F138="Migré","ROKS",IF($F138="À décommissionner",IF(AC$8&lt;$AS138,"IKS","Décom."),IF(OR($AQ138="",$AS138=""),"",IF(AC$8&lt;$AQ138,"IKS",IF(AC$8&lt;$AS138,IF(AC$8=$AR138,"Bascule","Double run"),"ROKS"))))))</f>
        <v/>
      </c>
      <c r="AD138" s="51" t="str">
        <f aca="false">IF(OR($A138="",AD$8=""),"",IF($F138="Migré","ROKS",IF($F138="À décommissionner",IF(AD$8&lt;$AS138,"IKS","Décom."),IF(OR($AQ138="",$AS138=""),"",IF(AD$8&lt;$AQ138,"IKS",IF(AD$8&lt;$AS138,IF(AD$8=$AR138,"Bascule","Double run"),"ROKS"))))))</f>
        <v/>
      </c>
      <c r="AE138" s="51" t="str">
        <f aca="false">IF(OR($A138="",AE$8=""),"",IF($F138="Migré","ROKS",IF($F138="À décommissionner",IF(AE$8&lt;$AS138,"IKS","Décom."),IF(OR($AQ138="",$AS138=""),"",IF(AE$8&lt;$AQ138,"IKS",IF(AE$8&lt;$AS138,IF(AE$8=$AR138,"Bascule","Double run"),"ROKS"))))))</f>
        <v/>
      </c>
      <c r="AF138" s="51" t="str">
        <f aca="false">IF(OR($A138="",AF$8=""),"",IF($F138="Migré","ROKS",IF($F138="À décommissionner",IF(AF$8&lt;$AS138,"IKS","Décom."),IF(OR($AQ138="",$AS138=""),"",IF(AF$8&lt;$AQ138,"IKS",IF(AF$8&lt;$AS138,IF(AF$8=$AR138,"Bascule","Double run"),"ROKS"))))))</f>
        <v/>
      </c>
      <c r="AG138" s="51" t="str">
        <f aca="false">IF(OR($A138="",AG$8=""),"",IF($F138="Migré","ROKS",IF($F138="À décommissionner",IF(AG$8&lt;$AS138,"IKS","Décom."),IF(OR($AQ138="",$AS138=""),"",IF(AG$8&lt;$AQ138,"IKS",IF(AG$8&lt;$AS138,IF(AG$8=$AR138,"Bascule","Double run"),"ROKS"))))))</f>
        <v/>
      </c>
      <c r="AH138" s="51" t="str">
        <f aca="false">IF(OR($A138="",AH$8=""),"",IF($F138="Migré","ROKS",IF($F138="À décommissionner",IF(AH$8&lt;$AS138,"IKS","Décom."),IF(OR($AQ138="",$AS138=""),"",IF(AH$8&lt;$AQ138,"IKS",IF(AH$8&lt;$AS138,IF(AH$8=$AR138,"Bascule","Double run"),"ROKS"))))))</f>
        <v/>
      </c>
      <c r="AI138" s="51" t="str">
        <f aca="false">IF(OR($A138="",AI$8=""),"",IF($F138="Migré","ROKS",IF($F138="À décommissionner",IF(AI$8&lt;$AS138,"IKS","Décom."),IF(OR($AQ138="",$AS138=""),"",IF(AI$8&lt;$AQ138,"IKS",IF(AI$8&lt;$AS138,IF(AI$8=$AR138,"Bascule","Double run"),"ROKS"))))))</f>
        <v/>
      </c>
      <c r="AJ138" s="51" t="str">
        <f aca="false">IF(OR($A138="",AJ$8=""),"",IF($F138="Migré","ROKS",IF($F138="À décommissionner",IF(AJ$8&lt;$AS138,"IKS","Décom."),IF(OR($AQ138="",$AS138=""),"",IF(AJ$8&lt;$AQ138,"IKS",IF(AJ$8&lt;$AS138,IF(AJ$8=$AR138,"Bascule","Double run"),"ROKS"))))))</f>
        <v/>
      </c>
      <c r="AK138" s="51" t="str">
        <f aca="false">IF(OR($A138="",AK$8=""),"",IF($F138="Migré","ROKS",IF($F138="À décommissionner",IF(AK$8&lt;$AS138,"IKS","Décom."),IF(OR($AQ138="",$AS138=""),"",IF(AK$8&lt;$AQ138,"IKS",IF(AK$8&lt;$AS138,IF(AK$8=$AR138,"Bascule","Double run"),"ROKS"))))))</f>
        <v/>
      </c>
      <c r="AL138" s="51" t="str">
        <f aca="false">IF(OR($A138="",AL$8=""),"",IF($F138="Migré","ROKS",IF($F138="À décommissionner",IF(AL$8&lt;$AS138,"IKS","Décom."),IF(OR($AQ138="",$AS138=""),"",IF(AL$8&lt;$AQ138,"IKS",IF(AL$8&lt;$AS138,IF(AL$8=$AR138,"Bascule","Double run"),"ROKS"))))))</f>
        <v/>
      </c>
      <c r="AM138" s="51" t="str">
        <f aca="false">IF(OR($A138="",AM$8=""),"",IF($F138="Migré","ROKS",IF($F138="À décommissionner",IF(AM$8&lt;$AS138,"IKS","Décom."),IF(OR($AQ138="",$AS138=""),"",IF(AM$8&lt;$AQ138,"IKS",IF(AM$8&lt;$AS138,IF(AM$8=$AR138,"Bascule","Double run"),"ROKS"))))))</f>
        <v/>
      </c>
      <c r="AN138" s="51" t="str">
        <f aca="false">IF(OR($A138="",AN$8=""),"",IF($F138="Migré","ROKS",IF($F138="À décommissionner",IF(AN$8&lt;$AS138,"IKS","Décom."),IF(OR($AQ138="",$AS138=""),"",IF(AN$8&lt;$AQ138,"IKS",IF(AN$8&lt;$AS138,IF(AN$8=$AR138,"Bascule","Double run"),"ROKS"))))))</f>
        <v/>
      </c>
      <c r="AO138" s="51" t="str">
        <f aca="false">IF(OR($A138="",AO$8=""),"",IF($F138="Migré","ROKS",IF($F138="À décommissionner",IF(AO$8&lt;$AS138,"IKS","Décom."),IF(OR($AQ138="",$AS138=""),"",IF(AO$8&lt;$AQ138,"IKS",IF(AO$8&lt;$AS138,IF(AO$8=$AR138,"Bascule","Double run"),"ROKS"))))))</f>
        <v/>
      </c>
      <c r="AP138" s="51" t="str">
        <f aca="false">IF(OR($A138="",AP$8=""),"",IF($F138="Migré","ROKS",IF($F138="À décommissionner",IF(AP$8&lt;$AS138,"IKS","Décom."),IF(OR($AQ138="",$AS138=""),"",IF(AP$8&lt;$AQ138,"IKS",IF(AP$8&lt;$AS138,IF(AP$8=$AR138,"Bascule","Double run"),"ROKS"))))))</f>
        <v/>
      </c>
      <c r="AQ138" s="0" t="str">
        <f aca="false">IF($A138="","",INDEX(TblApplications[Mois prov (calc)],$A138))</f>
        <v/>
      </c>
      <c r="AR138" s="0" t="str">
        <f aca="false">IF($A138="","",IFERROR(DATE(YEAR(INDEX(TblApplications[Mois bascule],$A138)),MONTH(INDEX(TblApplications[Mois bascule],$A138)),1),""))</f>
        <v/>
      </c>
      <c r="AS138" s="0" t="str">
        <f aca="false">IF($A138="","",INDEX(TblApplications[Mois lib (calc)],$A138))</f>
        <v/>
      </c>
    </row>
    <row r="139" customFormat="false" ht="15" hidden="false" customHeight="false" outlineLevel="0" collapsed="false">
      <c r="A139" s="49" t="str">
        <f aca="false">IFERROR(MATCH(131,TblApplications[Rang frise],0),"")</f>
        <v/>
      </c>
      <c r="B139" s="50" t="str">
        <f aca="false">IF($A139="","",INDEX(TblApplications[ID],$A139))</f>
        <v/>
      </c>
      <c r="C139" s="50" t="str">
        <f aca="false">IF($A139="","",INDEX(TblApplications[Application],$A139))</f>
        <v/>
      </c>
      <c r="D139" s="50" t="str">
        <f aca="false">IF($A139="","",INDEX(TblApplications[Environnement],$A139))</f>
        <v/>
      </c>
      <c r="E139" s="50" t="str">
        <f aca="false">IF($A139="","",INDEX(TblApplications[Couloir],$A139))</f>
        <v/>
      </c>
      <c r="F139" s="50" t="str">
        <f aca="false">IF($A139="","",INDEX(TblApplications[Action],$A139))</f>
        <v/>
      </c>
      <c r="G139" s="51" t="str">
        <f aca="false">IF(OR($A139="",G$8=""),"",IF($F139="Migré","ROKS",IF($F139="À décommissionner",IF(G$8&lt;$AS139,"IKS","Décom."),IF(OR($AQ139="",$AS139=""),"",IF(G$8&lt;$AQ139,"IKS",IF(G$8&lt;$AS139,IF(G$8=$AR139,"Bascule","Double run"),"ROKS"))))))</f>
        <v/>
      </c>
      <c r="H139" s="51" t="str">
        <f aca="false">IF(OR($A139="",H$8=""),"",IF($F139="Migré","ROKS",IF($F139="À décommissionner",IF(H$8&lt;$AS139,"IKS","Décom."),IF(OR($AQ139="",$AS139=""),"",IF(H$8&lt;$AQ139,"IKS",IF(H$8&lt;$AS139,IF(H$8=$AR139,"Bascule","Double run"),"ROKS"))))))</f>
        <v/>
      </c>
      <c r="I139" s="51" t="str">
        <f aca="false">IF(OR($A139="",I$8=""),"",IF($F139="Migré","ROKS",IF($F139="À décommissionner",IF(I$8&lt;$AS139,"IKS","Décom."),IF(OR($AQ139="",$AS139=""),"",IF(I$8&lt;$AQ139,"IKS",IF(I$8&lt;$AS139,IF(I$8=$AR139,"Bascule","Double run"),"ROKS"))))))</f>
        <v/>
      </c>
      <c r="J139" s="51" t="str">
        <f aca="false">IF(OR($A139="",J$8=""),"",IF($F139="Migré","ROKS",IF($F139="À décommissionner",IF(J$8&lt;$AS139,"IKS","Décom."),IF(OR($AQ139="",$AS139=""),"",IF(J$8&lt;$AQ139,"IKS",IF(J$8&lt;$AS139,IF(J$8=$AR139,"Bascule","Double run"),"ROKS"))))))</f>
        <v/>
      </c>
      <c r="K139" s="51" t="str">
        <f aca="false">IF(OR($A139="",K$8=""),"",IF($F139="Migré","ROKS",IF($F139="À décommissionner",IF(K$8&lt;$AS139,"IKS","Décom."),IF(OR($AQ139="",$AS139=""),"",IF(K$8&lt;$AQ139,"IKS",IF(K$8&lt;$AS139,IF(K$8=$AR139,"Bascule","Double run"),"ROKS"))))))</f>
        <v/>
      </c>
      <c r="L139" s="51" t="str">
        <f aca="false">IF(OR($A139="",L$8=""),"",IF($F139="Migré","ROKS",IF($F139="À décommissionner",IF(L$8&lt;$AS139,"IKS","Décom."),IF(OR($AQ139="",$AS139=""),"",IF(L$8&lt;$AQ139,"IKS",IF(L$8&lt;$AS139,IF(L$8=$AR139,"Bascule","Double run"),"ROKS"))))))</f>
        <v/>
      </c>
      <c r="M139" s="51" t="str">
        <f aca="false">IF(OR($A139="",M$8=""),"",IF($F139="Migré","ROKS",IF($F139="À décommissionner",IF(M$8&lt;$AS139,"IKS","Décom."),IF(OR($AQ139="",$AS139=""),"",IF(M$8&lt;$AQ139,"IKS",IF(M$8&lt;$AS139,IF(M$8=$AR139,"Bascule","Double run"),"ROKS"))))))</f>
        <v/>
      </c>
      <c r="N139" s="51" t="str">
        <f aca="false">IF(OR($A139="",N$8=""),"",IF($F139="Migré","ROKS",IF($F139="À décommissionner",IF(N$8&lt;$AS139,"IKS","Décom."),IF(OR($AQ139="",$AS139=""),"",IF(N$8&lt;$AQ139,"IKS",IF(N$8&lt;$AS139,IF(N$8=$AR139,"Bascule","Double run"),"ROKS"))))))</f>
        <v/>
      </c>
      <c r="O139" s="51" t="str">
        <f aca="false">IF(OR($A139="",O$8=""),"",IF($F139="Migré","ROKS",IF($F139="À décommissionner",IF(O$8&lt;$AS139,"IKS","Décom."),IF(OR($AQ139="",$AS139=""),"",IF(O$8&lt;$AQ139,"IKS",IF(O$8&lt;$AS139,IF(O$8=$AR139,"Bascule","Double run"),"ROKS"))))))</f>
        <v/>
      </c>
      <c r="P139" s="51" t="str">
        <f aca="false">IF(OR($A139="",P$8=""),"",IF($F139="Migré","ROKS",IF($F139="À décommissionner",IF(P$8&lt;$AS139,"IKS","Décom."),IF(OR($AQ139="",$AS139=""),"",IF(P$8&lt;$AQ139,"IKS",IF(P$8&lt;$AS139,IF(P$8=$AR139,"Bascule","Double run"),"ROKS"))))))</f>
        <v/>
      </c>
      <c r="Q139" s="51" t="str">
        <f aca="false">IF(OR($A139="",Q$8=""),"",IF($F139="Migré","ROKS",IF($F139="À décommissionner",IF(Q$8&lt;$AS139,"IKS","Décom."),IF(OR($AQ139="",$AS139=""),"",IF(Q$8&lt;$AQ139,"IKS",IF(Q$8&lt;$AS139,IF(Q$8=$AR139,"Bascule","Double run"),"ROKS"))))))</f>
        <v/>
      </c>
      <c r="R139" s="51" t="str">
        <f aca="false">IF(OR($A139="",R$8=""),"",IF($F139="Migré","ROKS",IF($F139="À décommissionner",IF(R$8&lt;$AS139,"IKS","Décom."),IF(OR($AQ139="",$AS139=""),"",IF(R$8&lt;$AQ139,"IKS",IF(R$8&lt;$AS139,IF(R$8=$AR139,"Bascule","Double run"),"ROKS"))))))</f>
        <v/>
      </c>
      <c r="S139" s="51" t="str">
        <f aca="false">IF(OR($A139="",S$8=""),"",IF($F139="Migré","ROKS",IF($F139="À décommissionner",IF(S$8&lt;$AS139,"IKS","Décom."),IF(OR($AQ139="",$AS139=""),"",IF(S$8&lt;$AQ139,"IKS",IF(S$8&lt;$AS139,IF(S$8=$AR139,"Bascule","Double run"),"ROKS"))))))</f>
        <v/>
      </c>
      <c r="T139" s="51" t="str">
        <f aca="false">IF(OR($A139="",T$8=""),"",IF($F139="Migré","ROKS",IF($F139="À décommissionner",IF(T$8&lt;$AS139,"IKS","Décom."),IF(OR($AQ139="",$AS139=""),"",IF(T$8&lt;$AQ139,"IKS",IF(T$8&lt;$AS139,IF(T$8=$AR139,"Bascule","Double run"),"ROKS"))))))</f>
        <v/>
      </c>
      <c r="U139" s="51" t="str">
        <f aca="false">IF(OR($A139="",U$8=""),"",IF($F139="Migré","ROKS",IF($F139="À décommissionner",IF(U$8&lt;$AS139,"IKS","Décom."),IF(OR($AQ139="",$AS139=""),"",IF(U$8&lt;$AQ139,"IKS",IF(U$8&lt;$AS139,IF(U$8=$AR139,"Bascule","Double run"),"ROKS"))))))</f>
        <v/>
      </c>
      <c r="V139" s="51" t="str">
        <f aca="false">IF(OR($A139="",V$8=""),"",IF($F139="Migré","ROKS",IF($F139="À décommissionner",IF(V$8&lt;$AS139,"IKS","Décom."),IF(OR($AQ139="",$AS139=""),"",IF(V$8&lt;$AQ139,"IKS",IF(V$8&lt;$AS139,IF(V$8=$AR139,"Bascule","Double run"),"ROKS"))))))</f>
        <v/>
      </c>
      <c r="W139" s="51" t="str">
        <f aca="false">IF(OR($A139="",W$8=""),"",IF($F139="Migré","ROKS",IF($F139="À décommissionner",IF(W$8&lt;$AS139,"IKS","Décom."),IF(OR($AQ139="",$AS139=""),"",IF(W$8&lt;$AQ139,"IKS",IF(W$8&lt;$AS139,IF(W$8=$AR139,"Bascule","Double run"),"ROKS"))))))</f>
        <v/>
      </c>
      <c r="X139" s="51" t="str">
        <f aca="false">IF(OR($A139="",X$8=""),"",IF($F139="Migré","ROKS",IF($F139="À décommissionner",IF(X$8&lt;$AS139,"IKS","Décom."),IF(OR($AQ139="",$AS139=""),"",IF(X$8&lt;$AQ139,"IKS",IF(X$8&lt;$AS139,IF(X$8=$AR139,"Bascule","Double run"),"ROKS"))))))</f>
        <v/>
      </c>
      <c r="Y139" s="51" t="str">
        <f aca="false">IF(OR($A139="",Y$8=""),"",IF($F139="Migré","ROKS",IF($F139="À décommissionner",IF(Y$8&lt;$AS139,"IKS","Décom."),IF(OR($AQ139="",$AS139=""),"",IF(Y$8&lt;$AQ139,"IKS",IF(Y$8&lt;$AS139,IF(Y$8=$AR139,"Bascule","Double run"),"ROKS"))))))</f>
        <v/>
      </c>
      <c r="Z139" s="51" t="str">
        <f aca="false">IF(OR($A139="",Z$8=""),"",IF($F139="Migré","ROKS",IF($F139="À décommissionner",IF(Z$8&lt;$AS139,"IKS","Décom."),IF(OR($AQ139="",$AS139=""),"",IF(Z$8&lt;$AQ139,"IKS",IF(Z$8&lt;$AS139,IF(Z$8=$AR139,"Bascule","Double run"),"ROKS"))))))</f>
        <v/>
      </c>
      <c r="AA139" s="51" t="str">
        <f aca="false">IF(OR($A139="",AA$8=""),"",IF($F139="Migré","ROKS",IF($F139="À décommissionner",IF(AA$8&lt;$AS139,"IKS","Décom."),IF(OR($AQ139="",$AS139=""),"",IF(AA$8&lt;$AQ139,"IKS",IF(AA$8&lt;$AS139,IF(AA$8=$AR139,"Bascule","Double run"),"ROKS"))))))</f>
        <v/>
      </c>
      <c r="AB139" s="51" t="str">
        <f aca="false">IF(OR($A139="",AB$8=""),"",IF($F139="Migré","ROKS",IF($F139="À décommissionner",IF(AB$8&lt;$AS139,"IKS","Décom."),IF(OR($AQ139="",$AS139=""),"",IF(AB$8&lt;$AQ139,"IKS",IF(AB$8&lt;$AS139,IF(AB$8=$AR139,"Bascule","Double run"),"ROKS"))))))</f>
        <v/>
      </c>
      <c r="AC139" s="51" t="str">
        <f aca="false">IF(OR($A139="",AC$8=""),"",IF($F139="Migré","ROKS",IF($F139="À décommissionner",IF(AC$8&lt;$AS139,"IKS","Décom."),IF(OR($AQ139="",$AS139=""),"",IF(AC$8&lt;$AQ139,"IKS",IF(AC$8&lt;$AS139,IF(AC$8=$AR139,"Bascule","Double run"),"ROKS"))))))</f>
        <v/>
      </c>
      <c r="AD139" s="51" t="str">
        <f aca="false">IF(OR($A139="",AD$8=""),"",IF($F139="Migré","ROKS",IF($F139="À décommissionner",IF(AD$8&lt;$AS139,"IKS","Décom."),IF(OR($AQ139="",$AS139=""),"",IF(AD$8&lt;$AQ139,"IKS",IF(AD$8&lt;$AS139,IF(AD$8=$AR139,"Bascule","Double run"),"ROKS"))))))</f>
        <v/>
      </c>
      <c r="AE139" s="51" t="str">
        <f aca="false">IF(OR($A139="",AE$8=""),"",IF($F139="Migré","ROKS",IF($F139="À décommissionner",IF(AE$8&lt;$AS139,"IKS","Décom."),IF(OR($AQ139="",$AS139=""),"",IF(AE$8&lt;$AQ139,"IKS",IF(AE$8&lt;$AS139,IF(AE$8=$AR139,"Bascule","Double run"),"ROKS"))))))</f>
        <v/>
      </c>
      <c r="AF139" s="51" t="str">
        <f aca="false">IF(OR($A139="",AF$8=""),"",IF($F139="Migré","ROKS",IF($F139="À décommissionner",IF(AF$8&lt;$AS139,"IKS","Décom."),IF(OR($AQ139="",$AS139=""),"",IF(AF$8&lt;$AQ139,"IKS",IF(AF$8&lt;$AS139,IF(AF$8=$AR139,"Bascule","Double run"),"ROKS"))))))</f>
        <v/>
      </c>
      <c r="AG139" s="51" t="str">
        <f aca="false">IF(OR($A139="",AG$8=""),"",IF($F139="Migré","ROKS",IF($F139="À décommissionner",IF(AG$8&lt;$AS139,"IKS","Décom."),IF(OR($AQ139="",$AS139=""),"",IF(AG$8&lt;$AQ139,"IKS",IF(AG$8&lt;$AS139,IF(AG$8=$AR139,"Bascule","Double run"),"ROKS"))))))</f>
        <v/>
      </c>
      <c r="AH139" s="51" t="str">
        <f aca="false">IF(OR($A139="",AH$8=""),"",IF($F139="Migré","ROKS",IF($F139="À décommissionner",IF(AH$8&lt;$AS139,"IKS","Décom."),IF(OR($AQ139="",$AS139=""),"",IF(AH$8&lt;$AQ139,"IKS",IF(AH$8&lt;$AS139,IF(AH$8=$AR139,"Bascule","Double run"),"ROKS"))))))</f>
        <v/>
      </c>
      <c r="AI139" s="51" t="str">
        <f aca="false">IF(OR($A139="",AI$8=""),"",IF($F139="Migré","ROKS",IF($F139="À décommissionner",IF(AI$8&lt;$AS139,"IKS","Décom."),IF(OR($AQ139="",$AS139=""),"",IF(AI$8&lt;$AQ139,"IKS",IF(AI$8&lt;$AS139,IF(AI$8=$AR139,"Bascule","Double run"),"ROKS"))))))</f>
        <v/>
      </c>
      <c r="AJ139" s="51" t="str">
        <f aca="false">IF(OR($A139="",AJ$8=""),"",IF($F139="Migré","ROKS",IF($F139="À décommissionner",IF(AJ$8&lt;$AS139,"IKS","Décom."),IF(OR($AQ139="",$AS139=""),"",IF(AJ$8&lt;$AQ139,"IKS",IF(AJ$8&lt;$AS139,IF(AJ$8=$AR139,"Bascule","Double run"),"ROKS"))))))</f>
        <v/>
      </c>
      <c r="AK139" s="51" t="str">
        <f aca="false">IF(OR($A139="",AK$8=""),"",IF($F139="Migré","ROKS",IF($F139="À décommissionner",IF(AK$8&lt;$AS139,"IKS","Décom."),IF(OR($AQ139="",$AS139=""),"",IF(AK$8&lt;$AQ139,"IKS",IF(AK$8&lt;$AS139,IF(AK$8=$AR139,"Bascule","Double run"),"ROKS"))))))</f>
        <v/>
      </c>
      <c r="AL139" s="51" t="str">
        <f aca="false">IF(OR($A139="",AL$8=""),"",IF($F139="Migré","ROKS",IF($F139="À décommissionner",IF(AL$8&lt;$AS139,"IKS","Décom."),IF(OR($AQ139="",$AS139=""),"",IF(AL$8&lt;$AQ139,"IKS",IF(AL$8&lt;$AS139,IF(AL$8=$AR139,"Bascule","Double run"),"ROKS"))))))</f>
        <v/>
      </c>
      <c r="AM139" s="51" t="str">
        <f aca="false">IF(OR($A139="",AM$8=""),"",IF($F139="Migré","ROKS",IF($F139="À décommissionner",IF(AM$8&lt;$AS139,"IKS","Décom."),IF(OR($AQ139="",$AS139=""),"",IF(AM$8&lt;$AQ139,"IKS",IF(AM$8&lt;$AS139,IF(AM$8=$AR139,"Bascule","Double run"),"ROKS"))))))</f>
        <v/>
      </c>
      <c r="AN139" s="51" t="str">
        <f aca="false">IF(OR($A139="",AN$8=""),"",IF($F139="Migré","ROKS",IF($F139="À décommissionner",IF(AN$8&lt;$AS139,"IKS","Décom."),IF(OR($AQ139="",$AS139=""),"",IF(AN$8&lt;$AQ139,"IKS",IF(AN$8&lt;$AS139,IF(AN$8=$AR139,"Bascule","Double run"),"ROKS"))))))</f>
        <v/>
      </c>
      <c r="AO139" s="51" t="str">
        <f aca="false">IF(OR($A139="",AO$8=""),"",IF($F139="Migré","ROKS",IF($F139="À décommissionner",IF(AO$8&lt;$AS139,"IKS","Décom."),IF(OR($AQ139="",$AS139=""),"",IF(AO$8&lt;$AQ139,"IKS",IF(AO$8&lt;$AS139,IF(AO$8=$AR139,"Bascule","Double run"),"ROKS"))))))</f>
        <v/>
      </c>
      <c r="AP139" s="51" t="str">
        <f aca="false">IF(OR($A139="",AP$8=""),"",IF($F139="Migré","ROKS",IF($F139="À décommissionner",IF(AP$8&lt;$AS139,"IKS","Décom."),IF(OR($AQ139="",$AS139=""),"",IF(AP$8&lt;$AQ139,"IKS",IF(AP$8&lt;$AS139,IF(AP$8=$AR139,"Bascule","Double run"),"ROKS"))))))</f>
        <v/>
      </c>
      <c r="AQ139" s="0" t="str">
        <f aca="false">IF($A139="","",INDEX(TblApplications[Mois prov (calc)],$A139))</f>
        <v/>
      </c>
      <c r="AR139" s="0" t="str">
        <f aca="false">IF($A139="","",IFERROR(DATE(YEAR(INDEX(TblApplications[Mois bascule],$A139)),MONTH(INDEX(TblApplications[Mois bascule],$A139)),1),""))</f>
        <v/>
      </c>
      <c r="AS139" s="0" t="str">
        <f aca="false">IF($A139="","",INDEX(TblApplications[Mois lib (calc)],$A139))</f>
        <v/>
      </c>
    </row>
    <row r="140" customFormat="false" ht="15" hidden="false" customHeight="false" outlineLevel="0" collapsed="false">
      <c r="A140" s="49" t="str">
        <f aca="false">IFERROR(MATCH(132,TblApplications[Rang frise],0),"")</f>
        <v/>
      </c>
      <c r="B140" s="50" t="str">
        <f aca="false">IF($A140="","",INDEX(TblApplications[ID],$A140))</f>
        <v/>
      </c>
      <c r="C140" s="50" t="str">
        <f aca="false">IF($A140="","",INDEX(TblApplications[Application],$A140))</f>
        <v/>
      </c>
      <c r="D140" s="50" t="str">
        <f aca="false">IF($A140="","",INDEX(TblApplications[Environnement],$A140))</f>
        <v/>
      </c>
      <c r="E140" s="50" t="str">
        <f aca="false">IF($A140="","",INDEX(TblApplications[Couloir],$A140))</f>
        <v/>
      </c>
      <c r="F140" s="50" t="str">
        <f aca="false">IF($A140="","",INDEX(TblApplications[Action],$A140))</f>
        <v/>
      </c>
      <c r="G140" s="51" t="str">
        <f aca="false">IF(OR($A140="",G$8=""),"",IF($F140="Migré","ROKS",IF($F140="À décommissionner",IF(G$8&lt;$AS140,"IKS","Décom."),IF(OR($AQ140="",$AS140=""),"",IF(G$8&lt;$AQ140,"IKS",IF(G$8&lt;$AS140,IF(G$8=$AR140,"Bascule","Double run"),"ROKS"))))))</f>
        <v/>
      </c>
      <c r="H140" s="51" t="str">
        <f aca="false">IF(OR($A140="",H$8=""),"",IF($F140="Migré","ROKS",IF($F140="À décommissionner",IF(H$8&lt;$AS140,"IKS","Décom."),IF(OR($AQ140="",$AS140=""),"",IF(H$8&lt;$AQ140,"IKS",IF(H$8&lt;$AS140,IF(H$8=$AR140,"Bascule","Double run"),"ROKS"))))))</f>
        <v/>
      </c>
      <c r="I140" s="51" t="str">
        <f aca="false">IF(OR($A140="",I$8=""),"",IF($F140="Migré","ROKS",IF($F140="À décommissionner",IF(I$8&lt;$AS140,"IKS","Décom."),IF(OR($AQ140="",$AS140=""),"",IF(I$8&lt;$AQ140,"IKS",IF(I$8&lt;$AS140,IF(I$8=$AR140,"Bascule","Double run"),"ROKS"))))))</f>
        <v/>
      </c>
      <c r="J140" s="51" t="str">
        <f aca="false">IF(OR($A140="",J$8=""),"",IF($F140="Migré","ROKS",IF($F140="À décommissionner",IF(J$8&lt;$AS140,"IKS","Décom."),IF(OR($AQ140="",$AS140=""),"",IF(J$8&lt;$AQ140,"IKS",IF(J$8&lt;$AS140,IF(J$8=$AR140,"Bascule","Double run"),"ROKS"))))))</f>
        <v/>
      </c>
      <c r="K140" s="51" t="str">
        <f aca="false">IF(OR($A140="",K$8=""),"",IF($F140="Migré","ROKS",IF($F140="À décommissionner",IF(K$8&lt;$AS140,"IKS","Décom."),IF(OR($AQ140="",$AS140=""),"",IF(K$8&lt;$AQ140,"IKS",IF(K$8&lt;$AS140,IF(K$8=$AR140,"Bascule","Double run"),"ROKS"))))))</f>
        <v/>
      </c>
      <c r="L140" s="51" t="str">
        <f aca="false">IF(OR($A140="",L$8=""),"",IF($F140="Migré","ROKS",IF($F140="À décommissionner",IF(L$8&lt;$AS140,"IKS","Décom."),IF(OR($AQ140="",$AS140=""),"",IF(L$8&lt;$AQ140,"IKS",IF(L$8&lt;$AS140,IF(L$8=$AR140,"Bascule","Double run"),"ROKS"))))))</f>
        <v/>
      </c>
      <c r="M140" s="51" t="str">
        <f aca="false">IF(OR($A140="",M$8=""),"",IF($F140="Migré","ROKS",IF($F140="À décommissionner",IF(M$8&lt;$AS140,"IKS","Décom."),IF(OR($AQ140="",$AS140=""),"",IF(M$8&lt;$AQ140,"IKS",IF(M$8&lt;$AS140,IF(M$8=$AR140,"Bascule","Double run"),"ROKS"))))))</f>
        <v/>
      </c>
      <c r="N140" s="51" t="str">
        <f aca="false">IF(OR($A140="",N$8=""),"",IF($F140="Migré","ROKS",IF($F140="À décommissionner",IF(N$8&lt;$AS140,"IKS","Décom."),IF(OR($AQ140="",$AS140=""),"",IF(N$8&lt;$AQ140,"IKS",IF(N$8&lt;$AS140,IF(N$8=$AR140,"Bascule","Double run"),"ROKS"))))))</f>
        <v/>
      </c>
      <c r="O140" s="51" t="str">
        <f aca="false">IF(OR($A140="",O$8=""),"",IF($F140="Migré","ROKS",IF($F140="À décommissionner",IF(O$8&lt;$AS140,"IKS","Décom."),IF(OR($AQ140="",$AS140=""),"",IF(O$8&lt;$AQ140,"IKS",IF(O$8&lt;$AS140,IF(O$8=$AR140,"Bascule","Double run"),"ROKS"))))))</f>
        <v/>
      </c>
      <c r="P140" s="51" t="str">
        <f aca="false">IF(OR($A140="",P$8=""),"",IF($F140="Migré","ROKS",IF($F140="À décommissionner",IF(P$8&lt;$AS140,"IKS","Décom."),IF(OR($AQ140="",$AS140=""),"",IF(P$8&lt;$AQ140,"IKS",IF(P$8&lt;$AS140,IF(P$8=$AR140,"Bascule","Double run"),"ROKS"))))))</f>
        <v/>
      </c>
      <c r="Q140" s="51" t="str">
        <f aca="false">IF(OR($A140="",Q$8=""),"",IF($F140="Migré","ROKS",IF($F140="À décommissionner",IF(Q$8&lt;$AS140,"IKS","Décom."),IF(OR($AQ140="",$AS140=""),"",IF(Q$8&lt;$AQ140,"IKS",IF(Q$8&lt;$AS140,IF(Q$8=$AR140,"Bascule","Double run"),"ROKS"))))))</f>
        <v/>
      </c>
      <c r="R140" s="51" t="str">
        <f aca="false">IF(OR($A140="",R$8=""),"",IF($F140="Migré","ROKS",IF($F140="À décommissionner",IF(R$8&lt;$AS140,"IKS","Décom."),IF(OR($AQ140="",$AS140=""),"",IF(R$8&lt;$AQ140,"IKS",IF(R$8&lt;$AS140,IF(R$8=$AR140,"Bascule","Double run"),"ROKS"))))))</f>
        <v/>
      </c>
      <c r="S140" s="51" t="str">
        <f aca="false">IF(OR($A140="",S$8=""),"",IF($F140="Migré","ROKS",IF($F140="À décommissionner",IF(S$8&lt;$AS140,"IKS","Décom."),IF(OR($AQ140="",$AS140=""),"",IF(S$8&lt;$AQ140,"IKS",IF(S$8&lt;$AS140,IF(S$8=$AR140,"Bascule","Double run"),"ROKS"))))))</f>
        <v/>
      </c>
      <c r="T140" s="51" t="str">
        <f aca="false">IF(OR($A140="",T$8=""),"",IF($F140="Migré","ROKS",IF($F140="À décommissionner",IF(T$8&lt;$AS140,"IKS","Décom."),IF(OR($AQ140="",$AS140=""),"",IF(T$8&lt;$AQ140,"IKS",IF(T$8&lt;$AS140,IF(T$8=$AR140,"Bascule","Double run"),"ROKS"))))))</f>
        <v/>
      </c>
      <c r="U140" s="51" t="str">
        <f aca="false">IF(OR($A140="",U$8=""),"",IF($F140="Migré","ROKS",IF($F140="À décommissionner",IF(U$8&lt;$AS140,"IKS","Décom."),IF(OR($AQ140="",$AS140=""),"",IF(U$8&lt;$AQ140,"IKS",IF(U$8&lt;$AS140,IF(U$8=$AR140,"Bascule","Double run"),"ROKS"))))))</f>
        <v/>
      </c>
      <c r="V140" s="51" t="str">
        <f aca="false">IF(OR($A140="",V$8=""),"",IF($F140="Migré","ROKS",IF($F140="À décommissionner",IF(V$8&lt;$AS140,"IKS","Décom."),IF(OR($AQ140="",$AS140=""),"",IF(V$8&lt;$AQ140,"IKS",IF(V$8&lt;$AS140,IF(V$8=$AR140,"Bascule","Double run"),"ROKS"))))))</f>
        <v/>
      </c>
      <c r="W140" s="51" t="str">
        <f aca="false">IF(OR($A140="",W$8=""),"",IF($F140="Migré","ROKS",IF($F140="À décommissionner",IF(W$8&lt;$AS140,"IKS","Décom."),IF(OR($AQ140="",$AS140=""),"",IF(W$8&lt;$AQ140,"IKS",IF(W$8&lt;$AS140,IF(W$8=$AR140,"Bascule","Double run"),"ROKS"))))))</f>
        <v/>
      </c>
      <c r="X140" s="51" t="str">
        <f aca="false">IF(OR($A140="",X$8=""),"",IF($F140="Migré","ROKS",IF($F140="À décommissionner",IF(X$8&lt;$AS140,"IKS","Décom."),IF(OR($AQ140="",$AS140=""),"",IF(X$8&lt;$AQ140,"IKS",IF(X$8&lt;$AS140,IF(X$8=$AR140,"Bascule","Double run"),"ROKS"))))))</f>
        <v/>
      </c>
      <c r="Y140" s="51" t="str">
        <f aca="false">IF(OR($A140="",Y$8=""),"",IF($F140="Migré","ROKS",IF($F140="À décommissionner",IF(Y$8&lt;$AS140,"IKS","Décom."),IF(OR($AQ140="",$AS140=""),"",IF(Y$8&lt;$AQ140,"IKS",IF(Y$8&lt;$AS140,IF(Y$8=$AR140,"Bascule","Double run"),"ROKS"))))))</f>
        <v/>
      </c>
      <c r="Z140" s="51" t="str">
        <f aca="false">IF(OR($A140="",Z$8=""),"",IF($F140="Migré","ROKS",IF($F140="À décommissionner",IF(Z$8&lt;$AS140,"IKS","Décom."),IF(OR($AQ140="",$AS140=""),"",IF(Z$8&lt;$AQ140,"IKS",IF(Z$8&lt;$AS140,IF(Z$8=$AR140,"Bascule","Double run"),"ROKS"))))))</f>
        <v/>
      </c>
      <c r="AA140" s="51" t="str">
        <f aca="false">IF(OR($A140="",AA$8=""),"",IF($F140="Migré","ROKS",IF($F140="À décommissionner",IF(AA$8&lt;$AS140,"IKS","Décom."),IF(OR($AQ140="",$AS140=""),"",IF(AA$8&lt;$AQ140,"IKS",IF(AA$8&lt;$AS140,IF(AA$8=$AR140,"Bascule","Double run"),"ROKS"))))))</f>
        <v/>
      </c>
      <c r="AB140" s="51" t="str">
        <f aca="false">IF(OR($A140="",AB$8=""),"",IF($F140="Migré","ROKS",IF($F140="À décommissionner",IF(AB$8&lt;$AS140,"IKS","Décom."),IF(OR($AQ140="",$AS140=""),"",IF(AB$8&lt;$AQ140,"IKS",IF(AB$8&lt;$AS140,IF(AB$8=$AR140,"Bascule","Double run"),"ROKS"))))))</f>
        <v/>
      </c>
      <c r="AC140" s="51" t="str">
        <f aca="false">IF(OR($A140="",AC$8=""),"",IF($F140="Migré","ROKS",IF($F140="À décommissionner",IF(AC$8&lt;$AS140,"IKS","Décom."),IF(OR($AQ140="",$AS140=""),"",IF(AC$8&lt;$AQ140,"IKS",IF(AC$8&lt;$AS140,IF(AC$8=$AR140,"Bascule","Double run"),"ROKS"))))))</f>
        <v/>
      </c>
      <c r="AD140" s="51" t="str">
        <f aca="false">IF(OR($A140="",AD$8=""),"",IF($F140="Migré","ROKS",IF($F140="À décommissionner",IF(AD$8&lt;$AS140,"IKS","Décom."),IF(OR($AQ140="",$AS140=""),"",IF(AD$8&lt;$AQ140,"IKS",IF(AD$8&lt;$AS140,IF(AD$8=$AR140,"Bascule","Double run"),"ROKS"))))))</f>
        <v/>
      </c>
      <c r="AE140" s="51" t="str">
        <f aca="false">IF(OR($A140="",AE$8=""),"",IF($F140="Migré","ROKS",IF($F140="À décommissionner",IF(AE$8&lt;$AS140,"IKS","Décom."),IF(OR($AQ140="",$AS140=""),"",IF(AE$8&lt;$AQ140,"IKS",IF(AE$8&lt;$AS140,IF(AE$8=$AR140,"Bascule","Double run"),"ROKS"))))))</f>
        <v/>
      </c>
      <c r="AF140" s="51" t="str">
        <f aca="false">IF(OR($A140="",AF$8=""),"",IF($F140="Migré","ROKS",IF($F140="À décommissionner",IF(AF$8&lt;$AS140,"IKS","Décom."),IF(OR($AQ140="",$AS140=""),"",IF(AF$8&lt;$AQ140,"IKS",IF(AF$8&lt;$AS140,IF(AF$8=$AR140,"Bascule","Double run"),"ROKS"))))))</f>
        <v/>
      </c>
      <c r="AG140" s="51" t="str">
        <f aca="false">IF(OR($A140="",AG$8=""),"",IF($F140="Migré","ROKS",IF($F140="À décommissionner",IF(AG$8&lt;$AS140,"IKS","Décom."),IF(OR($AQ140="",$AS140=""),"",IF(AG$8&lt;$AQ140,"IKS",IF(AG$8&lt;$AS140,IF(AG$8=$AR140,"Bascule","Double run"),"ROKS"))))))</f>
        <v/>
      </c>
      <c r="AH140" s="51" t="str">
        <f aca="false">IF(OR($A140="",AH$8=""),"",IF($F140="Migré","ROKS",IF($F140="À décommissionner",IF(AH$8&lt;$AS140,"IKS","Décom."),IF(OR($AQ140="",$AS140=""),"",IF(AH$8&lt;$AQ140,"IKS",IF(AH$8&lt;$AS140,IF(AH$8=$AR140,"Bascule","Double run"),"ROKS"))))))</f>
        <v/>
      </c>
      <c r="AI140" s="51" t="str">
        <f aca="false">IF(OR($A140="",AI$8=""),"",IF($F140="Migré","ROKS",IF($F140="À décommissionner",IF(AI$8&lt;$AS140,"IKS","Décom."),IF(OR($AQ140="",$AS140=""),"",IF(AI$8&lt;$AQ140,"IKS",IF(AI$8&lt;$AS140,IF(AI$8=$AR140,"Bascule","Double run"),"ROKS"))))))</f>
        <v/>
      </c>
      <c r="AJ140" s="51" t="str">
        <f aca="false">IF(OR($A140="",AJ$8=""),"",IF($F140="Migré","ROKS",IF($F140="À décommissionner",IF(AJ$8&lt;$AS140,"IKS","Décom."),IF(OR($AQ140="",$AS140=""),"",IF(AJ$8&lt;$AQ140,"IKS",IF(AJ$8&lt;$AS140,IF(AJ$8=$AR140,"Bascule","Double run"),"ROKS"))))))</f>
        <v/>
      </c>
      <c r="AK140" s="51" t="str">
        <f aca="false">IF(OR($A140="",AK$8=""),"",IF($F140="Migré","ROKS",IF($F140="À décommissionner",IF(AK$8&lt;$AS140,"IKS","Décom."),IF(OR($AQ140="",$AS140=""),"",IF(AK$8&lt;$AQ140,"IKS",IF(AK$8&lt;$AS140,IF(AK$8=$AR140,"Bascule","Double run"),"ROKS"))))))</f>
        <v/>
      </c>
      <c r="AL140" s="51" t="str">
        <f aca="false">IF(OR($A140="",AL$8=""),"",IF($F140="Migré","ROKS",IF($F140="À décommissionner",IF(AL$8&lt;$AS140,"IKS","Décom."),IF(OR($AQ140="",$AS140=""),"",IF(AL$8&lt;$AQ140,"IKS",IF(AL$8&lt;$AS140,IF(AL$8=$AR140,"Bascule","Double run"),"ROKS"))))))</f>
        <v/>
      </c>
      <c r="AM140" s="51" t="str">
        <f aca="false">IF(OR($A140="",AM$8=""),"",IF($F140="Migré","ROKS",IF($F140="À décommissionner",IF(AM$8&lt;$AS140,"IKS","Décom."),IF(OR($AQ140="",$AS140=""),"",IF(AM$8&lt;$AQ140,"IKS",IF(AM$8&lt;$AS140,IF(AM$8=$AR140,"Bascule","Double run"),"ROKS"))))))</f>
        <v/>
      </c>
      <c r="AN140" s="51" t="str">
        <f aca="false">IF(OR($A140="",AN$8=""),"",IF($F140="Migré","ROKS",IF($F140="À décommissionner",IF(AN$8&lt;$AS140,"IKS","Décom."),IF(OR($AQ140="",$AS140=""),"",IF(AN$8&lt;$AQ140,"IKS",IF(AN$8&lt;$AS140,IF(AN$8=$AR140,"Bascule","Double run"),"ROKS"))))))</f>
        <v/>
      </c>
      <c r="AO140" s="51" t="str">
        <f aca="false">IF(OR($A140="",AO$8=""),"",IF($F140="Migré","ROKS",IF($F140="À décommissionner",IF(AO$8&lt;$AS140,"IKS","Décom."),IF(OR($AQ140="",$AS140=""),"",IF(AO$8&lt;$AQ140,"IKS",IF(AO$8&lt;$AS140,IF(AO$8=$AR140,"Bascule","Double run"),"ROKS"))))))</f>
        <v/>
      </c>
      <c r="AP140" s="51" t="str">
        <f aca="false">IF(OR($A140="",AP$8=""),"",IF($F140="Migré","ROKS",IF($F140="À décommissionner",IF(AP$8&lt;$AS140,"IKS","Décom."),IF(OR($AQ140="",$AS140=""),"",IF(AP$8&lt;$AQ140,"IKS",IF(AP$8&lt;$AS140,IF(AP$8=$AR140,"Bascule","Double run"),"ROKS"))))))</f>
        <v/>
      </c>
      <c r="AQ140" s="0" t="str">
        <f aca="false">IF($A140="","",INDEX(TblApplications[Mois prov (calc)],$A140))</f>
        <v/>
      </c>
      <c r="AR140" s="0" t="str">
        <f aca="false">IF($A140="","",IFERROR(DATE(YEAR(INDEX(TblApplications[Mois bascule],$A140)),MONTH(INDEX(TblApplications[Mois bascule],$A140)),1),""))</f>
        <v/>
      </c>
      <c r="AS140" s="0" t="str">
        <f aca="false">IF($A140="","",INDEX(TblApplications[Mois lib (calc)],$A140))</f>
        <v/>
      </c>
    </row>
    <row r="141" customFormat="false" ht="15" hidden="false" customHeight="false" outlineLevel="0" collapsed="false">
      <c r="A141" s="49" t="str">
        <f aca="false">IFERROR(MATCH(133,TblApplications[Rang frise],0),"")</f>
        <v/>
      </c>
      <c r="B141" s="50" t="str">
        <f aca="false">IF($A141="","",INDEX(TblApplications[ID],$A141))</f>
        <v/>
      </c>
      <c r="C141" s="50" t="str">
        <f aca="false">IF($A141="","",INDEX(TblApplications[Application],$A141))</f>
        <v/>
      </c>
      <c r="D141" s="50" t="str">
        <f aca="false">IF($A141="","",INDEX(TblApplications[Environnement],$A141))</f>
        <v/>
      </c>
      <c r="E141" s="50" t="str">
        <f aca="false">IF($A141="","",INDEX(TblApplications[Couloir],$A141))</f>
        <v/>
      </c>
      <c r="F141" s="50" t="str">
        <f aca="false">IF($A141="","",INDEX(TblApplications[Action],$A141))</f>
        <v/>
      </c>
      <c r="G141" s="51" t="str">
        <f aca="false">IF(OR($A141="",G$8=""),"",IF($F141="Migré","ROKS",IF($F141="À décommissionner",IF(G$8&lt;$AS141,"IKS","Décom."),IF(OR($AQ141="",$AS141=""),"",IF(G$8&lt;$AQ141,"IKS",IF(G$8&lt;$AS141,IF(G$8=$AR141,"Bascule","Double run"),"ROKS"))))))</f>
        <v/>
      </c>
      <c r="H141" s="51" t="str">
        <f aca="false">IF(OR($A141="",H$8=""),"",IF($F141="Migré","ROKS",IF($F141="À décommissionner",IF(H$8&lt;$AS141,"IKS","Décom."),IF(OR($AQ141="",$AS141=""),"",IF(H$8&lt;$AQ141,"IKS",IF(H$8&lt;$AS141,IF(H$8=$AR141,"Bascule","Double run"),"ROKS"))))))</f>
        <v/>
      </c>
      <c r="I141" s="51" t="str">
        <f aca="false">IF(OR($A141="",I$8=""),"",IF($F141="Migré","ROKS",IF($F141="À décommissionner",IF(I$8&lt;$AS141,"IKS","Décom."),IF(OR($AQ141="",$AS141=""),"",IF(I$8&lt;$AQ141,"IKS",IF(I$8&lt;$AS141,IF(I$8=$AR141,"Bascule","Double run"),"ROKS"))))))</f>
        <v/>
      </c>
      <c r="J141" s="51" t="str">
        <f aca="false">IF(OR($A141="",J$8=""),"",IF($F141="Migré","ROKS",IF($F141="À décommissionner",IF(J$8&lt;$AS141,"IKS","Décom."),IF(OR($AQ141="",$AS141=""),"",IF(J$8&lt;$AQ141,"IKS",IF(J$8&lt;$AS141,IF(J$8=$AR141,"Bascule","Double run"),"ROKS"))))))</f>
        <v/>
      </c>
      <c r="K141" s="51" t="str">
        <f aca="false">IF(OR($A141="",K$8=""),"",IF($F141="Migré","ROKS",IF($F141="À décommissionner",IF(K$8&lt;$AS141,"IKS","Décom."),IF(OR($AQ141="",$AS141=""),"",IF(K$8&lt;$AQ141,"IKS",IF(K$8&lt;$AS141,IF(K$8=$AR141,"Bascule","Double run"),"ROKS"))))))</f>
        <v/>
      </c>
      <c r="L141" s="51" t="str">
        <f aca="false">IF(OR($A141="",L$8=""),"",IF($F141="Migré","ROKS",IF($F141="À décommissionner",IF(L$8&lt;$AS141,"IKS","Décom."),IF(OR($AQ141="",$AS141=""),"",IF(L$8&lt;$AQ141,"IKS",IF(L$8&lt;$AS141,IF(L$8=$AR141,"Bascule","Double run"),"ROKS"))))))</f>
        <v/>
      </c>
      <c r="M141" s="51" t="str">
        <f aca="false">IF(OR($A141="",M$8=""),"",IF($F141="Migré","ROKS",IF($F141="À décommissionner",IF(M$8&lt;$AS141,"IKS","Décom."),IF(OR($AQ141="",$AS141=""),"",IF(M$8&lt;$AQ141,"IKS",IF(M$8&lt;$AS141,IF(M$8=$AR141,"Bascule","Double run"),"ROKS"))))))</f>
        <v/>
      </c>
      <c r="N141" s="51" t="str">
        <f aca="false">IF(OR($A141="",N$8=""),"",IF($F141="Migré","ROKS",IF($F141="À décommissionner",IF(N$8&lt;$AS141,"IKS","Décom."),IF(OR($AQ141="",$AS141=""),"",IF(N$8&lt;$AQ141,"IKS",IF(N$8&lt;$AS141,IF(N$8=$AR141,"Bascule","Double run"),"ROKS"))))))</f>
        <v/>
      </c>
      <c r="O141" s="51" t="str">
        <f aca="false">IF(OR($A141="",O$8=""),"",IF($F141="Migré","ROKS",IF($F141="À décommissionner",IF(O$8&lt;$AS141,"IKS","Décom."),IF(OR($AQ141="",$AS141=""),"",IF(O$8&lt;$AQ141,"IKS",IF(O$8&lt;$AS141,IF(O$8=$AR141,"Bascule","Double run"),"ROKS"))))))</f>
        <v/>
      </c>
      <c r="P141" s="51" t="str">
        <f aca="false">IF(OR($A141="",P$8=""),"",IF($F141="Migré","ROKS",IF($F141="À décommissionner",IF(P$8&lt;$AS141,"IKS","Décom."),IF(OR($AQ141="",$AS141=""),"",IF(P$8&lt;$AQ141,"IKS",IF(P$8&lt;$AS141,IF(P$8=$AR141,"Bascule","Double run"),"ROKS"))))))</f>
        <v/>
      </c>
      <c r="Q141" s="51" t="str">
        <f aca="false">IF(OR($A141="",Q$8=""),"",IF($F141="Migré","ROKS",IF($F141="À décommissionner",IF(Q$8&lt;$AS141,"IKS","Décom."),IF(OR($AQ141="",$AS141=""),"",IF(Q$8&lt;$AQ141,"IKS",IF(Q$8&lt;$AS141,IF(Q$8=$AR141,"Bascule","Double run"),"ROKS"))))))</f>
        <v/>
      </c>
      <c r="R141" s="51" t="str">
        <f aca="false">IF(OR($A141="",R$8=""),"",IF($F141="Migré","ROKS",IF($F141="À décommissionner",IF(R$8&lt;$AS141,"IKS","Décom."),IF(OR($AQ141="",$AS141=""),"",IF(R$8&lt;$AQ141,"IKS",IF(R$8&lt;$AS141,IF(R$8=$AR141,"Bascule","Double run"),"ROKS"))))))</f>
        <v/>
      </c>
      <c r="S141" s="51" t="str">
        <f aca="false">IF(OR($A141="",S$8=""),"",IF($F141="Migré","ROKS",IF($F141="À décommissionner",IF(S$8&lt;$AS141,"IKS","Décom."),IF(OR($AQ141="",$AS141=""),"",IF(S$8&lt;$AQ141,"IKS",IF(S$8&lt;$AS141,IF(S$8=$AR141,"Bascule","Double run"),"ROKS"))))))</f>
        <v/>
      </c>
      <c r="T141" s="51" t="str">
        <f aca="false">IF(OR($A141="",T$8=""),"",IF($F141="Migré","ROKS",IF($F141="À décommissionner",IF(T$8&lt;$AS141,"IKS","Décom."),IF(OR($AQ141="",$AS141=""),"",IF(T$8&lt;$AQ141,"IKS",IF(T$8&lt;$AS141,IF(T$8=$AR141,"Bascule","Double run"),"ROKS"))))))</f>
        <v/>
      </c>
      <c r="U141" s="51" t="str">
        <f aca="false">IF(OR($A141="",U$8=""),"",IF($F141="Migré","ROKS",IF($F141="À décommissionner",IF(U$8&lt;$AS141,"IKS","Décom."),IF(OR($AQ141="",$AS141=""),"",IF(U$8&lt;$AQ141,"IKS",IF(U$8&lt;$AS141,IF(U$8=$AR141,"Bascule","Double run"),"ROKS"))))))</f>
        <v/>
      </c>
      <c r="V141" s="51" t="str">
        <f aca="false">IF(OR($A141="",V$8=""),"",IF($F141="Migré","ROKS",IF($F141="À décommissionner",IF(V$8&lt;$AS141,"IKS","Décom."),IF(OR($AQ141="",$AS141=""),"",IF(V$8&lt;$AQ141,"IKS",IF(V$8&lt;$AS141,IF(V$8=$AR141,"Bascule","Double run"),"ROKS"))))))</f>
        <v/>
      </c>
      <c r="W141" s="51" t="str">
        <f aca="false">IF(OR($A141="",W$8=""),"",IF($F141="Migré","ROKS",IF($F141="À décommissionner",IF(W$8&lt;$AS141,"IKS","Décom."),IF(OR($AQ141="",$AS141=""),"",IF(W$8&lt;$AQ141,"IKS",IF(W$8&lt;$AS141,IF(W$8=$AR141,"Bascule","Double run"),"ROKS"))))))</f>
        <v/>
      </c>
      <c r="X141" s="51" t="str">
        <f aca="false">IF(OR($A141="",X$8=""),"",IF($F141="Migré","ROKS",IF($F141="À décommissionner",IF(X$8&lt;$AS141,"IKS","Décom."),IF(OR($AQ141="",$AS141=""),"",IF(X$8&lt;$AQ141,"IKS",IF(X$8&lt;$AS141,IF(X$8=$AR141,"Bascule","Double run"),"ROKS"))))))</f>
        <v/>
      </c>
      <c r="Y141" s="51" t="str">
        <f aca="false">IF(OR($A141="",Y$8=""),"",IF($F141="Migré","ROKS",IF($F141="À décommissionner",IF(Y$8&lt;$AS141,"IKS","Décom."),IF(OR($AQ141="",$AS141=""),"",IF(Y$8&lt;$AQ141,"IKS",IF(Y$8&lt;$AS141,IF(Y$8=$AR141,"Bascule","Double run"),"ROKS"))))))</f>
        <v/>
      </c>
      <c r="Z141" s="51" t="str">
        <f aca="false">IF(OR($A141="",Z$8=""),"",IF($F141="Migré","ROKS",IF($F141="À décommissionner",IF(Z$8&lt;$AS141,"IKS","Décom."),IF(OR($AQ141="",$AS141=""),"",IF(Z$8&lt;$AQ141,"IKS",IF(Z$8&lt;$AS141,IF(Z$8=$AR141,"Bascule","Double run"),"ROKS"))))))</f>
        <v/>
      </c>
      <c r="AA141" s="51" t="str">
        <f aca="false">IF(OR($A141="",AA$8=""),"",IF($F141="Migré","ROKS",IF($F141="À décommissionner",IF(AA$8&lt;$AS141,"IKS","Décom."),IF(OR($AQ141="",$AS141=""),"",IF(AA$8&lt;$AQ141,"IKS",IF(AA$8&lt;$AS141,IF(AA$8=$AR141,"Bascule","Double run"),"ROKS"))))))</f>
        <v/>
      </c>
      <c r="AB141" s="51" t="str">
        <f aca="false">IF(OR($A141="",AB$8=""),"",IF($F141="Migré","ROKS",IF($F141="À décommissionner",IF(AB$8&lt;$AS141,"IKS","Décom."),IF(OR($AQ141="",$AS141=""),"",IF(AB$8&lt;$AQ141,"IKS",IF(AB$8&lt;$AS141,IF(AB$8=$AR141,"Bascule","Double run"),"ROKS"))))))</f>
        <v/>
      </c>
      <c r="AC141" s="51" t="str">
        <f aca="false">IF(OR($A141="",AC$8=""),"",IF($F141="Migré","ROKS",IF($F141="À décommissionner",IF(AC$8&lt;$AS141,"IKS","Décom."),IF(OR($AQ141="",$AS141=""),"",IF(AC$8&lt;$AQ141,"IKS",IF(AC$8&lt;$AS141,IF(AC$8=$AR141,"Bascule","Double run"),"ROKS"))))))</f>
        <v/>
      </c>
      <c r="AD141" s="51" t="str">
        <f aca="false">IF(OR($A141="",AD$8=""),"",IF($F141="Migré","ROKS",IF($F141="À décommissionner",IF(AD$8&lt;$AS141,"IKS","Décom."),IF(OR($AQ141="",$AS141=""),"",IF(AD$8&lt;$AQ141,"IKS",IF(AD$8&lt;$AS141,IF(AD$8=$AR141,"Bascule","Double run"),"ROKS"))))))</f>
        <v/>
      </c>
      <c r="AE141" s="51" t="str">
        <f aca="false">IF(OR($A141="",AE$8=""),"",IF($F141="Migré","ROKS",IF($F141="À décommissionner",IF(AE$8&lt;$AS141,"IKS","Décom."),IF(OR($AQ141="",$AS141=""),"",IF(AE$8&lt;$AQ141,"IKS",IF(AE$8&lt;$AS141,IF(AE$8=$AR141,"Bascule","Double run"),"ROKS"))))))</f>
        <v/>
      </c>
      <c r="AF141" s="51" t="str">
        <f aca="false">IF(OR($A141="",AF$8=""),"",IF($F141="Migré","ROKS",IF($F141="À décommissionner",IF(AF$8&lt;$AS141,"IKS","Décom."),IF(OR($AQ141="",$AS141=""),"",IF(AF$8&lt;$AQ141,"IKS",IF(AF$8&lt;$AS141,IF(AF$8=$AR141,"Bascule","Double run"),"ROKS"))))))</f>
        <v/>
      </c>
      <c r="AG141" s="51" t="str">
        <f aca="false">IF(OR($A141="",AG$8=""),"",IF($F141="Migré","ROKS",IF($F141="À décommissionner",IF(AG$8&lt;$AS141,"IKS","Décom."),IF(OR($AQ141="",$AS141=""),"",IF(AG$8&lt;$AQ141,"IKS",IF(AG$8&lt;$AS141,IF(AG$8=$AR141,"Bascule","Double run"),"ROKS"))))))</f>
        <v/>
      </c>
      <c r="AH141" s="51" t="str">
        <f aca="false">IF(OR($A141="",AH$8=""),"",IF($F141="Migré","ROKS",IF($F141="À décommissionner",IF(AH$8&lt;$AS141,"IKS","Décom."),IF(OR($AQ141="",$AS141=""),"",IF(AH$8&lt;$AQ141,"IKS",IF(AH$8&lt;$AS141,IF(AH$8=$AR141,"Bascule","Double run"),"ROKS"))))))</f>
        <v/>
      </c>
      <c r="AI141" s="51" t="str">
        <f aca="false">IF(OR($A141="",AI$8=""),"",IF($F141="Migré","ROKS",IF($F141="À décommissionner",IF(AI$8&lt;$AS141,"IKS","Décom."),IF(OR($AQ141="",$AS141=""),"",IF(AI$8&lt;$AQ141,"IKS",IF(AI$8&lt;$AS141,IF(AI$8=$AR141,"Bascule","Double run"),"ROKS"))))))</f>
        <v/>
      </c>
      <c r="AJ141" s="51" t="str">
        <f aca="false">IF(OR($A141="",AJ$8=""),"",IF($F141="Migré","ROKS",IF($F141="À décommissionner",IF(AJ$8&lt;$AS141,"IKS","Décom."),IF(OR($AQ141="",$AS141=""),"",IF(AJ$8&lt;$AQ141,"IKS",IF(AJ$8&lt;$AS141,IF(AJ$8=$AR141,"Bascule","Double run"),"ROKS"))))))</f>
        <v/>
      </c>
      <c r="AK141" s="51" t="str">
        <f aca="false">IF(OR($A141="",AK$8=""),"",IF($F141="Migré","ROKS",IF($F141="À décommissionner",IF(AK$8&lt;$AS141,"IKS","Décom."),IF(OR($AQ141="",$AS141=""),"",IF(AK$8&lt;$AQ141,"IKS",IF(AK$8&lt;$AS141,IF(AK$8=$AR141,"Bascule","Double run"),"ROKS"))))))</f>
        <v/>
      </c>
      <c r="AL141" s="51" t="str">
        <f aca="false">IF(OR($A141="",AL$8=""),"",IF($F141="Migré","ROKS",IF($F141="À décommissionner",IF(AL$8&lt;$AS141,"IKS","Décom."),IF(OR($AQ141="",$AS141=""),"",IF(AL$8&lt;$AQ141,"IKS",IF(AL$8&lt;$AS141,IF(AL$8=$AR141,"Bascule","Double run"),"ROKS"))))))</f>
        <v/>
      </c>
      <c r="AM141" s="51" t="str">
        <f aca="false">IF(OR($A141="",AM$8=""),"",IF($F141="Migré","ROKS",IF($F141="À décommissionner",IF(AM$8&lt;$AS141,"IKS","Décom."),IF(OR($AQ141="",$AS141=""),"",IF(AM$8&lt;$AQ141,"IKS",IF(AM$8&lt;$AS141,IF(AM$8=$AR141,"Bascule","Double run"),"ROKS"))))))</f>
        <v/>
      </c>
      <c r="AN141" s="51" t="str">
        <f aca="false">IF(OR($A141="",AN$8=""),"",IF($F141="Migré","ROKS",IF($F141="À décommissionner",IF(AN$8&lt;$AS141,"IKS","Décom."),IF(OR($AQ141="",$AS141=""),"",IF(AN$8&lt;$AQ141,"IKS",IF(AN$8&lt;$AS141,IF(AN$8=$AR141,"Bascule","Double run"),"ROKS"))))))</f>
        <v/>
      </c>
      <c r="AO141" s="51" t="str">
        <f aca="false">IF(OR($A141="",AO$8=""),"",IF($F141="Migré","ROKS",IF($F141="À décommissionner",IF(AO$8&lt;$AS141,"IKS","Décom."),IF(OR($AQ141="",$AS141=""),"",IF(AO$8&lt;$AQ141,"IKS",IF(AO$8&lt;$AS141,IF(AO$8=$AR141,"Bascule","Double run"),"ROKS"))))))</f>
        <v/>
      </c>
      <c r="AP141" s="51" t="str">
        <f aca="false">IF(OR($A141="",AP$8=""),"",IF($F141="Migré","ROKS",IF($F141="À décommissionner",IF(AP$8&lt;$AS141,"IKS","Décom."),IF(OR($AQ141="",$AS141=""),"",IF(AP$8&lt;$AQ141,"IKS",IF(AP$8&lt;$AS141,IF(AP$8=$AR141,"Bascule","Double run"),"ROKS"))))))</f>
        <v/>
      </c>
      <c r="AQ141" s="0" t="str">
        <f aca="false">IF($A141="","",INDEX(TblApplications[Mois prov (calc)],$A141))</f>
        <v/>
      </c>
      <c r="AR141" s="0" t="str">
        <f aca="false">IF($A141="","",IFERROR(DATE(YEAR(INDEX(TblApplications[Mois bascule],$A141)),MONTH(INDEX(TblApplications[Mois bascule],$A141)),1),""))</f>
        <v/>
      </c>
      <c r="AS141" s="0" t="str">
        <f aca="false">IF($A141="","",INDEX(TblApplications[Mois lib (calc)],$A141))</f>
        <v/>
      </c>
    </row>
    <row r="142" customFormat="false" ht="15" hidden="false" customHeight="false" outlineLevel="0" collapsed="false">
      <c r="A142" s="49" t="str">
        <f aca="false">IFERROR(MATCH(134,TblApplications[Rang frise],0),"")</f>
        <v/>
      </c>
      <c r="B142" s="50" t="str">
        <f aca="false">IF($A142="","",INDEX(TblApplications[ID],$A142))</f>
        <v/>
      </c>
      <c r="C142" s="50" t="str">
        <f aca="false">IF($A142="","",INDEX(TblApplications[Application],$A142))</f>
        <v/>
      </c>
      <c r="D142" s="50" t="str">
        <f aca="false">IF($A142="","",INDEX(TblApplications[Environnement],$A142))</f>
        <v/>
      </c>
      <c r="E142" s="50" t="str">
        <f aca="false">IF($A142="","",INDEX(TblApplications[Couloir],$A142))</f>
        <v/>
      </c>
      <c r="F142" s="50" t="str">
        <f aca="false">IF($A142="","",INDEX(TblApplications[Action],$A142))</f>
        <v/>
      </c>
      <c r="G142" s="51" t="str">
        <f aca="false">IF(OR($A142="",G$8=""),"",IF($F142="Migré","ROKS",IF($F142="À décommissionner",IF(G$8&lt;$AS142,"IKS","Décom."),IF(OR($AQ142="",$AS142=""),"",IF(G$8&lt;$AQ142,"IKS",IF(G$8&lt;$AS142,IF(G$8=$AR142,"Bascule","Double run"),"ROKS"))))))</f>
        <v/>
      </c>
      <c r="H142" s="51" t="str">
        <f aca="false">IF(OR($A142="",H$8=""),"",IF($F142="Migré","ROKS",IF($F142="À décommissionner",IF(H$8&lt;$AS142,"IKS","Décom."),IF(OR($AQ142="",$AS142=""),"",IF(H$8&lt;$AQ142,"IKS",IF(H$8&lt;$AS142,IF(H$8=$AR142,"Bascule","Double run"),"ROKS"))))))</f>
        <v/>
      </c>
      <c r="I142" s="51" t="str">
        <f aca="false">IF(OR($A142="",I$8=""),"",IF($F142="Migré","ROKS",IF($F142="À décommissionner",IF(I$8&lt;$AS142,"IKS","Décom."),IF(OR($AQ142="",$AS142=""),"",IF(I$8&lt;$AQ142,"IKS",IF(I$8&lt;$AS142,IF(I$8=$AR142,"Bascule","Double run"),"ROKS"))))))</f>
        <v/>
      </c>
      <c r="J142" s="51" t="str">
        <f aca="false">IF(OR($A142="",J$8=""),"",IF($F142="Migré","ROKS",IF($F142="À décommissionner",IF(J$8&lt;$AS142,"IKS","Décom."),IF(OR($AQ142="",$AS142=""),"",IF(J$8&lt;$AQ142,"IKS",IF(J$8&lt;$AS142,IF(J$8=$AR142,"Bascule","Double run"),"ROKS"))))))</f>
        <v/>
      </c>
      <c r="K142" s="51" t="str">
        <f aca="false">IF(OR($A142="",K$8=""),"",IF($F142="Migré","ROKS",IF($F142="À décommissionner",IF(K$8&lt;$AS142,"IKS","Décom."),IF(OR($AQ142="",$AS142=""),"",IF(K$8&lt;$AQ142,"IKS",IF(K$8&lt;$AS142,IF(K$8=$AR142,"Bascule","Double run"),"ROKS"))))))</f>
        <v/>
      </c>
      <c r="L142" s="51" t="str">
        <f aca="false">IF(OR($A142="",L$8=""),"",IF($F142="Migré","ROKS",IF($F142="À décommissionner",IF(L$8&lt;$AS142,"IKS","Décom."),IF(OR($AQ142="",$AS142=""),"",IF(L$8&lt;$AQ142,"IKS",IF(L$8&lt;$AS142,IF(L$8=$AR142,"Bascule","Double run"),"ROKS"))))))</f>
        <v/>
      </c>
      <c r="M142" s="51" t="str">
        <f aca="false">IF(OR($A142="",M$8=""),"",IF($F142="Migré","ROKS",IF($F142="À décommissionner",IF(M$8&lt;$AS142,"IKS","Décom."),IF(OR($AQ142="",$AS142=""),"",IF(M$8&lt;$AQ142,"IKS",IF(M$8&lt;$AS142,IF(M$8=$AR142,"Bascule","Double run"),"ROKS"))))))</f>
        <v/>
      </c>
      <c r="N142" s="51" t="str">
        <f aca="false">IF(OR($A142="",N$8=""),"",IF($F142="Migré","ROKS",IF($F142="À décommissionner",IF(N$8&lt;$AS142,"IKS","Décom."),IF(OR($AQ142="",$AS142=""),"",IF(N$8&lt;$AQ142,"IKS",IF(N$8&lt;$AS142,IF(N$8=$AR142,"Bascule","Double run"),"ROKS"))))))</f>
        <v/>
      </c>
      <c r="O142" s="51" t="str">
        <f aca="false">IF(OR($A142="",O$8=""),"",IF($F142="Migré","ROKS",IF($F142="À décommissionner",IF(O$8&lt;$AS142,"IKS","Décom."),IF(OR($AQ142="",$AS142=""),"",IF(O$8&lt;$AQ142,"IKS",IF(O$8&lt;$AS142,IF(O$8=$AR142,"Bascule","Double run"),"ROKS"))))))</f>
        <v/>
      </c>
      <c r="P142" s="51" t="str">
        <f aca="false">IF(OR($A142="",P$8=""),"",IF($F142="Migré","ROKS",IF($F142="À décommissionner",IF(P$8&lt;$AS142,"IKS","Décom."),IF(OR($AQ142="",$AS142=""),"",IF(P$8&lt;$AQ142,"IKS",IF(P$8&lt;$AS142,IF(P$8=$AR142,"Bascule","Double run"),"ROKS"))))))</f>
        <v/>
      </c>
      <c r="Q142" s="51" t="str">
        <f aca="false">IF(OR($A142="",Q$8=""),"",IF($F142="Migré","ROKS",IF($F142="À décommissionner",IF(Q$8&lt;$AS142,"IKS","Décom."),IF(OR($AQ142="",$AS142=""),"",IF(Q$8&lt;$AQ142,"IKS",IF(Q$8&lt;$AS142,IF(Q$8=$AR142,"Bascule","Double run"),"ROKS"))))))</f>
        <v/>
      </c>
      <c r="R142" s="51" t="str">
        <f aca="false">IF(OR($A142="",R$8=""),"",IF($F142="Migré","ROKS",IF($F142="À décommissionner",IF(R$8&lt;$AS142,"IKS","Décom."),IF(OR($AQ142="",$AS142=""),"",IF(R$8&lt;$AQ142,"IKS",IF(R$8&lt;$AS142,IF(R$8=$AR142,"Bascule","Double run"),"ROKS"))))))</f>
        <v/>
      </c>
      <c r="S142" s="51" t="str">
        <f aca="false">IF(OR($A142="",S$8=""),"",IF($F142="Migré","ROKS",IF($F142="À décommissionner",IF(S$8&lt;$AS142,"IKS","Décom."),IF(OR($AQ142="",$AS142=""),"",IF(S$8&lt;$AQ142,"IKS",IF(S$8&lt;$AS142,IF(S$8=$AR142,"Bascule","Double run"),"ROKS"))))))</f>
        <v/>
      </c>
      <c r="T142" s="51" t="str">
        <f aca="false">IF(OR($A142="",T$8=""),"",IF($F142="Migré","ROKS",IF($F142="À décommissionner",IF(T$8&lt;$AS142,"IKS","Décom."),IF(OR($AQ142="",$AS142=""),"",IF(T$8&lt;$AQ142,"IKS",IF(T$8&lt;$AS142,IF(T$8=$AR142,"Bascule","Double run"),"ROKS"))))))</f>
        <v/>
      </c>
      <c r="U142" s="51" t="str">
        <f aca="false">IF(OR($A142="",U$8=""),"",IF($F142="Migré","ROKS",IF($F142="À décommissionner",IF(U$8&lt;$AS142,"IKS","Décom."),IF(OR($AQ142="",$AS142=""),"",IF(U$8&lt;$AQ142,"IKS",IF(U$8&lt;$AS142,IF(U$8=$AR142,"Bascule","Double run"),"ROKS"))))))</f>
        <v/>
      </c>
      <c r="V142" s="51" t="str">
        <f aca="false">IF(OR($A142="",V$8=""),"",IF($F142="Migré","ROKS",IF($F142="À décommissionner",IF(V$8&lt;$AS142,"IKS","Décom."),IF(OR($AQ142="",$AS142=""),"",IF(V$8&lt;$AQ142,"IKS",IF(V$8&lt;$AS142,IF(V$8=$AR142,"Bascule","Double run"),"ROKS"))))))</f>
        <v/>
      </c>
      <c r="W142" s="51" t="str">
        <f aca="false">IF(OR($A142="",W$8=""),"",IF($F142="Migré","ROKS",IF($F142="À décommissionner",IF(W$8&lt;$AS142,"IKS","Décom."),IF(OR($AQ142="",$AS142=""),"",IF(W$8&lt;$AQ142,"IKS",IF(W$8&lt;$AS142,IF(W$8=$AR142,"Bascule","Double run"),"ROKS"))))))</f>
        <v/>
      </c>
      <c r="X142" s="51" t="str">
        <f aca="false">IF(OR($A142="",X$8=""),"",IF($F142="Migré","ROKS",IF($F142="À décommissionner",IF(X$8&lt;$AS142,"IKS","Décom."),IF(OR($AQ142="",$AS142=""),"",IF(X$8&lt;$AQ142,"IKS",IF(X$8&lt;$AS142,IF(X$8=$AR142,"Bascule","Double run"),"ROKS"))))))</f>
        <v/>
      </c>
      <c r="Y142" s="51" t="str">
        <f aca="false">IF(OR($A142="",Y$8=""),"",IF($F142="Migré","ROKS",IF($F142="À décommissionner",IF(Y$8&lt;$AS142,"IKS","Décom."),IF(OR($AQ142="",$AS142=""),"",IF(Y$8&lt;$AQ142,"IKS",IF(Y$8&lt;$AS142,IF(Y$8=$AR142,"Bascule","Double run"),"ROKS"))))))</f>
        <v/>
      </c>
      <c r="Z142" s="51" t="str">
        <f aca="false">IF(OR($A142="",Z$8=""),"",IF($F142="Migré","ROKS",IF($F142="À décommissionner",IF(Z$8&lt;$AS142,"IKS","Décom."),IF(OR($AQ142="",$AS142=""),"",IF(Z$8&lt;$AQ142,"IKS",IF(Z$8&lt;$AS142,IF(Z$8=$AR142,"Bascule","Double run"),"ROKS"))))))</f>
        <v/>
      </c>
      <c r="AA142" s="51" t="str">
        <f aca="false">IF(OR($A142="",AA$8=""),"",IF($F142="Migré","ROKS",IF($F142="À décommissionner",IF(AA$8&lt;$AS142,"IKS","Décom."),IF(OR($AQ142="",$AS142=""),"",IF(AA$8&lt;$AQ142,"IKS",IF(AA$8&lt;$AS142,IF(AA$8=$AR142,"Bascule","Double run"),"ROKS"))))))</f>
        <v/>
      </c>
      <c r="AB142" s="51" t="str">
        <f aca="false">IF(OR($A142="",AB$8=""),"",IF($F142="Migré","ROKS",IF($F142="À décommissionner",IF(AB$8&lt;$AS142,"IKS","Décom."),IF(OR($AQ142="",$AS142=""),"",IF(AB$8&lt;$AQ142,"IKS",IF(AB$8&lt;$AS142,IF(AB$8=$AR142,"Bascule","Double run"),"ROKS"))))))</f>
        <v/>
      </c>
      <c r="AC142" s="51" t="str">
        <f aca="false">IF(OR($A142="",AC$8=""),"",IF($F142="Migré","ROKS",IF($F142="À décommissionner",IF(AC$8&lt;$AS142,"IKS","Décom."),IF(OR($AQ142="",$AS142=""),"",IF(AC$8&lt;$AQ142,"IKS",IF(AC$8&lt;$AS142,IF(AC$8=$AR142,"Bascule","Double run"),"ROKS"))))))</f>
        <v/>
      </c>
      <c r="AD142" s="51" t="str">
        <f aca="false">IF(OR($A142="",AD$8=""),"",IF($F142="Migré","ROKS",IF($F142="À décommissionner",IF(AD$8&lt;$AS142,"IKS","Décom."),IF(OR($AQ142="",$AS142=""),"",IF(AD$8&lt;$AQ142,"IKS",IF(AD$8&lt;$AS142,IF(AD$8=$AR142,"Bascule","Double run"),"ROKS"))))))</f>
        <v/>
      </c>
      <c r="AE142" s="51" t="str">
        <f aca="false">IF(OR($A142="",AE$8=""),"",IF($F142="Migré","ROKS",IF($F142="À décommissionner",IF(AE$8&lt;$AS142,"IKS","Décom."),IF(OR($AQ142="",$AS142=""),"",IF(AE$8&lt;$AQ142,"IKS",IF(AE$8&lt;$AS142,IF(AE$8=$AR142,"Bascule","Double run"),"ROKS"))))))</f>
        <v/>
      </c>
      <c r="AF142" s="51" t="str">
        <f aca="false">IF(OR($A142="",AF$8=""),"",IF($F142="Migré","ROKS",IF($F142="À décommissionner",IF(AF$8&lt;$AS142,"IKS","Décom."),IF(OR($AQ142="",$AS142=""),"",IF(AF$8&lt;$AQ142,"IKS",IF(AF$8&lt;$AS142,IF(AF$8=$AR142,"Bascule","Double run"),"ROKS"))))))</f>
        <v/>
      </c>
      <c r="AG142" s="51" t="str">
        <f aca="false">IF(OR($A142="",AG$8=""),"",IF($F142="Migré","ROKS",IF($F142="À décommissionner",IF(AG$8&lt;$AS142,"IKS","Décom."),IF(OR($AQ142="",$AS142=""),"",IF(AG$8&lt;$AQ142,"IKS",IF(AG$8&lt;$AS142,IF(AG$8=$AR142,"Bascule","Double run"),"ROKS"))))))</f>
        <v/>
      </c>
      <c r="AH142" s="51" t="str">
        <f aca="false">IF(OR($A142="",AH$8=""),"",IF($F142="Migré","ROKS",IF($F142="À décommissionner",IF(AH$8&lt;$AS142,"IKS","Décom."),IF(OR($AQ142="",$AS142=""),"",IF(AH$8&lt;$AQ142,"IKS",IF(AH$8&lt;$AS142,IF(AH$8=$AR142,"Bascule","Double run"),"ROKS"))))))</f>
        <v/>
      </c>
      <c r="AI142" s="51" t="str">
        <f aca="false">IF(OR($A142="",AI$8=""),"",IF($F142="Migré","ROKS",IF($F142="À décommissionner",IF(AI$8&lt;$AS142,"IKS","Décom."),IF(OR($AQ142="",$AS142=""),"",IF(AI$8&lt;$AQ142,"IKS",IF(AI$8&lt;$AS142,IF(AI$8=$AR142,"Bascule","Double run"),"ROKS"))))))</f>
        <v/>
      </c>
      <c r="AJ142" s="51" t="str">
        <f aca="false">IF(OR($A142="",AJ$8=""),"",IF($F142="Migré","ROKS",IF($F142="À décommissionner",IF(AJ$8&lt;$AS142,"IKS","Décom."),IF(OR($AQ142="",$AS142=""),"",IF(AJ$8&lt;$AQ142,"IKS",IF(AJ$8&lt;$AS142,IF(AJ$8=$AR142,"Bascule","Double run"),"ROKS"))))))</f>
        <v/>
      </c>
      <c r="AK142" s="51" t="str">
        <f aca="false">IF(OR($A142="",AK$8=""),"",IF($F142="Migré","ROKS",IF($F142="À décommissionner",IF(AK$8&lt;$AS142,"IKS","Décom."),IF(OR($AQ142="",$AS142=""),"",IF(AK$8&lt;$AQ142,"IKS",IF(AK$8&lt;$AS142,IF(AK$8=$AR142,"Bascule","Double run"),"ROKS"))))))</f>
        <v/>
      </c>
      <c r="AL142" s="51" t="str">
        <f aca="false">IF(OR($A142="",AL$8=""),"",IF($F142="Migré","ROKS",IF($F142="À décommissionner",IF(AL$8&lt;$AS142,"IKS","Décom."),IF(OR($AQ142="",$AS142=""),"",IF(AL$8&lt;$AQ142,"IKS",IF(AL$8&lt;$AS142,IF(AL$8=$AR142,"Bascule","Double run"),"ROKS"))))))</f>
        <v/>
      </c>
      <c r="AM142" s="51" t="str">
        <f aca="false">IF(OR($A142="",AM$8=""),"",IF($F142="Migré","ROKS",IF($F142="À décommissionner",IF(AM$8&lt;$AS142,"IKS","Décom."),IF(OR($AQ142="",$AS142=""),"",IF(AM$8&lt;$AQ142,"IKS",IF(AM$8&lt;$AS142,IF(AM$8=$AR142,"Bascule","Double run"),"ROKS"))))))</f>
        <v/>
      </c>
      <c r="AN142" s="51" t="str">
        <f aca="false">IF(OR($A142="",AN$8=""),"",IF($F142="Migré","ROKS",IF($F142="À décommissionner",IF(AN$8&lt;$AS142,"IKS","Décom."),IF(OR($AQ142="",$AS142=""),"",IF(AN$8&lt;$AQ142,"IKS",IF(AN$8&lt;$AS142,IF(AN$8=$AR142,"Bascule","Double run"),"ROKS"))))))</f>
        <v/>
      </c>
      <c r="AO142" s="51" t="str">
        <f aca="false">IF(OR($A142="",AO$8=""),"",IF($F142="Migré","ROKS",IF($F142="À décommissionner",IF(AO$8&lt;$AS142,"IKS","Décom."),IF(OR($AQ142="",$AS142=""),"",IF(AO$8&lt;$AQ142,"IKS",IF(AO$8&lt;$AS142,IF(AO$8=$AR142,"Bascule","Double run"),"ROKS"))))))</f>
        <v/>
      </c>
      <c r="AP142" s="51" t="str">
        <f aca="false">IF(OR($A142="",AP$8=""),"",IF($F142="Migré","ROKS",IF($F142="À décommissionner",IF(AP$8&lt;$AS142,"IKS","Décom."),IF(OR($AQ142="",$AS142=""),"",IF(AP$8&lt;$AQ142,"IKS",IF(AP$8&lt;$AS142,IF(AP$8=$AR142,"Bascule","Double run"),"ROKS"))))))</f>
        <v/>
      </c>
      <c r="AQ142" s="0" t="str">
        <f aca="false">IF($A142="","",INDEX(TblApplications[Mois prov (calc)],$A142))</f>
        <v/>
      </c>
      <c r="AR142" s="0" t="str">
        <f aca="false">IF($A142="","",IFERROR(DATE(YEAR(INDEX(TblApplications[Mois bascule],$A142)),MONTH(INDEX(TblApplications[Mois bascule],$A142)),1),""))</f>
        <v/>
      </c>
      <c r="AS142" s="0" t="str">
        <f aca="false">IF($A142="","",INDEX(TblApplications[Mois lib (calc)],$A142))</f>
        <v/>
      </c>
    </row>
    <row r="143" customFormat="false" ht="15" hidden="false" customHeight="false" outlineLevel="0" collapsed="false">
      <c r="A143" s="49" t="str">
        <f aca="false">IFERROR(MATCH(135,TblApplications[Rang frise],0),"")</f>
        <v/>
      </c>
      <c r="B143" s="50" t="str">
        <f aca="false">IF($A143="","",INDEX(TblApplications[ID],$A143))</f>
        <v/>
      </c>
      <c r="C143" s="50" t="str">
        <f aca="false">IF($A143="","",INDEX(TblApplications[Application],$A143))</f>
        <v/>
      </c>
      <c r="D143" s="50" t="str">
        <f aca="false">IF($A143="","",INDEX(TblApplications[Environnement],$A143))</f>
        <v/>
      </c>
      <c r="E143" s="50" t="str">
        <f aca="false">IF($A143="","",INDEX(TblApplications[Couloir],$A143))</f>
        <v/>
      </c>
      <c r="F143" s="50" t="str">
        <f aca="false">IF($A143="","",INDEX(TblApplications[Action],$A143))</f>
        <v/>
      </c>
      <c r="G143" s="51" t="str">
        <f aca="false">IF(OR($A143="",G$8=""),"",IF($F143="Migré","ROKS",IF($F143="À décommissionner",IF(G$8&lt;$AS143,"IKS","Décom."),IF(OR($AQ143="",$AS143=""),"",IF(G$8&lt;$AQ143,"IKS",IF(G$8&lt;$AS143,IF(G$8=$AR143,"Bascule","Double run"),"ROKS"))))))</f>
        <v/>
      </c>
      <c r="H143" s="51" t="str">
        <f aca="false">IF(OR($A143="",H$8=""),"",IF($F143="Migré","ROKS",IF($F143="À décommissionner",IF(H$8&lt;$AS143,"IKS","Décom."),IF(OR($AQ143="",$AS143=""),"",IF(H$8&lt;$AQ143,"IKS",IF(H$8&lt;$AS143,IF(H$8=$AR143,"Bascule","Double run"),"ROKS"))))))</f>
        <v/>
      </c>
      <c r="I143" s="51" t="str">
        <f aca="false">IF(OR($A143="",I$8=""),"",IF($F143="Migré","ROKS",IF($F143="À décommissionner",IF(I$8&lt;$AS143,"IKS","Décom."),IF(OR($AQ143="",$AS143=""),"",IF(I$8&lt;$AQ143,"IKS",IF(I$8&lt;$AS143,IF(I$8=$AR143,"Bascule","Double run"),"ROKS"))))))</f>
        <v/>
      </c>
      <c r="J143" s="51" t="str">
        <f aca="false">IF(OR($A143="",J$8=""),"",IF($F143="Migré","ROKS",IF($F143="À décommissionner",IF(J$8&lt;$AS143,"IKS","Décom."),IF(OR($AQ143="",$AS143=""),"",IF(J$8&lt;$AQ143,"IKS",IF(J$8&lt;$AS143,IF(J$8=$AR143,"Bascule","Double run"),"ROKS"))))))</f>
        <v/>
      </c>
      <c r="K143" s="51" t="str">
        <f aca="false">IF(OR($A143="",K$8=""),"",IF($F143="Migré","ROKS",IF($F143="À décommissionner",IF(K$8&lt;$AS143,"IKS","Décom."),IF(OR($AQ143="",$AS143=""),"",IF(K$8&lt;$AQ143,"IKS",IF(K$8&lt;$AS143,IF(K$8=$AR143,"Bascule","Double run"),"ROKS"))))))</f>
        <v/>
      </c>
      <c r="L143" s="51" t="str">
        <f aca="false">IF(OR($A143="",L$8=""),"",IF($F143="Migré","ROKS",IF($F143="À décommissionner",IF(L$8&lt;$AS143,"IKS","Décom."),IF(OR($AQ143="",$AS143=""),"",IF(L$8&lt;$AQ143,"IKS",IF(L$8&lt;$AS143,IF(L$8=$AR143,"Bascule","Double run"),"ROKS"))))))</f>
        <v/>
      </c>
      <c r="M143" s="51" t="str">
        <f aca="false">IF(OR($A143="",M$8=""),"",IF($F143="Migré","ROKS",IF($F143="À décommissionner",IF(M$8&lt;$AS143,"IKS","Décom."),IF(OR($AQ143="",$AS143=""),"",IF(M$8&lt;$AQ143,"IKS",IF(M$8&lt;$AS143,IF(M$8=$AR143,"Bascule","Double run"),"ROKS"))))))</f>
        <v/>
      </c>
      <c r="N143" s="51" t="str">
        <f aca="false">IF(OR($A143="",N$8=""),"",IF($F143="Migré","ROKS",IF($F143="À décommissionner",IF(N$8&lt;$AS143,"IKS","Décom."),IF(OR($AQ143="",$AS143=""),"",IF(N$8&lt;$AQ143,"IKS",IF(N$8&lt;$AS143,IF(N$8=$AR143,"Bascule","Double run"),"ROKS"))))))</f>
        <v/>
      </c>
      <c r="O143" s="51" t="str">
        <f aca="false">IF(OR($A143="",O$8=""),"",IF($F143="Migré","ROKS",IF($F143="À décommissionner",IF(O$8&lt;$AS143,"IKS","Décom."),IF(OR($AQ143="",$AS143=""),"",IF(O$8&lt;$AQ143,"IKS",IF(O$8&lt;$AS143,IF(O$8=$AR143,"Bascule","Double run"),"ROKS"))))))</f>
        <v/>
      </c>
      <c r="P143" s="51" t="str">
        <f aca="false">IF(OR($A143="",P$8=""),"",IF($F143="Migré","ROKS",IF($F143="À décommissionner",IF(P$8&lt;$AS143,"IKS","Décom."),IF(OR($AQ143="",$AS143=""),"",IF(P$8&lt;$AQ143,"IKS",IF(P$8&lt;$AS143,IF(P$8=$AR143,"Bascule","Double run"),"ROKS"))))))</f>
        <v/>
      </c>
      <c r="Q143" s="51" t="str">
        <f aca="false">IF(OR($A143="",Q$8=""),"",IF($F143="Migré","ROKS",IF($F143="À décommissionner",IF(Q$8&lt;$AS143,"IKS","Décom."),IF(OR($AQ143="",$AS143=""),"",IF(Q$8&lt;$AQ143,"IKS",IF(Q$8&lt;$AS143,IF(Q$8=$AR143,"Bascule","Double run"),"ROKS"))))))</f>
        <v/>
      </c>
      <c r="R143" s="51" t="str">
        <f aca="false">IF(OR($A143="",R$8=""),"",IF($F143="Migré","ROKS",IF($F143="À décommissionner",IF(R$8&lt;$AS143,"IKS","Décom."),IF(OR($AQ143="",$AS143=""),"",IF(R$8&lt;$AQ143,"IKS",IF(R$8&lt;$AS143,IF(R$8=$AR143,"Bascule","Double run"),"ROKS"))))))</f>
        <v/>
      </c>
      <c r="S143" s="51" t="str">
        <f aca="false">IF(OR($A143="",S$8=""),"",IF($F143="Migré","ROKS",IF($F143="À décommissionner",IF(S$8&lt;$AS143,"IKS","Décom."),IF(OR($AQ143="",$AS143=""),"",IF(S$8&lt;$AQ143,"IKS",IF(S$8&lt;$AS143,IF(S$8=$AR143,"Bascule","Double run"),"ROKS"))))))</f>
        <v/>
      </c>
      <c r="T143" s="51" t="str">
        <f aca="false">IF(OR($A143="",T$8=""),"",IF($F143="Migré","ROKS",IF($F143="À décommissionner",IF(T$8&lt;$AS143,"IKS","Décom."),IF(OR($AQ143="",$AS143=""),"",IF(T$8&lt;$AQ143,"IKS",IF(T$8&lt;$AS143,IF(T$8=$AR143,"Bascule","Double run"),"ROKS"))))))</f>
        <v/>
      </c>
      <c r="U143" s="51" t="str">
        <f aca="false">IF(OR($A143="",U$8=""),"",IF($F143="Migré","ROKS",IF($F143="À décommissionner",IF(U$8&lt;$AS143,"IKS","Décom."),IF(OR($AQ143="",$AS143=""),"",IF(U$8&lt;$AQ143,"IKS",IF(U$8&lt;$AS143,IF(U$8=$AR143,"Bascule","Double run"),"ROKS"))))))</f>
        <v/>
      </c>
      <c r="V143" s="51" t="str">
        <f aca="false">IF(OR($A143="",V$8=""),"",IF($F143="Migré","ROKS",IF($F143="À décommissionner",IF(V$8&lt;$AS143,"IKS","Décom."),IF(OR($AQ143="",$AS143=""),"",IF(V$8&lt;$AQ143,"IKS",IF(V$8&lt;$AS143,IF(V$8=$AR143,"Bascule","Double run"),"ROKS"))))))</f>
        <v/>
      </c>
      <c r="W143" s="51" t="str">
        <f aca="false">IF(OR($A143="",W$8=""),"",IF($F143="Migré","ROKS",IF($F143="À décommissionner",IF(W$8&lt;$AS143,"IKS","Décom."),IF(OR($AQ143="",$AS143=""),"",IF(W$8&lt;$AQ143,"IKS",IF(W$8&lt;$AS143,IF(W$8=$AR143,"Bascule","Double run"),"ROKS"))))))</f>
        <v/>
      </c>
      <c r="X143" s="51" t="str">
        <f aca="false">IF(OR($A143="",X$8=""),"",IF($F143="Migré","ROKS",IF($F143="À décommissionner",IF(X$8&lt;$AS143,"IKS","Décom."),IF(OR($AQ143="",$AS143=""),"",IF(X$8&lt;$AQ143,"IKS",IF(X$8&lt;$AS143,IF(X$8=$AR143,"Bascule","Double run"),"ROKS"))))))</f>
        <v/>
      </c>
      <c r="Y143" s="51" t="str">
        <f aca="false">IF(OR($A143="",Y$8=""),"",IF($F143="Migré","ROKS",IF($F143="À décommissionner",IF(Y$8&lt;$AS143,"IKS","Décom."),IF(OR($AQ143="",$AS143=""),"",IF(Y$8&lt;$AQ143,"IKS",IF(Y$8&lt;$AS143,IF(Y$8=$AR143,"Bascule","Double run"),"ROKS"))))))</f>
        <v/>
      </c>
      <c r="Z143" s="51" t="str">
        <f aca="false">IF(OR($A143="",Z$8=""),"",IF($F143="Migré","ROKS",IF($F143="À décommissionner",IF(Z$8&lt;$AS143,"IKS","Décom."),IF(OR($AQ143="",$AS143=""),"",IF(Z$8&lt;$AQ143,"IKS",IF(Z$8&lt;$AS143,IF(Z$8=$AR143,"Bascule","Double run"),"ROKS"))))))</f>
        <v/>
      </c>
      <c r="AA143" s="51" t="str">
        <f aca="false">IF(OR($A143="",AA$8=""),"",IF($F143="Migré","ROKS",IF($F143="À décommissionner",IF(AA$8&lt;$AS143,"IKS","Décom."),IF(OR($AQ143="",$AS143=""),"",IF(AA$8&lt;$AQ143,"IKS",IF(AA$8&lt;$AS143,IF(AA$8=$AR143,"Bascule","Double run"),"ROKS"))))))</f>
        <v/>
      </c>
      <c r="AB143" s="51" t="str">
        <f aca="false">IF(OR($A143="",AB$8=""),"",IF($F143="Migré","ROKS",IF($F143="À décommissionner",IF(AB$8&lt;$AS143,"IKS","Décom."),IF(OR($AQ143="",$AS143=""),"",IF(AB$8&lt;$AQ143,"IKS",IF(AB$8&lt;$AS143,IF(AB$8=$AR143,"Bascule","Double run"),"ROKS"))))))</f>
        <v/>
      </c>
      <c r="AC143" s="51" t="str">
        <f aca="false">IF(OR($A143="",AC$8=""),"",IF($F143="Migré","ROKS",IF($F143="À décommissionner",IF(AC$8&lt;$AS143,"IKS","Décom."),IF(OR($AQ143="",$AS143=""),"",IF(AC$8&lt;$AQ143,"IKS",IF(AC$8&lt;$AS143,IF(AC$8=$AR143,"Bascule","Double run"),"ROKS"))))))</f>
        <v/>
      </c>
      <c r="AD143" s="51" t="str">
        <f aca="false">IF(OR($A143="",AD$8=""),"",IF($F143="Migré","ROKS",IF($F143="À décommissionner",IF(AD$8&lt;$AS143,"IKS","Décom."),IF(OR($AQ143="",$AS143=""),"",IF(AD$8&lt;$AQ143,"IKS",IF(AD$8&lt;$AS143,IF(AD$8=$AR143,"Bascule","Double run"),"ROKS"))))))</f>
        <v/>
      </c>
      <c r="AE143" s="51" t="str">
        <f aca="false">IF(OR($A143="",AE$8=""),"",IF($F143="Migré","ROKS",IF($F143="À décommissionner",IF(AE$8&lt;$AS143,"IKS","Décom."),IF(OR($AQ143="",$AS143=""),"",IF(AE$8&lt;$AQ143,"IKS",IF(AE$8&lt;$AS143,IF(AE$8=$AR143,"Bascule","Double run"),"ROKS"))))))</f>
        <v/>
      </c>
      <c r="AF143" s="51" t="str">
        <f aca="false">IF(OR($A143="",AF$8=""),"",IF($F143="Migré","ROKS",IF($F143="À décommissionner",IF(AF$8&lt;$AS143,"IKS","Décom."),IF(OR($AQ143="",$AS143=""),"",IF(AF$8&lt;$AQ143,"IKS",IF(AF$8&lt;$AS143,IF(AF$8=$AR143,"Bascule","Double run"),"ROKS"))))))</f>
        <v/>
      </c>
      <c r="AG143" s="51" t="str">
        <f aca="false">IF(OR($A143="",AG$8=""),"",IF($F143="Migré","ROKS",IF($F143="À décommissionner",IF(AG$8&lt;$AS143,"IKS","Décom."),IF(OR($AQ143="",$AS143=""),"",IF(AG$8&lt;$AQ143,"IKS",IF(AG$8&lt;$AS143,IF(AG$8=$AR143,"Bascule","Double run"),"ROKS"))))))</f>
        <v/>
      </c>
      <c r="AH143" s="51" t="str">
        <f aca="false">IF(OR($A143="",AH$8=""),"",IF($F143="Migré","ROKS",IF($F143="À décommissionner",IF(AH$8&lt;$AS143,"IKS","Décom."),IF(OR($AQ143="",$AS143=""),"",IF(AH$8&lt;$AQ143,"IKS",IF(AH$8&lt;$AS143,IF(AH$8=$AR143,"Bascule","Double run"),"ROKS"))))))</f>
        <v/>
      </c>
      <c r="AI143" s="51" t="str">
        <f aca="false">IF(OR($A143="",AI$8=""),"",IF($F143="Migré","ROKS",IF($F143="À décommissionner",IF(AI$8&lt;$AS143,"IKS","Décom."),IF(OR($AQ143="",$AS143=""),"",IF(AI$8&lt;$AQ143,"IKS",IF(AI$8&lt;$AS143,IF(AI$8=$AR143,"Bascule","Double run"),"ROKS"))))))</f>
        <v/>
      </c>
      <c r="AJ143" s="51" t="str">
        <f aca="false">IF(OR($A143="",AJ$8=""),"",IF($F143="Migré","ROKS",IF($F143="À décommissionner",IF(AJ$8&lt;$AS143,"IKS","Décom."),IF(OR($AQ143="",$AS143=""),"",IF(AJ$8&lt;$AQ143,"IKS",IF(AJ$8&lt;$AS143,IF(AJ$8=$AR143,"Bascule","Double run"),"ROKS"))))))</f>
        <v/>
      </c>
      <c r="AK143" s="51" t="str">
        <f aca="false">IF(OR($A143="",AK$8=""),"",IF($F143="Migré","ROKS",IF($F143="À décommissionner",IF(AK$8&lt;$AS143,"IKS","Décom."),IF(OR($AQ143="",$AS143=""),"",IF(AK$8&lt;$AQ143,"IKS",IF(AK$8&lt;$AS143,IF(AK$8=$AR143,"Bascule","Double run"),"ROKS"))))))</f>
        <v/>
      </c>
      <c r="AL143" s="51" t="str">
        <f aca="false">IF(OR($A143="",AL$8=""),"",IF($F143="Migré","ROKS",IF($F143="À décommissionner",IF(AL$8&lt;$AS143,"IKS","Décom."),IF(OR($AQ143="",$AS143=""),"",IF(AL$8&lt;$AQ143,"IKS",IF(AL$8&lt;$AS143,IF(AL$8=$AR143,"Bascule","Double run"),"ROKS"))))))</f>
        <v/>
      </c>
      <c r="AM143" s="51" t="str">
        <f aca="false">IF(OR($A143="",AM$8=""),"",IF($F143="Migré","ROKS",IF($F143="À décommissionner",IF(AM$8&lt;$AS143,"IKS","Décom."),IF(OR($AQ143="",$AS143=""),"",IF(AM$8&lt;$AQ143,"IKS",IF(AM$8&lt;$AS143,IF(AM$8=$AR143,"Bascule","Double run"),"ROKS"))))))</f>
        <v/>
      </c>
      <c r="AN143" s="51" t="str">
        <f aca="false">IF(OR($A143="",AN$8=""),"",IF($F143="Migré","ROKS",IF($F143="À décommissionner",IF(AN$8&lt;$AS143,"IKS","Décom."),IF(OR($AQ143="",$AS143=""),"",IF(AN$8&lt;$AQ143,"IKS",IF(AN$8&lt;$AS143,IF(AN$8=$AR143,"Bascule","Double run"),"ROKS"))))))</f>
        <v/>
      </c>
      <c r="AO143" s="51" t="str">
        <f aca="false">IF(OR($A143="",AO$8=""),"",IF($F143="Migré","ROKS",IF($F143="À décommissionner",IF(AO$8&lt;$AS143,"IKS","Décom."),IF(OR($AQ143="",$AS143=""),"",IF(AO$8&lt;$AQ143,"IKS",IF(AO$8&lt;$AS143,IF(AO$8=$AR143,"Bascule","Double run"),"ROKS"))))))</f>
        <v/>
      </c>
      <c r="AP143" s="51" t="str">
        <f aca="false">IF(OR($A143="",AP$8=""),"",IF($F143="Migré","ROKS",IF($F143="À décommissionner",IF(AP$8&lt;$AS143,"IKS","Décom."),IF(OR($AQ143="",$AS143=""),"",IF(AP$8&lt;$AQ143,"IKS",IF(AP$8&lt;$AS143,IF(AP$8=$AR143,"Bascule","Double run"),"ROKS"))))))</f>
        <v/>
      </c>
      <c r="AQ143" s="0" t="str">
        <f aca="false">IF($A143="","",INDEX(TblApplications[Mois prov (calc)],$A143))</f>
        <v/>
      </c>
      <c r="AR143" s="0" t="str">
        <f aca="false">IF($A143="","",IFERROR(DATE(YEAR(INDEX(TblApplications[Mois bascule],$A143)),MONTH(INDEX(TblApplications[Mois bascule],$A143)),1),""))</f>
        <v/>
      </c>
      <c r="AS143" s="0" t="str">
        <f aca="false">IF($A143="","",INDEX(TblApplications[Mois lib (calc)],$A143))</f>
        <v/>
      </c>
    </row>
    <row r="144" customFormat="false" ht="15" hidden="false" customHeight="false" outlineLevel="0" collapsed="false">
      <c r="A144" s="49" t="str">
        <f aca="false">IFERROR(MATCH(136,TblApplications[Rang frise],0),"")</f>
        <v/>
      </c>
      <c r="B144" s="50" t="str">
        <f aca="false">IF($A144="","",INDEX(TblApplications[ID],$A144))</f>
        <v/>
      </c>
      <c r="C144" s="50" t="str">
        <f aca="false">IF($A144="","",INDEX(TblApplications[Application],$A144))</f>
        <v/>
      </c>
      <c r="D144" s="50" t="str">
        <f aca="false">IF($A144="","",INDEX(TblApplications[Environnement],$A144))</f>
        <v/>
      </c>
      <c r="E144" s="50" t="str">
        <f aca="false">IF($A144="","",INDEX(TblApplications[Couloir],$A144))</f>
        <v/>
      </c>
      <c r="F144" s="50" t="str">
        <f aca="false">IF($A144="","",INDEX(TblApplications[Action],$A144))</f>
        <v/>
      </c>
      <c r="G144" s="51" t="str">
        <f aca="false">IF(OR($A144="",G$8=""),"",IF($F144="Migré","ROKS",IF($F144="À décommissionner",IF(G$8&lt;$AS144,"IKS","Décom."),IF(OR($AQ144="",$AS144=""),"",IF(G$8&lt;$AQ144,"IKS",IF(G$8&lt;$AS144,IF(G$8=$AR144,"Bascule","Double run"),"ROKS"))))))</f>
        <v/>
      </c>
      <c r="H144" s="51" t="str">
        <f aca="false">IF(OR($A144="",H$8=""),"",IF($F144="Migré","ROKS",IF($F144="À décommissionner",IF(H$8&lt;$AS144,"IKS","Décom."),IF(OR($AQ144="",$AS144=""),"",IF(H$8&lt;$AQ144,"IKS",IF(H$8&lt;$AS144,IF(H$8=$AR144,"Bascule","Double run"),"ROKS"))))))</f>
        <v/>
      </c>
      <c r="I144" s="51" t="str">
        <f aca="false">IF(OR($A144="",I$8=""),"",IF($F144="Migré","ROKS",IF($F144="À décommissionner",IF(I$8&lt;$AS144,"IKS","Décom."),IF(OR($AQ144="",$AS144=""),"",IF(I$8&lt;$AQ144,"IKS",IF(I$8&lt;$AS144,IF(I$8=$AR144,"Bascule","Double run"),"ROKS"))))))</f>
        <v/>
      </c>
      <c r="J144" s="51" t="str">
        <f aca="false">IF(OR($A144="",J$8=""),"",IF($F144="Migré","ROKS",IF($F144="À décommissionner",IF(J$8&lt;$AS144,"IKS","Décom."),IF(OR($AQ144="",$AS144=""),"",IF(J$8&lt;$AQ144,"IKS",IF(J$8&lt;$AS144,IF(J$8=$AR144,"Bascule","Double run"),"ROKS"))))))</f>
        <v/>
      </c>
      <c r="K144" s="51" t="str">
        <f aca="false">IF(OR($A144="",K$8=""),"",IF($F144="Migré","ROKS",IF($F144="À décommissionner",IF(K$8&lt;$AS144,"IKS","Décom."),IF(OR($AQ144="",$AS144=""),"",IF(K$8&lt;$AQ144,"IKS",IF(K$8&lt;$AS144,IF(K$8=$AR144,"Bascule","Double run"),"ROKS"))))))</f>
        <v/>
      </c>
      <c r="L144" s="51" t="str">
        <f aca="false">IF(OR($A144="",L$8=""),"",IF($F144="Migré","ROKS",IF($F144="À décommissionner",IF(L$8&lt;$AS144,"IKS","Décom."),IF(OR($AQ144="",$AS144=""),"",IF(L$8&lt;$AQ144,"IKS",IF(L$8&lt;$AS144,IF(L$8=$AR144,"Bascule","Double run"),"ROKS"))))))</f>
        <v/>
      </c>
      <c r="M144" s="51" t="str">
        <f aca="false">IF(OR($A144="",M$8=""),"",IF($F144="Migré","ROKS",IF($F144="À décommissionner",IF(M$8&lt;$AS144,"IKS","Décom."),IF(OR($AQ144="",$AS144=""),"",IF(M$8&lt;$AQ144,"IKS",IF(M$8&lt;$AS144,IF(M$8=$AR144,"Bascule","Double run"),"ROKS"))))))</f>
        <v/>
      </c>
      <c r="N144" s="51" t="str">
        <f aca="false">IF(OR($A144="",N$8=""),"",IF($F144="Migré","ROKS",IF($F144="À décommissionner",IF(N$8&lt;$AS144,"IKS","Décom."),IF(OR($AQ144="",$AS144=""),"",IF(N$8&lt;$AQ144,"IKS",IF(N$8&lt;$AS144,IF(N$8=$AR144,"Bascule","Double run"),"ROKS"))))))</f>
        <v/>
      </c>
      <c r="O144" s="51" t="str">
        <f aca="false">IF(OR($A144="",O$8=""),"",IF($F144="Migré","ROKS",IF($F144="À décommissionner",IF(O$8&lt;$AS144,"IKS","Décom."),IF(OR($AQ144="",$AS144=""),"",IF(O$8&lt;$AQ144,"IKS",IF(O$8&lt;$AS144,IF(O$8=$AR144,"Bascule","Double run"),"ROKS"))))))</f>
        <v/>
      </c>
      <c r="P144" s="51" t="str">
        <f aca="false">IF(OR($A144="",P$8=""),"",IF($F144="Migré","ROKS",IF($F144="À décommissionner",IF(P$8&lt;$AS144,"IKS","Décom."),IF(OR($AQ144="",$AS144=""),"",IF(P$8&lt;$AQ144,"IKS",IF(P$8&lt;$AS144,IF(P$8=$AR144,"Bascule","Double run"),"ROKS"))))))</f>
        <v/>
      </c>
      <c r="Q144" s="51" t="str">
        <f aca="false">IF(OR($A144="",Q$8=""),"",IF($F144="Migré","ROKS",IF($F144="À décommissionner",IF(Q$8&lt;$AS144,"IKS","Décom."),IF(OR($AQ144="",$AS144=""),"",IF(Q$8&lt;$AQ144,"IKS",IF(Q$8&lt;$AS144,IF(Q$8=$AR144,"Bascule","Double run"),"ROKS"))))))</f>
        <v/>
      </c>
      <c r="R144" s="51" t="str">
        <f aca="false">IF(OR($A144="",R$8=""),"",IF($F144="Migré","ROKS",IF($F144="À décommissionner",IF(R$8&lt;$AS144,"IKS","Décom."),IF(OR($AQ144="",$AS144=""),"",IF(R$8&lt;$AQ144,"IKS",IF(R$8&lt;$AS144,IF(R$8=$AR144,"Bascule","Double run"),"ROKS"))))))</f>
        <v/>
      </c>
      <c r="S144" s="51" t="str">
        <f aca="false">IF(OR($A144="",S$8=""),"",IF($F144="Migré","ROKS",IF($F144="À décommissionner",IF(S$8&lt;$AS144,"IKS","Décom."),IF(OR($AQ144="",$AS144=""),"",IF(S$8&lt;$AQ144,"IKS",IF(S$8&lt;$AS144,IF(S$8=$AR144,"Bascule","Double run"),"ROKS"))))))</f>
        <v/>
      </c>
      <c r="T144" s="51" t="str">
        <f aca="false">IF(OR($A144="",T$8=""),"",IF($F144="Migré","ROKS",IF($F144="À décommissionner",IF(T$8&lt;$AS144,"IKS","Décom."),IF(OR($AQ144="",$AS144=""),"",IF(T$8&lt;$AQ144,"IKS",IF(T$8&lt;$AS144,IF(T$8=$AR144,"Bascule","Double run"),"ROKS"))))))</f>
        <v/>
      </c>
      <c r="U144" s="51" t="str">
        <f aca="false">IF(OR($A144="",U$8=""),"",IF($F144="Migré","ROKS",IF($F144="À décommissionner",IF(U$8&lt;$AS144,"IKS","Décom."),IF(OR($AQ144="",$AS144=""),"",IF(U$8&lt;$AQ144,"IKS",IF(U$8&lt;$AS144,IF(U$8=$AR144,"Bascule","Double run"),"ROKS"))))))</f>
        <v/>
      </c>
      <c r="V144" s="51" t="str">
        <f aca="false">IF(OR($A144="",V$8=""),"",IF($F144="Migré","ROKS",IF($F144="À décommissionner",IF(V$8&lt;$AS144,"IKS","Décom."),IF(OR($AQ144="",$AS144=""),"",IF(V$8&lt;$AQ144,"IKS",IF(V$8&lt;$AS144,IF(V$8=$AR144,"Bascule","Double run"),"ROKS"))))))</f>
        <v/>
      </c>
      <c r="W144" s="51" t="str">
        <f aca="false">IF(OR($A144="",W$8=""),"",IF($F144="Migré","ROKS",IF($F144="À décommissionner",IF(W$8&lt;$AS144,"IKS","Décom."),IF(OR($AQ144="",$AS144=""),"",IF(W$8&lt;$AQ144,"IKS",IF(W$8&lt;$AS144,IF(W$8=$AR144,"Bascule","Double run"),"ROKS"))))))</f>
        <v/>
      </c>
      <c r="X144" s="51" t="str">
        <f aca="false">IF(OR($A144="",X$8=""),"",IF($F144="Migré","ROKS",IF($F144="À décommissionner",IF(X$8&lt;$AS144,"IKS","Décom."),IF(OR($AQ144="",$AS144=""),"",IF(X$8&lt;$AQ144,"IKS",IF(X$8&lt;$AS144,IF(X$8=$AR144,"Bascule","Double run"),"ROKS"))))))</f>
        <v/>
      </c>
      <c r="Y144" s="51" t="str">
        <f aca="false">IF(OR($A144="",Y$8=""),"",IF($F144="Migré","ROKS",IF($F144="À décommissionner",IF(Y$8&lt;$AS144,"IKS","Décom."),IF(OR($AQ144="",$AS144=""),"",IF(Y$8&lt;$AQ144,"IKS",IF(Y$8&lt;$AS144,IF(Y$8=$AR144,"Bascule","Double run"),"ROKS"))))))</f>
        <v/>
      </c>
      <c r="Z144" s="51" t="str">
        <f aca="false">IF(OR($A144="",Z$8=""),"",IF($F144="Migré","ROKS",IF($F144="À décommissionner",IF(Z$8&lt;$AS144,"IKS","Décom."),IF(OR($AQ144="",$AS144=""),"",IF(Z$8&lt;$AQ144,"IKS",IF(Z$8&lt;$AS144,IF(Z$8=$AR144,"Bascule","Double run"),"ROKS"))))))</f>
        <v/>
      </c>
      <c r="AA144" s="51" t="str">
        <f aca="false">IF(OR($A144="",AA$8=""),"",IF($F144="Migré","ROKS",IF($F144="À décommissionner",IF(AA$8&lt;$AS144,"IKS","Décom."),IF(OR($AQ144="",$AS144=""),"",IF(AA$8&lt;$AQ144,"IKS",IF(AA$8&lt;$AS144,IF(AA$8=$AR144,"Bascule","Double run"),"ROKS"))))))</f>
        <v/>
      </c>
      <c r="AB144" s="51" t="str">
        <f aca="false">IF(OR($A144="",AB$8=""),"",IF($F144="Migré","ROKS",IF($F144="À décommissionner",IF(AB$8&lt;$AS144,"IKS","Décom."),IF(OR($AQ144="",$AS144=""),"",IF(AB$8&lt;$AQ144,"IKS",IF(AB$8&lt;$AS144,IF(AB$8=$AR144,"Bascule","Double run"),"ROKS"))))))</f>
        <v/>
      </c>
      <c r="AC144" s="51" t="str">
        <f aca="false">IF(OR($A144="",AC$8=""),"",IF($F144="Migré","ROKS",IF($F144="À décommissionner",IF(AC$8&lt;$AS144,"IKS","Décom."),IF(OR($AQ144="",$AS144=""),"",IF(AC$8&lt;$AQ144,"IKS",IF(AC$8&lt;$AS144,IF(AC$8=$AR144,"Bascule","Double run"),"ROKS"))))))</f>
        <v/>
      </c>
      <c r="AD144" s="51" t="str">
        <f aca="false">IF(OR($A144="",AD$8=""),"",IF($F144="Migré","ROKS",IF($F144="À décommissionner",IF(AD$8&lt;$AS144,"IKS","Décom."),IF(OR($AQ144="",$AS144=""),"",IF(AD$8&lt;$AQ144,"IKS",IF(AD$8&lt;$AS144,IF(AD$8=$AR144,"Bascule","Double run"),"ROKS"))))))</f>
        <v/>
      </c>
      <c r="AE144" s="51" t="str">
        <f aca="false">IF(OR($A144="",AE$8=""),"",IF($F144="Migré","ROKS",IF($F144="À décommissionner",IF(AE$8&lt;$AS144,"IKS","Décom."),IF(OR($AQ144="",$AS144=""),"",IF(AE$8&lt;$AQ144,"IKS",IF(AE$8&lt;$AS144,IF(AE$8=$AR144,"Bascule","Double run"),"ROKS"))))))</f>
        <v/>
      </c>
      <c r="AF144" s="51" t="str">
        <f aca="false">IF(OR($A144="",AF$8=""),"",IF($F144="Migré","ROKS",IF($F144="À décommissionner",IF(AF$8&lt;$AS144,"IKS","Décom."),IF(OR($AQ144="",$AS144=""),"",IF(AF$8&lt;$AQ144,"IKS",IF(AF$8&lt;$AS144,IF(AF$8=$AR144,"Bascule","Double run"),"ROKS"))))))</f>
        <v/>
      </c>
      <c r="AG144" s="51" t="str">
        <f aca="false">IF(OR($A144="",AG$8=""),"",IF($F144="Migré","ROKS",IF($F144="À décommissionner",IF(AG$8&lt;$AS144,"IKS","Décom."),IF(OR($AQ144="",$AS144=""),"",IF(AG$8&lt;$AQ144,"IKS",IF(AG$8&lt;$AS144,IF(AG$8=$AR144,"Bascule","Double run"),"ROKS"))))))</f>
        <v/>
      </c>
      <c r="AH144" s="51" t="str">
        <f aca="false">IF(OR($A144="",AH$8=""),"",IF($F144="Migré","ROKS",IF($F144="À décommissionner",IF(AH$8&lt;$AS144,"IKS","Décom."),IF(OR($AQ144="",$AS144=""),"",IF(AH$8&lt;$AQ144,"IKS",IF(AH$8&lt;$AS144,IF(AH$8=$AR144,"Bascule","Double run"),"ROKS"))))))</f>
        <v/>
      </c>
      <c r="AI144" s="51" t="str">
        <f aca="false">IF(OR($A144="",AI$8=""),"",IF($F144="Migré","ROKS",IF($F144="À décommissionner",IF(AI$8&lt;$AS144,"IKS","Décom."),IF(OR($AQ144="",$AS144=""),"",IF(AI$8&lt;$AQ144,"IKS",IF(AI$8&lt;$AS144,IF(AI$8=$AR144,"Bascule","Double run"),"ROKS"))))))</f>
        <v/>
      </c>
      <c r="AJ144" s="51" t="str">
        <f aca="false">IF(OR($A144="",AJ$8=""),"",IF($F144="Migré","ROKS",IF($F144="À décommissionner",IF(AJ$8&lt;$AS144,"IKS","Décom."),IF(OR($AQ144="",$AS144=""),"",IF(AJ$8&lt;$AQ144,"IKS",IF(AJ$8&lt;$AS144,IF(AJ$8=$AR144,"Bascule","Double run"),"ROKS"))))))</f>
        <v/>
      </c>
      <c r="AK144" s="51" t="str">
        <f aca="false">IF(OR($A144="",AK$8=""),"",IF($F144="Migré","ROKS",IF($F144="À décommissionner",IF(AK$8&lt;$AS144,"IKS","Décom."),IF(OR($AQ144="",$AS144=""),"",IF(AK$8&lt;$AQ144,"IKS",IF(AK$8&lt;$AS144,IF(AK$8=$AR144,"Bascule","Double run"),"ROKS"))))))</f>
        <v/>
      </c>
      <c r="AL144" s="51" t="str">
        <f aca="false">IF(OR($A144="",AL$8=""),"",IF($F144="Migré","ROKS",IF($F144="À décommissionner",IF(AL$8&lt;$AS144,"IKS","Décom."),IF(OR($AQ144="",$AS144=""),"",IF(AL$8&lt;$AQ144,"IKS",IF(AL$8&lt;$AS144,IF(AL$8=$AR144,"Bascule","Double run"),"ROKS"))))))</f>
        <v/>
      </c>
      <c r="AM144" s="51" t="str">
        <f aca="false">IF(OR($A144="",AM$8=""),"",IF($F144="Migré","ROKS",IF($F144="À décommissionner",IF(AM$8&lt;$AS144,"IKS","Décom."),IF(OR($AQ144="",$AS144=""),"",IF(AM$8&lt;$AQ144,"IKS",IF(AM$8&lt;$AS144,IF(AM$8=$AR144,"Bascule","Double run"),"ROKS"))))))</f>
        <v/>
      </c>
      <c r="AN144" s="51" t="str">
        <f aca="false">IF(OR($A144="",AN$8=""),"",IF($F144="Migré","ROKS",IF($F144="À décommissionner",IF(AN$8&lt;$AS144,"IKS","Décom."),IF(OR($AQ144="",$AS144=""),"",IF(AN$8&lt;$AQ144,"IKS",IF(AN$8&lt;$AS144,IF(AN$8=$AR144,"Bascule","Double run"),"ROKS"))))))</f>
        <v/>
      </c>
      <c r="AO144" s="51" t="str">
        <f aca="false">IF(OR($A144="",AO$8=""),"",IF($F144="Migré","ROKS",IF($F144="À décommissionner",IF(AO$8&lt;$AS144,"IKS","Décom."),IF(OR($AQ144="",$AS144=""),"",IF(AO$8&lt;$AQ144,"IKS",IF(AO$8&lt;$AS144,IF(AO$8=$AR144,"Bascule","Double run"),"ROKS"))))))</f>
        <v/>
      </c>
      <c r="AP144" s="51" t="str">
        <f aca="false">IF(OR($A144="",AP$8=""),"",IF($F144="Migré","ROKS",IF($F144="À décommissionner",IF(AP$8&lt;$AS144,"IKS","Décom."),IF(OR($AQ144="",$AS144=""),"",IF(AP$8&lt;$AQ144,"IKS",IF(AP$8&lt;$AS144,IF(AP$8=$AR144,"Bascule","Double run"),"ROKS"))))))</f>
        <v/>
      </c>
      <c r="AQ144" s="0" t="str">
        <f aca="false">IF($A144="","",INDEX(TblApplications[Mois prov (calc)],$A144))</f>
        <v/>
      </c>
      <c r="AR144" s="0" t="str">
        <f aca="false">IF($A144="","",IFERROR(DATE(YEAR(INDEX(TblApplications[Mois bascule],$A144)),MONTH(INDEX(TblApplications[Mois bascule],$A144)),1),""))</f>
        <v/>
      </c>
      <c r="AS144" s="0" t="str">
        <f aca="false">IF($A144="","",INDEX(TblApplications[Mois lib (calc)],$A144))</f>
        <v/>
      </c>
    </row>
    <row r="145" customFormat="false" ht="15" hidden="false" customHeight="false" outlineLevel="0" collapsed="false">
      <c r="A145" s="49" t="str">
        <f aca="false">IFERROR(MATCH(137,TblApplications[Rang frise],0),"")</f>
        <v/>
      </c>
      <c r="B145" s="50" t="str">
        <f aca="false">IF($A145="","",INDEX(TblApplications[ID],$A145))</f>
        <v/>
      </c>
      <c r="C145" s="50" t="str">
        <f aca="false">IF($A145="","",INDEX(TblApplications[Application],$A145))</f>
        <v/>
      </c>
      <c r="D145" s="50" t="str">
        <f aca="false">IF($A145="","",INDEX(TblApplications[Environnement],$A145))</f>
        <v/>
      </c>
      <c r="E145" s="50" t="str">
        <f aca="false">IF($A145="","",INDEX(TblApplications[Couloir],$A145))</f>
        <v/>
      </c>
      <c r="F145" s="50" t="str">
        <f aca="false">IF($A145="","",INDEX(TblApplications[Action],$A145))</f>
        <v/>
      </c>
      <c r="G145" s="51" t="str">
        <f aca="false">IF(OR($A145="",G$8=""),"",IF($F145="Migré","ROKS",IF($F145="À décommissionner",IF(G$8&lt;$AS145,"IKS","Décom."),IF(OR($AQ145="",$AS145=""),"",IF(G$8&lt;$AQ145,"IKS",IF(G$8&lt;$AS145,IF(G$8=$AR145,"Bascule","Double run"),"ROKS"))))))</f>
        <v/>
      </c>
      <c r="H145" s="51" t="str">
        <f aca="false">IF(OR($A145="",H$8=""),"",IF($F145="Migré","ROKS",IF($F145="À décommissionner",IF(H$8&lt;$AS145,"IKS","Décom."),IF(OR($AQ145="",$AS145=""),"",IF(H$8&lt;$AQ145,"IKS",IF(H$8&lt;$AS145,IF(H$8=$AR145,"Bascule","Double run"),"ROKS"))))))</f>
        <v/>
      </c>
      <c r="I145" s="51" t="str">
        <f aca="false">IF(OR($A145="",I$8=""),"",IF($F145="Migré","ROKS",IF($F145="À décommissionner",IF(I$8&lt;$AS145,"IKS","Décom."),IF(OR($AQ145="",$AS145=""),"",IF(I$8&lt;$AQ145,"IKS",IF(I$8&lt;$AS145,IF(I$8=$AR145,"Bascule","Double run"),"ROKS"))))))</f>
        <v/>
      </c>
      <c r="J145" s="51" t="str">
        <f aca="false">IF(OR($A145="",J$8=""),"",IF($F145="Migré","ROKS",IF($F145="À décommissionner",IF(J$8&lt;$AS145,"IKS","Décom."),IF(OR($AQ145="",$AS145=""),"",IF(J$8&lt;$AQ145,"IKS",IF(J$8&lt;$AS145,IF(J$8=$AR145,"Bascule","Double run"),"ROKS"))))))</f>
        <v/>
      </c>
      <c r="K145" s="51" t="str">
        <f aca="false">IF(OR($A145="",K$8=""),"",IF($F145="Migré","ROKS",IF($F145="À décommissionner",IF(K$8&lt;$AS145,"IKS","Décom."),IF(OR($AQ145="",$AS145=""),"",IF(K$8&lt;$AQ145,"IKS",IF(K$8&lt;$AS145,IF(K$8=$AR145,"Bascule","Double run"),"ROKS"))))))</f>
        <v/>
      </c>
      <c r="L145" s="51" t="str">
        <f aca="false">IF(OR($A145="",L$8=""),"",IF($F145="Migré","ROKS",IF($F145="À décommissionner",IF(L$8&lt;$AS145,"IKS","Décom."),IF(OR($AQ145="",$AS145=""),"",IF(L$8&lt;$AQ145,"IKS",IF(L$8&lt;$AS145,IF(L$8=$AR145,"Bascule","Double run"),"ROKS"))))))</f>
        <v/>
      </c>
      <c r="M145" s="51" t="str">
        <f aca="false">IF(OR($A145="",M$8=""),"",IF($F145="Migré","ROKS",IF($F145="À décommissionner",IF(M$8&lt;$AS145,"IKS","Décom."),IF(OR($AQ145="",$AS145=""),"",IF(M$8&lt;$AQ145,"IKS",IF(M$8&lt;$AS145,IF(M$8=$AR145,"Bascule","Double run"),"ROKS"))))))</f>
        <v/>
      </c>
      <c r="N145" s="51" t="str">
        <f aca="false">IF(OR($A145="",N$8=""),"",IF($F145="Migré","ROKS",IF($F145="À décommissionner",IF(N$8&lt;$AS145,"IKS","Décom."),IF(OR($AQ145="",$AS145=""),"",IF(N$8&lt;$AQ145,"IKS",IF(N$8&lt;$AS145,IF(N$8=$AR145,"Bascule","Double run"),"ROKS"))))))</f>
        <v/>
      </c>
      <c r="O145" s="51" t="str">
        <f aca="false">IF(OR($A145="",O$8=""),"",IF($F145="Migré","ROKS",IF($F145="À décommissionner",IF(O$8&lt;$AS145,"IKS","Décom."),IF(OR($AQ145="",$AS145=""),"",IF(O$8&lt;$AQ145,"IKS",IF(O$8&lt;$AS145,IF(O$8=$AR145,"Bascule","Double run"),"ROKS"))))))</f>
        <v/>
      </c>
      <c r="P145" s="51" t="str">
        <f aca="false">IF(OR($A145="",P$8=""),"",IF($F145="Migré","ROKS",IF($F145="À décommissionner",IF(P$8&lt;$AS145,"IKS","Décom."),IF(OR($AQ145="",$AS145=""),"",IF(P$8&lt;$AQ145,"IKS",IF(P$8&lt;$AS145,IF(P$8=$AR145,"Bascule","Double run"),"ROKS"))))))</f>
        <v/>
      </c>
      <c r="Q145" s="51" t="str">
        <f aca="false">IF(OR($A145="",Q$8=""),"",IF($F145="Migré","ROKS",IF($F145="À décommissionner",IF(Q$8&lt;$AS145,"IKS","Décom."),IF(OR($AQ145="",$AS145=""),"",IF(Q$8&lt;$AQ145,"IKS",IF(Q$8&lt;$AS145,IF(Q$8=$AR145,"Bascule","Double run"),"ROKS"))))))</f>
        <v/>
      </c>
      <c r="R145" s="51" t="str">
        <f aca="false">IF(OR($A145="",R$8=""),"",IF($F145="Migré","ROKS",IF($F145="À décommissionner",IF(R$8&lt;$AS145,"IKS","Décom."),IF(OR($AQ145="",$AS145=""),"",IF(R$8&lt;$AQ145,"IKS",IF(R$8&lt;$AS145,IF(R$8=$AR145,"Bascule","Double run"),"ROKS"))))))</f>
        <v/>
      </c>
      <c r="S145" s="51" t="str">
        <f aca="false">IF(OR($A145="",S$8=""),"",IF($F145="Migré","ROKS",IF($F145="À décommissionner",IF(S$8&lt;$AS145,"IKS","Décom."),IF(OR($AQ145="",$AS145=""),"",IF(S$8&lt;$AQ145,"IKS",IF(S$8&lt;$AS145,IF(S$8=$AR145,"Bascule","Double run"),"ROKS"))))))</f>
        <v/>
      </c>
      <c r="T145" s="51" t="str">
        <f aca="false">IF(OR($A145="",T$8=""),"",IF($F145="Migré","ROKS",IF($F145="À décommissionner",IF(T$8&lt;$AS145,"IKS","Décom."),IF(OR($AQ145="",$AS145=""),"",IF(T$8&lt;$AQ145,"IKS",IF(T$8&lt;$AS145,IF(T$8=$AR145,"Bascule","Double run"),"ROKS"))))))</f>
        <v/>
      </c>
      <c r="U145" s="51" t="str">
        <f aca="false">IF(OR($A145="",U$8=""),"",IF($F145="Migré","ROKS",IF($F145="À décommissionner",IF(U$8&lt;$AS145,"IKS","Décom."),IF(OR($AQ145="",$AS145=""),"",IF(U$8&lt;$AQ145,"IKS",IF(U$8&lt;$AS145,IF(U$8=$AR145,"Bascule","Double run"),"ROKS"))))))</f>
        <v/>
      </c>
      <c r="V145" s="51" t="str">
        <f aca="false">IF(OR($A145="",V$8=""),"",IF($F145="Migré","ROKS",IF($F145="À décommissionner",IF(V$8&lt;$AS145,"IKS","Décom."),IF(OR($AQ145="",$AS145=""),"",IF(V$8&lt;$AQ145,"IKS",IF(V$8&lt;$AS145,IF(V$8=$AR145,"Bascule","Double run"),"ROKS"))))))</f>
        <v/>
      </c>
      <c r="W145" s="51" t="str">
        <f aca="false">IF(OR($A145="",W$8=""),"",IF($F145="Migré","ROKS",IF($F145="À décommissionner",IF(W$8&lt;$AS145,"IKS","Décom."),IF(OR($AQ145="",$AS145=""),"",IF(W$8&lt;$AQ145,"IKS",IF(W$8&lt;$AS145,IF(W$8=$AR145,"Bascule","Double run"),"ROKS"))))))</f>
        <v/>
      </c>
      <c r="X145" s="51" t="str">
        <f aca="false">IF(OR($A145="",X$8=""),"",IF($F145="Migré","ROKS",IF($F145="À décommissionner",IF(X$8&lt;$AS145,"IKS","Décom."),IF(OR($AQ145="",$AS145=""),"",IF(X$8&lt;$AQ145,"IKS",IF(X$8&lt;$AS145,IF(X$8=$AR145,"Bascule","Double run"),"ROKS"))))))</f>
        <v/>
      </c>
      <c r="Y145" s="51" t="str">
        <f aca="false">IF(OR($A145="",Y$8=""),"",IF($F145="Migré","ROKS",IF($F145="À décommissionner",IF(Y$8&lt;$AS145,"IKS","Décom."),IF(OR($AQ145="",$AS145=""),"",IF(Y$8&lt;$AQ145,"IKS",IF(Y$8&lt;$AS145,IF(Y$8=$AR145,"Bascule","Double run"),"ROKS"))))))</f>
        <v/>
      </c>
      <c r="Z145" s="51" t="str">
        <f aca="false">IF(OR($A145="",Z$8=""),"",IF($F145="Migré","ROKS",IF($F145="À décommissionner",IF(Z$8&lt;$AS145,"IKS","Décom."),IF(OR($AQ145="",$AS145=""),"",IF(Z$8&lt;$AQ145,"IKS",IF(Z$8&lt;$AS145,IF(Z$8=$AR145,"Bascule","Double run"),"ROKS"))))))</f>
        <v/>
      </c>
      <c r="AA145" s="51" t="str">
        <f aca="false">IF(OR($A145="",AA$8=""),"",IF($F145="Migré","ROKS",IF($F145="À décommissionner",IF(AA$8&lt;$AS145,"IKS","Décom."),IF(OR($AQ145="",$AS145=""),"",IF(AA$8&lt;$AQ145,"IKS",IF(AA$8&lt;$AS145,IF(AA$8=$AR145,"Bascule","Double run"),"ROKS"))))))</f>
        <v/>
      </c>
      <c r="AB145" s="51" t="str">
        <f aca="false">IF(OR($A145="",AB$8=""),"",IF($F145="Migré","ROKS",IF($F145="À décommissionner",IF(AB$8&lt;$AS145,"IKS","Décom."),IF(OR($AQ145="",$AS145=""),"",IF(AB$8&lt;$AQ145,"IKS",IF(AB$8&lt;$AS145,IF(AB$8=$AR145,"Bascule","Double run"),"ROKS"))))))</f>
        <v/>
      </c>
      <c r="AC145" s="51" t="str">
        <f aca="false">IF(OR($A145="",AC$8=""),"",IF($F145="Migré","ROKS",IF($F145="À décommissionner",IF(AC$8&lt;$AS145,"IKS","Décom."),IF(OR($AQ145="",$AS145=""),"",IF(AC$8&lt;$AQ145,"IKS",IF(AC$8&lt;$AS145,IF(AC$8=$AR145,"Bascule","Double run"),"ROKS"))))))</f>
        <v/>
      </c>
      <c r="AD145" s="51" t="str">
        <f aca="false">IF(OR($A145="",AD$8=""),"",IF($F145="Migré","ROKS",IF($F145="À décommissionner",IF(AD$8&lt;$AS145,"IKS","Décom."),IF(OR($AQ145="",$AS145=""),"",IF(AD$8&lt;$AQ145,"IKS",IF(AD$8&lt;$AS145,IF(AD$8=$AR145,"Bascule","Double run"),"ROKS"))))))</f>
        <v/>
      </c>
      <c r="AE145" s="51" t="str">
        <f aca="false">IF(OR($A145="",AE$8=""),"",IF($F145="Migré","ROKS",IF($F145="À décommissionner",IF(AE$8&lt;$AS145,"IKS","Décom."),IF(OR($AQ145="",$AS145=""),"",IF(AE$8&lt;$AQ145,"IKS",IF(AE$8&lt;$AS145,IF(AE$8=$AR145,"Bascule","Double run"),"ROKS"))))))</f>
        <v/>
      </c>
      <c r="AF145" s="51" t="str">
        <f aca="false">IF(OR($A145="",AF$8=""),"",IF($F145="Migré","ROKS",IF($F145="À décommissionner",IF(AF$8&lt;$AS145,"IKS","Décom."),IF(OR($AQ145="",$AS145=""),"",IF(AF$8&lt;$AQ145,"IKS",IF(AF$8&lt;$AS145,IF(AF$8=$AR145,"Bascule","Double run"),"ROKS"))))))</f>
        <v/>
      </c>
      <c r="AG145" s="51" t="str">
        <f aca="false">IF(OR($A145="",AG$8=""),"",IF($F145="Migré","ROKS",IF($F145="À décommissionner",IF(AG$8&lt;$AS145,"IKS","Décom."),IF(OR($AQ145="",$AS145=""),"",IF(AG$8&lt;$AQ145,"IKS",IF(AG$8&lt;$AS145,IF(AG$8=$AR145,"Bascule","Double run"),"ROKS"))))))</f>
        <v/>
      </c>
      <c r="AH145" s="51" t="str">
        <f aca="false">IF(OR($A145="",AH$8=""),"",IF($F145="Migré","ROKS",IF($F145="À décommissionner",IF(AH$8&lt;$AS145,"IKS","Décom."),IF(OR($AQ145="",$AS145=""),"",IF(AH$8&lt;$AQ145,"IKS",IF(AH$8&lt;$AS145,IF(AH$8=$AR145,"Bascule","Double run"),"ROKS"))))))</f>
        <v/>
      </c>
      <c r="AI145" s="51" t="str">
        <f aca="false">IF(OR($A145="",AI$8=""),"",IF($F145="Migré","ROKS",IF($F145="À décommissionner",IF(AI$8&lt;$AS145,"IKS","Décom."),IF(OR($AQ145="",$AS145=""),"",IF(AI$8&lt;$AQ145,"IKS",IF(AI$8&lt;$AS145,IF(AI$8=$AR145,"Bascule","Double run"),"ROKS"))))))</f>
        <v/>
      </c>
      <c r="AJ145" s="51" t="str">
        <f aca="false">IF(OR($A145="",AJ$8=""),"",IF($F145="Migré","ROKS",IF($F145="À décommissionner",IF(AJ$8&lt;$AS145,"IKS","Décom."),IF(OR($AQ145="",$AS145=""),"",IF(AJ$8&lt;$AQ145,"IKS",IF(AJ$8&lt;$AS145,IF(AJ$8=$AR145,"Bascule","Double run"),"ROKS"))))))</f>
        <v/>
      </c>
      <c r="AK145" s="51" t="str">
        <f aca="false">IF(OR($A145="",AK$8=""),"",IF($F145="Migré","ROKS",IF($F145="À décommissionner",IF(AK$8&lt;$AS145,"IKS","Décom."),IF(OR($AQ145="",$AS145=""),"",IF(AK$8&lt;$AQ145,"IKS",IF(AK$8&lt;$AS145,IF(AK$8=$AR145,"Bascule","Double run"),"ROKS"))))))</f>
        <v/>
      </c>
      <c r="AL145" s="51" t="str">
        <f aca="false">IF(OR($A145="",AL$8=""),"",IF($F145="Migré","ROKS",IF($F145="À décommissionner",IF(AL$8&lt;$AS145,"IKS","Décom."),IF(OR($AQ145="",$AS145=""),"",IF(AL$8&lt;$AQ145,"IKS",IF(AL$8&lt;$AS145,IF(AL$8=$AR145,"Bascule","Double run"),"ROKS"))))))</f>
        <v/>
      </c>
      <c r="AM145" s="51" t="str">
        <f aca="false">IF(OR($A145="",AM$8=""),"",IF($F145="Migré","ROKS",IF($F145="À décommissionner",IF(AM$8&lt;$AS145,"IKS","Décom."),IF(OR($AQ145="",$AS145=""),"",IF(AM$8&lt;$AQ145,"IKS",IF(AM$8&lt;$AS145,IF(AM$8=$AR145,"Bascule","Double run"),"ROKS"))))))</f>
        <v/>
      </c>
      <c r="AN145" s="51" t="str">
        <f aca="false">IF(OR($A145="",AN$8=""),"",IF($F145="Migré","ROKS",IF($F145="À décommissionner",IF(AN$8&lt;$AS145,"IKS","Décom."),IF(OR($AQ145="",$AS145=""),"",IF(AN$8&lt;$AQ145,"IKS",IF(AN$8&lt;$AS145,IF(AN$8=$AR145,"Bascule","Double run"),"ROKS"))))))</f>
        <v/>
      </c>
      <c r="AO145" s="51" t="str">
        <f aca="false">IF(OR($A145="",AO$8=""),"",IF($F145="Migré","ROKS",IF($F145="À décommissionner",IF(AO$8&lt;$AS145,"IKS","Décom."),IF(OR($AQ145="",$AS145=""),"",IF(AO$8&lt;$AQ145,"IKS",IF(AO$8&lt;$AS145,IF(AO$8=$AR145,"Bascule","Double run"),"ROKS"))))))</f>
        <v/>
      </c>
      <c r="AP145" s="51" t="str">
        <f aca="false">IF(OR($A145="",AP$8=""),"",IF($F145="Migré","ROKS",IF($F145="À décommissionner",IF(AP$8&lt;$AS145,"IKS","Décom."),IF(OR($AQ145="",$AS145=""),"",IF(AP$8&lt;$AQ145,"IKS",IF(AP$8&lt;$AS145,IF(AP$8=$AR145,"Bascule","Double run"),"ROKS"))))))</f>
        <v/>
      </c>
      <c r="AQ145" s="0" t="str">
        <f aca="false">IF($A145="","",INDEX(TblApplications[Mois prov (calc)],$A145))</f>
        <v/>
      </c>
      <c r="AR145" s="0" t="str">
        <f aca="false">IF($A145="","",IFERROR(DATE(YEAR(INDEX(TblApplications[Mois bascule],$A145)),MONTH(INDEX(TblApplications[Mois bascule],$A145)),1),""))</f>
        <v/>
      </c>
      <c r="AS145" s="0" t="str">
        <f aca="false">IF($A145="","",INDEX(TblApplications[Mois lib (calc)],$A145))</f>
        <v/>
      </c>
    </row>
    <row r="146" customFormat="false" ht="15" hidden="false" customHeight="false" outlineLevel="0" collapsed="false">
      <c r="A146" s="49" t="str">
        <f aca="false">IFERROR(MATCH(138,TblApplications[Rang frise],0),"")</f>
        <v/>
      </c>
      <c r="B146" s="50" t="str">
        <f aca="false">IF($A146="","",INDEX(TblApplications[ID],$A146))</f>
        <v/>
      </c>
      <c r="C146" s="50" t="str">
        <f aca="false">IF($A146="","",INDEX(TblApplications[Application],$A146))</f>
        <v/>
      </c>
      <c r="D146" s="50" t="str">
        <f aca="false">IF($A146="","",INDEX(TblApplications[Environnement],$A146))</f>
        <v/>
      </c>
      <c r="E146" s="50" t="str">
        <f aca="false">IF($A146="","",INDEX(TblApplications[Couloir],$A146))</f>
        <v/>
      </c>
      <c r="F146" s="50" t="str">
        <f aca="false">IF($A146="","",INDEX(TblApplications[Action],$A146))</f>
        <v/>
      </c>
      <c r="G146" s="51" t="str">
        <f aca="false">IF(OR($A146="",G$8=""),"",IF($F146="Migré","ROKS",IF($F146="À décommissionner",IF(G$8&lt;$AS146,"IKS","Décom."),IF(OR($AQ146="",$AS146=""),"",IF(G$8&lt;$AQ146,"IKS",IF(G$8&lt;$AS146,IF(G$8=$AR146,"Bascule","Double run"),"ROKS"))))))</f>
        <v/>
      </c>
      <c r="H146" s="51" t="str">
        <f aca="false">IF(OR($A146="",H$8=""),"",IF($F146="Migré","ROKS",IF($F146="À décommissionner",IF(H$8&lt;$AS146,"IKS","Décom."),IF(OR($AQ146="",$AS146=""),"",IF(H$8&lt;$AQ146,"IKS",IF(H$8&lt;$AS146,IF(H$8=$AR146,"Bascule","Double run"),"ROKS"))))))</f>
        <v/>
      </c>
      <c r="I146" s="51" t="str">
        <f aca="false">IF(OR($A146="",I$8=""),"",IF($F146="Migré","ROKS",IF($F146="À décommissionner",IF(I$8&lt;$AS146,"IKS","Décom."),IF(OR($AQ146="",$AS146=""),"",IF(I$8&lt;$AQ146,"IKS",IF(I$8&lt;$AS146,IF(I$8=$AR146,"Bascule","Double run"),"ROKS"))))))</f>
        <v/>
      </c>
      <c r="J146" s="51" t="str">
        <f aca="false">IF(OR($A146="",J$8=""),"",IF($F146="Migré","ROKS",IF($F146="À décommissionner",IF(J$8&lt;$AS146,"IKS","Décom."),IF(OR($AQ146="",$AS146=""),"",IF(J$8&lt;$AQ146,"IKS",IF(J$8&lt;$AS146,IF(J$8=$AR146,"Bascule","Double run"),"ROKS"))))))</f>
        <v/>
      </c>
      <c r="K146" s="51" t="str">
        <f aca="false">IF(OR($A146="",K$8=""),"",IF($F146="Migré","ROKS",IF($F146="À décommissionner",IF(K$8&lt;$AS146,"IKS","Décom."),IF(OR($AQ146="",$AS146=""),"",IF(K$8&lt;$AQ146,"IKS",IF(K$8&lt;$AS146,IF(K$8=$AR146,"Bascule","Double run"),"ROKS"))))))</f>
        <v/>
      </c>
      <c r="L146" s="51" t="str">
        <f aca="false">IF(OR($A146="",L$8=""),"",IF($F146="Migré","ROKS",IF($F146="À décommissionner",IF(L$8&lt;$AS146,"IKS","Décom."),IF(OR($AQ146="",$AS146=""),"",IF(L$8&lt;$AQ146,"IKS",IF(L$8&lt;$AS146,IF(L$8=$AR146,"Bascule","Double run"),"ROKS"))))))</f>
        <v/>
      </c>
      <c r="M146" s="51" t="str">
        <f aca="false">IF(OR($A146="",M$8=""),"",IF($F146="Migré","ROKS",IF($F146="À décommissionner",IF(M$8&lt;$AS146,"IKS","Décom."),IF(OR($AQ146="",$AS146=""),"",IF(M$8&lt;$AQ146,"IKS",IF(M$8&lt;$AS146,IF(M$8=$AR146,"Bascule","Double run"),"ROKS"))))))</f>
        <v/>
      </c>
      <c r="N146" s="51" t="str">
        <f aca="false">IF(OR($A146="",N$8=""),"",IF($F146="Migré","ROKS",IF($F146="À décommissionner",IF(N$8&lt;$AS146,"IKS","Décom."),IF(OR($AQ146="",$AS146=""),"",IF(N$8&lt;$AQ146,"IKS",IF(N$8&lt;$AS146,IF(N$8=$AR146,"Bascule","Double run"),"ROKS"))))))</f>
        <v/>
      </c>
      <c r="O146" s="51" t="str">
        <f aca="false">IF(OR($A146="",O$8=""),"",IF($F146="Migré","ROKS",IF($F146="À décommissionner",IF(O$8&lt;$AS146,"IKS","Décom."),IF(OR($AQ146="",$AS146=""),"",IF(O$8&lt;$AQ146,"IKS",IF(O$8&lt;$AS146,IF(O$8=$AR146,"Bascule","Double run"),"ROKS"))))))</f>
        <v/>
      </c>
      <c r="P146" s="51" t="str">
        <f aca="false">IF(OR($A146="",P$8=""),"",IF($F146="Migré","ROKS",IF($F146="À décommissionner",IF(P$8&lt;$AS146,"IKS","Décom."),IF(OR($AQ146="",$AS146=""),"",IF(P$8&lt;$AQ146,"IKS",IF(P$8&lt;$AS146,IF(P$8=$AR146,"Bascule","Double run"),"ROKS"))))))</f>
        <v/>
      </c>
      <c r="Q146" s="51" t="str">
        <f aca="false">IF(OR($A146="",Q$8=""),"",IF($F146="Migré","ROKS",IF($F146="À décommissionner",IF(Q$8&lt;$AS146,"IKS","Décom."),IF(OR($AQ146="",$AS146=""),"",IF(Q$8&lt;$AQ146,"IKS",IF(Q$8&lt;$AS146,IF(Q$8=$AR146,"Bascule","Double run"),"ROKS"))))))</f>
        <v/>
      </c>
      <c r="R146" s="51" t="str">
        <f aca="false">IF(OR($A146="",R$8=""),"",IF($F146="Migré","ROKS",IF($F146="À décommissionner",IF(R$8&lt;$AS146,"IKS","Décom."),IF(OR($AQ146="",$AS146=""),"",IF(R$8&lt;$AQ146,"IKS",IF(R$8&lt;$AS146,IF(R$8=$AR146,"Bascule","Double run"),"ROKS"))))))</f>
        <v/>
      </c>
      <c r="S146" s="51" t="str">
        <f aca="false">IF(OR($A146="",S$8=""),"",IF($F146="Migré","ROKS",IF($F146="À décommissionner",IF(S$8&lt;$AS146,"IKS","Décom."),IF(OR($AQ146="",$AS146=""),"",IF(S$8&lt;$AQ146,"IKS",IF(S$8&lt;$AS146,IF(S$8=$AR146,"Bascule","Double run"),"ROKS"))))))</f>
        <v/>
      </c>
      <c r="T146" s="51" t="str">
        <f aca="false">IF(OR($A146="",T$8=""),"",IF($F146="Migré","ROKS",IF($F146="À décommissionner",IF(T$8&lt;$AS146,"IKS","Décom."),IF(OR($AQ146="",$AS146=""),"",IF(T$8&lt;$AQ146,"IKS",IF(T$8&lt;$AS146,IF(T$8=$AR146,"Bascule","Double run"),"ROKS"))))))</f>
        <v/>
      </c>
      <c r="U146" s="51" t="str">
        <f aca="false">IF(OR($A146="",U$8=""),"",IF($F146="Migré","ROKS",IF($F146="À décommissionner",IF(U$8&lt;$AS146,"IKS","Décom."),IF(OR($AQ146="",$AS146=""),"",IF(U$8&lt;$AQ146,"IKS",IF(U$8&lt;$AS146,IF(U$8=$AR146,"Bascule","Double run"),"ROKS"))))))</f>
        <v/>
      </c>
      <c r="V146" s="51" t="str">
        <f aca="false">IF(OR($A146="",V$8=""),"",IF($F146="Migré","ROKS",IF($F146="À décommissionner",IF(V$8&lt;$AS146,"IKS","Décom."),IF(OR($AQ146="",$AS146=""),"",IF(V$8&lt;$AQ146,"IKS",IF(V$8&lt;$AS146,IF(V$8=$AR146,"Bascule","Double run"),"ROKS"))))))</f>
        <v/>
      </c>
      <c r="W146" s="51" t="str">
        <f aca="false">IF(OR($A146="",W$8=""),"",IF($F146="Migré","ROKS",IF($F146="À décommissionner",IF(W$8&lt;$AS146,"IKS","Décom."),IF(OR($AQ146="",$AS146=""),"",IF(W$8&lt;$AQ146,"IKS",IF(W$8&lt;$AS146,IF(W$8=$AR146,"Bascule","Double run"),"ROKS"))))))</f>
        <v/>
      </c>
      <c r="X146" s="51" t="str">
        <f aca="false">IF(OR($A146="",X$8=""),"",IF($F146="Migré","ROKS",IF($F146="À décommissionner",IF(X$8&lt;$AS146,"IKS","Décom."),IF(OR($AQ146="",$AS146=""),"",IF(X$8&lt;$AQ146,"IKS",IF(X$8&lt;$AS146,IF(X$8=$AR146,"Bascule","Double run"),"ROKS"))))))</f>
        <v/>
      </c>
      <c r="Y146" s="51" t="str">
        <f aca="false">IF(OR($A146="",Y$8=""),"",IF($F146="Migré","ROKS",IF($F146="À décommissionner",IF(Y$8&lt;$AS146,"IKS","Décom."),IF(OR($AQ146="",$AS146=""),"",IF(Y$8&lt;$AQ146,"IKS",IF(Y$8&lt;$AS146,IF(Y$8=$AR146,"Bascule","Double run"),"ROKS"))))))</f>
        <v/>
      </c>
      <c r="Z146" s="51" t="str">
        <f aca="false">IF(OR($A146="",Z$8=""),"",IF($F146="Migré","ROKS",IF($F146="À décommissionner",IF(Z$8&lt;$AS146,"IKS","Décom."),IF(OR($AQ146="",$AS146=""),"",IF(Z$8&lt;$AQ146,"IKS",IF(Z$8&lt;$AS146,IF(Z$8=$AR146,"Bascule","Double run"),"ROKS"))))))</f>
        <v/>
      </c>
      <c r="AA146" s="51" t="str">
        <f aca="false">IF(OR($A146="",AA$8=""),"",IF($F146="Migré","ROKS",IF($F146="À décommissionner",IF(AA$8&lt;$AS146,"IKS","Décom."),IF(OR($AQ146="",$AS146=""),"",IF(AA$8&lt;$AQ146,"IKS",IF(AA$8&lt;$AS146,IF(AA$8=$AR146,"Bascule","Double run"),"ROKS"))))))</f>
        <v/>
      </c>
      <c r="AB146" s="51" t="str">
        <f aca="false">IF(OR($A146="",AB$8=""),"",IF($F146="Migré","ROKS",IF($F146="À décommissionner",IF(AB$8&lt;$AS146,"IKS","Décom."),IF(OR($AQ146="",$AS146=""),"",IF(AB$8&lt;$AQ146,"IKS",IF(AB$8&lt;$AS146,IF(AB$8=$AR146,"Bascule","Double run"),"ROKS"))))))</f>
        <v/>
      </c>
      <c r="AC146" s="51" t="str">
        <f aca="false">IF(OR($A146="",AC$8=""),"",IF($F146="Migré","ROKS",IF($F146="À décommissionner",IF(AC$8&lt;$AS146,"IKS","Décom."),IF(OR($AQ146="",$AS146=""),"",IF(AC$8&lt;$AQ146,"IKS",IF(AC$8&lt;$AS146,IF(AC$8=$AR146,"Bascule","Double run"),"ROKS"))))))</f>
        <v/>
      </c>
      <c r="AD146" s="51" t="str">
        <f aca="false">IF(OR($A146="",AD$8=""),"",IF($F146="Migré","ROKS",IF($F146="À décommissionner",IF(AD$8&lt;$AS146,"IKS","Décom."),IF(OR($AQ146="",$AS146=""),"",IF(AD$8&lt;$AQ146,"IKS",IF(AD$8&lt;$AS146,IF(AD$8=$AR146,"Bascule","Double run"),"ROKS"))))))</f>
        <v/>
      </c>
      <c r="AE146" s="51" t="str">
        <f aca="false">IF(OR($A146="",AE$8=""),"",IF($F146="Migré","ROKS",IF($F146="À décommissionner",IF(AE$8&lt;$AS146,"IKS","Décom."),IF(OR($AQ146="",$AS146=""),"",IF(AE$8&lt;$AQ146,"IKS",IF(AE$8&lt;$AS146,IF(AE$8=$AR146,"Bascule","Double run"),"ROKS"))))))</f>
        <v/>
      </c>
      <c r="AF146" s="51" t="str">
        <f aca="false">IF(OR($A146="",AF$8=""),"",IF($F146="Migré","ROKS",IF($F146="À décommissionner",IF(AF$8&lt;$AS146,"IKS","Décom."),IF(OR($AQ146="",$AS146=""),"",IF(AF$8&lt;$AQ146,"IKS",IF(AF$8&lt;$AS146,IF(AF$8=$AR146,"Bascule","Double run"),"ROKS"))))))</f>
        <v/>
      </c>
      <c r="AG146" s="51" t="str">
        <f aca="false">IF(OR($A146="",AG$8=""),"",IF($F146="Migré","ROKS",IF($F146="À décommissionner",IF(AG$8&lt;$AS146,"IKS","Décom."),IF(OR($AQ146="",$AS146=""),"",IF(AG$8&lt;$AQ146,"IKS",IF(AG$8&lt;$AS146,IF(AG$8=$AR146,"Bascule","Double run"),"ROKS"))))))</f>
        <v/>
      </c>
      <c r="AH146" s="51" t="str">
        <f aca="false">IF(OR($A146="",AH$8=""),"",IF($F146="Migré","ROKS",IF($F146="À décommissionner",IF(AH$8&lt;$AS146,"IKS","Décom."),IF(OR($AQ146="",$AS146=""),"",IF(AH$8&lt;$AQ146,"IKS",IF(AH$8&lt;$AS146,IF(AH$8=$AR146,"Bascule","Double run"),"ROKS"))))))</f>
        <v/>
      </c>
      <c r="AI146" s="51" t="str">
        <f aca="false">IF(OR($A146="",AI$8=""),"",IF($F146="Migré","ROKS",IF($F146="À décommissionner",IF(AI$8&lt;$AS146,"IKS","Décom."),IF(OR($AQ146="",$AS146=""),"",IF(AI$8&lt;$AQ146,"IKS",IF(AI$8&lt;$AS146,IF(AI$8=$AR146,"Bascule","Double run"),"ROKS"))))))</f>
        <v/>
      </c>
      <c r="AJ146" s="51" t="str">
        <f aca="false">IF(OR($A146="",AJ$8=""),"",IF($F146="Migré","ROKS",IF($F146="À décommissionner",IF(AJ$8&lt;$AS146,"IKS","Décom."),IF(OR($AQ146="",$AS146=""),"",IF(AJ$8&lt;$AQ146,"IKS",IF(AJ$8&lt;$AS146,IF(AJ$8=$AR146,"Bascule","Double run"),"ROKS"))))))</f>
        <v/>
      </c>
      <c r="AK146" s="51" t="str">
        <f aca="false">IF(OR($A146="",AK$8=""),"",IF($F146="Migré","ROKS",IF($F146="À décommissionner",IF(AK$8&lt;$AS146,"IKS","Décom."),IF(OR($AQ146="",$AS146=""),"",IF(AK$8&lt;$AQ146,"IKS",IF(AK$8&lt;$AS146,IF(AK$8=$AR146,"Bascule","Double run"),"ROKS"))))))</f>
        <v/>
      </c>
      <c r="AL146" s="51" t="str">
        <f aca="false">IF(OR($A146="",AL$8=""),"",IF($F146="Migré","ROKS",IF($F146="À décommissionner",IF(AL$8&lt;$AS146,"IKS","Décom."),IF(OR($AQ146="",$AS146=""),"",IF(AL$8&lt;$AQ146,"IKS",IF(AL$8&lt;$AS146,IF(AL$8=$AR146,"Bascule","Double run"),"ROKS"))))))</f>
        <v/>
      </c>
      <c r="AM146" s="51" t="str">
        <f aca="false">IF(OR($A146="",AM$8=""),"",IF($F146="Migré","ROKS",IF($F146="À décommissionner",IF(AM$8&lt;$AS146,"IKS","Décom."),IF(OR($AQ146="",$AS146=""),"",IF(AM$8&lt;$AQ146,"IKS",IF(AM$8&lt;$AS146,IF(AM$8=$AR146,"Bascule","Double run"),"ROKS"))))))</f>
        <v/>
      </c>
      <c r="AN146" s="51" t="str">
        <f aca="false">IF(OR($A146="",AN$8=""),"",IF($F146="Migré","ROKS",IF($F146="À décommissionner",IF(AN$8&lt;$AS146,"IKS","Décom."),IF(OR($AQ146="",$AS146=""),"",IF(AN$8&lt;$AQ146,"IKS",IF(AN$8&lt;$AS146,IF(AN$8=$AR146,"Bascule","Double run"),"ROKS"))))))</f>
        <v/>
      </c>
      <c r="AO146" s="51" t="str">
        <f aca="false">IF(OR($A146="",AO$8=""),"",IF($F146="Migré","ROKS",IF($F146="À décommissionner",IF(AO$8&lt;$AS146,"IKS","Décom."),IF(OR($AQ146="",$AS146=""),"",IF(AO$8&lt;$AQ146,"IKS",IF(AO$8&lt;$AS146,IF(AO$8=$AR146,"Bascule","Double run"),"ROKS"))))))</f>
        <v/>
      </c>
      <c r="AP146" s="51" t="str">
        <f aca="false">IF(OR($A146="",AP$8=""),"",IF($F146="Migré","ROKS",IF($F146="À décommissionner",IF(AP$8&lt;$AS146,"IKS","Décom."),IF(OR($AQ146="",$AS146=""),"",IF(AP$8&lt;$AQ146,"IKS",IF(AP$8&lt;$AS146,IF(AP$8=$AR146,"Bascule","Double run"),"ROKS"))))))</f>
        <v/>
      </c>
      <c r="AQ146" s="0" t="str">
        <f aca="false">IF($A146="","",INDEX(TblApplications[Mois prov (calc)],$A146))</f>
        <v/>
      </c>
      <c r="AR146" s="0" t="str">
        <f aca="false">IF($A146="","",IFERROR(DATE(YEAR(INDEX(TblApplications[Mois bascule],$A146)),MONTH(INDEX(TblApplications[Mois bascule],$A146)),1),""))</f>
        <v/>
      </c>
      <c r="AS146" s="0" t="str">
        <f aca="false">IF($A146="","",INDEX(TblApplications[Mois lib (calc)],$A146))</f>
        <v/>
      </c>
    </row>
    <row r="147" customFormat="false" ht="15" hidden="false" customHeight="false" outlineLevel="0" collapsed="false">
      <c r="A147" s="49" t="str">
        <f aca="false">IFERROR(MATCH(139,TblApplications[Rang frise],0),"")</f>
        <v/>
      </c>
      <c r="B147" s="50" t="str">
        <f aca="false">IF($A147="","",INDEX(TblApplications[ID],$A147))</f>
        <v/>
      </c>
      <c r="C147" s="50" t="str">
        <f aca="false">IF($A147="","",INDEX(TblApplications[Application],$A147))</f>
        <v/>
      </c>
      <c r="D147" s="50" t="str">
        <f aca="false">IF($A147="","",INDEX(TblApplications[Environnement],$A147))</f>
        <v/>
      </c>
      <c r="E147" s="50" t="str">
        <f aca="false">IF($A147="","",INDEX(TblApplications[Couloir],$A147))</f>
        <v/>
      </c>
      <c r="F147" s="50" t="str">
        <f aca="false">IF($A147="","",INDEX(TblApplications[Action],$A147))</f>
        <v/>
      </c>
      <c r="G147" s="51" t="str">
        <f aca="false">IF(OR($A147="",G$8=""),"",IF($F147="Migré","ROKS",IF($F147="À décommissionner",IF(G$8&lt;$AS147,"IKS","Décom."),IF(OR($AQ147="",$AS147=""),"",IF(G$8&lt;$AQ147,"IKS",IF(G$8&lt;$AS147,IF(G$8=$AR147,"Bascule","Double run"),"ROKS"))))))</f>
        <v/>
      </c>
      <c r="H147" s="51" t="str">
        <f aca="false">IF(OR($A147="",H$8=""),"",IF($F147="Migré","ROKS",IF($F147="À décommissionner",IF(H$8&lt;$AS147,"IKS","Décom."),IF(OR($AQ147="",$AS147=""),"",IF(H$8&lt;$AQ147,"IKS",IF(H$8&lt;$AS147,IF(H$8=$AR147,"Bascule","Double run"),"ROKS"))))))</f>
        <v/>
      </c>
      <c r="I147" s="51" t="str">
        <f aca="false">IF(OR($A147="",I$8=""),"",IF($F147="Migré","ROKS",IF($F147="À décommissionner",IF(I$8&lt;$AS147,"IKS","Décom."),IF(OR($AQ147="",$AS147=""),"",IF(I$8&lt;$AQ147,"IKS",IF(I$8&lt;$AS147,IF(I$8=$AR147,"Bascule","Double run"),"ROKS"))))))</f>
        <v/>
      </c>
      <c r="J147" s="51" t="str">
        <f aca="false">IF(OR($A147="",J$8=""),"",IF($F147="Migré","ROKS",IF($F147="À décommissionner",IF(J$8&lt;$AS147,"IKS","Décom."),IF(OR($AQ147="",$AS147=""),"",IF(J$8&lt;$AQ147,"IKS",IF(J$8&lt;$AS147,IF(J$8=$AR147,"Bascule","Double run"),"ROKS"))))))</f>
        <v/>
      </c>
      <c r="K147" s="51" t="str">
        <f aca="false">IF(OR($A147="",K$8=""),"",IF($F147="Migré","ROKS",IF($F147="À décommissionner",IF(K$8&lt;$AS147,"IKS","Décom."),IF(OR($AQ147="",$AS147=""),"",IF(K$8&lt;$AQ147,"IKS",IF(K$8&lt;$AS147,IF(K$8=$AR147,"Bascule","Double run"),"ROKS"))))))</f>
        <v/>
      </c>
      <c r="L147" s="51" t="str">
        <f aca="false">IF(OR($A147="",L$8=""),"",IF($F147="Migré","ROKS",IF($F147="À décommissionner",IF(L$8&lt;$AS147,"IKS","Décom."),IF(OR($AQ147="",$AS147=""),"",IF(L$8&lt;$AQ147,"IKS",IF(L$8&lt;$AS147,IF(L$8=$AR147,"Bascule","Double run"),"ROKS"))))))</f>
        <v/>
      </c>
      <c r="M147" s="51" t="str">
        <f aca="false">IF(OR($A147="",M$8=""),"",IF($F147="Migré","ROKS",IF($F147="À décommissionner",IF(M$8&lt;$AS147,"IKS","Décom."),IF(OR($AQ147="",$AS147=""),"",IF(M$8&lt;$AQ147,"IKS",IF(M$8&lt;$AS147,IF(M$8=$AR147,"Bascule","Double run"),"ROKS"))))))</f>
        <v/>
      </c>
      <c r="N147" s="51" t="str">
        <f aca="false">IF(OR($A147="",N$8=""),"",IF($F147="Migré","ROKS",IF($F147="À décommissionner",IF(N$8&lt;$AS147,"IKS","Décom."),IF(OR($AQ147="",$AS147=""),"",IF(N$8&lt;$AQ147,"IKS",IF(N$8&lt;$AS147,IF(N$8=$AR147,"Bascule","Double run"),"ROKS"))))))</f>
        <v/>
      </c>
      <c r="O147" s="51" t="str">
        <f aca="false">IF(OR($A147="",O$8=""),"",IF($F147="Migré","ROKS",IF($F147="À décommissionner",IF(O$8&lt;$AS147,"IKS","Décom."),IF(OR($AQ147="",$AS147=""),"",IF(O$8&lt;$AQ147,"IKS",IF(O$8&lt;$AS147,IF(O$8=$AR147,"Bascule","Double run"),"ROKS"))))))</f>
        <v/>
      </c>
      <c r="P147" s="51" t="str">
        <f aca="false">IF(OR($A147="",P$8=""),"",IF($F147="Migré","ROKS",IF($F147="À décommissionner",IF(P$8&lt;$AS147,"IKS","Décom."),IF(OR($AQ147="",$AS147=""),"",IF(P$8&lt;$AQ147,"IKS",IF(P$8&lt;$AS147,IF(P$8=$AR147,"Bascule","Double run"),"ROKS"))))))</f>
        <v/>
      </c>
      <c r="Q147" s="51" t="str">
        <f aca="false">IF(OR($A147="",Q$8=""),"",IF($F147="Migré","ROKS",IF($F147="À décommissionner",IF(Q$8&lt;$AS147,"IKS","Décom."),IF(OR($AQ147="",$AS147=""),"",IF(Q$8&lt;$AQ147,"IKS",IF(Q$8&lt;$AS147,IF(Q$8=$AR147,"Bascule","Double run"),"ROKS"))))))</f>
        <v/>
      </c>
      <c r="R147" s="51" t="str">
        <f aca="false">IF(OR($A147="",R$8=""),"",IF($F147="Migré","ROKS",IF($F147="À décommissionner",IF(R$8&lt;$AS147,"IKS","Décom."),IF(OR($AQ147="",$AS147=""),"",IF(R$8&lt;$AQ147,"IKS",IF(R$8&lt;$AS147,IF(R$8=$AR147,"Bascule","Double run"),"ROKS"))))))</f>
        <v/>
      </c>
      <c r="S147" s="51" t="str">
        <f aca="false">IF(OR($A147="",S$8=""),"",IF($F147="Migré","ROKS",IF($F147="À décommissionner",IF(S$8&lt;$AS147,"IKS","Décom."),IF(OR($AQ147="",$AS147=""),"",IF(S$8&lt;$AQ147,"IKS",IF(S$8&lt;$AS147,IF(S$8=$AR147,"Bascule","Double run"),"ROKS"))))))</f>
        <v/>
      </c>
      <c r="T147" s="51" t="str">
        <f aca="false">IF(OR($A147="",T$8=""),"",IF($F147="Migré","ROKS",IF($F147="À décommissionner",IF(T$8&lt;$AS147,"IKS","Décom."),IF(OR($AQ147="",$AS147=""),"",IF(T$8&lt;$AQ147,"IKS",IF(T$8&lt;$AS147,IF(T$8=$AR147,"Bascule","Double run"),"ROKS"))))))</f>
        <v/>
      </c>
      <c r="U147" s="51" t="str">
        <f aca="false">IF(OR($A147="",U$8=""),"",IF($F147="Migré","ROKS",IF($F147="À décommissionner",IF(U$8&lt;$AS147,"IKS","Décom."),IF(OR($AQ147="",$AS147=""),"",IF(U$8&lt;$AQ147,"IKS",IF(U$8&lt;$AS147,IF(U$8=$AR147,"Bascule","Double run"),"ROKS"))))))</f>
        <v/>
      </c>
      <c r="V147" s="51" t="str">
        <f aca="false">IF(OR($A147="",V$8=""),"",IF($F147="Migré","ROKS",IF($F147="À décommissionner",IF(V$8&lt;$AS147,"IKS","Décom."),IF(OR($AQ147="",$AS147=""),"",IF(V$8&lt;$AQ147,"IKS",IF(V$8&lt;$AS147,IF(V$8=$AR147,"Bascule","Double run"),"ROKS"))))))</f>
        <v/>
      </c>
      <c r="W147" s="51" t="str">
        <f aca="false">IF(OR($A147="",W$8=""),"",IF($F147="Migré","ROKS",IF($F147="À décommissionner",IF(W$8&lt;$AS147,"IKS","Décom."),IF(OR($AQ147="",$AS147=""),"",IF(W$8&lt;$AQ147,"IKS",IF(W$8&lt;$AS147,IF(W$8=$AR147,"Bascule","Double run"),"ROKS"))))))</f>
        <v/>
      </c>
      <c r="X147" s="51" t="str">
        <f aca="false">IF(OR($A147="",X$8=""),"",IF($F147="Migré","ROKS",IF($F147="À décommissionner",IF(X$8&lt;$AS147,"IKS","Décom."),IF(OR($AQ147="",$AS147=""),"",IF(X$8&lt;$AQ147,"IKS",IF(X$8&lt;$AS147,IF(X$8=$AR147,"Bascule","Double run"),"ROKS"))))))</f>
        <v/>
      </c>
      <c r="Y147" s="51" t="str">
        <f aca="false">IF(OR($A147="",Y$8=""),"",IF($F147="Migré","ROKS",IF($F147="À décommissionner",IF(Y$8&lt;$AS147,"IKS","Décom."),IF(OR($AQ147="",$AS147=""),"",IF(Y$8&lt;$AQ147,"IKS",IF(Y$8&lt;$AS147,IF(Y$8=$AR147,"Bascule","Double run"),"ROKS"))))))</f>
        <v/>
      </c>
      <c r="Z147" s="51" t="str">
        <f aca="false">IF(OR($A147="",Z$8=""),"",IF($F147="Migré","ROKS",IF($F147="À décommissionner",IF(Z$8&lt;$AS147,"IKS","Décom."),IF(OR($AQ147="",$AS147=""),"",IF(Z$8&lt;$AQ147,"IKS",IF(Z$8&lt;$AS147,IF(Z$8=$AR147,"Bascule","Double run"),"ROKS"))))))</f>
        <v/>
      </c>
      <c r="AA147" s="51" t="str">
        <f aca="false">IF(OR($A147="",AA$8=""),"",IF($F147="Migré","ROKS",IF($F147="À décommissionner",IF(AA$8&lt;$AS147,"IKS","Décom."),IF(OR($AQ147="",$AS147=""),"",IF(AA$8&lt;$AQ147,"IKS",IF(AA$8&lt;$AS147,IF(AA$8=$AR147,"Bascule","Double run"),"ROKS"))))))</f>
        <v/>
      </c>
      <c r="AB147" s="51" t="str">
        <f aca="false">IF(OR($A147="",AB$8=""),"",IF($F147="Migré","ROKS",IF($F147="À décommissionner",IF(AB$8&lt;$AS147,"IKS","Décom."),IF(OR($AQ147="",$AS147=""),"",IF(AB$8&lt;$AQ147,"IKS",IF(AB$8&lt;$AS147,IF(AB$8=$AR147,"Bascule","Double run"),"ROKS"))))))</f>
        <v/>
      </c>
      <c r="AC147" s="51" t="str">
        <f aca="false">IF(OR($A147="",AC$8=""),"",IF($F147="Migré","ROKS",IF($F147="À décommissionner",IF(AC$8&lt;$AS147,"IKS","Décom."),IF(OR($AQ147="",$AS147=""),"",IF(AC$8&lt;$AQ147,"IKS",IF(AC$8&lt;$AS147,IF(AC$8=$AR147,"Bascule","Double run"),"ROKS"))))))</f>
        <v/>
      </c>
      <c r="AD147" s="51" t="str">
        <f aca="false">IF(OR($A147="",AD$8=""),"",IF($F147="Migré","ROKS",IF($F147="À décommissionner",IF(AD$8&lt;$AS147,"IKS","Décom."),IF(OR($AQ147="",$AS147=""),"",IF(AD$8&lt;$AQ147,"IKS",IF(AD$8&lt;$AS147,IF(AD$8=$AR147,"Bascule","Double run"),"ROKS"))))))</f>
        <v/>
      </c>
      <c r="AE147" s="51" t="str">
        <f aca="false">IF(OR($A147="",AE$8=""),"",IF($F147="Migré","ROKS",IF($F147="À décommissionner",IF(AE$8&lt;$AS147,"IKS","Décom."),IF(OR($AQ147="",$AS147=""),"",IF(AE$8&lt;$AQ147,"IKS",IF(AE$8&lt;$AS147,IF(AE$8=$AR147,"Bascule","Double run"),"ROKS"))))))</f>
        <v/>
      </c>
      <c r="AF147" s="51" t="str">
        <f aca="false">IF(OR($A147="",AF$8=""),"",IF($F147="Migré","ROKS",IF($F147="À décommissionner",IF(AF$8&lt;$AS147,"IKS","Décom."),IF(OR($AQ147="",$AS147=""),"",IF(AF$8&lt;$AQ147,"IKS",IF(AF$8&lt;$AS147,IF(AF$8=$AR147,"Bascule","Double run"),"ROKS"))))))</f>
        <v/>
      </c>
      <c r="AG147" s="51" t="str">
        <f aca="false">IF(OR($A147="",AG$8=""),"",IF($F147="Migré","ROKS",IF($F147="À décommissionner",IF(AG$8&lt;$AS147,"IKS","Décom."),IF(OR($AQ147="",$AS147=""),"",IF(AG$8&lt;$AQ147,"IKS",IF(AG$8&lt;$AS147,IF(AG$8=$AR147,"Bascule","Double run"),"ROKS"))))))</f>
        <v/>
      </c>
      <c r="AH147" s="51" t="str">
        <f aca="false">IF(OR($A147="",AH$8=""),"",IF($F147="Migré","ROKS",IF($F147="À décommissionner",IF(AH$8&lt;$AS147,"IKS","Décom."),IF(OR($AQ147="",$AS147=""),"",IF(AH$8&lt;$AQ147,"IKS",IF(AH$8&lt;$AS147,IF(AH$8=$AR147,"Bascule","Double run"),"ROKS"))))))</f>
        <v/>
      </c>
      <c r="AI147" s="51" t="str">
        <f aca="false">IF(OR($A147="",AI$8=""),"",IF($F147="Migré","ROKS",IF($F147="À décommissionner",IF(AI$8&lt;$AS147,"IKS","Décom."),IF(OR($AQ147="",$AS147=""),"",IF(AI$8&lt;$AQ147,"IKS",IF(AI$8&lt;$AS147,IF(AI$8=$AR147,"Bascule","Double run"),"ROKS"))))))</f>
        <v/>
      </c>
      <c r="AJ147" s="51" t="str">
        <f aca="false">IF(OR($A147="",AJ$8=""),"",IF($F147="Migré","ROKS",IF($F147="À décommissionner",IF(AJ$8&lt;$AS147,"IKS","Décom."),IF(OR($AQ147="",$AS147=""),"",IF(AJ$8&lt;$AQ147,"IKS",IF(AJ$8&lt;$AS147,IF(AJ$8=$AR147,"Bascule","Double run"),"ROKS"))))))</f>
        <v/>
      </c>
      <c r="AK147" s="51" t="str">
        <f aca="false">IF(OR($A147="",AK$8=""),"",IF($F147="Migré","ROKS",IF($F147="À décommissionner",IF(AK$8&lt;$AS147,"IKS","Décom."),IF(OR($AQ147="",$AS147=""),"",IF(AK$8&lt;$AQ147,"IKS",IF(AK$8&lt;$AS147,IF(AK$8=$AR147,"Bascule","Double run"),"ROKS"))))))</f>
        <v/>
      </c>
      <c r="AL147" s="51" t="str">
        <f aca="false">IF(OR($A147="",AL$8=""),"",IF($F147="Migré","ROKS",IF($F147="À décommissionner",IF(AL$8&lt;$AS147,"IKS","Décom."),IF(OR($AQ147="",$AS147=""),"",IF(AL$8&lt;$AQ147,"IKS",IF(AL$8&lt;$AS147,IF(AL$8=$AR147,"Bascule","Double run"),"ROKS"))))))</f>
        <v/>
      </c>
      <c r="AM147" s="51" t="str">
        <f aca="false">IF(OR($A147="",AM$8=""),"",IF($F147="Migré","ROKS",IF($F147="À décommissionner",IF(AM$8&lt;$AS147,"IKS","Décom."),IF(OR($AQ147="",$AS147=""),"",IF(AM$8&lt;$AQ147,"IKS",IF(AM$8&lt;$AS147,IF(AM$8=$AR147,"Bascule","Double run"),"ROKS"))))))</f>
        <v/>
      </c>
      <c r="AN147" s="51" t="str">
        <f aca="false">IF(OR($A147="",AN$8=""),"",IF($F147="Migré","ROKS",IF($F147="À décommissionner",IF(AN$8&lt;$AS147,"IKS","Décom."),IF(OR($AQ147="",$AS147=""),"",IF(AN$8&lt;$AQ147,"IKS",IF(AN$8&lt;$AS147,IF(AN$8=$AR147,"Bascule","Double run"),"ROKS"))))))</f>
        <v/>
      </c>
      <c r="AO147" s="51" t="str">
        <f aca="false">IF(OR($A147="",AO$8=""),"",IF($F147="Migré","ROKS",IF($F147="À décommissionner",IF(AO$8&lt;$AS147,"IKS","Décom."),IF(OR($AQ147="",$AS147=""),"",IF(AO$8&lt;$AQ147,"IKS",IF(AO$8&lt;$AS147,IF(AO$8=$AR147,"Bascule","Double run"),"ROKS"))))))</f>
        <v/>
      </c>
      <c r="AP147" s="51" t="str">
        <f aca="false">IF(OR($A147="",AP$8=""),"",IF($F147="Migré","ROKS",IF($F147="À décommissionner",IF(AP$8&lt;$AS147,"IKS","Décom."),IF(OR($AQ147="",$AS147=""),"",IF(AP$8&lt;$AQ147,"IKS",IF(AP$8&lt;$AS147,IF(AP$8=$AR147,"Bascule","Double run"),"ROKS"))))))</f>
        <v/>
      </c>
      <c r="AQ147" s="0" t="str">
        <f aca="false">IF($A147="","",INDEX(TblApplications[Mois prov (calc)],$A147))</f>
        <v/>
      </c>
      <c r="AR147" s="0" t="str">
        <f aca="false">IF($A147="","",IFERROR(DATE(YEAR(INDEX(TblApplications[Mois bascule],$A147)),MONTH(INDEX(TblApplications[Mois bascule],$A147)),1),""))</f>
        <v/>
      </c>
      <c r="AS147" s="0" t="str">
        <f aca="false">IF($A147="","",INDEX(TblApplications[Mois lib (calc)],$A147))</f>
        <v/>
      </c>
    </row>
    <row r="148" customFormat="false" ht="15" hidden="false" customHeight="false" outlineLevel="0" collapsed="false">
      <c r="A148" s="49" t="str">
        <f aca="false">IFERROR(MATCH(140,TblApplications[Rang frise],0),"")</f>
        <v/>
      </c>
      <c r="B148" s="50" t="str">
        <f aca="false">IF($A148="","",INDEX(TblApplications[ID],$A148))</f>
        <v/>
      </c>
      <c r="C148" s="50" t="str">
        <f aca="false">IF($A148="","",INDEX(TblApplications[Application],$A148))</f>
        <v/>
      </c>
      <c r="D148" s="50" t="str">
        <f aca="false">IF($A148="","",INDEX(TblApplications[Environnement],$A148))</f>
        <v/>
      </c>
      <c r="E148" s="50" t="str">
        <f aca="false">IF($A148="","",INDEX(TblApplications[Couloir],$A148))</f>
        <v/>
      </c>
      <c r="F148" s="50" t="str">
        <f aca="false">IF($A148="","",INDEX(TblApplications[Action],$A148))</f>
        <v/>
      </c>
      <c r="G148" s="51" t="str">
        <f aca="false">IF(OR($A148="",G$8=""),"",IF($F148="Migré","ROKS",IF($F148="À décommissionner",IF(G$8&lt;$AS148,"IKS","Décom."),IF(OR($AQ148="",$AS148=""),"",IF(G$8&lt;$AQ148,"IKS",IF(G$8&lt;$AS148,IF(G$8=$AR148,"Bascule","Double run"),"ROKS"))))))</f>
        <v/>
      </c>
      <c r="H148" s="51" t="str">
        <f aca="false">IF(OR($A148="",H$8=""),"",IF($F148="Migré","ROKS",IF($F148="À décommissionner",IF(H$8&lt;$AS148,"IKS","Décom."),IF(OR($AQ148="",$AS148=""),"",IF(H$8&lt;$AQ148,"IKS",IF(H$8&lt;$AS148,IF(H$8=$AR148,"Bascule","Double run"),"ROKS"))))))</f>
        <v/>
      </c>
      <c r="I148" s="51" t="str">
        <f aca="false">IF(OR($A148="",I$8=""),"",IF($F148="Migré","ROKS",IF($F148="À décommissionner",IF(I$8&lt;$AS148,"IKS","Décom."),IF(OR($AQ148="",$AS148=""),"",IF(I$8&lt;$AQ148,"IKS",IF(I$8&lt;$AS148,IF(I$8=$AR148,"Bascule","Double run"),"ROKS"))))))</f>
        <v/>
      </c>
      <c r="J148" s="51" t="str">
        <f aca="false">IF(OR($A148="",J$8=""),"",IF($F148="Migré","ROKS",IF($F148="À décommissionner",IF(J$8&lt;$AS148,"IKS","Décom."),IF(OR($AQ148="",$AS148=""),"",IF(J$8&lt;$AQ148,"IKS",IF(J$8&lt;$AS148,IF(J$8=$AR148,"Bascule","Double run"),"ROKS"))))))</f>
        <v/>
      </c>
      <c r="K148" s="51" t="str">
        <f aca="false">IF(OR($A148="",K$8=""),"",IF($F148="Migré","ROKS",IF($F148="À décommissionner",IF(K$8&lt;$AS148,"IKS","Décom."),IF(OR($AQ148="",$AS148=""),"",IF(K$8&lt;$AQ148,"IKS",IF(K$8&lt;$AS148,IF(K$8=$AR148,"Bascule","Double run"),"ROKS"))))))</f>
        <v/>
      </c>
      <c r="L148" s="51" t="str">
        <f aca="false">IF(OR($A148="",L$8=""),"",IF($F148="Migré","ROKS",IF($F148="À décommissionner",IF(L$8&lt;$AS148,"IKS","Décom."),IF(OR($AQ148="",$AS148=""),"",IF(L$8&lt;$AQ148,"IKS",IF(L$8&lt;$AS148,IF(L$8=$AR148,"Bascule","Double run"),"ROKS"))))))</f>
        <v/>
      </c>
      <c r="M148" s="51" t="str">
        <f aca="false">IF(OR($A148="",M$8=""),"",IF($F148="Migré","ROKS",IF($F148="À décommissionner",IF(M$8&lt;$AS148,"IKS","Décom."),IF(OR($AQ148="",$AS148=""),"",IF(M$8&lt;$AQ148,"IKS",IF(M$8&lt;$AS148,IF(M$8=$AR148,"Bascule","Double run"),"ROKS"))))))</f>
        <v/>
      </c>
      <c r="N148" s="51" t="str">
        <f aca="false">IF(OR($A148="",N$8=""),"",IF($F148="Migré","ROKS",IF($F148="À décommissionner",IF(N$8&lt;$AS148,"IKS","Décom."),IF(OR($AQ148="",$AS148=""),"",IF(N$8&lt;$AQ148,"IKS",IF(N$8&lt;$AS148,IF(N$8=$AR148,"Bascule","Double run"),"ROKS"))))))</f>
        <v/>
      </c>
      <c r="O148" s="51" t="str">
        <f aca="false">IF(OR($A148="",O$8=""),"",IF($F148="Migré","ROKS",IF($F148="À décommissionner",IF(O$8&lt;$AS148,"IKS","Décom."),IF(OR($AQ148="",$AS148=""),"",IF(O$8&lt;$AQ148,"IKS",IF(O$8&lt;$AS148,IF(O$8=$AR148,"Bascule","Double run"),"ROKS"))))))</f>
        <v/>
      </c>
      <c r="P148" s="51" t="str">
        <f aca="false">IF(OR($A148="",P$8=""),"",IF($F148="Migré","ROKS",IF($F148="À décommissionner",IF(P$8&lt;$AS148,"IKS","Décom."),IF(OR($AQ148="",$AS148=""),"",IF(P$8&lt;$AQ148,"IKS",IF(P$8&lt;$AS148,IF(P$8=$AR148,"Bascule","Double run"),"ROKS"))))))</f>
        <v/>
      </c>
      <c r="Q148" s="51" t="str">
        <f aca="false">IF(OR($A148="",Q$8=""),"",IF($F148="Migré","ROKS",IF($F148="À décommissionner",IF(Q$8&lt;$AS148,"IKS","Décom."),IF(OR($AQ148="",$AS148=""),"",IF(Q$8&lt;$AQ148,"IKS",IF(Q$8&lt;$AS148,IF(Q$8=$AR148,"Bascule","Double run"),"ROKS"))))))</f>
        <v/>
      </c>
      <c r="R148" s="51" t="str">
        <f aca="false">IF(OR($A148="",R$8=""),"",IF($F148="Migré","ROKS",IF($F148="À décommissionner",IF(R$8&lt;$AS148,"IKS","Décom."),IF(OR($AQ148="",$AS148=""),"",IF(R$8&lt;$AQ148,"IKS",IF(R$8&lt;$AS148,IF(R$8=$AR148,"Bascule","Double run"),"ROKS"))))))</f>
        <v/>
      </c>
      <c r="S148" s="51" t="str">
        <f aca="false">IF(OR($A148="",S$8=""),"",IF($F148="Migré","ROKS",IF($F148="À décommissionner",IF(S$8&lt;$AS148,"IKS","Décom."),IF(OR($AQ148="",$AS148=""),"",IF(S$8&lt;$AQ148,"IKS",IF(S$8&lt;$AS148,IF(S$8=$AR148,"Bascule","Double run"),"ROKS"))))))</f>
        <v/>
      </c>
      <c r="T148" s="51" t="str">
        <f aca="false">IF(OR($A148="",T$8=""),"",IF($F148="Migré","ROKS",IF($F148="À décommissionner",IF(T$8&lt;$AS148,"IKS","Décom."),IF(OR($AQ148="",$AS148=""),"",IF(T$8&lt;$AQ148,"IKS",IF(T$8&lt;$AS148,IF(T$8=$AR148,"Bascule","Double run"),"ROKS"))))))</f>
        <v/>
      </c>
      <c r="U148" s="51" t="str">
        <f aca="false">IF(OR($A148="",U$8=""),"",IF($F148="Migré","ROKS",IF($F148="À décommissionner",IF(U$8&lt;$AS148,"IKS","Décom."),IF(OR($AQ148="",$AS148=""),"",IF(U$8&lt;$AQ148,"IKS",IF(U$8&lt;$AS148,IF(U$8=$AR148,"Bascule","Double run"),"ROKS"))))))</f>
        <v/>
      </c>
      <c r="V148" s="51" t="str">
        <f aca="false">IF(OR($A148="",V$8=""),"",IF($F148="Migré","ROKS",IF($F148="À décommissionner",IF(V$8&lt;$AS148,"IKS","Décom."),IF(OR($AQ148="",$AS148=""),"",IF(V$8&lt;$AQ148,"IKS",IF(V$8&lt;$AS148,IF(V$8=$AR148,"Bascule","Double run"),"ROKS"))))))</f>
        <v/>
      </c>
      <c r="W148" s="51" t="str">
        <f aca="false">IF(OR($A148="",W$8=""),"",IF($F148="Migré","ROKS",IF($F148="À décommissionner",IF(W$8&lt;$AS148,"IKS","Décom."),IF(OR($AQ148="",$AS148=""),"",IF(W$8&lt;$AQ148,"IKS",IF(W$8&lt;$AS148,IF(W$8=$AR148,"Bascule","Double run"),"ROKS"))))))</f>
        <v/>
      </c>
      <c r="X148" s="51" t="str">
        <f aca="false">IF(OR($A148="",X$8=""),"",IF($F148="Migré","ROKS",IF($F148="À décommissionner",IF(X$8&lt;$AS148,"IKS","Décom."),IF(OR($AQ148="",$AS148=""),"",IF(X$8&lt;$AQ148,"IKS",IF(X$8&lt;$AS148,IF(X$8=$AR148,"Bascule","Double run"),"ROKS"))))))</f>
        <v/>
      </c>
      <c r="Y148" s="51" t="str">
        <f aca="false">IF(OR($A148="",Y$8=""),"",IF($F148="Migré","ROKS",IF($F148="À décommissionner",IF(Y$8&lt;$AS148,"IKS","Décom."),IF(OR($AQ148="",$AS148=""),"",IF(Y$8&lt;$AQ148,"IKS",IF(Y$8&lt;$AS148,IF(Y$8=$AR148,"Bascule","Double run"),"ROKS"))))))</f>
        <v/>
      </c>
      <c r="Z148" s="51" t="str">
        <f aca="false">IF(OR($A148="",Z$8=""),"",IF($F148="Migré","ROKS",IF($F148="À décommissionner",IF(Z$8&lt;$AS148,"IKS","Décom."),IF(OR($AQ148="",$AS148=""),"",IF(Z$8&lt;$AQ148,"IKS",IF(Z$8&lt;$AS148,IF(Z$8=$AR148,"Bascule","Double run"),"ROKS"))))))</f>
        <v/>
      </c>
      <c r="AA148" s="51" t="str">
        <f aca="false">IF(OR($A148="",AA$8=""),"",IF($F148="Migré","ROKS",IF($F148="À décommissionner",IF(AA$8&lt;$AS148,"IKS","Décom."),IF(OR($AQ148="",$AS148=""),"",IF(AA$8&lt;$AQ148,"IKS",IF(AA$8&lt;$AS148,IF(AA$8=$AR148,"Bascule","Double run"),"ROKS"))))))</f>
        <v/>
      </c>
      <c r="AB148" s="51" t="str">
        <f aca="false">IF(OR($A148="",AB$8=""),"",IF($F148="Migré","ROKS",IF($F148="À décommissionner",IF(AB$8&lt;$AS148,"IKS","Décom."),IF(OR($AQ148="",$AS148=""),"",IF(AB$8&lt;$AQ148,"IKS",IF(AB$8&lt;$AS148,IF(AB$8=$AR148,"Bascule","Double run"),"ROKS"))))))</f>
        <v/>
      </c>
      <c r="AC148" s="51" t="str">
        <f aca="false">IF(OR($A148="",AC$8=""),"",IF($F148="Migré","ROKS",IF($F148="À décommissionner",IF(AC$8&lt;$AS148,"IKS","Décom."),IF(OR($AQ148="",$AS148=""),"",IF(AC$8&lt;$AQ148,"IKS",IF(AC$8&lt;$AS148,IF(AC$8=$AR148,"Bascule","Double run"),"ROKS"))))))</f>
        <v/>
      </c>
      <c r="AD148" s="51" t="str">
        <f aca="false">IF(OR($A148="",AD$8=""),"",IF($F148="Migré","ROKS",IF($F148="À décommissionner",IF(AD$8&lt;$AS148,"IKS","Décom."),IF(OR($AQ148="",$AS148=""),"",IF(AD$8&lt;$AQ148,"IKS",IF(AD$8&lt;$AS148,IF(AD$8=$AR148,"Bascule","Double run"),"ROKS"))))))</f>
        <v/>
      </c>
      <c r="AE148" s="51" t="str">
        <f aca="false">IF(OR($A148="",AE$8=""),"",IF($F148="Migré","ROKS",IF($F148="À décommissionner",IF(AE$8&lt;$AS148,"IKS","Décom."),IF(OR($AQ148="",$AS148=""),"",IF(AE$8&lt;$AQ148,"IKS",IF(AE$8&lt;$AS148,IF(AE$8=$AR148,"Bascule","Double run"),"ROKS"))))))</f>
        <v/>
      </c>
      <c r="AF148" s="51" t="str">
        <f aca="false">IF(OR($A148="",AF$8=""),"",IF($F148="Migré","ROKS",IF($F148="À décommissionner",IF(AF$8&lt;$AS148,"IKS","Décom."),IF(OR($AQ148="",$AS148=""),"",IF(AF$8&lt;$AQ148,"IKS",IF(AF$8&lt;$AS148,IF(AF$8=$AR148,"Bascule","Double run"),"ROKS"))))))</f>
        <v/>
      </c>
      <c r="AG148" s="51" t="str">
        <f aca="false">IF(OR($A148="",AG$8=""),"",IF($F148="Migré","ROKS",IF($F148="À décommissionner",IF(AG$8&lt;$AS148,"IKS","Décom."),IF(OR($AQ148="",$AS148=""),"",IF(AG$8&lt;$AQ148,"IKS",IF(AG$8&lt;$AS148,IF(AG$8=$AR148,"Bascule","Double run"),"ROKS"))))))</f>
        <v/>
      </c>
      <c r="AH148" s="51" t="str">
        <f aca="false">IF(OR($A148="",AH$8=""),"",IF($F148="Migré","ROKS",IF($F148="À décommissionner",IF(AH$8&lt;$AS148,"IKS","Décom."),IF(OR($AQ148="",$AS148=""),"",IF(AH$8&lt;$AQ148,"IKS",IF(AH$8&lt;$AS148,IF(AH$8=$AR148,"Bascule","Double run"),"ROKS"))))))</f>
        <v/>
      </c>
      <c r="AI148" s="51" t="str">
        <f aca="false">IF(OR($A148="",AI$8=""),"",IF($F148="Migré","ROKS",IF($F148="À décommissionner",IF(AI$8&lt;$AS148,"IKS","Décom."),IF(OR($AQ148="",$AS148=""),"",IF(AI$8&lt;$AQ148,"IKS",IF(AI$8&lt;$AS148,IF(AI$8=$AR148,"Bascule","Double run"),"ROKS"))))))</f>
        <v/>
      </c>
      <c r="AJ148" s="51" t="str">
        <f aca="false">IF(OR($A148="",AJ$8=""),"",IF($F148="Migré","ROKS",IF($F148="À décommissionner",IF(AJ$8&lt;$AS148,"IKS","Décom."),IF(OR($AQ148="",$AS148=""),"",IF(AJ$8&lt;$AQ148,"IKS",IF(AJ$8&lt;$AS148,IF(AJ$8=$AR148,"Bascule","Double run"),"ROKS"))))))</f>
        <v/>
      </c>
      <c r="AK148" s="51" t="str">
        <f aca="false">IF(OR($A148="",AK$8=""),"",IF($F148="Migré","ROKS",IF($F148="À décommissionner",IF(AK$8&lt;$AS148,"IKS","Décom."),IF(OR($AQ148="",$AS148=""),"",IF(AK$8&lt;$AQ148,"IKS",IF(AK$8&lt;$AS148,IF(AK$8=$AR148,"Bascule","Double run"),"ROKS"))))))</f>
        <v/>
      </c>
      <c r="AL148" s="51" t="str">
        <f aca="false">IF(OR($A148="",AL$8=""),"",IF($F148="Migré","ROKS",IF($F148="À décommissionner",IF(AL$8&lt;$AS148,"IKS","Décom."),IF(OR($AQ148="",$AS148=""),"",IF(AL$8&lt;$AQ148,"IKS",IF(AL$8&lt;$AS148,IF(AL$8=$AR148,"Bascule","Double run"),"ROKS"))))))</f>
        <v/>
      </c>
      <c r="AM148" s="51" t="str">
        <f aca="false">IF(OR($A148="",AM$8=""),"",IF($F148="Migré","ROKS",IF($F148="À décommissionner",IF(AM$8&lt;$AS148,"IKS","Décom."),IF(OR($AQ148="",$AS148=""),"",IF(AM$8&lt;$AQ148,"IKS",IF(AM$8&lt;$AS148,IF(AM$8=$AR148,"Bascule","Double run"),"ROKS"))))))</f>
        <v/>
      </c>
      <c r="AN148" s="51" t="str">
        <f aca="false">IF(OR($A148="",AN$8=""),"",IF($F148="Migré","ROKS",IF($F148="À décommissionner",IF(AN$8&lt;$AS148,"IKS","Décom."),IF(OR($AQ148="",$AS148=""),"",IF(AN$8&lt;$AQ148,"IKS",IF(AN$8&lt;$AS148,IF(AN$8=$AR148,"Bascule","Double run"),"ROKS"))))))</f>
        <v/>
      </c>
      <c r="AO148" s="51" t="str">
        <f aca="false">IF(OR($A148="",AO$8=""),"",IF($F148="Migré","ROKS",IF($F148="À décommissionner",IF(AO$8&lt;$AS148,"IKS","Décom."),IF(OR($AQ148="",$AS148=""),"",IF(AO$8&lt;$AQ148,"IKS",IF(AO$8&lt;$AS148,IF(AO$8=$AR148,"Bascule","Double run"),"ROKS"))))))</f>
        <v/>
      </c>
      <c r="AP148" s="51" t="str">
        <f aca="false">IF(OR($A148="",AP$8=""),"",IF($F148="Migré","ROKS",IF($F148="À décommissionner",IF(AP$8&lt;$AS148,"IKS","Décom."),IF(OR($AQ148="",$AS148=""),"",IF(AP$8&lt;$AQ148,"IKS",IF(AP$8&lt;$AS148,IF(AP$8=$AR148,"Bascule","Double run"),"ROKS"))))))</f>
        <v/>
      </c>
      <c r="AQ148" s="0" t="str">
        <f aca="false">IF($A148="","",INDEX(TblApplications[Mois prov (calc)],$A148))</f>
        <v/>
      </c>
      <c r="AR148" s="0" t="str">
        <f aca="false">IF($A148="","",IFERROR(DATE(YEAR(INDEX(TblApplications[Mois bascule],$A148)),MONTH(INDEX(TblApplications[Mois bascule],$A148)),1),""))</f>
        <v/>
      </c>
      <c r="AS148" s="0" t="str">
        <f aca="false">IF($A148="","",INDEX(TblApplications[Mois lib (calc)],$A148))</f>
        <v/>
      </c>
    </row>
    <row r="149" customFormat="false" ht="15" hidden="false" customHeight="false" outlineLevel="0" collapsed="false">
      <c r="A149" s="49" t="str">
        <f aca="false">IFERROR(MATCH(141,TblApplications[Rang frise],0),"")</f>
        <v/>
      </c>
      <c r="B149" s="50" t="str">
        <f aca="false">IF($A149="","",INDEX(TblApplications[ID],$A149))</f>
        <v/>
      </c>
      <c r="C149" s="50" t="str">
        <f aca="false">IF($A149="","",INDEX(TblApplications[Application],$A149))</f>
        <v/>
      </c>
      <c r="D149" s="50" t="str">
        <f aca="false">IF($A149="","",INDEX(TblApplications[Environnement],$A149))</f>
        <v/>
      </c>
      <c r="E149" s="50" t="str">
        <f aca="false">IF($A149="","",INDEX(TblApplications[Couloir],$A149))</f>
        <v/>
      </c>
      <c r="F149" s="50" t="str">
        <f aca="false">IF($A149="","",INDEX(TblApplications[Action],$A149))</f>
        <v/>
      </c>
      <c r="G149" s="51" t="str">
        <f aca="false">IF(OR($A149="",G$8=""),"",IF($F149="Migré","ROKS",IF($F149="À décommissionner",IF(G$8&lt;$AS149,"IKS","Décom."),IF(OR($AQ149="",$AS149=""),"",IF(G$8&lt;$AQ149,"IKS",IF(G$8&lt;$AS149,IF(G$8=$AR149,"Bascule","Double run"),"ROKS"))))))</f>
        <v/>
      </c>
      <c r="H149" s="51" t="str">
        <f aca="false">IF(OR($A149="",H$8=""),"",IF($F149="Migré","ROKS",IF($F149="À décommissionner",IF(H$8&lt;$AS149,"IKS","Décom."),IF(OR($AQ149="",$AS149=""),"",IF(H$8&lt;$AQ149,"IKS",IF(H$8&lt;$AS149,IF(H$8=$AR149,"Bascule","Double run"),"ROKS"))))))</f>
        <v/>
      </c>
      <c r="I149" s="51" t="str">
        <f aca="false">IF(OR($A149="",I$8=""),"",IF($F149="Migré","ROKS",IF($F149="À décommissionner",IF(I$8&lt;$AS149,"IKS","Décom."),IF(OR($AQ149="",$AS149=""),"",IF(I$8&lt;$AQ149,"IKS",IF(I$8&lt;$AS149,IF(I$8=$AR149,"Bascule","Double run"),"ROKS"))))))</f>
        <v/>
      </c>
      <c r="J149" s="51" t="str">
        <f aca="false">IF(OR($A149="",J$8=""),"",IF($F149="Migré","ROKS",IF($F149="À décommissionner",IF(J$8&lt;$AS149,"IKS","Décom."),IF(OR($AQ149="",$AS149=""),"",IF(J$8&lt;$AQ149,"IKS",IF(J$8&lt;$AS149,IF(J$8=$AR149,"Bascule","Double run"),"ROKS"))))))</f>
        <v/>
      </c>
      <c r="K149" s="51" t="str">
        <f aca="false">IF(OR($A149="",K$8=""),"",IF($F149="Migré","ROKS",IF($F149="À décommissionner",IF(K$8&lt;$AS149,"IKS","Décom."),IF(OR($AQ149="",$AS149=""),"",IF(K$8&lt;$AQ149,"IKS",IF(K$8&lt;$AS149,IF(K$8=$AR149,"Bascule","Double run"),"ROKS"))))))</f>
        <v/>
      </c>
      <c r="L149" s="51" t="str">
        <f aca="false">IF(OR($A149="",L$8=""),"",IF($F149="Migré","ROKS",IF($F149="À décommissionner",IF(L$8&lt;$AS149,"IKS","Décom."),IF(OR($AQ149="",$AS149=""),"",IF(L$8&lt;$AQ149,"IKS",IF(L$8&lt;$AS149,IF(L$8=$AR149,"Bascule","Double run"),"ROKS"))))))</f>
        <v/>
      </c>
      <c r="M149" s="51" t="str">
        <f aca="false">IF(OR($A149="",M$8=""),"",IF($F149="Migré","ROKS",IF($F149="À décommissionner",IF(M$8&lt;$AS149,"IKS","Décom."),IF(OR($AQ149="",$AS149=""),"",IF(M$8&lt;$AQ149,"IKS",IF(M$8&lt;$AS149,IF(M$8=$AR149,"Bascule","Double run"),"ROKS"))))))</f>
        <v/>
      </c>
      <c r="N149" s="51" t="str">
        <f aca="false">IF(OR($A149="",N$8=""),"",IF($F149="Migré","ROKS",IF($F149="À décommissionner",IF(N$8&lt;$AS149,"IKS","Décom."),IF(OR($AQ149="",$AS149=""),"",IF(N$8&lt;$AQ149,"IKS",IF(N$8&lt;$AS149,IF(N$8=$AR149,"Bascule","Double run"),"ROKS"))))))</f>
        <v/>
      </c>
      <c r="O149" s="51" t="str">
        <f aca="false">IF(OR($A149="",O$8=""),"",IF($F149="Migré","ROKS",IF($F149="À décommissionner",IF(O$8&lt;$AS149,"IKS","Décom."),IF(OR($AQ149="",$AS149=""),"",IF(O$8&lt;$AQ149,"IKS",IF(O$8&lt;$AS149,IF(O$8=$AR149,"Bascule","Double run"),"ROKS"))))))</f>
        <v/>
      </c>
      <c r="P149" s="51" t="str">
        <f aca="false">IF(OR($A149="",P$8=""),"",IF($F149="Migré","ROKS",IF($F149="À décommissionner",IF(P$8&lt;$AS149,"IKS","Décom."),IF(OR($AQ149="",$AS149=""),"",IF(P$8&lt;$AQ149,"IKS",IF(P$8&lt;$AS149,IF(P$8=$AR149,"Bascule","Double run"),"ROKS"))))))</f>
        <v/>
      </c>
      <c r="Q149" s="51" t="str">
        <f aca="false">IF(OR($A149="",Q$8=""),"",IF($F149="Migré","ROKS",IF($F149="À décommissionner",IF(Q$8&lt;$AS149,"IKS","Décom."),IF(OR($AQ149="",$AS149=""),"",IF(Q$8&lt;$AQ149,"IKS",IF(Q$8&lt;$AS149,IF(Q$8=$AR149,"Bascule","Double run"),"ROKS"))))))</f>
        <v/>
      </c>
      <c r="R149" s="51" t="str">
        <f aca="false">IF(OR($A149="",R$8=""),"",IF($F149="Migré","ROKS",IF($F149="À décommissionner",IF(R$8&lt;$AS149,"IKS","Décom."),IF(OR($AQ149="",$AS149=""),"",IF(R$8&lt;$AQ149,"IKS",IF(R$8&lt;$AS149,IF(R$8=$AR149,"Bascule","Double run"),"ROKS"))))))</f>
        <v/>
      </c>
      <c r="S149" s="51" t="str">
        <f aca="false">IF(OR($A149="",S$8=""),"",IF($F149="Migré","ROKS",IF($F149="À décommissionner",IF(S$8&lt;$AS149,"IKS","Décom."),IF(OR($AQ149="",$AS149=""),"",IF(S$8&lt;$AQ149,"IKS",IF(S$8&lt;$AS149,IF(S$8=$AR149,"Bascule","Double run"),"ROKS"))))))</f>
        <v/>
      </c>
      <c r="T149" s="51" t="str">
        <f aca="false">IF(OR($A149="",T$8=""),"",IF($F149="Migré","ROKS",IF($F149="À décommissionner",IF(T$8&lt;$AS149,"IKS","Décom."),IF(OR($AQ149="",$AS149=""),"",IF(T$8&lt;$AQ149,"IKS",IF(T$8&lt;$AS149,IF(T$8=$AR149,"Bascule","Double run"),"ROKS"))))))</f>
        <v/>
      </c>
      <c r="U149" s="51" t="str">
        <f aca="false">IF(OR($A149="",U$8=""),"",IF($F149="Migré","ROKS",IF($F149="À décommissionner",IF(U$8&lt;$AS149,"IKS","Décom."),IF(OR($AQ149="",$AS149=""),"",IF(U$8&lt;$AQ149,"IKS",IF(U$8&lt;$AS149,IF(U$8=$AR149,"Bascule","Double run"),"ROKS"))))))</f>
        <v/>
      </c>
      <c r="V149" s="51" t="str">
        <f aca="false">IF(OR($A149="",V$8=""),"",IF($F149="Migré","ROKS",IF($F149="À décommissionner",IF(V$8&lt;$AS149,"IKS","Décom."),IF(OR($AQ149="",$AS149=""),"",IF(V$8&lt;$AQ149,"IKS",IF(V$8&lt;$AS149,IF(V$8=$AR149,"Bascule","Double run"),"ROKS"))))))</f>
        <v/>
      </c>
      <c r="W149" s="51" t="str">
        <f aca="false">IF(OR($A149="",W$8=""),"",IF($F149="Migré","ROKS",IF($F149="À décommissionner",IF(W$8&lt;$AS149,"IKS","Décom."),IF(OR($AQ149="",$AS149=""),"",IF(W$8&lt;$AQ149,"IKS",IF(W$8&lt;$AS149,IF(W$8=$AR149,"Bascule","Double run"),"ROKS"))))))</f>
        <v/>
      </c>
      <c r="X149" s="51" t="str">
        <f aca="false">IF(OR($A149="",X$8=""),"",IF($F149="Migré","ROKS",IF($F149="À décommissionner",IF(X$8&lt;$AS149,"IKS","Décom."),IF(OR($AQ149="",$AS149=""),"",IF(X$8&lt;$AQ149,"IKS",IF(X$8&lt;$AS149,IF(X$8=$AR149,"Bascule","Double run"),"ROKS"))))))</f>
        <v/>
      </c>
      <c r="Y149" s="51" t="str">
        <f aca="false">IF(OR($A149="",Y$8=""),"",IF($F149="Migré","ROKS",IF($F149="À décommissionner",IF(Y$8&lt;$AS149,"IKS","Décom."),IF(OR($AQ149="",$AS149=""),"",IF(Y$8&lt;$AQ149,"IKS",IF(Y$8&lt;$AS149,IF(Y$8=$AR149,"Bascule","Double run"),"ROKS"))))))</f>
        <v/>
      </c>
      <c r="Z149" s="51" t="str">
        <f aca="false">IF(OR($A149="",Z$8=""),"",IF($F149="Migré","ROKS",IF($F149="À décommissionner",IF(Z$8&lt;$AS149,"IKS","Décom."),IF(OR($AQ149="",$AS149=""),"",IF(Z$8&lt;$AQ149,"IKS",IF(Z$8&lt;$AS149,IF(Z$8=$AR149,"Bascule","Double run"),"ROKS"))))))</f>
        <v/>
      </c>
      <c r="AA149" s="51" t="str">
        <f aca="false">IF(OR($A149="",AA$8=""),"",IF($F149="Migré","ROKS",IF($F149="À décommissionner",IF(AA$8&lt;$AS149,"IKS","Décom."),IF(OR($AQ149="",$AS149=""),"",IF(AA$8&lt;$AQ149,"IKS",IF(AA$8&lt;$AS149,IF(AA$8=$AR149,"Bascule","Double run"),"ROKS"))))))</f>
        <v/>
      </c>
      <c r="AB149" s="51" t="str">
        <f aca="false">IF(OR($A149="",AB$8=""),"",IF($F149="Migré","ROKS",IF($F149="À décommissionner",IF(AB$8&lt;$AS149,"IKS","Décom."),IF(OR($AQ149="",$AS149=""),"",IF(AB$8&lt;$AQ149,"IKS",IF(AB$8&lt;$AS149,IF(AB$8=$AR149,"Bascule","Double run"),"ROKS"))))))</f>
        <v/>
      </c>
      <c r="AC149" s="51" t="str">
        <f aca="false">IF(OR($A149="",AC$8=""),"",IF($F149="Migré","ROKS",IF($F149="À décommissionner",IF(AC$8&lt;$AS149,"IKS","Décom."),IF(OR($AQ149="",$AS149=""),"",IF(AC$8&lt;$AQ149,"IKS",IF(AC$8&lt;$AS149,IF(AC$8=$AR149,"Bascule","Double run"),"ROKS"))))))</f>
        <v/>
      </c>
      <c r="AD149" s="51" t="str">
        <f aca="false">IF(OR($A149="",AD$8=""),"",IF($F149="Migré","ROKS",IF($F149="À décommissionner",IF(AD$8&lt;$AS149,"IKS","Décom."),IF(OR($AQ149="",$AS149=""),"",IF(AD$8&lt;$AQ149,"IKS",IF(AD$8&lt;$AS149,IF(AD$8=$AR149,"Bascule","Double run"),"ROKS"))))))</f>
        <v/>
      </c>
      <c r="AE149" s="51" t="str">
        <f aca="false">IF(OR($A149="",AE$8=""),"",IF($F149="Migré","ROKS",IF($F149="À décommissionner",IF(AE$8&lt;$AS149,"IKS","Décom."),IF(OR($AQ149="",$AS149=""),"",IF(AE$8&lt;$AQ149,"IKS",IF(AE$8&lt;$AS149,IF(AE$8=$AR149,"Bascule","Double run"),"ROKS"))))))</f>
        <v/>
      </c>
      <c r="AF149" s="51" t="str">
        <f aca="false">IF(OR($A149="",AF$8=""),"",IF($F149="Migré","ROKS",IF($F149="À décommissionner",IF(AF$8&lt;$AS149,"IKS","Décom."),IF(OR($AQ149="",$AS149=""),"",IF(AF$8&lt;$AQ149,"IKS",IF(AF$8&lt;$AS149,IF(AF$8=$AR149,"Bascule","Double run"),"ROKS"))))))</f>
        <v/>
      </c>
      <c r="AG149" s="51" t="str">
        <f aca="false">IF(OR($A149="",AG$8=""),"",IF($F149="Migré","ROKS",IF($F149="À décommissionner",IF(AG$8&lt;$AS149,"IKS","Décom."),IF(OR($AQ149="",$AS149=""),"",IF(AG$8&lt;$AQ149,"IKS",IF(AG$8&lt;$AS149,IF(AG$8=$AR149,"Bascule","Double run"),"ROKS"))))))</f>
        <v/>
      </c>
      <c r="AH149" s="51" t="str">
        <f aca="false">IF(OR($A149="",AH$8=""),"",IF($F149="Migré","ROKS",IF($F149="À décommissionner",IF(AH$8&lt;$AS149,"IKS","Décom."),IF(OR($AQ149="",$AS149=""),"",IF(AH$8&lt;$AQ149,"IKS",IF(AH$8&lt;$AS149,IF(AH$8=$AR149,"Bascule","Double run"),"ROKS"))))))</f>
        <v/>
      </c>
      <c r="AI149" s="51" t="str">
        <f aca="false">IF(OR($A149="",AI$8=""),"",IF($F149="Migré","ROKS",IF($F149="À décommissionner",IF(AI$8&lt;$AS149,"IKS","Décom."),IF(OR($AQ149="",$AS149=""),"",IF(AI$8&lt;$AQ149,"IKS",IF(AI$8&lt;$AS149,IF(AI$8=$AR149,"Bascule","Double run"),"ROKS"))))))</f>
        <v/>
      </c>
      <c r="AJ149" s="51" t="str">
        <f aca="false">IF(OR($A149="",AJ$8=""),"",IF($F149="Migré","ROKS",IF($F149="À décommissionner",IF(AJ$8&lt;$AS149,"IKS","Décom."),IF(OR($AQ149="",$AS149=""),"",IF(AJ$8&lt;$AQ149,"IKS",IF(AJ$8&lt;$AS149,IF(AJ$8=$AR149,"Bascule","Double run"),"ROKS"))))))</f>
        <v/>
      </c>
      <c r="AK149" s="51" t="str">
        <f aca="false">IF(OR($A149="",AK$8=""),"",IF($F149="Migré","ROKS",IF($F149="À décommissionner",IF(AK$8&lt;$AS149,"IKS","Décom."),IF(OR($AQ149="",$AS149=""),"",IF(AK$8&lt;$AQ149,"IKS",IF(AK$8&lt;$AS149,IF(AK$8=$AR149,"Bascule","Double run"),"ROKS"))))))</f>
        <v/>
      </c>
      <c r="AL149" s="51" t="str">
        <f aca="false">IF(OR($A149="",AL$8=""),"",IF($F149="Migré","ROKS",IF($F149="À décommissionner",IF(AL$8&lt;$AS149,"IKS","Décom."),IF(OR($AQ149="",$AS149=""),"",IF(AL$8&lt;$AQ149,"IKS",IF(AL$8&lt;$AS149,IF(AL$8=$AR149,"Bascule","Double run"),"ROKS"))))))</f>
        <v/>
      </c>
      <c r="AM149" s="51" t="str">
        <f aca="false">IF(OR($A149="",AM$8=""),"",IF($F149="Migré","ROKS",IF($F149="À décommissionner",IF(AM$8&lt;$AS149,"IKS","Décom."),IF(OR($AQ149="",$AS149=""),"",IF(AM$8&lt;$AQ149,"IKS",IF(AM$8&lt;$AS149,IF(AM$8=$AR149,"Bascule","Double run"),"ROKS"))))))</f>
        <v/>
      </c>
      <c r="AN149" s="51" t="str">
        <f aca="false">IF(OR($A149="",AN$8=""),"",IF($F149="Migré","ROKS",IF($F149="À décommissionner",IF(AN$8&lt;$AS149,"IKS","Décom."),IF(OR($AQ149="",$AS149=""),"",IF(AN$8&lt;$AQ149,"IKS",IF(AN$8&lt;$AS149,IF(AN$8=$AR149,"Bascule","Double run"),"ROKS"))))))</f>
        <v/>
      </c>
      <c r="AO149" s="51" t="str">
        <f aca="false">IF(OR($A149="",AO$8=""),"",IF($F149="Migré","ROKS",IF($F149="À décommissionner",IF(AO$8&lt;$AS149,"IKS","Décom."),IF(OR($AQ149="",$AS149=""),"",IF(AO$8&lt;$AQ149,"IKS",IF(AO$8&lt;$AS149,IF(AO$8=$AR149,"Bascule","Double run"),"ROKS"))))))</f>
        <v/>
      </c>
      <c r="AP149" s="51" t="str">
        <f aca="false">IF(OR($A149="",AP$8=""),"",IF($F149="Migré","ROKS",IF($F149="À décommissionner",IF(AP$8&lt;$AS149,"IKS","Décom."),IF(OR($AQ149="",$AS149=""),"",IF(AP$8&lt;$AQ149,"IKS",IF(AP$8&lt;$AS149,IF(AP$8=$AR149,"Bascule","Double run"),"ROKS"))))))</f>
        <v/>
      </c>
      <c r="AQ149" s="0" t="str">
        <f aca="false">IF($A149="","",INDEX(TblApplications[Mois prov (calc)],$A149))</f>
        <v/>
      </c>
      <c r="AR149" s="0" t="str">
        <f aca="false">IF($A149="","",IFERROR(DATE(YEAR(INDEX(TblApplications[Mois bascule],$A149)),MONTH(INDEX(TblApplications[Mois bascule],$A149)),1),""))</f>
        <v/>
      </c>
      <c r="AS149" s="0" t="str">
        <f aca="false">IF($A149="","",INDEX(TblApplications[Mois lib (calc)],$A149))</f>
        <v/>
      </c>
    </row>
    <row r="150" customFormat="false" ht="15" hidden="false" customHeight="false" outlineLevel="0" collapsed="false">
      <c r="A150" s="49" t="str">
        <f aca="false">IFERROR(MATCH(142,TblApplications[Rang frise],0),"")</f>
        <v/>
      </c>
      <c r="B150" s="50" t="str">
        <f aca="false">IF($A150="","",INDEX(TblApplications[ID],$A150))</f>
        <v/>
      </c>
      <c r="C150" s="50" t="str">
        <f aca="false">IF($A150="","",INDEX(TblApplications[Application],$A150))</f>
        <v/>
      </c>
      <c r="D150" s="50" t="str">
        <f aca="false">IF($A150="","",INDEX(TblApplications[Environnement],$A150))</f>
        <v/>
      </c>
      <c r="E150" s="50" t="str">
        <f aca="false">IF($A150="","",INDEX(TblApplications[Couloir],$A150))</f>
        <v/>
      </c>
      <c r="F150" s="50" t="str">
        <f aca="false">IF($A150="","",INDEX(TblApplications[Action],$A150))</f>
        <v/>
      </c>
      <c r="G150" s="51" t="str">
        <f aca="false">IF(OR($A150="",G$8=""),"",IF($F150="Migré","ROKS",IF($F150="À décommissionner",IF(G$8&lt;$AS150,"IKS","Décom."),IF(OR($AQ150="",$AS150=""),"",IF(G$8&lt;$AQ150,"IKS",IF(G$8&lt;$AS150,IF(G$8=$AR150,"Bascule","Double run"),"ROKS"))))))</f>
        <v/>
      </c>
      <c r="H150" s="51" t="str">
        <f aca="false">IF(OR($A150="",H$8=""),"",IF($F150="Migré","ROKS",IF($F150="À décommissionner",IF(H$8&lt;$AS150,"IKS","Décom."),IF(OR($AQ150="",$AS150=""),"",IF(H$8&lt;$AQ150,"IKS",IF(H$8&lt;$AS150,IF(H$8=$AR150,"Bascule","Double run"),"ROKS"))))))</f>
        <v/>
      </c>
      <c r="I150" s="51" t="str">
        <f aca="false">IF(OR($A150="",I$8=""),"",IF($F150="Migré","ROKS",IF($F150="À décommissionner",IF(I$8&lt;$AS150,"IKS","Décom."),IF(OR($AQ150="",$AS150=""),"",IF(I$8&lt;$AQ150,"IKS",IF(I$8&lt;$AS150,IF(I$8=$AR150,"Bascule","Double run"),"ROKS"))))))</f>
        <v/>
      </c>
      <c r="J150" s="51" t="str">
        <f aca="false">IF(OR($A150="",J$8=""),"",IF($F150="Migré","ROKS",IF($F150="À décommissionner",IF(J$8&lt;$AS150,"IKS","Décom."),IF(OR($AQ150="",$AS150=""),"",IF(J$8&lt;$AQ150,"IKS",IF(J$8&lt;$AS150,IF(J$8=$AR150,"Bascule","Double run"),"ROKS"))))))</f>
        <v/>
      </c>
      <c r="K150" s="51" t="str">
        <f aca="false">IF(OR($A150="",K$8=""),"",IF($F150="Migré","ROKS",IF($F150="À décommissionner",IF(K$8&lt;$AS150,"IKS","Décom."),IF(OR($AQ150="",$AS150=""),"",IF(K$8&lt;$AQ150,"IKS",IF(K$8&lt;$AS150,IF(K$8=$AR150,"Bascule","Double run"),"ROKS"))))))</f>
        <v/>
      </c>
      <c r="L150" s="51" t="str">
        <f aca="false">IF(OR($A150="",L$8=""),"",IF($F150="Migré","ROKS",IF($F150="À décommissionner",IF(L$8&lt;$AS150,"IKS","Décom."),IF(OR($AQ150="",$AS150=""),"",IF(L$8&lt;$AQ150,"IKS",IF(L$8&lt;$AS150,IF(L$8=$AR150,"Bascule","Double run"),"ROKS"))))))</f>
        <v/>
      </c>
      <c r="M150" s="51" t="str">
        <f aca="false">IF(OR($A150="",M$8=""),"",IF($F150="Migré","ROKS",IF($F150="À décommissionner",IF(M$8&lt;$AS150,"IKS","Décom."),IF(OR($AQ150="",$AS150=""),"",IF(M$8&lt;$AQ150,"IKS",IF(M$8&lt;$AS150,IF(M$8=$AR150,"Bascule","Double run"),"ROKS"))))))</f>
        <v/>
      </c>
      <c r="N150" s="51" t="str">
        <f aca="false">IF(OR($A150="",N$8=""),"",IF($F150="Migré","ROKS",IF($F150="À décommissionner",IF(N$8&lt;$AS150,"IKS","Décom."),IF(OR($AQ150="",$AS150=""),"",IF(N$8&lt;$AQ150,"IKS",IF(N$8&lt;$AS150,IF(N$8=$AR150,"Bascule","Double run"),"ROKS"))))))</f>
        <v/>
      </c>
      <c r="O150" s="51" t="str">
        <f aca="false">IF(OR($A150="",O$8=""),"",IF($F150="Migré","ROKS",IF($F150="À décommissionner",IF(O$8&lt;$AS150,"IKS","Décom."),IF(OR($AQ150="",$AS150=""),"",IF(O$8&lt;$AQ150,"IKS",IF(O$8&lt;$AS150,IF(O$8=$AR150,"Bascule","Double run"),"ROKS"))))))</f>
        <v/>
      </c>
      <c r="P150" s="51" t="str">
        <f aca="false">IF(OR($A150="",P$8=""),"",IF($F150="Migré","ROKS",IF($F150="À décommissionner",IF(P$8&lt;$AS150,"IKS","Décom."),IF(OR($AQ150="",$AS150=""),"",IF(P$8&lt;$AQ150,"IKS",IF(P$8&lt;$AS150,IF(P$8=$AR150,"Bascule","Double run"),"ROKS"))))))</f>
        <v/>
      </c>
      <c r="Q150" s="51" t="str">
        <f aca="false">IF(OR($A150="",Q$8=""),"",IF($F150="Migré","ROKS",IF($F150="À décommissionner",IF(Q$8&lt;$AS150,"IKS","Décom."),IF(OR($AQ150="",$AS150=""),"",IF(Q$8&lt;$AQ150,"IKS",IF(Q$8&lt;$AS150,IF(Q$8=$AR150,"Bascule","Double run"),"ROKS"))))))</f>
        <v/>
      </c>
      <c r="R150" s="51" t="str">
        <f aca="false">IF(OR($A150="",R$8=""),"",IF($F150="Migré","ROKS",IF($F150="À décommissionner",IF(R$8&lt;$AS150,"IKS","Décom."),IF(OR($AQ150="",$AS150=""),"",IF(R$8&lt;$AQ150,"IKS",IF(R$8&lt;$AS150,IF(R$8=$AR150,"Bascule","Double run"),"ROKS"))))))</f>
        <v/>
      </c>
      <c r="S150" s="51" t="str">
        <f aca="false">IF(OR($A150="",S$8=""),"",IF($F150="Migré","ROKS",IF($F150="À décommissionner",IF(S$8&lt;$AS150,"IKS","Décom."),IF(OR($AQ150="",$AS150=""),"",IF(S$8&lt;$AQ150,"IKS",IF(S$8&lt;$AS150,IF(S$8=$AR150,"Bascule","Double run"),"ROKS"))))))</f>
        <v/>
      </c>
      <c r="T150" s="51" t="str">
        <f aca="false">IF(OR($A150="",T$8=""),"",IF($F150="Migré","ROKS",IF($F150="À décommissionner",IF(T$8&lt;$AS150,"IKS","Décom."),IF(OR($AQ150="",$AS150=""),"",IF(T$8&lt;$AQ150,"IKS",IF(T$8&lt;$AS150,IF(T$8=$AR150,"Bascule","Double run"),"ROKS"))))))</f>
        <v/>
      </c>
      <c r="U150" s="51" t="str">
        <f aca="false">IF(OR($A150="",U$8=""),"",IF($F150="Migré","ROKS",IF($F150="À décommissionner",IF(U$8&lt;$AS150,"IKS","Décom."),IF(OR($AQ150="",$AS150=""),"",IF(U$8&lt;$AQ150,"IKS",IF(U$8&lt;$AS150,IF(U$8=$AR150,"Bascule","Double run"),"ROKS"))))))</f>
        <v/>
      </c>
      <c r="V150" s="51" t="str">
        <f aca="false">IF(OR($A150="",V$8=""),"",IF($F150="Migré","ROKS",IF($F150="À décommissionner",IF(V$8&lt;$AS150,"IKS","Décom."),IF(OR($AQ150="",$AS150=""),"",IF(V$8&lt;$AQ150,"IKS",IF(V$8&lt;$AS150,IF(V$8=$AR150,"Bascule","Double run"),"ROKS"))))))</f>
        <v/>
      </c>
      <c r="W150" s="51" t="str">
        <f aca="false">IF(OR($A150="",W$8=""),"",IF($F150="Migré","ROKS",IF($F150="À décommissionner",IF(W$8&lt;$AS150,"IKS","Décom."),IF(OR($AQ150="",$AS150=""),"",IF(W$8&lt;$AQ150,"IKS",IF(W$8&lt;$AS150,IF(W$8=$AR150,"Bascule","Double run"),"ROKS"))))))</f>
        <v/>
      </c>
      <c r="X150" s="51" t="str">
        <f aca="false">IF(OR($A150="",X$8=""),"",IF($F150="Migré","ROKS",IF($F150="À décommissionner",IF(X$8&lt;$AS150,"IKS","Décom."),IF(OR($AQ150="",$AS150=""),"",IF(X$8&lt;$AQ150,"IKS",IF(X$8&lt;$AS150,IF(X$8=$AR150,"Bascule","Double run"),"ROKS"))))))</f>
        <v/>
      </c>
      <c r="Y150" s="51" t="str">
        <f aca="false">IF(OR($A150="",Y$8=""),"",IF($F150="Migré","ROKS",IF($F150="À décommissionner",IF(Y$8&lt;$AS150,"IKS","Décom."),IF(OR($AQ150="",$AS150=""),"",IF(Y$8&lt;$AQ150,"IKS",IF(Y$8&lt;$AS150,IF(Y$8=$AR150,"Bascule","Double run"),"ROKS"))))))</f>
        <v/>
      </c>
      <c r="Z150" s="51" t="str">
        <f aca="false">IF(OR($A150="",Z$8=""),"",IF($F150="Migré","ROKS",IF($F150="À décommissionner",IF(Z$8&lt;$AS150,"IKS","Décom."),IF(OR($AQ150="",$AS150=""),"",IF(Z$8&lt;$AQ150,"IKS",IF(Z$8&lt;$AS150,IF(Z$8=$AR150,"Bascule","Double run"),"ROKS"))))))</f>
        <v/>
      </c>
      <c r="AA150" s="51" t="str">
        <f aca="false">IF(OR($A150="",AA$8=""),"",IF($F150="Migré","ROKS",IF($F150="À décommissionner",IF(AA$8&lt;$AS150,"IKS","Décom."),IF(OR($AQ150="",$AS150=""),"",IF(AA$8&lt;$AQ150,"IKS",IF(AA$8&lt;$AS150,IF(AA$8=$AR150,"Bascule","Double run"),"ROKS"))))))</f>
        <v/>
      </c>
      <c r="AB150" s="51" t="str">
        <f aca="false">IF(OR($A150="",AB$8=""),"",IF($F150="Migré","ROKS",IF($F150="À décommissionner",IF(AB$8&lt;$AS150,"IKS","Décom."),IF(OR($AQ150="",$AS150=""),"",IF(AB$8&lt;$AQ150,"IKS",IF(AB$8&lt;$AS150,IF(AB$8=$AR150,"Bascule","Double run"),"ROKS"))))))</f>
        <v/>
      </c>
      <c r="AC150" s="51" t="str">
        <f aca="false">IF(OR($A150="",AC$8=""),"",IF($F150="Migré","ROKS",IF($F150="À décommissionner",IF(AC$8&lt;$AS150,"IKS","Décom."),IF(OR($AQ150="",$AS150=""),"",IF(AC$8&lt;$AQ150,"IKS",IF(AC$8&lt;$AS150,IF(AC$8=$AR150,"Bascule","Double run"),"ROKS"))))))</f>
        <v/>
      </c>
      <c r="AD150" s="51" t="str">
        <f aca="false">IF(OR($A150="",AD$8=""),"",IF($F150="Migré","ROKS",IF($F150="À décommissionner",IF(AD$8&lt;$AS150,"IKS","Décom."),IF(OR($AQ150="",$AS150=""),"",IF(AD$8&lt;$AQ150,"IKS",IF(AD$8&lt;$AS150,IF(AD$8=$AR150,"Bascule","Double run"),"ROKS"))))))</f>
        <v/>
      </c>
      <c r="AE150" s="51" t="str">
        <f aca="false">IF(OR($A150="",AE$8=""),"",IF($F150="Migré","ROKS",IF($F150="À décommissionner",IF(AE$8&lt;$AS150,"IKS","Décom."),IF(OR($AQ150="",$AS150=""),"",IF(AE$8&lt;$AQ150,"IKS",IF(AE$8&lt;$AS150,IF(AE$8=$AR150,"Bascule","Double run"),"ROKS"))))))</f>
        <v/>
      </c>
      <c r="AF150" s="51" t="str">
        <f aca="false">IF(OR($A150="",AF$8=""),"",IF($F150="Migré","ROKS",IF($F150="À décommissionner",IF(AF$8&lt;$AS150,"IKS","Décom."),IF(OR($AQ150="",$AS150=""),"",IF(AF$8&lt;$AQ150,"IKS",IF(AF$8&lt;$AS150,IF(AF$8=$AR150,"Bascule","Double run"),"ROKS"))))))</f>
        <v/>
      </c>
      <c r="AG150" s="51" t="str">
        <f aca="false">IF(OR($A150="",AG$8=""),"",IF($F150="Migré","ROKS",IF($F150="À décommissionner",IF(AG$8&lt;$AS150,"IKS","Décom."),IF(OR($AQ150="",$AS150=""),"",IF(AG$8&lt;$AQ150,"IKS",IF(AG$8&lt;$AS150,IF(AG$8=$AR150,"Bascule","Double run"),"ROKS"))))))</f>
        <v/>
      </c>
      <c r="AH150" s="51" t="str">
        <f aca="false">IF(OR($A150="",AH$8=""),"",IF($F150="Migré","ROKS",IF($F150="À décommissionner",IF(AH$8&lt;$AS150,"IKS","Décom."),IF(OR($AQ150="",$AS150=""),"",IF(AH$8&lt;$AQ150,"IKS",IF(AH$8&lt;$AS150,IF(AH$8=$AR150,"Bascule","Double run"),"ROKS"))))))</f>
        <v/>
      </c>
      <c r="AI150" s="51" t="str">
        <f aca="false">IF(OR($A150="",AI$8=""),"",IF($F150="Migré","ROKS",IF($F150="À décommissionner",IF(AI$8&lt;$AS150,"IKS","Décom."),IF(OR($AQ150="",$AS150=""),"",IF(AI$8&lt;$AQ150,"IKS",IF(AI$8&lt;$AS150,IF(AI$8=$AR150,"Bascule","Double run"),"ROKS"))))))</f>
        <v/>
      </c>
      <c r="AJ150" s="51" t="str">
        <f aca="false">IF(OR($A150="",AJ$8=""),"",IF($F150="Migré","ROKS",IF($F150="À décommissionner",IF(AJ$8&lt;$AS150,"IKS","Décom."),IF(OR($AQ150="",$AS150=""),"",IF(AJ$8&lt;$AQ150,"IKS",IF(AJ$8&lt;$AS150,IF(AJ$8=$AR150,"Bascule","Double run"),"ROKS"))))))</f>
        <v/>
      </c>
      <c r="AK150" s="51" t="str">
        <f aca="false">IF(OR($A150="",AK$8=""),"",IF($F150="Migré","ROKS",IF($F150="À décommissionner",IF(AK$8&lt;$AS150,"IKS","Décom."),IF(OR($AQ150="",$AS150=""),"",IF(AK$8&lt;$AQ150,"IKS",IF(AK$8&lt;$AS150,IF(AK$8=$AR150,"Bascule","Double run"),"ROKS"))))))</f>
        <v/>
      </c>
      <c r="AL150" s="51" t="str">
        <f aca="false">IF(OR($A150="",AL$8=""),"",IF($F150="Migré","ROKS",IF($F150="À décommissionner",IF(AL$8&lt;$AS150,"IKS","Décom."),IF(OR($AQ150="",$AS150=""),"",IF(AL$8&lt;$AQ150,"IKS",IF(AL$8&lt;$AS150,IF(AL$8=$AR150,"Bascule","Double run"),"ROKS"))))))</f>
        <v/>
      </c>
      <c r="AM150" s="51" t="str">
        <f aca="false">IF(OR($A150="",AM$8=""),"",IF($F150="Migré","ROKS",IF($F150="À décommissionner",IF(AM$8&lt;$AS150,"IKS","Décom."),IF(OR($AQ150="",$AS150=""),"",IF(AM$8&lt;$AQ150,"IKS",IF(AM$8&lt;$AS150,IF(AM$8=$AR150,"Bascule","Double run"),"ROKS"))))))</f>
        <v/>
      </c>
      <c r="AN150" s="51" t="str">
        <f aca="false">IF(OR($A150="",AN$8=""),"",IF($F150="Migré","ROKS",IF($F150="À décommissionner",IF(AN$8&lt;$AS150,"IKS","Décom."),IF(OR($AQ150="",$AS150=""),"",IF(AN$8&lt;$AQ150,"IKS",IF(AN$8&lt;$AS150,IF(AN$8=$AR150,"Bascule","Double run"),"ROKS"))))))</f>
        <v/>
      </c>
      <c r="AO150" s="51" t="str">
        <f aca="false">IF(OR($A150="",AO$8=""),"",IF($F150="Migré","ROKS",IF($F150="À décommissionner",IF(AO$8&lt;$AS150,"IKS","Décom."),IF(OR($AQ150="",$AS150=""),"",IF(AO$8&lt;$AQ150,"IKS",IF(AO$8&lt;$AS150,IF(AO$8=$AR150,"Bascule","Double run"),"ROKS"))))))</f>
        <v/>
      </c>
      <c r="AP150" s="51" t="str">
        <f aca="false">IF(OR($A150="",AP$8=""),"",IF($F150="Migré","ROKS",IF($F150="À décommissionner",IF(AP$8&lt;$AS150,"IKS","Décom."),IF(OR($AQ150="",$AS150=""),"",IF(AP$8&lt;$AQ150,"IKS",IF(AP$8&lt;$AS150,IF(AP$8=$AR150,"Bascule","Double run"),"ROKS"))))))</f>
        <v/>
      </c>
      <c r="AQ150" s="0" t="str">
        <f aca="false">IF($A150="","",INDEX(TblApplications[Mois prov (calc)],$A150))</f>
        <v/>
      </c>
      <c r="AR150" s="0" t="str">
        <f aca="false">IF($A150="","",IFERROR(DATE(YEAR(INDEX(TblApplications[Mois bascule],$A150)),MONTH(INDEX(TblApplications[Mois bascule],$A150)),1),""))</f>
        <v/>
      </c>
      <c r="AS150" s="0" t="str">
        <f aca="false">IF($A150="","",INDEX(TblApplications[Mois lib (calc)],$A150))</f>
        <v/>
      </c>
    </row>
    <row r="151" customFormat="false" ht="15" hidden="false" customHeight="false" outlineLevel="0" collapsed="false">
      <c r="A151" s="49" t="str">
        <f aca="false">IFERROR(MATCH(143,TblApplications[Rang frise],0),"")</f>
        <v/>
      </c>
      <c r="B151" s="50" t="str">
        <f aca="false">IF($A151="","",INDEX(TblApplications[ID],$A151))</f>
        <v/>
      </c>
      <c r="C151" s="50" t="str">
        <f aca="false">IF($A151="","",INDEX(TblApplications[Application],$A151))</f>
        <v/>
      </c>
      <c r="D151" s="50" t="str">
        <f aca="false">IF($A151="","",INDEX(TblApplications[Environnement],$A151))</f>
        <v/>
      </c>
      <c r="E151" s="50" t="str">
        <f aca="false">IF($A151="","",INDEX(TblApplications[Couloir],$A151))</f>
        <v/>
      </c>
      <c r="F151" s="50" t="str">
        <f aca="false">IF($A151="","",INDEX(TblApplications[Action],$A151))</f>
        <v/>
      </c>
      <c r="G151" s="51" t="str">
        <f aca="false">IF(OR($A151="",G$8=""),"",IF($F151="Migré","ROKS",IF($F151="À décommissionner",IF(G$8&lt;$AS151,"IKS","Décom."),IF(OR($AQ151="",$AS151=""),"",IF(G$8&lt;$AQ151,"IKS",IF(G$8&lt;$AS151,IF(G$8=$AR151,"Bascule","Double run"),"ROKS"))))))</f>
        <v/>
      </c>
      <c r="H151" s="51" t="str">
        <f aca="false">IF(OR($A151="",H$8=""),"",IF($F151="Migré","ROKS",IF($F151="À décommissionner",IF(H$8&lt;$AS151,"IKS","Décom."),IF(OR($AQ151="",$AS151=""),"",IF(H$8&lt;$AQ151,"IKS",IF(H$8&lt;$AS151,IF(H$8=$AR151,"Bascule","Double run"),"ROKS"))))))</f>
        <v/>
      </c>
      <c r="I151" s="51" t="str">
        <f aca="false">IF(OR($A151="",I$8=""),"",IF($F151="Migré","ROKS",IF($F151="À décommissionner",IF(I$8&lt;$AS151,"IKS","Décom."),IF(OR($AQ151="",$AS151=""),"",IF(I$8&lt;$AQ151,"IKS",IF(I$8&lt;$AS151,IF(I$8=$AR151,"Bascule","Double run"),"ROKS"))))))</f>
        <v/>
      </c>
      <c r="J151" s="51" t="str">
        <f aca="false">IF(OR($A151="",J$8=""),"",IF($F151="Migré","ROKS",IF($F151="À décommissionner",IF(J$8&lt;$AS151,"IKS","Décom."),IF(OR($AQ151="",$AS151=""),"",IF(J$8&lt;$AQ151,"IKS",IF(J$8&lt;$AS151,IF(J$8=$AR151,"Bascule","Double run"),"ROKS"))))))</f>
        <v/>
      </c>
      <c r="K151" s="51" t="str">
        <f aca="false">IF(OR($A151="",K$8=""),"",IF($F151="Migré","ROKS",IF($F151="À décommissionner",IF(K$8&lt;$AS151,"IKS","Décom."),IF(OR($AQ151="",$AS151=""),"",IF(K$8&lt;$AQ151,"IKS",IF(K$8&lt;$AS151,IF(K$8=$AR151,"Bascule","Double run"),"ROKS"))))))</f>
        <v/>
      </c>
      <c r="L151" s="51" t="str">
        <f aca="false">IF(OR($A151="",L$8=""),"",IF($F151="Migré","ROKS",IF($F151="À décommissionner",IF(L$8&lt;$AS151,"IKS","Décom."),IF(OR($AQ151="",$AS151=""),"",IF(L$8&lt;$AQ151,"IKS",IF(L$8&lt;$AS151,IF(L$8=$AR151,"Bascule","Double run"),"ROKS"))))))</f>
        <v/>
      </c>
      <c r="M151" s="51" t="str">
        <f aca="false">IF(OR($A151="",M$8=""),"",IF($F151="Migré","ROKS",IF($F151="À décommissionner",IF(M$8&lt;$AS151,"IKS","Décom."),IF(OR($AQ151="",$AS151=""),"",IF(M$8&lt;$AQ151,"IKS",IF(M$8&lt;$AS151,IF(M$8=$AR151,"Bascule","Double run"),"ROKS"))))))</f>
        <v/>
      </c>
      <c r="N151" s="51" t="str">
        <f aca="false">IF(OR($A151="",N$8=""),"",IF($F151="Migré","ROKS",IF($F151="À décommissionner",IF(N$8&lt;$AS151,"IKS","Décom."),IF(OR($AQ151="",$AS151=""),"",IF(N$8&lt;$AQ151,"IKS",IF(N$8&lt;$AS151,IF(N$8=$AR151,"Bascule","Double run"),"ROKS"))))))</f>
        <v/>
      </c>
      <c r="O151" s="51" t="str">
        <f aca="false">IF(OR($A151="",O$8=""),"",IF($F151="Migré","ROKS",IF($F151="À décommissionner",IF(O$8&lt;$AS151,"IKS","Décom."),IF(OR($AQ151="",$AS151=""),"",IF(O$8&lt;$AQ151,"IKS",IF(O$8&lt;$AS151,IF(O$8=$AR151,"Bascule","Double run"),"ROKS"))))))</f>
        <v/>
      </c>
      <c r="P151" s="51" t="str">
        <f aca="false">IF(OR($A151="",P$8=""),"",IF($F151="Migré","ROKS",IF($F151="À décommissionner",IF(P$8&lt;$AS151,"IKS","Décom."),IF(OR($AQ151="",$AS151=""),"",IF(P$8&lt;$AQ151,"IKS",IF(P$8&lt;$AS151,IF(P$8=$AR151,"Bascule","Double run"),"ROKS"))))))</f>
        <v/>
      </c>
      <c r="Q151" s="51" t="str">
        <f aca="false">IF(OR($A151="",Q$8=""),"",IF($F151="Migré","ROKS",IF($F151="À décommissionner",IF(Q$8&lt;$AS151,"IKS","Décom."),IF(OR($AQ151="",$AS151=""),"",IF(Q$8&lt;$AQ151,"IKS",IF(Q$8&lt;$AS151,IF(Q$8=$AR151,"Bascule","Double run"),"ROKS"))))))</f>
        <v/>
      </c>
      <c r="R151" s="51" t="str">
        <f aca="false">IF(OR($A151="",R$8=""),"",IF($F151="Migré","ROKS",IF($F151="À décommissionner",IF(R$8&lt;$AS151,"IKS","Décom."),IF(OR($AQ151="",$AS151=""),"",IF(R$8&lt;$AQ151,"IKS",IF(R$8&lt;$AS151,IF(R$8=$AR151,"Bascule","Double run"),"ROKS"))))))</f>
        <v/>
      </c>
      <c r="S151" s="51" t="str">
        <f aca="false">IF(OR($A151="",S$8=""),"",IF($F151="Migré","ROKS",IF($F151="À décommissionner",IF(S$8&lt;$AS151,"IKS","Décom."),IF(OR($AQ151="",$AS151=""),"",IF(S$8&lt;$AQ151,"IKS",IF(S$8&lt;$AS151,IF(S$8=$AR151,"Bascule","Double run"),"ROKS"))))))</f>
        <v/>
      </c>
      <c r="T151" s="51" t="str">
        <f aca="false">IF(OR($A151="",T$8=""),"",IF($F151="Migré","ROKS",IF($F151="À décommissionner",IF(T$8&lt;$AS151,"IKS","Décom."),IF(OR($AQ151="",$AS151=""),"",IF(T$8&lt;$AQ151,"IKS",IF(T$8&lt;$AS151,IF(T$8=$AR151,"Bascule","Double run"),"ROKS"))))))</f>
        <v/>
      </c>
      <c r="U151" s="51" t="str">
        <f aca="false">IF(OR($A151="",U$8=""),"",IF($F151="Migré","ROKS",IF($F151="À décommissionner",IF(U$8&lt;$AS151,"IKS","Décom."),IF(OR($AQ151="",$AS151=""),"",IF(U$8&lt;$AQ151,"IKS",IF(U$8&lt;$AS151,IF(U$8=$AR151,"Bascule","Double run"),"ROKS"))))))</f>
        <v/>
      </c>
      <c r="V151" s="51" t="str">
        <f aca="false">IF(OR($A151="",V$8=""),"",IF($F151="Migré","ROKS",IF($F151="À décommissionner",IF(V$8&lt;$AS151,"IKS","Décom."),IF(OR($AQ151="",$AS151=""),"",IF(V$8&lt;$AQ151,"IKS",IF(V$8&lt;$AS151,IF(V$8=$AR151,"Bascule","Double run"),"ROKS"))))))</f>
        <v/>
      </c>
      <c r="W151" s="51" t="str">
        <f aca="false">IF(OR($A151="",W$8=""),"",IF($F151="Migré","ROKS",IF($F151="À décommissionner",IF(W$8&lt;$AS151,"IKS","Décom."),IF(OR($AQ151="",$AS151=""),"",IF(W$8&lt;$AQ151,"IKS",IF(W$8&lt;$AS151,IF(W$8=$AR151,"Bascule","Double run"),"ROKS"))))))</f>
        <v/>
      </c>
      <c r="X151" s="51" t="str">
        <f aca="false">IF(OR($A151="",X$8=""),"",IF($F151="Migré","ROKS",IF($F151="À décommissionner",IF(X$8&lt;$AS151,"IKS","Décom."),IF(OR($AQ151="",$AS151=""),"",IF(X$8&lt;$AQ151,"IKS",IF(X$8&lt;$AS151,IF(X$8=$AR151,"Bascule","Double run"),"ROKS"))))))</f>
        <v/>
      </c>
      <c r="Y151" s="51" t="str">
        <f aca="false">IF(OR($A151="",Y$8=""),"",IF($F151="Migré","ROKS",IF($F151="À décommissionner",IF(Y$8&lt;$AS151,"IKS","Décom."),IF(OR($AQ151="",$AS151=""),"",IF(Y$8&lt;$AQ151,"IKS",IF(Y$8&lt;$AS151,IF(Y$8=$AR151,"Bascule","Double run"),"ROKS"))))))</f>
        <v/>
      </c>
      <c r="Z151" s="51" t="str">
        <f aca="false">IF(OR($A151="",Z$8=""),"",IF($F151="Migré","ROKS",IF($F151="À décommissionner",IF(Z$8&lt;$AS151,"IKS","Décom."),IF(OR($AQ151="",$AS151=""),"",IF(Z$8&lt;$AQ151,"IKS",IF(Z$8&lt;$AS151,IF(Z$8=$AR151,"Bascule","Double run"),"ROKS"))))))</f>
        <v/>
      </c>
      <c r="AA151" s="51" t="str">
        <f aca="false">IF(OR($A151="",AA$8=""),"",IF($F151="Migré","ROKS",IF($F151="À décommissionner",IF(AA$8&lt;$AS151,"IKS","Décom."),IF(OR($AQ151="",$AS151=""),"",IF(AA$8&lt;$AQ151,"IKS",IF(AA$8&lt;$AS151,IF(AA$8=$AR151,"Bascule","Double run"),"ROKS"))))))</f>
        <v/>
      </c>
      <c r="AB151" s="51" t="str">
        <f aca="false">IF(OR($A151="",AB$8=""),"",IF($F151="Migré","ROKS",IF($F151="À décommissionner",IF(AB$8&lt;$AS151,"IKS","Décom."),IF(OR($AQ151="",$AS151=""),"",IF(AB$8&lt;$AQ151,"IKS",IF(AB$8&lt;$AS151,IF(AB$8=$AR151,"Bascule","Double run"),"ROKS"))))))</f>
        <v/>
      </c>
      <c r="AC151" s="51" t="str">
        <f aca="false">IF(OR($A151="",AC$8=""),"",IF($F151="Migré","ROKS",IF($F151="À décommissionner",IF(AC$8&lt;$AS151,"IKS","Décom."),IF(OR($AQ151="",$AS151=""),"",IF(AC$8&lt;$AQ151,"IKS",IF(AC$8&lt;$AS151,IF(AC$8=$AR151,"Bascule","Double run"),"ROKS"))))))</f>
        <v/>
      </c>
      <c r="AD151" s="51" t="str">
        <f aca="false">IF(OR($A151="",AD$8=""),"",IF($F151="Migré","ROKS",IF($F151="À décommissionner",IF(AD$8&lt;$AS151,"IKS","Décom."),IF(OR($AQ151="",$AS151=""),"",IF(AD$8&lt;$AQ151,"IKS",IF(AD$8&lt;$AS151,IF(AD$8=$AR151,"Bascule","Double run"),"ROKS"))))))</f>
        <v/>
      </c>
      <c r="AE151" s="51" t="str">
        <f aca="false">IF(OR($A151="",AE$8=""),"",IF($F151="Migré","ROKS",IF($F151="À décommissionner",IF(AE$8&lt;$AS151,"IKS","Décom."),IF(OR($AQ151="",$AS151=""),"",IF(AE$8&lt;$AQ151,"IKS",IF(AE$8&lt;$AS151,IF(AE$8=$AR151,"Bascule","Double run"),"ROKS"))))))</f>
        <v/>
      </c>
      <c r="AF151" s="51" t="str">
        <f aca="false">IF(OR($A151="",AF$8=""),"",IF($F151="Migré","ROKS",IF($F151="À décommissionner",IF(AF$8&lt;$AS151,"IKS","Décom."),IF(OR($AQ151="",$AS151=""),"",IF(AF$8&lt;$AQ151,"IKS",IF(AF$8&lt;$AS151,IF(AF$8=$AR151,"Bascule","Double run"),"ROKS"))))))</f>
        <v/>
      </c>
      <c r="AG151" s="51" t="str">
        <f aca="false">IF(OR($A151="",AG$8=""),"",IF($F151="Migré","ROKS",IF($F151="À décommissionner",IF(AG$8&lt;$AS151,"IKS","Décom."),IF(OR($AQ151="",$AS151=""),"",IF(AG$8&lt;$AQ151,"IKS",IF(AG$8&lt;$AS151,IF(AG$8=$AR151,"Bascule","Double run"),"ROKS"))))))</f>
        <v/>
      </c>
      <c r="AH151" s="51" t="str">
        <f aca="false">IF(OR($A151="",AH$8=""),"",IF($F151="Migré","ROKS",IF($F151="À décommissionner",IF(AH$8&lt;$AS151,"IKS","Décom."),IF(OR($AQ151="",$AS151=""),"",IF(AH$8&lt;$AQ151,"IKS",IF(AH$8&lt;$AS151,IF(AH$8=$AR151,"Bascule","Double run"),"ROKS"))))))</f>
        <v/>
      </c>
      <c r="AI151" s="51" t="str">
        <f aca="false">IF(OR($A151="",AI$8=""),"",IF($F151="Migré","ROKS",IF($F151="À décommissionner",IF(AI$8&lt;$AS151,"IKS","Décom."),IF(OR($AQ151="",$AS151=""),"",IF(AI$8&lt;$AQ151,"IKS",IF(AI$8&lt;$AS151,IF(AI$8=$AR151,"Bascule","Double run"),"ROKS"))))))</f>
        <v/>
      </c>
      <c r="AJ151" s="51" t="str">
        <f aca="false">IF(OR($A151="",AJ$8=""),"",IF($F151="Migré","ROKS",IF($F151="À décommissionner",IF(AJ$8&lt;$AS151,"IKS","Décom."),IF(OR($AQ151="",$AS151=""),"",IF(AJ$8&lt;$AQ151,"IKS",IF(AJ$8&lt;$AS151,IF(AJ$8=$AR151,"Bascule","Double run"),"ROKS"))))))</f>
        <v/>
      </c>
      <c r="AK151" s="51" t="str">
        <f aca="false">IF(OR($A151="",AK$8=""),"",IF($F151="Migré","ROKS",IF($F151="À décommissionner",IF(AK$8&lt;$AS151,"IKS","Décom."),IF(OR($AQ151="",$AS151=""),"",IF(AK$8&lt;$AQ151,"IKS",IF(AK$8&lt;$AS151,IF(AK$8=$AR151,"Bascule","Double run"),"ROKS"))))))</f>
        <v/>
      </c>
      <c r="AL151" s="51" t="str">
        <f aca="false">IF(OR($A151="",AL$8=""),"",IF($F151="Migré","ROKS",IF($F151="À décommissionner",IF(AL$8&lt;$AS151,"IKS","Décom."),IF(OR($AQ151="",$AS151=""),"",IF(AL$8&lt;$AQ151,"IKS",IF(AL$8&lt;$AS151,IF(AL$8=$AR151,"Bascule","Double run"),"ROKS"))))))</f>
        <v/>
      </c>
      <c r="AM151" s="51" t="str">
        <f aca="false">IF(OR($A151="",AM$8=""),"",IF($F151="Migré","ROKS",IF($F151="À décommissionner",IF(AM$8&lt;$AS151,"IKS","Décom."),IF(OR($AQ151="",$AS151=""),"",IF(AM$8&lt;$AQ151,"IKS",IF(AM$8&lt;$AS151,IF(AM$8=$AR151,"Bascule","Double run"),"ROKS"))))))</f>
        <v/>
      </c>
      <c r="AN151" s="51" t="str">
        <f aca="false">IF(OR($A151="",AN$8=""),"",IF($F151="Migré","ROKS",IF($F151="À décommissionner",IF(AN$8&lt;$AS151,"IKS","Décom."),IF(OR($AQ151="",$AS151=""),"",IF(AN$8&lt;$AQ151,"IKS",IF(AN$8&lt;$AS151,IF(AN$8=$AR151,"Bascule","Double run"),"ROKS"))))))</f>
        <v/>
      </c>
      <c r="AO151" s="51" t="str">
        <f aca="false">IF(OR($A151="",AO$8=""),"",IF($F151="Migré","ROKS",IF($F151="À décommissionner",IF(AO$8&lt;$AS151,"IKS","Décom."),IF(OR($AQ151="",$AS151=""),"",IF(AO$8&lt;$AQ151,"IKS",IF(AO$8&lt;$AS151,IF(AO$8=$AR151,"Bascule","Double run"),"ROKS"))))))</f>
        <v/>
      </c>
      <c r="AP151" s="51" t="str">
        <f aca="false">IF(OR($A151="",AP$8=""),"",IF($F151="Migré","ROKS",IF($F151="À décommissionner",IF(AP$8&lt;$AS151,"IKS","Décom."),IF(OR($AQ151="",$AS151=""),"",IF(AP$8&lt;$AQ151,"IKS",IF(AP$8&lt;$AS151,IF(AP$8=$AR151,"Bascule","Double run"),"ROKS"))))))</f>
        <v/>
      </c>
      <c r="AQ151" s="0" t="str">
        <f aca="false">IF($A151="","",INDEX(TblApplications[Mois prov (calc)],$A151))</f>
        <v/>
      </c>
      <c r="AR151" s="0" t="str">
        <f aca="false">IF($A151="","",IFERROR(DATE(YEAR(INDEX(TblApplications[Mois bascule],$A151)),MONTH(INDEX(TblApplications[Mois bascule],$A151)),1),""))</f>
        <v/>
      </c>
      <c r="AS151" s="0" t="str">
        <f aca="false">IF($A151="","",INDEX(TblApplications[Mois lib (calc)],$A151))</f>
        <v/>
      </c>
    </row>
    <row r="152" customFormat="false" ht="15" hidden="false" customHeight="false" outlineLevel="0" collapsed="false">
      <c r="A152" s="49" t="str">
        <f aca="false">IFERROR(MATCH(144,TblApplications[Rang frise],0),"")</f>
        <v/>
      </c>
      <c r="B152" s="50" t="str">
        <f aca="false">IF($A152="","",INDEX(TblApplications[ID],$A152))</f>
        <v/>
      </c>
      <c r="C152" s="50" t="str">
        <f aca="false">IF($A152="","",INDEX(TblApplications[Application],$A152))</f>
        <v/>
      </c>
      <c r="D152" s="50" t="str">
        <f aca="false">IF($A152="","",INDEX(TblApplications[Environnement],$A152))</f>
        <v/>
      </c>
      <c r="E152" s="50" t="str">
        <f aca="false">IF($A152="","",INDEX(TblApplications[Couloir],$A152))</f>
        <v/>
      </c>
      <c r="F152" s="50" t="str">
        <f aca="false">IF($A152="","",INDEX(TblApplications[Action],$A152))</f>
        <v/>
      </c>
      <c r="G152" s="51" t="str">
        <f aca="false">IF(OR($A152="",G$8=""),"",IF($F152="Migré","ROKS",IF($F152="À décommissionner",IF(G$8&lt;$AS152,"IKS","Décom."),IF(OR($AQ152="",$AS152=""),"",IF(G$8&lt;$AQ152,"IKS",IF(G$8&lt;$AS152,IF(G$8=$AR152,"Bascule","Double run"),"ROKS"))))))</f>
        <v/>
      </c>
      <c r="H152" s="51" t="str">
        <f aca="false">IF(OR($A152="",H$8=""),"",IF($F152="Migré","ROKS",IF($F152="À décommissionner",IF(H$8&lt;$AS152,"IKS","Décom."),IF(OR($AQ152="",$AS152=""),"",IF(H$8&lt;$AQ152,"IKS",IF(H$8&lt;$AS152,IF(H$8=$AR152,"Bascule","Double run"),"ROKS"))))))</f>
        <v/>
      </c>
      <c r="I152" s="51" t="str">
        <f aca="false">IF(OR($A152="",I$8=""),"",IF($F152="Migré","ROKS",IF($F152="À décommissionner",IF(I$8&lt;$AS152,"IKS","Décom."),IF(OR($AQ152="",$AS152=""),"",IF(I$8&lt;$AQ152,"IKS",IF(I$8&lt;$AS152,IF(I$8=$AR152,"Bascule","Double run"),"ROKS"))))))</f>
        <v/>
      </c>
      <c r="J152" s="51" t="str">
        <f aca="false">IF(OR($A152="",J$8=""),"",IF($F152="Migré","ROKS",IF($F152="À décommissionner",IF(J$8&lt;$AS152,"IKS","Décom."),IF(OR($AQ152="",$AS152=""),"",IF(J$8&lt;$AQ152,"IKS",IF(J$8&lt;$AS152,IF(J$8=$AR152,"Bascule","Double run"),"ROKS"))))))</f>
        <v/>
      </c>
      <c r="K152" s="51" t="str">
        <f aca="false">IF(OR($A152="",K$8=""),"",IF($F152="Migré","ROKS",IF($F152="À décommissionner",IF(K$8&lt;$AS152,"IKS","Décom."),IF(OR($AQ152="",$AS152=""),"",IF(K$8&lt;$AQ152,"IKS",IF(K$8&lt;$AS152,IF(K$8=$AR152,"Bascule","Double run"),"ROKS"))))))</f>
        <v/>
      </c>
      <c r="L152" s="51" t="str">
        <f aca="false">IF(OR($A152="",L$8=""),"",IF($F152="Migré","ROKS",IF($F152="À décommissionner",IF(L$8&lt;$AS152,"IKS","Décom."),IF(OR($AQ152="",$AS152=""),"",IF(L$8&lt;$AQ152,"IKS",IF(L$8&lt;$AS152,IF(L$8=$AR152,"Bascule","Double run"),"ROKS"))))))</f>
        <v/>
      </c>
      <c r="M152" s="51" t="str">
        <f aca="false">IF(OR($A152="",M$8=""),"",IF($F152="Migré","ROKS",IF($F152="À décommissionner",IF(M$8&lt;$AS152,"IKS","Décom."),IF(OR($AQ152="",$AS152=""),"",IF(M$8&lt;$AQ152,"IKS",IF(M$8&lt;$AS152,IF(M$8=$AR152,"Bascule","Double run"),"ROKS"))))))</f>
        <v/>
      </c>
      <c r="N152" s="51" t="str">
        <f aca="false">IF(OR($A152="",N$8=""),"",IF($F152="Migré","ROKS",IF($F152="À décommissionner",IF(N$8&lt;$AS152,"IKS","Décom."),IF(OR($AQ152="",$AS152=""),"",IF(N$8&lt;$AQ152,"IKS",IF(N$8&lt;$AS152,IF(N$8=$AR152,"Bascule","Double run"),"ROKS"))))))</f>
        <v/>
      </c>
      <c r="O152" s="51" t="str">
        <f aca="false">IF(OR($A152="",O$8=""),"",IF($F152="Migré","ROKS",IF($F152="À décommissionner",IF(O$8&lt;$AS152,"IKS","Décom."),IF(OR($AQ152="",$AS152=""),"",IF(O$8&lt;$AQ152,"IKS",IF(O$8&lt;$AS152,IF(O$8=$AR152,"Bascule","Double run"),"ROKS"))))))</f>
        <v/>
      </c>
      <c r="P152" s="51" t="str">
        <f aca="false">IF(OR($A152="",P$8=""),"",IF($F152="Migré","ROKS",IF($F152="À décommissionner",IF(P$8&lt;$AS152,"IKS","Décom."),IF(OR($AQ152="",$AS152=""),"",IF(P$8&lt;$AQ152,"IKS",IF(P$8&lt;$AS152,IF(P$8=$AR152,"Bascule","Double run"),"ROKS"))))))</f>
        <v/>
      </c>
      <c r="Q152" s="51" t="str">
        <f aca="false">IF(OR($A152="",Q$8=""),"",IF($F152="Migré","ROKS",IF($F152="À décommissionner",IF(Q$8&lt;$AS152,"IKS","Décom."),IF(OR($AQ152="",$AS152=""),"",IF(Q$8&lt;$AQ152,"IKS",IF(Q$8&lt;$AS152,IF(Q$8=$AR152,"Bascule","Double run"),"ROKS"))))))</f>
        <v/>
      </c>
      <c r="R152" s="51" t="str">
        <f aca="false">IF(OR($A152="",R$8=""),"",IF($F152="Migré","ROKS",IF($F152="À décommissionner",IF(R$8&lt;$AS152,"IKS","Décom."),IF(OR($AQ152="",$AS152=""),"",IF(R$8&lt;$AQ152,"IKS",IF(R$8&lt;$AS152,IF(R$8=$AR152,"Bascule","Double run"),"ROKS"))))))</f>
        <v/>
      </c>
      <c r="S152" s="51" t="str">
        <f aca="false">IF(OR($A152="",S$8=""),"",IF($F152="Migré","ROKS",IF($F152="À décommissionner",IF(S$8&lt;$AS152,"IKS","Décom."),IF(OR($AQ152="",$AS152=""),"",IF(S$8&lt;$AQ152,"IKS",IF(S$8&lt;$AS152,IF(S$8=$AR152,"Bascule","Double run"),"ROKS"))))))</f>
        <v/>
      </c>
      <c r="T152" s="51" t="str">
        <f aca="false">IF(OR($A152="",T$8=""),"",IF($F152="Migré","ROKS",IF($F152="À décommissionner",IF(T$8&lt;$AS152,"IKS","Décom."),IF(OR($AQ152="",$AS152=""),"",IF(T$8&lt;$AQ152,"IKS",IF(T$8&lt;$AS152,IF(T$8=$AR152,"Bascule","Double run"),"ROKS"))))))</f>
        <v/>
      </c>
      <c r="U152" s="51" t="str">
        <f aca="false">IF(OR($A152="",U$8=""),"",IF($F152="Migré","ROKS",IF($F152="À décommissionner",IF(U$8&lt;$AS152,"IKS","Décom."),IF(OR($AQ152="",$AS152=""),"",IF(U$8&lt;$AQ152,"IKS",IF(U$8&lt;$AS152,IF(U$8=$AR152,"Bascule","Double run"),"ROKS"))))))</f>
        <v/>
      </c>
      <c r="V152" s="51" t="str">
        <f aca="false">IF(OR($A152="",V$8=""),"",IF($F152="Migré","ROKS",IF($F152="À décommissionner",IF(V$8&lt;$AS152,"IKS","Décom."),IF(OR($AQ152="",$AS152=""),"",IF(V$8&lt;$AQ152,"IKS",IF(V$8&lt;$AS152,IF(V$8=$AR152,"Bascule","Double run"),"ROKS"))))))</f>
        <v/>
      </c>
      <c r="W152" s="51" t="str">
        <f aca="false">IF(OR($A152="",W$8=""),"",IF($F152="Migré","ROKS",IF($F152="À décommissionner",IF(W$8&lt;$AS152,"IKS","Décom."),IF(OR($AQ152="",$AS152=""),"",IF(W$8&lt;$AQ152,"IKS",IF(W$8&lt;$AS152,IF(W$8=$AR152,"Bascule","Double run"),"ROKS"))))))</f>
        <v/>
      </c>
      <c r="X152" s="51" t="str">
        <f aca="false">IF(OR($A152="",X$8=""),"",IF($F152="Migré","ROKS",IF($F152="À décommissionner",IF(X$8&lt;$AS152,"IKS","Décom."),IF(OR($AQ152="",$AS152=""),"",IF(X$8&lt;$AQ152,"IKS",IF(X$8&lt;$AS152,IF(X$8=$AR152,"Bascule","Double run"),"ROKS"))))))</f>
        <v/>
      </c>
      <c r="Y152" s="51" t="str">
        <f aca="false">IF(OR($A152="",Y$8=""),"",IF($F152="Migré","ROKS",IF($F152="À décommissionner",IF(Y$8&lt;$AS152,"IKS","Décom."),IF(OR($AQ152="",$AS152=""),"",IF(Y$8&lt;$AQ152,"IKS",IF(Y$8&lt;$AS152,IF(Y$8=$AR152,"Bascule","Double run"),"ROKS"))))))</f>
        <v/>
      </c>
      <c r="Z152" s="51" t="str">
        <f aca="false">IF(OR($A152="",Z$8=""),"",IF($F152="Migré","ROKS",IF($F152="À décommissionner",IF(Z$8&lt;$AS152,"IKS","Décom."),IF(OR($AQ152="",$AS152=""),"",IF(Z$8&lt;$AQ152,"IKS",IF(Z$8&lt;$AS152,IF(Z$8=$AR152,"Bascule","Double run"),"ROKS"))))))</f>
        <v/>
      </c>
      <c r="AA152" s="51" t="str">
        <f aca="false">IF(OR($A152="",AA$8=""),"",IF($F152="Migré","ROKS",IF($F152="À décommissionner",IF(AA$8&lt;$AS152,"IKS","Décom."),IF(OR($AQ152="",$AS152=""),"",IF(AA$8&lt;$AQ152,"IKS",IF(AA$8&lt;$AS152,IF(AA$8=$AR152,"Bascule","Double run"),"ROKS"))))))</f>
        <v/>
      </c>
      <c r="AB152" s="51" t="str">
        <f aca="false">IF(OR($A152="",AB$8=""),"",IF($F152="Migré","ROKS",IF($F152="À décommissionner",IF(AB$8&lt;$AS152,"IKS","Décom."),IF(OR($AQ152="",$AS152=""),"",IF(AB$8&lt;$AQ152,"IKS",IF(AB$8&lt;$AS152,IF(AB$8=$AR152,"Bascule","Double run"),"ROKS"))))))</f>
        <v/>
      </c>
      <c r="AC152" s="51" t="str">
        <f aca="false">IF(OR($A152="",AC$8=""),"",IF($F152="Migré","ROKS",IF($F152="À décommissionner",IF(AC$8&lt;$AS152,"IKS","Décom."),IF(OR($AQ152="",$AS152=""),"",IF(AC$8&lt;$AQ152,"IKS",IF(AC$8&lt;$AS152,IF(AC$8=$AR152,"Bascule","Double run"),"ROKS"))))))</f>
        <v/>
      </c>
      <c r="AD152" s="51" t="str">
        <f aca="false">IF(OR($A152="",AD$8=""),"",IF($F152="Migré","ROKS",IF($F152="À décommissionner",IF(AD$8&lt;$AS152,"IKS","Décom."),IF(OR($AQ152="",$AS152=""),"",IF(AD$8&lt;$AQ152,"IKS",IF(AD$8&lt;$AS152,IF(AD$8=$AR152,"Bascule","Double run"),"ROKS"))))))</f>
        <v/>
      </c>
      <c r="AE152" s="51" t="str">
        <f aca="false">IF(OR($A152="",AE$8=""),"",IF($F152="Migré","ROKS",IF($F152="À décommissionner",IF(AE$8&lt;$AS152,"IKS","Décom."),IF(OR($AQ152="",$AS152=""),"",IF(AE$8&lt;$AQ152,"IKS",IF(AE$8&lt;$AS152,IF(AE$8=$AR152,"Bascule","Double run"),"ROKS"))))))</f>
        <v/>
      </c>
      <c r="AF152" s="51" t="str">
        <f aca="false">IF(OR($A152="",AF$8=""),"",IF($F152="Migré","ROKS",IF($F152="À décommissionner",IF(AF$8&lt;$AS152,"IKS","Décom."),IF(OR($AQ152="",$AS152=""),"",IF(AF$8&lt;$AQ152,"IKS",IF(AF$8&lt;$AS152,IF(AF$8=$AR152,"Bascule","Double run"),"ROKS"))))))</f>
        <v/>
      </c>
      <c r="AG152" s="51" t="str">
        <f aca="false">IF(OR($A152="",AG$8=""),"",IF($F152="Migré","ROKS",IF($F152="À décommissionner",IF(AG$8&lt;$AS152,"IKS","Décom."),IF(OR($AQ152="",$AS152=""),"",IF(AG$8&lt;$AQ152,"IKS",IF(AG$8&lt;$AS152,IF(AG$8=$AR152,"Bascule","Double run"),"ROKS"))))))</f>
        <v/>
      </c>
      <c r="AH152" s="51" t="str">
        <f aca="false">IF(OR($A152="",AH$8=""),"",IF($F152="Migré","ROKS",IF($F152="À décommissionner",IF(AH$8&lt;$AS152,"IKS","Décom."),IF(OR($AQ152="",$AS152=""),"",IF(AH$8&lt;$AQ152,"IKS",IF(AH$8&lt;$AS152,IF(AH$8=$AR152,"Bascule","Double run"),"ROKS"))))))</f>
        <v/>
      </c>
      <c r="AI152" s="51" t="str">
        <f aca="false">IF(OR($A152="",AI$8=""),"",IF($F152="Migré","ROKS",IF($F152="À décommissionner",IF(AI$8&lt;$AS152,"IKS","Décom."),IF(OR($AQ152="",$AS152=""),"",IF(AI$8&lt;$AQ152,"IKS",IF(AI$8&lt;$AS152,IF(AI$8=$AR152,"Bascule","Double run"),"ROKS"))))))</f>
        <v/>
      </c>
      <c r="AJ152" s="51" t="str">
        <f aca="false">IF(OR($A152="",AJ$8=""),"",IF($F152="Migré","ROKS",IF($F152="À décommissionner",IF(AJ$8&lt;$AS152,"IKS","Décom."),IF(OR($AQ152="",$AS152=""),"",IF(AJ$8&lt;$AQ152,"IKS",IF(AJ$8&lt;$AS152,IF(AJ$8=$AR152,"Bascule","Double run"),"ROKS"))))))</f>
        <v/>
      </c>
      <c r="AK152" s="51" t="str">
        <f aca="false">IF(OR($A152="",AK$8=""),"",IF($F152="Migré","ROKS",IF($F152="À décommissionner",IF(AK$8&lt;$AS152,"IKS","Décom."),IF(OR($AQ152="",$AS152=""),"",IF(AK$8&lt;$AQ152,"IKS",IF(AK$8&lt;$AS152,IF(AK$8=$AR152,"Bascule","Double run"),"ROKS"))))))</f>
        <v/>
      </c>
      <c r="AL152" s="51" t="str">
        <f aca="false">IF(OR($A152="",AL$8=""),"",IF($F152="Migré","ROKS",IF($F152="À décommissionner",IF(AL$8&lt;$AS152,"IKS","Décom."),IF(OR($AQ152="",$AS152=""),"",IF(AL$8&lt;$AQ152,"IKS",IF(AL$8&lt;$AS152,IF(AL$8=$AR152,"Bascule","Double run"),"ROKS"))))))</f>
        <v/>
      </c>
      <c r="AM152" s="51" t="str">
        <f aca="false">IF(OR($A152="",AM$8=""),"",IF($F152="Migré","ROKS",IF($F152="À décommissionner",IF(AM$8&lt;$AS152,"IKS","Décom."),IF(OR($AQ152="",$AS152=""),"",IF(AM$8&lt;$AQ152,"IKS",IF(AM$8&lt;$AS152,IF(AM$8=$AR152,"Bascule","Double run"),"ROKS"))))))</f>
        <v/>
      </c>
      <c r="AN152" s="51" t="str">
        <f aca="false">IF(OR($A152="",AN$8=""),"",IF($F152="Migré","ROKS",IF($F152="À décommissionner",IF(AN$8&lt;$AS152,"IKS","Décom."),IF(OR($AQ152="",$AS152=""),"",IF(AN$8&lt;$AQ152,"IKS",IF(AN$8&lt;$AS152,IF(AN$8=$AR152,"Bascule","Double run"),"ROKS"))))))</f>
        <v/>
      </c>
      <c r="AO152" s="51" t="str">
        <f aca="false">IF(OR($A152="",AO$8=""),"",IF($F152="Migré","ROKS",IF($F152="À décommissionner",IF(AO$8&lt;$AS152,"IKS","Décom."),IF(OR($AQ152="",$AS152=""),"",IF(AO$8&lt;$AQ152,"IKS",IF(AO$8&lt;$AS152,IF(AO$8=$AR152,"Bascule","Double run"),"ROKS"))))))</f>
        <v/>
      </c>
      <c r="AP152" s="51" t="str">
        <f aca="false">IF(OR($A152="",AP$8=""),"",IF($F152="Migré","ROKS",IF($F152="À décommissionner",IF(AP$8&lt;$AS152,"IKS","Décom."),IF(OR($AQ152="",$AS152=""),"",IF(AP$8&lt;$AQ152,"IKS",IF(AP$8&lt;$AS152,IF(AP$8=$AR152,"Bascule","Double run"),"ROKS"))))))</f>
        <v/>
      </c>
      <c r="AQ152" s="0" t="str">
        <f aca="false">IF($A152="","",INDEX(TblApplications[Mois prov (calc)],$A152))</f>
        <v/>
      </c>
      <c r="AR152" s="0" t="str">
        <f aca="false">IF($A152="","",IFERROR(DATE(YEAR(INDEX(TblApplications[Mois bascule],$A152)),MONTH(INDEX(TblApplications[Mois bascule],$A152)),1),""))</f>
        <v/>
      </c>
      <c r="AS152" s="0" t="str">
        <f aca="false">IF($A152="","",INDEX(TblApplications[Mois lib (calc)],$A152))</f>
        <v/>
      </c>
    </row>
    <row r="153" customFormat="false" ht="15" hidden="false" customHeight="false" outlineLevel="0" collapsed="false">
      <c r="A153" s="49" t="str">
        <f aca="false">IFERROR(MATCH(145,TblApplications[Rang frise],0),"")</f>
        <v/>
      </c>
      <c r="B153" s="50" t="str">
        <f aca="false">IF($A153="","",INDEX(TblApplications[ID],$A153))</f>
        <v/>
      </c>
      <c r="C153" s="50" t="str">
        <f aca="false">IF($A153="","",INDEX(TblApplications[Application],$A153))</f>
        <v/>
      </c>
      <c r="D153" s="50" t="str">
        <f aca="false">IF($A153="","",INDEX(TblApplications[Environnement],$A153))</f>
        <v/>
      </c>
      <c r="E153" s="50" t="str">
        <f aca="false">IF($A153="","",INDEX(TblApplications[Couloir],$A153))</f>
        <v/>
      </c>
      <c r="F153" s="50" t="str">
        <f aca="false">IF($A153="","",INDEX(TblApplications[Action],$A153))</f>
        <v/>
      </c>
      <c r="G153" s="51" t="str">
        <f aca="false">IF(OR($A153="",G$8=""),"",IF($F153="Migré","ROKS",IF($F153="À décommissionner",IF(G$8&lt;$AS153,"IKS","Décom."),IF(OR($AQ153="",$AS153=""),"",IF(G$8&lt;$AQ153,"IKS",IF(G$8&lt;$AS153,IF(G$8=$AR153,"Bascule","Double run"),"ROKS"))))))</f>
        <v/>
      </c>
      <c r="H153" s="51" t="str">
        <f aca="false">IF(OR($A153="",H$8=""),"",IF($F153="Migré","ROKS",IF($F153="À décommissionner",IF(H$8&lt;$AS153,"IKS","Décom."),IF(OR($AQ153="",$AS153=""),"",IF(H$8&lt;$AQ153,"IKS",IF(H$8&lt;$AS153,IF(H$8=$AR153,"Bascule","Double run"),"ROKS"))))))</f>
        <v/>
      </c>
      <c r="I153" s="51" t="str">
        <f aca="false">IF(OR($A153="",I$8=""),"",IF($F153="Migré","ROKS",IF($F153="À décommissionner",IF(I$8&lt;$AS153,"IKS","Décom."),IF(OR($AQ153="",$AS153=""),"",IF(I$8&lt;$AQ153,"IKS",IF(I$8&lt;$AS153,IF(I$8=$AR153,"Bascule","Double run"),"ROKS"))))))</f>
        <v/>
      </c>
      <c r="J153" s="51" t="str">
        <f aca="false">IF(OR($A153="",J$8=""),"",IF($F153="Migré","ROKS",IF($F153="À décommissionner",IF(J$8&lt;$AS153,"IKS","Décom."),IF(OR($AQ153="",$AS153=""),"",IF(J$8&lt;$AQ153,"IKS",IF(J$8&lt;$AS153,IF(J$8=$AR153,"Bascule","Double run"),"ROKS"))))))</f>
        <v/>
      </c>
      <c r="K153" s="51" t="str">
        <f aca="false">IF(OR($A153="",K$8=""),"",IF($F153="Migré","ROKS",IF($F153="À décommissionner",IF(K$8&lt;$AS153,"IKS","Décom."),IF(OR($AQ153="",$AS153=""),"",IF(K$8&lt;$AQ153,"IKS",IF(K$8&lt;$AS153,IF(K$8=$AR153,"Bascule","Double run"),"ROKS"))))))</f>
        <v/>
      </c>
      <c r="L153" s="51" t="str">
        <f aca="false">IF(OR($A153="",L$8=""),"",IF($F153="Migré","ROKS",IF($F153="À décommissionner",IF(L$8&lt;$AS153,"IKS","Décom."),IF(OR($AQ153="",$AS153=""),"",IF(L$8&lt;$AQ153,"IKS",IF(L$8&lt;$AS153,IF(L$8=$AR153,"Bascule","Double run"),"ROKS"))))))</f>
        <v/>
      </c>
      <c r="M153" s="51" t="str">
        <f aca="false">IF(OR($A153="",M$8=""),"",IF($F153="Migré","ROKS",IF($F153="À décommissionner",IF(M$8&lt;$AS153,"IKS","Décom."),IF(OR($AQ153="",$AS153=""),"",IF(M$8&lt;$AQ153,"IKS",IF(M$8&lt;$AS153,IF(M$8=$AR153,"Bascule","Double run"),"ROKS"))))))</f>
        <v/>
      </c>
      <c r="N153" s="51" t="str">
        <f aca="false">IF(OR($A153="",N$8=""),"",IF($F153="Migré","ROKS",IF($F153="À décommissionner",IF(N$8&lt;$AS153,"IKS","Décom."),IF(OR($AQ153="",$AS153=""),"",IF(N$8&lt;$AQ153,"IKS",IF(N$8&lt;$AS153,IF(N$8=$AR153,"Bascule","Double run"),"ROKS"))))))</f>
        <v/>
      </c>
      <c r="O153" s="51" t="str">
        <f aca="false">IF(OR($A153="",O$8=""),"",IF($F153="Migré","ROKS",IF($F153="À décommissionner",IF(O$8&lt;$AS153,"IKS","Décom."),IF(OR($AQ153="",$AS153=""),"",IF(O$8&lt;$AQ153,"IKS",IF(O$8&lt;$AS153,IF(O$8=$AR153,"Bascule","Double run"),"ROKS"))))))</f>
        <v/>
      </c>
      <c r="P153" s="51" t="str">
        <f aca="false">IF(OR($A153="",P$8=""),"",IF($F153="Migré","ROKS",IF($F153="À décommissionner",IF(P$8&lt;$AS153,"IKS","Décom."),IF(OR($AQ153="",$AS153=""),"",IF(P$8&lt;$AQ153,"IKS",IF(P$8&lt;$AS153,IF(P$8=$AR153,"Bascule","Double run"),"ROKS"))))))</f>
        <v/>
      </c>
      <c r="Q153" s="51" t="str">
        <f aca="false">IF(OR($A153="",Q$8=""),"",IF($F153="Migré","ROKS",IF($F153="À décommissionner",IF(Q$8&lt;$AS153,"IKS","Décom."),IF(OR($AQ153="",$AS153=""),"",IF(Q$8&lt;$AQ153,"IKS",IF(Q$8&lt;$AS153,IF(Q$8=$AR153,"Bascule","Double run"),"ROKS"))))))</f>
        <v/>
      </c>
      <c r="R153" s="51" t="str">
        <f aca="false">IF(OR($A153="",R$8=""),"",IF($F153="Migré","ROKS",IF($F153="À décommissionner",IF(R$8&lt;$AS153,"IKS","Décom."),IF(OR($AQ153="",$AS153=""),"",IF(R$8&lt;$AQ153,"IKS",IF(R$8&lt;$AS153,IF(R$8=$AR153,"Bascule","Double run"),"ROKS"))))))</f>
        <v/>
      </c>
      <c r="S153" s="51" t="str">
        <f aca="false">IF(OR($A153="",S$8=""),"",IF($F153="Migré","ROKS",IF($F153="À décommissionner",IF(S$8&lt;$AS153,"IKS","Décom."),IF(OR($AQ153="",$AS153=""),"",IF(S$8&lt;$AQ153,"IKS",IF(S$8&lt;$AS153,IF(S$8=$AR153,"Bascule","Double run"),"ROKS"))))))</f>
        <v/>
      </c>
      <c r="T153" s="51" t="str">
        <f aca="false">IF(OR($A153="",T$8=""),"",IF($F153="Migré","ROKS",IF($F153="À décommissionner",IF(T$8&lt;$AS153,"IKS","Décom."),IF(OR($AQ153="",$AS153=""),"",IF(T$8&lt;$AQ153,"IKS",IF(T$8&lt;$AS153,IF(T$8=$AR153,"Bascule","Double run"),"ROKS"))))))</f>
        <v/>
      </c>
      <c r="U153" s="51" t="str">
        <f aca="false">IF(OR($A153="",U$8=""),"",IF($F153="Migré","ROKS",IF($F153="À décommissionner",IF(U$8&lt;$AS153,"IKS","Décom."),IF(OR($AQ153="",$AS153=""),"",IF(U$8&lt;$AQ153,"IKS",IF(U$8&lt;$AS153,IF(U$8=$AR153,"Bascule","Double run"),"ROKS"))))))</f>
        <v/>
      </c>
      <c r="V153" s="51" t="str">
        <f aca="false">IF(OR($A153="",V$8=""),"",IF($F153="Migré","ROKS",IF($F153="À décommissionner",IF(V$8&lt;$AS153,"IKS","Décom."),IF(OR($AQ153="",$AS153=""),"",IF(V$8&lt;$AQ153,"IKS",IF(V$8&lt;$AS153,IF(V$8=$AR153,"Bascule","Double run"),"ROKS"))))))</f>
        <v/>
      </c>
      <c r="W153" s="51" t="str">
        <f aca="false">IF(OR($A153="",W$8=""),"",IF($F153="Migré","ROKS",IF($F153="À décommissionner",IF(W$8&lt;$AS153,"IKS","Décom."),IF(OR($AQ153="",$AS153=""),"",IF(W$8&lt;$AQ153,"IKS",IF(W$8&lt;$AS153,IF(W$8=$AR153,"Bascule","Double run"),"ROKS"))))))</f>
        <v/>
      </c>
      <c r="X153" s="51" t="str">
        <f aca="false">IF(OR($A153="",X$8=""),"",IF($F153="Migré","ROKS",IF($F153="À décommissionner",IF(X$8&lt;$AS153,"IKS","Décom."),IF(OR($AQ153="",$AS153=""),"",IF(X$8&lt;$AQ153,"IKS",IF(X$8&lt;$AS153,IF(X$8=$AR153,"Bascule","Double run"),"ROKS"))))))</f>
        <v/>
      </c>
      <c r="Y153" s="51" t="str">
        <f aca="false">IF(OR($A153="",Y$8=""),"",IF($F153="Migré","ROKS",IF($F153="À décommissionner",IF(Y$8&lt;$AS153,"IKS","Décom."),IF(OR($AQ153="",$AS153=""),"",IF(Y$8&lt;$AQ153,"IKS",IF(Y$8&lt;$AS153,IF(Y$8=$AR153,"Bascule","Double run"),"ROKS"))))))</f>
        <v/>
      </c>
      <c r="Z153" s="51" t="str">
        <f aca="false">IF(OR($A153="",Z$8=""),"",IF($F153="Migré","ROKS",IF($F153="À décommissionner",IF(Z$8&lt;$AS153,"IKS","Décom."),IF(OR($AQ153="",$AS153=""),"",IF(Z$8&lt;$AQ153,"IKS",IF(Z$8&lt;$AS153,IF(Z$8=$AR153,"Bascule","Double run"),"ROKS"))))))</f>
        <v/>
      </c>
      <c r="AA153" s="51" t="str">
        <f aca="false">IF(OR($A153="",AA$8=""),"",IF($F153="Migré","ROKS",IF($F153="À décommissionner",IF(AA$8&lt;$AS153,"IKS","Décom."),IF(OR($AQ153="",$AS153=""),"",IF(AA$8&lt;$AQ153,"IKS",IF(AA$8&lt;$AS153,IF(AA$8=$AR153,"Bascule","Double run"),"ROKS"))))))</f>
        <v/>
      </c>
      <c r="AB153" s="51" t="str">
        <f aca="false">IF(OR($A153="",AB$8=""),"",IF($F153="Migré","ROKS",IF($F153="À décommissionner",IF(AB$8&lt;$AS153,"IKS","Décom."),IF(OR($AQ153="",$AS153=""),"",IF(AB$8&lt;$AQ153,"IKS",IF(AB$8&lt;$AS153,IF(AB$8=$AR153,"Bascule","Double run"),"ROKS"))))))</f>
        <v/>
      </c>
      <c r="AC153" s="51" t="str">
        <f aca="false">IF(OR($A153="",AC$8=""),"",IF($F153="Migré","ROKS",IF($F153="À décommissionner",IF(AC$8&lt;$AS153,"IKS","Décom."),IF(OR($AQ153="",$AS153=""),"",IF(AC$8&lt;$AQ153,"IKS",IF(AC$8&lt;$AS153,IF(AC$8=$AR153,"Bascule","Double run"),"ROKS"))))))</f>
        <v/>
      </c>
      <c r="AD153" s="51" t="str">
        <f aca="false">IF(OR($A153="",AD$8=""),"",IF($F153="Migré","ROKS",IF($F153="À décommissionner",IF(AD$8&lt;$AS153,"IKS","Décom."),IF(OR($AQ153="",$AS153=""),"",IF(AD$8&lt;$AQ153,"IKS",IF(AD$8&lt;$AS153,IF(AD$8=$AR153,"Bascule","Double run"),"ROKS"))))))</f>
        <v/>
      </c>
      <c r="AE153" s="51" t="str">
        <f aca="false">IF(OR($A153="",AE$8=""),"",IF($F153="Migré","ROKS",IF($F153="À décommissionner",IF(AE$8&lt;$AS153,"IKS","Décom."),IF(OR($AQ153="",$AS153=""),"",IF(AE$8&lt;$AQ153,"IKS",IF(AE$8&lt;$AS153,IF(AE$8=$AR153,"Bascule","Double run"),"ROKS"))))))</f>
        <v/>
      </c>
      <c r="AF153" s="51" t="str">
        <f aca="false">IF(OR($A153="",AF$8=""),"",IF($F153="Migré","ROKS",IF($F153="À décommissionner",IF(AF$8&lt;$AS153,"IKS","Décom."),IF(OR($AQ153="",$AS153=""),"",IF(AF$8&lt;$AQ153,"IKS",IF(AF$8&lt;$AS153,IF(AF$8=$AR153,"Bascule","Double run"),"ROKS"))))))</f>
        <v/>
      </c>
      <c r="AG153" s="51" t="str">
        <f aca="false">IF(OR($A153="",AG$8=""),"",IF($F153="Migré","ROKS",IF($F153="À décommissionner",IF(AG$8&lt;$AS153,"IKS","Décom."),IF(OR($AQ153="",$AS153=""),"",IF(AG$8&lt;$AQ153,"IKS",IF(AG$8&lt;$AS153,IF(AG$8=$AR153,"Bascule","Double run"),"ROKS"))))))</f>
        <v/>
      </c>
      <c r="AH153" s="51" t="str">
        <f aca="false">IF(OR($A153="",AH$8=""),"",IF($F153="Migré","ROKS",IF($F153="À décommissionner",IF(AH$8&lt;$AS153,"IKS","Décom."),IF(OR($AQ153="",$AS153=""),"",IF(AH$8&lt;$AQ153,"IKS",IF(AH$8&lt;$AS153,IF(AH$8=$AR153,"Bascule","Double run"),"ROKS"))))))</f>
        <v/>
      </c>
      <c r="AI153" s="51" t="str">
        <f aca="false">IF(OR($A153="",AI$8=""),"",IF($F153="Migré","ROKS",IF($F153="À décommissionner",IF(AI$8&lt;$AS153,"IKS","Décom."),IF(OR($AQ153="",$AS153=""),"",IF(AI$8&lt;$AQ153,"IKS",IF(AI$8&lt;$AS153,IF(AI$8=$AR153,"Bascule","Double run"),"ROKS"))))))</f>
        <v/>
      </c>
      <c r="AJ153" s="51" t="str">
        <f aca="false">IF(OR($A153="",AJ$8=""),"",IF($F153="Migré","ROKS",IF($F153="À décommissionner",IF(AJ$8&lt;$AS153,"IKS","Décom."),IF(OR($AQ153="",$AS153=""),"",IF(AJ$8&lt;$AQ153,"IKS",IF(AJ$8&lt;$AS153,IF(AJ$8=$AR153,"Bascule","Double run"),"ROKS"))))))</f>
        <v/>
      </c>
      <c r="AK153" s="51" t="str">
        <f aca="false">IF(OR($A153="",AK$8=""),"",IF($F153="Migré","ROKS",IF($F153="À décommissionner",IF(AK$8&lt;$AS153,"IKS","Décom."),IF(OR($AQ153="",$AS153=""),"",IF(AK$8&lt;$AQ153,"IKS",IF(AK$8&lt;$AS153,IF(AK$8=$AR153,"Bascule","Double run"),"ROKS"))))))</f>
        <v/>
      </c>
      <c r="AL153" s="51" t="str">
        <f aca="false">IF(OR($A153="",AL$8=""),"",IF($F153="Migré","ROKS",IF($F153="À décommissionner",IF(AL$8&lt;$AS153,"IKS","Décom."),IF(OR($AQ153="",$AS153=""),"",IF(AL$8&lt;$AQ153,"IKS",IF(AL$8&lt;$AS153,IF(AL$8=$AR153,"Bascule","Double run"),"ROKS"))))))</f>
        <v/>
      </c>
      <c r="AM153" s="51" t="str">
        <f aca="false">IF(OR($A153="",AM$8=""),"",IF($F153="Migré","ROKS",IF($F153="À décommissionner",IF(AM$8&lt;$AS153,"IKS","Décom."),IF(OR($AQ153="",$AS153=""),"",IF(AM$8&lt;$AQ153,"IKS",IF(AM$8&lt;$AS153,IF(AM$8=$AR153,"Bascule","Double run"),"ROKS"))))))</f>
        <v/>
      </c>
      <c r="AN153" s="51" t="str">
        <f aca="false">IF(OR($A153="",AN$8=""),"",IF($F153="Migré","ROKS",IF($F153="À décommissionner",IF(AN$8&lt;$AS153,"IKS","Décom."),IF(OR($AQ153="",$AS153=""),"",IF(AN$8&lt;$AQ153,"IKS",IF(AN$8&lt;$AS153,IF(AN$8=$AR153,"Bascule","Double run"),"ROKS"))))))</f>
        <v/>
      </c>
      <c r="AO153" s="51" t="str">
        <f aca="false">IF(OR($A153="",AO$8=""),"",IF($F153="Migré","ROKS",IF($F153="À décommissionner",IF(AO$8&lt;$AS153,"IKS","Décom."),IF(OR($AQ153="",$AS153=""),"",IF(AO$8&lt;$AQ153,"IKS",IF(AO$8&lt;$AS153,IF(AO$8=$AR153,"Bascule","Double run"),"ROKS"))))))</f>
        <v/>
      </c>
      <c r="AP153" s="51" t="str">
        <f aca="false">IF(OR($A153="",AP$8=""),"",IF($F153="Migré","ROKS",IF($F153="À décommissionner",IF(AP$8&lt;$AS153,"IKS","Décom."),IF(OR($AQ153="",$AS153=""),"",IF(AP$8&lt;$AQ153,"IKS",IF(AP$8&lt;$AS153,IF(AP$8=$AR153,"Bascule","Double run"),"ROKS"))))))</f>
        <v/>
      </c>
      <c r="AQ153" s="0" t="str">
        <f aca="false">IF($A153="","",INDEX(TblApplications[Mois prov (calc)],$A153))</f>
        <v/>
      </c>
      <c r="AR153" s="0" t="str">
        <f aca="false">IF($A153="","",IFERROR(DATE(YEAR(INDEX(TblApplications[Mois bascule],$A153)),MONTH(INDEX(TblApplications[Mois bascule],$A153)),1),""))</f>
        <v/>
      </c>
      <c r="AS153" s="0" t="str">
        <f aca="false">IF($A153="","",INDEX(TblApplications[Mois lib (calc)],$A153))</f>
        <v/>
      </c>
    </row>
    <row r="154" customFormat="false" ht="15" hidden="false" customHeight="false" outlineLevel="0" collapsed="false">
      <c r="A154" s="49" t="str">
        <f aca="false">IFERROR(MATCH(146,TblApplications[Rang frise],0),"")</f>
        <v/>
      </c>
      <c r="B154" s="50" t="str">
        <f aca="false">IF($A154="","",INDEX(TblApplications[ID],$A154))</f>
        <v/>
      </c>
      <c r="C154" s="50" t="str">
        <f aca="false">IF($A154="","",INDEX(TblApplications[Application],$A154))</f>
        <v/>
      </c>
      <c r="D154" s="50" t="str">
        <f aca="false">IF($A154="","",INDEX(TblApplications[Environnement],$A154))</f>
        <v/>
      </c>
      <c r="E154" s="50" t="str">
        <f aca="false">IF($A154="","",INDEX(TblApplications[Couloir],$A154))</f>
        <v/>
      </c>
      <c r="F154" s="50" t="str">
        <f aca="false">IF($A154="","",INDEX(TblApplications[Action],$A154))</f>
        <v/>
      </c>
      <c r="G154" s="51" t="str">
        <f aca="false">IF(OR($A154="",G$8=""),"",IF($F154="Migré","ROKS",IF($F154="À décommissionner",IF(G$8&lt;$AS154,"IKS","Décom."),IF(OR($AQ154="",$AS154=""),"",IF(G$8&lt;$AQ154,"IKS",IF(G$8&lt;$AS154,IF(G$8=$AR154,"Bascule","Double run"),"ROKS"))))))</f>
        <v/>
      </c>
      <c r="H154" s="51" t="str">
        <f aca="false">IF(OR($A154="",H$8=""),"",IF($F154="Migré","ROKS",IF($F154="À décommissionner",IF(H$8&lt;$AS154,"IKS","Décom."),IF(OR($AQ154="",$AS154=""),"",IF(H$8&lt;$AQ154,"IKS",IF(H$8&lt;$AS154,IF(H$8=$AR154,"Bascule","Double run"),"ROKS"))))))</f>
        <v/>
      </c>
      <c r="I154" s="51" t="str">
        <f aca="false">IF(OR($A154="",I$8=""),"",IF($F154="Migré","ROKS",IF($F154="À décommissionner",IF(I$8&lt;$AS154,"IKS","Décom."),IF(OR($AQ154="",$AS154=""),"",IF(I$8&lt;$AQ154,"IKS",IF(I$8&lt;$AS154,IF(I$8=$AR154,"Bascule","Double run"),"ROKS"))))))</f>
        <v/>
      </c>
      <c r="J154" s="51" t="str">
        <f aca="false">IF(OR($A154="",J$8=""),"",IF($F154="Migré","ROKS",IF($F154="À décommissionner",IF(J$8&lt;$AS154,"IKS","Décom."),IF(OR($AQ154="",$AS154=""),"",IF(J$8&lt;$AQ154,"IKS",IF(J$8&lt;$AS154,IF(J$8=$AR154,"Bascule","Double run"),"ROKS"))))))</f>
        <v/>
      </c>
      <c r="K154" s="51" t="str">
        <f aca="false">IF(OR($A154="",K$8=""),"",IF($F154="Migré","ROKS",IF($F154="À décommissionner",IF(K$8&lt;$AS154,"IKS","Décom."),IF(OR($AQ154="",$AS154=""),"",IF(K$8&lt;$AQ154,"IKS",IF(K$8&lt;$AS154,IF(K$8=$AR154,"Bascule","Double run"),"ROKS"))))))</f>
        <v/>
      </c>
      <c r="L154" s="51" t="str">
        <f aca="false">IF(OR($A154="",L$8=""),"",IF($F154="Migré","ROKS",IF($F154="À décommissionner",IF(L$8&lt;$AS154,"IKS","Décom."),IF(OR($AQ154="",$AS154=""),"",IF(L$8&lt;$AQ154,"IKS",IF(L$8&lt;$AS154,IF(L$8=$AR154,"Bascule","Double run"),"ROKS"))))))</f>
        <v/>
      </c>
      <c r="M154" s="51" t="str">
        <f aca="false">IF(OR($A154="",M$8=""),"",IF($F154="Migré","ROKS",IF($F154="À décommissionner",IF(M$8&lt;$AS154,"IKS","Décom."),IF(OR($AQ154="",$AS154=""),"",IF(M$8&lt;$AQ154,"IKS",IF(M$8&lt;$AS154,IF(M$8=$AR154,"Bascule","Double run"),"ROKS"))))))</f>
        <v/>
      </c>
      <c r="N154" s="51" t="str">
        <f aca="false">IF(OR($A154="",N$8=""),"",IF($F154="Migré","ROKS",IF($F154="À décommissionner",IF(N$8&lt;$AS154,"IKS","Décom."),IF(OR($AQ154="",$AS154=""),"",IF(N$8&lt;$AQ154,"IKS",IF(N$8&lt;$AS154,IF(N$8=$AR154,"Bascule","Double run"),"ROKS"))))))</f>
        <v/>
      </c>
      <c r="O154" s="51" t="str">
        <f aca="false">IF(OR($A154="",O$8=""),"",IF($F154="Migré","ROKS",IF($F154="À décommissionner",IF(O$8&lt;$AS154,"IKS","Décom."),IF(OR($AQ154="",$AS154=""),"",IF(O$8&lt;$AQ154,"IKS",IF(O$8&lt;$AS154,IF(O$8=$AR154,"Bascule","Double run"),"ROKS"))))))</f>
        <v/>
      </c>
      <c r="P154" s="51" t="str">
        <f aca="false">IF(OR($A154="",P$8=""),"",IF($F154="Migré","ROKS",IF($F154="À décommissionner",IF(P$8&lt;$AS154,"IKS","Décom."),IF(OR($AQ154="",$AS154=""),"",IF(P$8&lt;$AQ154,"IKS",IF(P$8&lt;$AS154,IF(P$8=$AR154,"Bascule","Double run"),"ROKS"))))))</f>
        <v/>
      </c>
      <c r="Q154" s="51" t="str">
        <f aca="false">IF(OR($A154="",Q$8=""),"",IF($F154="Migré","ROKS",IF($F154="À décommissionner",IF(Q$8&lt;$AS154,"IKS","Décom."),IF(OR($AQ154="",$AS154=""),"",IF(Q$8&lt;$AQ154,"IKS",IF(Q$8&lt;$AS154,IF(Q$8=$AR154,"Bascule","Double run"),"ROKS"))))))</f>
        <v/>
      </c>
      <c r="R154" s="51" t="str">
        <f aca="false">IF(OR($A154="",R$8=""),"",IF($F154="Migré","ROKS",IF($F154="À décommissionner",IF(R$8&lt;$AS154,"IKS","Décom."),IF(OR($AQ154="",$AS154=""),"",IF(R$8&lt;$AQ154,"IKS",IF(R$8&lt;$AS154,IF(R$8=$AR154,"Bascule","Double run"),"ROKS"))))))</f>
        <v/>
      </c>
      <c r="S154" s="51" t="str">
        <f aca="false">IF(OR($A154="",S$8=""),"",IF($F154="Migré","ROKS",IF($F154="À décommissionner",IF(S$8&lt;$AS154,"IKS","Décom."),IF(OR($AQ154="",$AS154=""),"",IF(S$8&lt;$AQ154,"IKS",IF(S$8&lt;$AS154,IF(S$8=$AR154,"Bascule","Double run"),"ROKS"))))))</f>
        <v/>
      </c>
      <c r="T154" s="51" t="str">
        <f aca="false">IF(OR($A154="",T$8=""),"",IF($F154="Migré","ROKS",IF($F154="À décommissionner",IF(T$8&lt;$AS154,"IKS","Décom."),IF(OR($AQ154="",$AS154=""),"",IF(T$8&lt;$AQ154,"IKS",IF(T$8&lt;$AS154,IF(T$8=$AR154,"Bascule","Double run"),"ROKS"))))))</f>
        <v/>
      </c>
      <c r="U154" s="51" t="str">
        <f aca="false">IF(OR($A154="",U$8=""),"",IF($F154="Migré","ROKS",IF($F154="À décommissionner",IF(U$8&lt;$AS154,"IKS","Décom."),IF(OR($AQ154="",$AS154=""),"",IF(U$8&lt;$AQ154,"IKS",IF(U$8&lt;$AS154,IF(U$8=$AR154,"Bascule","Double run"),"ROKS"))))))</f>
        <v/>
      </c>
      <c r="V154" s="51" t="str">
        <f aca="false">IF(OR($A154="",V$8=""),"",IF($F154="Migré","ROKS",IF($F154="À décommissionner",IF(V$8&lt;$AS154,"IKS","Décom."),IF(OR($AQ154="",$AS154=""),"",IF(V$8&lt;$AQ154,"IKS",IF(V$8&lt;$AS154,IF(V$8=$AR154,"Bascule","Double run"),"ROKS"))))))</f>
        <v/>
      </c>
      <c r="W154" s="51" t="str">
        <f aca="false">IF(OR($A154="",W$8=""),"",IF($F154="Migré","ROKS",IF($F154="À décommissionner",IF(W$8&lt;$AS154,"IKS","Décom."),IF(OR($AQ154="",$AS154=""),"",IF(W$8&lt;$AQ154,"IKS",IF(W$8&lt;$AS154,IF(W$8=$AR154,"Bascule","Double run"),"ROKS"))))))</f>
        <v/>
      </c>
      <c r="X154" s="51" t="str">
        <f aca="false">IF(OR($A154="",X$8=""),"",IF($F154="Migré","ROKS",IF($F154="À décommissionner",IF(X$8&lt;$AS154,"IKS","Décom."),IF(OR($AQ154="",$AS154=""),"",IF(X$8&lt;$AQ154,"IKS",IF(X$8&lt;$AS154,IF(X$8=$AR154,"Bascule","Double run"),"ROKS"))))))</f>
        <v/>
      </c>
      <c r="Y154" s="51" t="str">
        <f aca="false">IF(OR($A154="",Y$8=""),"",IF($F154="Migré","ROKS",IF($F154="À décommissionner",IF(Y$8&lt;$AS154,"IKS","Décom."),IF(OR($AQ154="",$AS154=""),"",IF(Y$8&lt;$AQ154,"IKS",IF(Y$8&lt;$AS154,IF(Y$8=$AR154,"Bascule","Double run"),"ROKS"))))))</f>
        <v/>
      </c>
      <c r="Z154" s="51" t="str">
        <f aca="false">IF(OR($A154="",Z$8=""),"",IF($F154="Migré","ROKS",IF($F154="À décommissionner",IF(Z$8&lt;$AS154,"IKS","Décom."),IF(OR($AQ154="",$AS154=""),"",IF(Z$8&lt;$AQ154,"IKS",IF(Z$8&lt;$AS154,IF(Z$8=$AR154,"Bascule","Double run"),"ROKS"))))))</f>
        <v/>
      </c>
      <c r="AA154" s="51" t="str">
        <f aca="false">IF(OR($A154="",AA$8=""),"",IF($F154="Migré","ROKS",IF($F154="À décommissionner",IF(AA$8&lt;$AS154,"IKS","Décom."),IF(OR($AQ154="",$AS154=""),"",IF(AA$8&lt;$AQ154,"IKS",IF(AA$8&lt;$AS154,IF(AA$8=$AR154,"Bascule","Double run"),"ROKS"))))))</f>
        <v/>
      </c>
      <c r="AB154" s="51" t="str">
        <f aca="false">IF(OR($A154="",AB$8=""),"",IF($F154="Migré","ROKS",IF($F154="À décommissionner",IF(AB$8&lt;$AS154,"IKS","Décom."),IF(OR($AQ154="",$AS154=""),"",IF(AB$8&lt;$AQ154,"IKS",IF(AB$8&lt;$AS154,IF(AB$8=$AR154,"Bascule","Double run"),"ROKS"))))))</f>
        <v/>
      </c>
      <c r="AC154" s="51" t="str">
        <f aca="false">IF(OR($A154="",AC$8=""),"",IF($F154="Migré","ROKS",IF($F154="À décommissionner",IF(AC$8&lt;$AS154,"IKS","Décom."),IF(OR($AQ154="",$AS154=""),"",IF(AC$8&lt;$AQ154,"IKS",IF(AC$8&lt;$AS154,IF(AC$8=$AR154,"Bascule","Double run"),"ROKS"))))))</f>
        <v/>
      </c>
      <c r="AD154" s="51" t="str">
        <f aca="false">IF(OR($A154="",AD$8=""),"",IF($F154="Migré","ROKS",IF($F154="À décommissionner",IF(AD$8&lt;$AS154,"IKS","Décom."),IF(OR($AQ154="",$AS154=""),"",IF(AD$8&lt;$AQ154,"IKS",IF(AD$8&lt;$AS154,IF(AD$8=$AR154,"Bascule","Double run"),"ROKS"))))))</f>
        <v/>
      </c>
      <c r="AE154" s="51" t="str">
        <f aca="false">IF(OR($A154="",AE$8=""),"",IF($F154="Migré","ROKS",IF($F154="À décommissionner",IF(AE$8&lt;$AS154,"IKS","Décom."),IF(OR($AQ154="",$AS154=""),"",IF(AE$8&lt;$AQ154,"IKS",IF(AE$8&lt;$AS154,IF(AE$8=$AR154,"Bascule","Double run"),"ROKS"))))))</f>
        <v/>
      </c>
      <c r="AF154" s="51" t="str">
        <f aca="false">IF(OR($A154="",AF$8=""),"",IF($F154="Migré","ROKS",IF($F154="À décommissionner",IF(AF$8&lt;$AS154,"IKS","Décom."),IF(OR($AQ154="",$AS154=""),"",IF(AF$8&lt;$AQ154,"IKS",IF(AF$8&lt;$AS154,IF(AF$8=$AR154,"Bascule","Double run"),"ROKS"))))))</f>
        <v/>
      </c>
      <c r="AG154" s="51" t="str">
        <f aca="false">IF(OR($A154="",AG$8=""),"",IF($F154="Migré","ROKS",IF($F154="À décommissionner",IF(AG$8&lt;$AS154,"IKS","Décom."),IF(OR($AQ154="",$AS154=""),"",IF(AG$8&lt;$AQ154,"IKS",IF(AG$8&lt;$AS154,IF(AG$8=$AR154,"Bascule","Double run"),"ROKS"))))))</f>
        <v/>
      </c>
      <c r="AH154" s="51" t="str">
        <f aca="false">IF(OR($A154="",AH$8=""),"",IF($F154="Migré","ROKS",IF($F154="À décommissionner",IF(AH$8&lt;$AS154,"IKS","Décom."),IF(OR($AQ154="",$AS154=""),"",IF(AH$8&lt;$AQ154,"IKS",IF(AH$8&lt;$AS154,IF(AH$8=$AR154,"Bascule","Double run"),"ROKS"))))))</f>
        <v/>
      </c>
      <c r="AI154" s="51" t="str">
        <f aca="false">IF(OR($A154="",AI$8=""),"",IF($F154="Migré","ROKS",IF($F154="À décommissionner",IF(AI$8&lt;$AS154,"IKS","Décom."),IF(OR($AQ154="",$AS154=""),"",IF(AI$8&lt;$AQ154,"IKS",IF(AI$8&lt;$AS154,IF(AI$8=$AR154,"Bascule","Double run"),"ROKS"))))))</f>
        <v/>
      </c>
      <c r="AJ154" s="51" t="str">
        <f aca="false">IF(OR($A154="",AJ$8=""),"",IF($F154="Migré","ROKS",IF($F154="À décommissionner",IF(AJ$8&lt;$AS154,"IKS","Décom."),IF(OR($AQ154="",$AS154=""),"",IF(AJ$8&lt;$AQ154,"IKS",IF(AJ$8&lt;$AS154,IF(AJ$8=$AR154,"Bascule","Double run"),"ROKS"))))))</f>
        <v/>
      </c>
      <c r="AK154" s="51" t="str">
        <f aca="false">IF(OR($A154="",AK$8=""),"",IF($F154="Migré","ROKS",IF($F154="À décommissionner",IF(AK$8&lt;$AS154,"IKS","Décom."),IF(OR($AQ154="",$AS154=""),"",IF(AK$8&lt;$AQ154,"IKS",IF(AK$8&lt;$AS154,IF(AK$8=$AR154,"Bascule","Double run"),"ROKS"))))))</f>
        <v/>
      </c>
      <c r="AL154" s="51" t="str">
        <f aca="false">IF(OR($A154="",AL$8=""),"",IF($F154="Migré","ROKS",IF($F154="À décommissionner",IF(AL$8&lt;$AS154,"IKS","Décom."),IF(OR($AQ154="",$AS154=""),"",IF(AL$8&lt;$AQ154,"IKS",IF(AL$8&lt;$AS154,IF(AL$8=$AR154,"Bascule","Double run"),"ROKS"))))))</f>
        <v/>
      </c>
      <c r="AM154" s="51" t="str">
        <f aca="false">IF(OR($A154="",AM$8=""),"",IF($F154="Migré","ROKS",IF($F154="À décommissionner",IF(AM$8&lt;$AS154,"IKS","Décom."),IF(OR($AQ154="",$AS154=""),"",IF(AM$8&lt;$AQ154,"IKS",IF(AM$8&lt;$AS154,IF(AM$8=$AR154,"Bascule","Double run"),"ROKS"))))))</f>
        <v/>
      </c>
      <c r="AN154" s="51" t="str">
        <f aca="false">IF(OR($A154="",AN$8=""),"",IF($F154="Migré","ROKS",IF($F154="À décommissionner",IF(AN$8&lt;$AS154,"IKS","Décom."),IF(OR($AQ154="",$AS154=""),"",IF(AN$8&lt;$AQ154,"IKS",IF(AN$8&lt;$AS154,IF(AN$8=$AR154,"Bascule","Double run"),"ROKS"))))))</f>
        <v/>
      </c>
      <c r="AO154" s="51" t="str">
        <f aca="false">IF(OR($A154="",AO$8=""),"",IF($F154="Migré","ROKS",IF($F154="À décommissionner",IF(AO$8&lt;$AS154,"IKS","Décom."),IF(OR($AQ154="",$AS154=""),"",IF(AO$8&lt;$AQ154,"IKS",IF(AO$8&lt;$AS154,IF(AO$8=$AR154,"Bascule","Double run"),"ROKS"))))))</f>
        <v/>
      </c>
      <c r="AP154" s="51" t="str">
        <f aca="false">IF(OR($A154="",AP$8=""),"",IF($F154="Migré","ROKS",IF($F154="À décommissionner",IF(AP$8&lt;$AS154,"IKS","Décom."),IF(OR($AQ154="",$AS154=""),"",IF(AP$8&lt;$AQ154,"IKS",IF(AP$8&lt;$AS154,IF(AP$8=$AR154,"Bascule","Double run"),"ROKS"))))))</f>
        <v/>
      </c>
      <c r="AQ154" s="0" t="str">
        <f aca="false">IF($A154="","",INDEX(TblApplications[Mois prov (calc)],$A154))</f>
        <v/>
      </c>
      <c r="AR154" s="0" t="str">
        <f aca="false">IF($A154="","",IFERROR(DATE(YEAR(INDEX(TblApplications[Mois bascule],$A154)),MONTH(INDEX(TblApplications[Mois bascule],$A154)),1),""))</f>
        <v/>
      </c>
      <c r="AS154" s="0" t="str">
        <f aca="false">IF($A154="","",INDEX(TblApplications[Mois lib (calc)],$A154))</f>
        <v/>
      </c>
    </row>
    <row r="155" customFormat="false" ht="15" hidden="false" customHeight="false" outlineLevel="0" collapsed="false">
      <c r="A155" s="49" t="str">
        <f aca="false">IFERROR(MATCH(147,TblApplications[Rang frise],0),"")</f>
        <v/>
      </c>
      <c r="B155" s="50" t="str">
        <f aca="false">IF($A155="","",INDEX(TblApplications[ID],$A155))</f>
        <v/>
      </c>
      <c r="C155" s="50" t="str">
        <f aca="false">IF($A155="","",INDEX(TblApplications[Application],$A155))</f>
        <v/>
      </c>
      <c r="D155" s="50" t="str">
        <f aca="false">IF($A155="","",INDEX(TblApplications[Environnement],$A155))</f>
        <v/>
      </c>
      <c r="E155" s="50" t="str">
        <f aca="false">IF($A155="","",INDEX(TblApplications[Couloir],$A155))</f>
        <v/>
      </c>
      <c r="F155" s="50" t="str">
        <f aca="false">IF($A155="","",INDEX(TblApplications[Action],$A155))</f>
        <v/>
      </c>
      <c r="G155" s="51" t="str">
        <f aca="false">IF(OR($A155="",G$8=""),"",IF($F155="Migré","ROKS",IF($F155="À décommissionner",IF(G$8&lt;$AS155,"IKS","Décom."),IF(OR($AQ155="",$AS155=""),"",IF(G$8&lt;$AQ155,"IKS",IF(G$8&lt;$AS155,IF(G$8=$AR155,"Bascule","Double run"),"ROKS"))))))</f>
        <v/>
      </c>
      <c r="H155" s="51" t="str">
        <f aca="false">IF(OR($A155="",H$8=""),"",IF($F155="Migré","ROKS",IF($F155="À décommissionner",IF(H$8&lt;$AS155,"IKS","Décom."),IF(OR($AQ155="",$AS155=""),"",IF(H$8&lt;$AQ155,"IKS",IF(H$8&lt;$AS155,IF(H$8=$AR155,"Bascule","Double run"),"ROKS"))))))</f>
        <v/>
      </c>
      <c r="I155" s="51" t="str">
        <f aca="false">IF(OR($A155="",I$8=""),"",IF($F155="Migré","ROKS",IF($F155="À décommissionner",IF(I$8&lt;$AS155,"IKS","Décom."),IF(OR($AQ155="",$AS155=""),"",IF(I$8&lt;$AQ155,"IKS",IF(I$8&lt;$AS155,IF(I$8=$AR155,"Bascule","Double run"),"ROKS"))))))</f>
        <v/>
      </c>
      <c r="J155" s="51" t="str">
        <f aca="false">IF(OR($A155="",J$8=""),"",IF($F155="Migré","ROKS",IF($F155="À décommissionner",IF(J$8&lt;$AS155,"IKS","Décom."),IF(OR($AQ155="",$AS155=""),"",IF(J$8&lt;$AQ155,"IKS",IF(J$8&lt;$AS155,IF(J$8=$AR155,"Bascule","Double run"),"ROKS"))))))</f>
        <v/>
      </c>
      <c r="K155" s="51" t="str">
        <f aca="false">IF(OR($A155="",K$8=""),"",IF($F155="Migré","ROKS",IF($F155="À décommissionner",IF(K$8&lt;$AS155,"IKS","Décom."),IF(OR($AQ155="",$AS155=""),"",IF(K$8&lt;$AQ155,"IKS",IF(K$8&lt;$AS155,IF(K$8=$AR155,"Bascule","Double run"),"ROKS"))))))</f>
        <v/>
      </c>
      <c r="L155" s="51" t="str">
        <f aca="false">IF(OR($A155="",L$8=""),"",IF($F155="Migré","ROKS",IF($F155="À décommissionner",IF(L$8&lt;$AS155,"IKS","Décom."),IF(OR($AQ155="",$AS155=""),"",IF(L$8&lt;$AQ155,"IKS",IF(L$8&lt;$AS155,IF(L$8=$AR155,"Bascule","Double run"),"ROKS"))))))</f>
        <v/>
      </c>
      <c r="M155" s="51" t="str">
        <f aca="false">IF(OR($A155="",M$8=""),"",IF($F155="Migré","ROKS",IF($F155="À décommissionner",IF(M$8&lt;$AS155,"IKS","Décom."),IF(OR($AQ155="",$AS155=""),"",IF(M$8&lt;$AQ155,"IKS",IF(M$8&lt;$AS155,IF(M$8=$AR155,"Bascule","Double run"),"ROKS"))))))</f>
        <v/>
      </c>
      <c r="N155" s="51" t="str">
        <f aca="false">IF(OR($A155="",N$8=""),"",IF($F155="Migré","ROKS",IF($F155="À décommissionner",IF(N$8&lt;$AS155,"IKS","Décom."),IF(OR($AQ155="",$AS155=""),"",IF(N$8&lt;$AQ155,"IKS",IF(N$8&lt;$AS155,IF(N$8=$AR155,"Bascule","Double run"),"ROKS"))))))</f>
        <v/>
      </c>
      <c r="O155" s="51" t="str">
        <f aca="false">IF(OR($A155="",O$8=""),"",IF($F155="Migré","ROKS",IF($F155="À décommissionner",IF(O$8&lt;$AS155,"IKS","Décom."),IF(OR($AQ155="",$AS155=""),"",IF(O$8&lt;$AQ155,"IKS",IF(O$8&lt;$AS155,IF(O$8=$AR155,"Bascule","Double run"),"ROKS"))))))</f>
        <v/>
      </c>
      <c r="P155" s="51" t="str">
        <f aca="false">IF(OR($A155="",P$8=""),"",IF($F155="Migré","ROKS",IF($F155="À décommissionner",IF(P$8&lt;$AS155,"IKS","Décom."),IF(OR($AQ155="",$AS155=""),"",IF(P$8&lt;$AQ155,"IKS",IF(P$8&lt;$AS155,IF(P$8=$AR155,"Bascule","Double run"),"ROKS"))))))</f>
        <v/>
      </c>
      <c r="Q155" s="51" t="str">
        <f aca="false">IF(OR($A155="",Q$8=""),"",IF($F155="Migré","ROKS",IF($F155="À décommissionner",IF(Q$8&lt;$AS155,"IKS","Décom."),IF(OR($AQ155="",$AS155=""),"",IF(Q$8&lt;$AQ155,"IKS",IF(Q$8&lt;$AS155,IF(Q$8=$AR155,"Bascule","Double run"),"ROKS"))))))</f>
        <v/>
      </c>
      <c r="R155" s="51" t="str">
        <f aca="false">IF(OR($A155="",R$8=""),"",IF($F155="Migré","ROKS",IF($F155="À décommissionner",IF(R$8&lt;$AS155,"IKS","Décom."),IF(OR($AQ155="",$AS155=""),"",IF(R$8&lt;$AQ155,"IKS",IF(R$8&lt;$AS155,IF(R$8=$AR155,"Bascule","Double run"),"ROKS"))))))</f>
        <v/>
      </c>
      <c r="S155" s="51" t="str">
        <f aca="false">IF(OR($A155="",S$8=""),"",IF($F155="Migré","ROKS",IF($F155="À décommissionner",IF(S$8&lt;$AS155,"IKS","Décom."),IF(OR($AQ155="",$AS155=""),"",IF(S$8&lt;$AQ155,"IKS",IF(S$8&lt;$AS155,IF(S$8=$AR155,"Bascule","Double run"),"ROKS"))))))</f>
        <v/>
      </c>
      <c r="T155" s="51" t="str">
        <f aca="false">IF(OR($A155="",T$8=""),"",IF($F155="Migré","ROKS",IF($F155="À décommissionner",IF(T$8&lt;$AS155,"IKS","Décom."),IF(OR($AQ155="",$AS155=""),"",IF(T$8&lt;$AQ155,"IKS",IF(T$8&lt;$AS155,IF(T$8=$AR155,"Bascule","Double run"),"ROKS"))))))</f>
        <v/>
      </c>
      <c r="U155" s="51" t="str">
        <f aca="false">IF(OR($A155="",U$8=""),"",IF($F155="Migré","ROKS",IF($F155="À décommissionner",IF(U$8&lt;$AS155,"IKS","Décom."),IF(OR($AQ155="",$AS155=""),"",IF(U$8&lt;$AQ155,"IKS",IF(U$8&lt;$AS155,IF(U$8=$AR155,"Bascule","Double run"),"ROKS"))))))</f>
        <v/>
      </c>
      <c r="V155" s="51" t="str">
        <f aca="false">IF(OR($A155="",V$8=""),"",IF($F155="Migré","ROKS",IF($F155="À décommissionner",IF(V$8&lt;$AS155,"IKS","Décom."),IF(OR($AQ155="",$AS155=""),"",IF(V$8&lt;$AQ155,"IKS",IF(V$8&lt;$AS155,IF(V$8=$AR155,"Bascule","Double run"),"ROKS"))))))</f>
        <v/>
      </c>
      <c r="W155" s="51" t="str">
        <f aca="false">IF(OR($A155="",W$8=""),"",IF($F155="Migré","ROKS",IF($F155="À décommissionner",IF(W$8&lt;$AS155,"IKS","Décom."),IF(OR($AQ155="",$AS155=""),"",IF(W$8&lt;$AQ155,"IKS",IF(W$8&lt;$AS155,IF(W$8=$AR155,"Bascule","Double run"),"ROKS"))))))</f>
        <v/>
      </c>
      <c r="X155" s="51" t="str">
        <f aca="false">IF(OR($A155="",X$8=""),"",IF($F155="Migré","ROKS",IF($F155="À décommissionner",IF(X$8&lt;$AS155,"IKS","Décom."),IF(OR($AQ155="",$AS155=""),"",IF(X$8&lt;$AQ155,"IKS",IF(X$8&lt;$AS155,IF(X$8=$AR155,"Bascule","Double run"),"ROKS"))))))</f>
        <v/>
      </c>
      <c r="Y155" s="51" t="str">
        <f aca="false">IF(OR($A155="",Y$8=""),"",IF($F155="Migré","ROKS",IF($F155="À décommissionner",IF(Y$8&lt;$AS155,"IKS","Décom."),IF(OR($AQ155="",$AS155=""),"",IF(Y$8&lt;$AQ155,"IKS",IF(Y$8&lt;$AS155,IF(Y$8=$AR155,"Bascule","Double run"),"ROKS"))))))</f>
        <v/>
      </c>
      <c r="Z155" s="51" t="str">
        <f aca="false">IF(OR($A155="",Z$8=""),"",IF($F155="Migré","ROKS",IF($F155="À décommissionner",IF(Z$8&lt;$AS155,"IKS","Décom."),IF(OR($AQ155="",$AS155=""),"",IF(Z$8&lt;$AQ155,"IKS",IF(Z$8&lt;$AS155,IF(Z$8=$AR155,"Bascule","Double run"),"ROKS"))))))</f>
        <v/>
      </c>
      <c r="AA155" s="51" t="str">
        <f aca="false">IF(OR($A155="",AA$8=""),"",IF($F155="Migré","ROKS",IF($F155="À décommissionner",IF(AA$8&lt;$AS155,"IKS","Décom."),IF(OR($AQ155="",$AS155=""),"",IF(AA$8&lt;$AQ155,"IKS",IF(AA$8&lt;$AS155,IF(AA$8=$AR155,"Bascule","Double run"),"ROKS"))))))</f>
        <v/>
      </c>
      <c r="AB155" s="51" t="str">
        <f aca="false">IF(OR($A155="",AB$8=""),"",IF($F155="Migré","ROKS",IF($F155="À décommissionner",IF(AB$8&lt;$AS155,"IKS","Décom."),IF(OR($AQ155="",$AS155=""),"",IF(AB$8&lt;$AQ155,"IKS",IF(AB$8&lt;$AS155,IF(AB$8=$AR155,"Bascule","Double run"),"ROKS"))))))</f>
        <v/>
      </c>
      <c r="AC155" s="51" t="str">
        <f aca="false">IF(OR($A155="",AC$8=""),"",IF($F155="Migré","ROKS",IF($F155="À décommissionner",IF(AC$8&lt;$AS155,"IKS","Décom."),IF(OR($AQ155="",$AS155=""),"",IF(AC$8&lt;$AQ155,"IKS",IF(AC$8&lt;$AS155,IF(AC$8=$AR155,"Bascule","Double run"),"ROKS"))))))</f>
        <v/>
      </c>
      <c r="AD155" s="51" t="str">
        <f aca="false">IF(OR($A155="",AD$8=""),"",IF($F155="Migré","ROKS",IF($F155="À décommissionner",IF(AD$8&lt;$AS155,"IKS","Décom."),IF(OR($AQ155="",$AS155=""),"",IF(AD$8&lt;$AQ155,"IKS",IF(AD$8&lt;$AS155,IF(AD$8=$AR155,"Bascule","Double run"),"ROKS"))))))</f>
        <v/>
      </c>
      <c r="AE155" s="51" t="str">
        <f aca="false">IF(OR($A155="",AE$8=""),"",IF($F155="Migré","ROKS",IF($F155="À décommissionner",IF(AE$8&lt;$AS155,"IKS","Décom."),IF(OR($AQ155="",$AS155=""),"",IF(AE$8&lt;$AQ155,"IKS",IF(AE$8&lt;$AS155,IF(AE$8=$AR155,"Bascule","Double run"),"ROKS"))))))</f>
        <v/>
      </c>
      <c r="AF155" s="51" t="str">
        <f aca="false">IF(OR($A155="",AF$8=""),"",IF($F155="Migré","ROKS",IF($F155="À décommissionner",IF(AF$8&lt;$AS155,"IKS","Décom."),IF(OR($AQ155="",$AS155=""),"",IF(AF$8&lt;$AQ155,"IKS",IF(AF$8&lt;$AS155,IF(AF$8=$AR155,"Bascule","Double run"),"ROKS"))))))</f>
        <v/>
      </c>
      <c r="AG155" s="51" t="str">
        <f aca="false">IF(OR($A155="",AG$8=""),"",IF($F155="Migré","ROKS",IF($F155="À décommissionner",IF(AG$8&lt;$AS155,"IKS","Décom."),IF(OR($AQ155="",$AS155=""),"",IF(AG$8&lt;$AQ155,"IKS",IF(AG$8&lt;$AS155,IF(AG$8=$AR155,"Bascule","Double run"),"ROKS"))))))</f>
        <v/>
      </c>
      <c r="AH155" s="51" t="str">
        <f aca="false">IF(OR($A155="",AH$8=""),"",IF($F155="Migré","ROKS",IF($F155="À décommissionner",IF(AH$8&lt;$AS155,"IKS","Décom."),IF(OR($AQ155="",$AS155=""),"",IF(AH$8&lt;$AQ155,"IKS",IF(AH$8&lt;$AS155,IF(AH$8=$AR155,"Bascule","Double run"),"ROKS"))))))</f>
        <v/>
      </c>
      <c r="AI155" s="51" t="str">
        <f aca="false">IF(OR($A155="",AI$8=""),"",IF($F155="Migré","ROKS",IF($F155="À décommissionner",IF(AI$8&lt;$AS155,"IKS","Décom."),IF(OR($AQ155="",$AS155=""),"",IF(AI$8&lt;$AQ155,"IKS",IF(AI$8&lt;$AS155,IF(AI$8=$AR155,"Bascule","Double run"),"ROKS"))))))</f>
        <v/>
      </c>
      <c r="AJ155" s="51" t="str">
        <f aca="false">IF(OR($A155="",AJ$8=""),"",IF($F155="Migré","ROKS",IF($F155="À décommissionner",IF(AJ$8&lt;$AS155,"IKS","Décom."),IF(OR($AQ155="",$AS155=""),"",IF(AJ$8&lt;$AQ155,"IKS",IF(AJ$8&lt;$AS155,IF(AJ$8=$AR155,"Bascule","Double run"),"ROKS"))))))</f>
        <v/>
      </c>
      <c r="AK155" s="51" t="str">
        <f aca="false">IF(OR($A155="",AK$8=""),"",IF($F155="Migré","ROKS",IF($F155="À décommissionner",IF(AK$8&lt;$AS155,"IKS","Décom."),IF(OR($AQ155="",$AS155=""),"",IF(AK$8&lt;$AQ155,"IKS",IF(AK$8&lt;$AS155,IF(AK$8=$AR155,"Bascule","Double run"),"ROKS"))))))</f>
        <v/>
      </c>
      <c r="AL155" s="51" t="str">
        <f aca="false">IF(OR($A155="",AL$8=""),"",IF($F155="Migré","ROKS",IF($F155="À décommissionner",IF(AL$8&lt;$AS155,"IKS","Décom."),IF(OR($AQ155="",$AS155=""),"",IF(AL$8&lt;$AQ155,"IKS",IF(AL$8&lt;$AS155,IF(AL$8=$AR155,"Bascule","Double run"),"ROKS"))))))</f>
        <v/>
      </c>
      <c r="AM155" s="51" t="str">
        <f aca="false">IF(OR($A155="",AM$8=""),"",IF($F155="Migré","ROKS",IF($F155="À décommissionner",IF(AM$8&lt;$AS155,"IKS","Décom."),IF(OR($AQ155="",$AS155=""),"",IF(AM$8&lt;$AQ155,"IKS",IF(AM$8&lt;$AS155,IF(AM$8=$AR155,"Bascule","Double run"),"ROKS"))))))</f>
        <v/>
      </c>
      <c r="AN155" s="51" t="str">
        <f aca="false">IF(OR($A155="",AN$8=""),"",IF($F155="Migré","ROKS",IF($F155="À décommissionner",IF(AN$8&lt;$AS155,"IKS","Décom."),IF(OR($AQ155="",$AS155=""),"",IF(AN$8&lt;$AQ155,"IKS",IF(AN$8&lt;$AS155,IF(AN$8=$AR155,"Bascule","Double run"),"ROKS"))))))</f>
        <v/>
      </c>
      <c r="AO155" s="51" t="str">
        <f aca="false">IF(OR($A155="",AO$8=""),"",IF($F155="Migré","ROKS",IF($F155="À décommissionner",IF(AO$8&lt;$AS155,"IKS","Décom."),IF(OR($AQ155="",$AS155=""),"",IF(AO$8&lt;$AQ155,"IKS",IF(AO$8&lt;$AS155,IF(AO$8=$AR155,"Bascule","Double run"),"ROKS"))))))</f>
        <v/>
      </c>
      <c r="AP155" s="51" t="str">
        <f aca="false">IF(OR($A155="",AP$8=""),"",IF($F155="Migré","ROKS",IF($F155="À décommissionner",IF(AP$8&lt;$AS155,"IKS","Décom."),IF(OR($AQ155="",$AS155=""),"",IF(AP$8&lt;$AQ155,"IKS",IF(AP$8&lt;$AS155,IF(AP$8=$AR155,"Bascule","Double run"),"ROKS"))))))</f>
        <v/>
      </c>
      <c r="AQ155" s="0" t="str">
        <f aca="false">IF($A155="","",INDEX(TblApplications[Mois prov (calc)],$A155))</f>
        <v/>
      </c>
      <c r="AR155" s="0" t="str">
        <f aca="false">IF($A155="","",IFERROR(DATE(YEAR(INDEX(TblApplications[Mois bascule],$A155)),MONTH(INDEX(TblApplications[Mois bascule],$A155)),1),""))</f>
        <v/>
      </c>
      <c r="AS155" s="0" t="str">
        <f aca="false">IF($A155="","",INDEX(TblApplications[Mois lib (calc)],$A155))</f>
        <v/>
      </c>
    </row>
    <row r="156" customFormat="false" ht="15" hidden="false" customHeight="false" outlineLevel="0" collapsed="false">
      <c r="A156" s="49" t="str">
        <f aca="false">IFERROR(MATCH(148,TblApplications[Rang frise],0),"")</f>
        <v/>
      </c>
      <c r="B156" s="50" t="str">
        <f aca="false">IF($A156="","",INDEX(TblApplications[ID],$A156))</f>
        <v/>
      </c>
      <c r="C156" s="50" t="str">
        <f aca="false">IF($A156="","",INDEX(TblApplications[Application],$A156))</f>
        <v/>
      </c>
      <c r="D156" s="50" t="str">
        <f aca="false">IF($A156="","",INDEX(TblApplications[Environnement],$A156))</f>
        <v/>
      </c>
      <c r="E156" s="50" t="str">
        <f aca="false">IF($A156="","",INDEX(TblApplications[Couloir],$A156))</f>
        <v/>
      </c>
      <c r="F156" s="50" t="str">
        <f aca="false">IF($A156="","",INDEX(TblApplications[Action],$A156))</f>
        <v/>
      </c>
      <c r="G156" s="51" t="str">
        <f aca="false">IF(OR($A156="",G$8=""),"",IF($F156="Migré","ROKS",IF($F156="À décommissionner",IF(G$8&lt;$AS156,"IKS","Décom."),IF(OR($AQ156="",$AS156=""),"",IF(G$8&lt;$AQ156,"IKS",IF(G$8&lt;$AS156,IF(G$8=$AR156,"Bascule","Double run"),"ROKS"))))))</f>
        <v/>
      </c>
      <c r="H156" s="51" t="str">
        <f aca="false">IF(OR($A156="",H$8=""),"",IF($F156="Migré","ROKS",IF($F156="À décommissionner",IF(H$8&lt;$AS156,"IKS","Décom."),IF(OR($AQ156="",$AS156=""),"",IF(H$8&lt;$AQ156,"IKS",IF(H$8&lt;$AS156,IF(H$8=$AR156,"Bascule","Double run"),"ROKS"))))))</f>
        <v/>
      </c>
      <c r="I156" s="51" t="str">
        <f aca="false">IF(OR($A156="",I$8=""),"",IF($F156="Migré","ROKS",IF($F156="À décommissionner",IF(I$8&lt;$AS156,"IKS","Décom."),IF(OR($AQ156="",$AS156=""),"",IF(I$8&lt;$AQ156,"IKS",IF(I$8&lt;$AS156,IF(I$8=$AR156,"Bascule","Double run"),"ROKS"))))))</f>
        <v/>
      </c>
      <c r="J156" s="51" t="str">
        <f aca="false">IF(OR($A156="",J$8=""),"",IF($F156="Migré","ROKS",IF($F156="À décommissionner",IF(J$8&lt;$AS156,"IKS","Décom."),IF(OR($AQ156="",$AS156=""),"",IF(J$8&lt;$AQ156,"IKS",IF(J$8&lt;$AS156,IF(J$8=$AR156,"Bascule","Double run"),"ROKS"))))))</f>
        <v/>
      </c>
      <c r="K156" s="51" t="str">
        <f aca="false">IF(OR($A156="",K$8=""),"",IF($F156="Migré","ROKS",IF($F156="À décommissionner",IF(K$8&lt;$AS156,"IKS","Décom."),IF(OR($AQ156="",$AS156=""),"",IF(K$8&lt;$AQ156,"IKS",IF(K$8&lt;$AS156,IF(K$8=$AR156,"Bascule","Double run"),"ROKS"))))))</f>
        <v/>
      </c>
      <c r="L156" s="51" t="str">
        <f aca="false">IF(OR($A156="",L$8=""),"",IF($F156="Migré","ROKS",IF($F156="À décommissionner",IF(L$8&lt;$AS156,"IKS","Décom."),IF(OR($AQ156="",$AS156=""),"",IF(L$8&lt;$AQ156,"IKS",IF(L$8&lt;$AS156,IF(L$8=$AR156,"Bascule","Double run"),"ROKS"))))))</f>
        <v/>
      </c>
      <c r="M156" s="51" t="str">
        <f aca="false">IF(OR($A156="",M$8=""),"",IF($F156="Migré","ROKS",IF($F156="À décommissionner",IF(M$8&lt;$AS156,"IKS","Décom."),IF(OR($AQ156="",$AS156=""),"",IF(M$8&lt;$AQ156,"IKS",IF(M$8&lt;$AS156,IF(M$8=$AR156,"Bascule","Double run"),"ROKS"))))))</f>
        <v/>
      </c>
      <c r="N156" s="51" t="str">
        <f aca="false">IF(OR($A156="",N$8=""),"",IF($F156="Migré","ROKS",IF($F156="À décommissionner",IF(N$8&lt;$AS156,"IKS","Décom."),IF(OR($AQ156="",$AS156=""),"",IF(N$8&lt;$AQ156,"IKS",IF(N$8&lt;$AS156,IF(N$8=$AR156,"Bascule","Double run"),"ROKS"))))))</f>
        <v/>
      </c>
      <c r="O156" s="51" t="str">
        <f aca="false">IF(OR($A156="",O$8=""),"",IF($F156="Migré","ROKS",IF($F156="À décommissionner",IF(O$8&lt;$AS156,"IKS","Décom."),IF(OR($AQ156="",$AS156=""),"",IF(O$8&lt;$AQ156,"IKS",IF(O$8&lt;$AS156,IF(O$8=$AR156,"Bascule","Double run"),"ROKS"))))))</f>
        <v/>
      </c>
      <c r="P156" s="51" t="str">
        <f aca="false">IF(OR($A156="",P$8=""),"",IF($F156="Migré","ROKS",IF($F156="À décommissionner",IF(P$8&lt;$AS156,"IKS","Décom."),IF(OR($AQ156="",$AS156=""),"",IF(P$8&lt;$AQ156,"IKS",IF(P$8&lt;$AS156,IF(P$8=$AR156,"Bascule","Double run"),"ROKS"))))))</f>
        <v/>
      </c>
      <c r="Q156" s="51" t="str">
        <f aca="false">IF(OR($A156="",Q$8=""),"",IF($F156="Migré","ROKS",IF($F156="À décommissionner",IF(Q$8&lt;$AS156,"IKS","Décom."),IF(OR($AQ156="",$AS156=""),"",IF(Q$8&lt;$AQ156,"IKS",IF(Q$8&lt;$AS156,IF(Q$8=$AR156,"Bascule","Double run"),"ROKS"))))))</f>
        <v/>
      </c>
      <c r="R156" s="51" t="str">
        <f aca="false">IF(OR($A156="",R$8=""),"",IF($F156="Migré","ROKS",IF($F156="À décommissionner",IF(R$8&lt;$AS156,"IKS","Décom."),IF(OR($AQ156="",$AS156=""),"",IF(R$8&lt;$AQ156,"IKS",IF(R$8&lt;$AS156,IF(R$8=$AR156,"Bascule","Double run"),"ROKS"))))))</f>
        <v/>
      </c>
      <c r="S156" s="51" t="str">
        <f aca="false">IF(OR($A156="",S$8=""),"",IF($F156="Migré","ROKS",IF($F156="À décommissionner",IF(S$8&lt;$AS156,"IKS","Décom."),IF(OR($AQ156="",$AS156=""),"",IF(S$8&lt;$AQ156,"IKS",IF(S$8&lt;$AS156,IF(S$8=$AR156,"Bascule","Double run"),"ROKS"))))))</f>
        <v/>
      </c>
      <c r="T156" s="51" t="str">
        <f aca="false">IF(OR($A156="",T$8=""),"",IF($F156="Migré","ROKS",IF($F156="À décommissionner",IF(T$8&lt;$AS156,"IKS","Décom."),IF(OR($AQ156="",$AS156=""),"",IF(T$8&lt;$AQ156,"IKS",IF(T$8&lt;$AS156,IF(T$8=$AR156,"Bascule","Double run"),"ROKS"))))))</f>
        <v/>
      </c>
      <c r="U156" s="51" t="str">
        <f aca="false">IF(OR($A156="",U$8=""),"",IF($F156="Migré","ROKS",IF($F156="À décommissionner",IF(U$8&lt;$AS156,"IKS","Décom."),IF(OR($AQ156="",$AS156=""),"",IF(U$8&lt;$AQ156,"IKS",IF(U$8&lt;$AS156,IF(U$8=$AR156,"Bascule","Double run"),"ROKS"))))))</f>
        <v/>
      </c>
      <c r="V156" s="51" t="str">
        <f aca="false">IF(OR($A156="",V$8=""),"",IF($F156="Migré","ROKS",IF($F156="À décommissionner",IF(V$8&lt;$AS156,"IKS","Décom."),IF(OR($AQ156="",$AS156=""),"",IF(V$8&lt;$AQ156,"IKS",IF(V$8&lt;$AS156,IF(V$8=$AR156,"Bascule","Double run"),"ROKS"))))))</f>
        <v/>
      </c>
      <c r="W156" s="51" t="str">
        <f aca="false">IF(OR($A156="",W$8=""),"",IF($F156="Migré","ROKS",IF($F156="À décommissionner",IF(W$8&lt;$AS156,"IKS","Décom."),IF(OR($AQ156="",$AS156=""),"",IF(W$8&lt;$AQ156,"IKS",IF(W$8&lt;$AS156,IF(W$8=$AR156,"Bascule","Double run"),"ROKS"))))))</f>
        <v/>
      </c>
      <c r="X156" s="51" t="str">
        <f aca="false">IF(OR($A156="",X$8=""),"",IF($F156="Migré","ROKS",IF($F156="À décommissionner",IF(X$8&lt;$AS156,"IKS","Décom."),IF(OR($AQ156="",$AS156=""),"",IF(X$8&lt;$AQ156,"IKS",IF(X$8&lt;$AS156,IF(X$8=$AR156,"Bascule","Double run"),"ROKS"))))))</f>
        <v/>
      </c>
      <c r="Y156" s="51" t="str">
        <f aca="false">IF(OR($A156="",Y$8=""),"",IF($F156="Migré","ROKS",IF($F156="À décommissionner",IF(Y$8&lt;$AS156,"IKS","Décom."),IF(OR($AQ156="",$AS156=""),"",IF(Y$8&lt;$AQ156,"IKS",IF(Y$8&lt;$AS156,IF(Y$8=$AR156,"Bascule","Double run"),"ROKS"))))))</f>
        <v/>
      </c>
      <c r="Z156" s="51" t="str">
        <f aca="false">IF(OR($A156="",Z$8=""),"",IF($F156="Migré","ROKS",IF($F156="À décommissionner",IF(Z$8&lt;$AS156,"IKS","Décom."),IF(OR($AQ156="",$AS156=""),"",IF(Z$8&lt;$AQ156,"IKS",IF(Z$8&lt;$AS156,IF(Z$8=$AR156,"Bascule","Double run"),"ROKS"))))))</f>
        <v/>
      </c>
      <c r="AA156" s="51" t="str">
        <f aca="false">IF(OR($A156="",AA$8=""),"",IF($F156="Migré","ROKS",IF($F156="À décommissionner",IF(AA$8&lt;$AS156,"IKS","Décom."),IF(OR($AQ156="",$AS156=""),"",IF(AA$8&lt;$AQ156,"IKS",IF(AA$8&lt;$AS156,IF(AA$8=$AR156,"Bascule","Double run"),"ROKS"))))))</f>
        <v/>
      </c>
      <c r="AB156" s="51" t="str">
        <f aca="false">IF(OR($A156="",AB$8=""),"",IF($F156="Migré","ROKS",IF($F156="À décommissionner",IF(AB$8&lt;$AS156,"IKS","Décom."),IF(OR($AQ156="",$AS156=""),"",IF(AB$8&lt;$AQ156,"IKS",IF(AB$8&lt;$AS156,IF(AB$8=$AR156,"Bascule","Double run"),"ROKS"))))))</f>
        <v/>
      </c>
      <c r="AC156" s="51" t="str">
        <f aca="false">IF(OR($A156="",AC$8=""),"",IF($F156="Migré","ROKS",IF($F156="À décommissionner",IF(AC$8&lt;$AS156,"IKS","Décom."),IF(OR($AQ156="",$AS156=""),"",IF(AC$8&lt;$AQ156,"IKS",IF(AC$8&lt;$AS156,IF(AC$8=$AR156,"Bascule","Double run"),"ROKS"))))))</f>
        <v/>
      </c>
      <c r="AD156" s="51" t="str">
        <f aca="false">IF(OR($A156="",AD$8=""),"",IF($F156="Migré","ROKS",IF($F156="À décommissionner",IF(AD$8&lt;$AS156,"IKS","Décom."),IF(OR($AQ156="",$AS156=""),"",IF(AD$8&lt;$AQ156,"IKS",IF(AD$8&lt;$AS156,IF(AD$8=$AR156,"Bascule","Double run"),"ROKS"))))))</f>
        <v/>
      </c>
      <c r="AE156" s="51" t="str">
        <f aca="false">IF(OR($A156="",AE$8=""),"",IF($F156="Migré","ROKS",IF($F156="À décommissionner",IF(AE$8&lt;$AS156,"IKS","Décom."),IF(OR($AQ156="",$AS156=""),"",IF(AE$8&lt;$AQ156,"IKS",IF(AE$8&lt;$AS156,IF(AE$8=$AR156,"Bascule","Double run"),"ROKS"))))))</f>
        <v/>
      </c>
      <c r="AF156" s="51" t="str">
        <f aca="false">IF(OR($A156="",AF$8=""),"",IF($F156="Migré","ROKS",IF($F156="À décommissionner",IF(AF$8&lt;$AS156,"IKS","Décom."),IF(OR($AQ156="",$AS156=""),"",IF(AF$8&lt;$AQ156,"IKS",IF(AF$8&lt;$AS156,IF(AF$8=$AR156,"Bascule","Double run"),"ROKS"))))))</f>
        <v/>
      </c>
      <c r="AG156" s="51" t="str">
        <f aca="false">IF(OR($A156="",AG$8=""),"",IF($F156="Migré","ROKS",IF($F156="À décommissionner",IF(AG$8&lt;$AS156,"IKS","Décom."),IF(OR($AQ156="",$AS156=""),"",IF(AG$8&lt;$AQ156,"IKS",IF(AG$8&lt;$AS156,IF(AG$8=$AR156,"Bascule","Double run"),"ROKS"))))))</f>
        <v/>
      </c>
      <c r="AH156" s="51" t="str">
        <f aca="false">IF(OR($A156="",AH$8=""),"",IF($F156="Migré","ROKS",IF($F156="À décommissionner",IF(AH$8&lt;$AS156,"IKS","Décom."),IF(OR($AQ156="",$AS156=""),"",IF(AH$8&lt;$AQ156,"IKS",IF(AH$8&lt;$AS156,IF(AH$8=$AR156,"Bascule","Double run"),"ROKS"))))))</f>
        <v/>
      </c>
      <c r="AI156" s="51" t="str">
        <f aca="false">IF(OR($A156="",AI$8=""),"",IF($F156="Migré","ROKS",IF($F156="À décommissionner",IF(AI$8&lt;$AS156,"IKS","Décom."),IF(OR($AQ156="",$AS156=""),"",IF(AI$8&lt;$AQ156,"IKS",IF(AI$8&lt;$AS156,IF(AI$8=$AR156,"Bascule","Double run"),"ROKS"))))))</f>
        <v/>
      </c>
      <c r="AJ156" s="51" t="str">
        <f aca="false">IF(OR($A156="",AJ$8=""),"",IF($F156="Migré","ROKS",IF($F156="À décommissionner",IF(AJ$8&lt;$AS156,"IKS","Décom."),IF(OR($AQ156="",$AS156=""),"",IF(AJ$8&lt;$AQ156,"IKS",IF(AJ$8&lt;$AS156,IF(AJ$8=$AR156,"Bascule","Double run"),"ROKS"))))))</f>
        <v/>
      </c>
      <c r="AK156" s="51" t="str">
        <f aca="false">IF(OR($A156="",AK$8=""),"",IF($F156="Migré","ROKS",IF($F156="À décommissionner",IF(AK$8&lt;$AS156,"IKS","Décom."),IF(OR($AQ156="",$AS156=""),"",IF(AK$8&lt;$AQ156,"IKS",IF(AK$8&lt;$AS156,IF(AK$8=$AR156,"Bascule","Double run"),"ROKS"))))))</f>
        <v/>
      </c>
      <c r="AL156" s="51" t="str">
        <f aca="false">IF(OR($A156="",AL$8=""),"",IF($F156="Migré","ROKS",IF($F156="À décommissionner",IF(AL$8&lt;$AS156,"IKS","Décom."),IF(OR($AQ156="",$AS156=""),"",IF(AL$8&lt;$AQ156,"IKS",IF(AL$8&lt;$AS156,IF(AL$8=$AR156,"Bascule","Double run"),"ROKS"))))))</f>
        <v/>
      </c>
      <c r="AM156" s="51" t="str">
        <f aca="false">IF(OR($A156="",AM$8=""),"",IF($F156="Migré","ROKS",IF($F156="À décommissionner",IF(AM$8&lt;$AS156,"IKS","Décom."),IF(OR($AQ156="",$AS156=""),"",IF(AM$8&lt;$AQ156,"IKS",IF(AM$8&lt;$AS156,IF(AM$8=$AR156,"Bascule","Double run"),"ROKS"))))))</f>
        <v/>
      </c>
      <c r="AN156" s="51" t="str">
        <f aca="false">IF(OR($A156="",AN$8=""),"",IF($F156="Migré","ROKS",IF($F156="À décommissionner",IF(AN$8&lt;$AS156,"IKS","Décom."),IF(OR($AQ156="",$AS156=""),"",IF(AN$8&lt;$AQ156,"IKS",IF(AN$8&lt;$AS156,IF(AN$8=$AR156,"Bascule","Double run"),"ROKS"))))))</f>
        <v/>
      </c>
      <c r="AO156" s="51" t="str">
        <f aca="false">IF(OR($A156="",AO$8=""),"",IF($F156="Migré","ROKS",IF($F156="À décommissionner",IF(AO$8&lt;$AS156,"IKS","Décom."),IF(OR($AQ156="",$AS156=""),"",IF(AO$8&lt;$AQ156,"IKS",IF(AO$8&lt;$AS156,IF(AO$8=$AR156,"Bascule","Double run"),"ROKS"))))))</f>
        <v/>
      </c>
      <c r="AP156" s="51" t="str">
        <f aca="false">IF(OR($A156="",AP$8=""),"",IF($F156="Migré","ROKS",IF($F156="À décommissionner",IF(AP$8&lt;$AS156,"IKS","Décom."),IF(OR($AQ156="",$AS156=""),"",IF(AP$8&lt;$AQ156,"IKS",IF(AP$8&lt;$AS156,IF(AP$8=$AR156,"Bascule","Double run"),"ROKS"))))))</f>
        <v/>
      </c>
      <c r="AQ156" s="0" t="str">
        <f aca="false">IF($A156="","",INDEX(TblApplications[Mois prov (calc)],$A156))</f>
        <v/>
      </c>
      <c r="AR156" s="0" t="str">
        <f aca="false">IF($A156="","",IFERROR(DATE(YEAR(INDEX(TblApplications[Mois bascule],$A156)),MONTH(INDEX(TblApplications[Mois bascule],$A156)),1),""))</f>
        <v/>
      </c>
      <c r="AS156" s="0" t="str">
        <f aca="false">IF($A156="","",INDEX(TblApplications[Mois lib (calc)],$A156))</f>
        <v/>
      </c>
    </row>
    <row r="157" customFormat="false" ht="15" hidden="false" customHeight="false" outlineLevel="0" collapsed="false">
      <c r="A157" s="49" t="str">
        <f aca="false">IFERROR(MATCH(149,TblApplications[Rang frise],0),"")</f>
        <v/>
      </c>
      <c r="B157" s="50" t="str">
        <f aca="false">IF($A157="","",INDEX(TblApplications[ID],$A157))</f>
        <v/>
      </c>
      <c r="C157" s="50" t="str">
        <f aca="false">IF($A157="","",INDEX(TblApplications[Application],$A157))</f>
        <v/>
      </c>
      <c r="D157" s="50" t="str">
        <f aca="false">IF($A157="","",INDEX(TblApplications[Environnement],$A157))</f>
        <v/>
      </c>
      <c r="E157" s="50" t="str">
        <f aca="false">IF($A157="","",INDEX(TblApplications[Couloir],$A157))</f>
        <v/>
      </c>
      <c r="F157" s="50" t="str">
        <f aca="false">IF($A157="","",INDEX(TblApplications[Action],$A157))</f>
        <v/>
      </c>
      <c r="G157" s="51" t="str">
        <f aca="false">IF(OR($A157="",G$8=""),"",IF($F157="Migré","ROKS",IF($F157="À décommissionner",IF(G$8&lt;$AS157,"IKS","Décom."),IF(OR($AQ157="",$AS157=""),"",IF(G$8&lt;$AQ157,"IKS",IF(G$8&lt;$AS157,IF(G$8=$AR157,"Bascule","Double run"),"ROKS"))))))</f>
        <v/>
      </c>
      <c r="H157" s="51" t="str">
        <f aca="false">IF(OR($A157="",H$8=""),"",IF($F157="Migré","ROKS",IF($F157="À décommissionner",IF(H$8&lt;$AS157,"IKS","Décom."),IF(OR($AQ157="",$AS157=""),"",IF(H$8&lt;$AQ157,"IKS",IF(H$8&lt;$AS157,IF(H$8=$AR157,"Bascule","Double run"),"ROKS"))))))</f>
        <v/>
      </c>
      <c r="I157" s="51" t="str">
        <f aca="false">IF(OR($A157="",I$8=""),"",IF($F157="Migré","ROKS",IF($F157="À décommissionner",IF(I$8&lt;$AS157,"IKS","Décom."),IF(OR($AQ157="",$AS157=""),"",IF(I$8&lt;$AQ157,"IKS",IF(I$8&lt;$AS157,IF(I$8=$AR157,"Bascule","Double run"),"ROKS"))))))</f>
        <v/>
      </c>
      <c r="J157" s="51" t="str">
        <f aca="false">IF(OR($A157="",J$8=""),"",IF($F157="Migré","ROKS",IF($F157="À décommissionner",IF(J$8&lt;$AS157,"IKS","Décom."),IF(OR($AQ157="",$AS157=""),"",IF(J$8&lt;$AQ157,"IKS",IF(J$8&lt;$AS157,IF(J$8=$AR157,"Bascule","Double run"),"ROKS"))))))</f>
        <v/>
      </c>
      <c r="K157" s="51" t="str">
        <f aca="false">IF(OR($A157="",K$8=""),"",IF($F157="Migré","ROKS",IF($F157="À décommissionner",IF(K$8&lt;$AS157,"IKS","Décom."),IF(OR($AQ157="",$AS157=""),"",IF(K$8&lt;$AQ157,"IKS",IF(K$8&lt;$AS157,IF(K$8=$AR157,"Bascule","Double run"),"ROKS"))))))</f>
        <v/>
      </c>
      <c r="L157" s="51" t="str">
        <f aca="false">IF(OR($A157="",L$8=""),"",IF($F157="Migré","ROKS",IF($F157="À décommissionner",IF(L$8&lt;$AS157,"IKS","Décom."),IF(OR($AQ157="",$AS157=""),"",IF(L$8&lt;$AQ157,"IKS",IF(L$8&lt;$AS157,IF(L$8=$AR157,"Bascule","Double run"),"ROKS"))))))</f>
        <v/>
      </c>
      <c r="M157" s="51" t="str">
        <f aca="false">IF(OR($A157="",M$8=""),"",IF($F157="Migré","ROKS",IF($F157="À décommissionner",IF(M$8&lt;$AS157,"IKS","Décom."),IF(OR($AQ157="",$AS157=""),"",IF(M$8&lt;$AQ157,"IKS",IF(M$8&lt;$AS157,IF(M$8=$AR157,"Bascule","Double run"),"ROKS"))))))</f>
        <v/>
      </c>
      <c r="N157" s="51" t="str">
        <f aca="false">IF(OR($A157="",N$8=""),"",IF($F157="Migré","ROKS",IF($F157="À décommissionner",IF(N$8&lt;$AS157,"IKS","Décom."),IF(OR($AQ157="",$AS157=""),"",IF(N$8&lt;$AQ157,"IKS",IF(N$8&lt;$AS157,IF(N$8=$AR157,"Bascule","Double run"),"ROKS"))))))</f>
        <v/>
      </c>
      <c r="O157" s="51" t="str">
        <f aca="false">IF(OR($A157="",O$8=""),"",IF($F157="Migré","ROKS",IF($F157="À décommissionner",IF(O$8&lt;$AS157,"IKS","Décom."),IF(OR($AQ157="",$AS157=""),"",IF(O$8&lt;$AQ157,"IKS",IF(O$8&lt;$AS157,IF(O$8=$AR157,"Bascule","Double run"),"ROKS"))))))</f>
        <v/>
      </c>
      <c r="P157" s="51" t="str">
        <f aca="false">IF(OR($A157="",P$8=""),"",IF($F157="Migré","ROKS",IF($F157="À décommissionner",IF(P$8&lt;$AS157,"IKS","Décom."),IF(OR($AQ157="",$AS157=""),"",IF(P$8&lt;$AQ157,"IKS",IF(P$8&lt;$AS157,IF(P$8=$AR157,"Bascule","Double run"),"ROKS"))))))</f>
        <v/>
      </c>
      <c r="Q157" s="51" t="str">
        <f aca="false">IF(OR($A157="",Q$8=""),"",IF($F157="Migré","ROKS",IF($F157="À décommissionner",IF(Q$8&lt;$AS157,"IKS","Décom."),IF(OR($AQ157="",$AS157=""),"",IF(Q$8&lt;$AQ157,"IKS",IF(Q$8&lt;$AS157,IF(Q$8=$AR157,"Bascule","Double run"),"ROKS"))))))</f>
        <v/>
      </c>
      <c r="R157" s="51" t="str">
        <f aca="false">IF(OR($A157="",R$8=""),"",IF($F157="Migré","ROKS",IF($F157="À décommissionner",IF(R$8&lt;$AS157,"IKS","Décom."),IF(OR($AQ157="",$AS157=""),"",IF(R$8&lt;$AQ157,"IKS",IF(R$8&lt;$AS157,IF(R$8=$AR157,"Bascule","Double run"),"ROKS"))))))</f>
        <v/>
      </c>
      <c r="S157" s="51" t="str">
        <f aca="false">IF(OR($A157="",S$8=""),"",IF($F157="Migré","ROKS",IF($F157="À décommissionner",IF(S$8&lt;$AS157,"IKS","Décom."),IF(OR($AQ157="",$AS157=""),"",IF(S$8&lt;$AQ157,"IKS",IF(S$8&lt;$AS157,IF(S$8=$AR157,"Bascule","Double run"),"ROKS"))))))</f>
        <v/>
      </c>
      <c r="T157" s="51" t="str">
        <f aca="false">IF(OR($A157="",T$8=""),"",IF($F157="Migré","ROKS",IF($F157="À décommissionner",IF(T$8&lt;$AS157,"IKS","Décom."),IF(OR($AQ157="",$AS157=""),"",IF(T$8&lt;$AQ157,"IKS",IF(T$8&lt;$AS157,IF(T$8=$AR157,"Bascule","Double run"),"ROKS"))))))</f>
        <v/>
      </c>
      <c r="U157" s="51" t="str">
        <f aca="false">IF(OR($A157="",U$8=""),"",IF($F157="Migré","ROKS",IF($F157="À décommissionner",IF(U$8&lt;$AS157,"IKS","Décom."),IF(OR($AQ157="",$AS157=""),"",IF(U$8&lt;$AQ157,"IKS",IF(U$8&lt;$AS157,IF(U$8=$AR157,"Bascule","Double run"),"ROKS"))))))</f>
        <v/>
      </c>
      <c r="V157" s="51" t="str">
        <f aca="false">IF(OR($A157="",V$8=""),"",IF($F157="Migré","ROKS",IF($F157="À décommissionner",IF(V$8&lt;$AS157,"IKS","Décom."),IF(OR($AQ157="",$AS157=""),"",IF(V$8&lt;$AQ157,"IKS",IF(V$8&lt;$AS157,IF(V$8=$AR157,"Bascule","Double run"),"ROKS"))))))</f>
        <v/>
      </c>
      <c r="W157" s="51" t="str">
        <f aca="false">IF(OR($A157="",W$8=""),"",IF($F157="Migré","ROKS",IF($F157="À décommissionner",IF(W$8&lt;$AS157,"IKS","Décom."),IF(OR($AQ157="",$AS157=""),"",IF(W$8&lt;$AQ157,"IKS",IF(W$8&lt;$AS157,IF(W$8=$AR157,"Bascule","Double run"),"ROKS"))))))</f>
        <v/>
      </c>
      <c r="X157" s="51" t="str">
        <f aca="false">IF(OR($A157="",X$8=""),"",IF($F157="Migré","ROKS",IF($F157="À décommissionner",IF(X$8&lt;$AS157,"IKS","Décom."),IF(OR($AQ157="",$AS157=""),"",IF(X$8&lt;$AQ157,"IKS",IF(X$8&lt;$AS157,IF(X$8=$AR157,"Bascule","Double run"),"ROKS"))))))</f>
        <v/>
      </c>
      <c r="Y157" s="51" t="str">
        <f aca="false">IF(OR($A157="",Y$8=""),"",IF($F157="Migré","ROKS",IF($F157="À décommissionner",IF(Y$8&lt;$AS157,"IKS","Décom."),IF(OR($AQ157="",$AS157=""),"",IF(Y$8&lt;$AQ157,"IKS",IF(Y$8&lt;$AS157,IF(Y$8=$AR157,"Bascule","Double run"),"ROKS"))))))</f>
        <v/>
      </c>
      <c r="Z157" s="51" t="str">
        <f aca="false">IF(OR($A157="",Z$8=""),"",IF($F157="Migré","ROKS",IF($F157="À décommissionner",IF(Z$8&lt;$AS157,"IKS","Décom."),IF(OR($AQ157="",$AS157=""),"",IF(Z$8&lt;$AQ157,"IKS",IF(Z$8&lt;$AS157,IF(Z$8=$AR157,"Bascule","Double run"),"ROKS"))))))</f>
        <v/>
      </c>
      <c r="AA157" s="51" t="str">
        <f aca="false">IF(OR($A157="",AA$8=""),"",IF($F157="Migré","ROKS",IF($F157="À décommissionner",IF(AA$8&lt;$AS157,"IKS","Décom."),IF(OR($AQ157="",$AS157=""),"",IF(AA$8&lt;$AQ157,"IKS",IF(AA$8&lt;$AS157,IF(AA$8=$AR157,"Bascule","Double run"),"ROKS"))))))</f>
        <v/>
      </c>
      <c r="AB157" s="51" t="str">
        <f aca="false">IF(OR($A157="",AB$8=""),"",IF($F157="Migré","ROKS",IF($F157="À décommissionner",IF(AB$8&lt;$AS157,"IKS","Décom."),IF(OR($AQ157="",$AS157=""),"",IF(AB$8&lt;$AQ157,"IKS",IF(AB$8&lt;$AS157,IF(AB$8=$AR157,"Bascule","Double run"),"ROKS"))))))</f>
        <v/>
      </c>
      <c r="AC157" s="51" t="str">
        <f aca="false">IF(OR($A157="",AC$8=""),"",IF($F157="Migré","ROKS",IF($F157="À décommissionner",IF(AC$8&lt;$AS157,"IKS","Décom."),IF(OR($AQ157="",$AS157=""),"",IF(AC$8&lt;$AQ157,"IKS",IF(AC$8&lt;$AS157,IF(AC$8=$AR157,"Bascule","Double run"),"ROKS"))))))</f>
        <v/>
      </c>
      <c r="AD157" s="51" t="str">
        <f aca="false">IF(OR($A157="",AD$8=""),"",IF($F157="Migré","ROKS",IF($F157="À décommissionner",IF(AD$8&lt;$AS157,"IKS","Décom."),IF(OR($AQ157="",$AS157=""),"",IF(AD$8&lt;$AQ157,"IKS",IF(AD$8&lt;$AS157,IF(AD$8=$AR157,"Bascule","Double run"),"ROKS"))))))</f>
        <v/>
      </c>
      <c r="AE157" s="51" t="str">
        <f aca="false">IF(OR($A157="",AE$8=""),"",IF($F157="Migré","ROKS",IF($F157="À décommissionner",IF(AE$8&lt;$AS157,"IKS","Décom."),IF(OR($AQ157="",$AS157=""),"",IF(AE$8&lt;$AQ157,"IKS",IF(AE$8&lt;$AS157,IF(AE$8=$AR157,"Bascule","Double run"),"ROKS"))))))</f>
        <v/>
      </c>
      <c r="AF157" s="51" t="str">
        <f aca="false">IF(OR($A157="",AF$8=""),"",IF($F157="Migré","ROKS",IF($F157="À décommissionner",IF(AF$8&lt;$AS157,"IKS","Décom."),IF(OR($AQ157="",$AS157=""),"",IF(AF$8&lt;$AQ157,"IKS",IF(AF$8&lt;$AS157,IF(AF$8=$AR157,"Bascule","Double run"),"ROKS"))))))</f>
        <v/>
      </c>
      <c r="AG157" s="51" t="str">
        <f aca="false">IF(OR($A157="",AG$8=""),"",IF($F157="Migré","ROKS",IF($F157="À décommissionner",IF(AG$8&lt;$AS157,"IKS","Décom."),IF(OR($AQ157="",$AS157=""),"",IF(AG$8&lt;$AQ157,"IKS",IF(AG$8&lt;$AS157,IF(AG$8=$AR157,"Bascule","Double run"),"ROKS"))))))</f>
        <v/>
      </c>
      <c r="AH157" s="51" t="str">
        <f aca="false">IF(OR($A157="",AH$8=""),"",IF($F157="Migré","ROKS",IF($F157="À décommissionner",IF(AH$8&lt;$AS157,"IKS","Décom."),IF(OR($AQ157="",$AS157=""),"",IF(AH$8&lt;$AQ157,"IKS",IF(AH$8&lt;$AS157,IF(AH$8=$AR157,"Bascule","Double run"),"ROKS"))))))</f>
        <v/>
      </c>
      <c r="AI157" s="51" t="str">
        <f aca="false">IF(OR($A157="",AI$8=""),"",IF($F157="Migré","ROKS",IF($F157="À décommissionner",IF(AI$8&lt;$AS157,"IKS","Décom."),IF(OR($AQ157="",$AS157=""),"",IF(AI$8&lt;$AQ157,"IKS",IF(AI$8&lt;$AS157,IF(AI$8=$AR157,"Bascule","Double run"),"ROKS"))))))</f>
        <v/>
      </c>
      <c r="AJ157" s="51" t="str">
        <f aca="false">IF(OR($A157="",AJ$8=""),"",IF($F157="Migré","ROKS",IF($F157="À décommissionner",IF(AJ$8&lt;$AS157,"IKS","Décom."),IF(OR($AQ157="",$AS157=""),"",IF(AJ$8&lt;$AQ157,"IKS",IF(AJ$8&lt;$AS157,IF(AJ$8=$AR157,"Bascule","Double run"),"ROKS"))))))</f>
        <v/>
      </c>
      <c r="AK157" s="51" t="str">
        <f aca="false">IF(OR($A157="",AK$8=""),"",IF($F157="Migré","ROKS",IF($F157="À décommissionner",IF(AK$8&lt;$AS157,"IKS","Décom."),IF(OR($AQ157="",$AS157=""),"",IF(AK$8&lt;$AQ157,"IKS",IF(AK$8&lt;$AS157,IF(AK$8=$AR157,"Bascule","Double run"),"ROKS"))))))</f>
        <v/>
      </c>
      <c r="AL157" s="51" t="str">
        <f aca="false">IF(OR($A157="",AL$8=""),"",IF($F157="Migré","ROKS",IF($F157="À décommissionner",IF(AL$8&lt;$AS157,"IKS","Décom."),IF(OR($AQ157="",$AS157=""),"",IF(AL$8&lt;$AQ157,"IKS",IF(AL$8&lt;$AS157,IF(AL$8=$AR157,"Bascule","Double run"),"ROKS"))))))</f>
        <v/>
      </c>
      <c r="AM157" s="51" t="str">
        <f aca="false">IF(OR($A157="",AM$8=""),"",IF($F157="Migré","ROKS",IF($F157="À décommissionner",IF(AM$8&lt;$AS157,"IKS","Décom."),IF(OR($AQ157="",$AS157=""),"",IF(AM$8&lt;$AQ157,"IKS",IF(AM$8&lt;$AS157,IF(AM$8=$AR157,"Bascule","Double run"),"ROKS"))))))</f>
        <v/>
      </c>
      <c r="AN157" s="51" t="str">
        <f aca="false">IF(OR($A157="",AN$8=""),"",IF($F157="Migré","ROKS",IF($F157="À décommissionner",IF(AN$8&lt;$AS157,"IKS","Décom."),IF(OR($AQ157="",$AS157=""),"",IF(AN$8&lt;$AQ157,"IKS",IF(AN$8&lt;$AS157,IF(AN$8=$AR157,"Bascule","Double run"),"ROKS"))))))</f>
        <v/>
      </c>
      <c r="AO157" s="51" t="str">
        <f aca="false">IF(OR($A157="",AO$8=""),"",IF($F157="Migré","ROKS",IF($F157="À décommissionner",IF(AO$8&lt;$AS157,"IKS","Décom."),IF(OR($AQ157="",$AS157=""),"",IF(AO$8&lt;$AQ157,"IKS",IF(AO$8&lt;$AS157,IF(AO$8=$AR157,"Bascule","Double run"),"ROKS"))))))</f>
        <v/>
      </c>
      <c r="AP157" s="51" t="str">
        <f aca="false">IF(OR($A157="",AP$8=""),"",IF($F157="Migré","ROKS",IF($F157="À décommissionner",IF(AP$8&lt;$AS157,"IKS","Décom."),IF(OR($AQ157="",$AS157=""),"",IF(AP$8&lt;$AQ157,"IKS",IF(AP$8&lt;$AS157,IF(AP$8=$AR157,"Bascule","Double run"),"ROKS"))))))</f>
        <v/>
      </c>
      <c r="AQ157" s="0" t="str">
        <f aca="false">IF($A157="","",INDEX(TblApplications[Mois prov (calc)],$A157))</f>
        <v/>
      </c>
      <c r="AR157" s="0" t="str">
        <f aca="false">IF($A157="","",IFERROR(DATE(YEAR(INDEX(TblApplications[Mois bascule],$A157)),MONTH(INDEX(TblApplications[Mois bascule],$A157)),1),""))</f>
        <v/>
      </c>
      <c r="AS157" s="0" t="str">
        <f aca="false">IF($A157="","",INDEX(TblApplications[Mois lib (calc)],$A157))</f>
        <v/>
      </c>
    </row>
    <row r="158" customFormat="false" ht="15" hidden="false" customHeight="false" outlineLevel="0" collapsed="false">
      <c r="A158" s="49" t="str">
        <f aca="false">IFERROR(MATCH(150,TblApplications[Rang frise],0),"")</f>
        <v/>
      </c>
      <c r="B158" s="50" t="str">
        <f aca="false">IF($A158="","",INDEX(TblApplications[ID],$A158))</f>
        <v/>
      </c>
      <c r="C158" s="50" t="str">
        <f aca="false">IF($A158="","",INDEX(TblApplications[Application],$A158))</f>
        <v/>
      </c>
      <c r="D158" s="50" t="str">
        <f aca="false">IF($A158="","",INDEX(TblApplications[Environnement],$A158))</f>
        <v/>
      </c>
      <c r="E158" s="50" t="str">
        <f aca="false">IF($A158="","",INDEX(TblApplications[Couloir],$A158))</f>
        <v/>
      </c>
      <c r="F158" s="50" t="str">
        <f aca="false">IF($A158="","",INDEX(TblApplications[Action],$A158))</f>
        <v/>
      </c>
      <c r="G158" s="51" t="str">
        <f aca="false">IF(OR($A158="",G$8=""),"",IF($F158="Migré","ROKS",IF($F158="À décommissionner",IF(G$8&lt;$AS158,"IKS","Décom."),IF(OR($AQ158="",$AS158=""),"",IF(G$8&lt;$AQ158,"IKS",IF(G$8&lt;$AS158,IF(G$8=$AR158,"Bascule","Double run"),"ROKS"))))))</f>
        <v/>
      </c>
      <c r="H158" s="51" t="str">
        <f aca="false">IF(OR($A158="",H$8=""),"",IF($F158="Migré","ROKS",IF($F158="À décommissionner",IF(H$8&lt;$AS158,"IKS","Décom."),IF(OR($AQ158="",$AS158=""),"",IF(H$8&lt;$AQ158,"IKS",IF(H$8&lt;$AS158,IF(H$8=$AR158,"Bascule","Double run"),"ROKS"))))))</f>
        <v/>
      </c>
      <c r="I158" s="51" t="str">
        <f aca="false">IF(OR($A158="",I$8=""),"",IF($F158="Migré","ROKS",IF($F158="À décommissionner",IF(I$8&lt;$AS158,"IKS","Décom."),IF(OR($AQ158="",$AS158=""),"",IF(I$8&lt;$AQ158,"IKS",IF(I$8&lt;$AS158,IF(I$8=$AR158,"Bascule","Double run"),"ROKS"))))))</f>
        <v/>
      </c>
      <c r="J158" s="51" t="str">
        <f aca="false">IF(OR($A158="",J$8=""),"",IF($F158="Migré","ROKS",IF($F158="À décommissionner",IF(J$8&lt;$AS158,"IKS","Décom."),IF(OR($AQ158="",$AS158=""),"",IF(J$8&lt;$AQ158,"IKS",IF(J$8&lt;$AS158,IF(J$8=$AR158,"Bascule","Double run"),"ROKS"))))))</f>
        <v/>
      </c>
      <c r="K158" s="51" t="str">
        <f aca="false">IF(OR($A158="",K$8=""),"",IF($F158="Migré","ROKS",IF($F158="À décommissionner",IF(K$8&lt;$AS158,"IKS","Décom."),IF(OR($AQ158="",$AS158=""),"",IF(K$8&lt;$AQ158,"IKS",IF(K$8&lt;$AS158,IF(K$8=$AR158,"Bascule","Double run"),"ROKS"))))))</f>
        <v/>
      </c>
      <c r="L158" s="51" t="str">
        <f aca="false">IF(OR($A158="",L$8=""),"",IF($F158="Migré","ROKS",IF($F158="À décommissionner",IF(L$8&lt;$AS158,"IKS","Décom."),IF(OR($AQ158="",$AS158=""),"",IF(L$8&lt;$AQ158,"IKS",IF(L$8&lt;$AS158,IF(L$8=$AR158,"Bascule","Double run"),"ROKS"))))))</f>
        <v/>
      </c>
      <c r="M158" s="51" t="str">
        <f aca="false">IF(OR($A158="",M$8=""),"",IF($F158="Migré","ROKS",IF($F158="À décommissionner",IF(M$8&lt;$AS158,"IKS","Décom."),IF(OR($AQ158="",$AS158=""),"",IF(M$8&lt;$AQ158,"IKS",IF(M$8&lt;$AS158,IF(M$8=$AR158,"Bascule","Double run"),"ROKS"))))))</f>
        <v/>
      </c>
      <c r="N158" s="51" t="str">
        <f aca="false">IF(OR($A158="",N$8=""),"",IF($F158="Migré","ROKS",IF($F158="À décommissionner",IF(N$8&lt;$AS158,"IKS","Décom."),IF(OR($AQ158="",$AS158=""),"",IF(N$8&lt;$AQ158,"IKS",IF(N$8&lt;$AS158,IF(N$8=$AR158,"Bascule","Double run"),"ROKS"))))))</f>
        <v/>
      </c>
      <c r="O158" s="51" t="str">
        <f aca="false">IF(OR($A158="",O$8=""),"",IF($F158="Migré","ROKS",IF($F158="À décommissionner",IF(O$8&lt;$AS158,"IKS","Décom."),IF(OR($AQ158="",$AS158=""),"",IF(O$8&lt;$AQ158,"IKS",IF(O$8&lt;$AS158,IF(O$8=$AR158,"Bascule","Double run"),"ROKS"))))))</f>
        <v/>
      </c>
      <c r="P158" s="51" t="str">
        <f aca="false">IF(OR($A158="",P$8=""),"",IF($F158="Migré","ROKS",IF($F158="À décommissionner",IF(P$8&lt;$AS158,"IKS","Décom."),IF(OR($AQ158="",$AS158=""),"",IF(P$8&lt;$AQ158,"IKS",IF(P$8&lt;$AS158,IF(P$8=$AR158,"Bascule","Double run"),"ROKS"))))))</f>
        <v/>
      </c>
      <c r="Q158" s="51" t="str">
        <f aca="false">IF(OR($A158="",Q$8=""),"",IF($F158="Migré","ROKS",IF($F158="À décommissionner",IF(Q$8&lt;$AS158,"IKS","Décom."),IF(OR($AQ158="",$AS158=""),"",IF(Q$8&lt;$AQ158,"IKS",IF(Q$8&lt;$AS158,IF(Q$8=$AR158,"Bascule","Double run"),"ROKS"))))))</f>
        <v/>
      </c>
      <c r="R158" s="51" t="str">
        <f aca="false">IF(OR($A158="",R$8=""),"",IF($F158="Migré","ROKS",IF($F158="À décommissionner",IF(R$8&lt;$AS158,"IKS","Décom."),IF(OR($AQ158="",$AS158=""),"",IF(R$8&lt;$AQ158,"IKS",IF(R$8&lt;$AS158,IF(R$8=$AR158,"Bascule","Double run"),"ROKS"))))))</f>
        <v/>
      </c>
      <c r="S158" s="51" t="str">
        <f aca="false">IF(OR($A158="",S$8=""),"",IF($F158="Migré","ROKS",IF($F158="À décommissionner",IF(S$8&lt;$AS158,"IKS","Décom."),IF(OR($AQ158="",$AS158=""),"",IF(S$8&lt;$AQ158,"IKS",IF(S$8&lt;$AS158,IF(S$8=$AR158,"Bascule","Double run"),"ROKS"))))))</f>
        <v/>
      </c>
      <c r="T158" s="51" t="str">
        <f aca="false">IF(OR($A158="",T$8=""),"",IF($F158="Migré","ROKS",IF($F158="À décommissionner",IF(T$8&lt;$AS158,"IKS","Décom."),IF(OR($AQ158="",$AS158=""),"",IF(T$8&lt;$AQ158,"IKS",IF(T$8&lt;$AS158,IF(T$8=$AR158,"Bascule","Double run"),"ROKS"))))))</f>
        <v/>
      </c>
      <c r="U158" s="51" t="str">
        <f aca="false">IF(OR($A158="",U$8=""),"",IF($F158="Migré","ROKS",IF($F158="À décommissionner",IF(U$8&lt;$AS158,"IKS","Décom."),IF(OR($AQ158="",$AS158=""),"",IF(U$8&lt;$AQ158,"IKS",IF(U$8&lt;$AS158,IF(U$8=$AR158,"Bascule","Double run"),"ROKS"))))))</f>
        <v/>
      </c>
      <c r="V158" s="51" t="str">
        <f aca="false">IF(OR($A158="",V$8=""),"",IF($F158="Migré","ROKS",IF($F158="À décommissionner",IF(V$8&lt;$AS158,"IKS","Décom."),IF(OR($AQ158="",$AS158=""),"",IF(V$8&lt;$AQ158,"IKS",IF(V$8&lt;$AS158,IF(V$8=$AR158,"Bascule","Double run"),"ROKS"))))))</f>
        <v/>
      </c>
      <c r="W158" s="51" t="str">
        <f aca="false">IF(OR($A158="",W$8=""),"",IF($F158="Migré","ROKS",IF($F158="À décommissionner",IF(W$8&lt;$AS158,"IKS","Décom."),IF(OR($AQ158="",$AS158=""),"",IF(W$8&lt;$AQ158,"IKS",IF(W$8&lt;$AS158,IF(W$8=$AR158,"Bascule","Double run"),"ROKS"))))))</f>
        <v/>
      </c>
      <c r="X158" s="51" t="str">
        <f aca="false">IF(OR($A158="",X$8=""),"",IF($F158="Migré","ROKS",IF($F158="À décommissionner",IF(X$8&lt;$AS158,"IKS","Décom."),IF(OR($AQ158="",$AS158=""),"",IF(X$8&lt;$AQ158,"IKS",IF(X$8&lt;$AS158,IF(X$8=$AR158,"Bascule","Double run"),"ROKS"))))))</f>
        <v/>
      </c>
      <c r="Y158" s="51" t="str">
        <f aca="false">IF(OR($A158="",Y$8=""),"",IF($F158="Migré","ROKS",IF($F158="À décommissionner",IF(Y$8&lt;$AS158,"IKS","Décom."),IF(OR($AQ158="",$AS158=""),"",IF(Y$8&lt;$AQ158,"IKS",IF(Y$8&lt;$AS158,IF(Y$8=$AR158,"Bascule","Double run"),"ROKS"))))))</f>
        <v/>
      </c>
      <c r="Z158" s="51" t="str">
        <f aca="false">IF(OR($A158="",Z$8=""),"",IF($F158="Migré","ROKS",IF($F158="À décommissionner",IF(Z$8&lt;$AS158,"IKS","Décom."),IF(OR($AQ158="",$AS158=""),"",IF(Z$8&lt;$AQ158,"IKS",IF(Z$8&lt;$AS158,IF(Z$8=$AR158,"Bascule","Double run"),"ROKS"))))))</f>
        <v/>
      </c>
      <c r="AA158" s="51" t="str">
        <f aca="false">IF(OR($A158="",AA$8=""),"",IF($F158="Migré","ROKS",IF($F158="À décommissionner",IF(AA$8&lt;$AS158,"IKS","Décom."),IF(OR($AQ158="",$AS158=""),"",IF(AA$8&lt;$AQ158,"IKS",IF(AA$8&lt;$AS158,IF(AA$8=$AR158,"Bascule","Double run"),"ROKS"))))))</f>
        <v/>
      </c>
      <c r="AB158" s="51" t="str">
        <f aca="false">IF(OR($A158="",AB$8=""),"",IF($F158="Migré","ROKS",IF($F158="À décommissionner",IF(AB$8&lt;$AS158,"IKS","Décom."),IF(OR($AQ158="",$AS158=""),"",IF(AB$8&lt;$AQ158,"IKS",IF(AB$8&lt;$AS158,IF(AB$8=$AR158,"Bascule","Double run"),"ROKS"))))))</f>
        <v/>
      </c>
      <c r="AC158" s="51" t="str">
        <f aca="false">IF(OR($A158="",AC$8=""),"",IF($F158="Migré","ROKS",IF($F158="À décommissionner",IF(AC$8&lt;$AS158,"IKS","Décom."),IF(OR($AQ158="",$AS158=""),"",IF(AC$8&lt;$AQ158,"IKS",IF(AC$8&lt;$AS158,IF(AC$8=$AR158,"Bascule","Double run"),"ROKS"))))))</f>
        <v/>
      </c>
      <c r="AD158" s="51" t="str">
        <f aca="false">IF(OR($A158="",AD$8=""),"",IF($F158="Migré","ROKS",IF($F158="À décommissionner",IF(AD$8&lt;$AS158,"IKS","Décom."),IF(OR($AQ158="",$AS158=""),"",IF(AD$8&lt;$AQ158,"IKS",IF(AD$8&lt;$AS158,IF(AD$8=$AR158,"Bascule","Double run"),"ROKS"))))))</f>
        <v/>
      </c>
      <c r="AE158" s="51" t="str">
        <f aca="false">IF(OR($A158="",AE$8=""),"",IF($F158="Migré","ROKS",IF($F158="À décommissionner",IF(AE$8&lt;$AS158,"IKS","Décom."),IF(OR($AQ158="",$AS158=""),"",IF(AE$8&lt;$AQ158,"IKS",IF(AE$8&lt;$AS158,IF(AE$8=$AR158,"Bascule","Double run"),"ROKS"))))))</f>
        <v/>
      </c>
      <c r="AF158" s="51" t="str">
        <f aca="false">IF(OR($A158="",AF$8=""),"",IF($F158="Migré","ROKS",IF($F158="À décommissionner",IF(AF$8&lt;$AS158,"IKS","Décom."),IF(OR($AQ158="",$AS158=""),"",IF(AF$8&lt;$AQ158,"IKS",IF(AF$8&lt;$AS158,IF(AF$8=$AR158,"Bascule","Double run"),"ROKS"))))))</f>
        <v/>
      </c>
      <c r="AG158" s="51" t="str">
        <f aca="false">IF(OR($A158="",AG$8=""),"",IF($F158="Migré","ROKS",IF($F158="À décommissionner",IF(AG$8&lt;$AS158,"IKS","Décom."),IF(OR($AQ158="",$AS158=""),"",IF(AG$8&lt;$AQ158,"IKS",IF(AG$8&lt;$AS158,IF(AG$8=$AR158,"Bascule","Double run"),"ROKS"))))))</f>
        <v/>
      </c>
      <c r="AH158" s="51" t="str">
        <f aca="false">IF(OR($A158="",AH$8=""),"",IF($F158="Migré","ROKS",IF($F158="À décommissionner",IF(AH$8&lt;$AS158,"IKS","Décom."),IF(OR($AQ158="",$AS158=""),"",IF(AH$8&lt;$AQ158,"IKS",IF(AH$8&lt;$AS158,IF(AH$8=$AR158,"Bascule","Double run"),"ROKS"))))))</f>
        <v/>
      </c>
      <c r="AI158" s="51" t="str">
        <f aca="false">IF(OR($A158="",AI$8=""),"",IF($F158="Migré","ROKS",IF($F158="À décommissionner",IF(AI$8&lt;$AS158,"IKS","Décom."),IF(OR($AQ158="",$AS158=""),"",IF(AI$8&lt;$AQ158,"IKS",IF(AI$8&lt;$AS158,IF(AI$8=$AR158,"Bascule","Double run"),"ROKS"))))))</f>
        <v/>
      </c>
      <c r="AJ158" s="51" t="str">
        <f aca="false">IF(OR($A158="",AJ$8=""),"",IF($F158="Migré","ROKS",IF($F158="À décommissionner",IF(AJ$8&lt;$AS158,"IKS","Décom."),IF(OR($AQ158="",$AS158=""),"",IF(AJ$8&lt;$AQ158,"IKS",IF(AJ$8&lt;$AS158,IF(AJ$8=$AR158,"Bascule","Double run"),"ROKS"))))))</f>
        <v/>
      </c>
      <c r="AK158" s="51" t="str">
        <f aca="false">IF(OR($A158="",AK$8=""),"",IF($F158="Migré","ROKS",IF($F158="À décommissionner",IF(AK$8&lt;$AS158,"IKS","Décom."),IF(OR($AQ158="",$AS158=""),"",IF(AK$8&lt;$AQ158,"IKS",IF(AK$8&lt;$AS158,IF(AK$8=$AR158,"Bascule","Double run"),"ROKS"))))))</f>
        <v/>
      </c>
      <c r="AL158" s="51" t="str">
        <f aca="false">IF(OR($A158="",AL$8=""),"",IF($F158="Migré","ROKS",IF($F158="À décommissionner",IF(AL$8&lt;$AS158,"IKS","Décom."),IF(OR($AQ158="",$AS158=""),"",IF(AL$8&lt;$AQ158,"IKS",IF(AL$8&lt;$AS158,IF(AL$8=$AR158,"Bascule","Double run"),"ROKS"))))))</f>
        <v/>
      </c>
      <c r="AM158" s="51" t="str">
        <f aca="false">IF(OR($A158="",AM$8=""),"",IF($F158="Migré","ROKS",IF($F158="À décommissionner",IF(AM$8&lt;$AS158,"IKS","Décom."),IF(OR($AQ158="",$AS158=""),"",IF(AM$8&lt;$AQ158,"IKS",IF(AM$8&lt;$AS158,IF(AM$8=$AR158,"Bascule","Double run"),"ROKS"))))))</f>
        <v/>
      </c>
      <c r="AN158" s="51" t="str">
        <f aca="false">IF(OR($A158="",AN$8=""),"",IF($F158="Migré","ROKS",IF($F158="À décommissionner",IF(AN$8&lt;$AS158,"IKS","Décom."),IF(OR($AQ158="",$AS158=""),"",IF(AN$8&lt;$AQ158,"IKS",IF(AN$8&lt;$AS158,IF(AN$8=$AR158,"Bascule","Double run"),"ROKS"))))))</f>
        <v/>
      </c>
      <c r="AO158" s="51" t="str">
        <f aca="false">IF(OR($A158="",AO$8=""),"",IF($F158="Migré","ROKS",IF($F158="À décommissionner",IF(AO$8&lt;$AS158,"IKS","Décom."),IF(OR($AQ158="",$AS158=""),"",IF(AO$8&lt;$AQ158,"IKS",IF(AO$8&lt;$AS158,IF(AO$8=$AR158,"Bascule","Double run"),"ROKS"))))))</f>
        <v/>
      </c>
      <c r="AP158" s="51" t="str">
        <f aca="false">IF(OR($A158="",AP$8=""),"",IF($F158="Migré","ROKS",IF($F158="À décommissionner",IF(AP$8&lt;$AS158,"IKS","Décom."),IF(OR($AQ158="",$AS158=""),"",IF(AP$8&lt;$AQ158,"IKS",IF(AP$8&lt;$AS158,IF(AP$8=$AR158,"Bascule","Double run"),"ROKS"))))))</f>
        <v/>
      </c>
      <c r="AQ158" s="0" t="str">
        <f aca="false">IF($A158="","",INDEX(TblApplications[Mois prov (calc)],$A158))</f>
        <v/>
      </c>
      <c r="AR158" s="0" t="str">
        <f aca="false">IF($A158="","",IFERROR(DATE(YEAR(INDEX(TblApplications[Mois bascule],$A158)),MONTH(INDEX(TblApplications[Mois bascule],$A158)),1),""))</f>
        <v/>
      </c>
      <c r="AS158" s="0" t="str">
        <f aca="false">IF($A158="","",INDEX(TblApplications[Mois lib (calc)],$A158))</f>
        <v/>
      </c>
    </row>
    <row r="159" customFormat="false" ht="15" hidden="false" customHeight="false" outlineLevel="0" collapsed="false">
      <c r="A159" s="49" t="str">
        <f aca="false">IFERROR(MATCH(151,TblApplications[Rang frise],0),"")</f>
        <v/>
      </c>
      <c r="B159" s="50" t="str">
        <f aca="false">IF($A159="","",INDEX(TblApplications[ID],$A159))</f>
        <v/>
      </c>
      <c r="C159" s="50" t="str">
        <f aca="false">IF($A159="","",INDEX(TblApplications[Application],$A159))</f>
        <v/>
      </c>
      <c r="D159" s="50" t="str">
        <f aca="false">IF($A159="","",INDEX(TblApplications[Environnement],$A159))</f>
        <v/>
      </c>
      <c r="E159" s="50" t="str">
        <f aca="false">IF($A159="","",INDEX(TblApplications[Couloir],$A159))</f>
        <v/>
      </c>
      <c r="F159" s="50" t="str">
        <f aca="false">IF($A159="","",INDEX(TblApplications[Action],$A159))</f>
        <v/>
      </c>
      <c r="G159" s="51" t="str">
        <f aca="false">IF(OR($A159="",G$8=""),"",IF($F159="Migré","ROKS",IF($F159="À décommissionner",IF(G$8&lt;$AS159,"IKS","Décom."),IF(OR($AQ159="",$AS159=""),"",IF(G$8&lt;$AQ159,"IKS",IF(G$8&lt;$AS159,IF(G$8=$AR159,"Bascule","Double run"),"ROKS"))))))</f>
        <v/>
      </c>
      <c r="H159" s="51" t="str">
        <f aca="false">IF(OR($A159="",H$8=""),"",IF($F159="Migré","ROKS",IF($F159="À décommissionner",IF(H$8&lt;$AS159,"IKS","Décom."),IF(OR($AQ159="",$AS159=""),"",IF(H$8&lt;$AQ159,"IKS",IF(H$8&lt;$AS159,IF(H$8=$AR159,"Bascule","Double run"),"ROKS"))))))</f>
        <v/>
      </c>
      <c r="I159" s="51" t="str">
        <f aca="false">IF(OR($A159="",I$8=""),"",IF($F159="Migré","ROKS",IF($F159="À décommissionner",IF(I$8&lt;$AS159,"IKS","Décom."),IF(OR($AQ159="",$AS159=""),"",IF(I$8&lt;$AQ159,"IKS",IF(I$8&lt;$AS159,IF(I$8=$AR159,"Bascule","Double run"),"ROKS"))))))</f>
        <v/>
      </c>
      <c r="J159" s="51" t="str">
        <f aca="false">IF(OR($A159="",J$8=""),"",IF($F159="Migré","ROKS",IF($F159="À décommissionner",IF(J$8&lt;$AS159,"IKS","Décom."),IF(OR($AQ159="",$AS159=""),"",IF(J$8&lt;$AQ159,"IKS",IF(J$8&lt;$AS159,IF(J$8=$AR159,"Bascule","Double run"),"ROKS"))))))</f>
        <v/>
      </c>
      <c r="K159" s="51" t="str">
        <f aca="false">IF(OR($A159="",K$8=""),"",IF($F159="Migré","ROKS",IF($F159="À décommissionner",IF(K$8&lt;$AS159,"IKS","Décom."),IF(OR($AQ159="",$AS159=""),"",IF(K$8&lt;$AQ159,"IKS",IF(K$8&lt;$AS159,IF(K$8=$AR159,"Bascule","Double run"),"ROKS"))))))</f>
        <v/>
      </c>
      <c r="L159" s="51" t="str">
        <f aca="false">IF(OR($A159="",L$8=""),"",IF($F159="Migré","ROKS",IF($F159="À décommissionner",IF(L$8&lt;$AS159,"IKS","Décom."),IF(OR($AQ159="",$AS159=""),"",IF(L$8&lt;$AQ159,"IKS",IF(L$8&lt;$AS159,IF(L$8=$AR159,"Bascule","Double run"),"ROKS"))))))</f>
        <v/>
      </c>
      <c r="M159" s="51" t="str">
        <f aca="false">IF(OR($A159="",M$8=""),"",IF($F159="Migré","ROKS",IF($F159="À décommissionner",IF(M$8&lt;$AS159,"IKS","Décom."),IF(OR($AQ159="",$AS159=""),"",IF(M$8&lt;$AQ159,"IKS",IF(M$8&lt;$AS159,IF(M$8=$AR159,"Bascule","Double run"),"ROKS"))))))</f>
        <v/>
      </c>
      <c r="N159" s="51" t="str">
        <f aca="false">IF(OR($A159="",N$8=""),"",IF($F159="Migré","ROKS",IF($F159="À décommissionner",IF(N$8&lt;$AS159,"IKS","Décom."),IF(OR($AQ159="",$AS159=""),"",IF(N$8&lt;$AQ159,"IKS",IF(N$8&lt;$AS159,IF(N$8=$AR159,"Bascule","Double run"),"ROKS"))))))</f>
        <v/>
      </c>
      <c r="O159" s="51" t="str">
        <f aca="false">IF(OR($A159="",O$8=""),"",IF($F159="Migré","ROKS",IF($F159="À décommissionner",IF(O$8&lt;$AS159,"IKS","Décom."),IF(OR($AQ159="",$AS159=""),"",IF(O$8&lt;$AQ159,"IKS",IF(O$8&lt;$AS159,IF(O$8=$AR159,"Bascule","Double run"),"ROKS"))))))</f>
        <v/>
      </c>
      <c r="P159" s="51" t="str">
        <f aca="false">IF(OR($A159="",P$8=""),"",IF($F159="Migré","ROKS",IF($F159="À décommissionner",IF(P$8&lt;$AS159,"IKS","Décom."),IF(OR($AQ159="",$AS159=""),"",IF(P$8&lt;$AQ159,"IKS",IF(P$8&lt;$AS159,IF(P$8=$AR159,"Bascule","Double run"),"ROKS"))))))</f>
        <v/>
      </c>
      <c r="Q159" s="51" t="str">
        <f aca="false">IF(OR($A159="",Q$8=""),"",IF($F159="Migré","ROKS",IF($F159="À décommissionner",IF(Q$8&lt;$AS159,"IKS","Décom."),IF(OR($AQ159="",$AS159=""),"",IF(Q$8&lt;$AQ159,"IKS",IF(Q$8&lt;$AS159,IF(Q$8=$AR159,"Bascule","Double run"),"ROKS"))))))</f>
        <v/>
      </c>
      <c r="R159" s="51" t="str">
        <f aca="false">IF(OR($A159="",R$8=""),"",IF($F159="Migré","ROKS",IF($F159="À décommissionner",IF(R$8&lt;$AS159,"IKS","Décom."),IF(OR($AQ159="",$AS159=""),"",IF(R$8&lt;$AQ159,"IKS",IF(R$8&lt;$AS159,IF(R$8=$AR159,"Bascule","Double run"),"ROKS"))))))</f>
        <v/>
      </c>
      <c r="S159" s="51" t="str">
        <f aca="false">IF(OR($A159="",S$8=""),"",IF($F159="Migré","ROKS",IF($F159="À décommissionner",IF(S$8&lt;$AS159,"IKS","Décom."),IF(OR($AQ159="",$AS159=""),"",IF(S$8&lt;$AQ159,"IKS",IF(S$8&lt;$AS159,IF(S$8=$AR159,"Bascule","Double run"),"ROKS"))))))</f>
        <v/>
      </c>
      <c r="T159" s="51" t="str">
        <f aca="false">IF(OR($A159="",T$8=""),"",IF($F159="Migré","ROKS",IF($F159="À décommissionner",IF(T$8&lt;$AS159,"IKS","Décom."),IF(OR($AQ159="",$AS159=""),"",IF(T$8&lt;$AQ159,"IKS",IF(T$8&lt;$AS159,IF(T$8=$AR159,"Bascule","Double run"),"ROKS"))))))</f>
        <v/>
      </c>
      <c r="U159" s="51" t="str">
        <f aca="false">IF(OR($A159="",U$8=""),"",IF($F159="Migré","ROKS",IF($F159="À décommissionner",IF(U$8&lt;$AS159,"IKS","Décom."),IF(OR($AQ159="",$AS159=""),"",IF(U$8&lt;$AQ159,"IKS",IF(U$8&lt;$AS159,IF(U$8=$AR159,"Bascule","Double run"),"ROKS"))))))</f>
        <v/>
      </c>
      <c r="V159" s="51" t="str">
        <f aca="false">IF(OR($A159="",V$8=""),"",IF($F159="Migré","ROKS",IF($F159="À décommissionner",IF(V$8&lt;$AS159,"IKS","Décom."),IF(OR($AQ159="",$AS159=""),"",IF(V$8&lt;$AQ159,"IKS",IF(V$8&lt;$AS159,IF(V$8=$AR159,"Bascule","Double run"),"ROKS"))))))</f>
        <v/>
      </c>
      <c r="W159" s="51" t="str">
        <f aca="false">IF(OR($A159="",W$8=""),"",IF($F159="Migré","ROKS",IF($F159="À décommissionner",IF(W$8&lt;$AS159,"IKS","Décom."),IF(OR($AQ159="",$AS159=""),"",IF(W$8&lt;$AQ159,"IKS",IF(W$8&lt;$AS159,IF(W$8=$AR159,"Bascule","Double run"),"ROKS"))))))</f>
        <v/>
      </c>
      <c r="X159" s="51" t="str">
        <f aca="false">IF(OR($A159="",X$8=""),"",IF($F159="Migré","ROKS",IF($F159="À décommissionner",IF(X$8&lt;$AS159,"IKS","Décom."),IF(OR($AQ159="",$AS159=""),"",IF(X$8&lt;$AQ159,"IKS",IF(X$8&lt;$AS159,IF(X$8=$AR159,"Bascule","Double run"),"ROKS"))))))</f>
        <v/>
      </c>
      <c r="Y159" s="51" t="str">
        <f aca="false">IF(OR($A159="",Y$8=""),"",IF($F159="Migré","ROKS",IF($F159="À décommissionner",IF(Y$8&lt;$AS159,"IKS","Décom."),IF(OR($AQ159="",$AS159=""),"",IF(Y$8&lt;$AQ159,"IKS",IF(Y$8&lt;$AS159,IF(Y$8=$AR159,"Bascule","Double run"),"ROKS"))))))</f>
        <v/>
      </c>
      <c r="Z159" s="51" t="str">
        <f aca="false">IF(OR($A159="",Z$8=""),"",IF($F159="Migré","ROKS",IF($F159="À décommissionner",IF(Z$8&lt;$AS159,"IKS","Décom."),IF(OR($AQ159="",$AS159=""),"",IF(Z$8&lt;$AQ159,"IKS",IF(Z$8&lt;$AS159,IF(Z$8=$AR159,"Bascule","Double run"),"ROKS"))))))</f>
        <v/>
      </c>
      <c r="AA159" s="51" t="str">
        <f aca="false">IF(OR($A159="",AA$8=""),"",IF($F159="Migré","ROKS",IF($F159="À décommissionner",IF(AA$8&lt;$AS159,"IKS","Décom."),IF(OR($AQ159="",$AS159=""),"",IF(AA$8&lt;$AQ159,"IKS",IF(AA$8&lt;$AS159,IF(AA$8=$AR159,"Bascule","Double run"),"ROKS"))))))</f>
        <v/>
      </c>
      <c r="AB159" s="51" t="str">
        <f aca="false">IF(OR($A159="",AB$8=""),"",IF($F159="Migré","ROKS",IF($F159="À décommissionner",IF(AB$8&lt;$AS159,"IKS","Décom."),IF(OR($AQ159="",$AS159=""),"",IF(AB$8&lt;$AQ159,"IKS",IF(AB$8&lt;$AS159,IF(AB$8=$AR159,"Bascule","Double run"),"ROKS"))))))</f>
        <v/>
      </c>
      <c r="AC159" s="51" t="str">
        <f aca="false">IF(OR($A159="",AC$8=""),"",IF($F159="Migré","ROKS",IF($F159="À décommissionner",IF(AC$8&lt;$AS159,"IKS","Décom."),IF(OR($AQ159="",$AS159=""),"",IF(AC$8&lt;$AQ159,"IKS",IF(AC$8&lt;$AS159,IF(AC$8=$AR159,"Bascule","Double run"),"ROKS"))))))</f>
        <v/>
      </c>
      <c r="AD159" s="51" t="str">
        <f aca="false">IF(OR($A159="",AD$8=""),"",IF($F159="Migré","ROKS",IF($F159="À décommissionner",IF(AD$8&lt;$AS159,"IKS","Décom."),IF(OR($AQ159="",$AS159=""),"",IF(AD$8&lt;$AQ159,"IKS",IF(AD$8&lt;$AS159,IF(AD$8=$AR159,"Bascule","Double run"),"ROKS"))))))</f>
        <v/>
      </c>
      <c r="AE159" s="51" t="str">
        <f aca="false">IF(OR($A159="",AE$8=""),"",IF($F159="Migré","ROKS",IF($F159="À décommissionner",IF(AE$8&lt;$AS159,"IKS","Décom."),IF(OR($AQ159="",$AS159=""),"",IF(AE$8&lt;$AQ159,"IKS",IF(AE$8&lt;$AS159,IF(AE$8=$AR159,"Bascule","Double run"),"ROKS"))))))</f>
        <v/>
      </c>
      <c r="AF159" s="51" t="str">
        <f aca="false">IF(OR($A159="",AF$8=""),"",IF($F159="Migré","ROKS",IF($F159="À décommissionner",IF(AF$8&lt;$AS159,"IKS","Décom."),IF(OR($AQ159="",$AS159=""),"",IF(AF$8&lt;$AQ159,"IKS",IF(AF$8&lt;$AS159,IF(AF$8=$AR159,"Bascule","Double run"),"ROKS"))))))</f>
        <v/>
      </c>
      <c r="AG159" s="51" t="str">
        <f aca="false">IF(OR($A159="",AG$8=""),"",IF($F159="Migré","ROKS",IF($F159="À décommissionner",IF(AG$8&lt;$AS159,"IKS","Décom."),IF(OR($AQ159="",$AS159=""),"",IF(AG$8&lt;$AQ159,"IKS",IF(AG$8&lt;$AS159,IF(AG$8=$AR159,"Bascule","Double run"),"ROKS"))))))</f>
        <v/>
      </c>
      <c r="AH159" s="51" t="str">
        <f aca="false">IF(OR($A159="",AH$8=""),"",IF($F159="Migré","ROKS",IF($F159="À décommissionner",IF(AH$8&lt;$AS159,"IKS","Décom."),IF(OR($AQ159="",$AS159=""),"",IF(AH$8&lt;$AQ159,"IKS",IF(AH$8&lt;$AS159,IF(AH$8=$AR159,"Bascule","Double run"),"ROKS"))))))</f>
        <v/>
      </c>
      <c r="AI159" s="51" t="str">
        <f aca="false">IF(OR($A159="",AI$8=""),"",IF($F159="Migré","ROKS",IF($F159="À décommissionner",IF(AI$8&lt;$AS159,"IKS","Décom."),IF(OR($AQ159="",$AS159=""),"",IF(AI$8&lt;$AQ159,"IKS",IF(AI$8&lt;$AS159,IF(AI$8=$AR159,"Bascule","Double run"),"ROKS"))))))</f>
        <v/>
      </c>
      <c r="AJ159" s="51" t="str">
        <f aca="false">IF(OR($A159="",AJ$8=""),"",IF($F159="Migré","ROKS",IF($F159="À décommissionner",IF(AJ$8&lt;$AS159,"IKS","Décom."),IF(OR($AQ159="",$AS159=""),"",IF(AJ$8&lt;$AQ159,"IKS",IF(AJ$8&lt;$AS159,IF(AJ$8=$AR159,"Bascule","Double run"),"ROKS"))))))</f>
        <v/>
      </c>
      <c r="AK159" s="51" t="str">
        <f aca="false">IF(OR($A159="",AK$8=""),"",IF($F159="Migré","ROKS",IF($F159="À décommissionner",IF(AK$8&lt;$AS159,"IKS","Décom."),IF(OR($AQ159="",$AS159=""),"",IF(AK$8&lt;$AQ159,"IKS",IF(AK$8&lt;$AS159,IF(AK$8=$AR159,"Bascule","Double run"),"ROKS"))))))</f>
        <v/>
      </c>
      <c r="AL159" s="51" t="str">
        <f aca="false">IF(OR($A159="",AL$8=""),"",IF($F159="Migré","ROKS",IF($F159="À décommissionner",IF(AL$8&lt;$AS159,"IKS","Décom."),IF(OR($AQ159="",$AS159=""),"",IF(AL$8&lt;$AQ159,"IKS",IF(AL$8&lt;$AS159,IF(AL$8=$AR159,"Bascule","Double run"),"ROKS"))))))</f>
        <v/>
      </c>
      <c r="AM159" s="51" t="str">
        <f aca="false">IF(OR($A159="",AM$8=""),"",IF($F159="Migré","ROKS",IF($F159="À décommissionner",IF(AM$8&lt;$AS159,"IKS","Décom."),IF(OR($AQ159="",$AS159=""),"",IF(AM$8&lt;$AQ159,"IKS",IF(AM$8&lt;$AS159,IF(AM$8=$AR159,"Bascule","Double run"),"ROKS"))))))</f>
        <v/>
      </c>
      <c r="AN159" s="51" t="str">
        <f aca="false">IF(OR($A159="",AN$8=""),"",IF($F159="Migré","ROKS",IF($F159="À décommissionner",IF(AN$8&lt;$AS159,"IKS","Décom."),IF(OR($AQ159="",$AS159=""),"",IF(AN$8&lt;$AQ159,"IKS",IF(AN$8&lt;$AS159,IF(AN$8=$AR159,"Bascule","Double run"),"ROKS"))))))</f>
        <v/>
      </c>
      <c r="AO159" s="51" t="str">
        <f aca="false">IF(OR($A159="",AO$8=""),"",IF($F159="Migré","ROKS",IF($F159="À décommissionner",IF(AO$8&lt;$AS159,"IKS","Décom."),IF(OR($AQ159="",$AS159=""),"",IF(AO$8&lt;$AQ159,"IKS",IF(AO$8&lt;$AS159,IF(AO$8=$AR159,"Bascule","Double run"),"ROKS"))))))</f>
        <v/>
      </c>
      <c r="AP159" s="51" t="str">
        <f aca="false">IF(OR($A159="",AP$8=""),"",IF($F159="Migré","ROKS",IF($F159="À décommissionner",IF(AP$8&lt;$AS159,"IKS","Décom."),IF(OR($AQ159="",$AS159=""),"",IF(AP$8&lt;$AQ159,"IKS",IF(AP$8&lt;$AS159,IF(AP$8=$AR159,"Bascule","Double run"),"ROKS"))))))</f>
        <v/>
      </c>
      <c r="AQ159" s="0" t="str">
        <f aca="false">IF($A159="","",INDEX(TblApplications[Mois prov (calc)],$A159))</f>
        <v/>
      </c>
      <c r="AR159" s="0" t="str">
        <f aca="false">IF($A159="","",IFERROR(DATE(YEAR(INDEX(TblApplications[Mois bascule],$A159)),MONTH(INDEX(TblApplications[Mois bascule],$A159)),1),""))</f>
        <v/>
      </c>
      <c r="AS159" s="0" t="str">
        <f aca="false">IF($A159="","",INDEX(TblApplications[Mois lib (calc)],$A159))</f>
        <v/>
      </c>
    </row>
    <row r="160" customFormat="false" ht="15" hidden="false" customHeight="false" outlineLevel="0" collapsed="false">
      <c r="A160" s="49" t="str">
        <f aca="false">IFERROR(MATCH(152,TblApplications[Rang frise],0),"")</f>
        <v/>
      </c>
      <c r="B160" s="50" t="str">
        <f aca="false">IF($A160="","",INDEX(TblApplications[ID],$A160))</f>
        <v/>
      </c>
      <c r="C160" s="50" t="str">
        <f aca="false">IF($A160="","",INDEX(TblApplications[Application],$A160))</f>
        <v/>
      </c>
      <c r="D160" s="50" t="str">
        <f aca="false">IF($A160="","",INDEX(TblApplications[Environnement],$A160))</f>
        <v/>
      </c>
      <c r="E160" s="50" t="str">
        <f aca="false">IF($A160="","",INDEX(TblApplications[Couloir],$A160))</f>
        <v/>
      </c>
      <c r="F160" s="50" t="str">
        <f aca="false">IF($A160="","",INDEX(TblApplications[Action],$A160))</f>
        <v/>
      </c>
      <c r="G160" s="51" t="str">
        <f aca="false">IF(OR($A160="",G$8=""),"",IF($F160="Migré","ROKS",IF($F160="À décommissionner",IF(G$8&lt;$AS160,"IKS","Décom."),IF(OR($AQ160="",$AS160=""),"",IF(G$8&lt;$AQ160,"IKS",IF(G$8&lt;$AS160,IF(G$8=$AR160,"Bascule","Double run"),"ROKS"))))))</f>
        <v/>
      </c>
      <c r="H160" s="51" t="str">
        <f aca="false">IF(OR($A160="",H$8=""),"",IF($F160="Migré","ROKS",IF($F160="À décommissionner",IF(H$8&lt;$AS160,"IKS","Décom."),IF(OR($AQ160="",$AS160=""),"",IF(H$8&lt;$AQ160,"IKS",IF(H$8&lt;$AS160,IF(H$8=$AR160,"Bascule","Double run"),"ROKS"))))))</f>
        <v/>
      </c>
      <c r="I160" s="51" t="str">
        <f aca="false">IF(OR($A160="",I$8=""),"",IF($F160="Migré","ROKS",IF($F160="À décommissionner",IF(I$8&lt;$AS160,"IKS","Décom."),IF(OR($AQ160="",$AS160=""),"",IF(I$8&lt;$AQ160,"IKS",IF(I$8&lt;$AS160,IF(I$8=$AR160,"Bascule","Double run"),"ROKS"))))))</f>
        <v/>
      </c>
      <c r="J160" s="51" t="str">
        <f aca="false">IF(OR($A160="",J$8=""),"",IF($F160="Migré","ROKS",IF($F160="À décommissionner",IF(J$8&lt;$AS160,"IKS","Décom."),IF(OR($AQ160="",$AS160=""),"",IF(J$8&lt;$AQ160,"IKS",IF(J$8&lt;$AS160,IF(J$8=$AR160,"Bascule","Double run"),"ROKS"))))))</f>
        <v/>
      </c>
      <c r="K160" s="51" t="str">
        <f aca="false">IF(OR($A160="",K$8=""),"",IF($F160="Migré","ROKS",IF($F160="À décommissionner",IF(K$8&lt;$AS160,"IKS","Décom."),IF(OR($AQ160="",$AS160=""),"",IF(K$8&lt;$AQ160,"IKS",IF(K$8&lt;$AS160,IF(K$8=$AR160,"Bascule","Double run"),"ROKS"))))))</f>
        <v/>
      </c>
      <c r="L160" s="51" t="str">
        <f aca="false">IF(OR($A160="",L$8=""),"",IF($F160="Migré","ROKS",IF($F160="À décommissionner",IF(L$8&lt;$AS160,"IKS","Décom."),IF(OR($AQ160="",$AS160=""),"",IF(L$8&lt;$AQ160,"IKS",IF(L$8&lt;$AS160,IF(L$8=$AR160,"Bascule","Double run"),"ROKS"))))))</f>
        <v/>
      </c>
      <c r="M160" s="51" t="str">
        <f aca="false">IF(OR($A160="",M$8=""),"",IF($F160="Migré","ROKS",IF($F160="À décommissionner",IF(M$8&lt;$AS160,"IKS","Décom."),IF(OR($AQ160="",$AS160=""),"",IF(M$8&lt;$AQ160,"IKS",IF(M$8&lt;$AS160,IF(M$8=$AR160,"Bascule","Double run"),"ROKS"))))))</f>
        <v/>
      </c>
      <c r="N160" s="51" t="str">
        <f aca="false">IF(OR($A160="",N$8=""),"",IF($F160="Migré","ROKS",IF($F160="À décommissionner",IF(N$8&lt;$AS160,"IKS","Décom."),IF(OR($AQ160="",$AS160=""),"",IF(N$8&lt;$AQ160,"IKS",IF(N$8&lt;$AS160,IF(N$8=$AR160,"Bascule","Double run"),"ROKS"))))))</f>
        <v/>
      </c>
      <c r="O160" s="51" t="str">
        <f aca="false">IF(OR($A160="",O$8=""),"",IF($F160="Migré","ROKS",IF($F160="À décommissionner",IF(O$8&lt;$AS160,"IKS","Décom."),IF(OR($AQ160="",$AS160=""),"",IF(O$8&lt;$AQ160,"IKS",IF(O$8&lt;$AS160,IF(O$8=$AR160,"Bascule","Double run"),"ROKS"))))))</f>
        <v/>
      </c>
      <c r="P160" s="51" t="str">
        <f aca="false">IF(OR($A160="",P$8=""),"",IF($F160="Migré","ROKS",IF($F160="À décommissionner",IF(P$8&lt;$AS160,"IKS","Décom."),IF(OR($AQ160="",$AS160=""),"",IF(P$8&lt;$AQ160,"IKS",IF(P$8&lt;$AS160,IF(P$8=$AR160,"Bascule","Double run"),"ROKS"))))))</f>
        <v/>
      </c>
      <c r="Q160" s="51" t="str">
        <f aca="false">IF(OR($A160="",Q$8=""),"",IF($F160="Migré","ROKS",IF($F160="À décommissionner",IF(Q$8&lt;$AS160,"IKS","Décom."),IF(OR($AQ160="",$AS160=""),"",IF(Q$8&lt;$AQ160,"IKS",IF(Q$8&lt;$AS160,IF(Q$8=$AR160,"Bascule","Double run"),"ROKS"))))))</f>
        <v/>
      </c>
      <c r="R160" s="51" t="str">
        <f aca="false">IF(OR($A160="",R$8=""),"",IF($F160="Migré","ROKS",IF($F160="À décommissionner",IF(R$8&lt;$AS160,"IKS","Décom."),IF(OR($AQ160="",$AS160=""),"",IF(R$8&lt;$AQ160,"IKS",IF(R$8&lt;$AS160,IF(R$8=$AR160,"Bascule","Double run"),"ROKS"))))))</f>
        <v/>
      </c>
      <c r="S160" s="51" t="str">
        <f aca="false">IF(OR($A160="",S$8=""),"",IF($F160="Migré","ROKS",IF($F160="À décommissionner",IF(S$8&lt;$AS160,"IKS","Décom."),IF(OR($AQ160="",$AS160=""),"",IF(S$8&lt;$AQ160,"IKS",IF(S$8&lt;$AS160,IF(S$8=$AR160,"Bascule","Double run"),"ROKS"))))))</f>
        <v/>
      </c>
      <c r="T160" s="51" t="str">
        <f aca="false">IF(OR($A160="",T$8=""),"",IF($F160="Migré","ROKS",IF($F160="À décommissionner",IF(T$8&lt;$AS160,"IKS","Décom."),IF(OR($AQ160="",$AS160=""),"",IF(T$8&lt;$AQ160,"IKS",IF(T$8&lt;$AS160,IF(T$8=$AR160,"Bascule","Double run"),"ROKS"))))))</f>
        <v/>
      </c>
      <c r="U160" s="51" t="str">
        <f aca="false">IF(OR($A160="",U$8=""),"",IF($F160="Migré","ROKS",IF($F160="À décommissionner",IF(U$8&lt;$AS160,"IKS","Décom."),IF(OR($AQ160="",$AS160=""),"",IF(U$8&lt;$AQ160,"IKS",IF(U$8&lt;$AS160,IF(U$8=$AR160,"Bascule","Double run"),"ROKS"))))))</f>
        <v/>
      </c>
      <c r="V160" s="51" t="str">
        <f aca="false">IF(OR($A160="",V$8=""),"",IF($F160="Migré","ROKS",IF($F160="À décommissionner",IF(V$8&lt;$AS160,"IKS","Décom."),IF(OR($AQ160="",$AS160=""),"",IF(V$8&lt;$AQ160,"IKS",IF(V$8&lt;$AS160,IF(V$8=$AR160,"Bascule","Double run"),"ROKS"))))))</f>
        <v/>
      </c>
      <c r="W160" s="51" t="str">
        <f aca="false">IF(OR($A160="",W$8=""),"",IF($F160="Migré","ROKS",IF($F160="À décommissionner",IF(W$8&lt;$AS160,"IKS","Décom."),IF(OR($AQ160="",$AS160=""),"",IF(W$8&lt;$AQ160,"IKS",IF(W$8&lt;$AS160,IF(W$8=$AR160,"Bascule","Double run"),"ROKS"))))))</f>
        <v/>
      </c>
      <c r="X160" s="51" t="str">
        <f aca="false">IF(OR($A160="",X$8=""),"",IF($F160="Migré","ROKS",IF($F160="À décommissionner",IF(X$8&lt;$AS160,"IKS","Décom."),IF(OR($AQ160="",$AS160=""),"",IF(X$8&lt;$AQ160,"IKS",IF(X$8&lt;$AS160,IF(X$8=$AR160,"Bascule","Double run"),"ROKS"))))))</f>
        <v/>
      </c>
      <c r="Y160" s="51" t="str">
        <f aca="false">IF(OR($A160="",Y$8=""),"",IF($F160="Migré","ROKS",IF($F160="À décommissionner",IF(Y$8&lt;$AS160,"IKS","Décom."),IF(OR($AQ160="",$AS160=""),"",IF(Y$8&lt;$AQ160,"IKS",IF(Y$8&lt;$AS160,IF(Y$8=$AR160,"Bascule","Double run"),"ROKS"))))))</f>
        <v/>
      </c>
      <c r="Z160" s="51" t="str">
        <f aca="false">IF(OR($A160="",Z$8=""),"",IF($F160="Migré","ROKS",IF($F160="À décommissionner",IF(Z$8&lt;$AS160,"IKS","Décom."),IF(OR($AQ160="",$AS160=""),"",IF(Z$8&lt;$AQ160,"IKS",IF(Z$8&lt;$AS160,IF(Z$8=$AR160,"Bascule","Double run"),"ROKS"))))))</f>
        <v/>
      </c>
      <c r="AA160" s="51" t="str">
        <f aca="false">IF(OR($A160="",AA$8=""),"",IF($F160="Migré","ROKS",IF($F160="À décommissionner",IF(AA$8&lt;$AS160,"IKS","Décom."),IF(OR($AQ160="",$AS160=""),"",IF(AA$8&lt;$AQ160,"IKS",IF(AA$8&lt;$AS160,IF(AA$8=$AR160,"Bascule","Double run"),"ROKS"))))))</f>
        <v/>
      </c>
      <c r="AB160" s="51" t="str">
        <f aca="false">IF(OR($A160="",AB$8=""),"",IF($F160="Migré","ROKS",IF($F160="À décommissionner",IF(AB$8&lt;$AS160,"IKS","Décom."),IF(OR($AQ160="",$AS160=""),"",IF(AB$8&lt;$AQ160,"IKS",IF(AB$8&lt;$AS160,IF(AB$8=$AR160,"Bascule","Double run"),"ROKS"))))))</f>
        <v/>
      </c>
      <c r="AC160" s="51" t="str">
        <f aca="false">IF(OR($A160="",AC$8=""),"",IF($F160="Migré","ROKS",IF($F160="À décommissionner",IF(AC$8&lt;$AS160,"IKS","Décom."),IF(OR($AQ160="",$AS160=""),"",IF(AC$8&lt;$AQ160,"IKS",IF(AC$8&lt;$AS160,IF(AC$8=$AR160,"Bascule","Double run"),"ROKS"))))))</f>
        <v/>
      </c>
      <c r="AD160" s="51" t="str">
        <f aca="false">IF(OR($A160="",AD$8=""),"",IF($F160="Migré","ROKS",IF($F160="À décommissionner",IF(AD$8&lt;$AS160,"IKS","Décom."),IF(OR($AQ160="",$AS160=""),"",IF(AD$8&lt;$AQ160,"IKS",IF(AD$8&lt;$AS160,IF(AD$8=$AR160,"Bascule","Double run"),"ROKS"))))))</f>
        <v/>
      </c>
      <c r="AE160" s="51" t="str">
        <f aca="false">IF(OR($A160="",AE$8=""),"",IF($F160="Migré","ROKS",IF($F160="À décommissionner",IF(AE$8&lt;$AS160,"IKS","Décom."),IF(OR($AQ160="",$AS160=""),"",IF(AE$8&lt;$AQ160,"IKS",IF(AE$8&lt;$AS160,IF(AE$8=$AR160,"Bascule","Double run"),"ROKS"))))))</f>
        <v/>
      </c>
      <c r="AF160" s="51" t="str">
        <f aca="false">IF(OR($A160="",AF$8=""),"",IF($F160="Migré","ROKS",IF($F160="À décommissionner",IF(AF$8&lt;$AS160,"IKS","Décom."),IF(OR($AQ160="",$AS160=""),"",IF(AF$8&lt;$AQ160,"IKS",IF(AF$8&lt;$AS160,IF(AF$8=$AR160,"Bascule","Double run"),"ROKS"))))))</f>
        <v/>
      </c>
      <c r="AG160" s="51" t="str">
        <f aca="false">IF(OR($A160="",AG$8=""),"",IF($F160="Migré","ROKS",IF($F160="À décommissionner",IF(AG$8&lt;$AS160,"IKS","Décom."),IF(OR($AQ160="",$AS160=""),"",IF(AG$8&lt;$AQ160,"IKS",IF(AG$8&lt;$AS160,IF(AG$8=$AR160,"Bascule","Double run"),"ROKS"))))))</f>
        <v/>
      </c>
      <c r="AH160" s="51" t="str">
        <f aca="false">IF(OR($A160="",AH$8=""),"",IF($F160="Migré","ROKS",IF($F160="À décommissionner",IF(AH$8&lt;$AS160,"IKS","Décom."),IF(OR($AQ160="",$AS160=""),"",IF(AH$8&lt;$AQ160,"IKS",IF(AH$8&lt;$AS160,IF(AH$8=$AR160,"Bascule","Double run"),"ROKS"))))))</f>
        <v/>
      </c>
      <c r="AI160" s="51" t="str">
        <f aca="false">IF(OR($A160="",AI$8=""),"",IF($F160="Migré","ROKS",IF($F160="À décommissionner",IF(AI$8&lt;$AS160,"IKS","Décom."),IF(OR($AQ160="",$AS160=""),"",IF(AI$8&lt;$AQ160,"IKS",IF(AI$8&lt;$AS160,IF(AI$8=$AR160,"Bascule","Double run"),"ROKS"))))))</f>
        <v/>
      </c>
      <c r="AJ160" s="51" t="str">
        <f aca="false">IF(OR($A160="",AJ$8=""),"",IF($F160="Migré","ROKS",IF($F160="À décommissionner",IF(AJ$8&lt;$AS160,"IKS","Décom."),IF(OR($AQ160="",$AS160=""),"",IF(AJ$8&lt;$AQ160,"IKS",IF(AJ$8&lt;$AS160,IF(AJ$8=$AR160,"Bascule","Double run"),"ROKS"))))))</f>
        <v/>
      </c>
      <c r="AK160" s="51" t="str">
        <f aca="false">IF(OR($A160="",AK$8=""),"",IF($F160="Migré","ROKS",IF($F160="À décommissionner",IF(AK$8&lt;$AS160,"IKS","Décom."),IF(OR($AQ160="",$AS160=""),"",IF(AK$8&lt;$AQ160,"IKS",IF(AK$8&lt;$AS160,IF(AK$8=$AR160,"Bascule","Double run"),"ROKS"))))))</f>
        <v/>
      </c>
      <c r="AL160" s="51" t="str">
        <f aca="false">IF(OR($A160="",AL$8=""),"",IF($F160="Migré","ROKS",IF($F160="À décommissionner",IF(AL$8&lt;$AS160,"IKS","Décom."),IF(OR($AQ160="",$AS160=""),"",IF(AL$8&lt;$AQ160,"IKS",IF(AL$8&lt;$AS160,IF(AL$8=$AR160,"Bascule","Double run"),"ROKS"))))))</f>
        <v/>
      </c>
      <c r="AM160" s="51" t="str">
        <f aca="false">IF(OR($A160="",AM$8=""),"",IF($F160="Migré","ROKS",IF($F160="À décommissionner",IF(AM$8&lt;$AS160,"IKS","Décom."),IF(OR($AQ160="",$AS160=""),"",IF(AM$8&lt;$AQ160,"IKS",IF(AM$8&lt;$AS160,IF(AM$8=$AR160,"Bascule","Double run"),"ROKS"))))))</f>
        <v/>
      </c>
      <c r="AN160" s="51" t="str">
        <f aca="false">IF(OR($A160="",AN$8=""),"",IF($F160="Migré","ROKS",IF($F160="À décommissionner",IF(AN$8&lt;$AS160,"IKS","Décom."),IF(OR($AQ160="",$AS160=""),"",IF(AN$8&lt;$AQ160,"IKS",IF(AN$8&lt;$AS160,IF(AN$8=$AR160,"Bascule","Double run"),"ROKS"))))))</f>
        <v/>
      </c>
      <c r="AO160" s="51" t="str">
        <f aca="false">IF(OR($A160="",AO$8=""),"",IF($F160="Migré","ROKS",IF($F160="À décommissionner",IF(AO$8&lt;$AS160,"IKS","Décom."),IF(OR($AQ160="",$AS160=""),"",IF(AO$8&lt;$AQ160,"IKS",IF(AO$8&lt;$AS160,IF(AO$8=$AR160,"Bascule","Double run"),"ROKS"))))))</f>
        <v/>
      </c>
      <c r="AP160" s="51" t="str">
        <f aca="false">IF(OR($A160="",AP$8=""),"",IF($F160="Migré","ROKS",IF($F160="À décommissionner",IF(AP$8&lt;$AS160,"IKS","Décom."),IF(OR($AQ160="",$AS160=""),"",IF(AP$8&lt;$AQ160,"IKS",IF(AP$8&lt;$AS160,IF(AP$8=$AR160,"Bascule","Double run"),"ROKS"))))))</f>
        <v/>
      </c>
      <c r="AQ160" s="0" t="str">
        <f aca="false">IF($A160="","",INDEX(TblApplications[Mois prov (calc)],$A160))</f>
        <v/>
      </c>
      <c r="AR160" s="0" t="str">
        <f aca="false">IF($A160="","",IFERROR(DATE(YEAR(INDEX(TblApplications[Mois bascule],$A160)),MONTH(INDEX(TblApplications[Mois bascule],$A160)),1),""))</f>
        <v/>
      </c>
      <c r="AS160" s="0" t="str">
        <f aca="false">IF($A160="","",INDEX(TblApplications[Mois lib (calc)],$A160))</f>
        <v/>
      </c>
    </row>
    <row r="161" customFormat="false" ht="15" hidden="false" customHeight="false" outlineLevel="0" collapsed="false">
      <c r="A161" s="49" t="str">
        <f aca="false">IFERROR(MATCH(153,TblApplications[Rang frise],0),"")</f>
        <v/>
      </c>
      <c r="B161" s="50" t="str">
        <f aca="false">IF($A161="","",INDEX(TblApplications[ID],$A161))</f>
        <v/>
      </c>
      <c r="C161" s="50" t="str">
        <f aca="false">IF($A161="","",INDEX(TblApplications[Application],$A161))</f>
        <v/>
      </c>
      <c r="D161" s="50" t="str">
        <f aca="false">IF($A161="","",INDEX(TblApplications[Environnement],$A161))</f>
        <v/>
      </c>
      <c r="E161" s="50" t="str">
        <f aca="false">IF($A161="","",INDEX(TblApplications[Couloir],$A161))</f>
        <v/>
      </c>
      <c r="F161" s="50" t="str">
        <f aca="false">IF($A161="","",INDEX(TblApplications[Action],$A161))</f>
        <v/>
      </c>
      <c r="G161" s="51" t="str">
        <f aca="false">IF(OR($A161="",G$8=""),"",IF($F161="Migré","ROKS",IF($F161="À décommissionner",IF(G$8&lt;$AS161,"IKS","Décom."),IF(OR($AQ161="",$AS161=""),"",IF(G$8&lt;$AQ161,"IKS",IF(G$8&lt;$AS161,IF(G$8=$AR161,"Bascule","Double run"),"ROKS"))))))</f>
        <v/>
      </c>
      <c r="H161" s="51" t="str">
        <f aca="false">IF(OR($A161="",H$8=""),"",IF($F161="Migré","ROKS",IF($F161="À décommissionner",IF(H$8&lt;$AS161,"IKS","Décom."),IF(OR($AQ161="",$AS161=""),"",IF(H$8&lt;$AQ161,"IKS",IF(H$8&lt;$AS161,IF(H$8=$AR161,"Bascule","Double run"),"ROKS"))))))</f>
        <v/>
      </c>
      <c r="I161" s="51" t="str">
        <f aca="false">IF(OR($A161="",I$8=""),"",IF($F161="Migré","ROKS",IF($F161="À décommissionner",IF(I$8&lt;$AS161,"IKS","Décom."),IF(OR($AQ161="",$AS161=""),"",IF(I$8&lt;$AQ161,"IKS",IF(I$8&lt;$AS161,IF(I$8=$AR161,"Bascule","Double run"),"ROKS"))))))</f>
        <v/>
      </c>
      <c r="J161" s="51" t="str">
        <f aca="false">IF(OR($A161="",J$8=""),"",IF($F161="Migré","ROKS",IF($F161="À décommissionner",IF(J$8&lt;$AS161,"IKS","Décom."),IF(OR($AQ161="",$AS161=""),"",IF(J$8&lt;$AQ161,"IKS",IF(J$8&lt;$AS161,IF(J$8=$AR161,"Bascule","Double run"),"ROKS"))))))</f>
        <v/>
      </c>
      <c r="K161" s="51" t="str">
        <f aca="false">IF(OR($A161="",K$8=""),"",IF($F161="Migré","ROKS",IF($F161="À décommissionner",IF(K$8&lt;$AS161,"IKS","Décom."),IF(OR($AQ161="",$AS161=""),"",IF(K$8&lt;$AQ161,"IKS",IF(K$8&lt;$AS161,IF(K$8=$AR161,"Bascule","Double run"),"ROKS"))))))</f>
        <v/>
      </c>
      <c r="L161" s="51" t="str">
        <f aca="false">IF(OR($A161="",L$8=""),"",IF($F161="Migré","ROKS",IF($F161="À décommissionner",IF(L$8&lt;$AS161,"IKS","Décom."),IF(OR($AQ161="",$AS161=""),"",IF(L$8&lt;$AQ161,"IKS",IF(L$8&lt;$AS161,IF(L$8=$AR161,"Bascule","Double run"),"ROKS"))))))</f>
        <v/>
      </c>
      <c r="M161" s="51" t="str">
        <f aca="false">IF(OR($A161="",M$8=""),"",IF($F161="Migré","ROKS",IF($F161="À décommissionner",IF(M$8&lt;$AS161,"IKS","Décom."),IF(OR($AQ161="",$AS161=""),"",IF(M$8&lt;$AQ161,"IKS",IF(M$8&lt;$AS161,IF(M$8=$AR161,"Bascule","Double run"),"ROKS"))))))</f>
        <v/>
      </c>
      <c r="N161" s="51" t="str">
        <f aca="false">IF(OR($A161="",N$8=""),"",IF($F161="Migré","ROKS",IF($F161="À décommissionner",IF(N$8&lt;$AS161,"IKS","Décom."),IF(OR($AQ161="",$AS161=""),"",IF(N$8&lt;$AQ161,"IKS",IF(N$8&lt;$AS161,IF(N$8=$AR161,"Bascule","Double run"),"ROKS"))))))</f>
        <v/>
      </c>
      <c r="O161" s="51" t="str">
        <f aca="false">IF(OR($A161="",O$8=""),"",IF($F161="Migré","ROKS",IF($F161="À décommissionner",IF(O$8&lt;$AS161,"IKS","Décom."),IF(OR($AQ161="",$AS161=""),"",IF(O$8&lt;$AQ161,"IKS",IF(O$8&lt;$AS161,IF(O$8=$AR161,"Bascule","Double run"),"ROKS"))))))</f>
        <v/>
      </c>
      <c r="P161" s="51" t="str">
        <f aca="false">IF(OR($A161="",P$8=""),"",IF($F161="Migré","ROKS",IF($F161="À décommissionner",IF(P$8&lt;$AS161,"IKS","Décom."),IF(OR($AQ161="",$AS161=""),"",IF(P$8&lt;$AQ161,"IKS",IF(P$8&lt;$AS161,IF(P$8=$AR161,"Bascule","Double run"),"ROKS"))))))</f>
        <v/>
      </c>
      <c r="Q161" s="51" t="str">
        <f aca="false">IF(OR($A161="",Q$8=""),"",IF($F161="Migré","ROKS",IF($F161="À décommissionner",IF(Q$8&lt;$AS161,"IKS","Décom."),IF(OR($AQ161="",$AS161=""),"",IF(Q$8&lt;$AQ161,"IKS",IF(Q$8&lt;$AS161,IF(Q$8=$AR161,"Bascule","Double run"),"ROKS"))))))</f>
        <v/>
      </c>
      <c r="R161" s="51" t="str">
        <f aca="false">IF(OR($A161="",R$8=""),"",IF($F161="Migré","ROKS",IF($F161="À décommissionner",IF(R$8&lt;$AS161,"IKS","Décom."),IF(OR($AQ161="",$AS161=""),"",IF(R$8&lt;$AQ161,"IKS",IF(R$8&lt;$AS161,IF(R$8=$AR161,"Bascule","Double run"),"ROKS"))))))</f>
        <v/>
      </c>
      <c r="S161" s="51" t="str">
        <f aca="false">IF(OR($A161="",S$8=""),"",IF($F161="Migré","ROKS",IF($F161="À décommissionner",IF(S$8&lt;$AS161,"IKS","Décom."),IF(OR($AQ161="",$AS161=""),"",IF(S$8&lt;$AQ161,"IKS",IF(S$8&lt;$AS161,IF(S$8=$AR161,"Bascule","Double run"),"ROKS"))))))</f>
        <v/>
      </c>
      <c r="T161" s="51" t="str">
        <f aca="false">IF(OR($A161="",T$8=""),"",IF($F161="Migré","ROKS",IF($F161="À décommissionner",IF(T$8&lt;$AS161,"IKS","Décom."),IF(OR($AQ161="",$AS161=""),"",IF(T$8&lt;$AQ161,"IKS",IF(T$8&lt;$AS161,IF(T$8=$AR161,"Bascule","Double run"),"ROKS"))))))</f>
        <v/>
      </c>
      <c r="U161" s="51" t="str">
        <f aca="false">IF(OR($A161="",U$8=""),"",IF($F161="Migré","ROKS",IF($F161="À décommissionner",IF(U$8&lt;$AS161,"IKS","Décom."),IF(OR($AQ161="",$AS161=""),"",IF(U$8&lt;$AQ161,"IKS",IF(U$8&lt;$AS161,IF(U$8=$AR161,"Bascule","Double run"),"ROKS"))))))</f>
        <v/>
      </c>
      <c r="V161" s="51" t="str">
        <f aca="false">IF(OR($A161="",V$8=""),"",IF($F161="Migré","ROKS",IF($F161="À décommissionner",IF(V$8&lt;$AS161,"IKS","Décom."),IF(OR($AQ161="",$AS161=""),"",IF(V$8&lt;$AQ161,"IKS",IF(V$8&lt;$AS161,IF(V$8=$AR161,"Bascule","Double run"),"ROKS"))))))</f>
        <v/>
      </c>
      <c r="W161" s="51" t="str">
        <f aca="false">IF(OR($A161="",W$8=""),"",IF($F161="Migré","ROKS",IF($F161="À décommissionner",IF(W$8&lt;$AS161,"IKS","Décom."),IF(OR($AQ161="",$AS161=""),"",IF(W$8&lt;$AQ161,"IKS",IF(W$8&lt;$AS161,IF(W$8=$AR161,"Bascule","Double run"),"ROKS"))))))</f>
        <v/>
      </c>
      <c r="X161" s="51" t="str">
        <f aca="false">IF(OR($A161="",X$8=""),"",IF($F161="Migré","ROKS",IF($F161="À décommissionner",IF(X$8&lt;$AS161,"IKS","Décom."),IF(OR($AQ161="",$AS161=""),"",IF(X$8&lt;$AQ161,"IKS",IF(X$8&lt;$AS161,IF(X$8=$AR161,"Bascule","Double run"),"ROKS"))))))</f>
        <v/>
      </c>
      <c r="Y161" s="51" t="str">
        <f aca="false">IF(OR($A161="",Y$8=""),"",IF($F161="Migré","ROKS",IF($F161="À décommissionner",IF(Y$8&lt;$AS161,"IKS","Décom."),IF(OR($AQ161="",$AS161=""),"",IF(Y$8&lt;$AQ161,"IKS",IF(Y$8&lt;$AS161,IF(Y$8=$AR161,"Bascule","Double run"),"ROKS"))))))</f>
        <v/>
      </c>
      <c r="Z161" s="51" t="str">
        <f aca="false">IF(OR($A161="",Z$8=""),"",IF($F161="Migré","ROKS",IF($F161="À décommissionner",IF(Z$8&lt;$AS161,"IKS","Décom."),IF(OR($AQ161="",$AS161=""),"",IF(Z$8&lt;$AQ161,"IKS",IF(Z$8&lt;$AS161,IF(Z$8=$AR161,"Bascule","Double run"),"ROKS"))))))</f>
        <v/>
      </c>
      <c r="AA161" s="51" t="str">
        <f aca="false">IF(OR($A161="",AA$8=""),"",IF($F161="Migré","ROKS",IF($F161="À décommissionner",IF(AA$8&lt;$AS161,"IKS","Décom."),IF(OR($AQ161="",$AS161=""),"",IF(AA$8&lt;$AQ161,"IKS",IF(AA$8&lt;$AS161,IF(AA$8=$AR161,"Bascule","Double run"),"ROKS"))))))</f>
        <v/>
      </c>
      <c r="AB161" s="51" t="str">
        <f aca="false">IF(OR($A161="",AB$8=""),"",IF($F161="Migré","ROKS",IF($F161="À décommissionner",IF(AB$8&lt;$AS161,"IKS","Décom."),IF(OR($AQ161="",$AS161=""),"",IF(AB$8&lt;$AQ161,"IKS",IF(AB$8&lt;$AS161,IF(AB$8=$AR161,"Bascule","Double run"),"ROKS"))))))</f>
        <v/>
      </c>
      <c r="AC161" s="51" t="str">
        <f aca="false">IF(OR($A161="",AC$8=""),"",IF($F161="Migré","ROKS",IF($F161="À décommissionner",IF(AC$8&lt;$AS161,"IKS","Décom."),IF(OR($AQ161="",$AS161=""),"",IF(AC$8&lt;$AQ161,"IKS",IF(AC$8&lt;$AS161,IF(AC$8=$AR161,"Bascule","Double run"),"ROKS"))))))</f>
        <v/>
      </c>
      <c r="AD161" s="51" t="str">
        <f aca="false">IF(OR($A161="",AD$8=""),"",IF($F161="Migré","ROKS",IF($F161="À décommissionner",IF(AD$8&lt;$AS161,"IKS","Décom."),IF(OR($AQ161="",$AS161=""),"",IF(AD$8&lt;$AQ161,"IKS",IF(AD$8&lt;$AS161,IF(AD$8=$AR161,"Bascule","Double run"),"ROKS"))))))</f>
        <v/>
      </c>
      <c r="AE161" s="51" t="str">
        <f aca="false">IF(OR($A161="",AE$8=""),"",IF($F161="Migré","ROKS",IF($F161="À décommissionner",IF(AE$8&lt;$AS161,"IKS","Décom."),IF(OR($AQ161="",$AS161=""),"",IF(AE$8&lt;$AQ161,"IKS",IF(AE$8&lt;$AS161,IF(AE$8=$AR161,"Bascule","Double run"),"ROKS"))))))</f>
        <v/>
      </c>
      <c r="AF161" s="51" t="str">
        <f aca="false">IF(OR($A161="",AF$8=""),"",IF($F161="Migré","ROKS",IF($F161="À décommissionner",IF(AF$8&lt;$AS161,"IKS","Décom."),IF(OR($AQ161="",$AS161=""),"",IF(AF$8&lt;$AQ161,"IKS",IF(AF$8&lt;$AS161,IF(AF$8=$AR161,"Bascule","Double run"),"ROKS"))))))</f>
        <v/>
      </c>
      <c r="AG161" s="51" t="str">
        <f aca="false">IF(OR($A161="",AG$8=""),"",IF($F161="Migré","ROKS",IF($F161="À décommissionner",IF(AG$8&lt;$AS161,"IKS","Décom."),IF(OR($AQ161="",$AS161=""),"",IF(AG$8&lt;$AQ161,"IKS",IF(AG$8&lt;$AS161,IF(AG$8=$AR161,"Bascule","Double run"),"ROKS"))))))</f>
        <v/>
      </c>
      <c r="AH161" s="51" t="str">
        <f aca="false">IF(OR($A161="",AH$8=""),"",IF($F161="Migré","ROKS",IF($F161="À décommissionner",IF(AH$8&lt;$AS161,"IKS","Décom."),IF(OR($AQ161="",$AS161=""),"",IF(AH$8&lt;$AQ161,"IKS",IF(AH$8&lt;$AS161,IF(AH$8=$AR161,"Bascule","Double run"),"ROKS"))))))</f>
        <v/>
      </c>
      <c r="AI161" s="51" t="str">
        <f aca="false">IF(OR($A161="",AI$8=""),"",IF($F161="Migré","ROKS",IF($F161="À décommissionner",IF(AI$8&lt;$AS161,"IKS","Décom."),IF(OR($AQ161="",$AS161=""),"",IF(AI$8&lt;$AQ161,"IKS",IF(AI$8&lt;$AS161,IF(AI$8=$AR161,"Bascule","Double run"),"ROKS"))))))</f>
        <v/>
      </c>
      <c r="AJ161" s="51" t="str">
        <f aca="false">IF(OR($A161="",AJ$8=""),"",IF($F161="Migré","ROKS",IF($F161="À décommissionner",IF(AJ$8&lt;$AS161,"IKS","Décom."),IF(OR($AQ161="",$AS161=""),"",IF(AJ$8&lt;$AQ161,"IKS",IF(AJ$8&lt;$AS161,IF(AJ$8=$AR161,"Bascule","Double run"),"ROKS"))))))</f>
        <v/>
      </c>
      <c r="AK161" s="51" t="str">
        <f aca="false">IF(OR($A161="",AK$8=""),"",IF($F161="Migré","ROKS",IF($F161="À décommissionner",IF(AK$8&lt;$AS161,"IKS","Décom."),IF(OR($AQ161="",$AS161=""),"",IF(AK$8&lt;$AQ161,"IKS",IF(AK$8&lt;$AS161,IF(AK$8=$AR161,"Bascule","Double run"),"ROKS"))))))</f>
        <v/>
      </c>
      <c r="AL161" s="51" t="str">
        <f aca="false">IF(OR($A161="",AL$8=""),"",IF($F161="Migré","ROKS",IF($F161="À décommissionner",IF(AL$8&lt;$AS161,"IKS","Décom."),IF(OR($AQ161="",$AS161=""),"",IF(AL$8&lt;$AQ161,"IKS",IF(AL$8&lt;$AS161,IF(AL$8=$AR161,"Bascule","Double run"),"ROKS"))))))</f>
        <v/>
      </c>
      <c r="AM161" s="51" t="str">
        <f aca="false">IF(OR($A161="",AM$8=""),"",IF($F161="Migré","ROKS",IF($F161="À décommissionner",IF(AM$8&lt;$AS161,"IKS","Décom."),IF(OR($AQ161="",$AS161=""),"",IF(AM$8&lt;$AQ161,"IKS",IF(AM$8&lt;$AS161,IF(AM$8=$AR161,"Bascule","Double run"),"ROKS"))))))</f>
        <v/>
      </c>
      <c r="AN161" s="51" t="str">
        <f aca="false">IF(OR($A161="",AN$8=""),"",IF($F161="Migré","ROKS",IF($F161="À décommissionner",IF(AN$8&lt;$AS161,"IKS","Décom."),IF(OR($AQ161="",$AS161=""),"",IF(AN$8&lt;$AQ161,"IKS",IF(AN$8&lt;$AS161,IF(AN$8=$AR161,"Bascule","Double run"),"ROKS"))))))</f>
        <v/>
      </c>
      <c r="AO161" s="51" t="str">
        <f aca="false">IF(OR($A161="",AO$8=""),"",IF($F161="Migré","ROKS",IF($F161="À décommissionner",IF(AO$8&lt;$AS161,"IKS","Décom."),IF(OR($AQ161="",$AS161=""),"",IF(AO$8&lt;$AQ161,"IKS",IF(AO$8&lt;$AS161,IF(AO$8=$AR161,"Bascule","Double run"),"ROKS"))))))</f>
        <v/>
      </c>
      <c r="AP161" s="51" t="str">
        <f aca="false">IF(OR($A161="",AP$8=""),"",IF($F161="Migré","ROKS",IF($F161="À décommissionner",IF(AP$8&lt;$AS161,"IKS","Décom."),IF(OR($AQ161="",$AS161=""),"",IF(AP$8&lt;$AQ161,"IKS",IF(AP$8&lt;$AS161,IF(AP$8=$AR161,"Bascule","Double run"),"ROKS"))))))</f>
        <v/>
      </c>
      <c r="AQ161" s="0" t="str">
        <f aca="false">IF($A161="","",INDEX(TblApplications[Mois prov (calc)],$A161))</f>
        <v/>
      </c>
      <c r="AR161" s="0" t="str">
        <f aca="false">IF($A161="","",IFERROR(DATE(YEAR(INDEX(TblApplications[Mois bascule],$A161)),MONTH(INDEX(TblApplications[Mois bascule],$A161)),1),""))</f>
        <v/>
      </c>
      <c r="AS161" s="0" t="str">
        <f aca="false">IF($A161="","",INDEX(TblApplications[Mois lib (calc)],$A161))</f>
        <v/>
      </c>
    </row>
    <row r="162" customFormat="false" ht="15" hidden="false" customHeight="false" outlineLevel="0" collapsed="false">
      <c r="A162" s="49" t="str">
        <f aca="false">IFERROR(MATCH(154,TblApplications[Rang frise],0),"")</f>
        <v/>
      </c>
      <c r="B162" s="50" t="str">
        <f aca="false">IF($A162="","",INDEX(TblApplications[ID],$A162))</f>
        <v/>
      </c>
      <c r="C162" s="50" t="str">
        <f aca="false">IF($A162="","",INDEX(TblApplications[Application],$A162))</f>
        <v/>
      </c>
      <c r="D162" s="50" t="str">
        <f aca="false">IF($A162="","",INDEX(TblApplications[Environnement],$A162))</f>
        <v/>
      </c>
      <c r="E162" s="50" t="str">
        <f aca="false">IF($A162="","",INDEX(TblApplications[Couloir],$A162))</f>
        <v/>
      </c>
      <c r="F162" s="50" t="str">
        <f aca="false">IF($A162="","",INDEX(TblApplications[Action],$A162))</f>
        <v/>
      </c>
      <c r="G162" s="51" t="str">
        <f aca="false">IF(OR($A162="",G$8=""),"",IF($F162="Migré","ROKS",IF($F162="À décommissionner",IF(G$8&lt;$AS162,"IKS","Décom."),IF(OR($AQ162="",$AS162=""),"",IF(G$8&lt;$AQ162,"IKS",IF(G$8&lt;$AS162,IF(G$8=$AR162,"Bascule","Double run"),"ROKS"))))))</f>
        <v/>
      </c>
      <c r="H162" s="51" t="str">
        <f aca="false">IF(OR($A162="",H$8=""),"",IF($F162="Migré","ROKS",IF($F162="À décommissionner",IF(H$8&lt;$AS162,"IKS","Décom."),IF(OR($AQ162="",$AS162=""),"",IF(H$8&lt;$AQ162,"IKS",IF(H$8&lt;$AS162,IF(H$8=$AR162,"Bascule","Double run"),"ROKS"))))))</f>
        <v/>
      </c>
      <c r="I162" s="51" t="str">
        <f aca="false">IF(OR($A162="",I$8=""),"",IF($F162="Migré","ROKS",IF($F162="À décommissionner",IF(I$8&lt;$AS162,"IKS","Décom."),IF(OR($AQ162="",$AS162=""),"",IF(I$8&lt;$AQ162,"IKS",IF(I$8&lt;$AS162,IF(I$8=$AR162,"Bascule","Double run"),"ROKS"))))))</f>
        <v/>
      </c>
      <c r="J162" s="51" t="str">
        <f aca="false">IF(OR($A162="",J$8=""),"",IF($F162="Migré","ROKS",IF($F162="À décommissionner",IF(J$8&lt;$AS162,"IKS","Décom."),IF(OR($AQ162="",$AS162=""),"",IF(J$8&lt;$AQ162,"IKS",IF(J$8&lt;$AS162,IF(J$8=$AR162,"Bascule","Double run"),"ROKS"))))))</f>
        <v/>
      </c>
      <c r="K162" s="51" t="str">
        <f aca="false">IF(OR($A162="",K$8=""),"",IF($F162="Migré","ROKS",IF($F162="À décommissionner",IF(K$8&lt;$AS162,"IKS","Décom."),IF(OR($AQ162="",$AS162=""),"",IF(K$8&lt;$AQ162,"IKS",IF(K$8&lt;$AS162,IF(K$8=$AR162,"Bascule","Double run"),"ROKS"))))))</f>
        <v/>
      </c>
      <c r="L162" s="51" t="str">
        <f aca="false">IF(OR($A162="",L$8=""),"",IF($F162="Migré","ROKS",IF($F162="À décommissionner",IF(L$8&lt;$AS162,"IKS","Décom."),IF(OR($AQ162="",$AS162=""),"",IF(L$8&lt;$AQ162,"IKS",IF(L$8&lt;$AS162,IF(L$8=$AR162,"Bascule","Double run"),"ROKS"))))))</f>
        <v/>
      </c>
      <c r="M162" s="51" t="str">
        <f aca="false">IF(OR($A162="",M$8=""),"",IF($F162="Migré","ROKS",IF($F162="À décommissionner",IF(M$8&lt;$AS162,"IKS","Décom."),IF(OR($AQ162="",$AS162=""),"",IF(M$8&lt;$AQ162,"IKS",IF(M$8&lt;$AS162,IF(M$8=$AR162,"Bascule","Double run"),"ROKS"))))))</f>
        <v/>
      </c>
      <c r="N162" s="51" t="str">
        <f aca="false">IF(OR($A162="",N$8=""),"",IF($F162="Migré","ROKS",IF($F162="À décommissionner",IF(N$8&lt;$AS162,"IKS","Décom."),IF(OR($AQ162="",$AS162=""),"",IF(N$8&lt;$AQ162,"IKS",IF(N$8&lt;$AS162,IF(N$8=$AR162,"Bascule","Double run"),"ROKS"))))))</f>
        <v/>
      </c>
      <c r="O162" s="51" t="str">
        <f aca="false">IF(OR($A162="",O$8=""),"",IF($F162="Migré","ROKS",IF($F162="À décommissionner",IF(O$8&lt;$AS162,"IKS","Décom."),IF(OR($AQ162="",$AS162=""),"",IF(O$8&lt;$AQ162,"IKS",IF(O$8&lt;$AS162,IF(O$8=$AR162,"Bascule","Double run"),"ROKS"))))))</f>
        <v/>
      </c>
      <c r="P162" s="51" t="str">
        <f aca="false">IF(OR($A162="",P$8=""),"",IF($F162="Migré","ROKS",IF($F162="À décommissionner",IF(P$8&lt;$AS162,"IKS","Décom."),IF(OR($AQ162="",$AS162=""),"",IF(P$8&lt;$AQ162,"IKS",IF(P$8&lt;$AS162,IF(P$8=$AR162,"Bascule","Double run"),"ROKS"))))))</f>
        <v/>
      </c>
      <c r="Q162" s="51" t="str">
        <f aca="false">IF(OR($A162="",Q$8=""),"",IF($F162="Migré","ROKS",IF($F162="À décommissionner",IF(Q$8&lt;$AS162,"IKS","Décom."),IF(OR($AQ162="",$AS162=""),"",IF(Q$8&lt;$AQ162,"IKS",IF(Q$8&lt;$AS162,IF(Q$8=$AR162,"Bascule","Double run"),"ROKS"))))))</f>
        <v/>
      </c>
      <c r="R162" s="51" t="str">
        <f aca="false">IF(OR($A162="",R$8=""),"",IF($F162="Migré","ROKS",IF($F162="À décommissionner",IF(R$8&lt;$AS162,"IKS","Décom."),IF(OR($AQ162="",$AS162=""),"",IF(R$8&lt;$AQ162,"IKS",IF(R$8&lt;$AS162,IF(R$8=$AR162,"Bascule","Double run"),"ROKS"))))))</f>
        <v/>
      </c>
      <c r="S162" s="51" t="str">
        <f aca="false">IF(OR($A162="",S$8=""),"",IF($F162="Migré","ROKS",IF($F162="À décommissionner",IF(S$8&lt;$AS162,"IKS","Décom."),IF(OR($AQ162="",$AS162=""),"",IF(S$8&lt;$AQ162,"IKS",IF(S$8&lt;$AS162,IF(S$8=$AR162,"Bascule","Double run"),"ROKS"))))))</f>
        <v/>
      </c>
      <c r="T162" s="51" t="str">
        <f aca="false">IF(OR($A162="",T$8=""),"",IF($F162="Migré","ROKS",IF($F162="À décommissionner",IF(T$8&lt;$AS162,"IKS","Décom."),IF(OR($AQ162="",$AS162=""),"",IF(T$8&lt;$AQ162,"IKS",IF(T$8&lt;$AS162,IF(T$8=$AR162,"Bascule","Double run"),"ROKS"))))))</f>
        <v/>
      </c>
      <c r="U162" s="51" t="str">
        <f aca="false">IF(OR($A162="",U$8=""),"",IF($F162="Migré","ROKS",IF($F162="À décommissionner",IF(U$8&lt;$AS162,"IKS","Décom."),IF(OR($AQ162="",$AS162=""),"",IF(U$8&lt;$AQ162,"IKS",IF(U$8&lt;$AS162,IF(U$8=$AR162,"Bascule","Double run"),"ROKS"))))))</f>
        <v/>
      </c>
      <c r="V162" s="51" t="str">
        <f aca="false">IF(OR($A162="",V$8=""),"",IF($F162="Migré","ROKS",IF($F162="À décommissionner",IF(V$8&lt;$AS162,"IKS","Décom."),IF(OR($AQ162="",$AS162=""),"",IF(V$8&lt;$AQ162,"IKS",IF(V$8&lt;$AS162,IF(V$8=$AR162,"Bascule","Double run"),"ROKS"))))))</f>
        <v/>
      </c>
      <c r="W162" s="51" t="str">
        <f aca="false">IF(OR($A162="",W$8=""),"",IF($F162="Migré","ROKS",IF($F162="À décommissionner",IF(W$8&lt;$AS162,"IKS","Décom."),IF(OR($AQ162="",$AS162=""),"",IF(W$8&lt;$AQ162,"IKS",IF(W$8&lt;$AS162,IF(W$8=$AR162,"Bascule","Double run"),"ROKS"))))))</f>
        <v/>
      </c>
      <c r="X162" s="51" t="str">
        <f aca="false">IF(OR($A162="",X$8=""),"",IF($F162="Migré","ROKS",IF($F162="À décommissionner",IF(X$8&lt;$AS162,"IKS","Décom."),IF(OR($AQ162="",$AS162=""),"",IF(X$8&lt;$AQ162,"IKS",IF(X$8&lt;$AS162,IF(X$8=$AR162,"Bascule","Double run"),"ROKS"))))))</f>
        <v/>
      </c>
      <c r="Y162" s="51" t="str">
        <f aca="false">IF(OR($A162="",Y$8=""),"",IF($F162="Migré","ROKS",IF($F162="À décommissionner",IF(Y$8&lt;$AS162,"IKS","Décom."),IF(OR($AQ162="",$AS162=""),"",IF(Y$8&lt;$AQ162,"IKS",IF(Y$8&lt;$AS162,IF(Y$8=$AR162,"Bascule","Double run"),"ROKS"))))))</f>
        <v/>
      </c>
      <c r="Z162" s="51" t="str">
        <f aca="false">IF(OR($A162="",Z$8=""),"",IF($F162="Migré","ROKS",IF($F162="À décommissionner",IF(Z$8&lt;$AS162,"IKS","Décom."),IF(OR($AQ162="",$AS162=""),"",IF(Z$8&lt;$AQ162,"IKS",IF(Z$8&lt;$AS162,IF(Z$8=$AR162,"Bascule","Double run"),"ROKS"))))))</f>
        <v/>
      </c>
      <c r="AA162" s="51" t="str">
        <f aca="false">IF(OR($A162="",AA$8=""),"",IF($F162="Migré","ROKS",IF($F162="À décommissionner",IF(AA$8&lt;$AS162,"IKS","Décom."),IF(OR($AQ162="",$AS162=""),"",IF(AA$8&lt;$AQ162,"IKS",IF(AA$8&lt;$AS162,IF(AA$8=$AR162,"Bascule","Double run"),"ROKS"))))))</f>
        <v/>
      </c>
      <c r="AB162" s="51" t="str">
        <f aca="false">IF(OR($A162="",AB$8=""),"",IF($F162="Migré","ROKS",IF($F162="À décommissionner",IF(AB$8&lt;$AS162,"IKS","Décom."),IF(OR($AQ162="",$AS162=""),"",IF(AB$8&lt;$AQ162,"IKS",IF(AB$8&lt;$AS162,IF(AB$8=$AR162,"Bascule","Double run"),"ROKS"))))))</f>
        <v/>
      </c>
      <c r="AC162" s="51" t="str">
        <f aca="false">IF(OR($A162="",AC$8=""),"",IF($F162="Migré","ROKS",IF($F162="À décommissionner",IF(AC$8&lt;$AS162,"IKS","Décom."),IF(OR($AQ162="",$AS162=""),"",IF(AC$8&lt;$AQ162,"IKS",IF(AC$8&lt;$AS162,IF(AC$8=$AR162,"Bascule","Double run"),"ROKS"))))))</f>
        <v/>
      </c>
      <c r="AD162" s="51" t="str">
        <f aca="false">IF(OR($A162="",AD$8=""),"",IF($F162="Migré","ROKS",IF($F162="À décommissionner",IF(AD$8&lt;$AS162,"IKS","Décom."),IF(OR($AQ162="",$AS162=""),"",IF(AD$8&lt;$AQ162,"IKS",IF(AD$8&lt;$AS162,IF(AD$8=$AR162,"Bascule","Double run"),"ROKS"))))))</f>
        <v/>
      </c>
      <c r="AE162" s="51" t="str">
        <f aca="false">IF(OR($A162="",AE$8=""),"",IF($F162="Migré","ROKS",IF($F162="À décommissionner",IF(AE$8&lt;$AS162,"IKS","Décom."),IF(OR($AQ162="",$AS162=""),"",IF(AE$8&lt;$AQ162,"IKS",IF(AE$8&lt;$AS162,IF(AE$8=$AR162,"Bascule","Double run"),"ROKS"))))))</f>
        <v/>
      </c>
      <c r="AF162" s="51" t="str">
        <f aca="false">IF(OR($A162="",AF$8=""),"",IF($F162="Migré","ROKS",IF($F162="À décommissionner",IF(AF$8&lt;$AS162,"IKS","Décom."),IF(OR($AQ162="",$AS162=""),"",IF(AF$8&lt;$AQ162,"IKS",IF(AF$8&lt;$AS162,IF(AF$8=$AR162,"Bascule","Double run"),"ROKS"))))))</f>
        <v/>
      </c>
      <c r="AG162" s="51" t="str">
        <f aca="false">IF(OR($A162="",AG$8=""),"",IF($F162="Migré","ROKS",IF($F162="À décommissionner",IF(AG$8&lt;$AS162,"IKS","Décom."),IF(OR($AQ162="",$AS162=""),"",IF(AG$8&lt;$AQ162,"IKS",IF(AG$8&lt;$AS162,IF(AG$8=$AR162,"Bascule","Double run"),"ROKS"))))))</f>
        <v/>
      </c>
      <c r="AH162" s="51" t="str">
        <f aca="false">IF(OR($A162="",AH$8=""),"",IF($F162="Migré","ROKS",IF($F162="À décommissionner",IF(AH$8&lt;$AS162,"IKS","Décom."),IF(OR($AQ162="",$AS162=""),"",IF(AH$8&lt;$AQ162,"IKS",IF(AH$8&lt;$AS162,IF(AH$8=$AR162,"Bascule","Double run"),"ROKS"))))))</f>
        <v/>
      </c>
      <c r="AI162" s="51" t="str">
        <f aca="false">IF(OR($A162="",AI$8=""),"",IF($F162="Migré","ROKS",IF($F162="À décommissionner",IF(AI$8&lt;$AS162,"IKS","Décom."),IF(OR($AQ162="",$AS162=""),"",IF(AI$8&lt;$AQ162,"IKS",IF(AI$8&lt;$AS162,IF(AI$8=$AR162,"Bascule","Double run"),"ROKS"))))))</f>
        <v/>
      </c>
      <c r="AJ162" s="51" t="str">
        <f aca="false">IF(OR($A162="",AJ$8=""),"",IF($F162="Migré","ROKS",IF($F162="À décommissionner",IF(AJ$8&lt;$AS162,"IKS","Décom."),IF(OR($AQ162="",$AS162=""),"",IF(AJ$8&lt;$AQ162,"IKS",IF(AJ$8&lt;$AS162,IF(AJ$8=$AR162,"Bascule","Double run"),"ROKS"))))))</f>
        <v/>
      </c>
      <c r="AK162" s="51" t="str">
        <f aca="false">IF(OR($A162="",AK$8=""),"",IF($F162="Migré","ROKS",IF($F162="À décommissionner",IF(AK$8&lt;$AS162,"IKS","Décom."),IF(OR($AQ162="",$AS162=""),"",IF(AK$8&lt;$AQ162,"IKS",IF(AK$8&lt;$AS162,IF(AK$8=$AR162,"Bascule","Double run"),"ROKS"))))))</f>
        <v/>
      </c>
      <c r="AL162" s="51" t="str">
        <f aca="false">IF(OR($A162="",AL$8=""),"",IF($F162="Migré","ROKS",IF($F162="À décommissionner",IF(AL$8&lt;$AS162,"IKS","Décom."),IF(OR($AQ162="",$AS162=""),"",IF(AL$8&lt;$AQ162,"IKS",IF(AL$8&lt;$AS162,IF(AL$8=$AR162,"Bascule","Double run"),"ROKS"))))))</f>
        <v/>
      </c>
      <c r="AM162" s="51" t="str">
        <f aca="false">IF(OR($A162="",AM$8=""),"",IF($F162="Migré","ROKS",IF($F162="À décommissionner",IF(AM$8&lt;$AS162,"IKS","Décom."),IF(OR($AQ162="",$AS162=""),"",IF(AM$8&lt;$AQ162,"IKS",IF(AM$8&lt;$AS162,IF(AM$8=$AR162,"Bascule","Double run"),"ROKS"))))))</f>
        <v/>
      </c>
      <c r="AN162" s="51" t="str">
        <f aca="false">IF(OR($A162="",AN$8=""),"",IF($F162="Migré","ROKS",IF($F162="À décommissionner",IF(AN$8&lt;$AS162,"IKS","Décom."),IF(OR($AQ162="",$AS162=""),"",IF(AN$8&lt;$AQ162,"IKS",IF(AN$8&lt;$AS162,IF(AN$8=$AR162,"Bascule","Double run"),"ROKS"))))))</f>
        <v/>
      </c>
      <c r="AO162" s="51" t="str">
        <f aca="false">IF(OR($A162="",AO$8=""),"",IF($F162="Migré","ROKS",IF($F162="À décommissionner",IF(AO$8&lt;$AS162,"IKS","Décom."),IF(OR($AQ162="",$AS162=""),"",IF(AO$8&lt;$AQ162,"IKS",IF(AO$8&lt;$AS162,IF(AO$8=$AR162,"Bascule","Double run"),"ROKS"))))))</f>
        <v/>
      </c>
      <c r="AP162" s="51" t="str">
        <f aca="false">IF(OR($A162="",AP$8=""),"",IF($F162="Migré","ROKS",IF($F162="À décommissionner",IF(AP$8&lt;$AS162,"IKS","Décom."),IF(OR($AQ162="",$AS162=""),"",IF(AP$8&lt;$AQ162,"IKS",IF(AP$8&lt;$AS162,IF(AP$8=$AR162,"Bascule","Double run"),"ROKS"))))))</f>
        <v/>
      </c>
      <c r="AQ162" s="0" t="str">
        <f aca="false">IF($A162="","",INDEX(TblApplications[Mois prov (calc)],$A162))</f>
        <v/>
      </c>
      <c r="AR162" s="0" t="str">
        <f aca="false">IF($A162="","",IFERROR(DATE(YEAR(INDEX(TblApplications[Mois bascule],$A162)),MONTH(INDEX(TblApplications[Mois bascule],$A162)),1),""))</f>
        <v/>
      </c>
      <c r="AS162" s="0" t="str">
        <f aca="false">IF($A162="","",INDEX(TblApplications[Mois lib (calc)],$A162))</f>
        <v/>
      </c>
    </row>
    <row r="163" customFormat="false" ht="15" hidden="false" customHeight="false" outlineLevel="0" collapsed="false">
      <c r="A163" s="49" t="str">
        <f aca="false">IFERROR(MATCH(155,TblApplications[Rang frise],0),"")</f>
        <v/>
      </c>
      <c r="B163" s="50" t="str">
        <f aca="false">IF($A163="","",INDEX(TblApplications[ID],$A163))</f>
        <v/>
      </c>
      <c r="C163" s="50" t="str">
        <f aca="false">IF($A163="","",INDEX(TblApplications[Application],$A163))</f>
        <v/>
      </c>
      <c r="D163" s="50" t="str">
        <f aca="false">IF($A163="","",INDEX(TblApplications[Environnement],$A163))</f>
        <v/>
      </c>
      <c r="E163" s="50" t="str">
        <f aca="false">IF($A163="","",INDEX(TblApplications[Couloir],$A163))</f>
        <v/>
      </c>
      <c r="F163" s="50" t="str">
        <f aca="false">IF($A163="","",INDEX(TblApplications[Action],$A163))</f>
        <v/>
      </c>
      <c r="G163" s="51" t="str">
        <f aca="false">IF(OR($A163="",G$8=""),"",IF($F163="Migré","ROKS",IF($F163="À décommissionner",IF(G$8&lt;$AS163,"IKS","Décom."),IF(OR($AQ163="",$AS163=""),"",IF(G$8&lt;$AQ163,"IKS",IF(G$8&lt;$AS163,IF(G$8=$AR163,"Bascule","Double run"),"ROKS"))))))</f>
        <v/>
      </c>
      <c r="H163" s="51" t="str">
        <f aca="false">IF(OR($A163="",H$8=""),"",IF($F163="Migré","ROKS",IF($F163="À décommissionner",IF(H$8&lt;$AS163,"IKS","Décom."),IF(OR($AQ163="",$AS163=""),"",IF(H$8&lt;$AQ163,"IKS",IF(H$8&lt;$AS163,IF(H$8=$AR163,"Bascule","Double run"),"ROKS"))))))</f>
        <v/>
      </c>
      <c r="I163" s="51" t="str">
        <f aca="false">IF(OR($A163="",I$8=""),"",IF($F163="Migré","ROKS",IF($F163="À décommissionner",IF(I$8&lt;$AS163,"IKS","Décom."),IF(OR($AQ163="",$AS163=""),"",IF(I$8&lt;$AQ163,"IKS",IF(I$8&lt;$AS163,IF(I$8=$AR163,"Bascule","Double run"),"ROKS"))))))</f>
        <v/>
      </c>
      <c r="J163" s="51" t="str">
        <f aca="false">IF(OR($A163="",J$8=""),"",IF($F163="Migré","ROKS",IF($F163="À décommissionner",IF(J$8&lt;$AS163,"IKS","Décom."),IF(OR($AQ163="",$AS163=""),"",IF(J$8&lt;$AQ163,"IKS",IF(J$8&lt;$AS163,IF(J$8=$AR163,"Bascule","Double run"),"ROKS"))))))</f>
        <v/>
      </c>
      <c r="K163" s="51" t="str">
        <f aca="false">IF(OR($A163="",K$8=""),"",IF($F163="Migré","ROKS",IF($F163="À décommissionner",IF(K$8&lt;$AS163,"IKS","Décom."),IF(OR($AQ163="",$AS163=""),"",IF(K$8&lt;$AQ163,"IKS",IF(K$8&lt;$AS163,IF(K$8=$AR163,"Bascule","Double run"),"ROKS"))))))</f>
        <v/>
      </c>
      <c r="L163" s="51" t="str">
        <f aca="false">IF(OR($A163="",L$8=""),"",IF($F163="Migré","ROKS",IF($F163="À décommissionner",IF(L$8&lt;$AS163,"IKS","Décom."),IF(OR($AQ163="",$AS163=""),"",IF(L$8&lt;$AQ163,"IKS",IF(L$8&lt;$AS163,IF(L$8=$AR163,"Bascule","Double run"),"ROKS"))))))</f>
        <v/>
      </c>
      <c r="M163" s="51" t="str">
        <f aca="false">IF(OR($A163="",M$8=""),"",IF($F163="Migré","ROKS",IF($F163="À décommissionner",IF(M$8&lt;$AS163,"IKS","Décom."),IF(OR($AQ163="",$AS163=""),"",IF(M$8&lt;$AQ163,"IKS",IF(M$8&lt;$AS163,IF(M$8=$AR163,"Bascule","Double run"),"ROKS"))))))</f>
        <v/>
      </c>
      <c r="N163" s="51" t="str">
        <f aca="false">IF(OR($A163="",N$8=""),"",IF($F163="Migré","ROKS",IF($F163="À décommissionner",IF(N$8&lt;$AS163,"IKS","Décom."),IF(OR($AQ163="",$AS163=""),"",IF(N$8&lt;$AQ163,"IKS",IF(N$8&lt;$AS163,IF(N$8=$AR163,"Bascule","Double run"),"ROKS"))))))</f>
        <v/>
      </c>
      <c r="O163" s="51" t="str">
        <f aca="false">IF(OR($A163="",O$8=""),"",IF($F163="Migré","ROKS",IF($F163="À décommissionner",IF(O$8&lt;$AS163,"IKS","Décom."),IF(OR($AQ163="",$AS163=""),"",IF(O$8&lt;$AQ163,"IKS",IF(O$8&lt;$AS163,IF(O$8=$AR163,"Bascule","Double run"),"ROKS"))))))</f>
        <v/>
      </c>
      <c r="P163" s="51" t="str">
        <f aca="false">IF(OR($A163="",P$8=""),"",IF($F163="Migré","ROKS",IF($F163="À décommissionner",IF(P$8&lt;$AS163,"IKS","Décom."),IF(OR($AQ163="",$AS163=""),"",IF(P$8&lt;$AQ163,"IKS",IF(P$8&lt;$AS163,IF(P$8=$AR163,"Bascule","Double run"),"ROKS"))))))</f>
        <v/>
      </c>
      <c r="Q163" s="51" t="str">
        <f aca="false">IF(OR($A163="",Q$8=""),"",IF($F163="Migré","ROKS",IF($F163="À décommissionner",IF(Q$8&lt;$AS163,"IKS","Décom."),IF(OR($AQ163="",$AS163=""),"",IF(Q$8&lt;$AQ163,"IKS",IF(Q$8&lt;$AS163,IF(Q$8=$AR163,"Bascule","Double run"),"ROKS"))))))</f>
        <v/>
      </c>
      <c r="R163" s="51" t="str">
        <f aca="false">IF(OR($A163="",R$8=""),"",IF($F163="Migré","ROKS",IF($F163="À décommissionner",IF(R$8&lt;$AS163,"IKS","Décom."),IF(OR($AQ163="",$AS163=""),"",IF(R$8&lt;$AQ163,"IKS",IF(R$8&lt;$AS163,IF(R$8=$AR163,"Bascule","Double run"),"ROKS"))))))</f>
        <v/>
      </c>
      <c r="S163" s="51" t="str">
        <f aca="false">IF(OR($A163="",S$8=""),"",IF($F163="Migré","ROKS",IF($F163="À décommissionner",IF(S$8&lt;$AS163,"IKS","Décom."),IF(OR($AQ163="",$AS163=""),"",IF(S$8&lt;$AQ163,"IKS",IF(S$8&lt;$AS163,IF(S$8=$AR163,"Bascule","Double run"),"ROKS"))))))</f>
        <v/>
      </c>
      <c r="T163" s="51" t="str">
        <f aca="false">IF(OR($A163="",T$8=""),"",IF($F163="Migré","ROKS",IF($F163="À décommissionner",IF(T$8&lt;$AS163,"IKS","Décom."),IF(OR($AQ163="",$AS163=""),"",IF(T$8&lt;$AQ163,"IKS",IF(T$8&lt;$AS163,IF(T$8=$AR163,"Bascule","Double run"),"ROKS"))))))</f>
        <v/>
      </c>
      <c r="U163" s="51" t="str">
        <f aca="false">IF(OR($A163="",U$8=""),"",IF($F163="Migré","ROKS",IF($F163="À décommissionner",IF(U$8&lt;$AS163,"IKS","Décom."),IF(OR($AQ163="",$AS163=""),"",IF(U$8&lt;$AQ163,"IKS",IF(U$8&lt;$AS163,IF(U$8=$AR163,"Bascule","Double run"),"ROKS"))))))</f>
        <v/>
      </c>
      <c r="V163" s="51" t="str">
        <f aca="false">IF(OR($A163="",V$8=""),"",IF($F163="Migré","ROKS",IF($F163="À décommissionner",IF(V$8&lt;$AS163,"IKS","Décom."),IF(OR($AQ163="",$AS163=""),"",IF(V$8&lt;$AQ163,"IKS",IF(V$8&lt;$AS163,IF(V$8=$AR163,"Bascule","Double run"),"ROKS"))))))</f>
        <v/>
      </c>
      <c r="W163" s="51" t="str">
        <f aca="false">IF(OR($A163="",W$8=""),"",IF($F163="Migré","ROKS",IF($F163="À décommissionner",IF(W$8&lt;$AS163,"IKS","Décom."),IF(OR($AQ163="",$AS163=""),"",IF(W$8&lt;$AQ163,"IKS",IF(W$8&lt;$AS163,IF(W$8=$AR163,"Bascule","Double run"),"ROKS"))))))</f>
        <v/>
      </c>
      <c r="X163" s="51" t="str">
        <f aca="false">IF(OR($A163="",X$8=""),"",IF($F163="Migré","ROKS",IF($F163="À décommissionner",IF(X$8&lt;$AS163,"IKS","Décom."),IF(OR($AQ163="",$AS163=""),"",IF(X$8&lt;$AQ163,"IKS",IF(X$8&lt;$AS163,IF(X$8=$AR163,"Bascule","Double run"),"ROKS"))))))</f>
        <v/>
      </c>
      <c r="Y163" s="51" t="str">
        <f aca="false">IF(OR($A163="",Y$8=""),"",IF($F163="Migré","ROKS",IF($F163="À décommissionner",IF(Y$8&lt;$AS163,"IKS","Décom."),IF(OR($AQ163="",$AS163=""),"",IF(Y$8&lt;$AQ163,"IKS",IF(Y$8&lt;$AS163,IF(Y$8=$AR163,"Bascule","Double run"),"ROKS"))))))</f>
        <v/>
      </c>
      <c r="Z163" s="51" t="str">
        <f aca="false">IF(OR($A163="",Z$8=""),"",IF($F163="Migré","ROKS",IF($F163="À décommissionner",IF(Z$8&lt;$AS163,"IKS","Décom."),IF(OR($AQ163="",$AS163=""),"",IF(Z$8&lt;$AQ163,"IKS",IF(Z$8&lt;$AS163,IF(Z$8=$AR163,"Bascule","Double run"),"ROKS"))))))</f>
        <v/>
      </c>
      <c r="AA163" s="51" t="str">
        <f aca="false">IF(OR($A163="",AA$8=""),"",IF($F163="Migré","ROKS",IF($F163="À décommissionner",IF(AA$8&lt;$AS163,"IKS","Décom."),IF(OR($AQ163="",$AS163=""),"",IF(AA$8&lt;$AQ163,"IKS",IF(AA$8&lt;$AS163,IF(AA$8=$AR163,"Bascule","Double run"),"ROKS"))))))</f>
        <v/>
      </c>
      <c r="AB163" s="51" t="str">
        <f aca="false">IF(OR($A163="",AB$8=""),"",IF($F163="Migré","ROKS",IF($F163="À décommissionner",IF(AB$8&lt;$AS163,"IKS","Décom."),IF(OR($AQ163="",$AS163=""),"",IF(AB$8&lt;$AQ163,"IKS",IF(AB$8&lt;$AS163,IF(AB$8=$AR163,"Bascule","Double run"),"ROKS"))))))</f>
        <v/>
      </c>
      <c r="AC163" s="51" t="str">
        <f aca="false">IF(OR($A163="",AC$8=""),"",IF($F163="Migré","ROKS",IF($F163="À décommissionner",IF(AC$8&lt;$AS163,"IKS","Décom."),IF(OR($AQ163="",$AS163=""),"",IF(AC$8&lt;$AQ163,"IKS",IF(AC$8&lt;$AS163,IF(AC$8=$AR163,"Bascule","Double run"),"ROKS"))))))</f>
        <v/>
      </c>
      <c r="AD163" s="51" t="str">
        <f aca="false">IF(OR($A163="",AD$8=""),"",IF($F163="Migré","ROKS",IF($F163="À décommissionner",IF(AD$8&lt;$AS163,"IKS","Décom."),IF(OR($AQ163="",$AS163=""),"",IF(AD$8&lt;$AQ163,"IKS",IF(AD$8&lt;$AS163,IF(AD$8=$AR163,"Bascule","Double run"),"ROKS"))))))</f>
        <v/>
      </c>
      <c r="AE163" s="51" t="str">
        <f aca="false">IF(OR($A163="",AE$8=""),"",IF($F163="Migré","ROKS",IF($F163="À décommissionner",IF(AE$8&lt;$AS163,"IKS","Décom."),IF(OR($AQ163="",$AS163=""),"",IF(AE$8&lt;$AQ163,"IKS",IF(AE$8&lt;$AS163,IF(AE$8=$AR163,"Bascule","Double run"),"ROKS"))))))</f>
        <v/>
      </c>
      <c r="AF163" s="51" t="str">
        <f aca="false">IF(OR($A163="",AF$8=""),"",IF($F163="Migré","ROKS",IF($F163="À décommissionner",IF(AF$8&lt;$AS163,"IKS","Décom."),IF(OR($AQ163="",$AS163=""),"",IF(AF$8&lt;$AQ163,"IKS",IF(AF$8&lt;$AS163,IF(AF$8=$AR163,"Bascule","Double run"),"ROKS"))))))</f>
        <v/>
      </c>
      <c r="AG163" s="51" t="str">
        <f aca="false">IF(OR($A163="",AG$8=""),"",IF($F163="Migré","ROKS",IF($F163="À décommissionner",IF(AG$8&lt;$AS163,"IKS","Décom."),IF(OR($AQ163="",$AS163=""),"",IF(AG$8&lt;$AQ163,"IKS",IF(AG$8&lt;$AS163,IF(AG$8=$AR163,"Bascule","Double run"),"ROKS"))))))</f>
        <v/>
      </c>
      <c r="AH163" s="51" t="str">
        <f aca="false">IF(OR($A163="",AH$8=""),"",IF($F163="Migré","ROKS",IF($F163="À décommissionner",IF(AH$8&lt;$AS163,"IKS","Décom."),IF(OR($AQ163="",$AS163=""),"",IF(AH$8&lt;$AQ163,"IKS",IF(AH$8&lt;$AS163,IF(AH$8=$AR163,"Bascule","Double run"),"ROKS"))))))</f>
        <v/>
      </c>
      <c r="AI163" s="51" t="str">
        <f aca="false">IF(OR($A163="",AI$8=""),"",IF($F163="Migré","ROKS",IF($F163="À décommissionner",IF(AI$8&lt;$AS163,"IKS","Décom."),IF(OR($AQ163="",$AS163=""),"",IF(AI$8&lt;$AQ163,"IKS",IF(AI$8&lt;$AS163,IF(AI$8=$AR163,"Bascule","Double run"),"ROKS"))))))</f>
        <v/>
      </c>
      <c r="AJ163" s="51" t="str">
        <f aca="false">IF(OR($A163="",AJ$8=""),"",IF($F163="Migré","ROKS",IF($F163="À décommissionner",IF(AJ$8&lt;$AS163,"IKS","Décom."),IF(OR($AQ163="",$AS163=""),"",IF(AJ$8&lt;$AQ163,"IKS",IF(AJ$8&lt;$AS163,IF(AJ$8=$AR163,"Bascule","Double run"),"ROKS"))))))</f>
        <v/>
      </c>
      <c r="AK163" s="51" t="str">
        <f aca="false">IF(OR($A163="",AK$8=""),"",IF($F163="Migré","ROKS",IF($F163="À décommissionner",IF(AK$8&lt;$AS163,"IKS","Décom."),IF(OR($AQ163="",$AS163=""),"",IF(AK$8&lt;$AQ163,"IKS",IF(AK$8&lt;$AS163,IF(AK$8=$AR163,"Bascule","Double run"),"ROKS"))))))</f>
        <v/>
      </c>
      <c r="AL163" s="51" t="str">
        <f aca="false">IF(OR($A163="",AL$8=""),"",IF($F163="Migré","ROKS",IF($F163="À décommissionner",IF(AL$8&lt;$AS163,"IKS","Décom."),IF(OR($AQ163="",$AS163=""),"",IF(AL$8&lt;$AQ163,"IKS",IF(AL$8&lt;$AS163,IF(AL$8=$AR163,"Bascule","Double run"),"ROKS"))))))</f>
        <v/>
      </c>
      <c r="AM163" s="51" t="str">
        <f aca="false">IF(OR($A163="",AM$8=""),"",IF($F163="Migré","ROKS",IF($F163="À décommissionner",IF(AM$8&lt;$AS163,"IKS","Décom."),IF(OR($AQ163="",$AS163=""),"",IF(AM$8&lt;$AQ163,"IKS",IF(AM$8&lt;$AS163,IF(AM$8=$AR163,"Bascule","Double run"),"ROKS"))))))</f>
        <v/>
      </c>
      <c r="AN163" s="51" t="str">
        <f aca="false">IF(OR($A163="",AN$8=""),"",IF($F163="Migré","ROKS",IF($F163="À décommissionner",IF(AN$8&lt;$AS163,"IKS","Décom."),IF(OR($AQ163="",$AS163=""),"",IF(AN$8&lt;$AQ163,"IKS",IF(AN$8&lt;$AS163,IF(AN$8=$AR163,"Bascule","Double run"),"ROKS"))))))</f>
        <v/>
      </c>
      <c r="AO163" s="51" t="str">
        <f aca="false">IF(OR($A163="",AO$8=""),"",IF($F163="Migré","ROKS",IF($F163="À décommissionner",IF(AO$8&lt;$AS163,"IKS","Décom."),IF(OR($AQ163="",$AS163=""),"",IF(AO$8&lt;$AQ163,"IKS",IF(AO$8&lt;$AS163,IF(AO$8=$AR163,"Bascule","Double run"),"ROKS"))))))</f>
        <v/>
      </c>
      <c r="AP163" s="51" t="str">
        <f aca="false">IF(OR($A163="",AP$8=""),"",IF($F163="Migré","ROKS",IF($F163="À décommissionner",IF(AP$8&lt;$AS163,"IKS","Décom."),IF(OR($AQ163="",$AS163=""),"",IF(AP$8&lt;$AQ163,"IKS",IF(AP$8&lt;$AS163,IF(AP$8=$AR163,"Bascule","Double run"),"ROKS"))))))</f>
        <v/>
      </c>
      <c r="AQ163" s="0" t="str">
        <f aca="false">IF($A163="","",INDEX(TblApplications[Mois prov (calc)],$A163))</f>
        <v/>
      </c>
      <c r="AR163" s="0" t="str">
        <f aca="false">IF($A163="","",IFERROR(DATE(YEAR(INDEX(TblApplications[Mois bascule],$A163)),MONTH(INDEX(TblApplications[Mois bascule],$A163)),1),""))</f>
        <v/>
      </c>
      <c r="AS163" s="0" t="str">
        <f aca="false">IF($A163="","",INDEX(TblApplications[Mois lib (calc)],$A163))</f>
        <v/>
      </c>
    </row>
    <row r="164" customFormat="false" ht="15" hidden="false" customHeight="false" outlineLevel="0" collapsed="false">
      <c r="A164" s="49" t="str">
        <f aca="false">IFERROR(MATCH(156,TblApplications[Rang frise],0),"")</f>
        <v/>
      </c>
      <c r="B164" s="50" t="str">
        <f aca="false">IF($A164="","",INDEX(TblApplications[ID],$A164))</f>
        <v/>
      </c>
      <c r="C164" s="50" t="str">
        <f aca="false">IF($A164="","",INDEX(TblApplications[Application],$A164))</f>
        <v/>
      </c>
      <c r="D164" s="50" t="str">
        <f aca="false">IF($A164="","",INDEX(TblApplications[Environnement],$A164))</f>
        <v/>
      </c>
      <c r="E164" s="50" t="str">
        <f aca="false">IF($A164="","",INDEX(TblApplications[Couloir],$A164))</f>
        <v/>
      </c>
      <c r="F164" s="50" t="str">
        <f aca="false">IF($A164="","",INDEX(TblApplications[Action],$A164))</f>
        <v/>
      </c>
      <c r="G164" s="51" t="str">
        <f aca="false">IF(OR($A164="",G$8=""),"",IF($F164="Migré","ROKS",IF($F164="À décommissionner",IF(G$8&lt;$AS164,"IKS","Décom."),IF(OR($AQ164="",$AS164=""),"",IF(G$8&lt;$AQ164,"IKS",IF(G$8&lt;$AS164,IF(G$8=$AR164,"Bascule","Double run"),"ROKS"))))))</f>
        <v/>
      </c>
      <c r="H164" s="51" t="str">
        <f aca="false">IF(OR($A164="",H$8=""),"",IF($F164="Migré","ROKS",IF($F164="À décommissionner",IF(H$8&lt;$AS164,"IKS","Décom."),IF(OR($AQ164="",$AS164=""),"",IF(H$8&lt;$AQ164,"IKS",IF(H$8&lt;$AS164,IF(H$8=$AR164,"Bascule","Double run"),"ROKS"))))))</f>
        <v/>
      </c>
      <c r="I164" s="51" t="str">
        <f aca="false">IF(OR($A164="",I$8=""),"",IF($F164="Migré","ROKS",IF($F164="À décommissionner",IF(I$8&lt;$AS164,"IKS","Décom."),IF(OR($AQ164="",$AS164=""),"",IF(I$8&lt;$AQ164,"IKS",IF(I$8&lt;$AS164,IF(I$8=$AR164,"Bascule","Double run"),"ROKS"))))))</f>
        <v/>
      </c>
      <c r="J164" s="51" t="str">
        <f aca="false">IF(OR($A164="",J$8=""),"",IF($F164="Migré","ROKS",IF($F164="À décommissionner",IF(J$8&lt;$AS164,"IKS","Décom."),IF(OR($AQ164="",$AS164=""),"",IF(J$8&lt;$AQ164,"IKS",IF(J$8&lt;$AS164,IF(J$8=$AR164,"Bascule","Double run"),"ROKS"))))))</f>
        <v/>
      </c>
      <c r="K164" s="51" t="str">
        <f aca="false">IF(OR($A164="",K$8=""),"",IF($F164="Migré","ROKS",IF($F164="À décommissionner",IF(K$8&lt;$AS164,"IKS","Décom."),IF(OR($AQ164="",$AS164=""),"",IF(K$8&lt;$AQ164,"IKS",IF(K$8&lt;$AS164,IF(K$8=$AR164,"Bascule","Double run"),"ROKS"))))))</f>
        <v/>
      </c>
      <c r="L164" s="51" t="str">
        <f aca="false">IF(OR($A164="",L$8=""),"",IF($F164="Migré","ROKS",IF($F164="À décommissionner",IF(L$8&lt;$AS164,"IKS","Décom."),IF(OR($AQ164="",$AS164=""),"",IF(L$8&lt;$AQ164,"IKS",IF(L$8&lt;$AS164,IF(L$8=$AR164,"Bascule","Double run"),"ROKS"))))))</f>
        <v/>
      </c>
      <c r="M164" s="51" t="str">
        <f aca="false">IF(OR($A164="",M$8=""),"",IF($F164="Migré","ROKS",IF($F164="À décommissionner",IF(M$8&lt;$AS164,"IKS","Décom."),IF(OR($AQ164="",$AS164=""),"",IF(M$8&lt;$AQ164,"IKS",IF(M$8&lt;$AS164,IF(M$8=$AR164,"Bascule","Double run"),"ROKS"))))))</f>
        <v/>
      </c>
      <c r="N164" s="51" t="str">
        <f aca="false">IF(OR($A164="",N$8=""),"",IF($F164="Migré","ROKS",IF($F164="À décommissionner",IF(N$8&lt;$AS164,"IKS","Décom."),IF(OR($AQ164="",$AS164=""),"",IF(N$8&lt;$AQ164,"IKS",IF(N$8&lt;$AS164,IF(N$8=$AR164,"Bascule","Double run"),"ROKS"))))))</f>
        <v/>
      </c>
      <c r="O164" s="51" t="str">
        <f aca="false">IF(OR($A164="",O$8=""),"",IF($F164="Migré","ROKS",IF($F164="À décommissionner",IF(O$8&lt;$AS164,"IKS","Décom."),IF(OR($AQ164="",$AS164=""),"",IF(O$8&lt;$AQ164,"IKS",IF(O$8&lt;$AS164,IF(O$8=$AR164,"Bascule","Double run"),"ROKS"))))))</f>
        <v/>
      </c>
      <c r="P164" s="51" t="str">
        <f aca="false">IF(OR($A164="",P$8=""),"",IF($F164="Migré","ROKS",IF($F164="À décommissionner",IF(P$8&lt;$AS164,"IKS","Décom."),IF(OR($AQ164="",$AS164=""),"",IF(P$8&lt;$AQ164,"IKS",IF(P$8&lt;$AS164,IF(P$8=$AR164,"Bascule","Double run"),"ROKS"))))))</f>
        <v/>
      </c>
      <c r="Q164" s="51" t="str">
        <f aca="false">IF(OR($A164="",Q$8=""),"",IF($F164="Migré","ROKS",IF($F164="À décommissionner",IF(Q$8&lt;$AS164,"IKS","Décom."),IF(OR($AQ164="",$AS164=""),"",IF(Q$8&lt;$AQ164,"IKS",IF(Q$8&lt;$AS164,IF(Q$8=$AR164,"Bascule","Double run"),"ROKS"))))))</f>
        <v/>
      </c>
      <c r="R164" s="51" t="str">
        <f aca="false">IF(OR($A164="",R$8=""),"",IF($F164="Migré","ROKS",IF($F164="À décommissionner",IF(R$8&lt;$AS164,"IKS","Décom."),IF(OR($AQ164="",$AS164=""),"",IF(R$8&lt;$AQ164,"IKS",IF(R$8&lt;$AS164,IF(R$8=$AR164,"Bascule","Double run"),"ROKS"))))))</f>
        <v/>
      </c>
      <c r="S164" s="51" t="str">
        <f aca="false">IF(OR($A164="",S$8=""),"",IF($F164="Migré","ROKS",IF($F164="À décommissionner",IF(S$8&lt;$AS164,"IKS","Décom."),IF(OR($AQ164="",$AS164=""),"",IF(S$8&lt;$AQ164,"IKS",IF(S$8&lt;$AS164,IF(S$8=$AR164,"Bascule","Double run"),"ROKS"))))))</f>
        <v/>
      </c>
      <c r="T164" s="51" t="str">
        <f aca="false">IF(OR($A164="",T$8=""),"",IF($F164="Migré","ROKS",IF($F164="À décommissionner",IF(T$8&lt;$AS164,"IKS","Décom."),IF(OR($AQ164="",$AS164=""),"",IF(T$8&lt;$AQ164,"IKS",IF(T$8&lt;$AS164,IF(T$8=$AR164,"Bascule","Double run"),"ROKS"))))))</f>
        <v/>
      </c>
      <c r="U164" s="51" t="str">
        <f aca="false">IF(OR($A164="",U$8=""),"",IF($F164="Migré","ROKS",IF($F164="À décommissionner",IF(U$8&lt;$AS164,"IKS","Décom."),IF(OR($AQ164="",$AS164=""),"",IF(U$8&lt;$AQ164,"IKS",IF(U$8&lt;$AS164,IF(U$8=$AR164,"Bascule","Double run"),"ROKS"))))))</f>
        <v/>
      </c>
      <c r="V164" s="51" t="str">
        <f aca="false">IF(OR($A164="",V$8=""),"",IF($F164="Migré","ROKS",IF($F164="À décommissionner",IF(V$8&lt;$AS164,"IKS","Décom."),IF(OR($AQ164="",$AS164=""),"",IF(V$8&lt;$AQ164,"IKS",IF(V$8&lt;$AS164,IF(V$8=$AR164,"Bascule","Double run"),"ROKS"))))))</f>
        <v/>
      </c>
      <c r="W164" s="51" t="str">
        <f aca="false">IF(OR($A164="",W$8=""),"",IF($F164="Migré","ROKS",IF($F164="À décommissionner",IF(W$8&lt;$AS164,"IKS","Décom."),IF(OR($AQ164="",$AS164=""),"",IF(W$8&lt;$AQ164,"IKS",IF(W$8&lt;$AS164,IF(W$8=$AR164,"Bascule","Double run"),"ROKS"))))))</f>
        <v/>
      </c>
      <c r="X164" s="51" t="str">
        <f aca="false">IF(OR($A164="",X$8=""),"",IF($F164="Migré","ROKS",IF($F164="À décommissionner",IF(X$8&lt;$AS164,"IKS","Décom."),IF(OR($AQ164="",$AS164=""),"",IF(X$8&lt;$AQ164,"IKS",IF(X$8&lt;$AS164,IF(X$8=$AR164,"Bascule","Double run"),"ROKS"))))))</f>
        <v/>
      </c>
      <c r="Y164" s="51" t="str">
        <f aca="false">IF(OR($A164="",Y$8=""),"",IF($F164="Migré","ROKS",IF($F164="À décommissionner",IF(Y$8&lt;$AS164,"IKS","Décom."),IF(OR($AQ164="",$AS164=""),"",IF(Y$8&lt;$AQ164,"IKS",IF(Y$8&lt;$AS164,IF(Y$8=$AR164,"Bascule","Double run"),"ROKS"))))))</f>
        <v/>
      </c>
      <c r="Z164" s="51" t="str">
        <f aca="false">IF(OR($A164="",Z$8=""),"",IF($F164="Migré","ROKS",IF($F164="À décommissionner",IF(Z$8&lt;$AS164,"IKS","Décom."),IF(OR($AQ164="",$AS164=""),"",IF(Z$8&lt;$AQ164,"IKS",IF(Z$8&lt;$AS164,IF(Z$8=$AR164,"Bascule","Double run"),"ROKS"))))))</f>
        <v/>
      </c>
      <c r="AA164" s="51" t="str">
        <f aca="false">IF(OR($A164="",AA$8=""),"",IF($F164="Migré","ROKS",IF($F164="À décommissionner",IF(AA$8&lt;$AS164,"IKS","Décom."),IF(OR($AQ164="",$AS164=""),"",IF(AA$8&lt;$AQ164,"IKS",IF(AA$8&lt;$AS164,IF(AA$8=$AR164,"Bascule","Double run"),"ROKS"))))))</f>
        <v/>
      </c>
      <c r="AB164" s="51" t="str">
        <f aca="false">IF(OR($A164="",AB$8=""),"",IF($F164="Migré","ROKS",IF($F164="À décommissionner",IF(AB$8&lt;$AS164,"IKS","Décom."),IF(OR($AQ164="",$AS164=""),"",IF(AB$8&lt;$AQ164,"IKS",IF(AB$8&lt;$AS164,IF(AB$8=$AR164,"Bascule","Double run"),"ROKS"))))))</f>
        <v/>
      </c>
      <c r="AC164" s="51" t="str">
        <f aca="false">IF(OR($A164="",AC$8=""),"",IF($F164="Migré","ROKS",IF($F164="À décommissionner",IF(AC$8&lt;$AS164,"IKS","Décom."),IF(OR($AQ164="",$AS164=""),"",IF(AC$8&lt;$AQ164,"IKS",IF(AC$8&lt;$AS164,IF(AC$8=$AR164,"Bascule","Double run"),"ROKS"))))))</f>
        <v/>
      </c>
      <c r="AD164" s="51" t="str">
        <f aca="false">IF(OR($A164="",AD$8=""),"",IF($F164="Migré","ROKS",IF($F164="À décommissionner",IF(AD$8&lt;$AS164,"IKS","Décom."),IF(OR($AQ164="",$AS164=""),"",IF(AD$8&lt;$AQ164,"IKS",IF(AD$8&lt;$AS164,IF(AD$8=$AR164,"Bascule","Double run"),"ROKS"))))))</f>
        <v/>
      </c>
      <c r="AE164" s="51" t="str">
        <f aca="false">IF(OR($A164="",AE$8=""),"",IF($F164="Migré","ROKS",IF($F164="À décommissionner",IF(AE$8&lt;$AS164,"IKS","Décom."),IF(OR($AQ164="",$AS164=""),"",IF(AE$8&lt;$AQ164,"IKS",IF(AE$8&lt;$AS164,IF(AE$8=$AR164,"Bascule","Double run"),"ROKS"))))))</f>
        <v/>
      </c>
      <c r="AF164" s="51" t="str">
        <f aca="false">IF(OR($A164="",AF$8=""),"",IF($F164="Migré","ROKS",IF($F164="À décommissionner",IF(AF$8&lt;$AS164,"IKS","Décom."),IF(OR($AQ164="",$AS164=""),"",IF(AF$8&lt;$AQ164,"IKS",IF(AF$8&lt;$AS164,IF(AF$8=$AR164,"Bascule","Double run"),"ROKS"))))))</f>
        <v/>
      </c>
      <c r="AG164" s="51" t="str">
        <f aca="false">IF(OR($A164="",AG$8=""),"",IF($F164="Migré","ROKS",IF($F164="À décommissionner",IF(AG$8&lt;$AS164,"IKS","Décom."),IF(OR($AQ164="",$AS164=""),"",IF(AG$8&lt;$AQ164,"IKS",IF(AG$8&lt;$AS164,IF(AG$8=$AR164,"Bascule","Double run"),"ROKS"))))))</f>
        <v/>
      </c>
      <c r="AH164" s="51" t="str">
        <f aca="false">IF(OR($A164="",AH$8=""),"",IF($F164="Migré","ROKS",IF($F164="À décommissionner",IF(AH$8&lt;$AS164,"IKS","Décom."),IF(OR($AQ164="",$AS164=""),"",IF(AH$8&lt;$AQ164,"IKS",IF(AH$8&lt;$AS164,IF(AH$8=$AR164,"Bascule","Double run"),"ROKS"))))))</f>
        <v/>
      </c>
      <c r="AI164" s="51" t="str">
        <f aca="false">IF(OR($A164="",AI$8=""),"",IF($F164="Migré","ROKS",IF($F164="À décommissionner",IF(AI$8&lt;$AS164,"IKS","Décom."),IF(OR($AQ164="",$AS164=""),"",IF(AI$8&lt;$AQ164,"IKS",IF(AI$8&lt;$AS164,IF(AI$8=$AR164,"Bascule","Double run"),"ROKS"))))))</f>
        <v/>
      </c>
      <c r="AJ164" s="51" t="str">
        <f aca="false">IF(OR($A164="",AJ$8=""),"",IF($F164="Migré","ROKS",IF($F164="À décommissionner",IF(AJ$8&lt;$AS164,"IKS","Décom."),IF(OR($AQ164="",$AS164=""),"",IF(AJ$8&lt;$AQ164,"IKS",IF(AJ$8&lt;$AS164,IF(AJ$8=$AR164,"Bascule","Double run"),"ROKS"))))))</f>
        <v/>
      </c>
      <c r="AK164" s="51" t="str">
        <f aca="false">IF(OR($A164="",AK$8=""),"",IF($F164="Migré","ROKS",IF($F164="À décommissionner",IF(AK$8&lt;$AS164,"IKS","Décom."),IF(OR($AQ164="",$AS164=""),"",IF(AK$8&lt;$AQ164,"IKS",IF(AK$8&lt;$AS164,IF(AK$8=$AR164,"Bascule","Double run"),"ROKS"))))))</f>
        <v/>
      </c>
      <c r="AL164" s="51" t="str">
        <f aca="false">IF(OR($A164="",AL$8=""),"",IF($F164="Migré","ROKS",IF($F164="À décommissionner",IF(AL$8&lt;$AS164,"IKS","Décom."),IF(OR($AQ164="",$AS164=""),"",IF(AL$8&lt;$AQ164,"IKS",IF(AL$8&lt;$AS164,IF(AL$8=$AR164,"Bascule","Double run"),"ROKS"))))))</f>
        <v/>
      </c>
      <c r="AM164" s="51" t="str">
        <f aca="false">IF(OR($A164="",AM$8=""),"",IF($F164="Migré","ROKS",IF($F164="À décommissionner",IF(AM$8&lt;$AS164,"IKS","Décom."),IF(OR($AQ164="",$AS164=""),"",IF(AM$8&lt;$AQ164,"IKS",IF(AM$8&lt;$AS164,IF(AM$8=$AR164,"Bascule","Double run"),"ROKS"))))))</f>
        <v/>
      </c>
      <c r="AN164" s="51" t="str">
        <f aca="false">IF(OR($A164="",AN$8=""),"",IF($F164="Migré","ROKS",IF($F164="À décommissionner",IF(AN$8&lt;$AS164,"IKS","Décom."),IF(OR($AQ164="",$AS164=""),"",IF(AN$8&lt;$AQ164,"IKS",IF(AN$8&lt;$AS164,IF(AN$8=$AR164,"Bascule","Double run"),"ROKS"))))))</f>
        <v/>
      </c>
      <c r="AO164" s="51" t="str">
        <f aca="false">IF(OR($A164="",AO$8=""),"",IF($F164="Migré","ROKS",IF($F164="À décommissionner",IF(AO$8&lt;$AS164,"IKS","Décom."),IF(OR($AQ164="",$AS164=""),"",IF(AO$8&lt;$AQ164,"IKS",IF(AO$8&lt;$AS164,IF(AO$8=$AR164,"Bascule","Double run"),"ROKS"))))))</f>
        <v/>
      </c>
      <c r="AP164" s="51" t="str">
        <f aca="false">IF(OR($A164="",AP$8=""),"",IF($F164="Migré","ROKS",IF($F164="À décommissionner",IF(AP$8&lt;$AS164,"IKS","Décom."),IF(OR($AQ164="",$AS164=""),"",IF(AP$8&lt;$AQ164,"IKS",IF(AP$8&lt;$AS164,IF(AP$8=$AR164,"Bascule","Double run"),"ROKS"))))))</f>
        <v/>
      </c>
      <c r="AQ164" s="0" t="str">
        <f aca="false">IF($A164="","",INDEX(TblApplications[Mois prov (calc)],$A164))</f>
        <v/>
      </c>
      <c r="AR164" s="0" t="str">
        <f aca="false">IF($A164="","",IFERROR(DATE(YEAR(INDEX(TblApplications[Mois bascule],$A164)),MONTH(INDEX(TblApplications[Mois bascule],$A164)),1),""))</f>
        <v/>
      </c>
      <c r="AS164" s="0" t="str">
        <f aca="false">IF($A164="","",INDEX(TblApplications[Mois lib (calc)],$A164))</f>
        <v/>
      </c>
    </row>
    <row r="165" customFormat="false" ht="15" hidden="false" customHeight="false" outlineLevel="0" collapsed="false">
      <c r="A165" s="49" t="str">
        <f aca="false">IFERROR(MATCH(157,TblApplications[Rang frise],0),"")</f>
        <v/>
      </c>
      <c r="B165" s="50" t="str">
        <f aca="false">IF($A165="","",INDEX(TblApplications[ID],$A165))</f>
        <v/>
      </c>
      <c r="C165" s="50" t="str">
        <f aca="false">IF($A165="","",INDEX(TblApplications[Application],$A165))</f>
        <v/>
      </c>
      <c r="D165" s="50" t="str">
        <f aca="false">IF($A165="","",INDEX(TblApplications[Environnement],$A165))</f>
        <v/>
      </c>
      <c r="E165" s="50" t="str">
        <f aca="false">IF($A165="","",INDEX(TblApplications[Couloir],$A165))</f>
        <v/>
      </c>
      <c r="F165" s="50" t="str">
        <f aca="false">IF($A165="","",INDEX(TblApplications[Action],$A165))</f>
        <v/>
      </c>
      <c r="G165" s="51" t="str">
        <f aca="false">IF(OR($A165="",G$8=""),"",IF($F165="Migré","ROKS",IF($F165="À décommissionner",IF(G$8&lt;$AS165,"IKS","Décom."),IF(OR($AQ165="",$AS165=""),"",IF(G$8&lt;$AQ165,"IKS",IF(G$8&lt;$AS165,IF(G$8=$AR165,"Bascule","Double run"),"ROKS"))))))</f>
        <v/>
      </c>
      <c r="H165" s="51" t="str">
        <f aca="false">IF(OR($A165="",H$8=""),"",IF($F165="Migré","ROKS",IF($F165="À décommissionner",IF(H$8&lt;$AS165,"IKS","Décom."),IF(OR($AQ165="",$AS165=""),"",IF(H$8&lt;$AQ165,"IKS",IF(H$8&lt;$AS165,IF(H$8=$AR165,"Bascule","Double run"),"ROKS"))))))</f>
        <v/>
      </c>
      <c r="I165" s="51" t="str">
        <f aca="false">IF(OR($A165="",I$8=""),"",IF($F165="Migré","ROKS",IF($F165="À décommissionner",IF(I$8&lt;$AS165,"IKS","Décom."),IF(OR($AQ165="",$AS165=""),"",IF(I$8&lt;$AQ165,"IKS",IF(I$8&lt;$AS165,IF(I$8=$AR165,"Bascule","Double run"),"ROKS"))))))</f>
        <v/>
      </c>
      <c r="J165" s="51" t="str">
        <f aca="false">IF(OR($A165="",J$8=""),"",IF($F165="Migré","ROKS",IF($F165="À décommissionner",IF(J$8&lt;$AS165,"IKS","Décom."),IF(OR($AQ165="",$AS165=""),"",IF(J$8&lt;$AQ165,"IKS",IF(J$8&lt;$AS165,IF(J$8=$AR165,"Bascule","Double run"),"ROKS"))))))</f>
        <v/>
      </c>
      <c r="K165" s="51" t="str">
        <f aca="false">IF(OR($A165="",K$8=""),"",IF($F165="Migré","ROKS",IF($F165="À décommissionner",IF(K$8&lt;$AS165,"IKS","Décom."),IF(OR($AQ165="",$AS165=""),"",IF(K$8&lt;$AQ165,"IKS",IF(K$8&lt;$AS165,IF(K$8=$AR165,"Bascule","Double run"),"ROKS"))))))</f>
        <v/>
      </c>
      <c r="L165" s="51" t="str">
        <f aca="false">IF(OR($A165="",L$8=""),"",IF($F165="Migré","ROKS",IF($F165="À décommissionner",IF(L$8&lt;$AS165,"IKS","Décom."),IF(OR($AQ165="",$AS165=""),"",IF(L$8&lt;$AQ165,"IKS",IF(L$8&lt;$AS165,IF(L$8=$AR165,"Bascule","Double run"),"ROKS"))))))</f>
        <v/>
      </c>
      <c r="M165" s="51" t="str">
        <f aca="false">IF(OR($A165="",M$8=""),"",IF($F165="Migré","ROKS",IF($F165="À décommissionner",IF(M$8&lt;$AS165,"IKS","Décom."),IF(OR($AQ165="",$AS165=""),"",IF(M$8&lt;$AQ165,"IKS",IF(M$8&lt;$AS165,IF(M$8=$AR165,"Bascule","Double run"),"ROKS"))))))</f>
        <v/>
      </c>
      <c r="N165" s="51" t="str">
        <f aca="false">IF(OR($A165="",N$8=""),"",IF($F165="Migré","ROKS",IF($F165="À décommissionner",IF(N$8&lt;$AS165,"IKS","Décom."),IF(OR($AQ165="",$AS165=""),"",IF(N$8&lt;$AQ165,"IKS",IF(N$8&lt;$AS165,IF(N$8=$AR165,"Bascule","Double run"),"ROKS"))))))</f>
        <v/>
      </c>
      <c r="O165" s="51" t="str">
        <f aca="false">IF(OR($A165="",O$8=""),"",IF($F165="Migré","ROKS",IF($F165="À décommissionner",IF(O$8&lt;$AS165,"IKS","Décom."),IF(OR($AQ165="",$AS165=""),"",IF(O$8&lt;$AQ165,"IKS",IF(O$8&lt;$AS165,IF(O$8=$AR165,"Bascule","Double run"),"ROKS"))))))</f>
        <v/>
      </c>
      <c r="P165" s="51" t="str">
        <f aca="false">IF(OR($A165="",P$8=""),"",IF($F165="Migré","ROKS",IF($F165="À décommissionner",IF(P$8&lt;$AS165,"IKS","Décom."),IF(OR($AQ165="",$AS165=""),"",IF(P$8&lt;$AQ165,"IKS",IF(P$8&lt;$AS165,IF(P$8=$AR165,"Bascule","Double run"),"ROKS"))))))</f>
        <v/>
      </c>
      <c r="Q165" s="51" t="str">
        <f aca="false">IF(OR($A165="",Q$8=""),"",IF($F165="Migré","ROKS",IF($F165="À décommissionner",IF(Q$8&lt;$AS165,"IKS","Décom."),IF(OR($AQ165="",$AS165=""),"",IF(Q$8&lt;$AQ165,"IKS",IF(Q$8&lt;$AS165,IF(Q$8=$AR165,"Bascule","Double run"),"ROKS"))))))</f>
        <v/>
      </c>
      <c r="R165" s="51" t="str">
        <f aca="false">IF(OR($A165="",R$8=""),"",IF($F165="Migré","ROKS",IF($F165="À décommissionner",IF(R$8&lt;$AS165,"IKS","Décom."),IF(OR($AQ165="",$AS165=""),"",IF(R$8&lt;$AQ165,"IKS",IF(R$8&lt;$AS165,IF(R$8=$AR165,"Bascule","Double run"),"ROKS"))))))</f>
        <v/>
      </c>
      <c r="S165" s="51" t="str">
        <f aca="false">IF(OR($A165="",S$8=""),"",IF($F165="Migré","ROKS",IF($F165="À décommissionner",IF(S$8&lt;$AS165,"IKS","Décom."),IF(OR($AQ165="",$AS165=""),"",IF(S$8&lt;$AQ165,"IKS",IF(S$8&lt;$AS165,IF(S$8=$AR165,"Bascule","Double run"),"ROKS"))))))</f>
        <v/>
      </c>
      <c r="T165" s="51" t="str">
        <f aca="false">IF(OR($A165="",T$8=""),"",IF($F165="Migré","ROKS",IF($F165="À décommissionner",IF(T$8&lt;$AS165,"IKS","Décom."),IF(OR($AQ165="",$AS165=""),"",IF(T$8&lt;$AQ165,"IKS",IF(T$8&lt;$AS165,IF(T$8=$AR165,"Bascule","Double run"),"ROKS"))))))</f>
        <v/>
      </c>
      <c r="U165" s="51" t="str">
        <f aca="false">IF(OR($A165="",U$8=""),"",IF($F165="Migré","ROKS",IF($F165="À décommissionner",IF(U$8&lt;$AS165,"IKS","Décom."),IF(OR($AQ165="",$AS165=""),"",IF(U$8&lt;$AQ165,"IKS",IF(U$8&lt;$AS165,IF(U$8=$AR165,"Bascule","Double run"),"ROKS"))))))</f>
        <v/>
      </c>
      <c r="V165" s="51" t="str">
        <f aca="false">IF(OR($A165="",V$8=""),"",IF($F165="Migré","ROKS",IF($F165="À décommissionner",IF(V$8&lt;$AS165,"IKS","Décom."),IF(OR($AQ165="",$AS165=""),"",IF(V$8&lt;$AQ165,"IKS",IF(V$8&lt;$AS165,IF(V$8=$AR165,"Bascule","Double run"),"ROKS"))))))</f>
        <v/>
      </c>
      <c r="W165" s="51" t="str">
        <f aca="false">IF(OR($A165="",W$8=""),"",IF($F165="Migré","ROKS",IF($F165="À décommissionner",IF(W$8&lt;$AS165,"IKS","Décom."),IF(OR($AQ165="",$AS165=""),"",IF(W$8&lt;$AQ165,"IKS",IF(W$8&lt;$AS165,IF(W$8=$AR165,"Bascule","Double run"),"ROKS"))))))</f>
        <v/>
      </c>
      <c r="X165" s="51" t="str">
        <f aca="false">IF(OR($A165="",X$8=""),"",IF($F165="Migré","ROKS",IF($F165="À décommissionner",IF(X$8&lt;$AS165,"IKS","Décom."),IF(OR($AQ165="",$AS165=""),"",IF(X$8&lt;$AQ165,"IKS",IF(X$8&lt;$AS165,IF(X$8=$AR165,"Bascule","Double run"),"ROKS"))))))</f>
        <v/>
      </c>
      <c r="Y165" s="51" t="str">
        <f aca="false">IF(OR($A165="",Y$8=""),"",IF($F165="Migré","ROKS",IF($F165="À décommissionner",IF(Y$8&lt;$AS165,"IKS","Décom."),IF(OR($AQ165="",$AS165=""),"",IF(Y$8&lt;$AQ165,"IKS",IF(Y$8&lt;$AS165,IF(Y$8=$AR165,"Bascule","Double run"),"ROKS"))))))</f>
        <v/>
      </c>
      <c r="Z165" s="51" t="str">
        <f aca="false">IF(OR($A165="",Z$8=""),"",IF($F165="Migré","ROKS",IF($F165="À décommissionner",IF(Z$8&lt;$AS165,"IKS","Décom."),IF(OR($AQ165="",$AS165=""),"",IF(Z$8&lt;$AQ165,"IKS",IF(Z$8&lt;$AS165,IF(Z$8=$AR165,"Bascule","Double run"),"ROKS"))))))</f>
        <v/>
      </c>
      <c r="AA165" s="51" t="str">
        <f aca="false">IF(OR($A165="",AA$8=""),"",IF($F165="Migré","ROKS",IF($F165="À décommissionner",IF(AA$8&lt;$AS165,"IKS","Décom."),IF(OR($AQ165="",$AS165=""),"",IF(AA$8&lt;$AQ165,"IKS",IF(AA$8&lt;$AS165,IF(AA$8=$AR165,"Bascule","Double run"),"ROKS"))))))</f>
        <v/>
      </c>
      <c r="AB165" s="51" t="str">
        <f aca="false">IF(OR($A165="",AB$8=""),"",IF($F165="Migré","ROKS",IF($F165="À décommissionner",IF(AB$8&lt;$AS165,"IKS","Décom."),IF(OR($AQ165="",$AS165=""),"",IF(AB$8&lt;$AQ165,"IKS",IF(AB$8&lt;$AS165,IF(AB$8=$AR165,"Bascule","Double run"),"ROKS"))))))</f>
        <v/>
      </c>
      <c r="AC165" s="51" t="str">
        <f aca="false">IF(OR($A165="",AC$8=""),"",IF($F165="Migré","ROKS",IF($F165="À décommissionner",IF(AC$8&lt;$AS165,"IKS","Décom."),IF(OR($AQ165="",$AS165=""),"",IF(AC$8&lt;$AQ165,"IKS",IF(AC$8&lt;$AS165,IF(AC$8=$AR165,"Bascule","Double run"),"ROKS"))))))</f>
        <v/>
      </c>
      <c r="AD165" s="51" t="str">
        <f aca="false">IF(OR($A165="",AD$8=""),"",IF($F165="Migré","ROKS",IF($F165="À décommissionner",IF(AD$8&lt;$AS165,"IKS","Décom."),IF(OR($AQ165="",$AS165=""),"",IF(AD$8&lt;$AQ165,"IKS",IF(AD$8&lt;$AS165,IF(AD$8=$AR165,"Bascule","Double run"),"ROKS"))))))</f>
        <v/>
      </c>
      <c r="AE165" s="51" t="str">
        <f aca="false">IF(OR($A165="",AE$8=""),"",IF($F165="Migré","ROKS",IF($F165="À décommissionner",IF(AE$8&lt;$AS165,"IKS","Décom."),IF(OR($AQ165="",$AS165=""),"",IF(AE$8&lt;$AQ165,"IKS",IF(AE$8&lt;$AS165,IF(AE$8=$AR165,"Bascule","Double run"),"ROKS"))))))</f>
        <v/>
      </c>
      <c r="AF165" s="51" t="str">
        <f aca="false">IF(OR($A165="",AF$8=""),"",IF($F165="Migré","ROKS",IF($F165="À décommissionner",IF(AF$8&lt;$AS165,"IKS","Décom."),IF(OR($AQ165="",$AS165=""),"",IF(AF$8&lt;$AQ165,"IKS",IF(AF$8&lt;$AS165,IF(AF$8=$AR165,"Bascule","Double run"),"ROKS"))))))</f>
        <v/>
      </c>
      <c r="AG165" s="51" t="str">
        <f aca="false">IF(OR($A165="",AG$8=""),"",IF($F165="Migré","ROKS",IF($F165="À décommissionner",IF(AG$8&lt;$AS165,"IKS","Décom."),IF(OR($AQ165="",$AS165=""),"",IF(AG$8&lt;$AQ165,"IKS",IF(AG$8&lt;$AS165,IF(AG$8=$AR165,"Bascule","Double run"),"ROKS"))))))</f>
        <v/>
      </c>
      <c r="AH165" s="51" t="str">
        <f aca="false">IF(OR($A165="",AH$8=""),"",IF($F165="Migré","ROKS",IF($F165="À décommissionner",IF(AH$8&lt;$AS165,"IKS","Décom."),IF(OR($AQ165="",$AS165=""),"",IF(AH$8&lt;$AQ165,"IKS",IF(AH$8&lt;$AS165,IF(AH$8=$AR165,"Bascule","Double run"),"ROKS"))))))</f>
        <v/>
      </c>
      <c r="AI165" s="51" t="str">
        <f aca="false">IF(OR($A165="",AI$8=""),"",IF($F165="Migré","ROKS",IF($F165="À décommissionner",IF(AI$8&lt;$AS165,"IKS","Décom."),IF(OR($AQ165="",$AS165=""),"",IF(AI$8&lt;$AQ165,"IKS",IF(AI$8&lt;$AS165,IF(AI$8=$AR165,"Bascule","Double run"),"ROKS"))))))</f>
        <v/>
      </c>
      <c r="AJ165" s="51" t="str">
        <f aca="false">IF(OR($A165="",AJ$8=""),"",IF($F165="Migré","ROKS",IF($F165="À décommissionner",IF(AJ$8&lt;$AS165,"IKS","Décom."),IF(OR($AQ165="",$AS165=""),"",IF(AJ$8&lt;$AQ165,"IKS",IF(AJ$8&lt;$AS165,IF(AJ$8=$AR165,"Bascule","Double run"),"ROKS"))))))</f>
        <v/>
      </c>
      <c r="AK165" s="51" t="str">
        <f aca="false">IF(OR($A165="",AK$8=""),"",IF($F165="Migré","ROKS",IF($F165="À décommissionner",IF(AK$8&lt;$AS165,"IKS","Décom."),IF(OR($AQ165="",$AS165=""),"",IF(AK$8&lt;$AQ165,"IKS",IF(AK$8&lt;$AS165,IF(AK$8=$AR165,"Bascule","Double run"),"ROKS"))))))</f>
        <v/>
      </c>
      <c r="AL165" s="51" t="str">
        <f aca="false">IF(OR($A165="",AL$8=""),"",IF($F165="Migré","ROKS",IF($F165="À décommissionner",IF(AL$8&lt;$AS165,"IKS","Décom."),IF(OR($AQ165="",$AS165=""),"",IF(AL$8&lt;$AQ165,"IKS",IF(AL$8&lt;$AS165,IF(AL$8=$AR165,"Bascule","Double run"),"ROKS"))))))</f>
        <v/>
      </c>
      <c r="AM165" s="51" t="str">
        <f aca="false">IF(OR($A165="",AM$8=""),"",IF($F165="Migré","ROKS",IF($F165="À décommissionner",IF(AM$8&lt;$AS165,"IKS","Décom."),IF(OR($AQ165="",$AS165=""),"",IF(AM$8&lt;$AQ165,"IKS",IF(AM$8&lt;$AS165,IF(AM$8=$AR165,"Bascule","Double run"),"ROKS"))))))</f>
        <v/>
      </c>
      <c r="AN165" s="51" t="str">
        <f aca="false">IF(OR($A165="",AN$8=""),"",IF($F165="Migré","ROKS",IF($F165="À décommissionner",IF(AN$8&lt;$AS165,"IKS","Décom."),IF(OR($AQ165="",$AS165=""),"",IF(AN$8&lt;$AQ165,"IKS",IF(AN$8&lt;$AS165,IF(AN$8=$AR165,"Bascule","Double run"),"ROKS"))))))</f>
        <v/>
      </c>
      <c r="AO165" s="51" t="str">
        <f aca="false">IF(OR($A165="",AO$8=""),"",IF($F165="Migré","ROKS",IF($F165="À décommissionner",IF(AO$8&lt;$AS165,"IKS","Décom."),IF(OR($AQ165="",$AS165=""),"",IF(AO$8&lt;$AQ165,"IKS",IF(AO$8&lt;$AS165,IF(AO$8=$AR165,"Bascule","Double run"),"ROKS"))))))</f>
        <v/>
      </c>
      <c r="AP165" s="51" t="str">
        <f aca="false">IF(OR($A165="",AP$8=""),"",IF($F165="Migré","ROKS",IF($F165="À décommissionner",IF(AP$8&lt;$AS165,"IKS","Décom."),IF(OR($AQ165="",$AS165=""),"",IF(AP$8&lt;$AQ165,"IKS",IF(AP$8&lt;$AS165,IF(AP$8=$AR165,"Bascule","Double run"),"ROKS"))))))</f>
        <v/>
      </c>
      <c r="AQ165" s="0" t="str">
        <f aca="false">IF($A165="","",INDEX(TblApplications[Mois prov (calc)],$A165))</f>
        <v/>
      </c>
      <c r="AR165" s="0" t="str">
        <f aca="false">IF($A165="","",IFERROR(DATE(YEAR(INDEX(TblApplications[Mois bascule],$A165)),MONTH(INDEX(TblApplications[Mois bascule],$A165)),1),""))</f>
        <v/>
      </c>
      <c r="AS165" s="0" t="str">
        <f aca="false">IF($A165="","",INDEX(TblApplications[Mois lib (calc)],$A165))</f>
        <v/>
      </c>
    </row>
    <row r="166" customFormat="false" ht="15" hidden="false" customHeight="false" outlineLevel="0" collapsed="false">
      <c r="A166" s="49" t="str">
        <f aca="false">IFERROR(MATCH(158,TblApplications[Rang frise],0),"")</f>
        <v/>
      </c>
      <c r="B166" s="50" t="str">
        <f aca="false">IF($A166="","",INDEX(TblApplications[ID],$A166))</f>
        <v/>
      </c>
      <c r="C166" s="50" t="str">
        <f aca="false">IF($A166="","",INDEX(TblApplications[Application],$A166))</f>
        <v/>
      </c>
      <c r="D166" s="50" t="str">
        <f aca="false">IF($A166="","",INDEX(TblApplications[Environnement],$A166))</f>
        <v/>
      </c>
      <c r="E166" s="50" t="str">
        <f aca="false">IF($A166="","",INDEX(TblApplications[Couloir],$A166))</f>
        <v/>
      </c>
      <c r="F166" s="50" t="str">
        <f aca="false">IF($A166="","",INDEX(TblApplications[Action],$A166))</f>
        <v/>
      </c>
      <c r="G166" s="51" t="str">
        <f aca="false">IF(OR($A166="",G$8=""),"",IF($F166="Migré","ROKS",IF($F166="À décommissionner",IF(G$8&lt;$AS166,"IKS","Décom."),IF(OR($AQ166="",$AS166=""),"",IF(G$8&lt;$AQ166,"IKS",IF(G$8&lt;$AS166,IF(G$8=$AR166,"Bascule","Double run"),"ROKS"))))))</f>
        <v/>
      </c>
      <c r="H166" s="51" t="str">
        <f aca="false">IF(OR($A166="",H$8=""),"",IF($F166="Migré","ROKS",IF($F166="À décommissionner",IF(H$8&lt;$AS166,"IKS","Décom."),IF(OR($AQ166="",$AS166=""),"",IF(H$8&lt;$AQ166,"IKS",IF(H$8&lt;$AS166,IF(H$8=$AR166,"Bascule","Double run"),"ROKS"))))))</f>
        <v/>
      </c>
      <c r="I166" s="51" t="str">
        <f aca="false">IF(OR($A166="",I$8=""),"",IF($F166="Migré","ROKS",IF($F166="À décommissionner",IF(I$8&lt;$AS166,"IKS","Décom."),IF(OR($AQ166="",$AS166=""),"",IF(I$8&lt;$AQ166,"IKS",IF(I$8&lt;$AS166,IF(I$8=$AR166,"Bascule","Double run"),"ROKS"))))))</f>
        <v/>
      </c>
      <c r="J166" s="51" t="str">
        <f aca="false">IF(OR($A166="",J$8=""),"",IF($F166="Migré","ROKS",IF($F166="À décommissionner",IF(J$8&lt;$AS166,"IKS","Décom."),IF(OR($AQ166="",$AS166=""),"",IF(J$8&lt;$AQ166,"IKS",IF(J$8&lt;$AS166,IF(J$8=$AR166,"Bascule","Double run"),"ROKS"))))))</f>
        <v/>
      </c>
      <c r="K166" s="51" t="str">
        <f aca="false">IF(OR($A166="",K$8=""),"",IF($F166="Migré","ROKS",IF($F166="À décommissionner",IF(K$8&lt;$AS166,"IKS","Décom."),IF(OR($AQ166="",$AS166=""),"",IF(K$8&lt;$AQ166,"IKS",IF(K$8&lt;$AS166,IF(K$8=$AR166,"Bascule","Double run"),"ROKS"))))))</f>
        <v/>
      </c>
      <c r="L166" s="51" t="str">
        <f aca="false">IF(OR($A166="",L$8=""),"",IF($F166="Migré","ROKS",IF($F166="À décommissionner",IF(L$8&lt;$AS166,"IKS","Décom."),IF(OR($AQ166="",$AS166=""),"",IF(L$8&lt;$AQ166,"IKS",IF(L$8&lt;$AS166,IF(L$8=$AR166,"Bascule","Double run"),"ROKS"))))))</f>
        <v/>
      </c>
      <c r="M166" s="51" t="str">
        <f aca="false">IF(OR($A166="",M$8=""),"",IF($F166="Migré","ROKS",IF($F166="À décommissionner",IF(M$8&lt;$AS166,"IKS","Décom."),IF(OR($AQ166="",$AS166=""),"",IF(M$8&lt;$AQ166,"IKS",IF(M$8&lt;$AS166,IF(M$8=$AR166,"Bascule","Double run"),"ROKS"))))))</f>
        <v/>
      </c>
      <c r="N166" s="51" t="str">
        <f aca="false">IF(OR($A166="",N$8=""),"",IF($F166="Migré","ROKS",IF($F166="À décommissionner",IF(N$8&lt;$AS166,"IKS","Décom."),IF(OR($AQ166="",$AS166=""),"",IF(N$8&lt;$AQ166,"IKS",IF(N$8&lt;$AS166,IF(N$8=$AR166,"Bascule","Double run"),"ROKS"))))))</f>
        <v/>
      </c>
      <c r="O166" s="51" t="str">
        <f aca="false">IF(OR($A166="",O$8=""),"",IF($F166="Migré","ROKS",IF($F166="À décommissionner",IF(O$8&lt;$AS166,"IKS","Décom."),IF(OR($AQ166="",$AS166=""),"",IF(O$8&lt;$AQ166,"IKS",IF(O$8&lt;$AS166,IF(O$8=$AR166,"Bascule","Double run"),"ROKS"))))))</f>
        <v/>
      </c>
      <c r="P166" s="51" t="str">
        <f aca="false">IF(OR($A166="",P$8=""),"",IF($F166="Migré","ROKS",IF($F166="À décommissionner",IF(P$8&lt;$AS166,"IKS","Décom."),IF(OR($AQ166="",$AS166=""),"",IF(P$8&lt;$AQ166,"IKS",IF(P$8&lt;$AS166,IF(P$8=$AR166,"Bascule","Double run"),"ROKS"))))))</f>
        <v/>
      </c>
      <c r="Q166" s="51" t="str">
        <f aca="false">IF(OR($A166="",Q$8=""),"",IF($F166="Migré","ROKS",IF($F166="À décommissionner",IF(Q$8&lt;$AS166,"IKS","Décom."),IF(OR($AQ166="",$AS166=""),"",IF(Q$8&lt;$AQ166,"IKS",IF(Q$8&lt;$AS166,IF(Q$8=$AR166,"Bascule","Double run"),"ROKS"))))))</f>
        <v/>
      </c>
      <c r="R166" s="51" t="str">
        <f aca="false">IF(OR($A166="",R$8=""),"",IF($F166="Migré","ROKS",IF($F166="À décommissionner",IF(R$8&lt;$AS166,"IKS","Décom."),IF(OR($AQ166="",$AS166=""),"",IF(R$8&lt;$AQ166,"IKS",IF(R$8&lt;$AS166,IF(R$8=$AR166,"Bascule","Double run"),"ROKS"))))))</f>
        <v/>
      </c>
      <c r="S166" s="51" t="str">
        <f aca="false">IF(OR($A166="",S$8=""),"",IF($F166="Migré","ROKS",IF($F166="À décommissionner",IF(S$8&lt;$AS166,"IKS","Décom."),IF(OR($AQ166="",$AS166=""),"",IF(S$8&lt;$AQ166,"IKS",IF(S$8&lt;$AS166,IF(S$8=$AR166,"Bascule","Double run"),"ROKS"))))))</f>
        <v/>
      </c>
      <c r="T166" s="51" t="str">
        <f aca="false">IF(OR($A166="",T$8=""),"",IF($F166="Migré","ROKS",IF($F166="À décommissionner",IF(T$8&lt;$AS166,"IKS","Décom."),IF(OR($AQ166="",$AS166=""),"",IF(T$8&lt;$AQ166,"IKS",IF(T$8&lt;$AS166,IF(T$8=$AR166,"Bascule","Double run"),"ROKS"))))))</f>
        <v/>
      </c>
      <c r="U166" s="51" t="str">
        <f aca="false">IF(OR($A166="",U$8=""),"",IF($F166="Migré","ROKS",IF($F166="À décommissionner",IF(U$8&lt;$AS166,"IKS","Décom."),IF(OR($AQ166="",$AS166=""),"",IF(U$8&lt;$AQ166,"IKS",IF(U$8&lt;$AS166,IF(U$8=$AR166,"Bascule","Double run"),"ROKS"))))))</f>
        <v/>
      </c>
      <c r="V166" s="51" t="str">
        <f aca="false">IF(OR($A166="",V$8=""),"",IF($F166="Migré","ROKS",IF($F166="À décommissionner",IF(V$8&lt;$AS166,"IKS","Décom."),IF(OR($AQ166="",$AS166=""),"",IF(V$8&lt;$AQ166,"IKS",IF(V$8&lt;$AS166,IF(V$8=$AR166,"Bascule","Double run"),"ROKS"))))))</f>
        <v/>
      </c>
      <c r="W166" s="51" t="str">
        <f aca="false">IF(OR($A166="",W$8=""),"",IF($F166="Migré","ROKS",IF($F166="À décommissionner",IF(W$8&lt;$AS166,"IKS","Décom."),IF(OR($AQ166="",$AS166=""),"",IF(W$8&lt;$AQ166,"IKS",IF(W$8&lt;$AS166,IF(W$8=$AR166,"Bascule","Double run"),"ROKS"))))))</f>
        <v/>
      </c>
      <c r="X166" s="51" t="str">
        <f aca="false">IF(OR($A166="",X$8=""),"",IF($F166="Migré","ROKS",IF($F166="À décommissionner",IF(X$8&lt;$AS166,"IKS","Décom."),IF(OR($AQ166="",$AS166=""),"",IF(X$8&lt;$AQ166,"IKS",IF(X$8&lt;$AS166,IF(X$8=$AR166,"Bascule","Double run"),"ROKS"))))))</f>
        <v/>
      </c>
      <c r="Y166" s="51" t="str">
        <f aca="false">IF(OR($A166="",Y$8=""),"",IF($F166="Migré","ROKS",IF($F166="À décommissionner",IF(Y$8&lt;$AS166,"IKS","Décom."),IF(OR($AQ166="",$AS166=""),"",IF(Y$8&lt;$AQ166,"IKS",IF(Y$8&lt;$AS166,IF(Y$8=$AR166,"Bascule","Double run"),"ROKS"))))))</f>
        <v/>
      </c>
      <c r="Z166" s="51" t="str">
        <f aca="false">IF(OR($A166="",Z$8=""),"",IF($F166="Migré","ROKS",IF($F166="À décommissionner",IF(Z$8&lt;$AS166,"IKS","Décom."),IF(OR($AQ166="",$AS166=""),"",IF(Z$8&lt;$AQ166,"IKS",IF(Z$8&lt;$AS166,IF(Z$8=$AR166,"Bascule","Double run"),"ROKS"))))))</f>
        <v/>
      </c>
      <c r="AA166" s="51" t="str">
        <f aca="false">IF(OR($A166="",AA$8=""),"",IF($F166="Migré","ROKS",IF($F166="À décommissionner",IF(AA$8&lt;$AS166,"IKS","Décom."),IF(OR($AQ166="",$AS166=""),"",IF(AA$8&lt;$AQ166,"IKS",IF(AA$8&lt;$AS166,IF(AA$8=$AR166,"Bascule","Double run"),"ROKS"))))))</f>
        <v/>
      </c>
      <c r="AB166" s="51" t="str">
        <f aca="false">IF(OR($A166="",AB$8=""),"",IF($F166="Migré","ROKS",IF($F166="À décommissionner",IF(AB$8&lt;$AS166,"IKS","Décom."),IF(OR($AQ166="",$AS166=""),"",IF(AB$8&lt;$AQ166,"IKS",IF(AB$8&lt;$AS166,IF(AB$8=$AR166,"Bascule","Double run"),"ROKS"))))))</f>
        <v/>
      </c>
      <c r="AC166" s="51" t="str">
        <f aca="false">IF(OR($A166="",AC$8=""),"",IF($F166="Migré","ROKS",IF($F166="À décommissionner",IF(AC$8&lt;$AS166,"IKS","Décom."),IF(OR($AQ166="",$AS166=""),"",IF(AC$8&lt;$AQ166,"IKS",IF(AC$8&lt;$AS166,IF(AC$8=$AR166,"Bascule","Double run"),"ROKS"))))))</f>
        <v/>
      </c>
      <c r="AD166" s="51" t="str">
        <f aca="false">IF(OR($A166="",AD$8=""),"",IF($F166="Migré","ROKS",IF($F166="À décommissionner",IF(AD$8&lt;$AS166,"IKS","Décom."),IF(OR($AQ166="",$AS166=""),"",IF(AD$8&lt;$AQ166,"IKS",IF(AD$8&lt;$AS166,IF(AD$8=$AR166,"Bascule","Double run"),"ROKS"))))))</f>
        <v/>
      </c>
      <c r="AE166" s="51" t="str">
        <f aca="false">IF(OR($A166="",AE$8=""),"",IF($F166="Migré","ROKS",IF($F166="À décommissionner",IF(AE$8&lt;$AS166,"IKS","Décom."),IF(OR($AQ166="",$AS166=""),"",IF(AE$8&lt;$AQ166,"IKS",IF(AE$8&lt;$AS166,IF(AE$8=$AR166,"Bascule","Double run"),"ROKS"))))))</f>
        <v/>
      </c>
      <c r="AF166" s="51" t="str">
        <f aca="false">IF(OR($A166="",AF$8=""),"",IF($F166="Migré","ROKS",IF($F166="À décommissionner",IF(AF$8&lt;$AS166,"IKS","Décom."),IF(OR($AQ166="",$AS166=""),"",IF(AF$8&lt;$AQ166,"IKS",IF(AF$8&lt;$AS166,IF(AF$8=$AR166,"Bascule","Double run"),"ROKS"))))))</f>
        <v/>
      </c>
      <c r="AG166" s="51" t="str">
        <f aca="false">IF(OR($A166="",AG$8=""),"",IF($F166="Migré","ROKS",IF($F166="À décommissionner",IF(AG$8&lt;$AS166,"IKS","Décom."),IF(OR($AQ166="",$AS166=""),"",IF(AG$8&lt;$AQ166,"IKS",IF(AG$8&lt;$AS166,IF(AG$8=$AR166,"Bascule","Double run"),"ROKS"))))))</f>
        <v/>
      </c>
      <c r="AH166" s="51" t="str">
        <f aca="false">IF(OR($A166="",AH$8=""),"",IF($F166="Migré","ROKS",IF($F166="À décommissionner",IF(AH$8&lt;$AS166,"IKS","Décom."),IF(OR($AQ166="",$AS166=""),"",IF(AH$8&lt;$AQ166,"IKS",IF(AH$8&lt;$AS166,IF(AH$8=$AR166,"Bascule","Double run"),"ROKS"))))))</f>
        <v/>
      </c>
      <c r="AI166" s="51" t="str">
        <f aca="false">IF(OR($A166="",AI$8=""),"",IF($F166="Migré","ROKS",IF($F166="À décommissionner",IF(AI$8&lt;$AS166,"IKS","Décom."),IF(OR($AQ166="",$AS166=""),"",IF(AI$8&lt;$AQ166,"IKS",IF(AI$8&lt;$AS166,IF(AI$8=$AR166,"Bascule","Double run"),"ROKS"))))))</f>
        <v/>
      </c>
      <c r="AJ166" s="51" t="str">
        <f aca="false">IF(OR($A166="",AJ$8=""),"",IF($F166="Migré","ROKS",IF($F166="À décommissionner",IF(AJ$8&lt;$AS166,"IKS","Décom."),IF(OR($AQ166="",$AS166=""),"",IF(AJ$8&lt;$AQ166,"IKS",IF(AJ$8&lt;$AS166,IF(AJ$8=$AR166,"Bascule","Double run"),"ROKS"))))))</f>
        <v/>
      </c>
      <c r="AK166" s="51" t="str">
        <f aca="false">IF(OR($A166="",AK$8=""),"",IF($F166="Migré","ROKS",IF($F166="À décommissionner",IF(AK$8&lt;$AS166,"IKS","Décom."),IF(OR($AQ166="",$AS166=""),"",IF(AK$8&lt;$AQ166,"IKS",IF(AK$8&lt;$AS166,IF(AK$8=$AR166,"Bascule","Double run"),"ROKS"))))))</f>
        <v/>
      </c>
      <c r="AL166" s="51" t="str">
        <f aca="false">IF(OR($A166="",AL$8=""),"",IF($F166="Migré","ROKS",IF($F166="À décommissionner",IF(AL$8&lt;$AS166,"IKS","Décom."),IF(OR($AQ166="",$AS166=""),"",IF(AL$8&lt;$AQ166,"IKS",IF(AL$8&lt;$AS166,IF(AL$8=$AR166,"Bascule","Double run"),"ROKS"))))))</f>
        <v/>
      </c>
      <c r="AM166" s="51" t="str">
        <f aca="false">IF(OR($A166="",AM$8=""),"",IF($F166="Migré","ROKS",IF($F166="À décommissionner",IF(AM$8&lt;$AS166,"IKS","Décom."),IF(OR($AQ166="",$AS166=""),"",IF(AM$8&lt;$AQ166,"IKS",IF(AM$8&lt;$AS166,IF(AM$8=$AR166,"Bascule","Double run"),"ROKS"))))))</f>
        <v/>
      </c>
      <c r="AN166" s="51" t="str">
        <f aca="false">IF(OR($A166="",AN$8=""),"",IF($F166="Migré","ROKS",IF($F166="À décommissionner",IF(AN$8&lt;$AS166,"IKS","Décom."),IF(OR($AQ166="",$AS166=""),"",IF(AN$8&lt;$AQ166,"IKS",IF(AN$8&lt;$AS166,IF(AN$8=$AR166,"Bascule","Double run"),"ROKS"))))))</f>
        <v/>
      </c>
      <c r="AO166" s="51" t="str">
        <f aca="false">IF(OR($A166="",AO$8=""),"",IF($F166="Migré","ROKS",IF($F166="À décommissionner",IF(AO$8&lt;$AS166,"IKS","Décom."),IF(OR($AQ166="",$AS166=""),"",IF(AO$8&lt;$AQ166,"IKS",IF(AO$8&lt;$AS166,IF(AO$8=$AR166,"Bascule","Double run"),"ROKS"))))))</f>
        <v/>
      </c>
      <c r="AP166" s="51" t="str">
        <f aca="false">IF(OR($A166="",AP$8=""),"",IF($F166="Migré","ROKS",IF($F166="À décommissionner",IF(AP$8&lt;$AS166,"IKS","Décom."),IF(OR($AQ166="",$AS166=""),"",IF(AP$8&lt;$AQ166,"IKS",IF(AP$8&lt;$AS166,IF(AP$8=$AR166,"Bascule","Double run"),"ROKS"))))))</f>
        <v/>
      </c>
      <c r="AQ166" s="0" t="str">
        <f aca="false">IF($A166="","",INDEX(TblApplications[Mois prov (calc)],$A166))</f>
        <v/>
      </c>
      <c r="AR166" s="0" t="str">
        <f aca="false">IF($A166="","",IFERROR(DATE(YEAR(INDEX(TblApplications[Mois bascule],$A166)),MONTH(INDEX(TblApplications[Mois bascule],$A166)),1),""))</f>
        <v/>
      </c>
      <c r="AS166" s="0" t="str">
        <f aca="false">IF($A166="","",INDEX(TblApplications[Mois lib (calc)],$A166))</f>
        <v/>
      </c>
    </row>
    <row r="167" customFormat="false" ht="15" hidden="false" customHeight="false" outlineLevel="0" collapsed="false">
      <c r="A167" s="49" t="str">
        <f aca="false">IFERROR(MATCH(159,TblApplications[Rang frise],0),"")</f>
        <v/>
      </c>
      <c r="B167" s="50" t="str">
        <f aca="false">IF($A167="","",INDEX(TblApplications[ID],$A167))</f>
        <v/>
      </c>
      <c r="C167" s="50" t="str">
        <f aca="false">IF($A167="","",INDEX(TblApplications[Application],$A167))</f>
        <v/>
      </c>
      <c r="D167" s="50" t="str">
        <f aca="false">IF($A167="","",INDEX(TblApplications[Environnement],$A167))</f>
        <v/>
      </c>
      <c r="E167" s="50" t="str">
        <f aca="false">IF($A167="","",INDEX(TblApplications[Couloir],$A167))</f>
        <v/>
      </c>
      <c r="F167" s="50" t="str">
        <f aca="false">IF($A167="","",INDEX(TblApplications[Action],$A167))</f>
        <v/>
      </c>
      <c r="G167" s="51" t="str">
        <f aca="false">IF(OR($A167="",G$8=""),"",IF($F167="Migré","ROKS",IF($F167="À décommissionner",IF(G$8&lt;$AS167,"IKS","Décom."),IF(OR($AQ167="",$AS167=""),"",IF(G$8&lt;$AQ167,"IKS",IF(G$8&lt;$AS167,IF(G$8=$AR167,"Bascule","Double run"),"ROKS"))))))</f>
        <v/>
      </c>
      <c r="H167" s="51" t="str">
        <f aca="false">IF(OR($A167="",H$8=""),"",IF($F167="Migré","ROKS",IF($F167="À décommissionner",IF(H$8&lt;$AS167,"IKS","Décom."),IF(OR($AQ167="",$AS167=""),"",IF(H$8&lt;$AQ167,"IKS",IF(H$8&lt;$AS167,IF(H$8=$AR167,"Bascule","Double run"),"ROKS"))))))</f>
        <v/>
      </c>
      <c r="I167" s="51" t="str">
        <f aca="false">IF(OR($A167="",I$8=""),"",IF($F167="Migré","ROKS",IF($F167="À décommissionner",IF(I$8&lt;$AS167,"IKS","Décom."),IF(OR($AQ167="",$AS167=""),"",IF(I$8&lt;$AQ167,"IKS",IF(I$8&lt;$AS167,IF(I$8=$AR167,"Bascule","Double run"),"ROKS"))))))</f>
        <v/>
      </c>
      <c r="J167" s="51" t="str">
        <f aca="false">IF(OR($A167="",J$8=""),"",IF($F167="Migré","ROKS",IF($F167="À décommissionner",IF(J$8&lt;$AS167,"IKS","Décom."),IF(OR($AQ167="",$AS167=""),"",IF(J$8&lt;$AQ167,"IKS",IF(J$8&lt;$AS167,IF(J$8=$AR167,"Bascule","Double run"),"ROKS"))))))</f>
        <v/>
      </c>
      <c r="K167" s="51" t="str">
        <f aca="false">IF(OR($A167="",K$8=""),"",IF($F167="Migré","ROKS",IF($F167="À décommissionner",IF(K$8&lt;$AS167,"IKS","Décom."),IF(OR($AQ167="",$AS167=""),"",IF(K$8&lt;$AQ167,"IKS",IF(K$8&lt;$AS167,IF(K$8=$AR167,"Bascule","Double run"),"ROKS"))))))</f>
        <v/>
      </c>
      <c r="L167" s="51" t="str">
        <f aca="false">IF(OR($A167="",L$8=""),"",IF($F167="Migré","ROKS",IF($F167="À décommissionner",IF(L$8&lt;$AS167,"IKS","Décom."),IF(OR($AQ167="",$AS167=""),"",IF(L$8&lt;$AQ167,"IKS",IF(L$8&lt;$AS167,IF(L$8=$AR167,"Bascule","Double run"),"ROKS"))))))</f>
        <v/>
      </c>
      <c r="M167" s="51" t="str">
        <f aca="false">IF(OR($A167="",M$8=""),"",IF($F167="Migré","ROKS",IF($F167="À décommissionner",IF(M$8&lt;$AS167,"IKS","Décom."),IF(OR($AQ167="",$AS167=""),"",IF(M$8&lt;$AQ167,"IKS",IF(M$8&lt;$AS167,IF(M$8=$AR167,"Bascule","Double run"),"ROKS"))))))</f>
        <v/>
      </c>
      <c r="N167" s="51" t="str">
        <f aca="false">IF(OR($A167="",N$8=""),"",IF($F167="Migré","ROKS",IF($F167="À décommissionner",IF(N$8&lt;$AS167,"IKS","Décom."),IF(OR($AQ167="",$AS167=""),"",IF(N$8&lt;$AQ167,"IKS",IF(N$8&lt;$AS167,IF(N$8=$AR167,"Bascule","Double run"),"ROKS"))))))</f>
        <v/>
      </c>
      <c r="O167" s="51" t="str">
        <f aca="false">IF(OR($A167="",O$8=""),"",IF($F167="Migré","ROKS",IF($F167="À décommissionner",IF(O$8&lt;$AS167,"IKS","Décom."),IF(OR($AQ167="",$AS167=""),"",IF(O$8&lt;$AQ167,"IKS",IF(O$8&lt;$AS167,IF(O$8=$AR167,"Bascule","Double run"),"ROKS"))))))</f>
        <v/>
      </c>
      <c r="P167" s="51" t="str">
        <f aca="false">IF(OR($A167="",P$8=""),"",IF($F167="Migré","ROKS",IF($F167="À décommissionner",IF(P$8&lt;$AS167,"IKS","Décom."),IF(OR($AQ167="",$AS167=""),"",IF(P$8&lt;$AQ167,"IKS",IF(P$8&lt;$AS167,IF(P$8=$AR167,"Bascule","Double run"),"ROKS"))))))</f>
        <v/>
      </c>
      <c r="Q167" s="51" t="str">
        <f aca="false">IF(OR($A167="",Q$8=""),"",IF($F167="Migré","ROKS",IF($F167="À décommissionner",IF(Q$8&lt;$AS167,"IKS","Décom."),IF(OR($AQ167="",$AS167=""),"",IF(Q$8&lt;$AQ167,"IKS",IF(Q$8&lt;$AS167,IF(Q$8=$AR167,"Bascule","Double run"),"ROKS"))))))</f>
        <v/>
      </c>
      <c r="R167" s="51" t="str">
        <f aca="false">IF(OR($A167="",R$8=""),"",IF($F167="Migré","ROKS",IF($F167="À décommissionner",IF(R$8&lt;$AS167,"IKS","Décom."),IF(OR($AQ167="",$AS167=""),"",IF(R$8&lt;$AQ167,"IKS",IF(R$8&lt;$AS167,IF(R$8=$AR167,"Bascule","Double run"),"ROKS"))))))</f>
        <v/>
      </c>
      <c r="S167" s="51" t="str">
        <f aca="false">IF(OR($A167="",S$8=""),"",IF($F167="Migré","ROKS",IF($F167="À décommissionner",IF(S$8&lt;$AS167,"IKS","Décom."),IF(OR($AQ167="",$AS167=""),"",IF(S$8&lt;$AQ167,"IKS",IF(S$8&lt;$AS167,IF(S$8=$AR167,"Bascule","Double run"),"ROKS"))))))</f>
        <v/>
      </c>
      <c r="T167" s="51" t="str">
        <f aca="false">IF(OR($A167="",T$8=""),"",IF($F167="Migré","ROKS",IF($F167="À décommissionner",IF(T$8&lt;$AS167,"IKS","Décom."),IF(OR($AQ167="",$AS167=""),"",IF(T$8&lt;$AQ167,"IKS",IF(T$8&lt;$AS167,IF(T$8=$AR167,"Bascule","Double run"),"ROKS"))))))</f>
        <v/>
      </c>
      <c r="U167" s="51" t="str">
        <f aca="false">IF(OR($A167="",U$8=""),"",IF($F167="Migré","ROKS",IF($F167="À décommissionner",IF(U$8&lt;$AS167,"IKS","Décom."),IF(OR($AQ167="",$AS167=""),"",IF(U$8&lt;$AQ167,"IKS",IF(U$8&lt;$AS167,IF(U$8=$AR167,"Bascule","Double run"),"ROKS"))))))</f>
        <v/>
      </c>
      <c r="V167" s="51" t="str">
        <f aca="false">IF(OR($A167="",V$8=""),"",IF($F167="Migré","ROKS",IF($F167="À décommissionner",IF(V$8&lt;$AS167,"IKS","Décom."),IF(OR($AQ167="",$AS167=""),"",IF(V$8&lt;$AQ167,"IKS",IF(V$8&lt;$AS167,IF(V$8=$AR167,"Bascule","Double run"),"ROKS"))))))</f>
        <v/>
      </c>
      <c r="W167" s="51" t="str">
        <f aca="false">IF(OR($A167="",W$8=""),"",IF($F167="Migré","ROKS",IF($F167="À décommissionner",IF(W$8&lt;$AS167,"IKS","Décom."),IF(OR($AQ167="",$AS167=""),"",IF(W$8&lt;$AQ167,"IKS",IF(W$8&lt;$AS167,IF(W$8=$AR167,"Bascule","Double run"),"ROKS"))))))</f>
        <v/>
      </c>
      <c r="X167" s="51" t="str">
        <f aca="false">IF(OR($A167="",X$8=""),"",IF($F167="Migré","ROKS",IF($F167="À décommissionner",IF(X$8&lt;$AS167,"IKS","Décom."),IF(OR($AQ167="",$AS167=""),"",IF(X$8&lt;$AQ167,"IKS",IF(X$8&lt;$AS167,IF(X$8=$AR167,"Bascule","Double run"),"ROKS"))))))</f>
        <v/>
      </c>
      <c r="Y167" s="51" t="str">
        <f aca="false">IF(OR($A167="",Y$8=""),"",IF($F167="Migré","ROKS",IF($F167="À décommissionner",IF(Y$8&lt;$AS167,"IKS","Décom."),IF(OR($AQ167="",$AS167=""),"",IF(Y$8&lt;$AQ167,"IKS",IF(Y$8&lt;$AS167,IF(Y$8=$AR167,"Bascule","Double run"),"ROKS"))))))</f>
        <v/>
      </c>
      <c r="Z167" s="51" t="str">
        <f aca="false">IF(OR($A167="",Z$8=""),"",IF($F167="Migré","ROKS",IF($F167="À décommissionner",IF(Z$8&lt;$AS167,"IKS","Décom."),IF(OR($AQ167="",$AS167=""),"",IF(Z$8&lt;$AQ167,"IKS",IF(Z$8&lt;$AS167,IF(Z$8=$AR167,"Bascule","Double run"),"ROKS"))))))</f>
        <v/>
      </c>
      <c r="AA167" s="51" t="str">
        <f aca="false">IF(OR($A167="",AA$8=""),"",IF($F167="Migré","ROKS",IF($F167="À décommissionner",IF(AA$8&lt;$AS167,"IKS","Décom."),IF(OR($AQ167="",$AS167=""),"",IF(AA$8&lt;$AQ167,"IKS",IF(AA$8&lt;$AS167,IF(AA$8=$AR167,"Bascule","Double run"),"ROKS"))))))</f>
        <v/>
      </c>
      <c r="AB167" s="51" t="str">
        <f aca="false">IF(OR($A167="",AB$8=""),"",IF($F167="Migré","ROKS",IF($F167="À décommissionner",IF(AB$8&lt;$AS167,"IKS","Décom."),IF(OR($AQ167="",$AS167=""),"",IF(AB$8&lt;$AQ167,"IKS",IF(AB$8&lt;$AS167,IF(AB$8=$AR167,"Bascule","Double run"),"ROKS"))))))</f>
        <v/>
      </c>
      <c r="AC167" s="51" t="str">
        <f aca="false">IF(OR($A167="",AC$8=""),"",IF($F167="Migré","ROKS",IF($F167="À décommissionner",IF(AC$8&lt;$AS167,"IKS","Décom."),IF(OR($AQ167="",$AS167=""),"",IF(AC$8&lt;$AQ167,"IKS",IF(AC$8&lt;$AS167,IF(AC$8=$AR167,"Bascule","Double run"),"ROKS"))))))</f>
        <v/>
      </c>
      <c r="AD167" s="51" t="str">
        <f aca="false">IF(OR($A167="",AD$8=""),"",IF($F167="Migré","ROKS",IF($F167="À décommissionner",IF(AD$8&lt;$AS167,"IKS","Décom."),IF(OR($AQ167="",$AS167=""),"",IF(AD$8&lt;$AQ167,"IKS",IF(AD$8&lt;$AS167,IF(AD$8=$AR167,"Bascule","Double run"),"ROKS"))))))</f>
        <v/>
      </c>
      <c r="AE167" s="51" t="str">
        <f aca="false">IF(OR($A167="",AE$8=""),"",IF($F167="Migré","ROKS",IF($F167="À décommissionner",IF(AE$8&lt;$AS167,"IKS","Décom."),IF(OR($AQ167="",$AS167=""),"",IF(AE$8&lt;$AQ167,"IKS",IF(AE$8&lt;$AS167,IF(AE$8=$AR167,"Bascule","Double run"),"ROKS"))))))</f>
        <v/>
      </c>
      <c r="AF167" s="51" t="str">
        <f aca="false">IF(OR($A167="",AF$8=""),"",IF($F167="Migré","ROKS",IF($F167="À décommissionner",IF(AF$8&lt;$AS167,"IKS","Décom."),IF(OR($AQ167="",$AS167=""),"",IF(AF$8&lt;$AQ167,"IKS",IF(AF$8&lt;$AS167,IF(AF$8=$AR167,"Bascule","Double run"),"ROKS"))))))</f>
        <v/>
      </c>
      <c r="AG167" s="51" t="str">
        <f aca="false">IF(OR($A167="",AG$8=""),"",IF($F167="Migré","ROKS",IF($F167="À décommissionner",IF(AG$8&lt;$AS167,"IKS","Décom."),IF(OR($AQ167="",$AS167=""),"",IF(AG$8&lt;$AQ167,"IKS",IF(AG$8&lt;$AS167,IF(AG$8=$AR167,"Bascule","Double run"),"ROKS"))))))</f>
        <v/>
      </c>
      <c r="AH167" s="51" t="str">
        <f aca="false">IF(OR($A167="",AH$8=""),"",IF($F167="Migré","ROKS",IF($F167="À décommissionner",IF(AH$8&lt;$AS167,"IKS","Décom."),IF(OR($AQ167="",$AS167=""),"",IF(AH$8&lt;$AQ167,"IKS",IF(AH$8&lt;$AS167,IF(AH$8=$AR167,"Bascule","Double run"),"ROKS"))))))</f>
        <v/>
      </c>
      <c r="AI167" s="51" t="str">
        <f aca="false">IF(OR($A167="",AI$8=""),"",IF($F167="Migré","ROKS",IF($F167="À décommissionner",IF(AI$8&lt;$AS167,"IKS","Décom."),IF(OR($AQ167="",$AS167=""),"",IF(AI$8&lt;$AQ167,"IKS",IF(AI$8&lt;$AS167,IF(AI$8=$AR167,"Bascule","Double run"),"ROKS"))))))</f>
        <v/>
      </c>
      <c r="AJ167" s="51" t="str">
        <f aca="false">IF(OR($A167="",AJ$8=""),"",IF($F167="Migré","ROKS",IF($F167="À décommissionner",IF(AJ$8&lt;$AS167,"IKS","Décom."),IF(OR($AQ167="",$AS167=""),"",IF(AJ$8&lt;$AQ167,"IKS",IF(AJ$8&lt;$AS167,IF(AJ$8=$AR167,"Bascule","Double run"),"ROKS"))))))</f>
        <v/>
      </c>
      <c r="AK167" s="51" t="str">
        <f aca="false">IF(OR($A167="",AK$8=""),"",IF($F167="Migré","ROKS",IF($F167="À décommissionner",IF(AK$8&lt;$AS167,"IKS","Décom."),IF(OR($AQ167="",$AS167=""),"",IF(AK$8&lt;$AQ167,"IKS",IF(AK$8&lt;$AS167,IF(AK$8=$AR167,"Bascule","Double run"),"ROKS"))))))</f>
        <v/>
      </c>
      <c r="AL167" s="51" t="str">
        <f aca="false">IF(OR($A167="",AL$8=""),"",IF($F167="Migré","ROKS",IF($F167="À décommissionner",IF(AL$8&lt;$AS167,"IKS","Décom."),IF(OR($AQ167="",$AS167=""),"",IF(AL$8&lt;$AQ167,"IKS",IF(AL$8&lt;$AS167,IF(AL$8=$AR167,"Bascule","Double run"),"ROKS"))))))</f>
        <v/>
      </c>
      <c r="AM167" s="51" t="str">
        <f aca="false">IF(OR($A167="",AM$8=""),"",IF($F167="Migré","ROKS",IF($F167="À décommissionner",IF(AM$8&lt;$AS167,"IKS","Décom."),IF(OR($AQ167="",$AS167=""),"",IF(AM$8&lt;$AQ167,"IKS",IF(AM$8&lt;$AS167,IF(AM$8=$AR167,"Bascule","Double run"),"ROKS"))))))</f>
        <v/>
      </c>
      <c r="AN167" s="51" t="str">
        <f aca="false">IF(OR($A167="",AN$8=""),"",IF($F167="Migré","ROKS",IF($F167="À décommissionner",IF(AN$8&lt;$AS167,"IKS","Décom."),IF(OR($AQ167="",$AS167=""),"",IF(AN$8&lt;$AQ167,"IKS",IF(AN$8&lt;$AS167,IF(AN$8=$AR167,"Bascule","Double run"),"ROKS"))))))</f>
        <v/>
      </c>
      <c r="AO167" s="51" t="str">
        <f aca="false">IF(OR($A167="",AO$8=""),"",IF($F167="Migré","ROKS",IF($F167="À décommissionner",IF(AO$8&lt;$AS167,"IKS","Décom."),IF(OR($AQ167="",$AS167=""),"",IF(AO$8&lt;$AQ167,"IKS",IF(AO$8&lt;$AS167,IF(AO$8=$AR167,"Bascule","Double run"),"ROKS"))))))</f>
        <v/>
      </c>
      <c r="AP167" s="51" t="str">
        <f aca="false">IF(OR($A167="",AP$8=""),"",IF($F167="Migré","ROKS",IF($F167="À décommissionner",IF(AP$8&lt;$AS167,"IKS","Décom."),IF(OR($AQ167="",$AS167=""),"",IF(AP$8&lt;$AQ167,"IKS",IF(AP$8&lt;$AS167,IF(AP$8=$AR167,"Bascule","Double run"),"ROKS"))))))</f>
        <v/>
      </c>
      <c r="AQ167" s="0" t="str">
        <f aca="false">IF($A167="","",INDEX(TblApplications[Mois prov (calc)],$A167))</f>
        <v/>
      </c>
      <c r="AR167" s="0" t="str">
        <f aca="false">IF($A167="","",IFERROR(DATE(YEAR(INDEX(TblApplications[Mois bascule],$A167)),MONTH(INDEX(TblApplications[Mois bascule],$A167)),1),""))</f>
        <v/>
      </c>
      <c r="AS167" s="0" t="str">
        <f aca="false">IF($A167="","",INDEX(TblApplications[Mois lib (calc)],$A167))</f>
        <v/>
      </c>
    </row>
    <row r="168" customFormat="false" ht="15" hidden="false" customHeight="false" outlineLevel="0" collapsed="false">
      <c r="A168" s="49" t="str">
        <f aca="false">IFERROR(MATCH(160,TblApplications[Rang frise],0),"")</f>
        <v/>
      </c>
      <c r="B168" s="50" t="str">
        <f aca="false">IF($A168="","",INDEX(TblApplications[ID],$A168))</f>
        <v/>
      </c>
      <c r="C168" s="50" t="str">
        <f aca="false">IF($A168="","",INDEX(TblApplications[Application],$A168))</f>
        <v/>
      </c>
      <c r="D168" s="50" t="str">
        <f aca="false">IF($A168="","",INDEX(TblApplications[Environnement],$A168))</f>
        <v/>
      </c>
      <c r="E168" s="50" t="str">
        <f aca="false">IF($A168="","",INDEX(TblApplications[Couloir],$A168))</f>
        <v/>
      </c>
      <c r="F168" s="50" t="str">
        <f aca="false">IF($A168="","",INDEX(TblApplications[Action],$A168))</f>
        <v/>
      </c>
      <c r="G168" s="51" t="str">
        <f aca="false">IF(OR($A168="",G$8=""),"",IF($F168="Migré","ROKS",IF($F168="À décommissionner",IF(G$8&lt;$AS168,"IKS","Décom."),IF(OR($AQ168="",$AS168=""),"",IF(G$8&lt;$AQ168,"IKS",IF(G$8&lt;$AS168,IF(G$8=$AR168,"Bascule","Double run"),"ROKS"))))))</f>
        <v/>
      </c>
      <c r="H168" s="51" t="str">
        <f aca="false">IF(OR($A168="",H$8=""),"",IF($F168="Migré","ROKS",IF($F168="À décommissionner",IF(H$8&lt;$AS168,"IKS","Décom."),IF(OR($AQ168="",$AS168=""),"",IF(H$8&lt;$AQ168,"IKS",IF(H$8&lt;$AS168,IF(H$8=$AR168,"Bascule","Double run"),"ROKS"))))))</f>
        <v/>
      </c>
      <c r="I168" s="51" t="str">
        <f aca="false">IF(OR($A168="",I$8=""),"",IF($F168="Migré","ROKS",IF($F168="À décommissionner",IF(I$8&lt;$AS168,"IKS","Décom."),IF(OR($AQ168="",$AS168=""),"",IF(I$8&lt;$AQ168,"IKS",IF(I$8&lt;$AS168,IF(I$8=$AR168,"Bascule","Double run"),"ROKS"))))))</f>
        <v/>
      </c>
      <c r="J168" s="51" t="str">
        <f aca="false">IF(OR($A168="",J$8=""),"",IF($F168="Migré","ROKS",IF($F168="À décommissionner",IF(J$8&lt;$AS168,"IKS","Décom."),IF(OR($AQ168="",$AS168=""),"",IF(J$8&lt;$AQ168,"IKS",IF(J$8&lt;$AS168,IF(J$8=$AR168,"Bascule","Double run"),"ROKS"))))))</f>
        <v/>
      </c>
      <c r="K168" s="51" t="str">
        <f aca="false">IF(OR($A168="",K$8=""),"",IF($F168="Migré","ROKS",IF($F168="À décommissionner",IF(K$8&lt;$AS168,"IKS","Décom."),IF(OR($AQ168="",$AS168=""),"",IF(K$8&lt;$AQ168,"IKS",IF(K$8&lt;$AS168,IF(K$8=$AR168,"Bascule","Double run"),"ROKS"))))))</f>
        <v/>
      </c>
      <c r="L168" s="51" t="str">
        <f aca="false">IF(OR($A168="",L$8=""),"",IF($F168="Migré","ROKS",IF($F168="À décommissionner",IF(L$8&lt;$AS168,"IKS","Décom."),IF(OR($AQ168="",$AS168=""),"",IF(L$8&lt;$AQ168,"IKS",IF(L$8&lt;$AS168,IF(L$8=$AR168,"Bascule","Double run"),"ROKS"))))))</f>
        <v/>
      </c>
      <c r="M168" s="51" t="str">
        <f aca="false">IF(OR($A168="",M$8=""),"",IF($F168="Migré","ROKS",IF($F168="À décommissionner",IF(M$8&lt;$AS168,"IKS","Décom."),IF(OR($AQ168="",$AS168=""),"",IF(M$8&lt;$AQ168,"IKS",IF(M$8&lt;$AS168,IF(M$8=$AR168,"Bascule","Double run"),"ROKS"))))))</f>
        <v/>
      </c>
      <c r="N168" s="51" t="str">
        <f aca="false">IF(OR($A168="",N$8=""),"",IF($F168="Migré","ROKS",IF($F168="À décommissionner",IF(N$8&lt;$AS168,"IKS","Décom."),IF(OR($AQ168="",$AS168=""),"",IF(N$8&lt;$AQ168,"IKS",IF(N$8&lt;$AS168,IF(N$8=$AR168,"Bascule","Double run"),"ROKS"))))))</f>
        <v/>
      </c>
      <c r="O168" s="51" t="str">
        <f aca="false">IF(OR($A168="",O$8=""),"",IF($F168="Migré","ROKS",IF($F168="À décommissionner",IF(O$8&lt;$AS168,"IKS","Décom."),IF(OR($AQ168="",$AS168=""),"",IF(O$8&lt;$AQ168,"IKS",IF(O$8&lt;$AS168,IF(O$8=$AR168,"Bascule","Double run"),"ROKS"))))))</f>
        <v/>
      </c>
      <c r="P168" s="51" t="str">
        <f aca="false">IF(OR($A168="",P$8=""),"",IF($F168="Migré","ROKS",IF($F168="À décommissionner",IF(P$8&lt;$AS168,"IKS","Décom."),IF(OR($AQ168="",$AS168=""),"",IF(P$8&lt;$AQ168,"IKS",IF(P$8&lt;$AS168,IF(P$8=$AR168,"Bascule","Double run"),"ROKS"))))))</f>
        <v/>
      </c>
      <c r="Q168" s="51" t="str">
        <f aca="false">IF(OR($A168="",Q$8=""),"",IF($F168="Migré","ROKS",IF($F168="À décommissionner",IF(Q$8&lt;$AS168,"IKS","Décom."),IF(OR($AQ168="",$AS168=""),"",IF(Q$8&lt;$AQ168,"IKS",IF(Q$8&lt;$AS168,IF(Q$8=$AR168,"Bascule","Double run"),"ROKS"))))))</f>
        <v/>
      </c>
      <c r="R168" s="51" t="str">
        <f aca="false">IF(OR($A168="",R$8=""),"",IF($F168="Migré","ROKS",IF($F168="À décommissionner",IF(R$8&lt;$AS168,"IKS","Décom."),IF(OR($AQ168="",$AS168=""),"",IF(R$8&lt;$AQ168,"IKS",IF(R$8&lt;$AS168,IF(R$8=$AR168,"Bascule","Double run"),"ROKS"))))))</f>
        <v/>
      </c>
      <c r="S168" s="51" t="str">
        <f aca="false">IF(OR($A168="",S$8=""),"",IF($F168="Migré","ROKS",IF($F168="À décommissionner",IF(S$8&lt;$AS168,"IKS","Décom."),IF(OR($AQ168="",$AS168=""),"",IF(S$8&lt;$AQ168,"IKS",IF(S$8&lt;$AS168,IF(S$8=$AR168,"Bascule","Double run"),"ROKS"))))))</f>
        <v/>
      </c>
      <c r="T168" s="51" t="str">
        <f aca="false">IF(OR($A168="",T$8=""),"",IF($F168="Migré","ROKS",IF($F168="À décommissionner",IF(T$8&lt;$AS168,"IKS","Décom."),IF(OR($AQ168="",$AS168=""),"",IF(T$8&lt;$AQ168,"IKS",IF(T$8&lt;$AS168,IF(T$8=$AR168,"Bascule","Double run"),"ROKS"))))))</f>
        <v/>
      </c>
      <c r="U168" s="51" t="str">
        <f aca="false">IF(OR($A168="",U$8=""),"",IF($F168="Migré","ROKS",IF($F168="À décommissionner",IF(U$8&lt;$AS168,"IKS","Décom."),IF(OR($AQ168="",$AS168=""),"",IF(U$8&lt;$AQ168,"IKS",IF(U$8&lt;$AS168,IF(U$8=$AR168,"Bascule","Double run"),"ROKS"))))))</f>
        <v/>
      </c>
      <c r="V168" s="51" t="str">
        <f aca="false">IF(OR($A168="",V$8=""),"",IF($F168="Migré","ROKS",IF($F168="À décommissionner",IF(V$8&lt;$AS168,"IKS","Décom."),IF(OR($AQ168="",$AS168=""),"",IF(V$8&lt;$AQ168,"IKS",IF(V$8&lt;$AS168,IF(V$8=$AR168,"Bascule","Double run"),"ROKS"))))))</f>
        <v/>
      </c>
      <c r="W168" s="51" t="str">
        <f aca="false">IF(OR($A168="",W$8=""),"",IF($F168="Migré","ROKS",IF($F168="À décommissionner",IF(W$8&lt;$AS168,"IKS","Décom."),IF(OR($AQ168="",$AS168=""),"",IF(W$8&lt;$AQ168,"IKS",IF(W$8&lt;$AS168,IF(W$8=$AR168,"Bascule","Double run"),"ROKS"))))))</f>
        <v/>
      </c>
      <c r="X168" s="51" t="str">
        <f aca="false">IF(OR($A168="",X$8=""),"",IF($F168="Migré","ROKS",IF($F168="À décommissionner",IF(X$8&lt;$AS168,"IKS","Décom."),IF(OR($AQ168="",$AS168=""),"",IF(X$8&lt;$AQ168,"IKS",IF(X$8&lt;$AS168,IF(X$8=$AR168,"Bascule","Double run"),"ROKS"))))))</f>
        <v/>
      </c>
      <c r="Y168" s="51" t="str">
        <f aca="false">IF(OR($A168="",Y$8=""),"",IF($F168="Migré","ROKS",IF($F168="À décommissionner",IF(Y$8&lt;$AS168,"IKS","Décom."),IF(OR($AQ168="",$AS168=""),"",IF(Y$8&lt;$AQ168,"IKS",IF(Y$8&lt;$AS168,IF(Y$8=$AR168,"Bascule","Double run"),"ROKS"))))))</f>
        <v/>
      </c>
      <c r="Z168" s="51" t="str">
        <f aca="false">IF(OR($A168="",Z$8=""),"",IF($F168="Migré","ROKS",IF($F168="À décommissionner",IF(Z$8&lt;$AS168,"IKS","Décom."),IF(OR($AQ168="",$AS168=""),"",IF(Z$8&lt;$AQ168,"IKS",IF(Z$8&lt;$AS168,IF(Z$8=$AR168,"Bascule","Double run"),"ROKS"))))))</f>
        <v/>
      </c>
      <c r="AA168" s="51" t="str">
        <f aca="false">IF(OR($A168="",AA$8=""),"",IF($F168="Migré","ROKS",IF($F168="À décommissionner",IF(AA$8&lt;$AS168,"IKS","Décom."),IF(OR($AQ168="",$AS168=""),"",IF(AA$8&lt;$AQ168,"IKS",IF(AA$8&lt;$AS168,IF(AA$8=$AR168,"Bascule","Double run"),"ROKS"))))))</f>
        <v/>
      </c>
      <c r="AB168" s="51" t="str">
        <f aca="false">IF(OR($A168="",AB$8=""),"",IF($F168="Migré","ROKS",IF($F168="À décommissionner",IF(AB$8&lt;$AS168,"IKS","Décom."),IF(OR($AQ168="",$AS168=""),"",IF(AB$8&lt;$AQ168,"IKS",IF(AB$8&lt;$AS168,IF(AB$8=$AR168,"Bascule","Double run"),"ROKS"))))))</f>
        <v/>
      </c>
      <c r="AC168" s="51" t="str">
        <f aca="false">IF(OR($A168="",AC$8=""),"",IF($F168="Migré","ROKS",IF($F168="À décommissionner",IF(AC$8&lt;$AS168,"IKS","Décom."),IF(OR($AQ168="",$AS168=""),"",IF(AC$8&lt;$AQ168,"IKS",IF(AC$8&lt;$AS168,IF(AC$8=$AR168,"Bascule","Double run"),"ROKS"))))))</f>
        <v/>
      </c>
      <c r="AD168" s="51" t="str">
        <f aca="false">IF(OR($A168="",AD$8=""),"",IF($F168="Migré","ROKS",IF($F168="À décommissionner",IF(AD$8&lt;$AS168,"IKS","Décom."),IF(OR($AQ168="",$AS168=""),"",IF(AD$8&lt;$AQ168,"IKS",IF(AD$8&lt;$AS168,IF(AD$8=$AR168,"Bascule","Double run"),"ROKS"))))))</f>
        <v/>
      </c>
      <c r="AE168" s="51" t="str">
        <f aca="false">IF(OR($A168="",AE$8=""),"",IF($F168="Migré","ROKS",IF($F168="À décommissionner",IF(AE$8&lt;$AS168,"IKS","Décom."),IF(OR($AQ168="",$AS168=""),"",IF(AE$8&lt;$AQ168,"IKS",IF(AE$8&lt;$AS168,IF(AE$8=$AR168,"Bascule","Double run"),"ROKS"))))))</f>
        <v/>
      </c>
      <c r="AF168" s="51" t="str">
        <f aca="false">IF(OR($A168="",AF$8=""),"",IF($F168="Migré","ROKS",IF($F168="À décommissionner",IF(AF$8&lt;$AS168,"IKS","Décom."),IF(OR($AQ168="",$AS168=""),"",IF(AF$8&lt;$AQ168,"IKS",IF(AF$8&lt;$AS168,IF(AF$8=$AR168,"Bascule","Double run"),"ROKS"))))))</f>
        <v/>
      </c>
      <c r="AG168" s="51" t="str">
        <f aca="false">IF(OR($A168="",AG$8=""),"",IF($F168="Migré","ROKS",IF($F168="À décommissionner",IF(AG$8&lt;$AS168,"IKS","Décom."),IF(OR($AQ168="",$AS168=""),"",IF(AG$8&lt;$AQ168,"IKS",IF(AG$8&lt;$AS168,IF(AG$8=$AR168,"Bascule","Double run"),"ROKS"))))))</f>
        <v/>
      </c>
      <c r="AH168" s="51" t="str">
        <f aca="false">IF(OR($A168="",AH$8=""),"",IF($F168="Migré","ROKS",IF($F168="À décommissionner",IF(AH$8&lt;$AS168,"IKS","Décom."),IF(OR($AQ168="",$AS168=""),"",IF(AH$8&lt;$AQ168,"IKS",IF(AH$8&lt;$AS168,IF(AH$8=$AR168,"Bascule","Double run"),"ROKS"))))))</f>
        <v/>
      </c>
      <c r="AI168" s="51" t="str">
        <f aca="false">IF(OR($A168="",AI$8=""),"",IF($F168="Migré","ROKS",IF($F168="À décommissionner",IF(AI$8&lt;$AS168,"IKS","Décom."),IF(OR($AQ168="",$AS168=""),"",IF(AI$8&lt;$AQ168,"IKS",IF(AI$8&lt;$AS168,IF(AI$8=$AR168,"Bascule","Double run"),"ROKS"))))))</f>
        <v/>
      </c>
      <c r="AJ168" s="51" t="str">
        <f aca="false">IF(OR($A168="",AJ$8=""),"",IF($F168="Migré","ROKS",IF($F168="À décommissionner",IF(AJ$8&lt;$AS168,"IKS","Décom."),IF(OR($AQ168="",$AS168=""),"",IF(AJ$8&lt;$AQ168,"IKS",IF(AJ$8&lt;$AS168,IF(AJ$8=$AR168,"Bascule","Double run"),"ROKS"))))))</f>
        <v/>
      </c>
      <c r="AK168" s="51" t="str">
        <f aca="false">IF(OR($A168="",AK$8=""),"",IF($F168="Migré","ROKS",IF($F168="À décommissionner",IF(AK$8&lt;$AS168,"IKS","Décom."),IF(OR($AQ168="",$AS168=""),"",IF(AK$8&lt;$AQ168,"IKS",IF(AK$8&lt;$AS168,IF(AK$8=$AR168,"Bascule","Double run"),"ROKS"))))))</f>
        <v/>
      </c>
      <c r="AL168" s="51" t="str">
        <f aca="false">IF(OR($A168="",AL$8=""),"",IF($F168="Migré","ROKS",IF($F168="À décommissionner",IF(AL$8&lt;$AS168,"IKS","Décom."),IF(OR($AQ168="",$AS168=""),"",IF(AL$8&lt;$AQ168,"IKS",IF(AL$8&lt;$AS168,IF(AL$8=$AR168,"Bascule","Double run"),"ROKS"))))))</f>
        <v/>
      </c>
      <c r="AM168" s="51" t="str">
        <f aca="false">IF(OR($A168="",AM$8=""),"",IF($F168="Migré","ROKS",IF($F168="À décommissionner",IF(AM$8&lt;$AS168,"IKS","Décom."),IF(OR($AQ168="",$AS168=""),"",IF(AM$8&lt;$AQ168,"IKS",IF(AM$8&lt;$AS168,IF(AM$8=$AR168,"Bascule","Double run"),"ROKS"))))))</f>
        <v/>
      </c>
      <c r="AN168" s="51" t="str">
        <f aca="false">IF(OR($A168="",AN$8=""),"",IF($F168="Migré","ROKS",IF($F168="À décommissionner",IF(AN$8&lt;$AS168,"IKS","Décom."),IF(OR($AQ168="",$AS168=""),"",IF(AN$8&lt;$AQ168,"IKS",IF(AN$8&lt;$AS168,IF(AN$8=$AR168,"Bascule","Double run"),"ROKS"))))))</f>
        <v/>
      </c>
      <c r="AO168" s="51" t="str">
        <f aca="false">IF(OR($A168="",AO$8=""),"",IF($F168="Migré","ROKS",IF($F168="À décommissionner",IF(AO$8&lt;$AS168,"IKS","Décom."),IF(OR($AQ168="",$AS168=""),"",IF(AO$8&lt;$AQ168,"IKS",IF(AO$8&lt;$AS168,IF(AO$8=$AR168,"Bascule","Double run"),"ROKS"))))))</f>
        <v/>
      </c>
      <c r="AP168" s="51" t="str">
        <f aca="false">IF(OR($A168="",AP$8=""),"",IF($F168="Migré","ROKS",IF($F168="À décommissionner",IF(AP$8&lt;$AS168,"IKS","Décom."),IF(OR($AQ168="",$AS168=""),"",IF(AP$8&lt;$AQ168,"IKS",IF(AP$8&lt;$AS168,IF(AP$8=$AR168,"Bascule","Double run"),"ROKS"))))))</f>
        <v/>
      </c>
      <c r="AQ168" s="0" t="str">
        <f aca="false">IF($A168="","",INDEX(TblApplications[Mois prov (calc)],$A168))</f>
        <v/>
      </c>
      <c r="AR168" s="0" t="str">
        <f aca="false">IF($A168="","",IFERROR(DATE(YEAR(INDEX(TblApplications[Mois bascule],$A168)),MONTH(INDEX(TblApplications[Mois bascule],$A168)),1),""))</f>
        <v/>
      </c>
      <c r="AS168" s="0" t="str">
        <f aca="false">IF($A168="","",INDEX(TblApplications[Mois lib (calc)],$A168))</f>
        <v/>
      </c>
    </row>
    <row r="169" customFormat="false" ht="15" hidden="false" customHeight="false" outlineLevel="0" collapsed="false">
      <c r="A169" s="49" t="str">
        <f aca="false">IFERROR(MATCH(161,TblApplications[Rang frise],0),"")</f>
        <v/>
      </c>
      <c r="B169" s="50" t="str">
        <f aca="false">IF($A169="","",INDEX(TblApplications[ID],$A169))</f>
        <v/>
      </c>
      <c r="C169" s="50" t="str">
        <f aca="false">IF($A169="","",INDEX(TblApplications[Application],$A169))</f>
        <v/>
      </c>
      <c r="D169" s="50" t="str">
        <f aca="false">IF($A169="","",INDEX(TblApplications[Environnement],$A169))</f>
        <v/>
      </c>
      <c r="E169" s="50" t="str">
        <f aca="false">IF($A169="","",INDEX(TblApplications[Couloir],$A169))</f>
        <v/>
      </c>
      <c r="F169" s="50" t="str">
        <f aca="false">IF($A169="","",INDEX(TblApplications[Action],$A169))</f>
        <v/>
      </c>
      <c r="G169" s="51" t="str">
        <f aca="false">IF(OR($A169="",G$8=""),"",IF($F169="Migré","ROKS",IF($F169="À décommissionner",IF(G$8&lt;$AS169,"IKS","Décom."),IF(OR($AQ169="",$AS169=""),"",IF(G$8&lt;$AQ169,"IKS",IF(G$8&lt;$AS169,IF(G$8=$AR169,"Bascule","Double run"),"ROKS"))))))</f>
        <v/>
      </c>
      <c r="H169" s="51" t="str">
        <f aca="false">IF(OR($A169="",H$8=""),"",IF($F169="Migré","ROKS",IF($F169="À décommissionner",IF(H$8&lt;$AS169,"IKS","Décom."),IF(OR($AQ169="",$AS169=""),"",IF(H$8&lt;$AQ169,"IKS",IF(H$8&lt;$AS169,IF(H$8=$AR169,"Bascule","Double run"),"ROKS"))))))</f>
        <v/>
      </c>
      <c r="I169" s="51" t="str">
        <f aca="false">IF(OR($A169="",I$8=""),"",IF($F169="Migré","ROKS",IF($F169="À décommissionner",IF(I$8&lt;$AS169,"IKS","Décom."),IF(OR($AQ169="",$AS169=""),"",IF(I$8&lt;$AQ169,"IKS",IF(I$8&lt;$AS169,IF(I$8=$AR169,"Bascule","Double run"),"ROKS"))))))</f>
        <v/>
      </c>
      <c r="J169" s="51" t="str">
        <f aca="false">IF(OR($A169="",J$8=""),"",IF($F169="Migré","ROKS",IF($F169="À décommissionner",IF(J$8&lt;$AS169,"IKS","Décom."),IF(OR($AQ169="",$AS169=""),"",IF(J$8&lt;$AQ169,"IKS",IF(J$8&lt;$AS169,IF(J$8=$AR169,"Bascule","Double run"),"ROKS"))))))</f>
        <v/>
      </c>
      <c r="K169" s="51" t="str">
        <f aca="false">IF(OR($A169="",K$8=""),"",IF($F169="Migré","ROKS",IF($F169="À décommissionner",IF(K$8&lt;$AS169,"IKS","Décom."),IF(OR($AQ169="",$AS169=""),"",IF(K$8&lt;$AQ169,"IKS",IF(K$8&lt;$AS169,IF(K$8=$AR169,"Bascule","Double run"),"ROKS"))))))</f>
        <v/>
      </c>
      <c r="L169" s="51" t="str">
        <f aca="false">IF(OR($A169="",L$8=""),"",IF($F169="Migré","ROKS",IF($F169="À décommissionner",IF(L$8&lt;$AS169,"IKS","Décom."),IF(OR($AQ169="",$AS169=""),"",IF(L$8&lt;$AQ169,"IKS",IF(L$8&lt;$AS169,IF(L$8=$AR169,"Bascule","Double run"),"ROKS"))))))</f>
        <v/>
      </c>
      <c r="M169" s="51" t="str">
        <f aca="false">IF(OR($A169="",M$8=""),"",IF($F169="Migré","ROKS",IF($F169="À décommissionner",IF(M$8&lt;$AS169,"IKS","Décom."),IF(OR($AQ169="",$AS169=""),"",IF(M$8&lt;$AQ169,"IKS",IF(M$8&lt;$AS169,IF(M$8=$AR169,"Bascule","Double run"),"ROKS"))))))</f>
        <v/>
      </c>
      <c r="N169" s="51" t="str">
        <f aca="false">IF(OR($A169="",N$8=""),"",IF($F169="Migré","ROKS",IF($F169="À décommissionner",IF(N$8&lt;$AS169,"IKS","Décom."),IF(OR($AQ169="",$AS169=""),"",IF(N$8&lt;$AQ169,"IKS",IF(N$8&lt;$AS169,IF(N$8=$AR169,"Bascule","Double run"),"ROKS"))))))</f>
        <v/>
      </c>
      <c r="O169" s="51" t="str">
        <f aca="false">IF(OR($A169="",O$8=""),"",IF($F169="Migré","ROKS",IF($F169="À décommissionner",IF(O$8&lt;$AS169,"IKS","Décom."),IF(OR($AQ169="",$AS169=""),"",IF(O$8&lt;$AQ169,"IKS",IF(O$8&lt;$AS169,IF(O$8=$AR169,"Bascule","Double run"),"ROKS"))))))</f>
        <v/>
      </c>
      <c r="P169" s="51" t="str">
        <f aca="false">IF(OR($A169="",P$8=""),"",IF($F169="Migré","ROKS",IF($F169="À décommissionner",IF(P$8&lt;$AS169,"IKS","Décom."),IF(OR($AQ169="",$AS169=""),"",IF(P$8&lt;$AQ169,"IKS",IF(P$8&lt;$AS169,IF(P$8=$AR169,"Bascule","Double run"),"ROKS"))))))</f>
        <v/>
      </c>
      <c r="Q169" s="51" t="str">
        <f aca="false">IF(OR($A169="",Q$8=""),"",IF($F169="Migré","ROKS",IF($F169="À décommissionner",IF(Q$8&lt;$AS169,"IKS","Décom."),IF(OR($AQ169="",$AS169=""),"",IF(Q$8&lt;$AQ169,"IKS",IF(Q$8&lt;$AS169,IF(Q$8=$AR169,"Bascule","Double run"),"ROKS"))))))</f>
        <v/>
      </c>
      <c r="R169" s="51" t="str">
        <f aca="false">IF(OR($A169="",R$8=""),"",IF($F169="Migré","ROKS",IF($F169="À décommissionner",IF(R$8&lt;$AS169,"IKS","Décom."),IF(OR($AQ169="",$AS169=""),"",IF(R$8&lt;$AQ169,"IKS",IF(R$8&lt;$AS169,IF(R$8=$AR169,"Bascule","Double run"),"ROKS"))))))</f>
        <v/>
      </c>
      <c r="S169" s="51" t="str">
        <f aca="false">IF(OR($A169="",S$8=""),"",IF($F169="Migré","ROKS",IF($F169="À décommissionner",IF(S$8&lt;$AS169,"IKS","Décom."),IF(OR($AQ169="",$AS169=""),"",IF(S$8&lt;$AQ169,"IKS",IF(S$8&lt;$AS169,IF(S$8=$AR169,"Bascule","Double run"),"ROKS"))))))</f>
        <v/>
      </c>
      <c r="T169" s="51" t="str">
        <f aca="false">IF(OR($A169="",T$8=""),"",IF($F169="Migré","ROKS",IF($F169="À décommissionner",IF(T$8&lt;$AS169,"IKS","Décom."),IF(OR($AQ169="",$AS169=""),"",IF(T$8&lt;$AQ169,"IKS",IF(T$8&lt;$AS169,IF(T$8=$AR169,"Bascule","Double run"),"ROKS"))))))</f>
        <v/>
      </c>
      <c r="U169" s="51" t="str">
        <f aca="false">IF(OR($A169="",U$8=""),"",IF($F169="Migré","ROKS",IF($F169="À décommissionner",IF(U$8&lt;$AS169,"IKS","Décom."),IF(OR($AQ169="",$AS169=""),"",IF(U$8&lt;$AQ169,"IKS",IF(U$8&lt;$AS169,IF(U$8=$AR169,"Bascule","Double run"),"ROKS"))))))</f>
        <v/>
      </c>
      <c r="V169" s="51" t="str">
        <f aca="false">IF(OR($A169="",V$8=""),"",IF($F169="Migré","ROKS",IF($F169="À décommissionner",IF(V$8&lt;$AS169,"IKS","Décom."),IF(OR($AQ169="",$AS169=""),"",IF(V$8&lt;$AQ169,"IKS",IF(V$8&lt;$AS169,IF(V$8=$AR169,"Bascule","Double run"),"ROKS"))))))</f>
        <v/>
      </c>
      <c r="W169" s="51" t="str">
        <f aca="false">IF(OR($A169="",W$8=""),"",IF($F169="Migré","ROKS",IF($F169="À décommissionner",IF(W$8&lt;$AS169,"IKS","Décom."),IF(OR($AQ169="",$AS169=""),"",IF(W$8&lt;$AQ169,"IKS",IF(W$8&lt;$AS169,IF(W$8=$AR169,"Bascule","Double run"),"ROKS"))))))</f>
        <v/>
      </c>
      <c r="X169" s="51" t="str">
        <f aca="false">IF(OR($A169="",X$8=""),"",IF($F169="Migré","ROKS",IF($F169="À décommissionner",IF(X$8&lt;$AS169,"IKS","Décom."),IF(OR($AQ169="",$AS169=""),"",IF(X$8&lt;$AQ169,"IKS",IF(X$8&lt;$AS169,IF(X$8=$AR169,"Bascule","Double run"),"ROKS"))))))</f>
        <v/>
      </c>
      <c r="Y169" s="51" t="str">
        <f aca="false">IF(OR($A169="",Y$8=""),"",IF($F169="Migré","ROKS",IF($F169="À décommissionner",IF(Y$8&lt;$AS169,"IKS","Décom."),IF(OR($AQ169="",$AS169=""),"",IF(Y$8&lt;$AQ169,"IKS",IF(Y$8&lt;$AS169,IF(Y$8=$AR169,"Bascule","Double run"),"ROKS"))))))</f>
        <v/>
      </c>
      <c r="Z169" s="51" t="str">
        <f aca="false">IF(OR($A169="",Z$8=""),"",IF($F169="Migré","ROKS",IF($F169="À décommissionner",IF(Z$8&lt;$AS169,"IKS","Décom."),IF(OR($AQ169="",$AS169=""),"",IF(Z$8&lt;$AQ169,"IKS",IF(Z$8&lt;$AS169,IF(Z$8=$AR169,"Bascule","Double run"),"ROKS"))))))</f>
        <v/>
      </c>
      <c r="AA169" s="51" t="str">
        <f aca="false">IF(OR($A169="",AA$8=""),"",IF($F169="Migré","ROKS",IF($F169="À décommissionner",IF(AA$8&lt;$AS169,"IKS","Décom."),IF(OR($AQ169="",$AS169=""),"",IF(AA$8&lt;$AQ169,"IKS",IF(AA$8&lt;$AS169,IF(AA$8=$AR169,"Bascule","Double run"),"ROKS"))))))</f>
        <v/>
      </c>
      <c r="AB169" s="51" t="str">
        <f aca="false">IF(OR($A169="",AB$8=""),"",IF($F169="Migré","ROKS",IF($F169="À décommissionner",IF(AB$8&lt;$AS169,"IKS","Décom."),IF(OR($AQ169="",$AS169=""),"",IF(AB$8&lt;$AQ169,"IKS",IF(AB$8&lt;$AS169,IF(AB$8=$AR169,"Bascule","Double run"),"ROKS"))))))</f>
        <v/>
      </c>
      <c r="AC169" s="51" t="str">
        <f aca="false">IF(OR($A169="",AC$8=""),"",IF($F169="Migré","ROKS",IF($F169="À décommissionner",IF(AC$8&lt;$AS169,"IKS","Décom."),IF(OR($AQ169="",$AS169=""),"",IF(AC$8&lt;$AQ169,"IKS",IF(AC$8&lt;$AS169,IF(AC$8=$AR169,"Bascule","Double run"),"ROKS"))))))</f>
        <v/>
      </c>
      <c r="AD169" s="51" t="str">
        <f aca="false">IF(OR($A169="",AD$8=""),"",IF($F169="Migré","ROKS",IF($F169="À décommissionner",IF(AD$8&lt;$AS169,"IKS","Décom."),IF(OR($AQ169="",$AS169=""),"",IF(AD$8&lt;$AQ169,"IKS",IF(AD$8&lt;$AS169,IF(AD$8=$AR169,"Bascule","Double run"),"ROKS"))))))</f>
        <v/>
      </c>
      <c r="AE169" s="51" t="str">
        <f aca="false">IF(OR($A169="",AE$8=""),"",IF($F169="Migré","ROKS",IF($F169="À décommissionner",IF(AE$8&lt;$AS169,"IKS","Décom."),IF(OR($AQ169="",$AS169=""),"",IF(AE$8&lt;$AQ169,"IKS",IF(AE$8&lt;$AS169,IF(AE$8=$AR169,"Bascule","Double run"),"ROKS"))))))</f>
        <v/>
      </c>
      <c r="AF169" s="51" t="str">
        <f aca="false">IF(OR($A169="",AF$8=""),"",IF($F169="Migré","ROKS",IF($F169="À décommissionner",IF(AF$8&lt;$AS169,"IKS","Décom."),IF(OR($AQ169="",$AS169=""),"",IF(AF$8&lt;$AQ169,"IKS",IF(AF$8&lt;$AS169,IF(AF$8=$AR169,"Bascule","Double run"),"ROKS"))))))</f>
        <v/>
      </c>
      <c r="AG169" s="51" t="str">
        <f aca="false">IF(OR($A169="",AG$8=""),"",IF($F169="Migré","ROKS",IF($F169="À décommissionner",IF(AG$8&lt;$AS169,"IKS","Décom."),IF(OR($AQ169="",$AS169=""),"",IF(AG$8&lt;$AQ169,"IKS",IF(AG$8&lt;$AS169,IF(AG$8=$AR169,"Bascule","Double run"),"ROKS"))))))</f>
        <v/>
      </c>
      <c r="AH169" s="51" t="str">
        <f aca="false">IF(OR($A169="",AH$8=""),"",IF($F169="Migré","ROKS",IF($F169="À décommissionner",IF(AH$8&lt;$AS169,"IKS","Décom."),IF(OR($AQ169="",$AS169=""),"",IF(AH$8&lt;$AQ169,"IKS",IF(AH$8&lt;$AS169,IF(AH$8=$AR169,"Bascule","Double run"),"ROKS"))))))</f>
        <v/>
      </c>
      <c r="AI169" s="51" t="str">
        <f aca="false">IF(OR($A169="",AI$8=""),"",IF($F169="Migré","ROKS",IF($F169="À décommissionner",IF(AI$8&lt;$AS169,"IKS","Décom."),IF(OR($AQ169="",$AS169=""),"",IF(AI$8&lt;$AQ169,"IKS",IF(AI$8&lt;$AS169,IF(AI$8=$AR169,"Bascule","Double run"),"ROKS"))))))</f>
        <v/>
      </c>
      <c r="AJ169" s="51" t="str">
        <f aca="false">IF(OR($A169="",AJ$8=""),"",IF($F169="Migré","ROKS",IF($F169="À décommissionner",IF(AJ$8&lt;$AS169,"IKS","Décom."),IF(OR($AQ169="",$AS169=""),"",IF(AJ$8&lt;$AQ169,"IKS",IF(AJ$8&lt;$AS169,IF(AJ$8=$AR169,"Bascule","Double run"),"ROKS"))))))</f>
        <v/>
      </c>
      <c r="AK169" s="51" t="str">
        <f aca="false">IF(OR($A169="",AK$8=""),"",IF($F169="Migré","ROKS",IF($F169="À décommissionner",IF(AK$8&lt;$AS169,"IKS","Décom."),IF(OR($AQ169="",$AS169=""),"",IF(AK$8&lt;$AQ169,"IKS",IF(AK$8&lt;$AS169,IF(AK$8=$AR169,"Bascule","Double run"),"ROKS"))))))</f>
        <v/>
      </c>
      <c r="AL169" s="51" t="str">
        <f aca="false">IF(OR($A169="",AL$8=""),"",IF($F169="Migré","ROKS",IF($F169="À décommissionner",IF(AL$8&lt;$AS169,"IKS","Décom."),IF(OR($AQ169="",$AS169=""),"",IF(AL$8&lt;$AQ169,"IKS",IF(AL$8&lt;$AS169,IF(AL$8=$AR169,"Bascule","Double run"),"ROKS"))))))</f>
        <v/>
      </c>
      <c r="AM169" s="51" t="str">
        <f aca="false">IF(OR($A169="",AM$8=""),"",IF($F169="Migré","ROKS",IF($F169="À décommissionner",IF(AM$8&lt;$AS169,"IKS","Décom."),IF(OR($AQ169="",$AS169=""),"",IF(AM$8&lt;$AQ169,"IKS",IF(AM$8&lt;$AS169,IF(AM$8=$AR169,"Bascule","Double run"),"ROKS"))))))</f>
        <v/>
      </c>
      <c r="AN169" s="51" t="str">
        <f aca="false">IF(OR($A169="",AN$8=""),"",IF($F169="Migré","ROKS",IF($F169="À décommissionner",IF(AN$8&lt;$AS169,"IKS","Décom."),IF(OR($AQ169="",$AS169=""),"",IF(AN$8&lt;$AQ169,"IKS",IF(AN$8&lt;$AS169,IF(AN$8=$AR169,"Bascule","Double run"),"ROKS"))))))</f>
        <v/>
      </c>
      <c r="AO169" s="51" t="str">
        <f aca="false">IF(OR($A169="",AO$8=""),"",IF($F169="Migré","ROKS",IF($F169="À décommissionner",IF(AO$8&lt;$AS169,"IKS","Décom."),IF(OR($AQ169="",$AS169=""),"",IF(AO$8&lt;$AQ169,"IKS",IF(AO$8&lt;$AS169,IF(AO$8=$AR169,"Bascule","Double run"),"ROKS"))))))</f>
        <v/>
      </c>
      <c r="AP169" s="51" t="str">
        <f aca="false">IF(OR($A169="",AP$8=""),"",IF($F169="Migré","ROKS",IF($F169="À décommissionner",IF(AP$8&lt;$AS169,"IKS","Décom."),IF(OR($AQ169="",$AS169=""),"",IF(AP$8&lt;$AQ169,"IKS",IF(AP$8&lt;$AS169,IF(AP$8=$AR169,"Bascule","Double run"),"ROKS"))))))</f>
        <v/>
      </c>
      <c r="AQ169" s="0" t="str">
        <f aca="false">IF($A169="","",INDEX(TblApplications[Mois prov (calc)],$A169))</f>
        <v/>
      </c>
      <c r="AR169" s="0" t="str">
        <f aca="false">IF($A169="","",IFERROR(DATE(YEAR(INDEX(TblApplications[Mois bascule],$A169)),MONTH(INDEX(TblApplications[Mois bascule],$A169)),1),""))</f>
        <v/>
      </c>
      <c r="AS169" s="0" t="str">
        <f aca="false">IF($A169="","",INDEX(TblApplications[Mois lib (calc)],$A169))</f>
        <v/>
      </c>
    </row>
    <row r="170" customFormat="false" ht="15" hidden="false" customHeight="false" outlineLevel="0" collapsed="false">
      <c r="A170" s="49" t="str">
        <f aca="false">IFERROR(MATCH(162,TblApplications[Rang frise],0),"")</f>
        <v/>
      </c>
      <c r="B170" s="50" t="str">
        <f aca="false">IF($A170="","",INDEX(TblApplications[ID],$A170))</f>
        <v/>
      </c>
      <c r="C170" s="50" t="str">
        <f aca="false">IF($A170="","",INDEX(TblApplications[Application],$A170))</f>
        <v/>
      </c>
      <c r="D170" s="50" t="str">
        <f aca="false">IF($A170="","",INDEX(TblApplications[Environnement],$A170))</f>
        <v/>
      </c>
      <c r="E170" s="50" t="str">
        <f aca="false">IF($A170="","",INDEX(TblApplications[Couloir],$A170))</f>
        <v/>
      </c>
      <c r="F170" s="50" t="str">
        <f aca="false">IF($A170="","",INDEX(TblApplications[Action],$A170))</f>
        <v/>
      </c>
      <c r="G170" s="51" t="str">
        <f aca="false">IF(OR($A170="",G$8=""),"",IF($F170="Migré","ROKS",IF($F170="À décommissionner",IF(G$8&lt;$AS170,"IKS","Décom."),IF(OR($AQ170="",$AS170=""),"",IF(G$8&lt;$AQ170,"IKS",IF(G$8&lt;$AS170,IF(G$8=$AR170,"Bascule","Double run"),"ROKS"))))))</f>
        <v/>
      </c>
      <c r="H170" s="51" t="str">
        <f aca="false">IF(OR($A170="",H$8=""),"",IF($F170="Migré","ROKS",IF($F170="À décommissionner",IF(H$8&lt;$AS170,"IKS","Décom."),IF(OR($AQ170="",$AS170=""),"",IF(H$8&lt;$AQ170,"IKS",IF(H$8&lt;$AS170,IF(H$8=$AR170,"Bascule","Double run"),"ROKS"))))))</f>
        <v/>
      </c>
      <c r="I170" s="51" t="str">
        <f aca="false">IF(OR($A170="",I$8=""),"",IF($F170="Migré","ROKS",IF($F170="À décommissionner",IF(I$8&lt;$AS170,"IKS","Décom."),IF(OR($AQ170="",$AS170=""),"",IF(I$8&lt;$AQ170,"IKS",IF(I$8&lt;$AS170,IF(I$8=$AR170,"Bascule","Double run"),"ROKS"))))))</f>
        <v/>
      </c>
      <c r="J170" s="51" t="str">
        <f aca="false">IF(OR($A170="",J$8=""),"",IF($F170="Migré","ROKS",IF($F170="À décommissionner",IF(J$8&lt;$AS170,"IKS","Décom."),IF(OR($AQ170="",$AS170=""),"",IF(J$8&lt;$AQ170,"IKS",IF(J$8&lt;$AS170,IF(J$8=$AR170,"Bascule","Double run"),"ROKS"))))))</f>
        <v/>
      </c>
      <c r="K170" s="51" t="str">
        <f aca="false">IF(OR($A170="",K$8=""),"",IF($F170="Migré","ROKS",IF($F170="À décommissionner",IF(K$8&lt;$AS170,"IKS","Décom."),IF(OR($AQ170="",$AS170=""),"",IF(K$8&lt;$AQ170,"IKS",IF(K$8&lt;$AS170,IF(K$8=$AR170,"Bascule","Double run"),"ROKS"))))))</f>
        <v/>
      </c>
      <c r="L170" s="51" t="str">
        <f aca="false">IF(OR($A170="",L$8=""),"",IF($F170="Migré","ROKS",IF($F170="À décommissionner",IF(L$8&lt;$AS170,"IKS","Décom."),IF(OR($AQ170="",$AS170=""),"",IF(L$8&lt;$AQ170,"IKS",IF(L$8&lt;$AS170,IF(L$8=$AR170,"Bascule","Double run"),"ROKS"))))))</f>
        <v/>
      </c>
      <c r="M170" s="51" t="str">
        <f aca="false">IF(OR($A170="",M$8=""),"",IF($F170="Migré","ROKS",IF($F170="À décommissionner",IF(M$8&lt;$AS170,"IKS","Décom."),IF(OR($AQ170="",$AS170=""),"",IF(M$8&lt;$AQ170,"IKS",IF(M$8&lt;$AS170,IF(M$8=$AR170,"Bascule","Double run"),"ROKS"))))))</f>
        <v/>
      </c>
      <c r="N170" s="51" t="str">
        <f aca="false">IF(OR($A170="",N$8=""),"",IF($F170="Migré","ROKS",IF($F170="À décommissionner",IF(N$8&lt;$AS170,"IKS","Décom."),IF(OR($AQ170="",$AS170=""),"",IF(N$8&lt;$AQ170,"IKS",IF(N$8&lt;$AS170,IF(N$8=$AR170,"Bascule","Double run"),"ROKS"))))))</f>
        <v/>
      </c>
      <c r="O170" s="51" t="str">
        <f aca="false">IF(OR($A170="",O$8=""),"",IF($F170="Migré","ROKS",IF($F170="À décommissionner",IF(O$8&lt;$AS170,"IKS","Décom."),IF(OR($AQ170="",$AS170=""),"",IF(O$8&lt;$AQ170,"IKS",IF(O$8&lt;$AS170,IF(O$8=$AR170,"Bascule","Double run"),"ROKS"))))))</f>
        <v/>
      </c>
      <c r="P170" s="51" t="str">
        <f aca="false">IF(OR($A170="",P$8=""),"",IF($F170="Migré","ROKS",IF($F170="À décommissionner",IF(P$8&lt;$AS170,"IKS","Décom."),IF(OR($AQ170="",$AS170=""),"",IF(P$8&lt;$AQ170,"IKS",IF(P$8&lt;$AS170,IF(P$8=$AR170,"Bascule","Double run"),"ROKS"))))))</f>
        <v/>
      </c>
      <c r="Q170" s="51" t="str">
        <f aca="false">IF(OR($A170="",Q$8=""),"",IF($F170="Migré","ROKS",IF($F170="À décommissionner",IF(Q$8&lt;$AS170,"IKS","Décom."),IF(OR($AQ170="",$AS170=""),"",IF(Q$8&lt;$AQ170,"IKS",IF(Q$8&lt;$AS170,IF(Q$8=$AR170,"Bascule","Double run"),"ROKS"))))))</f>
        <v/>
      </c>
      <c r="R170" s="51" t="str">
        <f aca="false">IF(OR($A170="",R$8=""),"",IF($F170="Migré","ROKS",IF($F170="À décommissionner",IF(R$8&lt;$AS170,"IKS","Décom."),IF(OR($AQ170="",$AS170=""),"",IF(R$8&lt;$AQ170,"IKS",IF(R$8&lt;$AS170,IF(R$8=$AR170,"Bascule","Double run"),"ROKS"))))))</f>
        <v/>
      </c>
      <c r="S170" s="51" t="str">
        <f aca="false">IF(OR($A170="",S$8=""),"",IF($F170="Migré","ROKS",IF($F170="À décommissionner",IF(S$8&lt;$AS170,"IKS","Décom."),IF(OR($AQ170="",$AS170=""),"",IF(S$8&lt;$AQ170,"IKS",IF(S$8&lt;$AS170,IF(S$8=$AR170,"Bascule","Double run"),"ROKS"))))))</f>
        <v/>
      </c>
      <c r="T170" s="51" t="str">
        <f aca="false">IF(OR($A170="",T$8=""),"",IF($F170="Migré","ROKS",IF($F170="À décommissionner",IF(T$8&lt;$AS170,"IKS","Décom."),IF(OR($AQ170="",$AS170=""),"",IF(T$8&lt;$AQ170,"IKS",IF(T$8&lt;$AS170,IF(T$8=$AR170,"Bascule","Double run"),"ROKS"))))))</f>
        <v/>
      </c>
      <c r="U170" s="51" t="str">
        <f aca="false">IF(OR($A170="",U$8=""),"",IF($F170="Migré","ROKS",IF($F170="À décommissionner",IF(U$8&lt;$AS170,"IKS","Décom."),IF(OR($AQ170="",$AS170=""),"",IF(U$8&lt;$AQ170,"IKS",IF(U$8&lt;$AS170,IF(U$8=$AR170,"Bascule","Double run"),"ROKS"))))))</f>
        <v/>
      </c>
      <c r="V170" s="51" t="str">
        <f aca="false">IF(OR($A170="",V$8=""),"",IF($F170="Migré","ROKS",IF($F170="À décommissionner",IF(V$8&lt;$AS170,"IKS","Décom."),IF(OR($AQ170="",$AS170=""),"",IF(V$8&lt;$AQ170,"IKS",IF(V$8&lt;$AS170,IF(V$8=$AR170,"Bascule","Double run"),"ROKS"))))))</f>
        <v/>
      </c>
      <c r="W170" s="51" t="str">
        <f aca="false">IF(OR($A170="",W$8=""),"",IF($F170="Migré","ROKS",IF($F170="À décommissionner",IF(W$8&lt;$AS170,"IKS","Décom."),IF(OR($AQ170="",$AS170=""),"",IF(W$8&lt;$AQ170,"IKS",IF(W$8&lt;$AS170,IF(W$8=$AR170,"Bascule","Double run"),"ROKS"))))))</f>
        <v/>
      </c>
      <c r="X170" s="51" t="str">
        <f aca="false">IF(OR($A170="",X$8=""),"",IF($F170="Migré","ROKS",IF($F170="À décommissionner",IF(X$8&lt;$AS170,"IKS","Décom."),IF(OR($AQ170="",$AS170=""),"",IF(X$8&lt;$AQ170,"IKS",IF(X$8&lt;$AS170,IF(X$8=$AR170,"Bascule","Double run"),"ROKS"))))))</f>
        <v/>
      </c>
      <c r="Y170" s="51" t="str">
        <f aca="false">IF(OR($A170="",Y$8=""),"",IF($F170="Migré","ROKS",IF($F170="À décommissionner",IF(Y$8&lt;$AS170,"IKS","Décom."),IF(OR($AQ170="",$AS170=""),"",IF(Y$8&lt;$AQ170,"IKS",IF(Y$8&lt;$AS170,IF(Y$8=$AR170,"Bascule","Double run"),"ROKS"))))))</f>
        <v/>
      </c>
      <c r="Z170" s="51" t="str">
        <f aca="false">IF(OR($A170="",Z$8=""),"",IF($F170="Migré","ROKS",IF($F170="À décommissionner",IF(Z$8&lt;$AS170,"IKS","Décom."),IF(OR($AQ170="",$AS170=""),"",IF(Z$8&lt;$AQ170,"IKS",IF(Z$8&lt;$AS170,IF(Z$8=$AR170,"Bascule","Double run"),"ROKS"))))))</f>
        <v/>
      </c>
      <c r="AA170" s="51" t="str">
        <f aca="false">IF(OR($A170="",AA$8=""),"",IF($F170="Migré","ROKS",IF($F170="À décommissionner",IF(AA$8&lt;$AS170,"IKS","Décom."),IF(OR($AQ170="",$AS170=""),"",IF(AA$8&lt;$AQ170,"IKS",IF(AA$8&lt;$AS170,IF(AA$8=$AR170,"Bascule","Double run"),"ROKS"))))))</f>
        <v/>
      </c>
      <c r="AB170" s="51" t="str">
        <f aca="false">IF(OR($A170="",AB$8=""),"",IF($F170="Migré","ROKS",IF($F170="À décommissionner",IF(AB$8&lt;$AS170,"IKS","Décom."),IF(OR($AQ170="",$AS170=""),"",IF(AB$8&lt;$AQ170,"IKS",IF(AB$8&lt;$AS170,IF(AB$8=$AR170,"Bascule","Double run"),"ROKS"))))))</f>
        <v/>
      </c>
      <c r="AC170" s="51" t="str">
        <f aca="false">IF(OR($A170="",AC$8=""),"",IF($F170="Migré","ROKS",IF($F170="À décommissionner",IF(AC$8&lt;$AS170,"IKS","Décom."),IF(OR($AQ170="",$AS170=""),"",IF(AC$8&lt;$AQ170,"IKS",IF(AC$8&lt;$AS170,IF(AC$8=$AR170,"Bascule","Double run"),"ROKS"))))))</f>
        <v/>
      </c>
      <c r="AD170" s="51" t="str">
        <f aca="false">IF(OR($A170="",AD$8=""),"",IF($F170="Migré","ROKS",IF($F170="À décommissionner",IF(AD$8&lt;$AS170,"IKS","Décom."),IF(OR($AQ170="",$AS170=""),"",IF(AD$8&lt;$AQ170,"IKS",IF(AD$8&lt;$AS170,IF(AD$8=$AR170,"Bascule","Double run"),"ROKS"))))))</f>
        <v/>
      </c>
      <c r="AE170" s="51" t="str">
        <f aca="false">IF(OR($A170="",AE$8=""),"",IF($F170="Migré","ROKS",IF($F170="À décommissionner",IF(AE$8&lt;$AS170,"IKS","Décom."),IF(OR($AQ170="",$AS170=""),"",IF(AE$8&lt;$AQ170,"IKS",IF(AE$8&lt;$AS170,IF(AE$8=$AR170,"Bascule","Double run"),"ROKS"))))))</f>
        <v/>
      </c>
      <c r="AF170" s="51" t="str">
        <f aca="false">IF(OR($A170="",AF$8=""),"",IF($F170="Migré","ROKS",IF($F170="À décommissionner",IF(AF$8&lt;$AS170,"IKS","Décom."),IF(OR($AQ170="",$AS170=""),"",IF(AF$8&lt;$AQ170,"IKS",IF(AF$8&lt;$AS170,IF(AF$8=$AR170,"Bascule","Double run"),"ROKS"))))))</f>
        <v/>
      </c>
      <c r="AG170" s="51" t="str">
        <f aca="false">IF(OR($A170="",AG$8=""),"",IF($F170="Migré","ROKS",IF($F170="À décommissionner",IF(AG$8&lt;$AS170,"IKS","Décom."),IF(OR($AQ170="",$AS170=""),"",IF(AG$8&lt;$AQ170,"IKS",IF(AG$8&lt;$AS170,IF(AG$8=$AR170,"Bascule","Double run"),"ROKS"))))))</f>
        <v/>
      </c>
      <c r="AH170" s="51" t="str">
        <f aca="false">IF(OR($A170="",AH$8=""),"",IF($F170="Migré","ROKS",IF($F170="À décommissionner",IF(AH$8&lt;$AS170,"IKS","Décom."),IF(OR($AQ170="",$AS170=""),"",IF(AH$8&lt;$AQ170,"IKS",IF(AH$8&lt;$AS170,IF(AH$8=$AR170,"Bascule","Double run"),"ROKS"))))))</f>
        <v/>
      </c>
      <c r="AI170" s="51" t="str">
        <f aca="false">IF(OR($A170="",AI$8=""),"",IF($F170="Migré","ROKS",IF($F170="À décommissionner",IF(AI$8&lt;$AS170,"IKS","Décom."),IF(OR($AQ170="",$AS170=""),"",IF(AI$8&lt;$AQ170,"IKS",IF(AI$8&lt;$AS170,IF(AI$8=$AR170,"Bascule","Double run"),"ROKS"))))))</f>
        <v/>
      </c>
      <c r="AJ170" s="51" t="str">
        <f aca="false">IF(OR($A170="",AJ$8=""),"",IF($F170="Migré","ROKS",IF($F170="À décommissionner",IF(AJ$8&lt;$AS170,"IKS","Décom."),IF(OR($AQ170="",$AS170=""),"",IF(AJ$8&lt;$AQ170,"IKS",IF(AJ$8&lt;$AS170,IF(AJ$8=$AR170,"Bascule","Double run"),"ROKS"))))))</f>
        <v/>
      </c>
      <c r="AK170" s="51" t="str">
        <f aca="false">IF(OR($A170="",AK$8=""),"",IF($F170="Migré","ROKS",IF($F170="À décommissionner",IF(AK$8&lt;$AS170,"IKS","Décom."),IF(OR($AQ170="",$AS170=""),"",IF(AK$8&lt;$AQ170,"IKS",IF(AK$8&lt;$AS170,IF(AK$8=$AR170,"Bascule","Double run"),"ROKS"))))))</f>
        <v/>
      </c>
      <c r="AL170" s="51" t="str">
        <f aca="false">IF(OR($A170="",AL$8=""),"",IF($F170="Migré","ROKS",IF($F170="À décommissionner",IF(AL$8&lt;$AS170,"IKS","Décom."),IF(OR($AQ170="",$AS170=""),"",IF(AL$8&lt;$AQ170,"IKS",IF(AL$8&lt;$AS170,IF(AL$8=$AR170,"Bascule","Double run"),"ROKS"))))))</f>
        <v/>
      </c>
      <c r="AM170" s="51" t="str">
        <f aca="false">IF(OR($A170="",AM$8=""),"",IF($F170="Migré","ROKS",IF($F170="À décommissionner",IF(AM$8&lt;$AS170,"IKS","Décom."),IF(OR($AQ170="",$AS170=""),"",IF(AM$8&lt;$AQ170,"IKS",IF(AM$8&lt;$AS170,IF(AM$8=$AR170,"Bascule","Double run"),"ROKS"))))))</f>
        <v/>
      </c>
      <c r="AN170" s="51" t="str">
        <f aca="false">IF(OR($A170="",AN$8=""),"",IF($F170="Migré","ROKS",IF($F170="À décommissionner",IF(AN$8&lt;$AS170,"IKS","Décom."),IF(OR($AQ170="",$AS170=""),"",IF(AN$8&lt;$AQ170,"IKS",IF(AN$8&lt;$AS170,IF(AN$8=$AR170,"Bascule","Double run"),"ROKS"))))))</f>
        <v/>
      </c>
      <c r="AO170" s="51" t="str">
        <f aca="false">IF(OR($A170="",AO$8=""),"",IF($F170="Migré","ROKS",IF($F170="À décommissionner",IF(AO$8&lt;$AS170,"IKS","Décom."),IF(OR($AQ170="",$AS170=""),"",IF(AO$8&lt;$AQ170,"IKS",IF(AO$8&lt;$AS170,IF(AO$8=$AR170,"Bascule","Double run"),"ROKS"))))))</f>
        <v/>
      </c>
      <c r="AP170" s="51" t="str">
        <f aca="false">IF(OR($A170="",AP$8=""),"",IF($F170="Migré","ROKS",IF($F170="À décommissionner",IF(AP$8&lt;$AS170,"IKS","Décom."),IF(OR($AQ170="",$AS170=""),"",IF(AP$8&lt;$AQ170,"IKS",IF(AP$8&lt;$AS170,IF(AP$8=$AR170,"Bascule","Double run"),"ROKS"))))))</f>
        <v/>
      </c>
      <c r="AQ170" s="0" t="str">
        <f aca="false">IF($A170="","",INDEX(TblApplications[Mois prov (calc)],$A170))</f>
        <v/>
      </c>
      <c r="AR170" s="0" t="str">
        <f aca="false">IF($A170="","",IFERROR(DATE(YEAR(INDEX(TblApplications[Mois bascule],$A170)),MONTH(INDEX(TblApplications[Mois bascule],$A170)),1),""))</f>
        <v/>
      </c>
      <c r="AS170" s="0" t="str">
        <f aca="false">IF($A170="","",INDEX(TblApplications[Mois lib (calc)],$A170))</f>
        <v/>
      </c>
    </row>
    <row r="171" customFormat="false" ht="15" hidden="false" customHeight="false" outlineLevel="0" collapsed="false">
      <c r="A171" s="49" t="str">
        <f aca="false">IFERROR(MATCH(163,TblApplications[Rang frise],0),"")</f>
        <v/>
      </c>
      <c r="B171" s="50" t="str">
        <f aca="false">IF($A171="","",INDEX(TblApplications[ID],$A171))</f>
        <v/>
      </c>
      <c r="C171" s="50" t="str">
        <f aca="false">IF($A171="","",INDEX(TblApplications[Application],$A171))</f>
        <v/>
      </c>
      <c r="D171" s="50" t="str">
        <f aca="false">IF($A171="","",INDEX(TblApplications[Environnement],$A171))</f>
        <v/>
      </c>
      <c r="E171" s="50" t="str">
        <f aca="false">IF($A171="","",INDEX(TblApplications[Couloir],$A171))</f>
        <v/>
      </c>
      <c r="F171" s="50" t="str">
        <f aca="false">IF($A171="","",INDEX(TblApplications[Action],$A171))</f>
        <v/>
      </c>
      <c r="G171" s="51" t="str">
        <f aca="false">IF(OR($A171="",G$8=""),"",IF($F171="Migré","ROKS",IF($F171="À décommissionner",IF(G$8&lt;$AS171,"IKS","Décom."),IF(OR($AQ171="",$AS171=""),"",IF(G$8&lt;$AQ171,"IKS",IF(G$8&lt;$AS171,IF(G$8=$AR171,"Bascule","Double run"),"ROKS"))))))</f>
        <v/>
      </c>
      <c r="H171" s="51" t="str">
        <f aca="false">IF(OR($A171="",H$8=""),"",IF($F171="Migré","ROKS",IF($F171="À décommissionner",IF(H$8&lt;$AS171,"IKS","Décom."),IF(OR($AQ171="",$AS171=""),"",IF(H$8&lt;$AQ171,"IKS",IF(H$8&lt;$AS171,IF(H$8=$AR171,"Bascule","Double run"),"ROKS"))))))</f>
        <v/>
      </c>
      <c r="I171" s="51" t="str">
        <f aca="false">IF(OR($A171="",I$8=""),"",IF($F171="Migré","ROKS",IF($F171="À décommissionner",IF(I$8&lt;$AS171,"IKS","Décom."),IF(OR($AQ171="",$AS171=""),"",IF(I$8&lt;$AQ171,"IKS",IF(I$8&lt;$AS171,IF(I$8=$AR171,"Bascule","Double run"),"ROKS"))))))</f>
        <v/>
      </c>
      <c r="J171" s="51" t="str">
        <f aca="false">IF(OR($A171="",J$8=""),"",IF($F171="Migré","ROKS",IF($F171="À décommissionner",IF(J$8&lt;$AS171,"IKS","Décom."),IF(OR($AQ171="",$AS171=""),"",IF(J$8&lt;$AQ171,"IKS",IF(J$8&lt;$AS171,IF(J$8=$AR171,"Bascule","Double run"),"ROKS"))))))</f>
        <v/>
      </c>
      <c r="K171" s="51" t="str">
        <f aca="false">IF(OR($A171="",K$8=""),"",IF($F171="Migré","ROKS",IF($F171="À décommissionner",IF(K$8&lt;$AS171,"IKS","Décom."),IF(OR($AQ171="",$AS171=""),"",IF(K$8&lt;$AQ171,"IKS",IF(K$8&lt;$AS171,IF(K$8=$AR171,"Bascule","Double run"),"ROKS"))))))</f>
        <v/>
      </c>
      <c r="L171" s="51" t="str">
        <f aca="false">IF(OR($A171="",L$8=""),"",IF($F171="Migré","ROKS",IF($F171="À décommissionner",IF(L$8&lt;$AS171,"IKS","Décom."),IF(OR($AQ171="",$AS171=""),"",IF(L$8&lt;$AQ171,"IKS",IF(L$8&lt;$AS171,IF(L$8=$AR171,"Bascule","Double run"),"ROKS"))))))</f>
        <v/>
      </c>
      <c r="M171" s="51" t="str">
        <f aca="false">IF(OR($A171="",M$8=""),"",IF($F171="Migré","ROKS",IF($F171="À décommissionner",IF(M$8&lt;$AS171,"IKS","Décom."),IF(OR($AQ171="",$AS171=""),"",IF(M$8&lt;$AQ171,"IKS",IF(M$8&lt;$AS171,IF(M$8=$AR171,"Bascule","Double run"),"ROKS"))))))</f>
        <v/>
      </c>
      <c r="N171" s="51" t="str">
        <f aca="false">IF(OR($A171="",N$8=""),"",IF($F171="Migré","ROKS",IF($F171="À décommissionner",IF(N$8&lt;$AS171,"IKS","Décom."),IF(OR($AQ171="",$AS171=""),"",IF(N$8&lt;$AQ171,"IKS",IF(N$8&lt;$AS171,IF(N$8=$AR171,"Bascule","Double run"),"ROKS"))))))</f>
        <v/>
      </c>
      <c r="O171" s="51" t="str">
        <f aca="false">IF(OR($A171="",O$8=""),"",IF($F171="Migré","ROKS",IF($F171="À décommissionner",IF(O$8&lt;$AS171,"IKS","Décom."),IF(OR($AQ171="",$AS171=""),"",IF(O$8&lt;$AQ171,"IKS",IF(O$8&lt;$AS171,IF(O$8=$AR171,"Bascule","Double run"),"ROKS"))))))</f>
        <v/>
      </c>
      <c r="P171" s="51" t="str">
        <f aca="false">IF(OR($A171="",P$8=""),"",IF($F171="Migré","ROKS",IF($F171="À décommissionner",IF(P$8&lt;$AS171,"IKS","Décom."),IF(OR($AQ171="",$AS171=""),"",IF(P$8&lt;$AQ171,"IKS",IF(P$8&lt;$AS171,IF(P$8=$AR171,"Bascule","Double run"),"ROKS"))))))</f>
        <v/>
      </c>
      <c r="Q171" s="51" t="str">
        <f aca="false">IF(OR($A171="",Q$8=""),"",IF($F171="Migré","ROKS",IF($F171="À décommissionner",IF(Q$8&lt;$AS171,"IKS","Décom."),IF(OR($AQ171="",$AS171=""),"",IF(Q$8&lt;$AQ171,"IKS",IF(Q$8&lt;$AS171,IF(Q$8=$AR171,"Bascule","Double run"),"ROKS"))))))</f>
        <v/>
      </c>
      <c r="R171" s="51" t="str">
        <f aca="false">IF(OR($A171="",R$8=""),"",IF($F171="Migré","ROKS",IF($F171="À décommissionner",IF(R$8&lt;$AS171,"IKS","Décom."),IF(OR($AQ171="",$AS171=""),"",IF(R$8&lt;$AQ171,"IKS",IF(R$8&lt;$AS171,IF(R$8=$AR171,"Bascule","Double run"),"ROKS"))))))</f>
        <v/>
      </c>
      <c r="S171" s="51" t="str">
        <f aca="false">IF(OR($A171="",S$8=""),"",IF($F171="Migré","ROKS",IF($F171="À décommissionner",IF(S$8&lt;$AS171,"IKS","Décom."),IF(OR($AQ171="",$AS171=""),"",IF(S$8&lt;$AQ171,"IKS",IF(S$8&lt;$AS171,IF(S$8=$AR171,"Bascule","Double run"),"ROKS"))))))</f>
        <v/>
      </c>
      <c r="T171" s="51" t="str">
        <f aca="false">IF(OR($A171="",T$8=""),"",IF($F171="Migré","ROKS",IF($F171="À décommissionner",IF(T$8&lt;$AS171,"IKS","Décom."),IF(OR($AQ171="",$AS171=""),"",IF(T$8&lt;$AQ171,"IKS",IF(T$8&lt;$AS171,IF(T$8=$AR171,"Bascule","Double run"),"ROKS"))))))</f>
        <v/>
      </c>
      <c r="U171" s="51" t="str">
        <f aca="false">IF(OR($A171="",U$8=""),"",IF($F171="Migré","ROKS",IF($F171="À décommissionner",IF(U$8&lt;$AS171,"IKS","Décom."),IF(OR($AQ171="",$AS171=""),"",IF(U$8&lt;$AQ171,"IKS",IF(U$8&lt;$AS171,IF(U$8=$AR171,"Bascule","Double run"),"ROKS"))))))</f>
        <v/>
      </c>
      <c r="V171" s="51" t="str">
        <f aca="false">IF(OR($A171="",V$8=""),"",IF($F171="Migré","ROKS",IF($F171="À décommissionner",IF(V$8&lt;$AS171,"IKS","Décom."),IF(OR($AQ171="",$AS171=""),"",IF(V$8&lt;$AQ171,"IKS",IF(V$8&lt;$AS171,IF(V$8=$AR171,"Bascule","Double run"),"ROKS"))))))</f>
        <v/>
      </c>
      <c r="W171" s="51" t="str">
        <f aca="false">IF(OR($A171="",W$8=""),"",IF($F171="Migré","ROKS",IF($F171="À décommissionner",IF(W$8&lt;$AS171,"IKS","Décom."),IF(OR($AQ171="",$AS171=""),"",IF(W$8&lt;$AQ171,"IKS",IF(W$8&lt;$AS171,IF(W$8=$AR171,"Bascule","Double run"),"ROKS"))))))</f>
        <v/>
      </c>
      <c r="X171" s="51" t="str">
        <f aca="false">IF(OR($A171="",X$8=""),"",IF($F171="Migré","ROKS",IF($F171="À décommissionner",IF(X$8&lt;$AS171,"IKS","Décom."),IF(OR($AQ171="",$AS171=""),"",IF(X$8&lt;$AQ171,"IKS",IF(X$8&lt;$AS171,IF(X$8=$AR171,"Bascule","Double run"),"ROKS"))))))</f>
        <v/>
      </c>
      <c r="Y171" s="51" t="str">
        <f aca="false">IF(OR($A171="",Y$8=""),"",IF($F171="Migré","ROKS",IF($F171="À décommissionner",IF(Y$8&lt;$AS171,"IKS","Décom."),IF(OR($AQ171="",$AS171=""),"",IF(Y$8&lt;$AQ171,"IKS",IF(Y$8&lt;$AS171,IF(Y$8=$AR171,"Bascule","Double run"),"ROKS"))))))</f>
        <v/>
      </c>
      <c r="Z171" s="51" t="str">
        <f aca="false">IF(OR($A171="",Z$8=""),"",IF($F171="Migré","ROKS",IF($F171="À décommissionner",IF(Z$8&lt;$AS171,"IKS","Décom."),IF(OR($AQ171="",$AS171=""),"",IF(Z$8&lt;$AQ171,"IKS",IF(Z$8&lt;$AS171,IF(Z$8=$AR171,"Bascule","Double run"),"ROKS"))))))</f>
        <v/>
      </c>
      <c r="AA171" s="51" t="str">
        <f aca="false">IF(OR($A171="",AA$8=""),"",IF($F171="Migré","ROKS",IF($F171="À décommissionner",IF(AA$8&lt;$AS171,"IKS","Décom."),IF(OR($AQ171="",$AS171=""),"",IF(AA$8&lt;$AQ171,"IKS",IF(AA$8&lt;$AS171,IF(AA$8=$AR171,"Bascule","Double run"),"ROKS"))))))</f>
        <v/>
      </c>
      <c r="AB171" s="51" t="str">
        <f aca="false">IF(OR($A171="",AB$8=""),"",IF($F171="Migré","ROKS",IF($F171="À décommissionner",IF(AB$8&lt;$AS171,"IKS","Décom."),IF(OR($AQ171="",$AS171=""),"",IF(AB$8&lt;$AQ171,"IKS",IF(AB$8&lt;$AS171,IF(AB$8=$AR171,"Bascule","Double run"),"ROKS"))))))</f>
        <v/>
      </c>
      <c r="AC171" s="51" t="str">
        <f aca="false">IF(OR($A171="",AC$8=""),"",IF($F171="Migré","ROKS",IF($F171="À décommissionner",IF(AC$8&lt;$AS171,"IKS","Décom."),IF(OR($AQ171="",$AS171=""),"",IF(AC$8&lt;$AQ171,"IKS",IF(AC$8&lt;$AS171,IF(AC$8=$AR171,"Bascule","Double run"),"ROKS"))))))</f>
        <v/>
      </c>
      <c r="AD171" s="51" t="str">
        <f aca="false">IF(OR($A171="",AD$8=""),"",IF($F171="Migré","ROKS",IF($F171="À décommissionner",IF(AD$8&lt;$AS171,"IKS","Décom."),IF(OR($AQ171="",$AS171=""),"",IF(AD$8&lt;$AQ171,"IKS",IF(AD$8&lt;$AS171,IF(AD$8=$AR171,"Bascule","Double run"),"ROKS"))))))</f>
        <v/>
      </c>
      <c r="AE171" s="51" t="str">
        <f aca="false">IF(OR($A171="",AE$8=""),"",IF($F171="Migré","ROKS",IF($F171="À décommissionner",IF(AE$8&lt;$AS171,"IKS","Décom."),IF(OR($AQ171="",$AS171=""),"",IF(AE$8&lt;$AQ171,"IKS",IF(AE$8&lt;$AS171,IF(AE$8=$AR171,"Bascule","Double run"),"ROKS"))))))</f>
        <v/>
      </c>
      <c r="AF171" s="51" t="str">
        <f aca="false">IF(OR($A171="",AF$8=""),"",IF($F171="Migré","ROKS",IF($F171="À décommissionner",IF(AF$8&lt;$AS171,"IKS","Décom."),IF(OR($AQ171="",$AS171=""),"",IF(AF$8&lt;$AQ171,"IKS",IF(AF$8&lt;$AS171,IF(AF$8=$AR171,"Bascule","Double run"),"ROKS"))))))</f>
        <v/>
      </c>
      <c r="AG171" s="51" t="str">
        <f aca="false">IF(OR($A171="",AG$8=""),"",IF($F171="Migré","ROKS",IF($F171="À décommissionner",IF(AG$8&lt;$AS171,"IKS","Décom."),IF(OR($AQ171="",$AS171=""),"",IF(AG$8&lt;$AQ171,"IKS",IF(AG$8&lt;$AS171,IF(AG$8=$AR171,"Bascule","Double run"),"ROKS"))))))</f>
        <v/>
      </c>
      <c r="AH171" s="51" t="str">
        <f aca="false">IF(OR($A171="",AH$8=""),"",IF($F171="Migré","ROKS",IF($F171="À décommissionner",IF(AH$8&lt;$AS171,"IKS","Décom."),IF(OR($AQ171="",$AS171=""),"",IF(AH$8&lt;$AQ171,"IKS",IF(AH$8&lt;$AS171,IF(AH$8=$AR171,"Bascule","Double run"),"ROKS"))))))</f>
        <v/>
      </c>
      <c r="AI171" s="51" t="str">
        <f aca="false">IF(OR($A171="",AI$8=""),"",IF($F171="Migré","ROKS",IF($F171="À décommissionner",IF(AI$8&lt;$AS171,"IKS","Décom."),IF(OR($AQ171="",$AS171=""),"",IF(AI$8&lt;$AQ171,"IKS",IF(AI$8&lt;$AS171,IF(AI$8=$AR171,"Bascule","Double run"),"ROKS"))))))</f>
        <v/>
      </c>
      <c r="AJ171" s="51" t="str">
        <f aca="false">IF(OR($A171="",AJ$8=""),"",IF($F171="Migré","ROKS",IF($F171="À décommissionner",IF(AJ$8&lt;$AS171,"IKS","Décom."),IF(OR($AQ171="",$AS171=""),"",IF(AJ$8&lt;$AQ171,"IKS",IF(AJ$8&lt;$AS171,IF(AJ$8=$AR171,"Bascule","Double run"),"ROKS"))))))</f>
        <v/>
      </c>
      <c r="AK171" s="51" t="str">
        <f aca="false">IF(OR($A171="",AK$8=""),"",IF($F171="Migré","ROKS",IF($F171="À décommissionner",IF(AK$8&lt;$AS171,"IKS","Décom."),IF(OR($AQ171="",$AS171=""),"",IF(AK$8&lt;$AQ171,"IKS",IF(AK$8&lt;$AS171,IF(AK$8=$AR171,"Bascule","Double run"),"ROKS"))))))</f>
        <v/>
      </c>
      <c r="AL171" s="51" t="str">
        <f aca="false">IF(OR($A171="",AL$8=""),"",IF($F171="Migré","ROKS",IF($F171="À décommissionner",IF(AL$8&lt;$AS171,"IKS","Décom."),IF(OR($AQ171="",$AS171=""),"",IF(AL$8&lt;$AQ171,"IKS",IF(AL$8&lt;$AS171,IF(AL$8=$AR171,"Bascule","Double run"),"ROKS"))))))</f>
        <v/>
      </c>
      <c r="AM171" s="51" t="str">
        <f aca="false">IF(OR($A171="",AM$8=""),"",IF($F171="Migré","ROKS",IF($F171="À décommissionner",IF(AM$8&lt;$AS171,"IKS","Décom."),IF(OR($AQ171="",$AS171=""),"",IF(AM$8&lt;$AQ171,"IKS",IF(AM$8&lt;$AS171,IF(AM$8=$AR171,"Bascule","Double run"),"ROKS"))))))</f>
        <v/>
      </c>
      <c r="AN171" s="51" t="str">
        <f aca="false">IF(OR($A171="",AN$8=""),"",IF($F171="Migré","ROKS",IF($F171="À décommissionner",IF(AN$8&lt;$AS171,"IKS","Décom."),IF(OR($AQ171="",$AS171=""),"",IF(AN$8&lt;$AQ171,"IKS",IF(AN$8&lt;$AS171,IF(AN$8=$AR171,"Bascule","Double run"),"ROKS"))))))</f>
        <v/>
      </c>
      <c r="AO171" s="51" t="str">
        <f aca="false">IF(OR($A171="",AO$8=""),"",IF($F171="Migré","ROKS",IF($F171="À décommissionner",IF(AO$8&lt;$AS171,"IKS","Décom."),IF(OR($AQ171="",$AS171=""),"",IF(AO$8&lt;$AQ171,"IKS",IF(AO$8&lt;$AS171,IF(AO$8=$AR171,"Bascule","Double run"),"ROKS"))))))</f>
        <v/>
      </c>
      <c r="AP171" s="51" t="str">
        <f aca="false">IF(OR($A171="",AP$8=""),"",IF($F171="Migré","ROKS",IF($F171="À décommissionner",IF(AP$8&lt;$AS171,"IKS","Décom."),IF(OR($AQ171="",$AS171=""),"",IF(AP$8&lt;$AQ171,"IKS",IF(AP$8&lt;$AS171,IF(AP$8=$AR171,"Bascule","Double run"),"ROKS"))))))</f>
        <v/>
      </c>
      <c r="AQ171" s="0" t="str">
        <f aca="false">IF($A171="","",INDEX(TblApplications[Mois prov (calc)],$A171))</f>
        <v/>
      </c>
      <c r="AR171" s="0" t="str">
        <f aca="false">IF($A171="","",IFERROR(DATE(YEAR(INDEX(TblApplications[Mois bascule],$A171)),MONTH(INDEX(TblApplications[Mois bascule],$A171)),1),""))</f>
        <v/>
      </c>
      <c r="AS171" s="0" t="str">
        <f aca="false">IF($A171="","",INDEX(TblApplications[Mois lib (calc)],$A171))</f>
        <v/>
      </c>
    </row>
    <row r="172" customFormat="false" ht="15" hidden="false" customHeight="false" outlineLevel="0" collapsed="false">
      <c r="A172" s="49" t="str">
        <f aca="false">IFERROR(MATCH(164,TblApplications[Rang frise],0),"")</f>
        <v/>
      </c>
      <c r="B172" s="50" t="str">
        <f aca="false">IF($A172="","",INDEX(TblApplications[ID],$A172))</f>
        <v/>
      </c>
      <c r="C172" s="50" t="str">
        <f aca="false">IF($A172="","",INDEX(TblApplications[Application],$A172))</f>
        <v/>
      </c>
      <c r="D172" s="50" t="str">
        <f aca="false">IF($A172="","",INDEX(TblApplications[Environnement],$A172))</f>
        <v/>
      </c>
      <c r="E172" s="50" t="str">
        <f aca="false">IF($A172="","",INDEX(TblApplications[Couloir],$A172))</f>
        <v/>
      </c>
      <c r="F172" s="50" t="str">
        <f aca="false">IF($A172="","",INDEX(TblApplications[Action],$A172))</f>
        <v/>
      </c>
      <c r="G172" s="51" t="str">
        <f aca="false">IF(OR($A172="",G$8=""),"",IF($F172="Migré","ROKS",IF($F172="À décommissionner",IF(G$8&lt;$AS172,"IKS","Décom."),IF(OR($AQ172="",$AS172=""),"",IF(G$8&lt;$AQ172,"IKS",IF(G$8&lt;$AS172,IF(G$8=$AR172,"Bascule","Double run"),"ROKS"))))))</f>
        <v/>
      </c>
      <c r="H172" s="51" t="str">
        <f aca="false">IF(OR($A172="",H$8=""),"",IF($F172="Migré","ROKS",IF($F172="À décommissionner",IF(H$8&lt;$AS172,"IKS","Décom."),IF(OR($AQ172="",$AS172=""),"",IF(H$8&lt;$AQ172,"IKS",IF(H$8&lt;$AS172,IF(H$8=$AR172,"Bascule","Double run"),"ROKS"))))))</f>
        <v/>
      </c>
      <c r="I172" s="51" t="str">
        <f aca="false">IF(OR($A172="",I$8=""),"",IF($F172="Migré","ROKS",IF($F172="À décommissionner",IF(I$8&lt;$AS172,"IKS","Décom."),IF(OR($AQ172="",$AS172=""),"",IF(I$8&lt;$AQ172,"IKS",IF(I$8&lt;$AS172,IF(I$8=$AR172,"Bascule","Double run"),"ROKS"))))))</f>
        <v/>
      </c>
      <c r="J172" s="51" t="str">
        <f aca="false">IF(OR($A172="",J$8=""),"",IF($F172="Migré","ROKS",IF($F172="À décommissionner",IF(J$8&lt;$AS172,"IKS","Décom."),IF(OR($AQ172="",$AS172=""),"",IF(J$8&lt;$AQ172,"IKS",IF(J$8&lt;$AS172,IF(J$8=$AR172,"Bascule","Double run"),"ROKS"))))))</f>
        <v/>
      </c>
      <c r="K172" s="51" t="str">
        <f aca="false">IF(OR($A172="",K$8=""),"",IF($F172="Migré","ROKS",IF($F172="À décommissionner",IF(K$8&lt;$AS172,"IKS","Décom."),IF(OR($AQ172="",$AS172=""),"",IF(K$8&lt;$AQ172,"IKS",IF(K$8&lt;$AS172,IF(K$8=$AR172,"Bascule","Double run"),"ROKS"))))))</f>
        <v/>
      </c>
      <c r="L172" s="51" t="str">
        <f aca="false">IF(OR($A172="",L$8=""),"",IF($F172="Migré","ROKS",IF($F172="À décommissionner",IF(L$8&lt;$AS172,"IKS","Décom."),IF(OR($AQ172="",$AS172=""),"",IF(L$8&lt;$AQ172,"IKS",IF(L$8&lt;$AS172,IF(L$8=$AR172,"Bascule","Double run"),"ROKS"))))))</f>
        <v/>
      </c>
      <c r="M172" s="51" t="str">
        <f aca="false">IF(OR($A172="",M$8=""),"",IF($F172="Migré","ROKS",IF($F172="À décommissionner",IF(M$8&lt;$AS172,"IKS","Décom."),IF(OR($AQ172="",$AS172=""),"",IF(M$8&lt;$AQ172,"IKS",IF(M$8&lt;$AS172,IF(M$8=$AR172,"Bascule","Double run"),"ROKS"))))))</f>
        <v/>
      </c>
      <c r="N172" s="51" t="str">
        <f aca="false">IF(OR($A172="",N$8=""),"",IF($F172="Migré","ROKS",IF($F172="À décommissionner",IF(N$8&lt;$AS172,"IKS","Décom."),IF(OR($AQ172="",$AS172=""),"",IF(N$8&lt;$AQ172,"IKS",IF(N$8&lt;$AS172,IF(N$8=$AR172,"Bascule","Double run"),"ROKS"))))))</f>
        <v/>
      </c>
      <c r="O172" s="51" t="str">
        <f aca="false">IF(OR($A172="",O$8=""),"",IF($F172="Migré","ROKS",IF($F172="À décommissionner",IF(O$8&lt;$AS172,"IKS","Décom."),IF(OR($AQ172="",$AS172=""),"",IF(O$8&lt;$AQ172,"IKS",IF(O$8&lt;$AS172,IF(O$8=$AR172,"Bascule","Double run"),"ROKS"))))))</f>
        <v/>
      </c>
      <c r="P172" s="51" t="str">
        <f aca="false">IF(OR($A172="",P$8=""),"",IF($F172="Migré","ROKS",IF($F172="À décommissionner",IF(P$8&lt;$AS172,"IKS","Décom."),IF(OR($AQ172="",$AS172=""),"",IF(P$8&lt;$AQ172,"IKS",IF(P$8&lt;$AS172,IF(P$8=$AR172,"Bascule","Double run"),"ROKS"))))))</f>
        <v/>
      </c>
      <c r="Q172" s="51" t="str">
        <f aca="false">IF(OR($A172="",Q$8=""),"",IF($F172="Migré","ROKS",IF($F172="À décommissionner",IF(Q$8&lt;$AS172,"IKS","Décom."),IF(OR($AQ172="",$AS172=""),"",IF(Q$8&lt;$AQ172,"IKS",IF(Q$8&lt;$AS172,IF(Q$8=$AR172,"Bascule","Double run"),"ROKS"))))))</f>
        <v/>
      </c>
      <c r="R172" s="51" t="str">
        <f aca="false">IF(OR($A172="",R$8=""),"",IF($F172="Migré","ROKS",IF($F172="À décommissionner",IF(R$8&lt;$AS172,"IKS","Décom."),IF(OR($AQ172="",$AS172=""),"",IF(R$8&lt;$AQ172,"IKS",IF(R$8&lt;$AS172,IF(R$8=$AR172,"Bascule","Double run"),"ROKS"))))))</f>
        <v/>
      </c>
      <c r="S172" s="51" t="str">
        <f aca="false">IF(OR($A172="",S$8=""),"",IF($F172="Migré","ROKS",IF($F172="À décommissionner",IF(S$8&lt;$AS172,"IKS","Décom."),IF(OR($AQ172="",$AS172=""),"",IF(S$8&lt;$AQ172,"IKS",IF(S$8&lt;$AS172,IF(S$8=$AR172,"Bascule","Double run"),"ROKS"))))))</f>
        <v/>
      </c>
      <c r="T172" s="51" t="str">
        <f aca="false">IF(OR($A172="",T$8=""),"",IF($F172="Migré","ROKS",IF($F172="À décommissionner",IF(T$8&lt;$AS172,"IKS","Décom."),IF(OR($AQ172="",$AS172=""),"",IF(T$8&lt;$AQ172,"IKS",IF(T$8&lt;$AS172,IF(T$8=$AR172,"Bascule","Double run"),"ROKS"))))))</f>
        <v/>
      </c>
      <c r="U172" s="51" t="str">
        <f aca="false">IF(OR($A172="",U$8=""),"",IF($F172="Migré","ROKS",IF($F172="À décommissionner",IF(U$8&lt;$AS172,"IKS","Décom."),IF(OR($AQ172="",$AS172=""),"",IF(U$8&lt;$AQ172,"IKS",IF(U$8&lt;$AS172,IF(U$8=$AR172,"Bascule","Double run"),"ROKS"))))))</f>
        <v/>
      </c>
      <c r="V172" s="51" t="str">
        <f aca="false">IF(OR($A172="",V$8=""),"",IF($F172="Migré","ROKS",IF($F172="À décommissionner",IF(V$8&lt;$AS172,"IKS","Décom."),IF(OR($AQ172="",$AS172=""),"",IF(V$8&lt;$AQ172,"IKS",IF(V$8&lt;$AS172,IF(V$8=$AR172,"Bascule","Double run"),"ROKS"))))))</f>
        <v/>
      </c>
      <c r="W172" s="51" t="str">
        <f aca="false">IF(OR($A172="",W$8=""),"",IF($F172="Migré","ROKS",IF($F172="À décommissionner",IF(W$8&lt;$AS172,"IKS","Décom."),IF(OR($AQ172="",$AS172=""),"",IF(W$8&lt;$AQ172,"IKS",IF(W$8&lt;$AS172,IF(W$8=$AR172,"Bascule","Double run"),"ROKS"))))))</f>
        <v/>
      </c>
      <c r="X172" s="51" t="str">
        <f aca="false">IF(OR($A172="",X$8=""),"",IF($F172="Migré","ROKS",IF($F172="À décommissionner",IF(X$8&lt;$AS172,"IKS","Décom."),IF(OR($AQ172="",$AS172=""),"",IF(X$8&lt;$AQ172,"IKS",IF(X$8&lt;$AS172,IF(X$8=$AR172,"Bascule","Double run"),"ROKS"))))))</f>
        <v/>
      </c>
      <c r="Y172" s="51" t="str">
        <f aca="false">IF(OR($A172="",Y$8=""),"",IF($F172="Migré","ROKS",IF($F172="À décommissionner",IF(Y$8&lt;$AS172,"IKS","Décom."),IF(OR($AQ172="",$AS172=""),"",IF(Y$8&lt;$AQ172,"IKS",IF(Y$8&lt;$AS172,IF(Y$8=$AR172,"Bascule","Double run"),"ROKS"))))))</f>
        <v/>
      </c>
      <c r="Z172" s="51" t="str">
        <f aca="false">IF(OR($A172="",Z$8=""),"",IF($F172="Migré","ROKS",IF($F172="À décommissionner",IF(Z$8&lt;$AS172,"IKS","Décom."),IF(OR($AQ172="",$AS172=""),"",IF(Z$8&lt;$AQ172,"IKS",IF(Z$8&lt;$AS172,IF(Z$8=$AR172,"Bascule","Double run"),"ROKS"))))))</f>
        <v/>
      </c>
      <c r="AA172" s="51" t="str">
        <f aca="false">IF(OR($A172="",AA$8=""),"",IF($F172="Migré","ROKS",IF($F172="À décommissionner",IF(AA$8&lt;$AS172,"IKS","Décom."),IF(OR($AQ172="",$AS172=""),"",IF(AA$8&lt;$AQ172,"IKS",IF(AA$8&lt;$AS172,IF(AA$8=$AR172,"Bascule","Double run"),"ROKS"))))))</f>
        <v/>
      </c>
      <c r="AB172" s="51" t="str">
        <f aca="false">IF(OR($A172="",AB$8=""),"",IF($F172="Migré","ROKS",IF($F172="À décommissionner",IF(AB$8&lt;$AS172,"IKS","Décom."),IF(OR($AQ172="",$AS172=""),"",IF(AB$8&lt;$AQ172,"IKS",IF(AB$8&lt;$AS172,IF(AB$8=$AR172,"Bascule","Double run"),"ROKS"))))))</f>
        <v/>
      </c>
      <c r="AC172" s="51" t="str">
        <f aca="false">IF(OR($A172="",AC$8=""),"",IF($F172="Migré","ROKS",IF($F172="À décommissionner",IF(AC$8&lt;$AS172,"IKS","Décom."),IF(OR($AQ172="",$AS172=""),"",IF(AC$8&lt;$AQ172,"IKS",IF(AC$8&lt;$AS172,IF(AC$8=$AR172,"Bascule","Double run"),"ROKS"))))))</f>
        <v/>
      </c>
      <c r="AD172" s="51" t="str">
        <f aca="false">IF(OR($A172="",AD$8=""),"",IF($F172="Migré","ROKS",IF($F172="À décommissionner",IF(AD$8&lt;$AS172,"IKS","Décom."),IF(OR($AQ172="",$AS172=""),"",IF(AD$8&lt;$AQ172,"IKS",IF(AD$8&lt;$AS172,IF(AD$8=$AR172,"Bascule","Double run"),"ROKS"))))))</f>
        <v/>
      </c>
      <c r="AE172" s="51" t="str">
        <f aca="false">IF(OR($A172="",AE$8=""),"",IF($F172="Migré","ROKS",IF($F172="À décommissionner",IF(AE$8&lt;$AS172,"IKS","Décom."),IF(OR($AQ172="",$AS172=""),"",IF(AE$8&lt;$AQ172,"IKS",IF(AE$8&lt;$AS172,IF(AE$8=$AR172,"Bascule","Double run"),"ROKS"))))))</f>
        <v/>
      </c>
      <c r="AF172" s="51" t="str">
        <f aca="false">IF(OR($A172="",AF$8=""),"",IF($F172="Migré","ROKS",IF($F172="À décommissionner",IF(AF$8&lt;$AS172,"IKS","Décom."),IF(OR($AQ172="",$AS172=""),"",IF(AF$8&lt;$AQ172,"IKS",IF(AF$8&lt;$AS172,IF(AF$8=$AR172,"Bascule","Double run"),"ROKS"))))))</f>
        <v/>
      </c>
      <c r="AG172" s="51" t="str">
        <f aca="false">IF(OR($A172="",AG$8=""),"",IF($F172="Migré","ROKS",IF($F172="À décommissionner",IF(AG$8&lt;$AS172,"IKS","Décom."),IF(OR($AQ172="",$AS172=""),"",IF(AG$8&lt;$AQ172,"IKS",IF(AG$8&lt;$AS172,IF(AG$8=$AR172,"Bascule","Double run"),"ROKS"))))))</f>
        <v/>
      </c>
      <c r="AH172" s="51" t="str">
        <f aca="false">IF(OR($A172="",AH$8=""),"",IF($F172="Migré","ROKS",IF($F172="À décommissionner",IF(AH$8&lt;$AS172,"IKS","Décom."),IF(OR($AQ172="",$AS172=""),"",IF(AH$8&lt;$AQ172,"IKS",IF(AH$8&lt;$AS172,IF(AH$8=$AR172,"Bascule","Double run"),"ROKS"))))))</f>
        <v/>
      </c>
      <c r="AI172" s="51" t="str">
        <f aca="false">IF(OR($A172="",AI$8=""),"",IF($F172="Migré","ROKS",IF($F172="À décommissionner",IF(AI$8&lt;$AS172,"IKS","Décom."),IF(OR($AQ172="",$AS172=""),"",IF(AI$8&lt;$AQ172,"IKS",IF(AI$8&lt;$AS172,IF(AI$8=$AR172,"Bascule","Double run"),"ROKS"))))))</f>
        <v/>
      </c>
      <c r="AJ172" s="51" t="str">
        <f aca="false">IF(OR($A172="",AJ$8=""),"",IF($F172="Migré","ROKS",IF($F172="À décommissionner",IF(AJ$8&lt;$AS172,"IKS","Décom."),IF(OR($AQ172="",$AS172=""),"",IF(AJ$8&lt;$AQ172,"IKS",IF(AJ$8&lt;$AS172,IF(AJ$8=$AR172,"Bascule","Double run"),"ROKS"))))))</f>
        <v/>
      </c>
      <c r="AK172" s="51" t="str">
        <f aca="false">IF(OR($A172="",AK$8=""),"",IF($F172="Migré","ROKS",IF($F172="À décommissionner",IF(AK$8&lt;$AS172,"IKS","Décom."),IF(OR($AQ172="",$AS172=""),"",IF(AK$8&lt;$AQ172,"IKS",IF(AK$8&lt;$AS172,IF(AK$8=$AR172,"Bascule","Double run"),"ROKS"))))))</f>
        <v/>
      </c>
      <c r="AL172" s="51" t="str">
        <f aca="false">IF(OR($A172="",AL$8=""),"",IF($F172="Migré","ROKS",IF($F172="À décommissionner",IF(AL$8&lt;$AS172,"IKS","Décom."),IF(OR($AQ172="",$AS172=""),"",IF(AL$8&lt;$AQ172,"IKS",IF(AL$8&lt;$AS172,IF(AL$8=$AR172,"Bascule","Double run"),"ROKS"))))))</f>
        <v/>
      </c>
      <c r="AM172" s="51" t="str">
        <f aca="false">IF(OR($A172="",AM$8=""),"",IF($F172="Migré","ROKS",IF($F172="À décommissionner",IF(AM$8&lt;$AS172,"IKS","Décom."),IF(OR($AQ172="",$AS172=""),"",IF(AM$8&lt;$AQ172,"IKS",IF(AM$8&lt;$AS172,IF(AM$8=$AR172,"Bascule","Double run"),"ROKS"))))))</f>
        <v/>
      </c>
      <c r="AN172" s="51" t="str">
        <f aca="false">IF(OR($A172="",AN$8=""),"",IF($F172="Migré","ROKS",IF($F172="À décommissionner",IF(AN$8&lt;$AS172,"IKS","Décom."),IF(OR($AQ172="",$AS172=""),"",IF(AN$8&lt;$AQ172,"IKS",IF(AN$8&lt;$AS172,IF(AN$8=$AR172,"Bascule","Double run"),"ROKS"))))))</f>
        <v/>
      </c>
      <c r="AO172" s="51" t="str">
        <f aca="false">IF(OR($A172="",AO$8=""),"",IF($F172="Migré","ROKS",IF($F172="À décommissionner",IF(AO$8&lt;$AS172,"IKS","Décom."),IF(OR($AQ172="",$AS172=""),"",IF(AO$8&lt;$AQ172,"IKS",IF(AO$8&lt;$AS172,IF(AO$8=$AR172,"Bascule","Double run"),"ROKS"))))))</f>
        <v/>
      </c>
      <c r="AP172" s="51" t="str">
        <f aca="false">IF(OR($A172="",AP$8=""),"",IF($F172="Migré","ROKS",IF($F172="À décommissionner",IF(AP$8&lt;$AS172,"IKS","Décom."),IF(OR($AQ172="",$AS172=""),"",IF(AP$8&lt;$AQ172,"IKS",IF(AP$8&lt;$AS172,IF(AP$8=$AR172,"Bascule","Double run"),"ROKS"))))))</f>
        <v/>
      </c>
      <c r="AQ172" s="0" t="str">
        <f aca="false">IF($A172="","",INDEX(TblApplications[Mois prov (calc)],$A172))</f>
        <v/>
      </c>
      <c r="AR172" s="0" t="str">
        <f aca="false">IF($A172="","",IFERROR(DATE(YEAR(INDEX(TblApplications[Mois bascule],$A172)),MONTH(INDEX(TblApplications[Mois bascule],$A172)),1),""))</f>
        <v/>
      </c>
      <c r="AS172" s="0" t="str">
        <f aca="false">IF($A172="","",INDEX(TblApplications[Mois lib (calc)],$A172))</f>
        <v/>
      </c>
    </row>
    <row r="173" customFormat="false" ht="15" hidden="false" customHeight="false" outlineLevel="0" collapsed="false">
      <c r="A173" s="49" t="str">
        <f aca="false">IFERROR(MATCH(165,TblApplications[Rang frise],0),"")</f>
        <v/>
      </c>
      <c r="B173" s="50" t="str">
        <f aca="false">IF($A173="","",INDEX(TblApplications[ID],$A173))</f>
        <v/>
      </c>
      <c r="C173" s="50" t="str">
        <f aca="false">IF($A173="","",INDEX(TblApplications[Application],$A173))</f>
        <v/>
      </c>
      <c r="D173" s="50" t="str">
        <f aca="false">IF($A173="","",INDEX(TblApplications[Environnement],$A173))</f>
        <v/>
      </c>
      <c r="E173" s="50" t="str">
        <f aca="false">IF($A173="","",INDEX(TblApplications[Couloir],$A173))</f>
        <v/>
      </c>
      <c r="F173" s="50" t="str">
        <f aca="false">IF($A173="","",INDEX(TblApplications[Action],$A173))</f>
        <v/>
      </c>
      <c r="G173" s="51" t="str">
        <f aca="false">IF(OR($A173="",G$8=""),"",IF($F173="Migré","ROKS",IF($F173="À décommissionner",IF(G$8&lt;$AS173,"IKS","Décom."),IF(OR($AQ173="",$AS173=""),"",IF(G$8&lt;$AQ173,"IKS",IF(G$8&lt;$AS173,IF(G$8=$AR173,"Bascule","Double run"),"ROKS"))))))</f>
        <v/>
      </c>
      <c r="H173" s="51" t="str">
        <f aca="false">IF(OR($A173="",H$8=""),"",IF($F173="Migré","ROKS",IF($F173="À décommissionner",IF(H$8&lt;$AS173,"IKS","Décom."),IF(OR($AQ173="",$AS173=""),"",IF(H$8&lt;$AQ173,"IKS",IF(H$8&lt;$AS173,IF(H$8=$AR173,"Bascule","Double run"),"ROKS"))))))</f>
        <v/>
      </c>
      <c r="I173" s="51" t="str">
        <f aca="false">IF(OR($A173="",I$8=""),"",IF($F173="Migré","ROKS",IF($F173="À décommissionner",IF(I$8&lt;$AS173,"IKS","Décom."),IF(OR($AQ173="",$AS173=""),"",IF(I$8&lt;$AQ173,"IKS",IF(I$8&lt;$AS173,IF(I$8=$AR173,"Bascule","Double run"),"ROKS"))))))</f>
        <v/>
      </c>
      <c r="J173" s="51" t="str">
        <f aca="false">IF(OR($A173="",J$8=""),"",IF($F173="Migré","ROKS",IF($F173="À décommissionner",IF(J$8&lt;$AS173,"IKS","Décom."),IF(OR($AQ173="",$AS173=""),"",IF(J$8&lt;$AQ173,"IKS",IF(J$8&lt;$AS173,IF(J$8=$AR173,"Bascule","Double run"),"ROKS"))))))</f>
        <v/>
      </c>
      <c r="K173" s="51" t="str">
        <f aca="false">IF(OR($A173="",K$8=""),"",IF($F173="Migré","ROKS",IF($F173="À décommissionner",IF(K$8&lt;$AS173,"IKS","Décom."),IF(OR($AQ173="",$AS173=""),"",IF(K$8&lt;$AQ173,"IKS",IF(K$8&lt;$AS173,IF(K$8=$AR173,"Bascule","Double run"),"ROKS"))))))</f>
        <v/>
      </c>
      <c r="L173" s="51" t="str">
        <f aca="false">IF(OR($A173="",L$8=""),"",IF($F173="Migré","ROKS",IF($F173="À décommissionner",IF(L$8&lt;$AS173,"IKS","Décom."),IF(OR($AQ173="",$AS173=""),"",IF(L$8&lt;$AQ173,"IKS",IF(L$8&lt;$AS173,IF(L$8=$AR173,"Bascule","Double run"),"ROKS"))))))</f>
        <v/>
      </c>
      <c r="M173" s="51" t="str">
        <f aca="false">IF(OR($A173="",M$8=""),"",IF($F173="Migré","ROKS",IF($F173="À décommissionner",IF(M$8&lt;$AS173,"IKS","Décom."),IF(OR($AQ173="",$AS173=""),"",IF(M$8&lt;$AQ173,"IKS",IF(M$8&lt;$AS173,IF(M$8=$AR173,"Bascule","Double run"),"ROKS"))))))</f>
        <v/>
      </c>
      <c r="N173" s="51" t="str">
        <f aca="false">IF(OR($A173="",N$8=""),"",IF($F173="Migré","ROKS",IF($F173="À décommissionner",IF(N$8&lt;$AS173,"IKS","Décom."),IF(OR($AQ173="",$AS173=""),"",IF(N$8&lt;$AQ173,"IKS",IF(N$8&lt;$AS173,IF(N$8=$AR173,"Bascule","Double run"),"ROKS"))))))</f>
        <v/>
      </c>
      <c r="O173" s="51" t="str">
        <f aca="false">IF(OR($A173="",O$8=""),"",IF($F173="Migré","ROKS",IF($F173="À décommissionner",IF(O$8&lt;$AS173,"IKS","Décom."),IF(OR($AQ173="",$AS173=""),"",IF(O$8&lt;$AQ173,"IKS",IF(O$8&lt;$AS173,IF(O$8=$AR173,"Bascule","Double run"),"ROKS"))))))</f>
        <v/>
      </c>
      <c r="P173" s="51" t="str">
        <f aca="false">IF(OR($A173="",P$8=""),"",IF($F173="Migré","ROKS",IF($F173="À décommissionner",IF(P$8&lt;$AS173,"IKS","Décom."),IF(OR($AQ173="",$AS173=""),"",IF(P$8&lt;$AQ173,"IKS",IF(P$8&lt;$AS173,IF(P$8=$AR173,"Bascule","Double run"),"ROKS"))))))</f>
        <v/>
      </c>
      <c r="Q173" s="51" t="str">
        <f aca="false">IF(OR($A173="",Q$8=""),"",IF($F173="Migré","ROKS",IF($F173="À décommissionner",IF(Q$8&lt;$AS173,"IKS","Décom."),IF(OR($AQ173="",$AS173=""),"",IF(Q$8&lt;$AQ173,"IKS",IF(Q$8&lt;$AS173,IF(Q$8=$AR173,"Bascule","Double run"),"ROKS"))))))</f>
        <v/>
      </c>
      <c r="R173" s="51" t="str">
        <f aca="false">IF(OR($A173="",R$8=""),"",IF($F173="Migré","ROKS",IF($F173="À décommissionner",IF(R$8&lt;$AS173,"IKS","Décom."),IF(OR($AQ173="",$AS173=""),"",IF(R$8&lt;$AQ173,"IKS",IF(R$8&lt;$AS173,IF(R$8=$AR173,"Bascule","Double run"),"ROKS"))))))</f>
        <v/>
      </c>
      <c r="S173" s="51" t="str">
        <f aca="false">IF(OR($A173="",S$8=""),"",IF($F173="Migré","ROKS",IF($F173="À décommissionner",IF(S$8&lt;$AS173,"IKS","Décom."),IF(OR($AQ173="",$AS173=""),"",IF(S$8&lt;$AQ173,"IKS",IF(S$8&lt;$AS173,IF(S$8=$AR173,"Bascule","Double run"),"ROKS"))))))</f>
        <v/>
      </c>
      <c r="T173" s="51" t="str">
        <f aca="false">IF(OR($A173="",T$8=""),"",IF($F173="Migré","ROKS",IF($F173="À décommissionner",IF(T$8&lt;$AS173,"IKS","Décom."),IF(OR($AQ173="",$AS173=""),"",IF(T$8&lt;$AQ173,"IKS",IF(T$8&lt;$AS173,IF(T$8=$AR173,"Bascule","Double run"),"ROKS"))))))</f>
        <v/>
      </c>
      <c r="U173" s="51" t="str">
        <f aca="false">IF(OR($A173="",U$8=""),"",IF($F173="Migré","ROKS",IF($F173="À décommissionner",IF(U$8&lt;$AS173,"IKS","Décom."),IF(OR($AQ173="",$AS173=""),"",IF(U$8&lt;$AQ173,"IKS",IF(U$8&lt;$AS173,IF(U$8=$AR173,"Bascule","Double run"),"ROKS"))))))</f>
        <v/>
      </c>
      <c r="V173" s="51" t="str">
        <f aca="false">IF(OR($A173="",V$8=""),"",IF($F173="Migré","ROKS",IF($F173="À décommissionner",IF(V$8&lt;$AS173,"IKS","Décom."),IF(OR($AQ173="",$AS173=""),"",IF(V$8&lt;$AQ173,"IKS",IF(V$8&lt;$AS173,IF(V$8=$AR173,"Bascule","Double run"),"ROKS"))))))</f>
        <v/>
      </c>
      <c r="W173" s="51" t="str">
        <f aca="false">IF(OR($A173="",W$8=""),"",IF($F173="Migré","ROKS",IF($F173="À décommissionner",IF(W$8&lt;$AS173,"IKS","Décom."),IF(OR($AQ173="",$AS173=""),"",IF(W$8&lt;$AQ173,"IKS",IF(W$8&lt;$AS173,IF(W$8=$AR173,"Bascule","Double run"),"ROKS"))))))</f>
        <v/>
      </c>
      <c r="X173" s="51" t="str">
        <f aca="false">IF(OR($A173="",X$8=""),"",IF($F173="Migré","ROKS",IF($F173="À décommissionner",IF(X$8&lt;$AS173,"IKS","Décom."),IF(OR($AQ173="",$AS173=""),"",IF(X$8&lt;$AQ173,"IKS",IF(X$8&lt;$AS173,IF(X$8=$AR173,"Bascule","Double run"),"ROKS"))))))</f>
        <v/>
      </c>
      <c r="Y173" s="51" t="str">
        <f aca="false">IF(OR($A173="",Y$8=""),"",IF($F173="Migré","ROKS",IF($F173="À décommissionner",IF(Y$8&lt;$AS173,"IKS","Décom."),IF(OR($AQ173="",$AS173=""),"",IF(Y$8&lt;$AQ173,"IKS",IF(Y$8&lt;$AS173,IF(Y$8=$AR173,"Bascule","Double run"),"ROKS"))))))</f>
        <v/>
      </c>
      <c r="Z173" s="51" t="str">
        <f aca="false">IF(OR($A173="",Z$8=""),"",IF($F173="Migré","ROKS",IF($F173="À décommissionner",IF(Z$8&lt;$AS173,"IKS","Décom."),IF(OR($AQ173="",$AS173=""),"",IF(Z$8&lt;$AQ173,"IKS",IF(Z$8&lt;$AS173,IF(Z$8=$AR173,"Bascule","Double run"),"ROKS"))))))</f>
        <v/>
      </c>
      <c r="AA173" s="51" t="str">
        <f aca="false">IF(OR($A173="",AA$8=""),"",IF($F173="Migré","ROKS",IF($F173="À décommissionner",IF(AA$8&lt;$AS173,"IKS","Décom."),IF(OR($AQ173="",$AS173=""),"",IF(AA$8&lt;$AQ173,"IKS",IF(AA$8&lt;$AS173,IF(AA$8=$AR173,"Bascule","Double run"),"ROKS"))))))</f>
        <v/>
      </c>
      <c r="AB173" s="51" t="str">
        <f aca="false">IF(OR($A173="",AB$8=""),"",IF($F173="Migré","ROKS",IF($F173="À décommissionner",IF(AB$8&lt;$AS173,"IKS","Décom."),IF(OR($AQ173="",$AS173=""),"",IF(AB$8&lt;$AQ173,"IKS",IF(AB$8&lt;$AS173,IF(AB$8=$AR173,"Bascule","Double run"),"ROKS"))))))</f>
        <v/>
      </c>
      <c r="AC173" s="51" t="str">
        <f aca="false">IF(OR($A173="",AC$8=""),"",IF($F173="Migré","ROKS",IF($F173="À décommissionner",IF(AC$8&lt;$AS173,"IKS","Décom."),IF(OR($AQ173="",$AS173=""),"",IF(AC$8&lt;$AQ173,"IKS",IF(AC$8&lt;$AS173,IF(AC$8=$AR173,"Bascule","Double run"),"ROKS"))))))</f>
        <v/>
      </c>
      <c r="AD173" s="51" t="str">
        <f aca="false">IF(OR($A173="",AD$8=""),"",IF($F173="Migré","ROKS",IF($F173="À décommissionner",IF(AD$8&lt;$AS173,"IKS","Décom."),IF(OR($AQ173="",$AS173=""),"",IF(AD$8&lt;$AQ173,"IKS",IF(AD$8&lt;$AS173,IF(AD$8=$AR173,"Bascule","Double run"),"ROKS"))))))</f>
        <v/>
      </c>
      <c r="AE173" s="51" t="str">
        <f aca="false">IF(OR($A173="",AE$8=""),"",IF($F173="Migré","ROKS",IF($F173="À décommissionner",IF(AE$8&lt;$AS173,"IKS","Décom."),IF(OR($AQ173="",$AS173=""),"",IF(AE$8&lt;$AQ173,"IKS",IF(AE$8&lt;$AS173,IF(AE$8=$AR173,"Bascule","Double run"),"ROKS"))))))</f>
        <v/>
      </c>
      <c r="AF173" s="51" t="str">
        <f aca="false">IF(OR($A173="",AF$8=""),"",IF($F173="Migré","ROKS",IF($F173="À décommissionner",IF(AF$8&lt;$AS173,"IKS","Décom."),IF(OR($AQ173="",$AS173=""),"",IF(AF$8&lt;$AQ173,"IKS",IF(AF$8&lt;$AS173,IF(AF$8=$AR173,"Bascule","Double run"),"ROKS"))))))</f>
        <v/>
      </c>
      <c r="AG173" s="51" t="str">
        <f aca="false">IF(OR($A173="",AG$8=""),"",IF($F173="Migré","ROKS",IF($F173="À décommissionner",IF(AG$8&lt;$AS173,"IKS","Décom."),IF(OR($AQ173="",$AS173=""),"",IF(AG$8&lt;$AQ173,"IKS",IF(AG$8&lt;$AS173,IF(AG$8=$AR173,"Bascule","Double run"),"ROKS"))))))</f>
        <v/>
      </c>
      <c r="AH173" s="51" t="str">
        <f aca="false">IF(OR($A173="",AH$8=""),"",IF($F173="Migré","ROKS",IF($F173="À décommissionner",IF(AH$8&lt;$AS173,"IKS","Décom."),IF(OR($AQ173="",$AS173=""),"",IF(AH$8&lt;$AQ173,"IKS",IF(AH$8&lt;$AS173,IF(AH$8=$AR173,"Bascule","Double run"),"ROKS"))))))</f>
        <v/>
      </c>
      <c r="AI173" s="51" t="str">
        <f aca="false">IF(OR($A173="",AI$8=""),"",IF($F173="Migré","ROKS",IF($F173="À décommissionner",IF(AI$8&lt;$AS173,"IKS","Décom."),IF(OR($AQ173="",$AS173=""),"",IF(AI$8&lt;$AQ173,"IKS",IF(AI$8&lt;$AS173,IF(AI$8=$AR173,"Bascule","Double run"),"ROKS"))))))</f>
        <v/>
      </c>
      <c r="AJ173" s="51" t="str">
        <f aca="false">IF(OR($A173="",AJ$8=""),"",IF($F173="Migré","ROKS",IF($F173="À décommissionner",IF(AJ$8&lt;$AS173,"IKS","Décom."),IF(OR($AQ173="",$AS173=""),"",IF(AJ$8&lt;$AQ173,"IKS",IF(AJ$8&lt;$AS173,IF(AJ$8=$AR173,"Bascule","Double run"),"ROKS"))))))</f>
        <v/>
      </c>
      <c r="AK173" s="51" t="str">
        <f aca="false">IF(OR($A173="",AK$8=""),"",IF($F173="Migré","ROKS",IF($F173="À décommissionner",IF(AK$8&lt;$AS173,"IKS","Décom."),IF(OR($AQ173="",$AS173=""),"",IF(AK$8&lt;$AQ173,"IKS",IF(AK$8&lt;$AS173,IF(AK$8=$AR173,"Bascule","Double run"),"ROKS"))))))</f>
        <v/>
      </c>
      <c r="AL173" s="51" t="str">
        <f aca="false">IF(OR($A173="",AL$8=""),"",IF($F173="Migré","ROKS",IF($F173="À décommissionner",IF(AL$8&lt;$AS173,"IKS","Décom."),IF(OR($AQ173="",$AS173=""),"",IF(AL$8&lt;$AQ173,"IKS",IF(AL$8&lt;$AS173,IF(AL$8=$AR173,"Bascule","Double run"),"ROKS"))))))</f>
        <v/>
      </c>
      <c r="AM173" s="51" t="str">
        <f aca="false">IF(OR($A173="",AM$8=""),"",IF($F173="Migré","ROKS",IF($F173="À décommissionner",IF(AM$8&lt;$AS173,"IKS","Décom."),IF(OR($AQ173="",$AS173=""),"",IF(AM$8&lt;$AQ173,"IKS",IF(AM$8&lt;$AS173,IF(AM$8=$AR173,"Bascule","Double run"),"ROKS"))))))</f>
        <v/>
      </c>
      <c r="AN173" s="51" t="str">
        <f aca="false">IF(OR($A173="",AN$8=""),"",IF($F173="Migré","ROKS",IF($F173="À décommissionner",IF(AN$8&lt;$AS173,"IKS","Décom."),IF(OR($AQ173="",$AS173=""),"",IF(AN$8&lt;$AQ173,"IKS",IF(AN$8&lt;$AS173,IF(AN$8=$AR173,"Bascule","Double run"),"ROKS"))))))</f>
        <v/>
      </c>
      <c r="AO173" s="51" t="str">
        <f aca="false">IF(OR($A173="",AO$8=""),"",IF($F173="Migré","ROKS",IF($F173="À décommissionner",IF(AO$8&lt;$AS173,"IKS","Décom."),IF(OR($AQ173="",$AS173=""),"",IF(AO$8&lt;$AQ173,"IKS",IF(AO$8&lt;$AS173,IF(AO$8=$AR173,"Bascule","Double run"),"ROKS"))))))</f>
        <v/>
      </c>
      <c r="AP173" s="51" t="str">
        <f aca="false">IF(OR($A173="",AP$8=""),"",IF($F173="Migré","ROKS",IF($F173="À décommissionner",IF(AP$8&lt;$AS173,"IKS","Décom."),IF(OR($AQ173="",$AS173=""),"",IF(AP$8&lt;$AQ173,"IKS",IF(AP$8&lt;$AS173,IF(AP$8=$AR173,"Bascule","Double run"),"ROKS"))))))</f>
        <v/>
      </c>
      <c r="AQ173" s="0" t="str">
        <f aca="false">IF($A173="","",INDEX(TblApplications[Mois prov (calc)],$A173))</f>
        <v/>
      </c>
      <c r="AR173" s="0" t="str">
        <f aca="false">IF($A173="","",IFERROR(DATE(YEAR(INDEX(TblApplications[Mois bascule],$A173)),MONTH(INDEX(TblApplications[Mois bascule],$A173)),1),""))</f>
        <v/>
      </c>
      <c r="AS173" s="0" t="str">
        <f aca="false">IF($A173="","",INDEX(TblApplications[Mois lib (calc)],$A173))</f>
        <v/>
      </c>
    </row>
    <row r="174" customFormat="false" ht="15" hidden="false" customHeight="false" outlineLevel="0" collapsed="false">
      <c r="A174" s="49" t="str">
        <f aca="false">IFERROR(MATCH(166,TblApplications[Rang frise],0),"")</f>
        <v/>
      </c>
      <c r="B174" s="50" t="str">
        <f aca="false">IF($A174="","",INDEX(TblApplications[ID],$A174))</f>
        <v/>
      </c>
      <c r="C174" s="50" t="str">
        <f aca="false">IF($A174="","",INDEX(TblApplications[Application],$A174))</f>
        <v/>
      </c>
      <c r="D174" s="50" t="str">
        <f aca="false">IF($A174="","",INDEX(TblApplications[Environnement],$A174))</f>
        <v/>
      </c>
      <c r="E174" s="50" t="str">
        <f aca="false">IF($A174="","",INDEX(TblApplications[Couloir],$A174))</f>
        <v/>
      </c>
      <c r="F174" s="50" t="str">
        <f aca="false">IF($A174="","",INDEX(TblApplications[Action],$A174))</f>
        <v/>
      </c>
      <c r="G174" s="51" t="str">
        <f aca="false">IF(OR($A174="",G$8=""),"",IF($F174="Migré","ROKS",IF($F174="À décommissionner",IF(G$8&lt;$AS174,"IKS","Décom."),IF(OR($AQ174="",$AS174=""),"",IF(G$8&lt;$AQ174,"IKS",IF(G$8&lt;$AS174,IF(G$8=$AR174,"Bascule","Double run"),"ROKS"))))))</f>
        <v/>
      </c>
      <c r="H174" s="51" t="str">
        <f aca="false">IF(OR($A174="",H$8=""),"",IF($F174="Migré","ROKS",IF($F174="À décommissionner",IF(H$8&lt;$AS174,"IKS","Décom."),IF(OR($AQ174="",$AS174=""),"",IF(H$8&lt;$AQ174,"IKS",IF(H$8&lt;$AS174,IF(H$8=$AR174,"Bascule","Double run"),"ROKS"))))))</f>
        <v/>
      </c>
      <c r="I174" s="51" t="str">
        <f aca="false">IF(OR($A174="",I$8=""),"",IF($F174="Migré","ROKS",IF($F174="À décommissionner",IF(I$8&lt;$AS174,"IKS","Décom."),IF(OR($AQ174="",$AS174=""),"",IF(I$8&lt;$AQ174,"IKS",IF(I$8&lt;$AS174,IF(I$8=$AR174,"Bascule","Double run"),"ROKS"))))))</f>
        <v/>
      </c>
      <c r="J174" s="51" t="str">
        <f aca="false">IF(OR($A174="",J$8=""),"",IF($F174="Migré","ROKS",IF($F174="À décommissionner",IF(J$8&lt;$AS174,"IKS","Décom."),IF(OR($AQ174="",$AS174=""),"",IF(J$8&lt;$AQ174,"IKS",IF(J$8&lt;$AS174,IF(J$8=$AR174,"Bascule","Double run"),"ROKS"))))))</f>
        <v/>
      </c>
      <c r="K174" s="51" t="str">
        <f aca="false">IF(OR($A174="",K$8=""),"",IF($F174="Migré","ROKS",IF($F174="À décommissionner",IF(K$8&lt;$AS174,"IKS","Décom."),IF(OR($AQ174="",$AS174=""),"",IF(K$8&lt;$AQ174,"IKS",IF(K$8&lt;$AS174,IF(K$8=$AR174,"Bascule","Double run"),"ROKS"))))))</f>
        <v/>
      </c>
      <c r="L174" s="51" t="str">
        <f aca="false">IF(OR($A174="",L$8=""),"",IF($F174="Migré","ROKS",IF($F174="À décommissionner",IF(L$8&lt;$AS174,"IKS","Décom."),IF(OR($AQ174="",$AS174=""),"",IF(L$8&lt;$AQ174,"IKS",IF(L$8&lt;$AS174,IF(L$8=$AR174,"Bascule","Double run"),"ROKS"))))))</f>
        <v/>
      </c>
      <c r="M174" s="51" t="str">
        <f aca="false">IF(OR($A174="",M$8=""),"",IF($F174="Migré","ROKS",IF($F174="À décommissionner",IF(M$8&lt;$AS174,"IKS","Décom."),IF(OR($AQ174="",$AS174=""),"",IF(M$8&lt;$AQ174,"IKS",IF(M$8&lt;$AS174,IF(M$8=$AR174,"Bascule","Double run"),"ROKS"))))))</f>
        <v/>
      </c>
      <c r="N174" s="51" t="str">
        <f aca="false">IF(OR($A174="",N$8=""),"",IF($F174="Migré","ROKS",IF($F174="À décommissionner",IF(N$8&lt;$AS174,"IKS","Décom."),IF(OR($AQ174="",$AS174=""),"",IF(N$8&lt;$AQ174,"IKS",IF(N$8&lt;$AS174,IF(N$8=$AR174,"Bascule","Double run"),"ROKS"))))))</f>
        <v/>
      </c>
      <c r="O174" s="51" t="str">
        <f aca="false">IF(OR($A174="",O$8=""),"",IF($F174="Migré","ROKS",IF($F174="À décommissionner",IF(O$8&lt;$AS174,"IKS","Décom."),IF(OR($AQ174="",$AS174=""),"",IF(O$8&lt;$AQ174,"IKS",IF(O$8&lt;$AS174,IF(O$8=$AR174,"Bascule","Double run"),"ROKS"))))))</f>
        <v/>
      </c>
      <c r="P174" s="51" t="str">
        <f aca="false">IF(OR($A174="",P$8=""),"",IF($F174="Migré","ROKS",IF($F174="À décommissionner",IF(P$8&lt;$AS174,"IKS","Décom."),IF(OR($AQ174="",$AS174=""),"",IF(P$8&lt;$AQ174,"IKS",IF(P$8&lt;$AS174,IF(P$8=$AR174,"Bascule","Double run"),"ROKS"))))))</f>
        <v/>
      </c>
      <c r="Q174" s="51" t="str">
        <f aca="false">IF(OR($A174="",Q$8=""),"",IF($F174="Migré","ROKS",IF($F174="À décommissionner",IF(Q$8&lt;$AS174,"IKS","Décom."),IF(OR($AQ174="",$AS174=""),"",IF(Q$8&lt;$AQ174,"IKS",IF(Q$8&lt;$AS174,IF(Q$8=$AR174,"Bascule","Double run"),"ROKS"))))))</f>
        <v/>
      </c>
      <c r="R174" s="51" t="str">
        <f aca="false">IF(OR($A174="",R$8=""),"",IF($F174="Migré","ROKS",IF($F174="À décommissionner",IF(R$8&lt;$AS174,"IKS","Décom."),IF(OR($AQ174="",$AS174=""),"",IF(R$8&lt;$AQ174,"IKS",IF(R$8&lt;$AS174,IF(R$8=$AR174,"Bascule","Double run"),"ROKS"))))))</f>
        <v/>
      </c>
      <c r="S174" s="51" t="str">
        <f aca="false">IF(OR($A174="",S$8=""),"",IF($F174="Migré","ROKS",IF($F174="À décommissionner",IF(S$8&lt;$AS174,"IKS","Décom."),IF(OR($AQ174="",$AS174=""),"",IF(S$8&lt;$AQ174,"IKS",IF(S$8&lt;$AS174,IF(S$8=$AR174,"Bascule","Double run"),"ROKS"))))))</f>
        <v/>
      </c>
      <c r="T174" s="51" t="str">
        <f aca="false">IF(OR($A174="",T$8=""),"",IF($F174="Migré","ROKS",IF($F174="À décommissionner",IF(T$8&lt;$AS174,"IKS","Décom."),IF(OR($AQ174="",$AS174=""),"",IF(T$8&lt;$AQ174,"IKS",IF(T$8&lt;$AS174,IF(T$8=$AR174,"Bascule","Double run"),"ROKS"))))))</f>
        <v/>
      </c>
      <c r="U174" s="51" t="str">
        <f aca="false">IF(OR($A174="",U$8=""),"",IF($F174="Migré","ROKS",IF($F174="À décommissionner",IF(U$8&lt;$AS174,"IKS","Décom."),IF(OR($AQ174="",$AS174=""),"",IF(U$8&lt;$AQ174,"IKS",IF(U$8&lt;$AS174,IF(U$8=$AR174,"Bascule","Double run"),"ROKS"))))))</f>
        <v/>
      </c>
      <c r="V174" s="51" t="str">
        <f aca="false">IF(OR($A174="",V$8=""),"",IF($F174="Migré","ROKS",IF($F174="À décommissionner",IF(V$8&lt;$AS174,"IKS","Décom."),IF(OR($AQ174="",$AS174=""),"",IF(V$8&lt;$AQ174,"IKS",IF(V$8&lt;$AS174,IF(V$8=$AR174,"Bascule","Double run"),"ROKS"))))))</f>
        <v/>
      </c>
      <c r="W174" s="51" t="str">
        <f aca="false">IF(OR($A174="",W$8=""),"",IF($F174="Migré","ROKS",IF($F174="À décommissionner",IF(W$8&lt;$AS174,"IKS","Décom."),IF(OR($AQ174="",$AS174=""),"",IF(W$8&lt;$AQ174,"IKS",IF(W$8&lt;$AS174,IF(W$8=$AR174,"Bascule","Double run"),"ROKS"))))))</f>
        <v/>
      </c>
      <c r="X174" s="51" t="str">
        <f aca="false">IF(OR($A174="",X$8=""),"",IF($F174="Migré","ROKS",IF($F174="À décommissionner",IF(X$8&lt;$AS174,"IKS","Décom."),IF(OR($AQ174="",$AS174=""),"",IF(X$8&lt;$AQ174,"IKS",IF(X$8&lt;$AS174,IF(X$8=$AR174,"Bascule","Double run"),"ROKS"))))))</f>
        <v/>
      </c>
      <c r="Y174" s="51" t="str">
        <f aca="false">IF(OR($A174="",Y$8=""),"",IF($F174="Migré","ROKS",IF($F174="À décommissionner",IF(Y$8&lt;$AS174,"IKS","Décom."),IF(OR($AQ174="",$AS174=""),"",IF(Y$8&lt;$AQ174,"IKS",IF(Y$8&lt;$AS174,IF(Y$8=$AR174,"Bascule","Double run"),"ROKS"))))))</f>
        <v/>
      </c>
      <c r="Z174" s="51" t="str">
        <f aca="false">IF(OR($A174="",Z$8=""),"",IF($F174="Migré","ROKS",IF($F174="À décommissionner",IF(Z$8&lt;$AS174,"IKS","Décom."),IF(OR($AQ174="",$AS174=""),"",IF(Z$8&lt;$AQ174,"IKS",IF(Z$8&lt;$AS174,IF(Z$8=$AR174,"Bascule","Double run"),"ROKS"))))))</f>
        <v/>
      </c>
      <c r="AA174" s="51" t="str">
        <f aca="false">IF(OR($A174="",AA$8=""),"",IF($F174="Migré","ROKS",IF($F174="À décommissionner",IF(AA$8&lt;$AS174,"IKS","Décom."),IF(OR($AQ174="",$AS174=""),"",IF(AA$8&lt;$AQ174,"IKS",IF(AA$8&lt;$AS174,IF(AA$8=$AR174,"Bascule","Double run"),"ROKS"))))))</f>
        <v/>
      </c>
      <c r="AB174" s="51" t="str">
        <f aca="false">IF(OR($A174="",AB$8=""),"",IF($F174="Migré","ROKS",IF($F174="À décommissionner",IF(AB$8&lt;$AS174,"IKS","Décom."),IF(OR($AQ174="",$AS174=""),"",IF(AB$8&lt;$AQ174,"IKS",IF(AB$8&lt;$AS174,IF(AB$8=$AR174,"Bascule","Double run"),"ROKS"))))))</f>
        <v/>
      </c>
      <c r="AC174" s="51" t="str">
        <f aca="false">IF(OR($A174="",AC$8=""),"",IF($F174="Migré","ROKS",IF($F174="À décommissionner",IF(AC$8&lt;$AS174,"IKS","Décom."),IF(OR($AQ174="",$AS174=""),"",IF(AC$8&lt;$AQ174,"IKS",IF(AC$8&lt;$AS174,IF(AC$8=$AR174,"Bascule","Double run"),"ROKS"))))))</f>
        <v/>
      </c>
      <c r="AD174" s="51" t="str">
        <f aca="false">IF(OR($A174="",AD$8=""),"",IF($F174="Migré","ROKS",IF($F174="À décommissionner",IF(AD$8&lt;$AS174,"IKS","Décom."),IF(OR($AQ174="",$AS174=""),"",IF(AD$8&lt;$AQ174,"IKS",IF(AD$8&lt;$AS174,IF(AD$8=$AR174,"Bascule","Double run"),"ROKS"))))))</f>
        <v/>
      </c>
      <c r="AE174" s="51" t="str">
        <f aca="false">IF(OR($A174="",AE$8=""),"",IF($F174="Migré","ROKS",IF($F174="À décommissionner",IF(AE$8&lt;$AS174,"IKS","Décom."),IF(OR($AQ174="",$AS174=""),"",IF(AE$8&lt;$AQ174,"IKS",IF(AE$8&lt;$AS174,IF(AE$8=$AR174,"Bascule","Double run"),"ROKS"))))))</f>
        <v/>
      </c>
      <c r="AF174" s="51" t="str">
        <f aca="false">IF(OR($A174="",AF$8=""),"",IF($F174="Migré","ROKS",IF($F174="À décommissionner",IF(AF$8&lt;$AS174,"IKS","Décom."),IF(OR($AQ174="",$AS174=""),"",IF(AF$8&lt;$AQ174,"IKS",IF(AF$8&lt;$AS174,IF(AF$8=$AR174,"Bascule","Double run"),"ROKS"))))))</f>
        <v/>
      </c>
      <c r="AG174" s="51" t="str">
        <f aca="false">IF(OR($A174="",AG$8=""),"",IF($F174="Migré","ROKS",IF($F174="À décommissionner",IF(AG$8&lt;$AS174,"IKS","Décom."),IF(OR($AQ174="",$AS174=""),"",IF(AG$8&lt;$AQ174,"IKS",IF(AG$8&lt;$AS174,IF(AG$8=$AR174,"Bascule","Double run"),"ROKS"))))))</f>
        <v/>
      </c>
      <c r="AH174" s="51" t="str">
        <f aca="false">IF(OR($A174="",AH$8=""),"",IF($F174="Migré","ROKS",IF($F174="À décommissionner",IF(AH$8&lt;$AS174,"IKS","Décom."),IF(OR($AQ174="",$AS174=""),"",IF(AH$8&lt;$AQ174,"IKS",IF(AH$8&lt;$AS174,IF(AH$8=$AR174,"Bascule","Double run"),"ROKS"))))))</f>
        <v/>
      </c>
      <c r="AI174" s="51" t="str">
        <f aca="false">IF(OR($A174="",AI$8=""),"",IF($F174="Migré","ROKS",IF($F174="À décommissionner",IF(AI$8&lt;$AS174,"IKS","Décom."),IF(OR($AQ174="",$AS174=""),"",IF(AI$8&lt;$AQ174,"IKS",IF(AI$8&lt;$AS174,IF(AI$8=$AR174,"Bascule","Double run"),"ROKS"))))))</f>
        <v/>
      </c>
      <c r="AJ174" s="51" t="str">
        <f aca="false">IF(OR($A174="",AJ$8=""),"",IF($F174="Migré","ROKS",IF($F174="À décommissionner",IF(AJ$8&lt;$AS174,"IKS","Décom."),IF(OR($AQ174="",$AS174=""),"",IF(AJ$8&lt;$AQ174,"IKS",IF(AJ$8&lt;$AS174,IF(AJ$8=$AR174,"Bascule","Double run"),"ROKS"))))))</f>
        <v/>
      </c>
      <c r="AK174" s="51" t="str">
        <f aca="false">IF(OR($A174="",AK$8=""),"",IF($F174="Migré","ROKS",IF($F174="À décommissionner",IF(AK$8&lt;$AS174,"IKS","Décom."),IF(OR($AQ174="",$AS174=""),"",IF(AK$8&lt;$AQ174,"IKS",IF(AK$8&lt;$AS174,IF(AK$8=$AR174,"Bascule","Double run"),"ROKS"))))))</f>
        <v/>
      </c>
      <c r="AL174" s="51" t="str">
        <f aca="false">IF(OR($A174="",AL$8=""),"",IF($F174="Migré","ROKS",IF($F174="À décommissionner",IF(AL$8&lt;$AS174,"IKS","Décom."),IF(OR($AQ174="",$AS174=""),"",IF(AL$8&lt;$AQ174,"IKS",IF(AL$8&lt;$AS174,IF(AL$8=$AR174,"Bascule","Double run"),"ROKS"))))))</f>
        <v/>
      </c>
      <c r="AM174" s="51" t="str">
        <f aca="false">IF(OR($A174="",AM$8=""),"",IF($F174="Migré","ROKS",IF($F174="À décommissionner",IF(AM$8&lt;$AS174,"IKS","Décom."),IF(OR($AQ174="",$AS174=""),"",IF(AM$8&lt;$AQ174,"IKS",IF(AM$8&lt;$AS174,IF(AM$8=$AR174,"Bascule","Double run"),"ROKS"))))))</f>
        <v/>
      </c>
      <c r="AN174" s="51" t="str">
        <f aca="false">IF(OR($A174="",AN$8=""),"",IF($F174="Migré","ROKS",IF($F174="À décommissionner",IF(AN$8&lt;$AS174,"IKS","Décom."),IF(OR($AQ174="",$AS174=""),"",IF(AN$8&lt;$AQ174,"IKS",IF(AN$8&lt;$AS174,IF(AN$8=$AR174,"Bascule","Double run"),"ROKS"))))))</f>
        <v/>
      </c>
      <c r="AO174" s="51" t="str">
        <f aca="false">IF(OR($A174="",AO$8=""),"",IF($F174="Migré","ROKS",IF($F174="À décommissionner",IF(AO$8&lt;$AS174,"IKS","Décom."),IF(OR($AQ174="",$AS174=""),"",IF(AO$8&lt;$AQ174,"IKS",IF(AO$8&lt;$AS174,IF(AO$8=$AR174,"Bascule","Double run"),"ROKS"))))))</f>
        <v/>
      </c>
      <c r="AP174" s="51" t="str">
        <f aca="false">IF(OR($A174="",AP$8=""),"",IF($F174="Migré","ROKS",IF($F174="À décommissionner",IF(AP$8&lt;$AS174,"IKS","Décom."),IF(OR($AQ174="",$AS174=""),"",IF(AP$8&lt;$AQ174,"IKS",IF(AP$8&lt;$AS174,IF(AP$8=$AR174,"Bascule","Double run"),"ROKS"))))))</f>
        <v/>
      </c>
      <c r="AQ174" s="0" t="str">
        <f aca="false">IF($A174="","",INDEX(TblApplications[Mois prov (calc)],$A174))</f>
        <v/>
      </c>
      <c r="AR174" s="0" t="str">
        <f aca="false">IF($A174="","",IFERROR(DATE(YEAR(INDEX(TblApplications[Mois bascule],$A174)),MONTH(INDEX(TblApplications[Mois bascule],$A174)),1),""))</f>
        <v/>
      </c>
      <c r="AS174" s="0" t="str">
        <f aca="false">IF($A174="","",INDEX(TblApplications[Mois lib (calc)],$A174))</f>
        <v/>
      </c>
    </row>
    <row r="175" customFormat="false" ht="15" hidden="false" customHeight="false" outlineLevel="0" collapsed="false">
      <c r="A175" s="49" t="str">
        <f aca="false">IFERROR(MATCH(167,TblApplications[Rang frise],0),"")</f>
        <v/>
      </c>
      <c r="B175" s="50" t="str">
        <f aca="false">IF($A175="","",INDEX(TblApplications[ID],$A175))</f>
        <v/>
      </c>
      <c r="C175" s="50" t="str">
        <f aca="false">IF($A175="","",INDEX(TblApplications[Application],$A175))</f>
        <v/>
      </c>
      <c r="D175" s="50" t="str">
        <f aca="false">IF($A175="","",INDEX(TblApplications[Environnement],$A175))</f>
        <v/>
      </c>
      <c r="E175" s="50" t="str">
        <f aca="false">IF($A175="","",INDEX(TblApplications[Couloir],$A175))</f>
        <v/>
      </c>
      <c r="F175" s="50" t="str">
        <f aca="false">IF($A175="","",INDEX(TblApplications[Action],$A175))</f>
        <v/>
      </c>
      <c r="G175" s="51" t="str">
        <f aca="false">IF(OR($A175="",G$8=""),"",IF($F175="Migré","ROKS",IF($F175="À décommissionner",IF(G$8&lt;$AS175,"IKS","Décom."),IF(OR($AQ175="",$AS175=""),"",IF(G$8&lt;$AQ175,"IKS",IF(G$8&lt;$AS175,IF(G$8=$AR175,"Bascule","Double run"),"ROKS"))))))</f>
        <v/>
      </c>
      <c r="H175" s="51" t="str">
        <f aca="false">IF(OR($A175="",H$8=""),"",IF($F175="Migré","ROKS",IF($F175="À décommissionner",IF(H$8&lt;$AS175,"IKS","Décom."),IF(OR($AQ175="",$AS175=""),"",IF(H$8&lt;$AQ175,"IKS",IF(H$8&lt;$AS175,IF(H$8=$AR175,"Bascule","Double run"),"ROKS"))))))</f>
        <v/>
      </c>
      <c r="I175" s="51" t="str">
        <f aca="false">IF(OR($A175="",I$8=""),"",IF($F175="Migré","ROKS",IF($F175="À décommissionner",IF(I$8&lt;$AS175,"IKS","Décom."),IF(OR($AQ175="",$AS175=""),"",IF(I$8&lt;$AQ175,"IKS",IF(I$8&lt;$AS175,IF(I$8=$AR175,"Bascule","Double run"),"ROKS"))))))</f>
        <v/>
      </c>
      <c r="J175" s="51" t="str">
        <f aca="false">IF(OR($A175="",J$8=""),"",IF($F175="Migré","ROKS",IF($F175="À décommissionner",IF(J$8&lt;$AS175,"IKS","Décom."),IF(OR($AQ175="",$AS175=""),"",IF(J$8&lt;$AQ175,"IKS",IF(J$8&lt;$AS175,IF(J$8=$AR175,"Bascule","Double run"),"ROKS"))))))</f>
        <v/>
      </c>
      <c r="K175" s="51" t="str">
        <f aca="false">IF(OR($A175="",K$8=""),"",IF($F175="Migré","ROKS",IF($F175="À décommissionner",IF(K$8&lt;$AS175,"IKS","Décom."),IF(OR($AQ175="",$AS175=""),"",IF(K$8&lt;$AQ175,"IKS",IF(K$8&lt;$AS175,IF(K$8=$AR175,"Bascule","Double run"),"ROKS"))))))</f>
        <v/>
      </c>
      <c r="L175" s="51" t="str">
        <f aca="false">IF(OR($A175="",L$8=""),"",IF($F175="Migré","ROKS",IF($F175="À décommissionner",IF(L$8&lt;$AS175,"IKS","Décom."),IF(OR($AQ175="",$AS175=""),"",IF(L$8&lt;$AQ175,"IKS",IF(L$8&lt;$AS175,IF(L$8=$AR175,"Bascule","Double run"),"ROKS"))))))</f>
        <v/>
      </c>
      <c r="M175" s="51" t="str">
        <f aca="false">IF(OR($A175="",M$8=""),"",IF($F175="Migré","ROKS",IF($F175="À décommissionner",IF(M$8&lt;$AS175,"IKS","Décom."),IF(OR($AQ175="",$AS175=""),"",IF(M$8&lt;$AQ175,"IKS",IF(M$8&lt;$AS175,IF(M$8=$AR175,"Bascule","Double run"),"ROKS"))))))</f>
        <v/>
      </c>
      <c r="N175" s="51" t="str">
        <f aca="false">IF(OR($A175="",N$8=""),"",IF($F175="Migré","ROKS",IF($F175="À décommissionner",IF(N$8&lt;$AS175,"IKS","Décom."),IF(OR($AQ175="",$AS175=""),"",IF(N$8&lt;$AQ175,"IKS",IF(N$8&lt;$AS175,IF(N$8=$AR175,"Bascule","Double run"),"ROKS"))))))</f>
        <v/>
      </c>
      <c r="O175" s="51" t="str">
        <f aca="false">IF(OR($A175="",O$8=""),"",IF($F175="Migré","ROKS",IF($F175="À décommissionner",IF(O$8&lt;$AS175,"IKS","Décom."),IF(OR($AQ175="",$AS175=""),"",IF(O$8&lt;$AQ175,"IKS",IF(O$8&lt;$AS175,IF(O$8=$AR175,"Bascule","Double run"),"ROKS"))))))</f>
        <v/>
      </c>
      <c r="P175" s="51" t="str">
        <f aca="false">IF(OR($A175="",P$8=""),"",IF($F175="Migré","ROKS",IF($F175="À décommissionner",IF(P$8&lt;$AS175,"IKS","Décom."),IF(OR($AQ175="",$AS175=""),"",IF(P$8&lt;$AQ175,"IKS",IF(P$8&lt;$AS175,IF(P$8=$AR175,"Bascule","Double run"),"ROKS"))))))</f>
        <v/>
      </c>
      <c r="Q175" s="51" t="str">
        <f aca="false">IF(OR($A175="",Q$8=""),"",IF($F175="Migré","ROKS",IF($F175="À décommissionner",IF(Q$8&lt;$AS175,"IKS","Décom."),IF(OR($AQ175="",$AS175=""),"",IF(Q$8&lt;$AQ175,"IKS",IF(Q$8&lt;$AS175,IF(Q$8=$AR175,"Bascule","Double run"),"ROKS"))))))</f>
        <v/>
      </c>
      <c r="R175" s="51" t="str">
        <f aca="false">IF(OR($A175="",R$8=""),"",IF($F175="Migré","ROKS",IF($F175="À décommissionner",IF(R$8&lt;$AS175,"IKS","Décom."),IF(OR($AQ175="",$AS175=""),"",IF(R$8&lt;$AQ175,"IKS",IF(R$8&lt;$AS175,IF(R$8=$AR175,"Bascule","Double run"),"ROKS"))))))</f>
        <v/>
      </c>
      <c r="S175" s="51" t="str">
        <f aca="false">IF(OR($A175="",S$8=""),"",IF($F175="Migré","ROKS",IF($F175="À décommissionner",IF(S$8&lt;$AS175,"IKS","Décom."),IF(OR($AQ175="",$AS175=""),"",IF(S$8&lt;$AQ175,"IKS",IF(S$8&lt;$AS175,IF(S$8=$AR175,"Bascule","Double run"),"ROKS"))))))</f>
        <v/>
      </c>
      <c r="T175" s="51" t="str">
        <f aca="false">IF(OR($A175="",T$8=""),"",IF($F175="Migré","ROKS",IF($F175="À décommissionner",IF(T$8&lt;$AS175,"IKS","Décom."),IF(OR($AQ175="",$AS175=""),"",IF(T$8&lt;$AQ175,"IKS",IF(T$8&lt;$AS175,IF(T$8=$AR175,"Bascule","Double run"),"ROKS"))))))</f>
        <v/>
      </c>
      <c r="U175" s="51" t="str">
        <f aca="false">IF(OR($A175="",U$8=""),"",IF($F175="Migré","ROKS",IF($F175="À décommissionner",IF(U$8&lt;$AS175,"IKS","Décom."),IF(OR($AQ175="",$AS175=""),"",IF(U$8&lt;$AQ175,"IKS",IF(U$8&lt;$AS175,IF(U$8=$AR175,"Bascule","Double run"),"ROKS"))))))</f>
        <v/>
      </c>
      <c r="V175" s="51" t="str">
        <f aca="false">IF(OR($A175="",V$8=""),"",IF($F175="Migré","ROKS",IF($F175="À décommissionner",IF(V$8&lt;$AS175,"IKS","Décom."),IF(OR($AQ175="",$AS175=""),"",IF(V$8&lt;$AQ175,"IKS",IF(V$8&lt;$AS175,IF(V$8=$AR175,"Bascule","Double run"),"ROKS"))))))</f>
        <v/>
      </c>
      <c r="W175" s="51" t="str">
        <f aca="false">IF(OR($A175="",W$8=""),"",IF($F175="Migré","ROKS",IF($F175="À décommissionner",IF(W$8&lt;$AS175,"IKS","Décom."),IF(OR($AQ175="",$AS175=""),"",IF(W$8&lt;$AQ175,"IKS",IF(W$8&lt;$AS175,IF(W$8=$AR175,"Bascule","Double run"),"ROKS"))))))</f>
        <v/>
      </c>
      <c r="X175" s="51" t="str">
        <f aca="false">IF(OR($A175="",X$8=""),"",IF($F175="Migré","ROKS",IF($F175="À décommissionner",IF(X$8&lt;$AS175,"IKS","Décom."),IF(OR($AQ175="",$AS175=""),"",IF(X$8&lt;$AQ175,"IKS",IF(X$8&lt;$AS175,IF(X$8=$AR175,"Bascule","Double run"),"ROKS"))))))</f>
        <v/>
      </c>
      <c r="Y175" s="51" t="str">
        <f aca="false">IF(OR($A175="",Y$8=""),"",IF($F175="Migré","ROKS",IF($F175="À décommissionner",IF(Y$8&lt;$AS175,"IKS","Décom."),IF(OR($AQ175="",$AS175=""),"",IF(Y$8&lt;$AQ175,"IKS",IF(Y$8&lt;$AS175,IF(Y$8=$AR175,"Bascule","Double run"),"ROKS"))))))</f>
        <v/>
      </c>
      <c r="Z175" s="51" t="str">
        <f aca="false">IF(OR($A175="",Z$8=""),"",IF($F175="Migré","ROKS",IF($F175="À décommissionner",IF(Z$8&lt;$AS175,"IKS","Décom."),IF(OR($AQ175="",$AS175=""),"",IF(Z$8&lt;$AQ175,"IKS",IF(Z$8&lt;$AS175,IF(Z$8=$AR175,"Bascule","Double run"),"ROKS"))))))</f>
        <v/>
      </c>
      <c r="AA175" s="51" t="str">
        <f aca="false">IF(OR($A175="",AA$8=""),"",IF($F175="Migré","ROKS",IF($F175="À décommissionner",IF(AA$8&lt;$AS175,"IKS","Décom."),IF(OR($AQ175="",$AS175=""),"",IF(AA$8&lt;$AQ175,"IKS",IF(AA$8&lt;$AS175,IF(AA$8=$AR175,"Bascule","Double run"),"ROKS"))))))</f>
        <v/>
      </c>
      <c r="AB175" s="51" t="str">
        <f aca="false">IF(OR($A175="",AB$8=""),"",IF($F175="Migré","ROKS",IF($F175="À décommissionner",IF(AB$8&lt;$AS175,"IKS","Décom."),IF(OR($AQ175="",$AS175=""),"",IF(AB$8&lt;$AQ175,"IKS",IF(AB$8&lt;$AS175,IF(AB$8=$AR175,"Bascule","Double run"),"ROKS"))))))</f>
        <v/>
      </c>
      <c r="AC175" s="51" t="str">
        <f aca="false">IF(OR($A175="",AC$8=""),"",IF($F175="Migré","ROKS",IF($F175="À décommissionner",IF(AC$8&lt;$AS175,"IKS","Décom."),IF(OR($AQ175="",$AS175=""),"",IF(AC$8&lt;$AQ175,"IKS",IF(AC$8&lt;$AS175,IF(AC$8=$AR175,"Bascule","Double run"),"ROKS"))))))</f>
        <v/>
      </c>
      <c r="AD175" s="51" t="str">
        <f aca="false">IF(OR($A175="",AD$8=""),"",IF($F175="Migré","ROKS",IF($F175="À décommissionner",IF(AD$8&lt;$AS175,"IKS","Décom."),IF(OR($AQ175="",$AS175=""),"",IF(AD$8&lt;$AQ175,"IKS",IF(AD$8&lt;$AS175,IF(AD$8=$AR175,"Bascule","Double run"),"ROKS"))))))</f>
        <v/>
      </c>
      <c r="AE175" s="51" t="str">
        <f aca="false">IF(OR($A175="",AE$8=""),"",IF($F175="Migré","ROKS",IF($F175="À décommissionner",IF(AE$8&lt;$AS175,"IKS","Décom."),IF(OR($AQ175="",$AS175=""),"",IF(AE$8&lt;$AQ175,"IKS",IF(AE$8&lt;$AS175,IF(AE$8=$AR175,"Bascule","Double run"),"ROKS"))))))</f>
        <v/>
      </c>
      <c r="AF175" s="51" t="str">
        <f aca="false">IF(OR($A175="",AF$8=""),"",IF($F175="Migré","ROKS",IF($F175="À décommissionner",IF(AF$8&lt;$AS175,"IKS","Décom."),IF(OR($AQ175="",$AS175=""),"",IF(AF$8&lt;$AQ175,"IKS",IF(AF$8&lt;$AS175,IF(AF$8=$AR175,"Bascule","Double run"),"ROKS"))))))</f>
        <v/>
      </c>
      <c r="AG175" s="51" t="str">
        <f aca="false">IF(OR($A175="",AG$8=""),"",IF($F175="Migré","ROKS",IF($F175="À décommissionner",IF(AG$8&lt;$AS175,"IKS","Décom."),IF(OR($AQ175="",$AS175=""),"",IF(AG$8&lt;$AQ175,"IKS",IF(AG$8&lt;$AS175,IF(AG$8=$AR175,"Bascule","Double run"),"ROKS"))))))</f>
        <v/>
      </c>
      <c r="AH175" s="51" t="str">
        <f aca="false">IF(OR($A175="",AH$8=""),"",IF($F175="Migré","ROKS",IF($F175="À décommissionner",IF(AH$8&lt;$AS175,"IKS","Décom."),IF(OR($AQ175="",$AS175=""),"",IF(AH$8&lt;$AQ175,"IKS",IF(AH$8&lt;$AS175,IF(AH$8=$AR175,"Bascule","Double run"),"ROKS"))))))</f>
        <v/>
      </c>
      <c r="AI175" s="51" t="str">
        <f aca="false">IF(OR($A175="",AI$8=""),"",IF($F175="Migré","ROKS",IF($F175="À décommissionner",IF(AI$8&lt;$AS175,"IKS","Décom."),IF(OR($AQ175="",$AS175=""),"",IF(AI$8&lt;$AQ175,"IKS",IF(AI$8&lt;$AS175,IF(AI$8=$AR175,"Bascule","Double run"),"ROKS"))))))</f>
        <v/>
      </c>
      <c r="AJ175" s="51" t="str">
        <f aca="false">IF(OR($A175="",AJ$8=""),"",IF($F175="Migré","ROKS",IF($F175="À décommissionner",IF(AJ$8&lt;$AS175,"IKS","Décom."),IF(OR($AQ175="",$AS175=""),"",IF(AJ$8&lt;$AQ175,"IKS",IF(AJ$8&lt;$AS175,IF(AJ$8=$AR175,"Bascule","Double run"),"ROKS"))))))</f>
        <v/>
      </c>
      <c r="AK175" s="51" t="str">
        <f aca="false">IF(OR($A175="",AK$8=""),"",IF($F175="Migré","ROKS",IF($F175="À décommissionner",IF(AK$8&lt;$AS175,"IKS","Décom."),IF(OR($AQ175="",$AS175=""),"",IF(AK$8&lt;$AQ175,"IKS",IF(AK$8&lt;$AS175,IF(AK$8=$AR175,"Bascule","Double run"),"ROKS"))))))</f>
        <v/>
      </c>
      <c r="AL175" s="51" t="str">
        <f aca="false">IF(OR($A175="",AL$8=""),"",IF($F175="Migré","ROKS",IF($F175="À décommissionner",IF(AL$8&lt;$AS175,"IKS","Décom."),IF(OR($AQ175="",$AS175=""),"",IF(AL$8&lt;$AQ175,"IKS",IF(AL$8&lt;$AS175,IF(AL$8=$AR175,"Bascule","Double run"),"ROKS"))))))</f>
        <v/>
      </c>
      <c r="AM175" s="51" t="str">
        <f aca="false">IF(OR($A175="",AM$8=""),"",IF($F175="Migré","ROKS",IF($F175="À décommissionner",IF(AM$8&lt;$AS175,"IKS","Décom."),IF(OR($AQ175="",$AS175=""),"",IF(AM$8&lt;$AQ175,"IKS",IF(AM$8&lt;$AS175,IF(AM$8=$AR175,"Bascule","Double run"),"ROKS"))))))</f>
        <v/>
      </c>
      <c r="AN175" s="51" t="str">
        <f aca="false">IF(OR($A175="",AN$8=""),"",IF($F175="Migré","ROKS",IF($F175="À décommissionner",IF(AN$8&lt;$AS175,"IKS","Décom."),IF(OR($AQ175="",$AS175=""),"",IF(AN$8&lt;$AQ175,"IKS",IF(AN$8&lt;$AS175,IF(AN$8=$AR175,"Bascule","Double run"),"ROKS"))))))</f>
        <v/>
      </c>
      <c r="AO175" s="51" t="str">
        <f aca="false">IF(OR($A175="",AO$8=""),"",IF($F175="Migré","ROKS",IF($F175="À décommissionner",IF(AO$8&lt;$AS175,"IKS","Décom."),IF(OR($AQ175="",$AS175=""),"",IF(AO$8&lt;$AQ175,"IKS",IF(AO$8&lt;$AS175,IF(AO$8=$AR175,"Bascule","Double run"),"ROKS"))))))</f>
        <v/>
      </c>
      <c r="AP175" s="51" t="str">
        <f aca="false">IF(OR($A175="",AP$8=""),"",IF($F175="Migré","ROKS",IF($F175="À décommissionner",IF(AP$8&lt;$AS175,"IKS","Décom."),IF(OR($AQ175="",$AS175=""),"",IF(AP$8&lt;$AQ175,"IKS",IF(AP$8&lt;$AS175,IF(AP$8=$AR175,"Bascule","Double run"),"ROKS"))))))</f>
        <v/>
      </c>
      <c r="AQ175" s="0" t="str">
        <f aca="false">IF($A175="","",INDEX(TblApplications[Mois prov (calc)],$A175))</f>
        <v/>
      </c>
      <c r="AR175" s="0" t="str">
        <f aca="false">IF($A175="","",IFERROR(DATE(YEAR(INDEX(TblApplications[Mois bascule],$A175)),MONTH(INDEX(TblApplications[Mois bascule],$A175)),1),""))</f>
        <v/>
      </c>
      <c r="AS175" s="0" t="str">
        <f aca="false">IF($A175="","",INDEX(TblApplications[Mois lib (calc)],$A175))</f>
        <v/>
      </c>
    </row>
    <row r="176" customFormat="false" ht="15" hidden="false" customHeight="false" outlineLevel="0" collapsed="false">
      <c r="A176" s="49" t="str">
        <f aca="false">IFERROR(MATCH(168,TblApplications[Rang frise],0),"")</f>
        <v/>
      </c>
      <c r="B176" s="50" t="str">
        <f aca="false">IF($A176="","",INDEX(TblApplications[ID],$A176))</f>
        <v/>
      </c>
      <c r="C176" s="50" t="str">
        <f aca="false">IF($A176="","",INDEX(TblApplications[Application],$A176))</f>
        <v/>
      </c>
      <c r="D176" s="50" t="str">
        <f aca="false">IF($A176="","",INDEX(TblApplications[Environnement],$A176))</f>
        <v/>
      </c>
      <c r="E176" s="50" t="str">
        <f aca="false">IF($A176="","",INDEX(TblApplications[Couloir],$A176))</f>
        <v/>
      </c>
      <c r="F176" s="50" t="str">
        <f aca="false">IF($A176="","",INDEX(TblApplications[Action],$A176))</f>
        <v/>
      </c>
      <c r="G176" s="51" t="str">
        <f aca="false">IF(OR($A176="",G$8=""),"",IF($F176="Migré","ROKS",IF($F176="À décommissionner",IF(G$8&lt;$AS176,"IKS","Décom."),IF(OR($AQ176="",$AS176=""),"",IF(G$8&lt;$AQ176,"IKS",IF(G$8&lt;$AS176,IF(G$8=$AR176,"Bascule","Double run"),"ROKS"))))))</f>
        <v/>
      </c>
      <c r="H176" s="51" t="str">
        <f aca="false">IF(OR($A176="",H$8=""),"",IF($F176="Migré","ROKS",IF($F176="À décommissionner",IF(H$8&lt;$AS176,"IKS","Décom."),IF(OR($AQ176="",$AS176=""),"",IF(H$8&lt;$AQ176,"IKS",IF(H$8&lt;$AS176,IF(H$8=$AR176,"Bascule","Double run"),"ROKS"))))))</f>
        <v/>
      </c>
      <c r="I176" s="51" t="str">
        <f aca="false">IF(OR($A176="",I$8=""),"",IF($F176="Migré","ROKS",IF($F176="À décommissionner",IF(I$8&lt;$AS176,"IKS","Décom."),IF(OR($AQ176="",$AS176=""),"",IF(I$8&lt;$AQ176,"IKS",IF(I$8&lt;$AS176,IF(I$8=$AR176,"Bascule","Double run"),"ROKS"))))))</f>
        <v/>
      </c>
      <c r="J176" s="51" t="str">
        <f aca="false">IF(OR($A176="",J$8=""),"",IF($F176="Migré","ROKS",IF($F176="À décommissionner",IF(J$8&lt;$AS176,"IKS","Décom."),IF(OR($AQ176="",$AS176=""),"",IF(J$8&lt;$AQ176,"IKS",IF(J$8&lt;$AS176,IF(J$8=$AR176,"Bascule","Double run"),"ROKS"))))))</f>
        <v/>
      </c>
      <c r="K176" s="51" t="str">
        <f aca="false">IF(OR($A176="",K$8=""),"",IF($F176="Migré","ROKS",IF($F176="À décommissionner",IF(K$8&lt;$AS176,"IKS","Décom."),IF(OR($AQ176="",$AS176=""),"",IF(K$8&lt;$AQ176,"IKS",IF(K$8&lt;$AS176,IF(K$8=$AR176,"Bascule","Double run"),"ROKS"))))))</f>
        <v/>
      </c>
      <c r="L176" s="51" t="str">
        <f aca="false">IF(OR($A176="",L$8=""),"",IF($F176="Migré","ROKS",IF($F176="À décommissionner",IF(L$8&lt;$AS176,"IKS","Décom."),IF(OR($AQ176="",$AS176=""),"",IF(L$8&lt;$AQ176,"IKS",IF(L$8&lt;$AS176,IF(L$8=$AR176,"Bascule","Double run"),"ROKS"))))))</f>
        <v/>
      </c>
      <c r="M176" s="51" t="str">
        <f aca="false">IF(OR($A176="",M$8=""),"",IF($F176="Migré","ROKS",IF($F176="À décommissionner",IF(M$8&lt;$AS176,"IKS","Décom."),IF(OR($AQ176="",$AS176=""),"",IF(M$8&lt;$AQ176,"IKS",IF(M$8&lt;$AS176,IF(M$8=$AR176,"Bascule","Double run"),"ROKS"))))))</f>
        <v/>
      </c>
      <c r="N176" s="51" t="str">
        <f aca="false">IF(OR($A176="",N$8=""),"",IF($F176="Migré","ROKS",IF($F176="À décommissionner",IF(N$8&lt;$AS176,"IKS","Décom."),IF(OR($AQ176="",$AS176=""),"",IF(N$8&lt;$AQ176,"IKS",IF(N$8&lt;$AS176,IF(N$8=$AR176,"Bascule","Double run"),"ROKS"))))))</f>
        <v/>
      </c>
      <c r="O176" s="51" t="str">
        <f aca="false">IF(OR($A176="",O$8=""),"",IF($F176="Migré","ROKS",IF($F176="À décommissionner",IF(O$8&lt;$AS176,"IKS","Décom."),IF(OR($AQ176="",$AS176=""),"",IF(O$8&lt;$AQ176,"IKS",IF(O$8&lt;$AS176,IF(O$8=$AR176,"Bascule","Double run"),"ROKS"))))))</f>
        <v/>
      </c>
      <c r="P176" s="51" t="str">
        <f aca="false">IF(OR($A176="",P$8=""),"",IF($F176="Migré","ROKS",IF($F176="À décommissionner",IF(P$8&lt;$AS176,"IKS","Décom."),IF(OR($AQ176="",$AS176=""),"",IF(P$8&lt;$AQ176,"IKS",IF(P$8&lt;$AS176,IF(P$8=$AR176,"Bascule","Double run"),"ROKS"))))))</f>
        <v/>
      </c>
      <c r="Q176" s="51" t="str">
        <f aca="false">IF(OR($A176="",Q$8=""),"",IF($F176="Migré","ROKS",IF($F176="À décommissionner",IF(Q$8&lt;$AS176,"IKS","Décom."),IF(OR($AQ176="",$AS176=""),"",IF(Q$8&lt;$AQ176,"IKS",IF(Q$8&lt;$AS176,IF(Q$8=$AR176,"Bascule","Double run"),"ROKS"))))))</f>
        <v/>
      </c>
      <c r="R176" s="51" t="str">
        <f aca="false">IF(OR($A176="",R$8=""),"",IF($F176="Migré","ROKS",IF($F176="À décommissionner",IF(R$8&lt;$AS176,"IKS","Décom."),IF(OR($AQ176="",$AS176=""),"",IF(R$8&lt;$AQ176,"IKS",IF(R$8&lt;$AS176,IF(R$8=$AR176,"Bascule","Double run"),"ROKS"))))))</f>
        <v/>
      </c>
      <c r="S176" s="51" t="str">
        <f aca="false">IF(OR($A176="",S$8=""),"",IF($F176="Migré","ROKS",IF($F176="À décommissionner",IF(S$8&lt;$AS176,"IKS","Décom."),IF(OR($AQ176="",$AS176=""),"",IF(S$8&lt;$AQ176,"IKS",IF(S$8&lt;$AS176,IF(S$8=$AR176,"Bascule","Double run"),"ROKS"))))))</f>
        <v/>
      </c>
      <c r="T176" s="51" t="str">
        <f aca="false">IF(OR($A176="",T$8=""),"",IF($F176="Migré","ROKS",IF($F176="À décommissionner",IF(T$8&lt;$AS176,"IKS","Décom."),IF(OR($AQ176="",$AS176=""),"",IF(T$8&lt;$AQ176,"IKS",IF(T$8&lt;$AS176,IF(T$8=$AR176,"Bascule","Double run"),"ROKS"))))))</f>
        <v/>
      </c>
      <c r="U176" s="51" t="str">
        <f aca="false">IF(OR($A176="",U$8=""),"",IF($F176="Migré","ROKS",IF($F176="À décommissionner",IF(U$8&lt;$AS176,"IKS","Décom."),IF(OR($AQ176="",$AS176=""),"",IF(U$8&lt;$AQ176,"IKS",IF(U$8&lt;$AS176,IF(U$8=$AR176,"Bascule","Double run"),"ROKS"))))))</f>
        <v/>
      </c>
      <c r="V176" s="51" t="str">
        <f aca="false">IF(OR($A176="",V$8=""),"",IF($F176="Migré","ROKS",IF($F176="À décommissionner",IF(V$8&lt;$AS176,"IKS","Décom."),IF(OR($AQ176="",$AS176=""),"",IF(V$8&lt;$AQ176,"IKS",IF(V$8&lt;$AS176,IF(V$8=$AR176,"Bascule","Double run"),"ROKS"))))))</f>
        <v/>
      </c>
      <c r="W176" s="51" t="str">
        <f aca="false">IF(OR($A176="",W$8=""),"",IF($F176="Migré","ROKS",IF($F176="À décommissionner",IF(W$8&lt;$AS176,"IKS","Décom."),IF(OR($AQ176="",$AS176=""),"",IF(W$8&lt;$AQ176,"IKS",IF(W$8&lt;$AS176,IF(W$8=$AR176,"Bascule","Double run"),"ROKS"))))))</f>
        <v/>
      </c>
      <c r="X176" s="51" t="str">
        <f aca="false">IF(OR($A176="",X$8=""),"",IF($F176="Migré","ROKS",IF($F176="À décommissionner",IF(X$8&lt;$AS176,"IKS","Décom."),IF(OR($AQ176="",$AS176=""),"",IF(X$8&lt;$AQ176,"IKS",IF(X$8&lt;$AS176,IF(X$8=$AR176,"Bascule","Double run"),"ROKS"))))))</f>
        <v/>
      </c>
      <c r="Y176" s="51" t="str">
        <f aca="false">IF(OR($A176="",Y$8=""),"",IF($F176="Migré","ROKS",IF($F176="À décommissionner",IF(Y$8&lt;$AS176,"IKS","Décom."),IF(OR($AQ176="",$AS176=""),"",IF(Y$8&lt;$AQ176,"IKS",IF(Y$8&lt;$AS176,IF(Y$8=$AR176,"Bascule","Double run"),"ROKS"))))))</f>
        <v/>
      </c>
      <c r="Z176" s="51" t="str">
        <f aca="false">IF(OR($A176="",Z$8=""),"",IF($F176="Migré","ROKS",IF($F176="À décommissionner",IF(Z$8&lt;$AS176,"IKS","Décom."),IF(OR($AQ176="",$AS176=""),"",IF(Z$8&lt;$AQ176,"IKS",IF(Z$8&lt;$AS176,IF(Z$8=$AR176,"Bascule","Double run"),"ROKS"))))))</f>
        <v/>
      </c>
      <c r="AA176" s="51" t="str">
        <f aca="false">IF(OR($A176="",AA$8=""),"",IF($F176="Migré","ROKS",IF($F176="À décommissionner",IF(AA$8&lt;$AS176,"IKS","Décom."),IF(OR($AQ176="",$AS176=""),"",IF(AA$8&lt;$AQ176,"IKS",IF(AA$8&lt;$AS176,IF(AA$8=$AR176,"Bascule","Double run"),"ROKS"))))))</f>
        <v/>
      </c>
      <c r="AB176" s="51" t="str">
        <f aca="false">IF(OR($A176="",AB$8=""),"",IF($F176="Migré","ROKS",IF($F176="À décommissionner",IF(AB$8&lt;$AS176,"IKS","Décom."),IF(OR($AQ176="",$AS176=""),"",IF(AB$8&lt;$AQ176,"IKS",IF(AB$8&lt;$AS176,IF(AB$8=$AR176,"Bascule","Double run"),"ROKS"))))))</f>
        <v/>
      </c>
      <c r="AC176" s="51" t="str">
        <f aca="false">IF(OR($A176="",AC$8=""),"",IF($F176="Migré","ROKS",IF($F176="À décommissionner",IF(AC$8&lt;$AS176,"IKS","Décom."),IF(OR($AQ176="",$AS176=""),"",IF(AC$8&lt;$AQ176,"IKS",IF(AC$8&lt;$AS176,IF(AC$8=$AR176,"Bascule","Double run"),"ROKS"))))))</f>
        <v/>
      </c>
      <c r="AD176" s="51" t="str">
        <f aca="false">IF(OR($A176="",AD$8=""),"",IF($F176="Migré","ROKS",IF($F176="À décommissionner",IF(AD$8&lt;$AS176,"IKS","Décom."),IF(OR($AQ176="",$AS176=""),"",IF(AD$8&lt;$AQ176,"IKS",IF(AD$8&lt;$AS176,IF(AD$8=$AR176,"Bascule","Double run"),"ROKS"))))))</f>
        <v/>
      </c>
      <c r="AE176" s="51" t="str">
        <f aca="false">IF(OR($A176="",AE$8=""),"",IF($F176="Migré","ROKS",IF($F176="À décommissionner",IF(AE$8&lt;$AS176,"IKS","Décom."),IF(OR($AQ176="",$AS176=""),"",IF(AE$8&lt;$AQ176,"IKS",IF(AE$8&lt;$AS176,IF(AE$8=$AR176,"Bascule","Double run"),"ROKS"))))))</f>
        <v/>
      </c>
      <c r="AF176" s="51" t="str">
        <f aca="false">IF(OR($A176="",AF$8=""),"",IF($F176="Migré","ROKS",IF($F176="À décommissionner",IF(AF$8&lt;$AS176,"IKS","Décom."),IF(OR($AQ176="",$AS176=""),"",IF(AF$8&lt;$AQ176,"IKS",IF(AF$8&lt;$AS176,IF(AF$8=$AR176,"Bascule","Double run"),"ROKS"))))))</f>
        <v/>
      </c>
      <c r="AG176" s="51" t="str">
        <f aca="false">IF(OR($A176="",AG$8=""),"",IF($F176="Migré","ROKS",IF($F176="À décommissionner",IF(AG$8&lt;$AS176,"IKS","Décom."),IF(OR($AQ176="",$AS176=""),"",IF(AG$8&lt;$AQ176,"IKS",IF(AG$8&lt;$AS176,IF(AG$8=$AR176,"Bascule","Double run"),"ROKS"))))))</f>
        <v/>
      </c>
      <c r="AH176" s="51" t="str">
        <f aca="false">IF(OR($A176="",AH$8=""),"",IF($F176="Migré","ROKS",IF($F176="À décommissionner",IF(AH$8&lt;$AS176,"IKS","Décom."),IF(OR($AQ176="",$AS176=""),"",IF(AH$8&lt;$AQ176,"IKS",IF(AH$8&lt;$AS176,IF(AH$8=$AR176,"Bascule","Double run"),"ROKS"))))))</f>
        <v/>
      </c>
      <c r="AI176" s="51" t="str">
        <f aca="false">IF(OR($A176="",AI$8=""),"",IF($F176="Migré","ROKS",IF($F176="À décommissionner",IF(AI$8&lt;$AS176,"IKS","Décom."),IF(OR($AQ176="",$AS176=""),"",IF(AI$8&lt;$AQ176,"IKS",IF(AI$8&lt;$AS176,IF(AI$8=$AR176,"Bascule","Double run"),"ROKS"))))))</f>
        <v/>
      </c>
      <c r="AJ176" s="51" t="str">
        <f aca="false">IF(OR($A176="",AJ$8=""),"",IF($F176="Migré","ROKS",IF($F176="À décommissionner",IF(AJ$8&lt;$AS176,"IKS","Décom."),IF(OR($AQ176="",$AS176=""),"",IF(AJ$8&lt;$AQ176,"IKS",IF(AJ$8&lt;$AS176,IF(AJ$8=$AR176,"Bascule","Double run"),"ROKS"))))))</f>
        <v/>
      </c>
      <c r="AK176" s="51" t="str">
        <f aca="false">IF(OR($A176="",AK$8=""),"",IF($F176="Migré","ROKS",IF($F176="À décommissionner",IF(AK$8&lt;$AS176,"IKS","Décom."),IF(OR($AQ176="",$AS176=""),"",IF(AK$8&lt;$AQ176,"IKS",IF(AK$8&lt;$AS176,IF(AK$8=$AR176,"Bascule","Double run"),"ROKS"))))))</f>
        <v/>
      </c>
      <c r="AL176" s="51" t="str">
        <f aca="false">IF(OR($A176="",AL$8=""),"",IF($F176="Migré","ROKS",IF($F176="À décommissionner",IF(AL$8&lt;$AS176,"IKS","Décom."),IF(OR($AQ176="",$AS176=""),"",IF(AL$8&lt;$AQ176,"IKS",IF(AL$8&lt;$AS176,IF(AL$8=$AR176,"Bascule","Double run"),"ROKS"))))))</f>
        <v/>
      </c>
      <c r="AM176" s="51" t="str">
        <f aca="false">IF(OR($A176="",AM$8=""),"",IF($F176="Migré","ROKS",IF($F176="À décommissionner",IF(AM$8&lt;$AS176,"IKS","Décom."),IF(OR($AQ176="",$AS176=""),"",IF(AM$8&lt;$AQ176,"IKS",IF(AM$8&lt;$AS176,IF(AM$8=$AR176,"Bascule","Double run"),"ROKS"))))))</f>
        <v/>
      </c>
      <c r="AN176" s="51" t="str">
        <f aca="false">IF(OR($A176="",AN$8=""),"",IF($F176="Migré","ROKS",IF($F176="À décommissionner",IF(AN$8&lt;$AS176,"IKS","Décom."),IF(OR($AQ176="",$AS176=""),"",IF(AN$8&lt;$AQ176,"IKS",IF(AN$8&lt;$AS176,IF(AN$8=$AR176,"Bascule","Double run"),"ROKS"))))))</f>
        <v/>
      </c>
      <c r="AO176" s="51" t="str">
        <f aca="false">IF(OR($A176="",AO$8=""),"",IF($F176="Migré","ROKS",IF($F176="À décommissionner",IF(AO$8&lt;$AS176,"IKS","Décom."),IF(OR($AQ176="",$AS176=""),"",IF(AO$8&lt;$AQ176,"IKS",IF(AO$8&lt;$AS176,IF(AO$8=$AR176,"Bascule","Double run"),"ROKS"))))))</f>
        <v/>
      </c>
      <c r="AP176" s="51" t="str">
        <f aca="false">IF(OR($A176="",AP$8=""),"",IF($F176="Migré","ROKS",IF($F176="À décommissionner",IF(AP$8&lt;$AS176,"IKS","Décom."),IF(OR($AQ176="",$AS176=""),"",IF(AP$8&lt;$AQ176,"IKS",IF(AP$8&lt;$AS176,IF(AP$8=$AR176,"Bascule","Double run"),"ROKS"))))))</f>
        <v/>
      </c>
      <c r="AQ176" s="0" t="str">
        <f aca="false">IF($A176="","",INDEX(TblApplications[Mois prov (calc)],$A176))</f>
        <v/>
      </c>
      <c r="AR176" s="0" t="str">
        <f aca="false">IF($A176="","",IFERROR(DATE(YEAR(INDEX(TblApplications[Mois bascule],$A176)),MONTH(INDEX(TblApplications[Mois bascule],$A176)),1),""))</f>
        <v/>
      </c>
      <c r="AS176" s="0" t="str">
        <f aca="false">IF($A176="","",INDEX(TblApplications[Mois lib (calc)],$A176))</f>
        <v/>
      </c>
    </row>
    <row r="177" customFormat="false" ht="15" hidden="false" customHeight="false" outlineLevel="0" collapsed="false">
      <c r="A177" s="49" t="str">
        <f aca="false">IFERROR(MATCH(169,TblApplications[Rang frise],0),"")</f>
        <v/>
      </c>
      <c r="B177" s="50" t="str">
        <f aca="false">IF($A177="","",INDEX(TblApplications[ID],$A177))</f>
        <v/>
      </c>
      <c r="C177" s="50" t="str">
        <f aca="false">IF($A177="","",INDEX(TblApplications[Application],$A177))</f>
        <v/>
      </c>
      <c r="D177" s="50" t="str">
        <f aca="false">IF($A177="","",INDEX(TblApplications[Environnement],$A177))</f>
        <v/>
      </c>
      <c r="E177" s="50" t="str">
        <f aca="false">IF($A177="","",INDEX(TblApplications[Couloir],$A177))</f>
        <v/>
      </c>
      <c r="F177" s="50" t="str">
        <f aca="false">IF($A177="","",INDEX(TblApplications[Action],$A177))</f>
        <v/>
      </c>
      <c r="G177" s="51" t="str">
        <f aca="false">IF(OR($A177="",G$8=""),"",IF($F177="Migré","ROKS",IF($F177="À décommissionner",IF(G$8&lt;$AS177,"IKS","Décom."),IF(OR($AQ177="",$AS177=""),"",IF(G$8&lt;$AQ177,"IKS",IF(G$8&lt;$AS177,IF(G$8=$AR177,"Bascule","Double run"),"ROKS"))))))</f>
        <v/>
      </c>
      <c r="H177" s="51" t="str">
        <f aca="false">IF(OR($A177="",H$8=""),"",IF($F177="Migré","ROKS",IF($F177="À décommissionner",IF(H$8&lt;$AS177,"IKS","Décom."),IF(OR($AQ177="",$AS177=""),"",IF(H$8&lt;$AQ177,"IKS",IF(H$8&lt;$AS177,IF(H$8=$AR177,"Bascule","Double run"),"ROKS"))))))</f>
        <v/>
      </c>
      <c r="I177" s="51" t="str">
        <f aca="false">IF(OR($A177="",I$8=""),"",IF($F177="Migré","ROKS",IF($F177="À décommissionner",IF(I$8&lt;$AS177,"IKS","Décom."),IF(OR($AQ177="",$AS177=""),"",IF(I$8&lt;$AQ177,"IKS",IF(I$8&lt;$AS177,IF(I$8=$AR177,"Bascule","Double run"),"ROKS"))))))</f>
        <v/>
      </c>
      <c r="J177" s="51" t="str">
        <f aca="false">IF(OR($A177="",J$8=""),"",IF($F177="Migré","ROKS",IF($F177="À décommissionner",IF(J$8&lt;$AS177,"IKS","Décom."),IF(OR($AQ177="",$AS177=""),"",IF(J$8&lt;$AQ177,"IKS",IF(J$8&lt;$AS177,IF(J$8=$AR177,"Bascule","Double run"),"ROKS"))))))</f>
        <v/>
      </c>
      <c r="K177" s="51" t="str">
        <f aca="false">IF(OR($A177="",K$8=""),"",IF($F177="Migré","ROKS",IF($F177="À décommissionner",IF(K$8&lt;$AS177,"IKS","Décom."),IF(OR($AQ177="",$AS177=""),"",IF(K$8&lt;$AQ177,"IKS",IF(K$8&lt;$AS177,IF(K$8=$AR177,"Bascule","Double run"),"ROKS"))))))</f>
        <v/>
      </c>
      <c r="L177" s="51" t="str">
        <f aca="false">IF(OR($A177="",L$8=""),"",IF($F177="Migré","ROKS",IF($F177="À décommissionner",IF(L$8&lt;$AS177,"IKS","Décom."),IF(OR($AQ177="",$AS177=""),"",IF(L$8&lt;$AQ177,"IKS",IF(L$8&lt;$AS177,IF(L$8=$AR177,"Bascule","Double run"),"ROKS"))))))</f>
        <v/>
      </c>
      <c r="M177" s="51" t="str">
        <f aca="false">IF(OR($A177="",M$8=""),"",IF($F177="Migré","ROKS",IF($F177="À décommissionner",IF(M$8&lt;$AS177,"IKS","Décom."),IF(OR($AQ177="",$AS177=""),"",IF(M$8&lt;$AQ177,"IKS",IF(M$8&lt;$AS177,IF(M$8=$AR177,"Bascule","Double run"),"ROKS"))))))</f>
        <v/>
      </c>
      <c r="N177" s="51" t="str">
        <f aca="false">IF(OR($A177="",N$8=""),"",IF($F177="Migré","ROKS",IF($F177="À décommissionner",IF(N$8&lt;$AS177,"IKS","Décom."),IF(OR($AQ177="",$AS177=""),"",IF(N$8&lt;$AQ177,"IKS",IF(N$8&lt;$AS177,IF(N$8=$AR177,"Bascule","Double run"),"ROKS"))))))</f>
        <v/>
      </c>
      <c r="O177" s="51" t="str">
        <f aca="false">IF(OR($A177="",O$8=""),"",IF($F177="Migré","ROKS",IF($F177="À décommissionner",IF(O$8&lt;$AS177,"IKS","Décom."),IF(OR($AQ177="",$AS177=""),"",IF(O$8&lt;$AQ177,"IKS",IF(O$8&lt;$AS177,IF(O$8=$AR177,"Bascule","Double run"),"ROKS"))))))</f>
        <v/>
      </c>
      <c r="P177" s="51" t="str">
        <f aca="false">IF(OR($A177="",P$8=""),"",IF($F177="Migré","ROKS",IF($F177="À décommissionner",IF(P$8&lt;$AS177,"IKS","Décom."),IF(OR($AQ177="",$AS177=""),"",IF(P$8&lt;$AQ177,"IKS",IF(P$8&lt;$AS177,IF(P$8=$AR177,"Bascule","Double run"),"ROKS"))))))</f>
        <v/>
      </c>
      <c r="Q177" s="51" t="str">
        <f aca="false">IF(OR($A177="",Q$8=""),"",IF($F177="Migré","ROKS",IF($F177="À décommissionner",IF(Q$8&lt;$AS177,"IKS","Décom."),IF(OR($AQ177="",$AS177=""),"",IF(Q$8&lt;$AQ177,"IKS",IF(Q$8&lt;$AS177,IF(Q$8=$AR177,"Bascule","Double run"),"ROKS"))))))</f>
        <v/>
      </c>
      <c r="R177" s="51" t="str">
        <f aca="false">IF(OR($A177="",R$8=""),"",IF($F177="Migré","ROKS",IF($F177="À décommissionner",IF(R$8&lt;$AS177,"IKS","Décom."),IF(OR($AQ177="",$AS177=""),"",IF(R$8&lt;$AQ177,"IKS",IF(R$8&lt;$AS177,IF(R$8=$AR177,"Bascule","Double run"),"ROKS"))))))</f>
        <v/>
      </c>
      <c r="S177" s="51" t="str">
        <f aca="false">IF(OR($A177="",S$8=""),"",IF($F177="Migré","ROKS",IF($F177="À décommissionner",IF(S$8&lt;$AS177,"IKS","Décom."),IF(OR($AQ177="",$AS177=""),"",IF(S$8&lt;$AQ177,"IKS",IF(S$8&lt;$AS177,IF(S$8=$AR177,"Bascule","Double run"),"ROKS"))))))</f>
        <v/>
      </c>
      <c r="T177" s="51" t="str">
        <f aca="false">IF(OR($A177="",T$8=""),"",IF($F177="Migré","ROKS",IF($F177="À décommissionner",IF(T$8&lt;$AS177,"IKS","Décom."),IF(OR($AQ177="",$AS177=""),"",IF(T$8&lt;$AQ177,"IKS",IF(T$8&lt;$AS177,IF(T$8=$AR177,"Bascule","Double run"),"ROKS"))))))</f>
        <v/>
      </c>
      <c r="U177" s="51" t="str">
        <f aca="false">IF(OR($A177="",U$8=""),"",IF($F177="Migré","ROKS",IF($F177="À décommissionner",IF(U$8&lt;$AS177,"IKS","Décom."),IF(OR($AQ177="",$AS177=""),"",IF(U$8&lt;$AQ177,"IKS",IF(U$8&lt;$AS177,IF(U$8=$AR177,"Bascule","Double run"),"ROKS"))))))</f>
        <v/>
      </c>
      <c r="V177" s="51" t="str">
        <f aca="false">IF(OR($A177="",V$8=""),"",IF($F177="Migré","ROKS",IF($F177="À décommissionner",IF(V$8&lt;$AS177,"IKS","Décom."),IF(OR($AQ177="",$AS177=""),"",IF(V$8&lt;$AQ177,"IKS",IF(V$8&lt;$AS177,IF(V$8=$AR177,"Bascule","Double run"),"ROKS"))))))</f>
        <v/>
      </c>
      <c r="W177" s="51" t="str">
        <f aca="false">IF(OR($A177="",W$8=""),"",IF($F177="Migré","ROKS",IF($F177="À décommissionner",IF(W$8&lt;$AS177,"IKS","Décom."),IF(OR($AQ177="",$AS177=""),"",IF(W$8&lt;$AQ177,"IKS",IF(W$8&lt;$AS177,IF(W$8=$AR177,"Bascule","Double run"),"ROKS"))))))</f>
        <v/>
      </c>
      <c r="X177" s="51" t="str">
        <f aca="false">IF(OR($A177="",X$8=""),"",IF($F177="Migré","ROKS",IF($F177="À décommissionner",IF(X$8&lt;$AS177,"IKS","Décom."),IF(OR($AQ177="",$AS177=""),"",IF(X$8&lt;$AQ177,"IKS",IF(X$8&lt;$AS177,IF(X$8=$AR177,"Bascule","Double run"),"ROKS"))))))</f>
        <v/>
      </c>
      <c r="Y177" s="51" t="str">
        <f aca="false">IF(OR($A177="",Y$8=""),"",IF($F177="Migré","ROKS",IF($F177="À décommissionner",IF(Y$8&lt;$AS177,"IKS","Décom."),IF(OR($AQ177="",$AS177=""),"",IF(Y$8&lt;$AQ177,"IKS",IF(Y$8&lt;$AS177,IF(Y$8=$AR177,"Bascule","Double run"),"ROKS"))))))</f>
        <v/>
      </c>
      <c r="Z177" s="51" t="str">
        <f aca="false">IF(OR($A177="",Z$8=""),"",IF($F177="Migré","ROKS",IF($F177="À décommissionner",IF(Z$8&lt;$AS177,"IKS","Décom."),IF(OR($AQ177="",$AS177=""),"",IF(Z$8&lt;$AQ177,"IKS",IF(Z$8&lt;$AS177,IF(Z$8=$AR177,"Bascule","Double run"),"ROKS"))))))</f>
        <v/>
      </c>
      <c r="AA177" s="51" t="str">
        <f aca="false">IF(OR($A177="",AA$8=""),"",IF($F177="Migré","ROKS",IF($F177="À décommissionner",IF(AA$8&lt;$AS177,"IKS","Décom."),IF(OR($AQ177="",$AS177=""),"",IF(AA$8&lt;$AQ177,"IKS",IF(AA$8&lt;$AS177,IF(AA$8=$AR177,"Bascule","Double run"),"ROKS"))))))</f>
        <v/>
      </c>
      <c r="AB177" s="51" t="str">
        <f aca="false">IF(OR($A177="",AB$8=""),"",IF($F177="Migré","ROKS",IF($F177="À décommissionner",IF(AB$8&lt;$AS177,"IKS","Décom."),IF(OR($AQ177="",$AS177=""),"",IF(AB$8&lt;$AQ177,"IKS",IF(AB$8&lt;$AS177,IF(AB$8=$AR177,"Bascule","Double run"),"ROKS"))))))</f>
        <v/>
      </c>
      <c r="AC177" s="51" t="str">
        <f aca="false">IF(OR($A177="",AC$8=""),"",IF($F177="Migré","ROKS",IF($F177="À décommissionner",IF(AC$8&lt;$AS177,"IKS","Décom."),IF(OR($AQ177="",$AS177=""),"",IF(AC$8&lt;$AQ177,"IKS",IF(AC$8&lt;$AS177,IF(AC$8=$AR177,"Bascule","Double run"),"ROKS"))))))</f>
        <v/>
      </c>
      <c r="AD177" s="51" t="str">
        <f aca="false">IF(OR($A177="",AD$8=""),"",IF($F177="Migré","ROKS",IF($F177="À décommissionner",IF(AD$8&lt;$AS177,"IKS","Décom."),IF(OR($AQ177="",$AS177=""),"",IF(AD$8&lt;$AQ177,"IKS",IF(AD$8&lt;$AS177,IF(AD$8=$AR177,"Bascule","Double run"),"ROKS"))))))</f>
        <v/>
      </c>
      <c r="AE177" s="51" t="str">
        <f aca="false">IF(OR($A177="",AE$8=""),"",IF($F177="Migré","ROKS",IF($F177="À décommissionner",IF(AE$8&lt;$AS177,"IKS","Décom."),IF(OR($AQ177="",$AS177=""),"",IF(AE$8&lt;$AQ177,"IKS",IF(AE$8&lt;$AS177,IF(AE$8=$AR177,"Bascule","Double run"),"ROKS"))))))</f>
        <v/>
      </c>
      <c r="AF177" s="51" t="str">
        <f aca="false">IF(OR($A177="",AF$8=""),"",IF($F177="Migré","ROKS",IF($F177="À décommissionner",IF(AF$8&lt;$AS177,"IKS","Décom."),IF(OR($AQ177="",$AS177=""),"",IF(AF$8&lt;$AQ177,"IKS",IF(AF$8&lt;$AS177,IF(AF$8=$AR177,"Bascule","Double run"),"ROKS"))))))</f>
        <v/>
      </c>
      <c r="AG177" s="51" t="str">
        <f aca="false">IF(OR($A177="",AG$8=""),"",IF($F177="Migré","ROKS",IF($F177="À décommissionner",IF(AG$8&lt;$AS177,"IKS","Décom."),IF(OR($AQ177="",$AS177=""),"",IF(AG$8&lt;$AQ177,"IKS",IF(AG$8&lt;$AS177,IF(AG$8=$AR177,"Bascule","Double run"),"ROKS"))))))</f>
        <v/>
      </c>
      <c r="AH177" s="51" t="str">
        <f aca="false">IF(OR($A177="",AH$8=""),"",IF($F177="Migré","ROKS",IF($F177="À décommissionner",IF(AH$8&lt;$AS177,"IKS","Décom."),IF(OR($AQ177="",$AS177=""),"",IF(AH$8&lt;$AQ177,"IKS",IF(AH$8&lt;$AS177,IF(AH$8=$AR177,"Bascule","Double run"),"ROKS"))))))</f>
        <v/>
      </c>
      <c r="AI177" s="51" t="str">
        <f aca="false">IF(OR($A177="",AI$8=""),"",IF($F177="Migré","ROKS",IF($F177="À décommissionner",IF(AI$8&lt;$AS177,"IKS","Décom."),IF(OR($AQ177="",$AS177=""),"",IF(AI$8&lt;$AQ177,"IKS",IF(AI$8&lt;$AS177,IF(AI$8=$AR177,"Bascule","Double run"),"ROKS"))))))</f>
        <v/>
      </c>
      <c r="AJ177" s="51" t="str">
        <f aca="false">IF(OR($A177="",AJ$8=""),"",IF($F177="Migré","ROKS",IF($F177="À décommissionner",IF(AJ$8&lt;$AS177,"IKS","Décom."),IF(OR($AQ177="",$AS177=""),"",IF(AJ$8&lt;$AQ177,"IKS",IF(AJ$8&lt;$AS177,IF(AJ$8=$AR177,"Bascule","Double run"),"ROKS"))))))</f>
        <v/>
      </c>
      <c r="AK177" s="51" t="str">
        <f aca="false">IF(OR($A177="",AK$8=""),"",IF($F177="Migré","ROKS",IF($F177="À décommissionner",IF(AK$8&lt;$AS177,"IKS","Décom."),IF(OR($AQ177="",$AS177=""),"",IF(AK$8&lt;$AQ177,"IKS",IF(AK$8&lt;$AS177,IF(AK$8=$AR177,"Bascule","Double run"),"ROKS"))))))</f>
        <v/>
      </c>
      <c r="AL177" s="51" t="str">
        <f aca="false">IF(OR($A177="",AL$8=""),"",IF($F177="Migré","ROKS",IF($F177="À décommissionner",IF(AL$8&lt;$AS177,"IKS","Décom."),IF(OR($AQ177="",$AS177=""),"",IF(AL$8&lt;$AQ177,"IKS",IF(AL$8&lt;$AS177,IF(AL$8=$AR177,"Bascule","Double run"),"ROKS"))))))</f>
        <v/>
      </c>
      <c r="AM177" s="51" t="str">
        <f aca="false">IF(OR($A177="",AM$8=""),"",IF($F177="Migré","ROKS",IF($F177="À décommissionner",IF(AM$8&lt;$AS177,"IKS","Décom."),IF(OR($AQ177="",$AS177=""),"",IF(AM$8&lt;$AQ177,"IKS",IF(AM$8&lt;$AS177,IF(AM$8=$AR177,"Bascule","Double run"),"ROKS"))))))</f>
        <v/>
      </c>
      <c r="AN177" s="51" t="str">
        <f aca="false">IF(OR($A177="",AN$8=""),"",IF($F177="Migré","ROKS",IF($F177="À décommissionner",IF(AN$8&lt;$AS177,"IKS","Décom."),IF(OR($AQ177="",$AS177=""),"",IF(AN$8&lt;$AQ177,"IKS",IF(AN$8&lt;$AS177,IF(AN$8=$AR177,"Bascule","Double run"),"ROKS"))))))</f>
        <v/>
      </c>
      <c r="AO177" s="51" t="str">
        <f aca="false">IF(OR($A177="",AO$8=""),"",IF($F177="Migré","ROKS",IF($F177="À décommissionner",IF(AO$8&lt;$AS177,"IKS","Décom."),IF(OR($AQ177="",$AS177=""),"",IF(AO$8&lt;$AQ177,"IKS",IF(AO$8&lt;$AS177,IF(AO$8=$AR177,"Bascule","Double run"),"ROKS"))))))</f>
        <v/>
      </c>
      <c r="AP177" s="51" t="str">
        <f aca="false">IF(OR($A177="",AP$8=""),"",IF($F177="Migré","ROKS",IF($F177="À décommissionner",IF(AP$8&lt;$AS177,"IKS","Décom."),IF(OR($AQ177="",$AS177=""),"",IF(AP$8&lt;$AQ177,"IKS",IF(AP$8&lt;$AS177,IF(AP$8=$AR177,"Bascule","Double run"),"ROKS"))))))</f>
        <v/>
      </c>
      <c r="AQ177" s="0" t="str">
        <f aca="false">IF($A177="","",INDEX(TblApplications[Mois prov (calc)],$A177))</f>
        <v/>
      </c>
      <c r="AR177" s="0" t="str">
        <f aca="false">IF($A177="","",IFERROR(DATE(YEAR(INDEX(TblApplications[Mois bascule],$A177)),MONTH(INDEX(TblApplications[Mois bascule],$A177)),1),""))</f>
        <v/>
      </c>
      <c r="AS177" s="0" t="str">
        <f aca="false">IF($A177="","",INDEX(TblApplications[Mois lib (calc)],$A177))</f>
        <v/>
      </c>
    </row>
    <row r="178" customFormat="false" ht="15" hidden="false" customHeight="false" outlineLevel="0" collapsed="false">
      <c r="A178" s="49" t="str">
        <f aca="false">IFERROR(MATCH(170,TblApplications[Rang frise],0),"")</f>
        <v/>
      </c>
      <c r="B178" s="50" t="str">
        <f aca="false">IF($A178="","",INDEX(TblApplications[ID],$A178))</f>
        <v/>
      </c>
      <c r="C178" s="50" t="str">
        <f aca="false">IF($A178="","",INDEX(TblApplications[Application],$A178))</f>
        <v/>
      </c>
      <c r="D178" s="50" t="str">
        <f aca="false">IF($A178="","",INDEX(TblApplications[Environnement],$A178))</f>
        <v/>
      </c>
      <c r="E178" s="50" t="str">
        <f aca="false">IF($A178="","",INDEX(TblApplications[Couloir],$A178))</f>
        <v/>
      </c>
      <c r="F178" s="50" t="str">
        <f aca="false">IF($A178="","",INDEX(TblApplications[Action],$A178))</f>
        <v/>
      </c>
      <c r="G178" s="51" t="str">
        <f aca="false">IF(OR($A178="",G$8=""),"",IF($F178="Migré","ROKS",IF($F178="À décommissionner",IF(G$8&lt;$AS178,"IKS","Décom."),IF(OR($AQ178="",$AS178=""),"",IF(G$8&lt;$AQ178,"IKS",IF(G$8&lt;$AS178,IF(G$8=$AR178,"Bascule","Double run"),"ROKS"))))))</f>
        <v/>
      </c>
      <c r="H178" s="51" t="str">
        <f aca="false">IF(OR($A178="",H$8=""),"",IF($F178="Migré","ROKS",IF($F178="À décommissionner",IF(H$8&lt;$AS178,"IKS","Décom."),IF(OR($AQ178="",$AS178=""),"",IF(H$8&lt;$AQ178,"IKS",IF(H$8&lt;$AS178,IF(H$8=$AR178,"Bascule","Double run"),"ROKS"))))))</f>
        <v/>
      </c>
      <c r="I178" s="51" t="str">
        <f aca="false">IF(OR($A178="",I$8=""),"",IF($F178="Migré","ROKS",IF($F178="À décommissionner",IF(I$8&lt;$AS178,"IKS","Décom."),IF(OR($AQ178="",$AS178=""),"",IF(I$8&lt;$AQ178,"IKS",IF(I$8&lt;$AS178,IF(I$8=$AR178,"Bascule","Double run"),"ROKS"))))))</f>
        <v/>
      </c>
      <c r="J178" s="51" t="str">
        <f aca="false">IF(OR($A178="",J$8=""),"",IF($F178="Migré","ROKS",IF($F178="À décommissionner",IF(J$8&lt;$AS178,"IKS","Décom."),IF(OR($AQ178="",$AS178=""),"",IF(J$8&lt;$AQ178,"IKS",IF(J$8&lt;$AS178,IF(J$8=$AR178,"Bascule","Double run"),"ROKS"))))))</f>
        <v/>
      </c>
      <c r="K178" s="51" t="str">
        <f aca="false">IF(OR($A178="",K$8=""),"",IF($F178="Migré","ROKS",IF($F178="À décommissionner",IF(K$8&lt;$AS178,"IKS","Décom."),IF(OR($AQ178="",$AS178=""),"",IF(K$8&lt;$AQ178,"IKS",IF(K$8&lt;$AS178,IF(K$8=$AR178,"Bascule","Double run"),"ROKS"))))))</f>
        <v/>
      </c>
      <c r="L178" s="51" t="str">
        <f aca="false">IF(OR($A178="",L$8=""),"",IF($F178="Migré","ROKS",IF($F178="À décommissionner",IF(L$8&lt;$AS178,"IKS","Décom."),IF(OR($AQ178="",$AS178=""),"",IF(L$8&lt;$AQ178,"IKS",IF(L$8&lt;$AS178,IF(L$8=$AR178,"Bascule","Double run"),"ROKS"))))))</f>
        <v/>
      </c>
      <c r="M178" s="51" t="str">
        <f aca="false">IF(OR($A178="",M$8=""),"",IF($F178="Migré","ROKS",IF($F178="À décommissionner",IF(M$8&lt;$AS178,"IKS","Décom."),IF(OR($AQ178="",$AS178=""),"",IF(M$8&lt;$AQ178,"IKS",IF(M$8&lt;$AS178,IF(M$8=$AR178,"Bascule","Double run"),"ROKS"))))))</f>
        <v/>
      </c>
      <c r="N178" s="51" t="str">
        <f aca="false">IF(OR($A178="",N$8=""),"",IF($F178="Migré","ROKS",IF($F178="À décommissionner",IF(N$8&lt;$AS178,"IKS","Décom."),IF(OR($AQ178="",$AS178=""),"",IF(N$8&lt;$AQ178,"IKS",IF(N$8&lt;$AS178,IF(N$8=$AR178,"Bascule","Double run"),"ROKS"))))))</f>
        <v/>
      </c>
      <c r="O178" s="51" t="str">
        <f aca="false">IF(OR($A178="",O$8=""),"",IF($F178="Migré","ROKS",IF($F178="À décommissionner",IF(O$8&lt;$AS178,"IKS","Décom."),IF(OR($AQ178="",$AS178=""),"",IF(O$8&lt;$AQ178,"IKS",IF(O$8&lt;$AS178,IF(O$8=$AR178,"Bascule","Double run"),"ROKS"))))))</f>
        <v/>
      </c>
      <c r="P178" s="51" t="str">
        <f aca="false">IF(OR($A178="",P$8=""),"",IF($F178="Migré","ROKS",IF($F178="À décommissionner",IF(P$8&lt;$AS178,"IKS","Décom."),IF(OR($AQ178="",$AS178=""),"",IF(P$8&lt;$AQ178,"IKS",IF(P$8&lt;$AS178,IF(P$8=$AR178,"Bascule","Double run"),"ROKS"))))))</f>
        <v/>
      </c>
      <c r="Q178" s="51" t="str">
        <f aca="false">IF(OR($A178="",Q$8=""),"",IF($F178="Migré","ROKS",IF($F178="À décommissionner",IF(Q$8&lt;$AS178,"IKS","Décom."),IF(OR($AQ178="",$AS178=""),"",IF(Q$8&lt;$AQ178,"IKS",IF(Q$8&lt;$AS178,IF(Q$8=$AR178,"Bascule","Double run"),"ROKS"))))))</f>
        <v/>
      </c>
      <c r="R178" s="51" t="str">
        <f aca="false">IF(OR($A178="",R$8=""),"",IF($F178="Migré","ROKS",IF($F178="À décommissionner",IF(R$8&lt;$AS178,"IKS","Décom."),IF(OR($AQ178="",$AS178=""),"",IF(R$8&lt;$AQ178,"IKS",IF(R$8&lt;$AS178,IF(R$8=$AR178,"Bascule","Double run"),"ROKS"))))))</f>
        <v/>
      </c>
      <c r="S178" s="51" t="str">
        <f aca="false">IF(OR($A178="",S$8=""),"",IF($F178="Migré","ROKS",IF($F178="À décommissionner",IF(S$8&lt;$AS178,"IKS","Décom."),IF(OR($AQ178="",$AS178=""),"",IF(S$8&lt;$AQ178,"IKS",IF(S$8&lt;$AS178,IF(S$8=$AR178,"Bascule","Double run"),"ROKS"))))))</f>
        <v/>
      </c>
      <c r="T178" s="51" t="str">
        <f aca="false">IF(OR($A178="",T$8=""),"",IF($F178="Migré","ROKS",IF($F178="À décommissionner",IF(T$8&lt;$AS178,"IKS","Décom."),IF(OR($AQ178="",$AS178=""),"",IF(T$8&lt;$AQ178,"IKS",IF(T$8&lt;$AS178,IF(T$8=$AR178,"Bascule","Double run"),"ROKS"))))))</f>
        <v/>
      </c>
      <c r="U178" s="51" t="str">
        <f aca="false">IF(OR($A178="",U$8=""),"",IF($F178="Migré","ROKS",IF($F178="À décommissionner",IF(U$8&lt;$AS178,"IKS","Décom."),IF(OR($AQ178="",$AS178=""),"",IF(U$8&lt;$AQ178,"IKS",IF(U$8&lt;$AS178,IF(U$8=$AR178,"Bascule","Double run"),"ROKS"))))))</f>
        <v/>
      </c>
      <c r="V178" s="51" t="str">
        <f aca="false">IF(OR($A178="",V$8=""),"",IF($F178="Migré","ROKS",IF($F178="À décommissionner",IF(V$8&lt;$AS178,"IKS","Décom."),IF(OR($AQ178="",$AS178=""),"",IF(V$8&lt;$AQ178,"IKS",IF(V$8&lt;$AS178,IF(V$8=$AR178,"Bascule","Double run"),"ROKS"))))))</f>
        <v/>
      </c>
      <c r="W178" s="51" t="str">
        <f aca="false">IF(OR($A178="",W$8=""),"",IF($F178="Migré","ROKS",IF($F178="À décommissionner",IF(W$8&lt;$AS178,"IKS","Décom."),IF(OR($AQ178="",$AS178=""),"",IF(W$8&lt;$AQ178,"IKS",IF(W$8&lt;$AS178,IF(W$8=$AR178,"Bascule","Double run"),"ROKS"))))))</f>
        <v/>
      </c>
      <c r="X178" s="51" t="str">
        <f aca="false">IF(OR($A178="",X$8=""),"",IF($F178="Migré","ROKS",IF($F178="À décommissionner",IF(X$8&lt;$AS178,"IKS","Décom."),IF(OR($AQ178="",$AS178=""),"",IF(X$8&lt;$AQ178,"IKS",IF(X$8&lt;$AS178,IF(X$8=$AR178,"Bascule","Double run"),"ROKS"))))))</f>
        <v/>
      </c>
      <c r="Y178" s="51" t="str">
        <f aca="false">IF(OR($A178="",Y$8=""),"",IF($F178="Migré","ROKS",IF($F178="À décommissionner",IF(Y$8&lt;$AS178,"IKS","Décom."),IF(OR($AQ178="",$AS178=""),"",IF(Y$8&lt;$AQ178,"IKS",IF(Y$8&lt;$AS178,IF(Y$8=$AR178,"Bascule","Double run"),"ROKS"))))))</f>
        <v/>
      </c>
      <c r="Z178" s="51" t="str">
        <f aca="false">IF(OR($A178="",Z$8=""),"",IF($F178="Migré","ROKS",IF($F178="À décommissionner",IF(Z$8&lt;$AS178,"IKS","Décom."),IF(OR($AQ178="",$AS178=""),"",IF(Z$8&lt;$AQ178,"IKS",IF(Z$8&lt;$AS178,IF(Z$8=$AR178,"Bascule","Double run"),"ROKS"))))))</f>
        <v/>
      </c>
      <c r="AA178" s="51" t="str">
        <f aca="false">IF(OR($A178="",AA$8=""),"",IF($F178="Migré","ROKS",IF($F178="À décommissionner",IF(AA$8&lt;$AS178,"IKS","Décom."),IF(OR($AQ178="",$AS178=""),"",IF(AA$8&lt;$AQ178,"IKS",IF(AA$8&lt;$AS178,IF(AA$8=$AR178,"Bascule","Double run"),"ROKS"))))))</f>
        <v/>
      </c>
      <c r="AB178" s="51" t="str">
        <f aca="false">IF(OR($A178="",AB$8=""),"",IF($F178="Migré","ROKS",IF($F178="À décommissionner",IF(AB$8&lt;$AS178,"IKS","Décom."),IF(OR($AQ178="",$AS178=""),"",IF(AB$8&lt;$AQ178,"IKS",IF(AB$8&lt;$AS178,IF(AB$8=$AR178,"Bascule","Double run"),"ROKS"))))))</f>
        <v/>
      </c>
      <c r="AC178" s="51" t="str">
        <f aca="false">IF(OR($A178="",AC$8=""),"",IF($F178="Migré","ROKS",IF($F178="À décommissionner",IF(AC$8&lt;$AS178,"IKS","Décom."),IF(OR($AQ178="",$AS178=""),"",IF(AC$8&lt;$AQ178,"IKS",IF(AC$8&lt;$AS178,IF(AC$8=$AR178,"Bascule","Double run"),"ROKS"))))))</f>
        <v/>
      </c>
      <c r="AD178" s="51" t="str">
        <f aca="false">IF(OR($A178="",AD$8=""),"",IF($F178="Migré","ROKS",IF($F178="À décommissionner",IF(AD$8&lt;$AS178,"IKS","Décom."),IF(OR($AQ178="",$AS178=""),"",IF(AD$8&lt;$AQ178,"IKS",IF(AD$8&lt;$AS178,IF(AD$8=$AR178,"Bascule","Double run"),"ROKS"))))))</f>
        <v/>
      </c>
      <c r="AE178" s="51" t="str">
        <f aca="false">IF(OR($A178="",AE$8=""),"",IF($F178="Migré","ROKS",IF($F178="À décommissionner",IF(AE$8&lt;$AS178,"IKS","Décom."),IF(OR($AQ178="",$AS178=""),"",IF(AE$8&lt;$AQ178,"IKS",IF(AE$8&lt;$AS178,IF(AE$8=$AR178,"Bascule","Double run"),"ROKS"))))))</f>
        <v/>
      </c>
      <c r="AF178" s="51" t="str">
        <f aca="false">IF(OR($A178="",AF$8=""),"",IF($F178="Migré","ROKS",IF($F178="À décommissionner",IF(AF$8&lt;$AS178,"IKS","Décom."),IF(OR($AQ178="",$AS178=""),"",IF(AF$8&lt;$AQ178,"IKS",IF(AF$8&lt;$AS178,IF(AF$8=$AR178,"Bascule","Double run"),"ROKS"))))))</f>
        <v/>
      </c>
      <c r="AG178" s="51" t="str">
        <f aca="false">IF(OR($A178="",AG$8=""),"",IF($F178="Migré","ROKS",IF($F178="À décommissionner",IF(AG$8&lt;$AS178,"IKS","Décom."),IF(OR($AQ178="",$AS178=""),"",IF(AG$8&lt;$AQ178,"IKS",IF(AG$8&lt;$AS178,IF(AG$8=$AR178,"Bascule","Double run"),"ROKS"))))))</f>
        <v/>
      </c>
      <c r="AH178" s="51" t="str">
        <f aca="false">IF(OR($A178="",AH$8=""),"",IF($F178="Migré","ROKS",IF($F178="À décommissionner",IF(AH$8&lt;$AS178,"IKS","Décom."),IF(OR($AQ178="",$AS178=""),"",IF(AH$8&lt;$AQ178,"IKS",IF(AH$8&lt;$AS178,IF(AH$8=$AR178,"Bascule","Double run"),"ROKS"))))))</f>
        <v/>
      </c>
      <c r="AI178" s="51" t="str">
        <f aca="false">IF(OR($A178="",AI$8=""),"",IF($F178="Migré","ROKS",IF($F178="À décommissionner",IF(AI$8&lt;$AS178,"IKS","Décom."),IF(OR($AQ178="",$AS178=""),"",IF(AI$8&lt;$AQ178,"IKS",IF(AI$8&lt;$AS178,IF(AI$8=$AR178,"Bascule","Double run"),"ROKS"))))))</f>
        <v/>
      </c>
      <c r="AJ178" s="51" t="str">
        <f aca="false">IF(OR($A178="",AJ$8=""),"",IF($F178="Migré","ROKS",IF($F178="À décommissionner",IF(AJ$8&lt;$AS178,"IKS","Décom."),IF(OR($AQ178="",$AS178=""),"",IF(AJ$8&lt;$AQ178,"IKS",IF(AJ$8&lt;$AS178,IF(AJ$8=$AR178,"Bascule","Double run"),"ROKS"))))))</f>
        <v/>
      </c>
      <c r="AK178" s="51" t="str">
        <f aca="false">IF(OR($A178="",AK$8=""),"",IF($F178="Migré","ROKS",IF($F178="À décommissionner",IF(AK$8&lt;$AS178,"IKS","Décom."),IF(OR($AQ178="",$AS178=""),"",IF(AK$8&lt;$AQ178,"IKS",IF(AK$8&lt;$AS178,IF(AK$8=$AR178,"Bascule","Double run"),"ROKS"))))))</f>
        <v/>
      </c>
      <c r="AL178" s="51" t="str">
        <f aca="false">IF(OR($A178="",AL$8=""),"",IF($F178="Migré","ROKS",IF($F178="À décommissionner",IF(AL$8&lt;$AS178,"IKS","Décom."),IF(OR($AQ178="",$AS178=""),"",IF(AL$8&lt;$AQ178,"IKS",IF(AL$8&lt;$AS178,IF(AL$8=$AR178,"Bascule","Double run"),"ROKS"))))))</f>
        <v/>
      </c>
      <c r="AM178" s="51" t="str">
        <f aca="false">IF(OR($A178="",AM$8=""),"",IF($F178="Migré","ROKS",IF($F178="À décommissionner",IF(AM$8&lt;$AS178,"IKS","Décom."),IF(OR($AQ178="",$AS178=""),"",IF(AM$8&lt;$AQ178,"IKS",IF(AM$8&lt;$AS178,IF(AM$8=$AR178,"Bascule","Double run"),"ROKS"))))))</f>
        <v/>
      </c>
      <c r="AN178" s="51" t="str">
        <f aca="false">IF(OR($A178="",AN$8=""),"",IF($F178="Migré","ROKS",IF($F178="À décommissionner",IF(AN$8&lt;$AS178,"IKS","Décom."),IF(OR($AQ178="",$AS178=""),"",IF(AN$8&lt;$AQ178,"IKS",IF(AN$8&lt;$AS178,IF(AN$8=$AR178,"Bascule","Double run"),"ROKS"))))))</f>
        <v/>
      </c>
      <c r="AO178" s="51" t="str">
        <f aca="false">IF(OR($A178="",AO$8=""),"",IF($F178="Migré","ROKS",IF($F178="À décommissionner",IF(AO$8&lt;$AS178,"IKS","Décom."),IF(OR($AQ178="",$AS178=""),"",IF(AO$8&lt;$AQ178,"IKS",IF(AO$8&lt;$AS178,IF(AO$8=$AR178,"Bascule","Double run"),"ROKS"))))))</f>
        <v/>
      </c>
      <c r="AP178" s="51" t="str">
        <f aca="false">IF(OR($A178="",AP$8=""),"",IF($F178="Migré","ROKS",IF($F178="À décommissionner",IF(AP$8&lt;$AS178,"IKS","Décom."),IF(OR($AQ178="",$AS178=""),"",IF(AP$8&lt;$AQ178,"IKS",IF(AP$8&lt;$AS178,IF(AP$8=$AR178,"Bascule","Double run"),"ROKS"))))))</f>
        <v/>
      </c>
      <c r="AQ178" s="0" t="str">
        <f aca="false">IF($A178="","",INDEX(TblApplications[Mois prov (calc)],$A178))</f>
        <v/>
      </c>
      <c r="AR178" s="0" t="str">
        <f aca="false">IF($A178="","",IFERROR(DATE(YEAR(INDEX(TblApplications[Mois bascule],$A178)),MONTH(INDEX(TblApplications[Mois bascule],$A178)),1),""))</f>
        <v/>
      </c>
      <c r="AS178" s="0" t="str">
        <f aca="false">IF($A178="","",INDEX(TblApplications[Mois lib (calc)],$A178))</f>
        <v/>
      </c>
    </row>
    <row r="179" customFormat="false" ht="15" hidden="false" customHeight="false" outlineLevel="0" collapsed="false">
      <c r="A179" s="49" t="str">
        <f aca="false">IFERROR(MATCH(171,TblApplications[Rang frise],0),"")</f>
        <v/>
      </c>
      <c r="B179" s="50" t="str">
        <f aca="false">IF($A179="","",INDEX(TblApplications[ID],$A179))</f>
        <v/>
      </c>
      <c r="C179" s="50" t="str">
        <f aca="false">IF($A179="","",INDEX(TblApplications[Application],$A179))</f>
        <v/>
      </c>
      <c r="D179" s="50" t="str">
        <f aca="false">IF($A179="","",INDEX(TblApplications[Environnement],$A179))</f>
        <v/>
      </c>
      <c r="E179" s="50" t="str">
        <f aca="false">IF($A179="","",INDEX(TblApplications[Couloir],$A179))</f>
        <v/>
      </c>
      <c r="F179" s="50" t="str">
        <f aca="false">IF($A179="","",INDEX(TblApplications[Action],$A179))</f>
        <v/>
      </c>
      <c r="G179" s="51" t="str">
        <f aca="false">IF(OR($A179="",G$8=""),"",IF($F179="Migré","ROKS",IF($F179="À décommissionner",IF(G$8&lt;$AS179,"IKS","Décom."),IF(OR($AQ179="",$AS179=""),"",IF(G$8&lt;$AQ179,"IKS",IF(G$8&lt;$AS179,IF(G$8=$AR179,"Bascule","Double run"),"ROKS"))))))</f>
        <v/>
      </c>
      <c r="H179" s="51" t="str">
        <f aca="false">IF(OR($A179="",H$8=""),"",IF($F179="Migré","ROKS",IF($F179="À décommissionner",IF(H$8&lt;$AS179,"IKS","Décom."),IF(OR($AQ179="",$AS179=""),"",IF(H$8&lt;$AQ179,"IKS",IF(H$8&lt;$AS179,IF(H$8=$AR179,"Bascule","Double run"),"ROKS"))))))</f>
        <v/>
      </c>
      <c r="I179" s="51" t="str">
        <f aca="false">IF(OR($A179="",I$8=""),"",IF($F179="Migré","ROKS",IF($F179="À décommissionner",IF(I$8&lt;$AS179,"IKS","Décom."),IF(OR($AQ179="",$AS179=""),"",IF(I$8&lt;$AQ179,"IKS",IF(I$8&lt;$AS179,IF(I$8=$AR179,"Bascule","Double run"),"ROKS"))))))</f>
        <v/>
      </c>
      <c r="J179" s="51" t="str">
        <f aca="false">IF(OR($A179="",J$8=""),"",IF($F179="Migré","ROKS",IF($F179="À décommissionner",IF(J$8&lt;$AS179,"IKS","Décom."),IF(OR($AQ179="",$AS179=""),"",IF(J$8&lt;$AQ179,"IKS",IF(J$8&lt;$AS179,IF(J$8=$AR179,"Bascule","Double run"),"ROKS"))))))</f>
        <v/>
      </c>
      <c r="K179" s="51" t="str">
        <f aca="false">IF(OR($A179="",K$8=""),"",IF($F179="Migré","ROKS",IF($F179="À décommissionner",IF(K$8&lt;$AS179,"IKS","Décom."),IF(OR($AQ179="",$AS179=""),"",IF(K$8&lt;$AQ179,"IKS",IF(K$8&lt;$AS179,IF(K$8=$AR179,"Bascule","Double run"),"ROKS"))))))</f>
        <v/>
      </c>
      <c r="L179" s="51" t="str">
        <f aca="false">IF(OR($A179="",L$8=""),"",IF($F179="Migré","ROKS",IF($F179="À décommissionner",IF(L$8&lt;$AS179,"IKS","Décom."),IF(OR($AQ179="",$AS179=""),"",IF(L$8&lt;$AQ179,"IKS",IF(L$8&lt;$AS179,IF(L$8=$AR179,"Bascule","Double run"),"ROKS"))))))</f>
        <v/>
      </c>
      <c r="M179" s="51" t="str">
        <f aca="false">IF(OR($A179="",M$8=""),"",IF($F179="Migré","ROKS",IF($F179="À décommissionner",IF(M$8&lt;$AS179,"IKS","Décom."),IF(OR($AQ179="",$AS179=""),"",IF(M$8&lt;$AQ179,"IKS",IF(M$8&lt;$AS179,IF(M$8=$AR179,"Bascule","Double run"),"ROKS"))))))</f>
        <v/>
      </c>
      <c r="N179" s="51" t="str">
        <f aca="false">IF(OR($A179="",N$8=""),"",IF($F179="Migré","ROKS",IF($F179="À décommissionner",IF(N$8&lt;$AS179,"IKS","Décom."),IF(OR($AQ179="",$AS179=""),"",IF(N$8&lt;$AQ179,"IKS",IF(N$8&lt;$AS179,IF(N$8=$AR179,"Bascule","Double run"),"ROKS"))))))</f>
        <v/>
      </c>
      <c r="O179" s="51" t="str">
        <f aca="false">IF(OR($A179="",O$8=""),"",IF($F179="Migré","ROKS",IF($F179="À décommissionner",IF(O$8&lt;$AS179,"IKS","Décom."),IF(OR($AQ179="",$AS179=""),"",IF(O$8&lt;$AQ179,"IKS",IF(O$8&lt;$AS179,IF(O$8=$AR179,"Bascule","Double run"),"ROKS"))))))</f>
        <v/>
      </c>
      <c r="P179" s="51" t="str">
        <f aca="false">IF(OR($A179="",P$8=""),"",IF($F179="Migré","ROKS",IF($F179="À décommissionner",IF(P$8&lt;$AS179,"IKS","Décom."),IF(OR($AQ179="",$AS179=""),"",IF(P$8&lt;$AQ179,"IKS",IF(P$8&lt;$AS179,IF(P$8=$AR179,"Bascule","Double run"),"ROKS"))))))</f>
        <v/>
      </c>
      <c r="Q179" s="51" t="str">
        <f aca="false">IF(OR($A179="",Q$8=""),"",IF($F179="Migré","ROKS",IF($F179="À décommissionner",IF(Q$8&lt;$AS179,"IKS","Décom."),IF(OR($AQ179="",$AS179=""),"",IF(Q$8&lt;$AQ179,"IKS",IF(Q$8&lt;$AS179,IF(Q$8=$AR179,"Bascule","Double run"),"ROKS"))))))</f>
        <v/>
      </c>
      <c r="R179" s="51" t="str">
        <f aca="false">IF(OR($A179="",R$8=""),"",IF($F179="Migré","ROKS",IF($F179="À décommissionner",IF(R$8&lt;$AS179,"IKS","Décom."),IF(OR($AQ179="",$AS179=""),"",IF(R$8&lt;$AQ179,"IKS",IF(R$8&lt;$AS179,IF(R$8=$AR179,"Bascule","Double run"),"ROKS"))))))</f>
        <v/>
      </c>
      <c r="S179" s="51" t="str">
        <f aca="false">IF(OR($A179="",S$8=""),"",IF($F179="Migré","ROKS",IF($F179="À décommissionner",IF(S$8&lt;$AS179,"IKS","Décom."),IF(OR($AQ179="",$AS179=""),"",IF(S$8&lt;$AQ179,"IKS",IF(S$8&lt;$AS179,IF(S$8=$AR179,"Bascule","Double run"),"ROKS"))))))</f>
        <v/>
      </c>
      <c r="T179" s="51" t="str">
        <f aca="false">IF(OR($A179="",T$8=""),"",IF($F179="Migré","ROKS",IF($F179="À décommissionner",IF(T$8&lt;$AS179,"IKS","Décom."),IF(OR($AQ179="",$AS179=""),"",IF(T$8&lt;$AQ179,"IKS",IF(T$8&lt;$AS179,IF(T$8=$AR179,"Bascule","Double run"),"ROKS"))))))</f>
        <v/>
      </c>
      <c r="U179" s="51" t="str">
        <f aca="false">IF(OR($A179="",U$8=""),"",IF($F179="Migré","ROKS",IF($F179="À décommissionner",IF(U$8&lt;$AS179,"IKS","Décom."),IF(OR($AQ179="",$AS179=""),"",IF(U$8&lt;$AQ179,"IKS",IF(U$8&lt;$AS179,IF(U$8=$AR179,"Bascule","Double run"),"ROKS"))))))</f>
        <v/>
      </c>
      <c r="V179" s="51" t="str">
        <f aca="false">IF(OR($A179="",V$8=""),"",IF($F179="Migré","ROKS",IF($F179="À décommissionner",IF(V$8&lt;$AS179,"IKS","Décom."),IF(OR($AQ179="",$AS179=""),"",IF(V$8&lt;$AQ179,"IKS",IF(V$8&lt;$AS179,IF(V$8=$AR179,"Bascule","Double run"),"ROKS"))))))</f>
        <v/>
      </c>
      <c r="W179" s="51" t="str">
        <f aca="false">IF(OR($A179="",W$8=""),"",IF($F179="Migré","ROKS",IF($F179="À décommissionner",IF(W$8&lt;$AS179,"IKS","Décom."),IF(OR($AQ179="",$AS179=""),"",IF(W$8&lt;$AQ179,"IKS",IF(W$8&lt;$AS179,IF(W$8=$AR179,"Bascule","Double run"),"ROKS"))))))</f>
        <v/>
      </c>
      <c r="X179" s="51" t="str">
        <f aca="false">IF(OR($A179="",X$8=""),"",IF($F179="Migré","ROKS",IF($F179="À décommissionner",IF(X$8&lt;$AS179,"IKS","Décom."),IF(OR($AQ179="",$AS179=""),"",IF(X$8&lt;$AQ179,"IKS",IF(X$8&lt;$AS179,IF(X$8=$AR179,"Bascule","Double run"),"ROKS"))))))</f>
        <v/>
      </c>
      <c r="Y179" s="51" t="str">
        <f aca="false">IF(OR($A179="",Y$8=""),"",IF($F179="Migré","ROKS",IF($F179="À décommissionner",IF(Y$8&lt;$AS179,"IKS","Décom."),IF(OR($AQ179="",$AS179=""),"",IF(Y$8&lt;$AQ179,"IKS",IF(Y$8&lt;$AS179,IF(Y$8=$AR179,"Bascule","Double run"),"ROKS"))))))</f>
        <v/>
      </c>
      <c r="Z179" s="51" t="str">
        <f aca="false">IF(OR($A179="",Z$8=""),"",IF($F179="Migré","ROKS",IF($F179="À décommissionner",IF(Z$8&lt;$AS179,"IKS","Décom."),IF(OR($AQ179="",$AS179=""),"",IF(Z$8&lt;$AQ179,"IKS",IF(Z$8&lt;$AS179,IF(Z$8=$AR179,"Bascule","Double run"),"ROKS"))))))</f>
        <v/>
      </c>
      <c r="AA179" s="51" t="str">
        <f aca="false">IF(OR($A179="",AA$8=""),"",IF($F179="Migré","ROKS",IF($F179="À décommissionner",IF(AA$8&lt;$AS179,"IKS","Décom."),IF(OR($AQ179="",$AS179=""),"",IF(AA$8&lt;$AQ179,"IKS",IF(AA$8&lt;$AS179,IF(AA$8=$AR179,"Bascule","Double run"),"ROKS"))))))</f>
        <v/>
      </c>
      <c r="AB179" s="51" t="str">
        <f aca="false">IF(OR($A179="",AB$8=""),"",IF($F179="Migré","ROKS",IF($F179="À décommissionner",IF(AB$8&lt;$AS179,"IKS","Décom."),IF(OR($AQ179="",$AS179=""),"",IF(AB$8&lt;$AQ179,"IKS",IF(AB$8&lt;$AS179,IF(AB$8=$AR179,"Bascule","Double run"),"ROKS"))))))</f>
        <v/>
      </c>
      <c r="AC179" s="51" t="str">
        <f aca="false">IF(OR($A179="",AC$8=""),"",IF($F179="Migré","ROKS",IF($F179="À décommissionner",IF(AC$8&lt;$AS179,"IKS","Décom."),IF(OR($AQ179="",$AS179=""),"",IF(AC$8&lt;$AQ179,"IKS",IF(AC$8&lt;$AS179,IF(AC$8=$AR179,"Bascule","Double run"),"ROKS"))))))</f>
        <v/>
      </c>
      <c r="AD179" s="51" t="str">
        <f aca="false">IF(OR($A179="",AD$8=""),"",IF($F179="Migré","ROKS",IF($F179="À décommissionner",IF(AD$8&lt;$AS179,"IKS","Décom."),IF(OR($AQ179="",$AS179=""),"",IF(AD$8&lt;$AQ179,"IKS",IF(AD$8&lt;$AS179,IF(AD$8=$AR179,"Bascule","Double run"),"ROKS"))))))</f>
        <v/>
      </c>
      <c r="AE179" s="51" t="str">
        <f aca="false">IF(OR($A179="",AE$8=""),"",IF($F179="Migré","ROKS",IF($F179="À décommissionner",IF(AE$8&lt;$AS179,"IKS","Décom."),IF(OR($AQ179="",$AS179=""),"",IF(AE$8&lt;$AQ179,"IKS",IF(AE$8&lt;$AS179,IF(AE$8=$AR179,"Bascule","Double run"),"ROKS"))))))</f>
        <v/>
      </c>
      <c r="AF179" s="51" t="str">
        <f aca="false">IF(OR($A179="",AF$8=""),"",IF($F179="Migré","ROKS",IF($F179="À décommissionner",IF(AF$8&lt;$AS179,"IKS","Décom."),IF(OR($AQ179="",$AS179=""),"",IF(AF$8&lt;$AQ179,"IKS",IF(AF$8&lt;$AS179,IF(AF$8=$AR179,"Bascule","Double run"),"ROKS"))))))</f>
        <v/>
      </c>
      <c r="AG179" s="51" t="str">
        <f aca="false">IF(OR($A179="",AG$8=""),"",IF($F179="Migré","ROKS",IF($F179="À décommissionner",IF(AG$8&lt;$AS179,"IKS","Décom."),IF(OR($AQ179="",$AS179=""),"",IF(AG$8&lt;$AQ179,"IKS",IF(AG$8&lt;$AS179,IF(AG$8=$AR179,"Bascule","Double run"),"ROKS"))))))</f>
        <v/>
      </c>
      <c r="AH179" s="51" t="str">
        <f aca="false">IF(OR($A179="",AH$8=""),"",IF($F179="Migré","ROKS",IF($F179="À décommissionner",IF(AH$8&lt;$AS179,"IKS","Décom."),IF(OR($AQ179="",$AS179=""),"",IF(AH$8&lt;$AQ179,"IKS",IF(AH$8&lt;$AS179,IF(AH$8=$AR179,"Bascule","Double run"),"ROKS"))))))</f>
        <v/>
      </c>
      <c r="AI179" s="51" t="str">
        <f aca="false">IF(OR($A179="",AI$8=""),"",IF($F179="Migré","ROKS",IF($F179="À décommissionner",IF(AI$8&lt;$AS179,"IKS","Décom."),IF(OR($AQ179="",$AS179=""),"",IF(AI$8&lt;$AQ179,"IKS",IF(AI$8&lt;$AS179,IF(AI$8=$AR179,"Bascule","Double run"),"ROKS"))))))</f>
        <v/>
      </c>
      <c r="AJ179" s="51" t="str">
        <f aca="false">IF(OR($A179="",AJ$8=""),"",IF($F179="Migré","ROKS",IF($F179="À décommissionner",IF(AJ$8&lt;$AS179,"IKS","Décom."),IF(OR($AQ179="",$AS179=""),"",IF(AJ$8&lt;$AQ179,"IKS",IF(AJ$8&lt;$AS179,IF(AJ$8=$AR179,"Bascule","Double run"),"ROKS"))))))</f>
        <v/>
      </c>
      <c r="AK179" s="51" t="str">
        <f aca="false">IF(OR($A179="",AK$8=""),"",IF($F179="Migré","ROKS",IF($F179="À décommissionner",IF(AK$8&lt;$AS179,"IKS","Décom."),IF(OR($AQ179="",$AS179=""),"",IF(AK$8&lt;$AQ179,"IKS",IF(AK$8&lt;$AS179,IF(AK$8=$AR179,"Bascule","Double run"),"ROKS"))))))</f>
        <v/>
      </c>
      <c r="AL179" s="51" t="str">
        <f aca="false">IF(OR($A179="",AL$8=""),"",IF($F179="Migré","ROKS",IF($F179="À décommissionner",IF(AL$8&lt;$AS179,"IKS","Décom."),IF(OR($AQ179="",$AS179=""),"",IF(AL$8&lt;$AQ179,"IKS",IF(AL$8&lt;$AS179,IF(AL$8=$AR179,"Bascule","Double run"),"ROKS"))))))</f>
        <v/>
      </c>
      <c r="AM179" s="51" t="str">
        <f aca="false">IF(OR($A179="",AM$8=""),"",IF($F179="Migré","ROKS",IF($F179="À décommissionner",IF(AM$8&lt;$AS179,"IKS","Décom."),IF(OR($AQ179="",$AS179=""),"",IF(AM$8&lt;$AQ179,"IKS",IF(AM$8&lt;$AS179,IF(AM$8=$AR179,"Bascule","Double run"),"ROKS"))))))</f>
        <v/>
      </c>
      <c r="AN179" s="51" t="str">
        <f aca="false">IF(OR($A179="",AN$8=""),"",IF($F179="Migré","ROKS",IF($F179="À décommissionner",IF(AN$8&lt;$AS179,"IKS","Décom."),IF(OR($AQ179="",$AS179=""),"",IF(AN$8&lt;$AQ179,"IKS",IF(AN$8&lt;$AS179,IF(AN$8=$AR179,"Bascule","Double run"),"ROKS"))))))</f>
        <v/>
      </c>
      <c r="AO179" s="51" t="str">
        <f aca="false">IF(OR($A179="",AO$8=""),"",IF($F179="Migré","ROKS",IF($F179="À décommissionner",IF(AO$8&lt;$AS179,"IKS","Décom."),IF(OR($AQ179="",$AS179=""),"",IF(AO$8&lt;$AQ179,"IKS",IF(AO$8&lt;$AS179,IF(AO$8=$AR179,"Bascule","Double run"),"ROKS"))))))</f>
        <v/>
      </c>
      <c r="AP179" s="51" t="str">
        <f aca="false">IF(OR($A179="",AP$8=""),"",IF($F179="Migré","ROKS",IF($F179="À décommissionner",IF(AP$8&lt;$AS179,"IKS","Décom."),IF(OR($AQ179="",$AS179=""),"",IF(AP$8&lt;$AQ179,"IKS",IF(AP$8&lt;$AS179,IF(AP$8=$AR179,"Bascule","Double run"),"ROKS"))))))</f>
        <v/>
      </c>
      <c r="AQ179" s="0" t="str">
        <f aca="false">IF($A179="","",INDEX(TblApplications[Mois prov (calc)],$A179))</f>
        <v/>
      </c>
      <c r="AR179" s="0" t="str">
        <f aca="false">IF($A179="","",IFERROR(DATE(YEAR(INDEX(TblApplications[Mois bascule],$A179)),MONTH(INDEX(TblApplications[Mois bascule],$A179)),1),""))</f>
        <v/>
      </c>
      <c r="AS179" s="0" t="str">
        <f aca="false">IF($A179="","",INDEX(TblApplications[Mois lib (calc)],$A179))</f>
        <v/>
      </c>
    </row>
    <row r="180" customFormat="false" ht="15" hidden="false" customHeight="false" outlineLevel="0" collapsed="false">
      <c r="A180" s="49" t="str">
        <f aca="false">IFERROR(MATCH(172,TblApplications[Rang frise],0),"")</f>
        <v/>
      </c>
      <c r="B180" s="50" t="str">
        <f aca="false">IF($A180="","",INDEX(TblApplications[ID],$A180))</f>
        <v/>
      </c>
      <c r="C180" s="50" t="str">
        <f aca="false">IF($A180="","",INDEX(TblApplications[Application],$A180))</f>
        <v/>
      </c>
      <c r="D180" s="50" t="str">
        <f aca="false">IF($A180="","",INDEX(TblApplications[Environnement],$A180))</f>
        <v/>
      </c>
      <c r="E180" s="50" t="str">
        <f aca="false">IF($A180="","",INDEX(TblApplications[Couloir],$A180))</f>
        <v/>
      </c>
      <c r="F180" s="50" t="str">
        <f aca="false">IF($A180="","",INDEX(TblApplications[Action],$A180))</f>
        <v/>
      </c>
      <c r="G180" s="51" t="str">
        <f aca="false">IF(OR($A180="",G$8=""),"",IF($F180="Migré","ROKS",IF($F180="À décommissionner",IF(G$8&lt;$AS180,"IKS","Décom."),IF(OR($AQ180="",$AS180=""),"",IF(G$8&lt;$AQ180,"IKS",IF(G$8&lt;$AS180,IF(G$8=$AR180,"Bascule","Double run"),"ROKS"))))))</f>
        <v/>
      </c>
      <c r="H180" s="51" t="str">
        <f aca="false">IF(OR($A180="",H$8=""),"",IF($F180="Migré","ROKS",IF($F180="À décommissionner",IF(H$8&lt;$AS180,"IKS","Décom."),IF(OR($AQ180="",$AS180=""),"",IF(H$8&lt;$AQ180,"IKS",IF(H$8&lt;$AS180,IF(H$8=$AR180,"Bascule","Double run"),"ROKS"))))))</f>
        <v/>
      </c>
      <c r="I180" s="51" t="str">
        <f aca="false">IF(OR($A180="",I$8=""),"",IF($F180="Migré","ROKS",IF($F180="À décommissionner",IF(I$8&lt;$AS180,"IKS","Décom."),IF(OR($AQ180="",$AS180=""),"",IF(I$8&lt;$AQ180,"IKS",IF(I$8&lt;$AS180,IF(I$8=$AR180,"Bascule","Double run"),"ROKS"))))))</f>
        <v/>
      </c>
      <c r="J180" s="51" t="str">
        <f aca="false">IF(OR($A180="",J$8=""),"",IF($F180="Migré","ROKS",IF($F180="À décommissionner",IF(J$8&lt;$AS180,"IKS","Décom."),IF(OR($AQ180="",$AS180=""),"",IF(J$8&lt;$AQ180,"IKS",IF(J$8&lt;$AS180,IF(J$8=$AR180,"Bascule","Double run"),"ROKS"))))))</f>
        <v/>
      </c>
      <c r="K180" s="51" t="str">
        <f aca="false">IF(OR($A180="",K$8=""),"",IF($F180="Migré","ROKS",IF($F180="À décommissionner",IF(K$8&lt;$AS180,"IKS","Décom."),IF(OR($AQ180="",$AS180=""),"",IF(K$8&lt;$AQ180,"IKS",IF(K$8&lt;$AS180,IF(K$8=$AR180,"Bascule","Double run"),"ROKS"))))))</f>
        <v/>
      </c>
      <c r="L180" s="51" t="str">
        <f aca="false">IF(OR($A180="",L$8=""),"",IF($F180="Migré","ROKS",IF($F180="À décommissionner",IF(L$8&lt;$AS180,"IKS","Décom."),IF(OR($AQ180="",$AS180=""),"",IF(L$8&lt;$AQ180,"IKS",IF(L$8&lt;$AS180,IF(L$8=$AR180,"Bascule","Double run"),"ROKS"))))))</f>
        <v/>
      </c>
      <c r="M180" s="51" t="str">
        <f aca="false">IF(OR($A180="",M$8=""),"",IF($F180="Migré","ROKS",IF($F180="À décommissionner",IF(M$8&lt;$AS180,"IKS","Décom."),IF(OR($AQ180="",$AS180=""),"",IF(M$8&lt;$AQ180,"IKS",IF(M$8&lt;$AS180,IF(M$8=$AR180,"Bascule","Double run"),"ROKS"))))))</f>
        <v/>
      </c>
      <c r="N180" s="51" t="str">
        <f aca="false">IF(OR($A180="",N$8=""),"",IF($F180="Migré","ROKS",IF($F180="À décommissionner",IF(N$8&lt;$AS180,"IKS","Décom."),IF(OR($AQ180="",$AS180=""),"",IF(N$8&lt;$AQ180,"IKS",IF(N$8&lt;$AS180,IF(N$8=$AR180,"Bascule","Double run"),"ROKS"))))))</f>
        <v/>
      </c>
      <c r="O180" s="51" t="str">
        <f aca="false">IF(OR($A180="",O$8=""),"",IF($F180="Migré","ROKS",IF($F180="À décommissionner",IF(O$8&lt;$AS180,"IKS","Décom."),IF(OR($AQ180="",$AS180=""),"",IF(O$8&lt;$AQ180,"IKS",IF(O$8&lt;$AS180,IF(O$8=$AR180,"Bascule","Double run"),"ROKS"))))))</f>
        <v/>
      </c>
      <c r="P180" s="51" t="str">
        <f aca="false">IF(OR($A180="",P$8=""),"",IF($F180="Migré","ROKS",IF($F180="À décommissionner",IF(P$8&lt;$AS180,"IKS","Décom."),IF(OR($AQ180="",$AS180=""),"",IF(P$8&lt;$AQ180,"IKS",IF(P$8&lt;$AS180,IF(P$8=$AR180,"Bascule","Double run"),"ROKS"))))))</f>
        <v/>
      </c>
      <c r="Q180" s="51" t="str">
        <f aca="false">IF(OR($A180="",Q$8=""),"",IF($F180="Migré","ROKS",IF($F180="À décommissionner",IF(Q$8&lt;$AS180,"IKS","Décom."),IF(OR($AQ180="",$AS180=""),"",IF(Q$8&lt;$AQ180,"IKS",IF(Q$8&lt;$AS180,IF(Q$8=$AR180,"Bascule","Double run"),"ROKS"))))))</f>
        <v/>
      </c>
      <c r="R180" s="51" t="str">
        <f aca="false">IF(OR($A180="",R$8=""),"",IF($F180="Migré","ROKS",IF($F180="À décommissionner",IF(R$8&lt;$AS180,"IKS","Décom."),IF(OR($AQ180="",$AS180=""),"",IF(R$8&lt;$AQ180,"IKS",IF(R$8&lt;$AS180,IF(R$8=$AR180,"Bascule","Double run"),"ROKS"))))))</f>
        <v/>
      </c>
      <c r="S180" s="51" t="str">
        <f aca="false">IF(OR($A180="",S$8=""),"",IF($F180="Migré","ROKS",IF($F180="À décommissionner",IF(S$8&lt;$AS180,"IKS","Décom."),IF(OR($AQ180="",$AS180=""),"",IF(S$8&lt;$AQ180,"IKS",IF(S$8&lt;$AS180,IF(S$8=$AR180,"Bascule","Double run"),"ROKS"))))))</f>
        <v/>
      </c>
      <c r="T180" s="51" t="str">
        <f aca="false">IF(OR($A180="",T$8=""),"",IF($F180="Migré","ROKS",IF($F180="À décommissionner",IF(T$8&lt;$AS180,"IKS","Décom."),IF(OR($AQ180="",$AS180=""),"",IF(T$8&lt;$AQ180,"IKS",IF(T$8&lt;$AS180,IF(T$8=$AR180,"Bascule","Double run"),"ROKS"))))))</f>
        <v/>
      </c>
      <c r="U180" s="51" t="str">
        <f aca="false">IF(OR($A180="",U$8=""),"",IF($F180="Migré","ROKS",IF($F180="À décommissionner",IF(U$8&lt;$AS180,"IKS","Décom."),IF(OR($AQ180="",$AS180=""),"",IF(U$8&lt;$AQ180,"IKS",IF(U$8&lt;$AS180,IF(U$8=$AR180,"Bascule","Double run"),"ROKS"))))))</f>
        <v/>
      </c>
      <c r="V180" s="51" t="str">
        <f aca="false">IF(OR($A180="",V$8=""),"",IF($F180="Migré","ROKS",IF($F180="À décommissionner",IF(V$8&lt;$AS180,"IKS","Décom."),IF(OR($AQ180="",$AS180=""),"",IF(V$8&lt;$AQ180,"IKS",IF(V$8&lt;$AS180,IF(V$8=$AR180,"Bascule","Double run"),"ROKS"))))))</f>
        <v/>
      </c>
      <c r="W180" s="51" t="str">
        <f aca="false">IF(OR($A180="",W$8=""),"",IF($F180="Migré","ROKS",IF($F180="À décommissionner",IF(W$8&lt;$AS180,"IKS","Décom."),IF(OR($AQ180="",$AS180=""),"",IF(W$8&lt;$AQ180,"IKS",IF(W$8&lt;$AS180,IF(W$8=$AR180,"Bascule","Double run"),"ROKS"))))))</f>
        <v/>
      </c>
      <c r="X180" s="51" t="str">
        <f aca="false">IF(OR($A180="",X$8=""),"",IF($F180="Migré","ROKS",IF($F180="À décommissionner",IF(X$8&lt;$AS180,"IKS","Décom."),IF(OR($AQ180="",$AS180=""),"",IF(X$8&lt;$AQ180,"IKS",IF(X$8&lt;$AS180,IF(X$8=$AR180,"Bascule","Double run"),"ROKS"))))))</f>
        <v/>
      </c>
      <c r="Y180" s="51" t="str">
        <f aca="false">IF(OR($A180="",Y$8=""),"",IF($F180="Migré","ROKS",IF($F180="À décommissionner",IF(Y$8&lt;$AS180,"IKS","Décom."),IF(OR($AQ180="",$AS180=""),"",IF(Y$8&lt;$AQ180,"IKS",IF(Y$8&lt;$AS180,IF(Y$8=$AR180,"Bascule","Double run"),"ROKS"))))))</f>
        <v/>
      </c>
      <c r="Z180" s="51" t="str">
        <f aca="false">IF(OR($A180="",Z$8=""),"",IF($F180="Migré","ROKS",IF($F180="À décommissionner",IF(Z$8&lt;$AS180,"IKS","Décom."),IF(OR($AQ180="",$AS180=""),"",IF(Z$8&lt;$AQ180,"IKS",IF(Z$8&lt;$AS180,IF(Z$8=$AR180,"Bascule","Double run"),"ROKS"))))))</f>
        <v/>
      </c>
      <c r="AA180" s="51" t="str">
        <f aca="false">IF(OR($A180="",AA$8=""),"",IF($F180="Migré","ROKS",IF($F180="À décommissionner",IF(AA$8&lt;$AS180,"IKS","Décom."),IF(OR($AQ180="",$AS180=""),"",IF(AA$8&lt;$AQ180,"IKS",IF(AA$8&lt;$AS180,IF(AA$8=$AR180,"Bascule","Double run"),"ROKS"))))))</f>
        <v/>
      </c>
      <c r="AB180" s="51" t="str">
        <f aca="false">IF(OR($A180="",AB$8=""),"",IF($F180="Migré","ROKS",IF($F180="À décommissionner",IF(AB$8&lt;$AS180,"IKS","Décom."),IF(OR($AQ180="",$AS180=""),"",IF(AB$8&lt;$AQ180,"IKS",IF(AB$8&lt;$AS180,IF(AB$8=$AR180,"Bascule","Double run"),"ROKS"))))))</f>
        <v/>
      </c>
      <c r="AC180" s="51" t="str">
        <f aca="false">IF(OR($A180="",AC$8=""),"",IF($F180="Migré","ROKS",IF($F180="À décommissionner",IF(AC$8&lt;$AS180,"IKS","Décom."),IF(OR($AQ180="",$AS180=""),"",IF(AC$8&lt;$AQ180,"IKS",IF(AC$8&lt;$AS180,IF(AC$8=$AR180,"Bascule","Double run"),"ROKS"))))))</f>
        <v/>
      </c>
      <c r="AD180" s="51" t="str">
        <f aca="false">IF(OR($A180="",AD$8=""),"",IF($F180="Migré","ROKS",IF($F180="À décommissionner",IF(AD$8&lt;$AS180,"IKS","Décom."),IF(OR($AQ180="",$AS180=""),"",IF(AD$8&lt;$AQ180,"IKS",IF(AD$8&lt;$AS180,IF(AD$8=$AR180,"Bascule","Double run"),"ROKS"))))))</f>
        <v/>
      </c>
      <c r="AE180" s="51" t="str">
        <f aca="false">IF(OR($A180="",AE$8=""),"",IF($F180="Migré","ROKS",IF($F180="À décommissionner",IF(AE$8&lt;$AS180,"IKS","Décom."),IF(OR($AQ180="",$AS180=""),"",IF(AE$8&lt;$AQ180,"IKS",IF(AE$8&lt;$AS180,IF(AE$8=$AR180,"Bascule","Double run"),"ROKS"))))))</f>
        <v/>
      </c>
      <c r="AF180" s="51" t="str">
        <f aca="false">IF(OR($A180="",AF$8=""),"",IF($F180="Migré","ROKS",IF($F180="À décommissionner",IF(AF$8&lt;$AS180,"IKS","Décom."),IF(OR($AQ180="",$AS180=""),"",IF(AF$8&lt;$AQ180,"IKS",IF(AF$8&lt;$AS180,IF(AF$8=$AR180,"Bascule","Double run"),"ROKS"))))))</f>
        <v/>
      </c>
      <c r="AG180" s="51" t="str">
        <f aca="false">IF(OR($A180="",AG$8=""),"",IF($F180="Migré","ROKS",IF($F180="À décommissionner",IF(AG$8&lt;$AS180,"IKS","Décom."),IF(OR($AQ180="",$AS180=""),"",IF(AG$8&lt;$AQ180,"IKS",IF(AG$8&lt;$AS180,IF(AG$8=$AR180,"Bascule","Double run"),"ROKS"))))))</f>
        <v/>
      </c>
      <c r="AH180" s="51" t="str">
        <f aca="false">IF(OR($A180="",AH$8=""),"",IF($F180="Migré","ROKS",IF($F180="À décommissionner",IF(AH$8&lt;$AS180,"IKS","Décom."),IF(OR($AQ180="",$AS180=""),"",IF(AH$8&lt;$AQ180,"IKS",IF(AH$8&lt;$AS180,IF(AH$8=$AR180,"Bascule","Double run"),"ROKS"))))))</f>
        <v/>
      </c>
      <c r="AI180" s="51" t="str">
        <f aca="false">IF(OR($A180="",AI$8=""),"",IF($F180="Migré","ROKS",IF($F180="À décommissionner",IF(AI$8&lt;$AS180,"IKS","Décom."),IF(OR($AQ180="",$AS180=""),"",IF(AI$8&lt;$AQ180,"IKS",IF(AI$8&lt;$AS180,IF(AI$8=$AR180,"Bascule","Double run"),"ROKS"))))))</f>
        <v/>
      </c>
      <c r="AJ180" s="51" t="str">
        <f aca="false">IF(OR($A180="",AJ$8=""),"",IF($F180="Migré","ROKS",IF($F180="À décommissionner",IF(AJ$8&lt;$AS180,"IKS","Décom."),IF(OR($AQ180="",$AS180=""),"",IF(AJ$8&lt;$AQ180,"IKS",IF(AJ$8&lt;$AS180,IF(AJ$8=$AR180,"Bascule","Double run"),"ROKS"))))))</f>
        <v/>
      </c>
      <c r="AK180" s="51" t="str">
        <f aca="false">IF(OR($A180="",AK$8=""),"",IF($F180="Migré","ROKS",IF($F180="À décommissionner",IF(AK$8&lt;$AS180,"IKS","Décom."),IF(OR($AQ180="",$AS180=""),"",IF(AK$8&lt;$AQ180,"IKS",IF(AK$8&lt;$AS180,IF(AK$8=$AR180,"Bascule","Double run"),"ROKS"))))))</f>
        <v/>
      </c>
      <c r="AL180" s="51" t="str">
        <f aca="false">IF(OR($A180="",AL$8=""),"",IF($F180="Migré","ROKS",IF($F180="À décommissionner",IF(AL$8&lt;$AS180,"IKS","Décom."),IF(OR($AQ180="",$AS180=""),"",IF(AL$8&lt;$AQ180,"IKS",IF(AL$8&lt;$AS180,IF(AL$8=$AR180,"Bascule","Double run"),"ROKS"))))))</f>
        <v/>
      </c>
      <c r="AM180" s="51" t="str">
        <f aca="false">IF(OR($A180="",AM$8=""),"",IF($F180="Migré","ROKS",IF($F180="À décommissionner",IF(AM$8&lt;$AS180,"IKS","Décom."),IF(OR($AQ180="",$AS180=""),"",IF(AM$8&lt;$AQ180,"IKS",IF(AM$8&lt;$AS180,IF(AM$8=$AR180,"Bascule","Double run"),"ROKS"))))))</f>
        <v/>
      </c>
      <c r="AN180" s="51" t="str">
        <f aca="false">IF(OR($A180="",AN$8=""),"",IF($F180="Migré","ROKS",IF($F180="À décommissionner",IF(AN$8&lt;$AS180,"IKS","Décom."),IF(OR($AQ180="",$AS180=""),"",IF(AN$8&lt;$AQ180,"IKS",IF(AN$8&lt;$AS180,IF(AN$8=$AR180,"Bascule","Double run"),"ROKS"))))))</f>
        <v/>
      </c>
      <c r="AO180" s="51" t="str">
        <f aca="false">IF(OR($A180="",AO$8=""),"",IF($F180="Migré","ROKS",IF($F180="À décommissionner",IF(AO$8&lt;$AS180,"IKS","Décom."),IF(OR($AQ180="",$AS180=""),"",IF(AO$8&lt;$AQ180,"IKS",IF(AO$8&lt;$AS180,IF(AO$8=$AR180,"Bascule","Double run"),"ROKS"))))))</f>
        <v/>
      </c>
      <c r="AP180" s="51" t="str">
        <f aca="false">IF(OR($A180="",AP$8=""),"",IF($F180="Migré","ROKS",IF($F180="À décommissionner",IF(AP$8&lt;$AS180,"IKS","Décom."),IF(OR($AQ180="",$AS180=""),"",IF(AP$8&lt;$AQ180,"IKS",IF(AP$8&lt;$AS180,IF(AP$8=$AR180,"Bascule","Double run"),"ROKS"))))))</f>
        <v/>
      </c>
      <c r="AQ180" s="0" t="str">
        <f aca="false">IF($A180="","",INDEX(TblApplications[Mois prov (calc)],$A180))</f>
        <v/>
      </c>
      <c r="AR180" s="0" t="str">
        <f aca="false">IF($A180="","",IFERROR(DATE(YEAR(INDEX(TblApplications[Mois bascule],$A180)),MONTH(INDEX(TblApplications[Mois bascule],$A180)),1),""))</f>
        <v/>
      </c>
      <c r="AS180" s="0" t="str">
        <f aca="false">IF($A180="","",INDEX(TblApplications[Mois lib (calc)],$A180))</f>
        <v/>
      </c>
    </row>
    <row r="181" customFormat="false" ht="15" hidden="false" customHeight="false" outlineLevel="0" collapsed="false">
      <c r="A181" s="49" t="str">
        <f aca="false">IFERROR(MATCH(173,TblApplications[Rang frise],0),"")</f>
        <v/>
      </c>
      <c r="B181" s="50" t="str">
        <f aca="false">IF($A181="","",INDEX(TblApplications[ID],$A181))</f>
        <v/>
      </c>
      <c r="C181" s="50" t="str">
        <f aca="false">IF($A181="","",INDEX(TblApplications[Application],$A181))</f>
        <v/>
      </c>
      <c r="D181" s="50" t="str">
        <f aca="false">IF($A181="","",INDEX(TblApplications[Environnement],$A181))</f>
        <v/>
      </c>
      <c r="E181" s="50" t="str">
        <f aca="false">IF($A181="","",INDEX(TblApplications[Couloir],$A181))</f>
        <v/>
      </c>
      <c r="F181" s="50" t="str">
        <f aca="false">IF($A181="","",INDEX(TblApplications[Action],$A181))</f>
        <v/>
      </c>
      <c r="G181" s="51" t="str">
        <f aca="false">IF(OR($A181="",G$8=""),"",IF($F181="Migré","ROKS",IF($F181="À décommissionner",IF(G$8&lt;$AS181,"IKS","Décom."),IF(OR($AQ181="",$AS181=""),"",IF(G$8&lt;$AQ181,"IKS",IF(G$8&lt;$AS181,IF(G$8=$AR181,"Bascule","Double run"),"ROKS"))))))</f>
        <v/>
      </c>
      <c r="H181" s="51" t="str">
        <f aca="false">IF(OR($A181="",H$8=""),"",IF($F181="Migré","ROKS",IF($F181="À décommissionner",IF(H$8&lt;$AS181,"IKS","Décom."),IF(OR($AQ181="",$AS181=""),"",IF(H$8&lt;$AQ181,"IKS",IF(H$8&lt;$AS181,IF(H$8=$AR181,"Bascule","Double run"),"ROKS"))))))</f>
        <v/>
      </c>
      <c r="I181" s="51" t="str">
        <f aca="false">IF(OR($A181="",I$8=""),"",IF($F181="Migré","ROKS",IF($F181="À décommissionner",IF(I$8&lt;$AS181,"IKS","Décom."),IF(OR($AQ181="",$AS181=""),"",IF(I$8&lt;$AQ181,"IKS",IF(I$8&lt;$AS181,IF(I$8=$AR181,"Bascule","Double run"),"ROKS"))))))</f>
        <v/>
      </c>
      <c r="J181" s="51" t="str">
        <f aca="false">IF(OR($A181="",J$8=""),"",IF($F181="Migré","ROKS",IF($F181="À décommissionner",IF(J$8&lt;$AS181,"IKS","Décom."),IF(OR($AQ181="",$AS181=""),"",IF(J$8&lt;$AQ181,"IKS",IF(J$8&lt;$AS181,IF(J$8=$AR181,"Bascule","Double run"),"ROKS"))))))</f>
        <v/>
      </c>
      <c r="K181" s="51" t="str">
        <f aca="false">IF(OR($A181="",K$8=""),"",IF($F181="Migré","ROKS",IF($F181="À décommissionner",IF(K$8&lt;$AS181,"IKS","Décom."),IF(OR($AQ181="",$AS181=""),"",IF(K$8&lt;$AQ181,"IKS",IF(K$8&lt;$AS181,IF(K$8=$AR181,"Bascule","Double run"),"ROKS"))))))</f>
        <v/>
      </c>
      <c r="L181" s="51" t="str">
        <f aca="false">IF(OR($A181="",L$8=""),"",IF($F181="Migré","ROKS",IF($F181="À décommissionner",IF(L$8&lt;$AS181,"IKS","Décom."),IF(OR($AQ181="",$AS181=""),"",IF(L$8&lt;$AQ181,"IKS",IF(L$8&lt;$AS181,IF(L$8=$AR181,"Bascule","Double run"),"ROKS"))))))</f>
        <v/>
      </c>
      <c r="M181" s="51" t="str">
        <f aca="false">IF(OR($A181="",M$8=""),"",IF($F181="Migré","ROKS",IF($F181="À décommissionner",IF(M$8&lt;$AS181,"IKS","Décom."),IF(OR($AQ181="",$AS181=""),"",IF(M$8&lt;$AQ181,"IKS",IF(M$8&lt;$AS181,IF(M$8=$AR181,"Bascule","Double run"),"ROKS"))))))</f>
        <v/>
      </c>
      <c r="N181" s="51" t="str">
        <f aca="false">IF(OR($A181="",N$8=""),"",IF($F181="Migré","ROKS",IF($F181="À décommissionner",IF(N$8&lt;$AS181,"IKS","Décom."),IF(OR($AQ181="",$AS181=""),"",IF(N$8&lt;$AQ181,"IKS",IF(N$8&lt;$AS181,IF(N$8=$AR181,"Bascule","Double run"),"ROKS"))))))</f>
        <v/>
      </c>
      <c r="O181" s="51" t="str">
        <f aca="false">IF(OR($A181="",O$8=""),"",IF($F181="Migré","ROKS",IF($F181="À décommissionner",IF(O$8&lt;$AS181,"IKS","Décom."),IF(OR($AQ181="",$AS181=""),"",IF(O$8&lt;$AQ181,"IKS",IF(O$8&lt;$AS181,IF(O$8=$AR181,"Bascule","Double run"),"ROKS"))))))</f>
        <v/>
      </c>
      <c r="P181" s="51" t="str">
        <f aca="false">IF(OR($A181="",P$8=""),"",IF($F181="Migré","ROKS",IF($F181="À décommissionner",IF(P$8&lt;$AS181,"IKS","Décom."),IF(OR($AQ181="",$AS181=""),"",IF(P$8&lt;$AQ181,"IKS",IF(P$8&lt;$AS181,IF(P$8=$AR181,"Bascule","Double run"),"ROKS"))))))</f>
        <v/>
      </c>
      <c r="Q181" s="51" t="str">
        <f aca="false">IF(OR($A181="",Q$8=""),"",IF($F181="Migré","ROKS",IF($F181="À décommissionner",IF(Q$8&lt;$AS181,"IKS","Décom."),IF(OR($AQ181="",$AS181=""),"",IF(Q$8&lt;$AQ181,"IKS",IF(Q$8&lt;$AS181,IF(Q$8=$AR181,"Bascule","Double run"),"ROKS"))))))</f>
        <v/>
      </c>
      <c r="R181" s="51" t="str">
        <f aca="false">IF(OR($A181="",R$8=""),"",IF($F181="Migré","ROKS",IF($F181="À décommissionner",IF(R$8&lt;$AS181,"IKS","Décom."),IF(OR($AQ181="",$AS181=""),"",IF(R$8&lt;$AQ181,"IKS",IF(R$8&lt;$AS181,IF(R$8=$AR181,"Bascule","Double run"),"ROKS"))))))</f>
        <v/>
      </c>
      <c r="S181" s="51" t="str">
        <f aca="false">IF(OR($A181="",S$8=""),"",IF($F181="Migré","ROKS",IF($F181="À décommissionner",IF(S$8&lt;$AS181,"IKS","Décom."),IF(OR($AQ181="",$AS181=""),"",IF(S$8&lt;$AQ181,"IKS",IF(S$8&lt;$AS181,IF(S$8=$AR181,"Bascule","Double run"),"ROKS"))))))</f>
        <v/>
      </c>
      <c r="T181" s="51" t="str">
        <f aca="false">IF(OR($A181="",T$8=""),"",IF($F181="Migré","ROKS",IF($F181="À décommissionner",IF(T$8&lt;$AS181,"IKS","Décom."),IF(OR($AQ181="",$AS181=""),"",IF(T$8&lt;$AQ181,"IKS",IF(T$8&lt;$AS181,IF(T$8=$AR181,"Bascule","Double run"),"ROKS"))))))</f>
        <v/>
      </c>
      <c r="U181" s="51" t="str">
        <f aca="false">IF(OR($A181="",U$8=""),"",IF($F181="Migré","ROKS",IF($F181="À décommissionner",IF(U$8&lt;$AS181,"IKS","Décom."),IF(OR($AQ181="",$AS181=""),"",IF(U$8&lt;$AQ181,"IKS",IF(U$8&lt;$AS181,IF(U$8=$AR181,"Bascule","Double run"),"ROKS"))))))</f>
        <v/>
      </c>
      <c r="V181" s="51" t="str">
        <f aca="false">IF(OR($A181="",V$8=""),"",IF($F181="Migré","ROKS",IF($F181="À décommissionner",IF(V$8&lt;$AS181,"IKS","Décom."),IF(OR($AQ181="",$AS181=""),"",IF(V$8&lt;$AQ181,"IKS",IF(V$8&lt;$AS181,IF(V$8=$AR181,"Bascule","Double run"),"ROKS"))))))</f>
        <v/>
      </c>
      <c r="W181" s="51" t="str">
        <f aca="false">IF(OR($A181="",W$8=""),"",IF($F181="Migré","ROKS",IF($F181="À décommissionner",IF(W$8&lt;$AS181,"IKS","Décom."),IF(OR($AQ181="",$AS181=""),"",IF(W$8&lt;$AQ181,"IKS",IF(W$8&lt;$AS181,IF(W$8=$AR181,"Bascule","Double run"),"ROKS"))))))</f>
        <v/>
      </c>
      <c r="X181" s="51" t="str">
        <f aca="false">IF(OR($A181="",X$8=""),"",IF($F181="Migré","ROKS",IF($F181="À décommissionner",IF(X$8&lt;$AS181,"IKS","Décom."),IF(OR($AQ181="",$AS181=""),"",IF(X$8&lt;$AQ181,"IKS",IF(X$8&lt;$AS181,IF(X$8=$AR181,"Bascule","Double run"),"ROKS"))))))</f>
        <v/>
      </c>
      <c r="Y181" s="51" t="str">
        <f aca="false">IF(OR($A181="",Y$8=""),"",IF($F181="Migré","ROKS",IF($F181="À décommissionner",IF(Y$8&lt;$AS181,"IKS","Décom."),IF(OR($AQ181="",$AS181=""),"",IF(Y$8&lt;$AQ181,"IKS",IF(Y$8&lt;$AS181,IF(Y$8=$AR181,"Bascule","Double run"),"ROKS"))))))</f>
        <v/>
      </c>
      <c r="Z181" s="51" t="str">
        <f aca="false">IF(OR($A181="",Z$8=""),"",IF($F181="Migré","ROKS",IF($F181="À décommissionner",IF(Z$8&lt;$AS181,"IKS","Décom."),IF(OR($AQ181="",$AS181=""),"",IF(Z$8&lt;$AQ181,"IKS",IF(Z$8&lt;$AS181,IF(Z$8=$AR181,"Bascule","Double run"),"ROKS"))))))</f>
        <v/>
      </c>
      <c r="AA181" s="51" t="str">
        <f aca="false">IF(OR($A181="",AA$8=""),"",IF($F181="Migré","ROKS",IF($F181="À décommissionner",IF(AA$8&lt;$AS181,"IKS","Décom."),IF(OR($AQ181="",$AS181=""),"",IF(AA$8&lt;$AQ181,"IKS",IF(AA$8&lt;$AS181,IF(AA$8=$AR181,"Bascule","Double run"),"ROKS"))))))</f>
        <v/>
      </c>
      <c r="AB181" s="51" t="str">
        <f aca="false">IF(OR($A181="",AB$8=""),"",IF($F181="Migré","ROKS",IF($F181="À décommissionner",IF(AB$8&lt;$AS181,"IKS","Décom."),IF(OR($AQ181="",$AS181=""),"",IF(AB$8&lt;$AQ181,"IKS",IF(AB$8&lt;$AS181,IF(AB$8=$AR181,"Bascule","Double run"),"ROKS"))))))</f>
        <v/>
      </c>
      <c r="AC181" s="51" t="str">
        <f aca="false">IF(OR($A181="",AC$8=""),"",IF($F181="Migré","ROKS",IF($F181="À décommissionner",IF(AC$8&lt;$AS181,"IKS","Décom."),IF(OR($AQ181="",$AS181=""),"",IF(AC$8&lt;$AQ181,"IKS",IF(AC$8&lt;$AS181,IF(AC$8=$AR181,"Bascule","Double run"),"ROKS"))))))</f>
        <v/>
      </c>
      <c r="AD181" s="51" t="str">
        <f aca="false">IF(OR($A181="",AD$8=""),"",IF($F181="Migré","ROKS",IF($F181="À décommissionner",IF(AD$8&lt;$AS181,"IKS","Décom."),IF(OR($AQ181="",$AS181=""),"",IF(AD$8&lt;$AQ181,"IKS",IF(AD$8&lt;$AS181,IF(AD$8=$AR181,"Bascule","Double run"),"ROKS"))))))</f>
        <v/>
      </c>
      <c r="AE181" s="51" t="str">
        <f aca="false">IF(OR($A181="",AE$8=""),"",IF($F181="Migré","ROKS",IF($F181="À décommissionner",IF(AE$8&lt;$AS181,"IKS","Décom."),IF(OR($AQ181="",$AS181=""),"",IF(AE$8&lt;$AQ181,"IKS",IF(AE$8&lt;$AS181,IF(AE$8=$AR181,"Bascule","Double run"),"ROKS"))))))</f>
        <v/>
      </c>
      <c r="AF181" s="51" t="str">
        <f aca="false">IF(OR($A181="",AF$8=""),"",IF($F181="Migré","ROKS",IF($F181="À décommissionner",IF(AF$8&lt;$AS181,"IKS","Décom."),IF(OR($AQ181="",$AS181=""),"",IF(AF$8&lt;$AQ181,"IKS",IF(AF$8&lt;$AS181,IF(AF$8=$AR181,"Bascule","Double run"),"ROKS"))))))</f>
        <v/>
      </c>
      <c r="AG181" s="51" t="str">
        <f aca="false">IF(OR($A181="",AG$8=""),"",IF($F181="Migré","ROKS",IF($F181="À décommissionner",IF(AG$8&lt;$AS181,"IKS","Décom."),IF(OR($AQ181="",$AS181=""),"",IF(AG$8&lt;$AQ181,"IKS",IF(AG$8&lt;$AS181,IF(AG$8=$AR181,"Bascule","Double run"),"ROKS"))))))</f>
        <v/>
      </c>
      <c r="AH181" s="51" t="str">
        <f aca="false">IF(OR($A181="",AH$8=""),"",IF($F181="Migré","ROKS",IF($F181="À décommissionner",IF(AH$8&lt;$AS181,"IKS","Décom."),IF(OR($AQ181="",$AS181=""),"",IF(AH$8&lt;$AQ181,"IKS",IF(AH$8&lt;$AS181,IF(AH$8=$AR181,"Bascule","Double run"),"ROKS"))))))</f>
        <v/>
      </c>
      <c r="AI181" s="51" t="str">
        <f aca="false">IF(OR($A181="",AI$8=""),"",IF($F181="Migré","ROKS",IF($F181="À décommissionner",IF(AI$8&lt;$AS181,"IKS","Décom."),IF(OR($AQ181="",$AS181=""),"",IF(AI$8&lt;$AQ181,"IKS",IF(AI$8&lt;$AS181,IF(AI$8=$AR181,"Bascule","Double run"),"ROKS"))))))</f>
        <v/>
      </c>
      <c r="AJ181" s="51" t="str">
        <f aca="false">IF(OR($A181="",AJ$8=""),"",IF($F181="Migré","ROKS",IF($F181="À décommissionner",IF(AJ$8&lt;$AS181,"IKS","Décom."),IF(OR($AQ181="",$AS181=""),"",IF(AJ$8&lt;$AQ181,"IKS",IF(AJ$8&lt;$AS181,IF(AJ$8=$AR181,"Bascule","Double run"),"ROKS"))))))</f>
        <v/>
      </c>
      <c r="AK181" s="51" t="str">
        <f aca="false">IF(OR($A181="",AK$8=""),"",IF($F181="Migré","ROKS",IF($F181="À décommissionner",IF(AK$8&lt;$AS181,"IKS","Décom."),IF(OR($AQ181="",$AS181=""),"",IF(AK$8&lt;$AQ181,"IKS",IF(AK$8&lt;$AS181,IF(AK$8=$AR181,"Bascule","Double run"),"ROKS"))))))</f>
        <v/>
      </c>
      <c r="AL181" s="51" t="str">
        <f aca="false">IF(OR($A181="",AL$8=""),"",IF($F181="Migré","ROKS",IF($F181="À décommissionner",IF(AL$8&lt;$AS181,"IKS","Décom."),IF(OR($AQ181="",$AS181=""),"",IF(AL$8&lt;$AQ181,"IKS",IF(AL$8&lt;$AS181,IF(AL$8=$AR181,"Bascule","Double run"),"ROKS"))))))</f>
        <v/>
      </c>
      <c r="AM181" s="51" t="str">
        <f aca="false">IF(OR($A181="",AM$8=""),"",IF($F181="Migré","ROKS",IF($F181="À décommissionner",IF(AM$8&lt;$AS181,"IKS","Décom."),IF(OR($AQ181="",$AS181=""),"",IF(AM$8&lt;$AQ181,"IKS",IF(AM$8&lt;$AS181,IF(AM$8=$AR181,"Bascule","Double run"),"ROKS"))))))</f>
        <v/>
      </c>
      <c r="AN181" s="51" t="str">
        <f aca="false">IF(OR($A181="",AN$8=""),"",IF($F181="Migré","ROKS",IF($F181="À décommissionner",IF(AN$8&lt;$AS181,"IKS","Décom."),IF(OR($AQ181="",$AS181=""),"",IF(AN$8&lt;$AQ181,"IKS",IF(AN$8&lt;$AS181,IF(AN$8=$AR181,"Bascule","Double run"),"ROKS"))))))</f>
        <v/>
      </c>
      <c r="AO181" s="51" t="str">
        <f aca="false">IF(OR($A181="",AO$8=""),"",IF($F181="Migré","ROKS",IF($F181="À décommissionner",IF(AO$8&lt;$AS181,"IKS","Décom."),IF(OR($AQ181="",$AS181=""),"",IF(AO$8&lt;$AQ181,"IKS",IF(AO$8&lt;$AS181,IF(AO$8=$AR181,"Bascule","Double run"),"ROKS"))))))</f>
        <v/>
      </c>
      <c r="AP181" s="51" t="str">
        <f aca="false">IF(OR($A181="",AP$8=""),"",IF($F181="Migré","ROKS",IF($F181="À décommissionner",IF(AP$8&lt;$AS181,"IKS","Décom."),IF(OR($AQ181="",$AS181=""),"",IF(AP$8&lt;$AQ181,"IKS",IF(AP$8&lt;$AS181,IF(AP$8=$AR181,"Bascule","Double run"),"ROKS"))))))</f>
        <v/>
      </c>
      <c r="AQ181" s="0" t="str">
        <f aca="false">IF($A181="","",INDEX(TblApplications[Mois prov (calc)],$A181))</f>
        <v/>
      </c>
      <c r="AR181" s="0" t="str">
        <f aca="false">IF($A181="","",IFERROR(DATE(YEAR(INDEX(TblApplications[Mois bascule],$A181)),MONTH(INDEX(TblApplications[Mois bascule],$A181)),1),""))</f>
        <v/>
      </c>
      <c r="AS181" s="0" t="str">
        <f aca="false">IF($A181="","",INDEX(TblApplications[Mois lib (calc)],$A181))</f>
        <v/>
      </c>
    </row>
    <row r="182" customFormat="false" ht="15" hidden="false" customHeight="false" outlineLevel="0" collapsed="false">
      <c r="A182" s="49" t="str">
        <f aca="false">IFERROR(MATCH(174,TblApplications[Rang frise],0),"")</f>
        <v/>
      </c>
      <c r="B182" s="50" t="str">
        <f aca="false">IF($A182="","",INDEX(TblApplications[ID],$A182))</f>
        <v/>
      </c>
      <c r="C182" s="50" t="str">
        <f aca="false">IF($A182="","",INDEX(TblApplications[Application],$A182))</f>
        <v/>
      </c>
      <c r="D182" s="50" t="str">
        <f aca="false">IF($A182="","",INDEX(TblApplications[Environnement],$A182))</f>
        <v/>
      </c>
      <c r="E182" s="50" t="str">
        <f aca="false">IF($A182="","",INDEX(TblApplications[Couloir],$A182))</f>
        <v/>
      </c>
      <c r="F182" s="50" t="str">
        <f aca="false">IF($A182="","",INDEX(TblApplications[Action],$A182))</f>
        <v/>
      </c>
      <c r="G182" s="51" t="str">
        <f aca="false">IF(OR($A182="",G$8=""),"",IF($F182="Migré","ROKS",IF($F182="À décommissionner",IF(G$8&lt;$AS182,"IKS","Décom."),IF(OR($AQ182="",$AS182=""),"",IF(G$8&lt;$AQ182,"IKS",IF(G$8&lt;$AS182,IF(G$8=$AR182,"Bascule","Double run"),"ROKS"))))))</f>
        <v/>
      </c>
      <c r="H182" s="51" t="str">
        <f aca="false">IF(OR($A182="",H$8=""),"",IF($F182="Migré","ROKS",IF($F182="À décommissionner",IF(H$8&lt;$AS182,"IKS","Décom."),IF(OR($AQ182="",$AS182=""),"",IF(H$8&lt;$AQ182,"IKS",IF(H$8&lt;$AS182,IF(H$8=$AR182,"Bascule","Double run"),"ROKS"))))))</f>
        <v/>
      </c>
      <c r="I182" s="51" t="str">
        <f aca="false">IF(OR($A182="",I$8=""),"",IF($F182="Migré","ROKS",IF($F182="À décommissionner",IF(I$8&lt;$AS182,"IKS","Décom."),IF(OR($AQ182="",$AS182=""),"",IF(I$8&lt;$AQ182,"IKS",IF(I$8&lt;$AS182,IF(I$8=$AR182,"Bascule","Double run"),"ROKS"))))))</f>
        <v/>
      </c>
      <c r="J182" s="51" t="str">
        <f aca="false">IF(OR($A182="",J$8=""),"",IF($F182="Migré","ROKS",IF($F182="À décommissionner",IF(J$8&lt;$AS182,"IKS","Décom."),IF(OR($AQ182="",$AS182=""),"",IF(J$8&lt;$AQ182,"IKS",IF(J$8&lt;$AS182,IF(J$8=$AR182,"Bascule","Double run"),"ROKS"))))))</f>
        <v/>
      </c>
      <c r="K182" s="51" t="str">
        <f aca="false">IF(OR($A182="",K$8=""),"",IF($F182="Migré","ROKS",IF($F182="À décommissionner",IF(K$8&lt;$AS182,"IKS","Décom."),IF(OR($AQ182="",$AS182=""),"",IF(K$8&lt;$AQ182,"IKS",IF(K$8&lt;$AS182,IF(K$8=$AR182,"Bascule","Double run"),"ROKS"))))))</f>
        <v/>
      </c>
      <c r="L182" s="51" t="str">
        <f aca="false">IF(OR($A182="",L$8=""),"",IF($F182="Migré","ROKS",IF($F182="À décommissionner",IF(L$8&lt;$AS182,"IKS","Décom."),IF(OR($AQ182="",$AS182=""),"",IF(L$8&lt;$AQ182,"IKS",IF(L$8&lt;$AS182,IF(L$8=$AR182,"Bascule","Double run"),"ROKS"))))))</f>
        <v/>
      </c>
      <c r="M182" s="51" t="str">
        <f aca="false">IF(OR($A182="",M$8=""),"",IF($F182="Migré","ROKS",IF($F182="À décommissionner",IF(M$8&lt;$AS182,"IKS","Décom."),IF(OR($AQ182="",$AS182=""),"",IF(M$8&lt;$AQ182,"IKS",IF(M$8&lt;$AS182,IF(M$8=$AR182,"Bascule","Double run"),"ROKS"))))))</f>
        <v/>
      </c>
      <c r="N182" s="51" t="str">
        <f aca="false">IF(OR($A182="",N$8=""),"",IF($F182="Migré","ROKS",IF($F182="À décommissionner",IF(N$8&lt;$AS182,"IKS","Décom."),IF(OR($AQ182="",$AS182=""),"",IF(N$8&lt;$AQ182,"IKS",IF(N$8&lt;$AS182,IF(N$8=$AR182,"Bascule","Double run"),"ROKS"))))))</f>
        <v/>
      </c>
      <c r="O182" s="51" t="str">
        <f aca="false">IF(OR($A182="",O$8=""),"",IF($F182="Migré","ROKS",IF($F182="À décommissionner",IF(O$8&lt;$AS182,"IKS","Décom."),IF(OR($AQ182="",$AS182=""),"",IF(O$8&lt;$AQ182,"IKS",IF(O$8&lt;$AS182,IF(O$8=$AR182,"Bascule","Double run"),"ROKS"))))))</f>
        <v/>
      </c>
      <c r="P182" s="51" t="str">
        <f aca="false">IF(OR($A182="",P$8=""),"",IF($F182="Migré","ROKS",IF($F182="À décommissionner",IF(P$8&lt;$AS182,"IKS","Décom."),IF(OR($AQ182="",$AS182=""),"",IF(P$8&lt;$AQ182,"IKS",IF(P$8&lt;$AS182,IF(P$8=$AR182,"Bascule","Double run"),"ROKS"))))))</f>
        <v/>
      </c>
      <c r="Q182" s="51" t="str">
        <f aca="false">IF(OR($A182="",Q$8=""),"",IF($F182="Migré","ROKS",IF($F182="À décommissionner",IF(Q$8&lt;$AS182,"IKS","Décom."),IF(OR($AQ182="",$AS182=""),"",IF(Q$8&lt;$AQ182,"IKS",IF(Q$8&lt;$AS182,IF(Q$8=$AR182,"Bascule","Double run"),"ROKS"))))))</f>
        <v/>
      </c>
      <c r="R182" s="51" t="str">
        <f aca="false">IF(OR($A182="",R$8=""),"",IF($F182="Migré","ROKS",IF($F182="À décommissionner",IF(R$8&lt;$AS182,"IKS","Décom."),IF(OR($AQ182="",$AS182=""),"",IF(R$8&lt;$AQ182,"IKS",IF(R$8&lt;$AS182,IF(R$8=$AR182,"Bascule","Double run"),"ROKS"))))))</f>
        <v/>
      </c>
      <c r="S182" s="51" t="str">
        <f aca="false">IF(OR($A182="",S$8=""),"",IF($F182="Migré","ROKS",IF($F182="À décommissionner",IF(S$8&lt;$AS182,"IKS","Décom."),IF(OR($AQ182="",$AS182=""),"",IF(S$8&lt;$AQ182,"IKS",IF(S$8&lt;$AS182,IF(S$8=$AR182,"Bascule","Double run"),"ROKS"))))))</f>
        <v/>
      </c>
      <c r="T182" s="51" t="str">
        <f aca="false">IF(OR($A182="",T$8=""),"",IF($F182="Migré","ROKS",IF($F182="À décommissionner",IF(T$8&lt;$AS182,"IKS","Décom."),IF(OR($AQ182="",$AS182=""),"",IF(T$8&lt;$AQ182,"IKS",IF(T$8&lt;$AS182,IF(T$8=$AR182,"Bascule","Double run"),"ROKS"))))))</f>
        <v/>
      </c>
      <c r="U182" s="51" t="str">
        <f aca="false">IF(OR($A182="",U$8=""),"",IF($F182="Migré","ROKS",IF($F182="À décommissionner",IF(U$8&lt;$AS182,"IKS","Décom."),IF(OR($AQ182="",$AS182=""),"",IF(U$8&lt;$AQ182,"IKS",IF(U$8&lt;$AS182,IF(U$8=$AR182,"Bascule","Double run"),"ROKS"))))))</f>
        <v/>
      </c>
      <c r="V182" s="51" t="str">
        <f aca="false">IF(OR($A182="",V$8=""),"",IF($F182="Migré","ROKS",IF($F182="À décommissionner",IF(V$8&lt;$AS182,"IKS","Décom."),IF(OR($AQ182="",$AS182=""),"",IF(V$8&lt;$AQ182,"IKS",IF(V$8&lt;$AS182,IF(V$8=$AR182,"Bascule","Double run"),"ROKS"))))))</f>
        <v/>
      </c>
      <c r="W182" s="51" t="str">
        <f aca="false">IF(OR($A182="",W$8=""),"",IF($F182="Migré","ROKS",IF($F182="À décommissionner",IF(W$8&lt;$AS182,"IKS","Décom."),IF(OR($AQ182="",$AS182=""),"",IF(W$8&lt;$AQ182,"IKS",IF(W$8&lt;$AS182,IF(W$8=$AR182,"Bascule","Double run"),"ROKS"))))))</f>
        <v/>
      </c>
      <c r="X182" s="51" t="str">
        <f aca="false">IF(OR($A182="",X$8=""),"",IF($F182="Migré","ROKS",IF($F182="À décommissionner",IF(X$8&lt;$AS182,"IKS","Décom."),IF(OR($AQ182="",$AS182=""),"",IF(X$8&lt;$AQ182,"IKS",IF(X$8&lt;$AS182,IF(X$8=$AR182,"Bascule","Double run"),"ROKS"))))))</f>
        <v/>
      </c>
      <c r="Y182" s="51" t="str">
        <f aca="false">IF(OR($A182="",Y$8=""),"",IF($F182="Migré","ROKS",IF($F182="À décommissionner",IF(Y$8&lt;$AS182,"IKS","Décom."),IF(OR($AQ182="",$AS182=""),"",IF(Y$8&lt;$AQ182,"IKS",IF(Y$8&lt;$AS182,IF(Y$8=$AR182,"Bascule","Double run"),"ROKS"))))))</f>
        <v/>
      </c>
      <c r="Z182" s="51" t="str">
        <f aca="false">IF(OR($A182="",Z$8=""),"",IF($F182="Migré","ROKS",IF($F182="À décommissionner",IF(Z$8&lt;$AS182,"IKS","Décom."),IF(OR($AQ182="",$AS182=""),"",IF(Z$8&lt;$AQ182,"IKS",IF(Z$8&lt;$AS182,IF(Z$8=$AR182,"Bascule","Double run"),"ROKS"))))))</f>
        <v/>
      </c>
      <c r="AA182" s="51" t="str">
        <f aca="false">IF(OR($A182="",AA$8=""),"",IF($F182="Migré","ROKS",IF($F182="À décommissionner",IF(AA$8&lt;$AS182,"IKS","Décom."),IF(OR($AQ182="",$AS182=""),"",IF(AA$8&lt;$AQ182,"IKS",IF(AA$8&lt;$AS182,IF(AA$8=$AR182,"Bascule","Double run"),"ROKS"))))))</f>
        <v/>
      </c>
      <c r="AB182" s="51" t="str">
        <f aca="false">IF(OR($A182="",AB$8=""),"",IF($F182="Migré","ROKS",IF($F182="À décommissionner",IF(AB$8&lt;$AS182,"IKS","Décom."),IF(OR($AQ182="",$AS182=""),"",IF(AB$8&lt;$AQ182,"IKS",IF(AB$8&lt;$AS182,IF(AB$8=$AR182,"Bascule","Double run"),"ROKS"))))))</f>
        <v/>
      </c>
      <c r="AC182" s="51" t="str">
        <f aca="false">IF(OR($A182="",AC$8=""),"",IF($F182="Migré","ROKS",IF($F182="À décommissionner",IF(AC$8&lt;$AS182,"IKS","Décom."),IF(OR($AQ182="",$AS182=""),"",IF(AC$8&lt;$AQ182,"IKS",IF(AC$8&lt;$AS182,IF(AC$8=$AR182,"Bascule","Double run"),"ROKS"))))))</f>
        <v/>
      </c>
      <c r="AD182" s="51" t="str">
        <f aca="false">IF(OR($A182="",AD$8=""),"",IF($F182="Migré","ROKS",IF($F182="À décommissionner",IF(AD$8&lt;$AS182,"IKS","Décom."),IF(OR($AQ182="",$AS182=""),"",IF(AD$8&lt;$AQ182,"IKS",IF(AD$8&lt;$AS182,IF(AD$8=$AR182,"Bascule","Double run"),"ROKS"))))))</f>
        <v/>
      </c>
      <c r="AE182" s="51" t="str">
        <f aca="false">IF(OR($A182="",AE$8=""),"",IF($F182="Migré","ROKS",IF($F182="À décommissionner",IF(AE$8&lt;$AS182,"IKS","Décom."),IF(OR($AQ182="",$AS182=""),"",IF(AE$8&lt;$AQ182,"IKS",IF(AE$8&lt;$AS182,IF(AE$8=$AR182,"Bascule","Double run"),"ROKS"))))))</f>
        <v/>
      </c>
      <c r="AF182" s="51" t="str">
        <f aca="false">IF(OR($A182="",AF$8=""),"",IF($F182="Migré","ROKS",IF($F182="À décommissionner",IF(AF$8&lt;$AS182,"IKS","Décom."),IF(OR($AQ182="",$AS182=""),"",IF(AF$8&lt;$AQ182,"IKS",IF(AF$8&lt;$AS182,IF(AF$8=$AR182,"Bascule","Double run"),"ROKS"))))))</f>
        <v/>
      </c>
      <c r="AG182" s="51" t="str">
        <f aca="false">IF(OR($A182="",AG$8=""),"",IF($F182="Migré","ROKS",IF($F182="À décommissionner",IF(AG$8&lt;$AS182,"IKS","Décom."),IF(OR($AQ182="",$AS182=""),"",IF(AG$8&lt;$AQ182,"IKS",IF(AG$8&lt;$AS182,IF(AG$8=$AR182,"Bascule","Double run"),"ROKS"))))))</f>
        <v/>
      </c>
      <c r="AH182" s="51" t="str">
        <f aca="false">IF(OR($A182="",AH$8=""),"",IF($F182="Migré","ROKS",IF($F182="À décommissionner",IF(AH$8&lt;$AS182,"IKS","Décom."),IF(OR($AQ182="",$AS182=""),"",IF(AH$8&lt;$AQ182,"IKS",IF(AH$8&lt;$AS182,IF(AH$8=$AR182,"Bascule","Double run"),"ROKS"))))))</f>
        <v/>
      </c>
      <c r="AI182" s="51" t="str">
        <f aca="false">IF(OR($A182="",AI$8=""),"",IF($F182="Migré","ROKS",IF($F182="À décommissionner",IF(AI$8&lt;$AS182,"IKS","Décom."),IF(OR($AQ182="",$AS182=""),"",IF(AI$8&lt;$AQ182,"IKS",IF(AI$8&lt;$AS182,IF(AI$8=$AR182,"Bascule","Double run"),"ROKS"))))))</f>
        <v/>
      </c>
      <c r="AJ182" s="51" t="str">
        <f aca="false">IF(OR($A182="",AJ$8=""),"",IF($F182="Migré","ROKS",IF($F182="À décommissionner",IF(AJ$8&lt;$AS182,"IKS","Décom."),IF(OR($AQ182="",$AS182=""),"",IF(AJ$8&lt;$AQ182,"IKS",IF(AJ$8&lt;$AS182,IF(AJ$8=$AR182,"Bascule","Double run"),"ROKS"))))))</f>
        <v/>
      </c>
      <c r="AK182" s="51" t="str">
        <f aca="false">IF(OR($A182="",AK$8=""),"",IF($F182="Migré","ROKS",IF($F182="À décommissionner",IF(AK$8&lt;$AS182,"IKS","Décom."),IF(OR($AQ182="",$AS182=""),"",IF(AK$8&lt;$AQ182,"IKS",IF(AK$8&lt;$AS182,IF(AK$8=$AR182,"Bascule","Double run"),"ROKS"))))))</f>
        <v/>
      </c>
      <c r="AL182" s="51" t="str">
        <f aca="false">IF(OR($A182="",AL$8=""),"",IF($F182="Migré","ROKS",IF($F182="À décommissionner",IF(AL$8&lt;$AS182,"IKS","Décom."),IF(OR($AQ182="",$AS182=""),"",IF(AL$8&lt;$AQ182,"IKS",IF(AL$8&lt;$AS182,IF(AL$8=$AR182,"Bascule","Double run"),"ROKS"))))))</f>
        <v/>
      </c>
      <c r="AM182" s="51" t="str">
        <f aca="false">IF(OR($A182="",AM$8=""),"",IF($F182="Migré","ROKS",IF($F182="À décommissionner",IF(AM$8&lt;$AS182,"IKS","Décom."),IF(OR($AQ182="",$AS182=""),"",IF(AM$8&lt;$AQ182,"IKS",IF(AM$8&lt;$AS182,IF(AM$8=$AR182,"Bascule","Double run"),"ROKS"))))))</f>
        <v/>
      </c>
      <c r="AN182" s="51" t="str">
        <f aca="false">IF(OR($A182="",AN$8=""),"",IF($F182="Migré","ROKS",IF($F182="À décommissionner",IF(AN$8&lt;$AS182,"IKS","Décom."),IF(OR($AQ182="",$AS182=""),"",IF(AN$8&lt;$AQ182,"IKS",IF(AN$8&lt;$AS182,IF(AN$8=$AR182,"Bascule","Double run"),"ROKS"))))))</f>
        <v/>
      </c>
      <c r="AO182" s="51" t="str">
        <f aca="false">IF(OR($A182="",AO$8=""),"",IF($F182="Migré","ROKS",IF($F182="À décommissionner",IF(AO$8&lt;$AS182,"IKS","Décom."),IF(OR($AQ182="",$AS182=""),"",IF(AO$8&lt;$AQ182,"IKS",IF(AO$8&lt;$AS182,IF(AO$8=$AR182,"Bascule","Double run"),"ROKS"))))))</f>
        <v/>
      </c>
      <c r="AP182" s="51" t="str">
        <f aca="false">IF(OR($A182="",AP$8=""),"",IF($F182="Migré","ROKS",IF($F182="À décommissionner",IF(AP$8&lt;$AS182,"IKS","Décom."),IF(OR($AQ182="",$AS182=""),"",IF(AP$8&lt;$AQ182,"IKS",IF(AP$8&lt;$AS182,IF(AP$8=$AR182,"Bascule","Double run"),"ROKS"))))))</f>
        <v/>
      </c>
      <c r="AQ182" s="0" t="str">
        <f aca="false">IF($A182="","",INDEX(TblApplications[Mois prov (calc)],$A182))</f>
        <v/>
      </c>
      <c r="AR182" s="0" t="str">
        <f aca="false">IF($A182="","",IFERROR(DATE(YEAR(INDEX(TblApplications[Mois bascule],$A182)),MONTH(INDEX(TblApplications[Mois bascule],$A182)),1),""))</f>
        <v/>
      </c>
      <c r="AS182" s="0" t="str">
        <f aca="false">IF($A182="","",INDEX(TblApplications[Mois lib (calc)],$A182))</f>
        <v/>
      </c>
    </row>
    <row r="183" customFormat="false" ht="15" hidden="false" customHeight="false" outlineLevel="0" collapsed="false">
      <c r="A183" s="49" t="str">
        <f aca="false">IFERROR(MATCH(175,TblApplications[Rang frise],0),"")</f>
        <v/>
      </c>
      <c r="B183" s="50" t="str">
        <f aca="false">IF($A183="","",INDEX(TblApplications[ID],$A183))</f>
        <v/>
      </c>
      <c r="C183" s="50" t="str">
        <f aca="false">IF($A183="","",INDEX(TblApplications[Application],$A183))</f>
        <v/>
      </c>
      <c r="D183" s="50" t="str">
        <f aca="false">IF($A183="","",INDEX(TblApplications[Environnement],$A183))</f>
        <v/>
      </c>
      <c r="E183" s="50" t="str">
        <f aca="false">IF($A183="","",INDEX(TblApplications[Couloir],$A183))</f>
        <v/>
      </c>
      <c r="F183" s="50" t="str">
        <f aca="false">IF($A183="","",INDEX(TblApplications[Action],$A183))</f>
        <v/>
      </c>
      <c r="G183" s="51" t="str">
        <f aca="false">IF(OR($A183="",G$8=""),"",IF($F183="Migré","ROKS",IF($F183="À décommissionner",IF(G$8&lt;$AS183,"IKS","Décom."),IF(OR($AQ183="",$AS183=""),"",IF(G$8&lt;$AQ183,"IKS",IF(G$8&lt;$AS183,IF(G$8=$AR183,"Bascule","Double run"),"ROKS"))))))</f>
        <v/>
      </c>
      <c r="H183" s="51" t="str">
        <f aca="false">IF(OR($A183="",H$8=""),"",IF($F183="Migré","ROKS",IF($F183="À décommissionner",IF(H$8&lt;$AS183,"IKS","Décom."),IF(OR($AQ183="",$AS183=""),"",IF(H$8&lt;$AQ183,"IKS",IF(H$8&lt;$AS183,IF(H$8=$AR183,"Bascule","Double run"),"ROKS"))))))</f>
        <v/>
      </c>
      <c r="I183" s="51" t="str">
        <f aca="false">IF(OR($A183="",I$8=""),"",IF($F183="Migré","ROKS",IF($F183="À décommissionner",IF(I$8&lt;$AS183,"IKS","Décom."),IF(OR($AQ183="",$AS183=""),"",IF(I$8&lt;$AQ183,"IKS",IF(I$8&lt;$AS183,IF(I$8=$AR183,"Bascule","Double run"),"ROKS"))))))</f>
        <v/>
      </c>
      <c r="J183" s="51" t="str">
        <f aca="false">IF(OR($A183="",J$8=""),"",IF($F183="Migré","ROKS",IF($F183="À décommissionner",IF(J$8&lt;$AS183,"IKS","Décom."),IF(OR($AQ183="",$AS183=""),"",IF(J$8&lt;$AQ183,"IKS",IF(J$8&lt;$AS183,IF(J$8=$AR183,"Bascule","Double run"),"ROKS"))))))</f>
        <v/>
      </c>
      <c r="K183" s="51" t="str">
        <f aca="false">IF(OR($A183="",K$8=""),"",IF($F183="Migré","ROKS",IF($F183="À décommissionner",IF(K$8&lt;$AS183,"IKS","Décom."),IF(OR($AQ183="",$AS183=""),"",IF(K$8&lt;$AQ183,"IKS",IF(K$8&lt;$AS183,IF(K$8=$AR183,"Bascule","Double run"),"ROKS"))))))</f>
        <v/>
      </c>
      <c r="L183" s="51" t="str">
        <f aca="false">IF(OR($A183="",L$8=""),"",IF($F183="Migré","ROKS",IF($F183="À décommissionner",IF(L$8&lt;$AS183,"IKS","Décom."),IF(OR($AQ183="",$AS183=""),"",IF(L$8&lt;$AQ183,"IKS",IF(L$8&lt;$AS183,IF(L$8=$AR183,"Bascule","Double run"),"ROKS"))))))</f>
        <v/>
      </c>
      <c r="M183" s="51" t="str">
        <f aca="false">IF(OR($A183="",M$8=""),"",IF($F183="Migré","ROKS",IF($F183="À décommissionner",IF(M$8&lt;$AS183,"IKS","Décom."),IF(OR($AQ183="",$AS183=""),"",IF(M$8&lt;$AQ183,"IKS",IF(M$8&lt;$AS183,IF(M$8=$AR183,"Bascule","Double run"),"ROKS"))))))</f>
        <v/>
      </c>
      <c r="N183" s="51" t="str">
        <f aca="false">IF(OR($A183="",N$8=""),"",IF($F183="Migré","ROKS",IF($F183="À décommissionner",IF(N$8&lt;$AS183,"IKS","Décom."),IF(OR($AQ183="",$AS183=""),"",IF(N$8&lt;$AQ183,"IKS",IF(N$8&lt;$AS183,IF(N$8=$AR183,"Bascule","Double run"),"ROKS"))))))</f>
        <v/>
      </c>
      <c r="O183" s="51" t="str">
        <f aca="false">IF(OR($A183="",O$8=""),"",IF($F183="Migré","ROKS",IF($F183="À décommissionner",IF(O$8&lt;$AS183,"IKS","Décom."),IF(OR($AQ183="",$AS183=""),"",IF(O$8&lt;$AQ183,"IKS",IF(O$8&lt;$AS183,IF(O$8=$AR183,"Bascule","Double run"),"ROKS"))))))</f>
        <v/>
      </c>
      <c r="P183" s="51" t="str">
        <f aca="false">IF(OR($A183="",P$8=""),"",IF($F183="Migré","ROKS",IF($F183="À décommissionner",IF(P$8&lt;$AS183,"IKS","Décom."),IF(OR($AQ183="",$AS183=""),"",IF(P$8&lt;$AQ183,"IKS",IF(P$8&lt;$AS183,IF(P$8=$AR183,"Bascule","Double run"),"ROKS"))))))</f>
        <v/>
      </c>
      <c r="Q183" s="51" t="str">
        <f aca="false">IF(OR($A183="",Q$8=""),"",IF($F183="Migré","ROKS",IF($F183="À décommissionner",IF(Q$8&lt;$AS183,"IKS","Décom."),IF(OR($AQ183="",$AS183=""),"",IF(Q$8&lt;$AQ183,"IKS",IF(Q$8&lt;$AS183,IF(Q$8=$AR183,"Bascule","Double run"),"ROKS"))))))</f>
        <v/>
      </c>
      <c r="R183" s="51" t="str">
        <f aca="false">IF(OR($A183="",R$8=""),"",IF($F183="Migré","ROKS",IF($F183="À décommissionner",IF(R$8&lt;$AS183,"IKS","Décom."),IF(OR($AQ183="",$AS183=""),"",IF(R$8&lt;$AQ183,"IKS",IF(R$8&lt;$AS183,IF(R$8=$AR183,"Bascule","Double run"),"ROKS"))))))</f>
        <v/>
      </c>
      <c r="S183" s="51" t="str">
        <f aca="false">IF(OR($A183="",S$8=""),"",IF($F183="Migré","ROKS",IF($F183="À décommissionner",IF(S$8&lt;$AS183,"IKS","Décom."),IF(OR($AQ183="",$AS183=""),"",IF(S$8&lt;$AQ183,"IKS",IF(S$8&lt;$AS183,IF(S$8=$AR183,"Bascule","Double run"),"ROKS"))))))</f>
        <v/>
      </c>
      <c r="T183" s="51" t="str">
        <f aca="false">IF(OR($A183="",T$8=""),"",IF($F183="Migré","ROKS",IF($F183="À décommissionner",IF(T$8&lt;$AS183,"IKS","Décom."),IF(OR($AQ183="",$AS183=""),"",IF(T$8&lt;$AQ183,"IKS",IF(T$8&lt;$AS183,IF(T$8=$AR183,"Bascule","Double run"),"ROKS"))))))</f>
        <v/>
      </c>
      <c r="U183" s="51" t="str">
        <f aca="false">IF(OR($A183="",U$8=""),"",IF($F183="Migré","ROKS",IF($F183="À décommissionner",IF(U$8&lt;$AS183,"IKS","Décom."),IF(OR($AQ183="",$AS183=""),"",IF(U$8&lt;$AQ183,"IKS",IF(U$8&lt;$AS183,IF(U$8=$AR183,"Bascule","Double run"),"ROKS"))))))</f>
        <v/>
      </c>
      <c r="V183" s="51" t="str">
        <f aca="false">IF(OR($A183="",V$8=""),"",IF($F183="Migré","ROKS",IF($F183="À décommissionner",IF(V$8&lt;$AS183,"IKS","Décom."),IF(OR($AQ183="",$AS183=""),"",IF(V$8&lt;$AQ183,"IKS",IF(V$8&lt;$AS183,IF(V$8=$AR183,"Bascule","Double run"),"ROKS"))))))</f>
        <v/>
      </c>
      <c r="W183" s="51" t="str">
        <f aca="false">IF(OR($A183="",W$8=""),"",IF($F183="Migré","ROKS",IF($F183="À décommissionner",IF(W$8&lt;$AS183,"IKS","Décom."),IF(OR($AQ183="",$AS183=""),"",IF(W$8&lt;$AQ183,"IKS",IF(W$8&lt;$AS183,IF(W$8=$AR183,"Bascule","Double run"),"ROKS"))))))</f>
        <v/>
      </c>
      <c r="X183" s="51" t="str">
        <f aca="false">IF(OR($A183="",X$8=""),"",IF($F183="Migré","ROKS",IF($F183="À décommissionner",IF(X$8&lt;$AS183,"IKS","Décom."),IF(OR($AQ183="",$AS183=""),"",IF(X$8&lt;$AQ183,"IKS",IF(X$8&lt;$AS183,IF(X$8=$AR183,"Bascule","Double run"),"ROKS"))))))</f>
        <v/>
      </c>
      <c r="Y183" s="51" t="str">
        <f aca="false">IF(OR($A183="",Y$8=""),"",IF($F183="Migré","ROKS",IF($F183="À décommissionner",IF(Y$8&lt;$AS183,"IKS","Décom."),IF(OR($AQ183="",$AS183=""),"",IF(Y$8&lt;$AQ183,"IKS",IF(Y$8&lt;$AS183,IF(Y$8=$AR183,"Bascule","Double run"),"ROKS"))))))</f>
        <v/>
      </c>
      <c r="Z183" s="51" t="str">
        <f aca="false">IF(OR($A183="",Z$8=""),"",IF($F183="Migré","ROKS",IF($F183="À décommissionner",IF(Z$8&lt;$AS183,"IKS","Décom."),IF(OR($AQ183="",$AS183=""),"",IF(Z$8&lt;$AQ183,"IKS",IF(Z$8&lt;$AS183,IF(Z$8=$AR183,"Bascule","Double run"),"ROKS"))))))</f>
        <v/>
      </c>
      <c r="AA183" s="51" t="str">
        <f aca="false">IF(OR($A183="",AA$8=""),"",IF($F183="Migré","ROKS",IF($F183="À décommissionner",IF(AA$8&lt;$AS183,"IKS","Décom."),IF(OR($AQ183="",$AS183=""),"",IF(AA$8&lt;$AQ183,"IKS",IF(AA$8&lt;$AS183,IF(AA$8=$AR183,"Bascule","Double run"),"ROKS"))))))</f>
        <v/>
      </c>
      <c r="AB183" s="51" t="str">
        <f aca="false">IF(OR($A183="",AB$8=""),"",IF($F183="Migré","ROKS",IF($F183="À décommissionner",IF(AB$8&lt;$AS183,"IKS","Décom."),IF(OR($AQ183="",$AS183=""),"",IF(AB$8&lt;$AQ183,"IKS",IF(AB$8&lt;$AS183,IF(AB$8=$AR183,"Bascule","Double run"),"ROKS"))))))</f>
        <v/>
      </c>
      <c r="AC183" s="51" t="str">
        <f aca="false">IF(OR($A183="",AC$8=""),"",IF($F183="Migré","ROKS",IF($F183="À décommissionner",IF(AC$8&lt;$AS183,"IKS","Décom."),IF(OR($AQ183="",$AS183=""),"",IF(AC$8&lt;$AQ183,"IKS",IF(AC$8&lt;$AS183,IF(AC$8=$AR183,"Bascule","Double run"),"ROKS"))))))</f>
        <v/>
      </c>
      <c r="AD183" s="51" t="str">
        <f aca="false">IF(OR($A183="",AD$8=""),"",IF($F183="Migré","ROKS",IF($F183="À décommissionner",IF(AD$8&lt;$AS183,"IKS","Décom."),IF(OR($AQ183="",$AS183=""),"",IF(AD$8&lt;$AQ183,"IKS",IF(AD$8&lt;$AS183,IF(AD$8=$AR183,"Bascule","Double run"),"ROKS"))))))</f>
        <v/>
      </c>
      <c r="AE183" s="51" t="str">
        <f aca="false">IF(OR($A183="",AE$8=""),"",IF($F183="Migré","ROKS",IF($F183="À décommissionner",IF(AE$8&lt;$AS183,"IKS","Décom."),IF(OR($AQ183="",$AS183=""),"",IF(AE$8&lt;$AQ183,"IKS",IF(AE$8&lt;$AS183,IF(AE$8=$AR183,"Bascule","Double run"),"ROKS"))))))</f>
        <v/>
      </c>
      <c r="AF183" s="51" t="str">
        <f aca="false">IF(OR($A183="",AF$8=""),"",IF($F183="Migré","ROKS",IF($F183="À décommissionner",IF(AF$8&lt;$AS183,"IKS","Décom."),IF(OR($AQ183="",$AS183=""),"",IF(AF$8&lt;$AQ183,"IKS",IF(AF$8&lt;$AS183,IF(AF$8=$AR183,"Bascule","Double run"),"ROKS"))))))</f>
        <v/>
      </c>
      <c r="AG183" s="51" t="str">
        <f aca="false">IF(OR($A183="",AG$8=""),"",IF($F183="Migré","ROKS",IF($F183="À décommissionner",IF(AG$8&lt;$AS183,"IKS","Décom."),IF(OR($AQ183="",$AS183=""),"",IF(AG$8&lt;$AQ183,"IKS",IF(AG$8&lt;$AS183,IF(AG$8=$AR183,"Bascule","Double run"),"ROKS"))))))</f>
        <v/>
      </c>
      <c r="AH183" s="51" t="str">
        <f aca="false">IF(OR($A183="",AH$8=""),"",IF($F183="Migré","ROKS",IF($F183="À décommissionner",IF(AH$8&lt;$AS183,"IKS","Décom."),IF(OR($AQ183="",$AS183=""),"",IF(AH$8&lt;$AQ183,"IKS",IF(AH$8&lt;$AS183,IF(AH$8=$AR183,"Bascule","Double run"),"ROKS"))))))</f>
        <v/>
      </c>
      <c r="AI183" s="51" t="str">
        <f aca="false">IF(OR($A183="",AI$8=""),"",IF($F183="Migré","ROKS",IF($F183="À décommissionner",IF(AI$8&lt;$AS183,"IKS","Décom."),IF(OR($AQ183="",$AS183=""),"",IF(AI$8&lt;$AQ183,"IKS",IF(AI$8&lt;$AS183,IF(AI$8=$AR183,"Bascule","Double run"),"ROKS"))))))</f>
        <v/>
      </c>
      <c r="AJ183" s="51" t="str">
        <f aca="false">IF(OR($A183="",AJ$8=""),"",IF($F183="Migré","ROKS",IF($F183="À décommissionner",IF(AJ$8&lt;$AS183,"IKS","Décom."),IF(OR($AQ183="",$AS183=""),"",IF(AJ$8&lt;$AQ183,"IKS",IF(AJ$8&lt;$AS183,IF(AJ$8=$AR183,"Bascule","Double run"),"ROKS"))))))</f>
        <v/>
      </c>
      <c r="AK183" s="51" t="str">
        <f aca="false">IF(OR($A183="",AK$8=""),"",IF($F183="Migré","ROKS",IF($F183="À décommissionner",IF(AK$8&lt;$AS183,"IKS","Décom."),IF(OR($AQ183="",$AS183=""),"",IF(AK$8&lt;$AQ183,"IKS",IF(AK$8&lt;$AS183,IF(AK$8=$AR183,"Bascule","Double run"),"ROKS"))))))</f>
        <v/>
      </c>
      <c r="AL183" s="51" t="str">
        <f aca="false">IF(OR($A183="",AL$8=""),"",IF($F183="Migré","ROKS",IF($F183="À décommissionner",IF(AL$8&lt;$AS183,"IKS","Décom."),IF(OR($AQ183="",$AS183=""),"",IF(AL$8&lt;$AQ183,"IKS",IF(AL$8&lt;$AS183,IF(AL$8=$AR183,"Bascule","Double run"),"ROKS"))))))</f>
        <v/>
      </c>
      <c r="AM183" s="51" t="str">
        <f aca="false">IF(OR($A183="",AM$8=""),"",IF($F183="Migré","ROKS",IF($F183="À décommissionner",IF(AM$8&lt;$AS183,"IKS","Décom."),IF(OR($AQ183="",$AS183=""),"",IF(AM$8&lt;$AQ183,"IKS",IF(AM$8&lt;$AS183,IF(AM$8=$AR183,"Bascule","Double run"),"ROKS"))))))</f>
        <v/>
      </c>
      <c r="AN183" s="51" t="str">
        <f aca="false">IF(OR($A183="",AN$8=""),"",IF($F183="Migré","ROKS",IF($F183="À décommissionner",IF(AN$8&lt;$AS183,"IKS","Décom."),IF(OR($AQ183="",$AS183=""),"",IF(AN$8&lt;$AQ183,"IKS",IF(AN$8&lt;$AS183,IF(AN$8=$AR183,"Bascule","Double run"),"ROKS"))))))</f>
        <v/>
      </c>
      <c r="AO183" s="51" t="str">
        <f aca="false">IF(OR($A183="",AO$8=""),"",IF($F183="Migré","ROKS",IF($F183="À décommissionner",IF(AO$8&lt;$AS183,"IKS","Décom."),IF(OR($AQ183="",$AS183=""),"",IF(AO$8&lt;$AQ183,"IKS",IF(AO$8&lt;$AS183,IF(AO$8=$AR183,"Bascule","Double run"),"ROKS"))))))</f>
        <v/>
      </c>
      <c r="AP183" s="51" t="str">
        <f aca="false">IF(OR($A183="",AP$8=""),"",IF($F183="Migré","ROKS",IF($F183="À décommissionner",IF(AP$8&lt;$AS183,"IKS","Décom."),IF(OR($AQ183="",$AS183=""),"",IF(AP$8&lt;$AQ183,"IKS",IF(AP$8&lt;$AS183,IF(AP$8=$AR183,"Bascule","Double run"),"ROKS"))))))</f>
        <v/>
      </c>
      <c r="AQ183" s="0" t="str">
        <f aca="false">IF($A183="","",INDEX(TblApplications[Mois prov (calc)],$A183))</f>
        <v/>
      </c>
      <c r="AR183" s="0" t="str">
        <f aca="false">IF($A183="","",IFERROR(DATE(YEAR(INDEX(TblApplications[Mois bascule],$A183)),MONTH(INDEX(TblApplications[Mois bascule],$A183)),1),""))</f>
        <v/>
      </c>
      <c r="AS183" s="0" t="str">
        <f aca="false">IF($A183="","",INDEX(TblApplications[Mois lib (calc)],$A183))</f>
        <v/>
      </c>
    </row>
    <row r="184" customFormat="false" ht="15" hidden="false" customHeight="false" outlineLevel="0" collapsed="false">
      <c r="A184" s="49" t="str">
        <f aca="false">IFERROR(MATCH(176,TblApplications[Rang frise],0),"")</f>
        <v/>
      </c>
      <c r="B184" s="50" t="str">
        <f aca="false">IF($A184="","",INDEX(TblApplications[ID],$A184))</f>
        <v/>
      </c>
      <c r="C184" s="50" t="str">
        <f aca="false">IF($A184="","",INDEX(TblApplications[Application],$A184))</f>
        <v/>
      </c>
      <c r="D184" s="50" t="str">
        <f aca="false">IF($A184="","",INDEX(TblApplications[Environnement],$A184))</f>
        <v/>
      </c>
      <c r="E184" s="50" t="str">
        <f aca="false">IF($A184="","",INDEX(TblApplications[Couloir],$A184))</f>
        <v/>
      </c>
      <c r="F184" s="50" t="str">
        <f aca="false">IF($A184="","",INDEX(TblApplications[Action],$A184))</f>
        <v/>
      </c>
      <c r="G184" s="51" t="str">
        <f aca="false">IF(OR($A184="",G$8=""),"",IF($F184="Migré","ROKS",IF($F184="À décommissionner",IF(G$8&lt;$AS184,"IKS","Décom."),IF(OR($AQ184="",$AS184=""),"",IF(G$8&lt;$AQ184,"IKS",IF(G$8&lt;$AS184,IF(G$8=$AR184,"Bascule","Double run"),"ROKS"))))))</f>
        <v/>
      </c>
      <c r="H184" s="51" t="str">
        <f aca="false">IF(OR($A184="",H$8=""),"",IF($F184="Migré","ROKS",IF($F184="À décommissionner",IF(H$8&lt;$AS184,"IKS","Décom."),IF(OR($AQ184="",$AS184=""),"",IF(H$8&lt;$AQ184,"IKS",IF(H$8&lt;$AS184,IF(H$8=$AR184,"Bascule","Double run"),"ROKS"))))))</f>
        <v/>
      </c>
      <c r="I184" s="51" t="str">
        <f aca="false">IF(OR($A184="",I$8=""),"",IF($F184="Migré","ROKS",IF($F184="À décommissionner",IF(I$8&lt;$AS184,"IKS","Décom."),IF(OR($AQ184="",$AS184=""),"",IF(I$8&lt;$AQ184,"IKS",IF(I$8&lt;$AS184,IF(I$8=$AR184,"Bascule","Double run"),"ROKS"))))))</f>
        <v/>
      </c>
      <c r="J184" s="51" t="str">
        <f aca="false">IF(OR($A184="",J$8=""),"",IF($F184="Migré","ROKS",IF($F184="À décommissionner",IF(J$8&lt;$AS184,"IKS","Décom."),IF(OR($AQ184="",$AS184=""),"",IF(J$8&lt;$AQ184,"IKS",IF(J$8&lt;$AS184,IF(J$8=$AR184,"Bascule","Double run"),"ROKS"))))))</f>
        <v/>
      </c>
      <c r="K184" s="51" t="str">
        <f aca="false">IF(OR($A184="",K$8=""),"",IF($F184="Migré","ROKS",IF($F184="À décommissionner",IF(K$8&lt;$AS184,"IKS","Décom."),IF(OR($AQ184="",$AS184=""),"",IF(K$8&lt;$AQ184,"IKS",IF(K$8&lt;$AS184,IF(K$8=$AR184,"Bascule","Double run"),"ROKS"))))))</f>
        <v/>
      </c>
      <c r="L184" s="51" t="str">
        <f aca="false">IF(OR($A184="",L$8=""),"",IF($F184="Migré","ROKS",IF($F184="À décommissionner",IF(L$8&lt;$AS184,"IKS","Décom."),IF(OR($AQ184="",$AS184=""),"",IF(L$8&lt;$AQ184,"IKS",IF(L$8&lt;$AS184,IF(L$8=$AR184,"Bascule","Double run"),"ROKS"))))))</f>
        <v/>
      </c>
      <c r="M184" s="51" t="str">
        <f aca="false">IF(OR($A184="",M$8=""),"",IF($F184="Migré","ROKS",IF($F184="À décommissionner",IF(M$8&lt;$AS184,"IKS","Décom."),IF(OR($AQ184="",$AS184=""),"",IF(M$8&lt;$AQ184,"IKS",IF(M$8&lt;$AS184,IF(M$8=$AR184,"Bascule","Double run"),"ROKS"))))))</f>
        <v/>
      </c>
      <c r="N184" s="51" t="str">
        <f aca="false">IF(OR($A184="",N$8=""),"",IF($F184="Migré","ROKS",IF($F184="À décommissionner",IF(N$8&lt;$AS184,"IKS","Décom."),IF(OR($AQ184="",$AS184=""),"",IF(N$8&lt;$AQ184,"IKS",IF(N$8&lt;$AS184,IF(N$8=$AR184,"Bascule","Double run"),"ROKS"))))))</f>
        <v/>
      </c>
      <c r="O184" s="51" t="str">
        <f aca="false">IF(OR($A184="",O$8=""),"",IF($F184="Migré","ROKS",IF($F184="À décommissionner",IF(O$8&lt;$AS184,"IKS","Décom."),IF(OR($AQ184="",$AS184=""),"",IF(O$8&lt;$AQ184,"IKS",IF(O$8&lt;$AS184,IF(O$8=$AR184,"Bascule","Double run"),"ROKS"))))))</f>
        <v/>
      </c>
      <c r="P184" s="51" t="str">
        <f aca="false">IF(OR($A184="",P$8=""),"",IF($F184="Migré","ROKS",IF($F184="À décommissionner",IF(P$8&lt;$AS184,"IKS","Décom."),IF(OR($AQ184="",$AS184=""),"",IF(P$8&lt;$AQ184,"IKS",IF(P$8&lt;$AS184,IF(P$8=$AR184,"Bascule","Double run"),"ROKS"))))))</f>
        <v/>
      </c>
      <c r="Q184" s="51" t="str">
        <f aca="false">IF(OR($A184="",Q$8=""),"",IF($F184="Migré","ROKS",IF($F184="À décommissionner",IF(Q$8&lt;$AS184,"IKS","Décom."),IF(OR($AQ184="",$AS184=""),"",IF(Q$8&lt;$AQ184,"IKS",IF(Q$8&lt;$AS184,IF(Q$8=$AR184,"Bascule","Double run"),"ROKS"))))))</f>
        <v/>
      </c>
      <c r="R184" s="51" t="str">
        <f aca="false">IF(OR($A184="",R$8=""),"",IF($F184="Migré","ROKS",IF($F184="À décommissionner",IF(R$8&lt;$AS184,"IKS","Décom."),IF(OR($AQ184="",$AS184=""),"",IF(R$8&lt;$AQ184,"IKS",IF(R$8&lt;$AS184,IF(R$8=$AR184,"Bascule","Double run"),"ROKS"))))))</f>
        <v/>
      </c>
      <c r="S184" s="51" t="str">
        <f aca="false">IF(OR($A184="",S$8=""),"",IF($F184="Migré","ROKS",IF($F184="À décommissionner",IF(S$8&lt;$AS184,"IKS","Décom."),IF(OR($AQ184="",$AS184=""),"",IF(S$8&lt;$AQ184,"IKS",IF(S$8&lt;$AS184,IF(S$8=$AR184,"Bascule","Double run"),"ROKS"))))))</f>
        <v/>
      </c>
      <c r="T184" s="51" t="str">
        <f aca="false">IF(OR($A184="",T$8=""),"",IF($F184="Migré","ROKS",IF($F184="À décommissionner",IF(T$8&lt;$AS184,"IKS","Décom."),IF(OR($AQ184="",$AS184=""),"",IF(T$8&lt;$AQ184,"IKS",IF(T$8&lt;$AS184,IF(T$8=$AR184,"Bascule","Double run"),"ROKS"))))))</f>
        <v/>
      </c>
      <c r="U184" s="51" t="str">
        <f aca="false">IF(OR($A184="",U$8=""),"",IF($F184="Migré","ROKS",IF($F184="À décommissionner",IF(U$8&lt;$AS184,"IKS","Décom."),IF(OR($AQ184="",$AS184=""),"",IF(U$8&lt;$AQ184,"IKS",IF(U$8&lt;$AS184,IF(U$8=$AR184,"Bascule","Double run"),"ROKS"))))))</f>
        <v/>
      </c>
      <c r="V184" s="51" t="str">
        <f aca="false">IF(OR($A184="",V$8=""),"",IF($F184="Migré","ROKS",IF($F184="À décommissionner",IF(V$8&lt;$AS184,"IKS","Décom."),IF(OR($AQ184="",$AS184=""),"",IF(V$8&lt;$AQ184,"IKS",IF(V$8&lt;$AS184,IF(V$8=$AR184,"Bascule","Double run"),"ROKS"))))))</f>
        <v/>
      </c>
      <c r="W184" s="51" t="str">
        <f aca="false">IF(OR($A184="",W$8=""),"",IF($F184="Migré","ROKS",IF($F184="À décommissionner",IF(W$8&lt;$AS184,"IKS","Décom."),IF(OR($AQ184="",$AS184=""),"",IF(W$8&lt;$AQ184,"IKS",IF(W$8&lt;$AS184,IF(W$8=$AR184,"Bascule","Double run"),"ROKS"))))))</f>
        <v/>
      </c>
      <c r="X184" s="51" t="str">
        <f aca="false">IF(OR($A184="",X$8=""),"",IF($F184="Migré","ROKS",IF($F184="À décommissionner",IF(X$8&lt;$AS184,"IKS","Décom."),IF(OR($AQ184="",$AS184=""),"",IF(X$8&lt;$AQ184,"IKS",IF(X$8&lt;$AS184,IF(X$8=$AR184,"Bascule","Double run"),"ROKS"))))))</f>
        <v/>
      </c>
      <c r="Y184" s="51" t="str">
        <f aca="false">IF(OR($A184="",Y$8=""),"",IF($F184="Migré","ROKS",IF($F184="À décommissionner",IF(Y$8&lt;$AS184,"IKS","Décom."),IF(OR($AQ184="",$AS184=""),"",IF(Y$8&lt;$AQ184,"IKS",IF(Y$8&lt;$AS184,IF(Y$8=$AR184,"Bascule","Double run"),"ROKS"))))))</f>
        <v/>
      </c>
      <c r="Z184" s="51" t="str">
        <f aca="false">IF(OR($A184="",Z$8=""),"",IF($F184="Migré","ROKS",IF($F184="À décommissionner",IF(Z$8&lt;$AS184,"IKS","Décom."),IF(OR($AQ184="",$AS184=""),"",IF(Z$8&lt;$AQ184,"IKS",IF(Z$8&lt;$AS184,IF(Z$8=$AR184,"Bascule","Double run"),"ROKS"))))))</f>
        <v/>
      </c>
      <c r="AA184" s="51" t="str">
        <f aca="false">IF(OR($A184="",AA$8=""),"",IF($F184="Migré","ROKS",IF($F184="À décommissionner",IF(AA$8&lt;$AS184,"IKS","Décom."),IF(OR($AQ184="",$AS184=""),"",IF(AA$8&lt;$AQ184,"IKS",IF(AA$8&lt;$AS184,IF(AA$8=$AR184,"Bascule","Double run"),"ROKS"))))))</f>
        <v/>
      </c>
      <c r="AB184" s="51" t="str">
        <f aca="false">IF(OR($A184="",AB$8=""),"",IF($F184="Migré","ROKS",IF($F184="À décommissionner",IF(AB$8&lt;$AS184,"IKS","Décom."),IF(OR($AQ184="",$AS184=""),"",IF(AB$8&lt;$AQ184,"IKS",IF(AB$8&lt;$AS184,IF(AB$8=$AR184,"Bascule","Double run"),"ROKS"))))))</f>
        <v/>
      </c>
      <c r="AC184" s="51" t="str">
        <f aca="false">IF(OR($A184="",AC$8=""),"",IF($F184="Migré","ROKS",IF($F184="À décommissionner",IF(AC$8&lt;$AS184,"IKS","Décom."),IF(OR($AQ184="",$AS184=""),"",IF(AC$8&lt;$AQ184,"IKS",IF(AC$8&lt;$AS184,IF(AC$8=$AR184,"Bascule","Double run"),"ROKS"))))))</f>
        <v/>
      </c>
      <c r="AD184" s="51" t="str">
        <f aca="false">IF(OR($A184="",AD$8=""),"",IF($F184="Migré","ROKS",IF($F184="À décommissionner",IF(AD$8&lt;$AS184,"IKS","Décom."),IF(OR($AQ184="",$AS184=""),"",IF(AD$8&lt;$AQ184,"IKS",IF(AD$8&lt;$AS184,IF(AD$8=$AR184,"Bascule","Double run"),"ROKS"))))))</f>
        <v/>
      </c>
      <c r="AE184" s="51" t="str">
        <f aca="false">IF(OR($A184="",AE$8=""),"",IF($F184="Migré","ROKS",IF($F184="À décommissionner",IF(AE$8&lt;$AS184,"IKS","Décom."),IF(OR($AQ184="",$AS184=""),"",IF(AE$8&lt;$AQ184,"IKS",IF(AE$8&lt;$AS184,IF(AE$8=$AR184,"Bascule","Double run"),"ROKS"))))))</f>
        <v/>
      </c>
      <c r="AF184" s="51" t="str">
        <f aca="false">IF(OR($A184="",AF$8=""),"",IF($F184="Migré","ROKS",IF($F184="À décommissionner",IF(AF$8&lt;$AS184,"IKS","Décom."),IF(OR($AQ184="",$AS184=""),"",IF(AF$8&lt;$AQ184,"IKS",IF(AF$8&lt;$AS184,IF(AF$8=$AR184,"Bascule","Double run"),"ROKS"))))))</f>
        <v/>
      </c>
      <c r="AG184" s="51" t="str">
        <f aca="false">IF(OR($A184="",AG$8=""),"",IF($F184="Migré","ROKS",IF($F184="À décommissionner",IF(AG$8&lt;$AS184,"IKS","Décom."),IF(OR($AQ184="",$AS184=""),"",IF(AG$8&lt;$AQ184,"IKS",IF(AG$8&lt;$AS184,IF(AG$8=$AR184,"Bascule","Double run"),"ROKS"))))))</f>
        <v/>
      </c>
      <c r="AH184" s="51" t="str">
        <f aca="false">IF(OR($A184="",AH$8=""),"",IF($F184="Migré","ROKS",IF($F184="À décommissionner",IF(AH$8&lt;$AS184,"IKS","Décom."),IF(OR($AQ184="",$AS184=""),"",IF(AH$8&lt;$AQ184,"IKS",IF(AH$8&lt;$AS184,IF(AH$8=$AR184,"Bascule","Double run"),"ROKS"))))))</f>
        <v/>
      </c>
      <c r="AI184" s="51" t="str">
        <f aca="false">IF(OR($A184="",AI$8=""),"",IF($F184="Migré","ROKS",IF($F184="À décommissionner",IF(AI$8&lt;$AS184,"IKS","Décom."),IF(OR($AQ184="",$AS184=""),"",IF(AI$8&lt;$AQ184,"IKS",IF(AI$8&lt;$AS184,IF(AI$8=$AR184,"Bascule","Double run"),"ROKS"))))))</f>
        <v/>
      </c>
      <c r="AJ184" s="51" t="str">
        <f aca="false">IF(OR($A184="",AJ$8=""),"",IF($F184="Migré","ROKS",IF($F184="À décommissionner",IF(AJ$8&lt;$AS184,"IKS","Décom."),IF(OR($AQ184="",$AS184=""),"",IF(AJ$8&lt;$AQ184,"IKS",IF(AJ$8&lt;$AS184,IF(AJ$8=$AR184,"Bascule","Double run"),"ROKS"))))))</f>
        <v/>
      </c>
      <c r="AK184" s="51" t="str">
        <f aca="false">IF(OR($A184="",AK$8=""),"",IF($F184="Migré","ROKS",IF($F184="À décommissionner",IF(AK$8&lt;$AS184,"IKS","Décom."),IF(OR($AQ184="",$AS184=""),"",IF(AK$8&lt;$AQ184,"IKS",IF(AK$8&lt;$AS184,IF(AK$8=$AR184,"Bascule","Double run"),"ROKS"))))))</f>
        <v/>
      </c>
      <c r="AL184" s="51" t="str">
        <f aca="false">IF(OR($A184="",AL$8=""),"",IF($F184="Migré","ROKS",IF($F184="À décommissionner",IF(AL$8&lt;$AS184,"IKS","Décom."),IF(OR($AQ184="",$AS184=""),"",IF(AL$8&lt;$AQ184,"IKS",IF(AL$8&lt;$AS184,IF(AL$8=$AR184,"Bascule","Double run"),"ROKS"))))))</f>
        <v/>
      </c>
      <c r="AM184" s="51" t="str">
        <f aca="false">IF(OR($A184="",AM$8=""),"",IF($F184="Migré","ROKS",IF($F184="À décommissionner",IF(AM$8&lt;$AS184,"IKS","Décom."),IF(OR($AQ184="",$AS184=""),"",IF(AM$8&lt;$AQ184,"IKS",IF(AM$8&lt;$AS184,IF(AM$8=$AR184,"Bascule","Double run"),"ROKS"))))))</f>
        <v/>
      </c>
      <c r="AN184" s="51" t="str">
        <f aca="false">IF(OR($A184="",AN$8=""),"",IF($F184="Migré","ROKS",IF($F184="À décommissionner",IF(AN$8&lt;$AS184,"IKS","Décom."),IF(OR($AQ184="",$AS184=""),"",IF(AN$8&lt;$AQ184,"IKS",IF(AN$8&lt;$AS184,IF(AN$8=$AR184,"Bascule","Double run"),"ROKS"))))))</f>
        <v/>
      </c>
      <c r="AO184" s="51" t="str">
        <f aca="false">IF(OR($A184="",AO$8=""),"",IF($F184="Migré","ROKS",IF($F184="À décommissionner",IF(AO$8&lt;$AS184,"IKS","Décom."),IF(OR($AQ184="",$AS184=""),"",IF(AO$8&lt;$AQ184,"IKS",IF(AO$8&lt;$AS184,IF(AO$8=$AR184,"Bascule","Double run"),"ROKS"))))))</f>
        <v/>
      </c>
      <c r="AP184" s="51" t="str">
        <f aca="false">IF(OR($A184="",AP$8=""),"",IF($F184="Migré","ROKS",IF($F184="À décommissionner",IF(AP$8&lt;$AS184,"IKS","Décom."),IF(OR($AQ184="",$AS184=""),"",IF(AP$8&lt;$AQ184,"IKS",IF(AP$8&lt;$AS184,IF(AP$8=$AR184,"Bascule","Double run"),"ROKS"))))))</f>
        <v/>
      </c>
      <c r="AQ184" s="0" t="str">
        <f aca="false">IF($A184="","",INDEX(TblApplications[Mois prov (calc)],$A184))</f>
        <v/>
      </c>
      <c r="AR184" s="0" t="str">
        <f aca="false">IF($A184="","",IFERROR(DATE(YEAR(INDEX(TblApplications[Mois bascule],$A184)),MONTH(INDEX(TblApplications[Mois bascule],$A184)),1),""))</f>
        <v/>
      </c>
      <c r="AS184" s="0" t="str">
        <f aca="false">IF($A184="","",INDEX(TblApplications[Mois lib (calc)],$A184))</f>
        <v/>
      </c>
    </row>
    <row r="185" customFormat="false" ht="15" hidden="false" customHeight="false" outlineLevel="0" collapsed="false">
      <c r="A185" s="49" t="str">
        <f aca="false">IFERROR(MATCH(177,TblApplications[Rang frise],0),"")</f>
        <v/>
      </c>
      <c r="B185" s="50" t="str">
        <f aca="false">IF($A185="","",INDEX(TblApplications[ID],$A185))</f>
        <v/>
      </c>
      <c r="C185" s="50" t="str">
        <f aca="false">IF($A185="","",INDEX(TblApplications[Application],$A185))</f>
        <v/>
      </c>
      <c r="D185" s="50" t="str">
        <f aca="false">IF($A185="","",INDEX(TblApplications[Environnement],$A185))</f>
        <v/>
      </c>
      <c r="E185" s="50" t="str">
        <f aca="false">IF($A185="","",INDEX(TblApplications[Couloir],$A185))</f>
        <v/>
      </c>
      <c r="F185" s="50" t="str">
        <f aca="false">IF($A185="","",INDEX(TblApplications[Action],$A185))</f>
        <v/>
      </c>
      <c r="G185" s="51" t="str">
        <f aca="false">IF(OR($A185="",G$8=""),"",IF($F185="Migré","ROKS",IF($F185="À décommissionner",IF(G$8&lt;$AS185,"IKS","Décom."),IF(OR($AQ185="",$AS185=""),"",IF(G$8&lt;$AQ185,"IKS",IF(G$8&lt;$AS185,IF(G$8=$AR185,"Bascule","Double run"),"ROKS"))))))</f>
        <v/>
      </c>
      <c r="H185" s="51" t="str">
        <f aca="false">IF(OR($A185="",H$8=""),"",IF($F185="Migré","ROKS",IF($F185="À décommissionner",IF(H$8&lt;$AS185,"IKS","Décom."),IF(OR($AQ185="",$AS185=""),"",IF(H$8&lt;$AQ185,"IKS",IF(H$8&lt;$AS185,IF(H$8=$AR185,"Bascule","Double run"),"ROKS"))))))</f>
        <v/>
      </c>
      <c r="I185" s="51" t="str">
        <f aca="false">IF(OR($A185="",I$8=""),"",IF($F185="Migré","ROKS",IF($F185="À décommissionner",IF(I$8&lt;$AS185,"IKS","Décom."),IF(OR($AQ185="",$AS185=""),"",IF(I$8&lt;$AQ185,"IKS",IF(I$8&lt;$AS185,IF(I$8=$AR185,"Bascule","Double run"),"ROKS"))))))</f>
        <v/>
      </c>
      <c r="J185" s="51" t="str">
        <f aca="false">IF(OR($A185="",J$8=""),"",IF($F185="Migré","ROKS",IF($F185="À décommissionner",IF(J$8&lt;$AS185,"IKS","Décom."),IF(OR($AQ185="",$AS185=""),"",IF(J$8&lt;$AQ185,"IKS",IF(J$8&lt;$AS185,IF(J$8=$AR185,"Bascule","Double run"),"ROKS"))))))</f>
        <v/>
      </c>
      <c r="K185" s="51" t="str">
        <f aca="false">IF(OR($A185="",K$8=""),"",IF($F185="Migré","ROKS",IF($F185="À décommissionner",IF(K$8&lt;$AS185,"IKS","Décom."),IF(OR($AQ185="",$AS185=""),"",IF(K$8&lt;$AQ185,"IKS",IF(K$8&lt;$AS185,IF(K$8=$AR185,"Bascule","Double run"),"ROKS"))))))</f>
        <v/>
      </c>
      <c r="L185" s="51" t="str">
        <f aca="false">IF(OR($A185="",L$8=""),"",IF($F185="Migré","ROKS",IF($F185="À décommissionner",IF(L$8&lt;$AS185,"IKS","Décom."),IF(OR($AQ185="",$AS185=""),"",IF(L$8&lt;$AQ185,"IKS",IF(L$8&lt;$AS185,IF(L$8=$AR185,"Bascule","Double run"),"ROKS"))))))</f>
        <v/>
      </c>
      <c r="M185" s="51" t="str">
        <f aca="false">IF(OR($A185="",M$8=""),"",IF($F185="Migré","ROKS",IF($F185="À décommissionner",IF(M$8&lt;$AS185,"IKS","Décom."),IF(OR($AQ185="",$AS185=""),"",IF(M$8&lt;$AQ185,"IKS",IF(M$8&lt;$AS185,IF(M$8=$AR185,"Bascule","Double run"),"ROKS"))))))</f>
        <v/>
      </c>
      <c r="N185" s="51" t="str">
        <f aca="false">IF(OR($A185="",N$8=""),"",IF($F185="Migré","ROKS",IF($F185="À décommissionner",IF(N$8&lt;$AS185,"IKS","Décom."),IF(OR($AQ185="",$AS185=""),"",IF(N$8&lt;$AQ185,"IKS",IF(N$8&lt;$AS185,IF(N$8=$AR185,"Bascule","Double run"),"ROKS"))))))</f>
        <v/>
      </c>
      <c r="O185" s="51" t="str">
        <f aca="false">IF(OR($A185="",O$8=""),"",IF($F185="Migré","ROKS",IF($F185="À décommissionner",IF(O$8&lt;$AS185,"IKS","Décom."),IF(OR($AQ185="",$AS185=""),"",IF(O$8&lt;$AQ185,"IKS",IF(O$8&lt;$AS185,IF(O$8=$AR185,"Bascule","Double run"),"ROKS"))))))</f>
        <v/>
      </c>
      <c r="P185" s="51" t="str">
        <f aca="false">IF(OR($A185="",P$8=""),"",IF($F185="Migré","ROKS",IF($F185="À décommissionner",IF(P$8&lt;$AS185,"IKS","Décom."),IF(OR($AQ185="",$AS185=""),"",IF(P$8&lt;$AQ185,"IKS",IF(P$8&lt;$AS185,IF(P$8=$AR185,"Bascule","Double run"),"ROKS"))))))</f>
        <v/>
      </c>
      <c r="Q185" s="51" t="str">
        <f aca="false">IF(OR($A185="",Q$8=""),"",IF($F185="Migré","ROKS",IF($F185="À décommissionner",IF(Q$8&lt;$AS185,"IKS","Décom."),IF(OR($AQ185="",$AS185=""),"",IF(Q$8&lt;$AQ185,"IKS",IF(Q$8&lt;$AS185,IF(Q$8=$AR185,"Bascule","Double run"),"ROKS"))))))</f>
        <v/>
      </c>
      <c r="R185" s="51" t="str">
        <f aca="false">IF(OR($A185="",R$8=""),"",IF($F185="Migré","ROKS",IF($F185="À décommissionner",IF(R$8&lt;$AS185,"IKS","Décom."),IF(OR($AQ185="",$AS185=""),"",IF(R$8&lt;$AQ185,"IKS",IF(R$8&lt;$AS185,IF(R$8=$AR185,"Bascule","Double run"),"ROKS"))))))</f>
        <v/>
      </c>
      <c r="S185" s="51" t="str">
        <f aca="false">IF(OR($A185="",S$8=""),"",IF($F185="Migré","ROKS",IF($F185="À décommissionner",IF(S$8&lt;$AS185,"IKS","Décom."),IF(OR($AQ185="",$AS185=""),"",IF(S$8&lt;$AQ185,"IKS",IF(S$8&lt;$AS185,IF(S$8=$AR185,"Bascule","Double run"),"ROKS"))))))</f>
        <v/>
      </c>
      <c r="T185" s="51" t="str">
        <f aca="false">IF(OR($A185="",T$8=""),"",IF($F185="Migré","ROKS",IF($F185="À décommissionner",IF(T$8&lt;$AS185,"IKS","Décom."),IF(OR($AQ185="",$AS185=""),"",IF(T$8&lt;$AQ185,"IKS",IF(T$8&lt;$AS185,IF(T$8=$AR185,"Bascule","Double run"),"ROKS"))))))</f>
        <v/>
      </c>
      <c r="U185" s="51" t="str">
        <f aca="false">IF(OR($A185="",U$8=""),"",IF($F185="Migré","ROKS",IF($F185="À décommissionner",IF(U$8&lt;$AS185,"IKS","Décom."),IF(OR($AQ185="",$AS185=""),"",IF(U$8&lt;$AQ185,"IKS",IF(U$8&lt;$AS185,IF(U$8=$AR185,"Bascule","Double run"),"ROKS"))))))</f>
        <v/>
      </c>
      <c r="V185" s="51" t="str">
        <f aca="false">IF(OR($A185="",V$8=""),"",IF($F185="Migré","ROKS",IF($F185="À décommissionner",IF(V$8&lt;$AS185,"IKS","Décom."),IF(OR($AQ185="",$AS185=""),"",IF(V$8&lt;$AQ185,"IKS",IF(V$8&lt;$AS185,IF(V$8=$AR185,"Bascule","Double run"),"ROKS"))))))</f>
        <v/>
      </c>
      <c r="W185" s="51" t="str">
        <f aca="false">IF(OR($A185="",W$8=""),"",IF($F185="Migré","ROKS",IF($F185="À décommissionner",IF(W$8&lt;$AS185,"IKS","Décom."),IF(OR($AQ185="",$AS185=""),"",IF(W$8&lt;$AQ185,"IKS",IF(W$8&lt;$AS185,IF(W$8=$AR185,"Bascule","Double run"),"ROKS"))))))</f>
        <v/>
      </c>
      <c r="X185" s="51" t="str">
        <f aca="false">IF(OR($A185="",X$8=""),"",IF($F185="Migré","ROKS",IF($F185="À décommissionner",IF(X$8&lt;$AS185,"IKS","Décom."),IF(OR($AQ185="",$AS185=""),"",IF(X$8&lt;$AQ185,"IKS",IF(X$8&lt;$AS185,IF(X$8=$AR185,"Bascule","Double run"),"ROKS"))))))</f>
        <v/>
      </c>
      <c r="Y185" s="51" t="str">
        <f aca="false">IF(OR($A185="",Y$8=""),"",IF($F185="Migré","ROKS",IF($F185="À décommissionner",IF(Y$8&lt;$AS185,"IKS","Décom."),IF(OR($AQ185="",$AS185=""),"",IF(Y$8&lt;$AQ185,"IKS",IF(Y$8&lt;$AS185,IF(Y$8=$AR185,"Bascule","Double run"),"ROKS"))))))</f>
        <v/>
      </c>
      <c r="Z185" s="51" t="str">
        <f aca="false">IF(OR($A185="",Z$8=""),"",IF($F185="Migré","ROKS",IF($F185="À décommissionner",IF(Z$8&lt;$AS185,"IKS","Décom."),IF(OR($AQ185="",$AS185=""),"",IF(Z$8&lt;$AQ185,"IKS",IF(Z$8&lt;$AS185,IF(Z$8=$AR185,"Bascule","Double run"),"ROKS"))))))</f>
        <v/>
      </c>
      <c r="AA185" s="51" t="str">
        <f aca="false">IF(OR($A185="",AA$8=""),"",IF($F185="Migré","ROKS",IF($F185="À décommissionner",IF(AA$8&lt;$AS185,"IKS","Décom."),IF(OR($AQ185="",$AS185=""),"",IF(AA$8&lt;$AQ185,"IKS",IF(AA$8&lt;$AS185,IF(AA$8=$AR185,"Bascule","Double run"),"ROKS"))))))</f>
        <v/>
      </c>
      <c r="AB185" s="51" t="str">
        <f aca="false">IF(OR($A185="",AB$8=""),"",IF($F185="Migré","ROKS",IF($F185="À décommissionner",IF(AB$8&lt;$AS185,"IKS","Décom."),IF(OR($AQ185="",$AS185=""),"",IF(AB$8&lt;$AQ185,"IKS",IF(AB$8&lt;$AS185,IF(AB$8=$AR185,"Bascule","Double run"),"ROKS"))))))</f>
        <v/>
      </c>
      <c r="AC185" s="51" t="str">
        <f aca="false">IF(OR($A185="",AC$8=""),"",IF($F185="Migré","ROKS",IF($F185="À décommissionner",IF(AC$8&lt;$AS185,"IKS","Décom."),IF(OR($AQ185="",$AS185=""),"",IF(AC$8&lt;$AQ185,"IKS",IF(AC$8&lt;$AS185,IF(AC$8=$AR185,"Bascule","Double run"),"ROKS"))))))</f>
        <v/>
      </c>
      <c r="AD185" s="51" t="str">
        <f aca="false">IF(OR($A185="",AD$8=""),"",IF($F185="Migré","ROKS",IF($F185="À décommissionner",IF(AD$8&lt;$AS185,"IKS","Décom."),IF(OR($AQ185="",$AS185=""),"",IF(AD$8&lt;$AQ185,"IKS",IF(AD$8&lt;$AS185,IF(AD$8=$AR185,"Bascule","Double run"),"ROKS"))))))</f>
        <v/>
      </c>
      <c r="AE185" s="51" t="str">
        <f aca="false">IF(OR($A185="",AE$8=""),"",IF($F185="Migré","ROKS",IF($F185="À décommissionner",IF(AE$8&lt;$AS185,"IKS","Décom."),IF(OR($AQ185="",$AS185=""),"",IF(AE$8&lt;$AQ185,"IKS",IF(AE$8&lt;$AS185,IF(AE$8=$AR185,"Bascule","Double run"),"ROKS"))))))</f>
        <v/>
      </c>
      <c r="AF185" s="51" t="str">
        <f aca="false">IF(OR($A185="",AF$8=""),"",IF($F185="Migré","ROKS",IF($F185="À décommissionner",IF(AF$8&lt;$AS185,"IKS","Décom."),IF(OR($AQ185="",$AS185=""),"",IF(AF$8&lt;$AQ185,"IKS",IF(AF$8&lt;$AS185,IF(AF$8=$AR185,"Bascule","Double run"),"ROKS"))))))</f>
        <v/>
      </c>
      <c r="AG185" s="51" t="str">
        <f aca="false">IF(OR($A185="",AG$8=""),"",IF($F185="Migré","ROKS",IF($F185="À décommissionner",IF(AG$8&lt;$AS185,"IKS","Décom."),IF(OR($AQ185="",$AS185=""),"",IF(AG$8&lt;$AQ185,"IKS",IF(AG$8&lt;$AS185,IF(AG$8=$AR185,"Bascule","Double run"),"ROKS"))))))</f>
        <v/>
      </c>
      <c r="AH185" s="51" t="str">
        <f aca="false">IF(OR($A185="",AH$8=""),"",IF($F185="Migré","ROKS",IF($F185="À décommissionner",IF(AH$8&lt;$AS185,"IKS","Décom."),IF(OR($AQ185="",$AS185=""),"",IF(AH$8&lt;$AQ185,"IKS",IF(AH$8&lt;$AS185,IF(AH$8=$AR185,"Bascule","Double run"),"ROKS"))))))</f>
        <v/>
      </c>
      <c r="AI185" s="51" t="str">
        <f aca="false">IF(OR($A185="",AI$8=""),"",IF($F185="Migré","ROKS",IF($F185="À décommissionner",IF(AI$8&lt;$AS185,"IKS","Décom."),IF(OR($AQ185="",$AS185=""),"",IF(AI$8&lt;$AQ185,"IKS",IF(AI$8&lt;$AS185,IF(AI$8=$AR185,"Bascule","Double run"),"ROKS"))))))</f>
        <v/>
      </c>
      <c r="AJ185" s="51" t="str">
        <f aca="false">IF(OR($A185="",AJ$8=""),"",IF($F185="Migré","ROKS",IF($F185="À décommissionner",IF(AJ$8&lt;$AS185,"IKS","Décom."),IF(OR($AQ185="",$AS185=""),"",IF(AJ$8&lt;$AQ185,"IKS",IF(AJ$8&lt;$AS185,IF(AJ$8=$AR185,"Bascule","Double run"),"ROKS"))))))</f>
        <v/>
      </c>
      <c r="AK185" s="51" t="str">
        <f aca="false">IF(OR($A185="",AK$8=""),"",IF($F185="Migré","ROKS",IF($F185="À décommissionner",IF(AK$8&lt;$AS185,"IKS","Décom."),IF(OR($AQ185="",$AS185=""),"",IF(AK$8&lt;$AQ185,"IKS",IF(AK$8&lt;$AS185,IF(AK$8=$AR185,"Bascule","Double run"),"ROKS"))))))</f>
        <v/>
      </c>
      <c r="AL185" s="51" t="str">
        <f aca="false">IF(OR($A185="",AL$8=""),"",IF($F185="Migré","ROKS",IF($F185="À décommissionner",IF(AL$8&lt;$AS185,"IKS","Décom."),IF(OR($AQ185="",$AS185=""),"",IF(AL$8&lt;$AQ185,"IKS",IF(AL$8&lt;$AS185,IF(AL$8=$AR185,"Bascule","Double run"),"ROKS"))))))</f>
        <v/>
      </c>
      <c r="AM185" s="51" t="str">
        <f aca="false">IF(OR($A185="",AM$8=""),"",IF($F185="Migré","ROKS",IF($F185="À décommissionner",IF(AM$8&lt;$AS185,"IKS","Décom."),IF(OR($AQ185="",$AS185=""),"",IF(AM$8&lt;$AQ185,"IKS",IF(AM$8&lt;$AS185,IF(AM$8=$AR185,"Bascule","Double run"),"ROKS"))))))</f>
        <v/>
      </c>
      <c r="AN185" s="51" t="str">
        <f aca="false">IF(OR($A185="",AN$8=""),"",IF($F185="Migré","ROKS",IF($F185="À décommissionner",IF(AN$8&lt;$AS185,"IKS","Décom."),IF(OR($AQ185="",$AS185=""),"",IF(AN$8&lt;$AQ185,"IKS",IF(AN$8&lt;$AS185,IF(AN$8=$AR185,"Bascule","Double run"),"ROKS"))))))</f>
        <v/>
      </c>
      <c r="AO185" s="51" t="str">
        <f aca="false">IF(OR($A185="",AO$8=""),"",IF($F185="Migré","ROKS",IF($F185="À décommissionner",IF(AO$8&lt;$AS185,"IKS","Décom."),IF(OR($AQ185="",$AS185=""),"",IF(AO$8&lt;$AQ185,"IKS",IF(AO$8&lt;$AS185,IF(AO$8=$AR185,"Bascule","Double run"),"ROKS"))))))</f>
        <v/>
      </c>
      <c r="AP185" s="51" t="str">
        <f aca="false">IF(OR($A185="",AP$8=""),"",IF($F185="Migré","ROKS",IF($F185="À décommissionner",IF(AP$8&lt;$AS185,"IKS","Décom."),IF(OR($AQ185="",$AS185=""),"",IF(AP$8&lt;$AQ185,"IKS",IF(AP$8&lt;$AS185,IF(AP$8=$AR185,"Bascule","Double run"),"ROKS"))))))</f>
        <v/>
      </c>
      <c r="AQ185" s="0" t="str">
        <f aca="false">IF($A185="","",INDEX(TblApplications[Mois prov (calc)],$A185))</f>
        <v/>
      </c>
      <c r="AR185" s="0" t="str">
        <f aca="false">IF($A185="","",IFERROR(DATE(YEAR(INDEX(TblApplications[Mois bascule],$A185)),MONTH(INDEX(TblApplications[Mois bascule],$A185)),1),""))</f>
        <v/>
      </c>
      <c r="AS185" s="0" t="str">
        <f aca="false">IF($A185="","",INDEX(TblApplications[Mois lib (calc)],$A185))</f>
        <v/>
      </c>
    </row>
    <row r="186" customFormat="false" ht="15" hidden="false" customHeight="false" outlineLevel="0" collapsed="false">
      <c r="A186" s="49" t="str">
        <f aca="false">IFERROR(MATCH(178,TblApplications[Rang frise],0),"")</f>
        <v/>
      </c>
      <c r="B186" s="50" t="str">
        <f aca="false">IF($A186="","",INDEX(TblApplications[ID],$A186))</f>
        <v/>
      </c>
      <c r="C186" s="50" t="str">
        <f aca="false">IF($A186="","",INDEX(TblApplications[Application],$A186))</f>
        <v/>
      </c>
      <c r="D186" s="50" t="str">
        <f aca="false">IF($A186="","",INDEX(TblApplications[Environnement],$A186))</f>
        <v/>
      </c>
      <c r="E186" s="50" t="str">
        <f aca="false">IF($A186="","",INDEX(TblApplications[Couloir],$A186))</f>
        <v/>
      </c>
      <c r="F186" s="50" t="str">
        <f aca="false">IF($A186="","",INDEX(TblApplications[Action],$A186))</f>
        <v/>
      </c>
      <c r="G186" s="51" t="str">
        <f aca="false">IF(OR($A186="",G$8=""),"",IF($F186="Migré","ROKS",IF($F186="À décommissionner",IF(G$8&lt;$AS186,"IKS","Décom."),IF(OR($AQ186="",$AS186=""),"",IF(G$8&lt;$AQ186,"IKS",IF(G$8&lt;$AS186,IF(G$8=$AR186,"Bascule","Double run"),"ROKS"))))))</f>
        <v/>
      </c>
      <c r="H186" s="51" t="str">
        <f aca="false">IF(OR($A186="",H$8=""),"",IF($F186="Migré","ROKS",IF($F186="À décommissionner",IF(H$8&lt;$AS186,"IKS","Décom."),IF(OR($AQ186="",$AS186=""),"",IF(H$8&lt;$AQ186,"IKS",IF(H$8&lt;$AS186,IF(H$8=$AR186,"Bascule","Double run"),"ROKS"))))))</f>
        <v/>
      </c>
      <c r="I186" s="51" t="str">
        <f aca="false">IF(OR($A186="",I$8=""),"",IF($F186="Migré","ROKS",IF($F186="À décommissionner",IF(I$8&lt;$AS186,"IKS","Décom."),IF(OR($AQ186="",$AS186=""),"",IF(I$8&lt;$AQ186,"IKS",IF(I$8&lt;$AS186,IF(I$8=$AR186,"Bascule","Double run"),"ROKS"))))))</f>
        <v/>
      </c>
      <c r="J186" s="51" t="str">
        <f aca="false">IF(OR($A186="",J$8=""),"",IF($F186="Migré","ROKS",IF($F186="À décommissionner",IF(J$8&lt;$AS186,"IKS","Décom."),IF(OR($AQ186="",$AS186=""),"",IF(J$8&lt;$AQ186,"IKS",IF(J$8&lt;$AS186,IF(J$8=$AR186,"Bascule","Double run"),"ROKS"))))))</f>
        <v/>
      </c>
      <c r="K186" s="51" t="str">
        <f aca="false">IF(OR($A186="",K$8=""),"",IF($F186="Migré","ROKS",IF($F186="À décommissionner",IF(K$8&lt;$AS186,"IKS","Décom."),IF(OR($AQ186="",$AS186=""),"",IF(K$8&lt;$AQ186,"IKS",IF(K$8&lt;$AS186,IF(K$8=$AR186,"Bascule","Double run"),"ROKS"))))))</f>
        <v/>
      </c>
      <c r="L186" s="51" t="str">
        <f aca="false">IF(OR($A186="",L$8=""),"",IF($F186="Migré","ROKS",IF($F186="À décommissionner",IF(L$8&lt;$AS186,"IKS","Décom."),IF(OR($AQ186="",$AS186=""),"",IF(L$8&lt;$AQ186,"IKS",IF(L$8&lt;$AS186,IF(L$8=$AR186,"Bascule","Double run"),"ROKS"))))))</f>
        <v/>
      </c>
      <c r="M186" s="51" t="str">
        <f aca="false">IF(OR($A186="",M$8=""),"",IF($F186="Migré","ROKS",IF($F186="À décommissionner",IF(M$8&lt;$AS186,"IKS","Décom."),IF(OR($AQ186="",$AS186=""),"",IF(M$8&lt;$AQ186,"IKS",IF(M$8&lt;$AS186,IF(M$8=$AR186,"Bascule","Double run"),"ROKS"))))))</f>
        <v/>
      </c>
      <c r="N186" s="51" t="str">
        <f aca="false">IF(OR($A186="",N$8=""),"",IF($F186="Migré","ROKS",IF($F186="À décommissionner",IF(N$8&lt;$AS186,"IKS","Décom."),IF(OR($AQ186="",$AS186=""),"",IF(N$8&lt;$AQ186,"IKS",IF(N$8&lt;$AS186,IF(N$8=$AR186,"Bascule","Double run"),"ROKS"))))))</f>
        <v/>
      </c>
      <c r="O186" s="51" t="str">
        <f aca="false">IF(OR($A186="",O$8=""),"",IF($F186="Migré","ROKS",IF($F186="À décommissionner",IF(O$8&lt;$AS186,"IKS","Décom."),IF(OR($AQ186="",$AS186=""),"",IF(O$8&lt;$AQ186,"IKS",IF(O$8&lt;$AS186,IF(O$8=$AR186,"Bascule","Double run"),"ROKS"))))))</f>
        <v/>
      </c>
      <c r="P186" s="51" t="str">
        <f aca="false">IF(OR($A186="",P$8=""),"",IF($F186="Migré","ROKS",IF($F186="À décommissionner",IF(P$8&lt;$AS186,"IKS","Décom."),IF(OR($AQ186="",$AS186=""),"",IF(P$8&lt;$AQ186,"IKS",IF(P$8&lt;$AS186,IF(P$8=$AR186,"Bascule","Double run"),"ROKS"))))))</f>
        <v/>
      </c>
      <c r="Q186" s="51" t="str">
        <f aca="false">IF(OR($A186="",Q$8=""),"",IF($F186="Migré","ROKS",IF($F186="À décommissionner",IF(Q$8&lt;$AS186,"IKS","Décom."),IF(OR($AQ186="",$AS186=""),"",IF(Q$8&lt;$AQ186,"IKS",IF(Q$8&lt;$AS186,IF(Q$8=$AR186,"Bascule","Double run"),"ROKS"))))))</f>
        <v/>
      </c>
      <c r="R186" s="51" t="str">
        <f aca="false">IF(OR($A186="",R$8=""),"",IF($F186="Migré","ROKS",IF($F186="À décommissionner",IF(R$8&lt;$AS186,"IKS","Décom."),IF(OR($AQ186="",$AS186=""),"",IF(R$8&lt;$AQ186,"IKS",IF(R$8&lt;$AS186,IF(R$8=$AR186,"Bascule","Double run"),"ROKS"))))))</f>
        <v/>
      </c>
      <c r="S186" s="51" t="str">
        <f aca="false">IF(OR($A186="",S$8=""),"",IF($F186="Migré","ROKS",IF($F186="À décommissionner",IF(S$8&lt;$AS186,"IKS","Décom."),IF(OR($AQ186="",$AS186=""),"",IF(S$8&lt;$AQ186,"IKS",IF(S$8&lt;$AS186,IF(S$8=$AR186,"Bascule","Double run"),"ROKS"))))))</f>
        <v/>
      </c>
      <c r="T186" s="51" t="str">
        <f aca="false">IF(OR($A186="",T$8=""),"",IF($F186="Migré","ROKS",IF($F186="À décommissionner",IF(T$8&lt;$AS186,"IKS","Décom."),IF(OR($AQ186="",$AS186=""),"",IF(T$8&lt;$AQ186,"IKS",IF(T$8&lt;$AS186,IF(T$8=$AR186,"Bascule","Double run"),"ROKS"))))))</f>
        <v/>
      </c>
      <c r="U186" s="51" t="str">
        <f aca="false">IF(OR($A186="",U$8=""),"",IF($F186="Migré","ROKS",IF($F186="À décommissionner",IF(U$8&lt;$AS186,"IKS","Décom."),IF(OR($AQ186="",$AS186=""),"",IF(U$8&lt;$AQ186,"IKS",IF(U$8&lt;$AS186,IF(U$8=$AR186,"Bascule","Double run"),"ROKS"))))))</f>
        <v/>
      </c>
      <c r="V186" s="51" t="str">
        <f aca="false">IF(OR($A186="",V$8=""),"",IF($F186="Migré","ROKS",IF($F186="À décommissionner",IF(V$8&lt;$AS186,"IKS","Décom."),IF(OR($AQ186="",$AS186=""),"",IF(V$8&lt;$AQ186,"IKS",IF(V$8&lt;$AS186,IF(V$8=$AR186,"Bascule","Double run"),"ROKS"))))))</f>
        <v/>
      </c>
      <c r="W186" s="51" t="str">
        <f aca="false">IF(OR($A186="",W$8=""),"",IF($F186="Migré","ROKS",IF($F186="À décommissionner",IF(W$8&lt;$AS186,"IKS","Décom."),IF(OR($AQ186="",$AS186=""),"",IF(W$8&lt;$AQ186,"IKS",IF(W$8&lt;$AS186,IF(W$8=$AR186,"Bascule","Double run"),"ROKS"))))))</f>
        <v/>
      </c>
      <c r="X186" s="51" t="str">
        <f aca="false">IF(OR($A186="",X$8=""),"",IF($F186="Migré","ROKS",IF($F186="À décommissionner",IF(X$8&lt;$AS186,"IKS","Décom."),IF(OR($AQ186="",$AS186=""),"",IF(X$8&lt;$AQ186,"IKS",IF(X$8&lt;$AS186,IF(X$8=$AR186,"Bascule","Double run"),"ROKS"))))))</f>
        <v/>
      </c>
      <c r="Y186" s="51" t="str">
        <f aca="false">IF(OR($A186="",Y$8=""),"",IF($F186="Migré","ROKS",IF($F186="À décommissionner",IF(Y$8&lt;$AS186,"IKS","Décom."),IF(OR($AQ186="",$AS186=""),"",IF(Y$8&lt;$AQ186,"IKS",IF(Y$8&lt;$AS186,IF(Y$8=$AR186,"Bascule","Double run"),"ROKS"))))))</f>
        <v/>
      </c>
      <c r="Z186" s="51" t="str">
        <f aca="false">IF(OR($A186="",Z$8=""),"",IF($F186="Migré","ROKS",IF($F186="À décommissionner",IF(Z$8&lt;$AS186,"IKS","Décom."),IF(OR($AQ186="",$AS186=""),"",IF(Z$8&lt;$AQ186,"IKS",IF(Z$8&lt;$AS186,IF(Z$8=$AR186,"Bascule","Double run"),"ROKS"))))))</f>
        <v/>
      </c>
      <c r="AA186" s="51" t="str">
        <f aca="false">IF(OR($A186="",AA$8=""),"",IF($F186="Migré","ROKS",IF($F186="À décommissionner",IF(AA$8&lt;$AS186,"IKS","Décom."),IF(OR($AQ186="",$AS186=""),"",IF(AA$8&lt;$AQ186,"IKS",IF(AA$8&lt;$AS186,IF(AA$8=$AR186,"Bascule","Double run"),"ROKS"))))))</f>
        <v/>
      </c>
      <c r="AB186" s="51" t="str">
        <f aca="false">IF(OR($A186="",AB$8=""),"",IF($F186="Migré","ROKS",IF($F186="À décommissionner",IF(AB$8&lt;$AS186,"IKS","Décom."),IF(OR($AQ186="",$AS186=""),"",IF(AB$8&lt;$AQ186,"IKS",IF(AB$8&lt;$AS186,IF(AB$8=$AR186,"Bascule","Double run"),"ROKS"))))))</f>
        <v/>
      </c>
      <c r="AC186" s="51" t="str">
        <f aca="false">IF(OR($A186="",AC$8=""),"",IF($F186="Migré","ROKS",IF($F186="À décommissionner",IF(AC$8&lt;$AS186,"IKS","Décom."),IF(OR($AQ186="",$AS186=""),"",IF(AC$8&lt;$AQ186,"IKS",IF(AC$8&lt;$AS186,IF(AC$8=$AR186,"Bascule","Double run"),"ROKS"))))))</f>
        <v/>
      </c>
      <c r="AD186" s="51" t="str">
        <f aca="false">IF(OR($A186="",AD$8=""),"",IF($F186="Migré","ROKS",IF($F186="À décommissionner",IF(AD$8&lt;$AS186,"IKS","Décom."),IF(OR($AQ186="",$AS186=""),"",IF(AD$8&lt;$AQ186,"IKS",IF(AD$8&lt;$AS186,IF(AD$8=$AR186,"Bascule","Double run"),"ROKS"))))))</f>
        <v/>
      </c>
      <c r="AE186" s="51" t="str">
        <f aca="false">IF(OR($A186="",AE$8=""),"",IF($F186="Migré","ROKS",IF($F186="À décommissionner",IF(AE$8&lt;$AS186,"IKS","Décom."),IF(OR($AQ186="",$AS186=""),"",IF(AE$8&lt;$AQ186,"IKS",IF(AE$8&lt;$AS186,IF(AE$8=$AR186,"Bascule","Double run"),"ROKS"))))))</f>
        <v/>
      </c>
      <c r="AF186" s="51" t="str">
        <f aca="false">IF(OR($A186="",AF$8=""),"",IF($F186="Migré","ROKS",IF($F186="À décommissionner",IF(AF$8&lt;$AS186,"IKS","Décom."),IF(OR($AQ186="",$AS186=""),"",IF(AF$8&lt;$AQ186,"IKS",IF(AF$8&lt;$AS186,IF(AF$8=$AR186,"Bascule","Double run"),"ROKS"))))))</f>
        <v/>
      </c>
      <c r="AG186" s="51" t="str">
        <f aca="false">IF(OR($A186="",AG$8=""),"",IF($F186="Migré","ROKS",IF($F186="À décommissionner",IF(AG$8&lt;$AS186,"IKS","Décom."),IF(OR($AQ186="",$AS186=""),"",IF(AG$8&lt;$AQ186,"IKS",IF(AG$8&lt;$AS186,IF(AG$8=$AR186,"Bascule","Double run"),"ROKS"))))))</f>
        <v/>
      </c>
      <c r="AH186" s="51" t="str">
        <f aca="false">IF(OR($A186="",AH$8=""),"",IF($F186="Migré","ROKS",IF($F186="À décommissionner",IF(AH$8&lt;$AS186,"IKS","Décom."),IF(OR($AQ186="",$AS186=""),"",IF(AH$8&lt;$AQ186,"IKS",IF(AH$8&lt;$AS186,IF(AH$8=$AR186,"Bascule","Double run"),"ROKS"))))))</f>
        <v/>
      </c>
      <c r="AI186" s="51" t="str">
        <f aca="false">IF(OR($A186="",AI$8=""),"",IF($F186="Migré","ROKS",IF($F186="À décommissionner",IF(AI$8&lt;$AS186,"IKS","Décom."),IF(OR($AQ186="",$AS186=""),"",IF(AI$8&lt;$AQ186,"IKS",IF(AI$8&lt;$AS186,IF(AI$8=$AR186,"Bascule","Double run"),"ROKS"))))))</f>
        <v/>
      </c>
      <c r="AJ186" s="51" t="str">
        <f aca="false">IF(OR($A186="",AJ$8=""),"",IF($F186="Migré","ROKS",IF($F186="À décommissionner",IF(AJ$8&lt;$AS186,"IKS","Décom."),IF(OR($AQ186="",$AS186=""),"",IF(AJ$8&lt;$AQ186,"IKS",IF(AJ$8&lt;$AS186,IF(AJ$8=$AR186,"Bascule","Double run"),"ROKS"))))))</f>
        <v/>
      </c>
      <c r="AK186" s="51" t="str">
        <f aca="false">IF(OR($A186="",AK$8=""),"",IF($F186="Migré","ROKS",IF($F186="À décommissionner",IF(AK$8&lt;$AS186,"IKS","Décom."),IF(OR($AQ186="",$AS186=""),"",IF(AK$8&lt;$AQ186,"IKS",IF(AK$8&lt;$AS186,IF(AK$8=$AR186,"Bascule","Double run"),"ROKS"))))))</f>
        <v/>
      </c>
      <c r="AL186" s="51" t="str">
        <f aca="false">IF(OR($A186="",AL$8=""),"",IF($F186="Migré","ROKS",IF($F186="À décommissionner",IF(AL$8&lt;$AS186,"IKS","Décom."),IF(OR($AQ186="",$AS186=""),"",IF(AL$8&lt;$AQ186,"IKS",IF(AL$8&lt;$AS186,IF(AL$8=$AR186,"Bascule","Double run"),"ROKS"))))))</f>
        <v/>
      </c>
      <c r="AM186" s="51" t="str">
        <f aca="false">IF(OR($A186="",AM$8=""),"",IF($F186="Migré","ROKS",IF($F186="À décommissionner",IF(AM$8&lt;$AS186,"IKS","Décom."),IF(OR($AQ186="",$AS186=""),"",IF(AM$8&lt;$AQ186,"IKS",IF(AM$8&lt;$AS186,IF(AM$8=$AR186,"Bascule","Double run"),"ROKS"))))))</f>
        <v/>
      </c>
      <c r="AN186" s="51" t="str">
        <f aca="false">IF(OR($A186="",AN$8=""),"",IF($F186="Migré","ROKS",IF($F186="À décommissionner",IF(AN$8&lt;$AS186,"IKS","Décom."),IF(OR($AQ186="",$AS186=""),"",IF(AN$8&lt;$AQ186,"IKS",IF(AN$8&lt;$AS186,IF(AN$8=$AR186,"Bascule","Double run"),"ROKS"))))))</f>
        <v/>
      </c>
      <c r="AO186" s="51" t="str">
        <f aca="false">IF(OR($A186="",AO$8=""),"",IF($F186="Migré","ROKS",IF($F186="À décommissionner",IF(AO$8&lt;$AS186,"IKS","Décom."),IF(OR($AQ186="",$AS186=""),"",IF(AO$8&lt;$AQ186,"IKS",IF(AO$8&lt;$AS186,IF(AO$8=$AR186,"Bascule","Double run"),"ROKS"))))))</f>
        <v/>
      </c>
      <c r="AP186" s="51" t="str">
        <f aca="false">IF(OR($A186="",AP$8=""),"",IF($F186="Migré","ROKS",IF($F186="À décommissionner",IF(AP$8&lt;$AS186,"IKS","Décom."),IF(OR($AQ186="",$AS186=""),"",IF(AP$8&lt;$AQ186,"IKS",IF(AP$8&lt;$AS186,IF(AP$8=$AR186,"Bascule","Double run"),"ROKS"))))))</f>
        <v/>
      </c>
      <c r="AQ186" s="0" t="str">
        <f aca="false">IF($A186="","",INDEX(TblApplications[Mois prov (calc)],$A186))</f>
        <v/>
      </c>
      <c r="AR186" s="0" t="str">
        <f aca="false">IF($A186="","",IFERROR(DATE(YEAR(INDEX(TblApplications[Mois bascule],$A186)),MONTH(INDEX(TblApplications[Mois bascule],$A186)),1),""))</f>
        <v/>
      </c>
      <c r="AS186" s="0" t="str">
        <f aca="false">IF($A186="","",INDEX(TblApplications[Mois lib (calc)],$A186))</f>
        <v/>
      </c>
    </row>
    <row r="187" customFormat="false" ht="15" hidden="false" customHeight="false" outlineLevel="0" collapsed="false">
      <c r="A187" s="49" t="str">
        <f aca="false">IFERROR(MATCH(179,TblApplications[Rang frise],0),"")</f>
        <v/>
      </c>
      <c r="B187" s="50" t="str">
        <f aca="false">IF($A187="","",INDEX(TblApplications[ID],$A187))</f>
        <v/>
      </c>
      <c r="C187" s="50" t="str">
        <f aca="false">IF($A187="","",INDEX(TblApplications[Application],$A187))</f>
        <v/>
      </c>
      <c r="D187" s="50" t="str">
        <f aca="false">IF($A187="","",INDEX(TblApplications[Environnement],$A187))</f>
        <v/>
      </c>
      <c r="E187" s="50" t="str">
        <f aca="false">IF($A187="","",INDEX(TblApplications[Couloir],$A187))</f>
        <v/>
      </c>
      <c r="F187" s="50" t="str">
        <f aca="false">IF($A187="","",INDEX(TblApplications[Action],$A187))</f>
        <v/>
      </c>
      <c r="G187" s="51" t="str">
        <f aca="false">IF(OR($A187="",G$8=""),"",IF($F187="Migré","ROKS",IF($F187="À décommissionner",IF(G$8&lt;$AS187,"IKS","Décom."),IF(OR($AQ187="",$AS187=""),"",IF(G$8&lt;$AQ187,"IKS",IF(G$8&lt;$AS187,IF(G$8=$AR187,"Bascule","Double run"),"ROKS"))))))</f>
        <v/>
      </c>
      <c r="H187" s="51" t="str">
        <f aca="false">IF(OR($A187="",H$8=""),"",IF($F187="Migré","ROKS",IF($F187="À décommissionner",IF(H$8&lt;$AS187,"IKS","Décom."),IF(OR($AQ187="",$AS187=""),"",IF(H$8&lt;$AQ187,"IKS",IF(H$8&lt;$AS187,IF(H$8=$AR187,"Bascule","Double run"),"ROKS"))))))</f>
        <v/>
      </c>
      <c r="I187" s="51" t="str">
        <f aca="false">IF(OR($A187="",I$8=""),"",IF($F187="Migré","ROKS",IF($F187="À décommissionner",IF(I$8&lt;$AS187,"IKS","Décom."),IF(OR($AQ187="",$AS187=""),"",IF(I$8&lt;$AQ187,"IKS",IF(I$8&lt;$AS187,IF(I$8=$AR187,"Bascule","Double run"),"ROKS"))))))</f>
        <v/>
      </c>
      <c r="J187" s="51" t="str">
        <f aca="false">IF(OR($A187="",J$8=""),"",IF($F187="Migré","ROKS",IF($F187="À décommissionner",IF(J$8&lt;$AS187,"IKS","Décom."),IF(OR($AQ187="",$AS187=""),"",IF(J$8&lt;$AQ187,"IKS",IF(J$8&lt;$AS187,IF(J$8=$AR187,"Bascule","Double run"),"ROKS"))))))</f>
        <v/>
      </c>
      <c r="K187" s="51" t="str">
        <f aca="false">IF(OR($A187="",K$8=""),"",IF($F187="Migré","ROKS",IF($F187="À décommissionner",IF(K$8&lt;$AS187,"IKS","Décom."),IF(OR($AQ187="",$AS187=""),"",IF(K$8&lt;$AQ187,"IKS",IF(K$8&lt;$AS187,IF(K$8=$AR187,"Bascule","Double run"),"ROKS"))))))</f>
        <v/>
      </c>
      <c r="L187" s="51" t="str">
        <f aca="false">IF(OR($A187="",L$8=""),"",IF($F187="Migré","ROKS",IF($F187="À décommissionner",IF(L$8&lt;$AS187,"IKS","Décom."),IF(OR($AQ187="",$AS187=""),"",IF(L$8&lt;$AQ187,"IKS",IF(L$8&lt;$AS187,IF(L$8=$AR187,"Bascule","Double run"),"ROKS"))))))</f>
        <v/>
      </c>
      <c r="M187" s="51" t="str">
        <f aca="false">IF(OR($A187="",M$8=""),"",IF($F187="Migré","ROKS",IF($F187="À décommissionner",IF(M$8&lt;$AS187,"IKS","Décom."),IF(OR($AQ187="",$AS187=""),"",IF(M$8&lt;$AQ187,"IKS",IF(M$8&lt;$AS187,IF(M$8=$AR187,"Bascule","Double run"),"ROKS"))))))</f>
        <v/>
      </c>
      <c r="N187" s="51" t="str">
        <f aca="false">IF(OR($A187="",N$8=""),"",IF($F187="Migré","ROKS",IF($F187="À décommissionner",IF(N$8&lt;$AS187,"IKS","Décom."),IF(OR($AQ187="",$AS187=""),"",IF(N$8&lt;$AQ187,"IKS",IF(N$8&lt;$AS187,IF(N$8=$AR187,"Bascule","Double run"),"ROKS"))))))</f>
        <v/>
      </c>
      <c r="O187" s="51" t="str">
        <f aca="false">IF(OR($A187="",O$8=""),"",IF($F187="Migré","ROKS",IF($F187="À décommissionner",IF(O$8&lt;$AS187,"IKS","Décom."),IF(OR($AQ187="",$AS187=""),"",IF(O$8&lt;$AQ187,"IKS",IF(O$8&lt;$AS187,IF(O$8=$AR187,"Bascule","Double run"),"ROKS"))))))</f>
        <v/>
      </c>
      <c r="P187" s="51" t="str">
        <f aca="false">IF(OR($A187="",P$8=""),"",IF($F187="Migré","ROKS",IF($F187="À décommissionner",IF(P$8&lt;$AS187,"IKS","Décom."),IF(OR($AQ187="",$AS187=""),"",IF(P$8&lt;$AQ187,"IKS",IF(P$8&lt;$AS187,IF(P$8=$AR187,"Bascule","Double run"),"ROKS"))))))</f>
        <v/>
      </c>
      <c r="Q187" s="51" t="str">
        <f aca="false">IF(OR($A187="",Q$8=""),"",IF($F187="Migré","ROKS",IF($F187="À décommissionner",IF(Q$8&lt;$AS187,"IKS","Décom."),IF(OR($AQ187="",$AS187=""),"",IF(Q$8&lt;$AQ187,"IKS",IF(Q$8&lt;$AS187,IF(Q$8=$AR187,"Bascule","Double run"),"ROKS"))))))</f>
        <v/>
      </c>
      <c r="R187" s="51" t="str">
        <f aca="false">IF(OR($A187="",R$8=""),"",IF($F187="Migré","ROKS",IF($F187="À décommissionner",IF(R$8&lt;$AS187,"IKS","Décom."),IF(OR($AQ187="",$AS187=""),"",IF(R$8&lt;$AQ187,"IKS",IF(R$8&lt;$AS187,IF(R$8=$AR187,"Bascule","Double run"),"ROKS"))))))</f>
        <v/>
      </c>
      <c r="S187" s="51" t="str">
        <f aca="false">IF(OR($A187="",S$8=""),"",IF($F187="Migré","ROKS",IF($F187="À décommissionner",IF(S$8&lt;$AS187,"IKS","Décom."),IF(OR($AQ187="",$AS187=""),"",IF(S$8&lt;$AQ187,"IKS",IF(S$8&lt;$AS187,IF(S$8=$AR187,"Bascule","Double run"),"ROKS"))))))</f>
        <v/>
      </c>
      <c r="T187" s="51" t="str">
        <f aca="false">IF(OR($A187="",T$8=""),"",IF($F187="Migré","ROKS",IF($F187="À décommissionner",IF(T$8&lt;$AS187,"IKS","Décom."),IF(OR($AQ187="",$AS187=""),"",IF(T$8&lt;$AQ187,"IKS",IF(T$8&lt;$AS187,IF(T$8=$AR187,"Bascule","Double run"),"ROKS"))))))</f>
        <v/>
      </c>
      <c r="U187" s="51" t="str">
        <f aca="false">IF(OR($A187="",U$8=""),"",IF($F187="Migré","ROKS",IF($F187="À décommissionner",IF(U$8&lt;$AS187,"IKS","Décom."),IF(OR($AQ187="",$AS187=""),"",IF(U$8&lt;$AQ187,"IKS",IF(U$8&lt;$AS187,IF(U$8=$AR187,"Bascule","Double run"),"ROKS"))))))</f>
        <v/>
      </c>
      <c r="V187" s="51" t="str">
        <f aca="false">IF(OR($A187="",V$8=""),"",IF($F187="Migré","ROKS",IF($F187="À décommissionner",IF(V$8&lt;$AS187,"IKS","Décom."),IF(OR($AQ187="",$AS187=""),"",IF(V$8&lt;$AQ187,"IKS",IF(V$8&lt;$AS187,IF(V$8=$AR187,"Bascule","Double run"),"ROKS"))))))</f>
        <v/>
      </c>
      <c r="W187" s="51" t="str">
        <f aca="false">IF(OR($A187="",W$8=""),"",IF($F187="Migré","ROKS",IF($F187="À décommissionner",IF(W$8&lt;$AS187,"IKS","Décom."),IF(OR($AQ187="",$AS187=""),"",IF(W$8&lt;$AQ187,"IKS",IF(W$8&lt;$AS187,IF(W$8=$AR187,"Bascule","Double run"),"ROKS"))))))</f>
        <v/>
      </c>
      <c r="X187" s="51" t="str">
        <f aca="false">IF(OR($A187="",X$8=""),"",IF($F187="Migré","ROKS",IF($F187="À décommissionner",IF(X$8&lt;$AS187,"IKS","Décom."),IF(OR($AQ187="",$AS187=""),"",IF(X$8&lt;$AQ187,"IKS",IF(X$8&lt;$AS187,IF(X$8=$AR187,"Bascule","Double run"),"ROKS"))))))</f>
        <v/>
      </c>
      <c r="Y187" s="51" t="str">
        <f aca="false">IF(OR($A187="",Y$8=""),"",IF($F187="Migré","ROKS",IF($F187="À décommissionner",IF(Y$8&lt;$AS187,"IKS","Décom."),IF(OR($AQ187="",$AS187=""),"",IF(Y$8&lt;$AQ187,"IKS",IF(Y$8&lt;$AS187,IF(Y$8=$AR187,"Bascule","Double run"),"ROKS"))))))</f>
        <v/>
      </c>
      <c r="Z187" s="51" t="str">
        <f aca="false">IF(OR($A187="",Z$8=""),"",IF($F187="Migré","ROKS",IF($F187="À décommissionner",IF(Z$8&lt;$AS187,"IKS","Décom."),IF(OR($AQ187="",$AS187=""),"",IF(Z$8&lt;$AQ187,"IKS",IF(Z$8&lt;$AS187,IF(Z$8=$AR187,"Bascule","Double run"),"ROKS"))))))</f>
        <v/>
      </c>
      <c r="AA187" s="51" t="str">
        <f aca="false">IF(OR($A187="",AA$8=""),"",IF($F187="Migré","ROKS",IF($F187="À décommissionner",IF(AA$8&lt;$AS187,"IKS","Décom."),IF(OR($AQ187="",$AS187=""),"",IF(AA$8&lt;$AQ187,"IKS",IF(AA$8&lt;$AS187,IF(AA$8=$AR187,"Bascule","Double run"),"ROKS"))))))</f>
        <v/>
      </c>
      <c r="AB187" s="51" t="str">
        <f aca="false">IF(OR($A187="",AB$8=""),"",IF($F187="Migré","ROKS",IF($F187="À décommissionner",IF(AB$8&lt;$AS187,"IKS","Décom."),IF(OR($AQ187="",$AS187=""),"",IF(AB$8&lt;$AQ187,"IKS",IF(AB$8&lt;$AS187,IF(AB$8=$AR187,"Bascule","Double run"),"ROKS"))))))</f>
        <v/>
      </c>
      <c r="AC187" s="51" t="str">
        <f aca="false">IF(OR($A187="",AC$8=""),"",IF($F187="Migré","ROKS",IF($F187="À décommissionner",IF(AC$8&lt;$AS187,"IKS","Décom."),IF(OR($AQ187="",$AS187=""),"",IF(AC$8&lt;$AQ187,"IKS",IF(AC$8&lt;$AS187,IF(AC$8=$AR187,"Bascule","Double run"),"ROKS"))))))</f>
        <v/>
      </c>
      <c r="AD187" s="51" t="str">
        <f aca="false">IF(OR($A187="",AD$8=""),"",IF($F187="Migré","ROKS",IF($F187="À décommissionner",IF(AD$8&lt;$AS187,"IKS","Décom."),IF(OR($AQ187="",$AS187=""),"",IF(AD$8&lt;$AQ187,"IKS",IF(AD$8&lt;$AS187,IF(AD$8=$AR187,"Bascule","Double run"),"ROKS"))))))</f>
        <v/>
      </c>
      <c r="AE187" s="51" t="str">
        <f aca="false">IF(OR($A187="",AE$8=""),"",IF($F187="Migré","ROKS",IF($F187="À décommissionner",IF(AE$8&lt;$AS187,"IKS","Décom."),IF(OR($AQ187="",$AS187=""),"",IF(AE$8&lt;$AQ187,"IKS",IF(AE$8&lt;$AS187,IF(AE$8=$AR187,"Bascule","Double run"),"ROKS"))))))</f>
        <v/>
      </c>
      <c r="AF187" s="51" t="str">
        <f aca="false">IF(OR($A187="",AF$8=""),"",IF($F187="Migré","ROKS",IF($F187="À décommissionner",IF(AF$8&lt;$AS187,"IKS","Décom."),IF(OR($AQ187="",$AS187=""),"",IF(AF$8&lt;$AQ187,"IKS",IF(AF$8&lt;$AS187,IF(AF$8=$AR187,"Bascule","Double run"),"ROKS"))))))</f>
        <v/>
      </c>
      <c r="AG187" s="51" t="str">
        <f aca="false">IF(OR($A187="",AG$8=""),"",IF($F187="Migré","ROKS",IF($F187="À décommissionner",IF(AG$8&lt;$AS187,"IKS","Décom."),IF(OR($AQ187="",$AS187=""),"",IF(AG$8&lt;$AQ187,"IKS",IF(AG$8&lt;$AS187,IF(AG$8=$AR187,"Bascule","Double run"),"ROKS"))))))</f>
        <v/>
      </c>
      <c r="AH187" s="51" t="str">
        <f aca="false">IF(OR($A187="",AH$8=""),"",IF($F187="Migré","ROKS",IF($F187="À décommissionner",IF(AH$8&lt;$AS187,"IKS","Décom."),IF(OR($AQ187="",$AS187=""),"",IF(AH$8&lt;$AQ187,"IKS",IF(AH$8&lt;$AS187,IF(AH$8=$AR187,"Bascule","Double run"),"ROKS"))))))</f>
        <v/>
      </c>
      <c r="AI187" s="51" t="str">
        <f aca="false">IF(OR($A187="",AI$8=""),"",IF($F187="Migré","ROKS",IF($F187="À décommissionner",IF(AI$8&lt;$AS187,"IKS","Décom."),IF(OR($AQ187="",$AS187=""),"",IF(AI$8&lt;$AQ187,"IKS",IF(AI$8&lt;$AS187,IF(AI$8=$AR187,"Bascule","Double run"),"ROKS"))))))</f>
        <v/>
      </c>
      <c r="AJ187" s="51" t="str">
        <f aca="false">IF(OR($A187="",AJ$8=""),"",IF($F187="Migré","ROKS",IF($F187="À décommissionner",IF(AJ$8&lt;$AS187,"IKS","Décom."),IF(OR($AQ187="",$AS187=""),"",IF(AJ$8&lt;$AQ187,"IKS",IF(AJ$8&lt;$AS187,IF(AJ$8=$AR187,"Bascule","Double run"),"ROKS"))))))</f>
        <v/>
      </c>
      <c r="AK187" s="51" t="str">
        <f aca="false">IF(OR($A187="",AK$8=""),"",IF($F187="Migré","ROKS",IF($F187="À décommissionner",IF(AK$8&lt;$AS187,"IKS","Décom."),IF(OR($AQ187="",$AS187=""),"",IF(AK$8&lt;$AQ187,"IKS",IF(AK$8&lt;$AS187,IF(AK$8=$AR187,"Bascule","Double run"),"ROKS"))))))</f>
        <v/>
      </c>
      <c r="AL187" s="51" t="str">
        <f aca="false">IF(OR($A187="",AL$8=""),"",IF($F187="Migré","ROKS",IF($F187="À décommissionner",IF(AL$8&lt;$AS187,"IKS","Décom."),IF(OR($AQ187="",$AS187=""),"",IF(AL$8&lt;$AQ187,"IKS",IF(AL$8&lt;$AS187,IF(AL$8=$AR187,"Bascule","Double run"),"ROKS"))))))</f>
        <v/>
      </c>
      <c r="AM187" s="51" t="str">
        <f aca="false">IF(OR($A187="",AM$8=""),"",IF($F187="Migré","ROKS",IF($F187="À décommissionner",IF(AM$8&lt;$AS187,"IKS","Décom."),IF(OR($AQ187="",$AS187=""),"",IF(AM$8&lt;$AQ187,"IKS",IF(AM$8&lt;$AS187,IF(AM$8=$AR187,"Bascule","Double run"),"ROKS"))))))</f>
        <v/>
      </c>
      <c r="AN187" s="51" t="str">
        <f aca="false">IF(OR($A187="",AN$8=""),"",IF($F187="Migré","ROKS",IF($F187="À décommissionner",IF(AN$8&lt;$AS187,"IKS","Décom."),IF(OR($AQ187="",$AS187=""),"",IF(AN$8&lt;$AQ187,"IKS",IF(AN$8&lt;$AS187,IF(AN$8=$AR187,"Bascule","Double run"),"ROKS"))))))</f>
        <v/>
      </c>
      <c r="AO187" s="51" t="str">
        <f aca="false">IF(OR($A187="",AO$8=""),"",IF($F187="Migré","ROKS",IF($F187="À décommissionner",IF(AO$8&lt;$AS187,"IKS","Décom."),IF(OR($AQ187="",$AS187=""),"",IF(AO$8&lt;$AQ187,"IKS",IF(AO$8&lt;$AS187,IF(AO$8=$AR187,"Bascule","Double run"),"ROKS"))))))</f>
        <v/>
      </c>
      <c r="AP187" s="51" t="str">
        <f aca="false">IF(OR($A187="",AP$8=""),"",IF($F187="Migré","ROKS",IF($F187="À décommissionner",IF(AP$8&lt;$AS187,"IKS","Décom."),IF(OR($AQ187="",$AS187=""),"",IF(AP$8&lt;$AQ187,"IKS",IF(AP$8&lt;$AS187,IF(AP$8=$AR187,"Bascule","Double run"),"ROKS"))))))</f>
        <v/>
      </c>
      <c r="AQ187" s="0" t="str">
        <f aca="false">IF($A187="","",INDEX(TblApplications[Mois prov (calc)],$A187))</f>
        <v/>
      </c>
      <c r="AR187" s="0" t="str">
        <f aca="false">IF($A187="","",IFERROR(DATE(YEAR(INDEX(TblApplications[Mois bascule],$A187)),MONTH(INDEX(TblApplications[Mois bascule],$A187)),1),""))</f>
        <v/>
      </c>
      <c r="AS187" s="0" t="str">
        <f aca="false">IF($A187="","",INDEX(TblApplications[Mois lib (calc)],$A187))</f>
        <v/>
      </c>
    </row>
    <row r="188" customFormat="false" ht="15" hidden="false" customHeight="false" outlineLevel="0" collapsed="false">
      <c r="A188" s="49" t="str">
        <f aca="false">IFERROR(MATCH(180,TblApplications[Rang frise],0),"")</f>
        <v/>
      </c>
      <c r="B188" s="50" t="str">
        <f aca="false">IF($A188="","",INDEX(TblApplications[ID],$A188))</f>
        <v/>
      </c>
      <c r="C188" s="50" t="str">
        <f aca="false">IF($A188="","",INDEX(TblApplications[Application],$A188))</f>
        <v/>
      </c>
      <c r="D188" s="50" t="str">
        <f aca="false">IF($A188="","",INDEX(TblApplications[Environnement],$A188))</f>
        <v/>
      </c>
      <c r="E188" s="50" t="str">
        <f aca="false">IF($A188="","",INDEX(TblApplications[Couloir],$A188))</f>
        <v/>
      </c>
      <c r="F188" s="50" t="str">
        <f aca="false">IF($A188="","",INDEX(TblApplications[Action],$A188))</f>
        <v/>
      </c>
      <c r="G188" s="51" t="str">
        <f aca="false">IF(OR($A188="",G$8=""),"",IF($F188="Migré","ROKS",IF($F188="À décommissionner",IF(G$8&lt;$AS188,"IKS","Décom."),IF(OR($AQ188="",$AS188=""),"",IF(G$8&lt;$AQ188,"IKS",IF(G$8&lt;$AS188,IF(G$8=$AR188,"Bascule","Double run"),"ROKS"))))))</f>
        <v/>
      </c>
      <c r="H188" s="51" t="str">
        <f aca="false">IF(OR($A188="",H$8=""),"",IF($F188="Migré","ROKS",IF($F188="À décommissionner",IF(H$8&lt;$AS188,"IKS","Décom."),IF(OR($AQ188="",$AS188=""),"",IF(H$8&lt;$AQ188,"IKS",IF(H$8&lt;$AS188,IF(H$8=$AR188,"Bascule","Double run"),"ROKS"))))))</f>
        <v/>
      </c>
      <c r="I188" s="51" t="str">
        <f aca="false">IF(OR($A188="",I$8=""),"",IF($F188="Migré","ROKS",IF($F188="À décommissionner",IF(I$8&lt;$AS188,"IKS","Décom."),IF(OR($AQ188="",$AS188=""),"",IF(I$8&lt;$AQ188,"IKS",IF(I$8&lt;$AS188,IF(I$8=$AR188,"Bascule","Double run"),"ROKS"))))))</f>
        <v/>
      </c>
      <c r="J188" s="51" t="str">
        <f aca="false">IF(OR($A188="",J$8=""),"",IF($F188="Migré","ROKS",IF($F188="À décommissionner",IF(J$8&lt;$AS188,"IKS","Décom."),IF(OR($AQ188="",$AS188=""),"",IF(J$8&lt;$AQ188,"IKS",IF(J$8&lt;$AS188,IF(J$8=$AR188,"Bascule","Double run"),"ROKS"))))))</f>
        <v/>
      </c>
      <c r="K188" s="51" t="str">
        <f aca="false">IF(OR($A188="",K$8=""),"",IF($F188="Migré","ROKS",IF($F188="À décommissionner",IF(K$8&lt;$AS188,"IKS","Décom."),IF(OR($AQ188="",$AS188=""),"",IF(K$8&lt;$AQ188,"IKS",IF(K$8&lt;$AS188,IF(K$8=$AR188,"Bascule","Double run"),"ROKS"))))))</f>
        <v/>
      </c>
      <c r="L188" s="51" t="str">
        <f aca="false">IF(OR($A188="",L$8=""),"",IF($F188="Migré","ROKS",IF($F188="À décommissionner",IF(L$8&lt;$AS188,"IKS","Décom."),IF(OR($AQ188="",$AS188=""),"",IF(L$8&lt;$AQ188,"IKS",IF(L$8&lt;$AS188,IF(L$8=$AR188,"Bascule","Double run"),"ROKS"))))))</f>
        <v/>
      </c>
      <c r="M188" s="51" t="str">
        <f aca="false">IF(OR($A188="",M$8=""),"",IF($F188="Migré","ROKS",IF($F188="À décommissionner",IF(M$8&lt;$AS188,"IKS","Décom."),IF(OR($AQ188="",$AS188=""),"",IF(M$8&lt;$AQ188,"IKS",IF(M$8&lt;$AS188,IF(M$8=$AR188,"Bascule","Double run"),"ROKS"))))))</f>
        <v/>
      </c>
      <c r="N188" s="51" t="str">
        <f aca="false">IF(OR($A188="",N$8=""),"",IF($F188="Migré","ROKS",IF($F188="À décommissionner",IF(N$8&lt;$AS188,"IKS","Décom."),IF(OR($AQ188="",$AS188=""),"",IF(N$8&lt;$AQ188,"IKS",IF(N$8&lt;$AS188,IF(N$8=$AR188,"Bascule","Double run"),"ROKS"))))))</f>
        <v/>
      </c>
      <c r="O188" s="51" t="str">
        <f aca="false">IF(OR($A188="",O$8=""),"",IF($F188="Migré","ROKS",IF($F188="À décommissionner",IF(O$8&lt;$AS188,"IKS","Décom."),IF(OR($AQ188="",$AS188=""),"",IF(O$8&lt;$AQ188,"IKS",IF(O$8&lt;$AS188,IF(O$8=$AR188,"Bascule","Double run"),"ROKS"))))))</f>
        <v/>
      </c>
      <c r="P188" s="51" t="str">
        <f aca="false">IF(OR($A188="",P$8=""),"",IF($F188="Migré","ROKS",IF($F188="À décommissionner",IF(P$8&lt;$AS188,"IKS","Décom."),IF(OR($AQ188="",$AS188=""),"",IF(P$8&lt;$AQ188,"IKS",IF(P$8&lt;$AS188,IF(P$8=$AR188,"Bascule","Double run"),"ROKS"))))))</f>
        <v/>
      </c>
      <c r="Q188" s="51" t="str">
        <f aca="false">IF(OR($A188="",Q$8=""),"",IF($F188="Migré","ROKS",IF($F188="À décommissionner",IF(Q$8&lt;$AS188,"IKS","Décom."),IF(OR($AQ188="",$AS188=""),"",IF(Q$8&lt;$AQ188,"IKS",IF(Q$8&lt;$AS188,IF(Q$8=$AR188,"Bascule","Double run"),"ROKS"))))))</f>
        <v/>
      </c>
      <c r="R188" s="51" t="str">
        <f aca="false">IF(OR($A188="",R$8=""),"",IF($F188="Migré","ROKS",IF($F188="À décommissionner",IF(R$8&lt;$AS188,"IKS","Décom."),IF(OR($AQ188="",$AS188=""),"",IF(R$8&lt;$AQ188,"IKS",IF(R$8&lt;$AS188,IF(R$8=$AR188,"Bascule","Double run"),"ROKS"))))))</f>
        <v/>
      </c>
      <c r="S188" s="51" t="str">
        <f aca="false">IF(OR($A188="",S$8=""),"",IF($F188="Migré","ROKS",IF($F188="À décommissionner",IF(S$8&lt;$AS188,"IKS","Décom."),IF(OR($AQ188="",$AS188=""),"",IF(S$8&lt;$AQ188,"IKS",IF(S$8&lt;$AS188,IF(S$8=$AR188,"Bascule","Double run"),"ROKS"))))))</f>
        <v/>
      </c>
      <c r="T188" s="51" t="str">
        <f aca="false">IF(OR($A188="",T$8=""),"",IF($F188="Migré","ROKS",IF($F188="À décommissionner",IF(T$8&lt;$AS188,"IKS","Décom."),IF(OR($AQ188="",$AS188=""),"",IF(T$8&lt;$AQ188,"IKS",IF(T$8&lt;$AS188,IF(T$8=$AR188,"Bascule","Double run"),"ROKS"))))))</f>
        <v/>
      </c>
      <c r="U188" s="51" t="str">
        <f aca="false">IF(OR($A188="",U$8=""),"",IF($F188="Migré","ROKS",IF($F188="À décommissionner",IF(U$8&lt;$AS188,"IKS","Décom."),IF(OR($AQ188="",$AS188=""),"",IF(U$8&lt;$AQ188,"IKS",IF(U$8&lt;$AS188,IF(U$8=$AR188,"Bascule","Double run"),"ROKS"))))))</f>
        <v/>
      </c>
      <c r="V188" s="51" t="str">
        <f aca="false">IF(OR($A188="",V$8=""),"",IF($F188="Migré","ROKS",IF($F188="À décommissionner",IF(V$8&lt;$AS188,"IKS","Décom."),IF(OR($AQ188="",$AS188=""),"",IF(V$8&lt;$AQ188,"IKS",IF(V$8&lt;$AS188,IF(V$8=$AR188,"Bascule","Double run"),"ROKS"))))))</f>
        <v/>
      </c>
      <c r="W188" s="51" t="str">
        <f aca="false">IF(OR($A188="",W$8=""),"",IF($F188="Migré","ROKS",IF($F188="À décommissionner",IF(W$8&lt;$AS188,"IKS","Décom."),IF(OR($AQ188="",$AS188=""),"",IF(W$8&lt;$AQ188,"IKS",IF(W$8&lt;$AS188,IF(W$8=$AR188,"Bascule","Double run"),"ROKS"))))))</f>
        <v/>
      </c>
      <c r="X188" s="51" t="str">
        <f aca="false">IF(OR($A188="",X$8=""),"",IF($F188="Migré","ROKS",IF($F188="À décommissionner",IF(X$8&lt;$AS188,"IKS","Décom."),IF(OR($AQ188="",$AS188=""),"",IF(X$8&lt;$AQ188,"IKS",IF(X$8&lt;$AS188,IF(X$8=$AR188,"Bascule","Double run"),"ROKS"))))))</f>
        <v/>
      </c>
      <c r="Y188" s="51" t="str">
        <f aca="false">IF(OR($A188="",Y$8=""),"",IF($F188="Migré","ROKS",IF($F188="À décommissionner",IF(Y$8&lt;$AS188,"IKS","Décom."),IF(OR($AQ188="",$AS188=""),"",IF(Y$8&lt;$AQ188,"IKS",IF(Y$8&lt;$AS188,IF(Y$8=$AR188,"Bascule","Double run"),"ROKS"))))))</f>
        <v/>
      </c>
      <c r="Z188" s="51" t="str">
        <f aca="false">IF(OR($A188="",Z$8=""),"",IF($F188="Migré","ROKS",IF($F188="À décommissionner",IF(Z$8&lt;$AS188,"IKS","Décom."),IF(OR($AQ188="",$AS188=""),"",IF(Z$8&lt;$AQ188,"IKS",IF(Z$8&lt;$AS188,IF(Z$8=$AR188,"Bascule","Double run"),"ROKS"))))))</f>
        <v/>
      </c>
      <c r="AA188" s="51" t="str">
        <f aca="false">IF(OR($A188="",AA$8=""),"",IF($F188="Migré","ROKS",IF($F188="À décommissionner",IF(AA$8&lt;$AS188,"IKS","Décom."),IF(OR($AQ188="",$AS188=""),"",IF(AA$8&lt;$AQ188,"IKS",IF(AA$8&lt;$AS188,IF(AA$8=$AR188,"Bascule","Double run"),"ROKS"))))))</f>
        <v/>
      </c>
      <c r="AB188" s="51" t="str">
        <f aca="false">IF(OR($A188="",AB$8=""),"",IF($F188="Migré","ROKS",IF($F188="À décommissionner",IF(AB$8&lt;$AS188,"IKS","Décom."),IF(OR($AQ188="",$AS188=""),"",IF(AB$8&lt;$AQ188,"IKS",IF(AB$8&lt;$AS188,IF(AB$8=$AR188,"Bascule","Double run"),"ROKS"))))))</f>
        <v/>
      </c>
      <c r="AC188" s="51" t="str">
        <f aca="false">IF(OR($A188="",AC$8=""),"",IF($F188="Migré","ROKS",IF($F188="À décommissionner",IF(AC$8&lt;$AS188,"IKS","Décom."),IF(OR($AQ188="",$AS188=""),"",IF(AC$8&lt;$AQ188,"IKS",IF(AC$8&lt;$AS188,IF(AC$8=$AR188,"Bascule","Double run"),"ROKS"))))))</f>
        <v/>
      </c>
      <c r="AD188" s="51" t="str">
        <f aca="false">IF(OR($A188="",AD$8=""),"",IF($F188="Migré","ROKS",IF($F188="À décommissionner",IF(AD$8&lt;$AS188,"IKS","Décom."),IF(OR($AQ188="",$AS188=""),"",IF(AD$8&lt;$AQ188,"IKS",IF(AD$8&lt;$AS188,IF(AD$8=$AR188,"Bascule","Double run"),"ROKS"))))))</f>
        <v/>
      </c>
      <c r="AE188" s="51" t="str">
        <f aca="false">IF(OR($A188="",AE$8=""),"",IF($F188="Migré","ROKS",IF($F188="À décommissionner",IF(AE$8&lt;$AS188,"IKS","Décom."),IF(OR($AQ188="",$AS188=""),"",IF(AE$8&lt;$AQ188,"IKS",IF(AE$8&lt;$AS188,IF(AE$8=$AR188,"Bascule","Double run"),"ROKS"))))))</f>
        <v/>
      </c>
      <c r="AF188" s="51" t="str">
        <f aca="false">IF(OR($A188="",AF$8=""),"",IF($F188="Migré","ROKS",IF($F188="À décommissionner",IF(AF$8&lt;$AS188,"IKS","Décom."),IF(OR($AQ188="",$AS188=""),"",IF(AF$8&lt;$AQ188,"IKS",IF(AF$8&lt;$AS188,IF(AF$8=$AR188,"Bascule","Double run"),"ROKS"))))))</f>
        <v/>
      </c>
      <c r="AG188" s="51" t="str">
        <f aca="false">IF(OR($A188="",AG$8=""),"",IF($F188="Migré","ROKS",IF($F188="À décommissionner",IF(AG$8&lt;$AS188,"IKS","Décom."),IF(OR($AQ188="",$AS188=""),"",IF(AG$8&lt;$AQ188,"IKS",IF(AG$8&lt;$AS188,IF(AG$8=$AR188,"Bascule","Double run"),"ROKS"))))))</f>
        <v/>
      </c>
      <c r="AH188" s="51" t="str">
        <f aca="false">IF(OR($A188="",AH$8=""),"",IF($F188="Migré","ROKS",IF($F188="À décommissionner",IF(AH$8&lt;$AS188,"IKS","Décom."),IF(OR($AQ188="",$AS188=""),"",IF(AH$8&lt;$AQ188,"IKS",IF(AH$8&lt;$AS188,IF(AH$8=$AR188,"Bascule","Double run"),"ROKS"))))))</f>
        <v/>
      </c>
      <c r="AI188" s="51" t="str">
        <f aca="false">IF(OR($A188="",AI$8=""),"",IF($F188="Migré","ROKS",IF($F188="À décommissionner",IF(AI$8&lt;$AS188,"IKS","Décom."),IF(OR($AQ188="",$AS188=""),"",IF(AI$8&lt;$AQ188,"IKS",IF(AI$8&lt;$AS188,IF(AI$8=$AR188,"Bascule","Double run"),"ROKS"))))))</f>
        <v/>
      </c>
      <c r="AJ188" s="51" t="str">
        <f aca="false">IF(OR($A188="",AJ$8=""),"",IF($F188="Migré","ROKS",IF($F188="À décommissionner",IF(AJ$8&lt;$AS188,"IKS","Décom."),IF(OR($AQ188="",$AS188=""),"",IF(AJ$8&lt;$AQ188,"IKS",IF(AJ$8&lt;$AS188,IF(AJ$8=$AR188,"Bascule","Double run"),"ROKS"))))))</f>
        <v/>
      </c>
      <c r="AK188" s="51" t="str">
        <f aca="false">IF(OR($A188="",AK$8=""),"",IF($F188="Migré","ROKS",IF($F188="À décommissionner",IF(AK$8&lt;$AS188,"IKS","Décom."),IF(OR($AQ188="",$AS188=""),"",IF(AK$8&lt;$AQ188,"IKS",IF(AK$8&lt;$AS188,IF(AK$8=$AR188,"Bascule","Double run"),"ROKS"))))))</f>
        <v/>
      </c>
      <c r="AL188" s="51" t="str">
        <f aca="false">IF(OR($A188="",AL$8=""),"",IF($F188="Migré","ROKS",IF($F188="À décommissionner",IF(AL$8&lt;$AS188,"IKS","Décom."),IF(OR($AQ188="",$AS188=""),"",IF(AL$8&lt;$AQ188,"IKS",IF(AL$8&lt;$AS188,IF(AL$8=$AR188,"Bascule","Double run"),"ROKS"))))))</f>
        <v/>
      </c>
      <c r="AM188" s="51" t="str">
        <f aca="false">IF(OR($A188="",AM$8=""),"",IF($F188="Migré","ROKS",IF($F188="À décommissionner",IF(AM$8&lt;$AS188,"IKS","Décom."),IF(OR($AQ188="",$AS188=""),"",IF(AM$8&lt;$AQ188,"IKS",IF(AM$8&lt;$AS188,IF(AM$8=$AR188,"Bascule","Double run"),"ROKS"))))))</f>
        <v/>
      </c>
      <c r="AN188" s="51" t="str">
        <f aca="false">IF(OR($A188="",AN$8=""),"",IF($F188="Migré","ROKS",IF($F188="À décommissionner",IF(AN$8&lt;$AS188,"IKS","Décom."),IF(OR($AQ188="",$AS188=""),"",IF(AN$8&lt;$AQ188,"IKS",IF(AN$8&lt;$AS188,IF(AN$8=$AR188,"Bascule","Double run"),"ROKS"))))))</f>
        <v/>
      </c>
      <c r="AO188" s="51" t="str">
        <f aca="false">IF(OR($A188="",AO$8=""),"",IF($F188="Migré","ROKS",IF($F188="À décommissionner",IF(AO$8&lt;$AS188,"IKS","Décom."),IF(OR($AQ188="",$AS188=""),"",IF(AO$8&lt;$AQ188,"IKS",IF(AO$8&lt;$AS188,IF(AO$8=$AR188,"Bascule","Double run"),"ROKS"))))))</f>
        <v/>
      </c>
      <c r="AP188" s="51" t="str">
        <f aca="false">IF(OR($A188="",AP$8=""),"",IF($F188="Migré","ROKS",IF($F188="À décommissionner",IF(AP$8&lt;$AS188,"IKS","Décom."),IF(OR($AQ188="",$AS188=""),"",IF(AP$8&lt;$AQ188,"IKS",IF(AP$8&lt;$AS188,IF(AP$8=$AR188,"Bascule","Double run"),"ROKS"))))))</f>
        <v/>
      </c>
      <c r="AQ188" s="0" t="str">
        <f aca="false">IF($A188="","",INDEX(TblApplications[Mois prov (calc)],$A188))</f>
        <v/>
      </c>
      <c r="AR188" s="0" t="str">
        <f aca="false">IF($A188="","",IFERROR(DATE(YEAR(INDEX(TblApplications[Mois bascule],$A188)),MONTH(INDEX(TblApplications[Mois bascule],$A188)),1),""))</f>
        <v/>
      </c>
      <c r="AS188" s="0" t="str">
        <f aca="false">IF($A188="","",INDEX(TblApplications[Mois lib (calc)],$A188))</f>
        <v/>
      </c>
    </row>
    <row r="189" customFormat="false" ht="15" hidden="false" customHeight="false" outlineLevel="0" collapsed="false">
      <c r="A189" s="49" t="str">
        <f aca="false">IFERROR(MATCH(181,TblApplications[Rang frise],0),"")</f>
        <v/>
      </c>
      <c r="B189" s="50" t="str">
        <f aca="false">IF($A189="","",INDEX(TblApplications[ID],$A189))</f>
        <v/>
      </c>
      <c r="C189" s="50" t="str">
        <f aca="false">IF($A189="","",INDEX(TblApplications[Application],$A189))</f>
        <v/>
      </c>
      <c r="D189" s="50" t="str">
        <f aca="false">IF($A189="","",INDEX(TblApplications[Environnement],$A189))</f>
        <v/>
      </c>
      <c r="E189" s="50" t="str">
        <f aca="false">IF($A189="","",INDEX(TblApplications[Couloir],$A189))</f>
        <v/>
      </c>
      <c r="F189" s="50" t="str">
        <f aca="false">IF($A189="","",INDEX(TblApplications[Action],$A189))</f>
        <v/>
      </c>
      <c r="G189" s="51" t="str">
        <f aca="false">IF(OR($A189="",G$8=""),"",IF($F189="Migré","ROKS",IF($F189="À décommissionner",IF(G$8&lt;$AS189,"IKS","Décom."),IF(OR($AQ189="",$AS189=""),"",IF(G$8&lt;$AQ189,"IKS",IF(G$8&lt;$AS189,IF(G$8=$AR189,"Bascule","Double run"),"ROKS"))))))</f>
        <v/>
      </c>
      <c r="H189" s="51" t="str">
        <f aca="false">IF(OR($A189="",H$8=""),"",IF($F189="Migré","ROKS",IF($F189="À décommissionner",IF(H$8&lt;$AS189,"IKS","Décom."),IF(OR($AQ189="",$AS189=""),"",IF(H$8&lt;$AQ189,"IKS",IF(H$8&lt;$AS189,IF(H$8=$AR189,"Bascule","Double run"),"ROKS"))))))</f>
        <v/>
      </c>
      <c r="I189" s="51" t="str">
        <f aca="false">IF(OR($A189="",I$8=""),"",IF($F189="Migré","ROKS",IF($F189="À décommissionner",IF(I$8&lt;$AS189,"IKS","Décom."),IF(OR($AQ189="",$AS189=""),"",IF(I$8&lt;$AQ189,"IKS",IF(I$8&lt;$AS189,IF(I$8=$AR189,"Bascule","Double run"),"ROKS"))))))</f>
        <v/>
      </c>
      <c r="J189" s="51" t="str">
        <f aca="false">IF(OR($A189="",J$8=""),"",IF($F189="Migré","ROKS",IF($F189="À décommissionner",IF(J$8&lt;$AS189,"IKS","Décom."),IF(OR($AQ189="",$AS189=""),"",IF(J$8&lt;$AQ189,"IKS",IF(J$8&lt;$AS189,IF(J$8=$AR189,"Bascule","Double run"),"ROKS"))))))</f>
        <v/>
      </c>
      <c r="K189" s="51" t="str">
        <f aca="false">IF(OR($A189="",K$8=""),"",IF($F189="Migré","ROKS",IF($F189="À décommissionner",IF(K$8&lt;$AS189,"IKS","Décom."),IF(OR($AQ189="",$AS189=""),"",IF(K$8&lt;$AQ189,"IKS",IF(K$8&lt;$AS189,IF(K$8=$AR189,"Bascule","Double run"),"ROKS"))))))</f>
        <v/>
      </c>
      <c r="L189" s="51" t="str">
        <f aca="false">IF(OR($A189="",L$8=""),"",IF($F189="Migré","ROKS",IF($F189="À décommissionner",IF(L$8&lt;$AS189,"IKS","Décom."),IF(OR($AQ189="",$AS189=""),"",IF(L$8&lt;$AQ189,"IKS",IF(L$8&lt;$AS189,IF(L$8=$AR189,"Bascule","Double run"),"ROKS"))))))</f>
        <v/>
      </c>
      <c r="M189" s="51" t="str">
        <f aca="false">IF(OR($A189="",M$8=""),"",IF($F189="Migré","ROKS",IF($F189="À décommissionner",IF(M$8&lt;$AS189,"IKS","Décom."),IF(OR($AQ189="",$AS189=""),"",IF(M$8&lt;$AQ189,"IKS",IF(M$8&lt;$AS189,IF(M$8=$AR189,"Bascule","Double run"),"ROKS"))))))</f>
        <v/>
      </c>
      <c r="N189" s="51" t="str">
        <f aca="false">IF(OR($A189="",N$8=""),"",IF($F189="Migré","ROKS",IF($F189="À décommissionner",IF(N$8&lt;$AS189,"IKS","Décom."),IF(OR($AQ189="",$AS189=""),"",IF(N$8&lt;$AQ189,"IKS",IF(N$8&lt;$AS189,IF(N$8=$AR189,"Bascule","Double run"),"ROKS"))))))</f>
        <v/>
      </c>
      <c r="O189" s="51" t="str">
        <f aca="false">IF(OR($A189="",O$8=""),"",IF($F189="Migré","ROKS",IF($F189="À décommissionner",IF(O$8&lt;$AS189,"IKS","Décom."),IF(OR($AQ189="",$AS189=""),"",IF(O$8&lt;$AQ189,"IKS",IF(O$8&lt;$AS189,IF(O$8=$AR189,"Bascule","Double run"),"ROKS"))))))</f>
        <v/>
      </c>
      <c r="P189" s="51" t="str">
        <f aca="false">IF(OR($A189="",P$8=""),"",IF($F189="Migré","ROKS",IF($F189="À décommissionner",IF(P$8&lt;$AS189,"IKS","Décom."),IF(OR($AQ189="",$AS189=""),"",IF(P$8&lt;$AQ189,"IKS",IF(P$8&lt;$AS189,IF(P$8=$AR189,"Bascule","Double run"),"ROKS"))))))</f>
        <v/>
      </c>
      <c r="Q189" s="51" t="str">
        <f aca="false">IF(OR($A189="",Q$8=""),"",IF($F189="Migré","ROKS",IF($F189="À décommissionner",IF(Q$8&lt;$AS189,"IKS","Décom."),IF(OR($AQ189="",$AS189=""),"",IF(Q$8&lt;$AQ189,"IKS",IF(Q$8&lt;$AS189,IF(Q$8=$AR189,"Bascule","Double run"),"ROKS"))))))</f>
        <v/>
      </c>
      <c r="R189" s="51" t="str">
        <f aca="false">IF(OR($A189="",R$8=""),"",IF($F189="Migré","ROKS",IF($F189="À décommissionner",IF(R$8&lt;$AS189,"IKS","Décom."),IF(OR($AQ189="",$AS189=""),"",IF(R$8&lt;$AQ189,"IKS",IF(R$8&lt;$AS189,IF(R$8=$AR189,"Bascule","Double run"),"ROKS"))))))</f>
        <v/>
      </c>
      <c r="S189" s="51" t="str">
        <f aca="false">IF(OR($A189="",S$8=""),"",IF($F189="Migré","ROKS",IF($F189="À décommissionner",IF(S$8&lt;$AS189,"IKS","Décom."),IF(OR($AQ189="",$AS189=""),"",IF(S$8&lt;$AQ189,"IKS",IF(S$8&lt;$AS189,IF(S$8=$AR189,"Bascule","Double run"),"ROKS"))))))</f>
        <v/>
      </c>
      <c r="T189" s="51" t="str">
        <f aca="false">IF(OR($A189="",T$8=""),"",IF($F189="Migré","ROKS",IF($F189="À décommissionner",IF(T$8&lt;$AS189,"IKS","Décom."),IF(OR($AQ189="",$AS189=""),"",IF(T$8&lt;$AQ189,"IKS",IF(T$8&lt;$AS189,IF(T$8=$AR189,"Bascule","Double run"),"ROKS"))))))</f>
        <v/>
      </c>
      <c r="U189" s="51" t="str">
        <f aca="false">IF(OR($A189="",U$8=""),"",IF($F189="Migré","ROKS",IF($F189="À décommissionner",IF(U$8&lt;$AS189,"IKS","Décom."),IF(OR($AQ189="",$AS189=""),"",IF(U$8&lt;$AQ189,"IKS",IF(U$8&lt;$AS189,IF(U$8=$AR189,"Bascule","Double run"),"ROKS"))))))</f>
        <v/>
      </c>
      <c r="V189" s="51" t="str">
        <f aca="false">IF(OR($A189="",V$8=""),"",IF($F189="Migré","ROKS",IF($F189="À décommissionner",IF(V$8&lt;$AS189,"IKS","Décom."),IF(OR($AQ189="",$AS189=""),"",IF(V$8&lt;$AQ189,"IKS",IF(V$8&lt;$AS189,IF(V$8=$AR189,"Bascule","Double run"),"ROKS"))))))</f>
        <v/>
      </c>
      <c r="W189" s="51" t="str">
        <f aca="false">IF(OR($A189="",W$8=""),"",IF($F189="Migré","ROKS",IF($F189="À décommissionner",IF(W$8&lt;$AS189,"IKS","Décom."),IF(OR($AQ189="",$AS189=""),"",IF(W$8&lt;$AQ189,"IKS",IF(W$8&lt;$AS189,IF(W$8=$AR189,"Bascule","Double run"),"ROKS"))))))</f>
        <v/>
      </c>
      <c r="X189" s="51" t="str">
        <f aca="false">IF(OR($A189="",X$8=""),"",IF($F189="Migré","ROKS",IF($F189="À décommissionner",IF(X$8&lt;$AS189,"IKS","Décom."),IF(OR($AQ189="",$AS189=""),"",IF(X$8&lt;$AQ189,"IKS",IF(X$8&lt;$AS189,IF(X$8=$AR189,"Bascule","Double run"),"ROKS"))))))</f>
        <v/>
      </c>
      <c r="Y189" s="51" t="str">
        <f aca="false">IF(OR($A189="",Y$8=""),"",IF($F189="Migré","ROKS",IF($F189="À décommissionner",IF(Y$8&lt;$AS189,"IKS","Décom."),IF(OR($AQ189="",$AS189=""),"",IF(Y$8&lt;$AQ189,"IKS",IF(Y$8&lt;$AS189,IF(Y$8=$AR189,"Bascule","Double run"),"ROKS"))))))</f>
        <v/>
      </c>
      <c r="Z189" s="51" t="str">
        <f aca="false">IF(OR($A189="",Z$8=""),"",IF($F189="Migré","ROKS",IF($F189="À décommissionner",IF(Z$8&lt;$AS189,"IKS","Décom."),IF(OR($AQ189="",$AS189=""),"",IF(Z$8&lt;$AQ189,"IKS",IF(Z$8&lt;$AS189,IF(Z$8=$AR189,"Bascule","Double run"),"ROKS"))))))</f>
        <v/>
      </c>
      <c r="AA189" s="51" t="str">
        <f aca="false">IF(OR($A189="",AA$8=""),"",IF($F189="Migré","ROKS",IF($F189="À décommissionner",IF(AA$8&lt;$AS189,"IKS","Décom."),IF(OR($AQ189="",$AS189=""),"",IF(AA$8&lt;$AQ189,"IKS",IF(AA$8&lt;$AS189,IF(AA$8=$AR189,"Bascule","Double run"),"ROKS"))))))</f>
        <v/>
      </c>
      <c r="AB189" s="51" t="str">
        <f aca="false">IF(OR($A189="",AB$8=""),"",IF($F189="Migré","ROKS",IF($F189="À décommissionner",IF(AB$8&lt;$AS189,"IKS","Décom."),IF(OR($AQ189="",$AS189=""),"",IF(AB$8&lt;$AQ189,"IKS",IF(AB$8&lt;$AS189,IF(AB$8=$AR189,"Bascule","Double run"),"ROKS"))))))</f>
        <v/>
      </c>
      <c r="AC189" s="51" t="str">
        <f aca="false">IF(OR($A189="",AC$8=""),"",IF($F189="Migré","ROKS",IF($F189="À décommissionner",IF(AC$8&lt;$AS189,"IKS","Décom."),IF(OR($AQ189="",$AS189=""),"",IF(AC$8&lt;$AQ189,"IKS",IF(AC$8&lt;$AS189,IF(AC$8=$AR189,"Bascule","Double run"),"ROKS"))))))</f>
        <v/>
      </c>
      <c r="AD189" s="51" t="str">
        <f aca="false">IF(OR($A189="",AD$8=""),"",IF($F189="Migré","ROKS",IF($F189="À décommissionner",IF(AD$8&lt;$AS189,"IKS","Décom."),IF(OR($AQ189="",$AS189=""),"",IF(AD$8&lt;$AQ189,"IKS",IF(AD$8&lt;$AS189,IF(AD$8=$AR189,"Bascule","Double run"),"ROKS"))))))</f>
        <v/>
      </c>
      <c r="AE189" s="51" t="str">
        <f aca="false">IF(OR($A189="",AE$8=""),"",IF($F189="Migré","ROKS",IF($F189="À décommissionner",IF(AE$8&lt;$AS189,"IKS","Décom."),IF(OR($AQ189="",$AS189=""),"",IF(AE$8&lt;$AQ189,"IKS",IF(AE$8&lt;$AS189,IF(AE$8=$AR189,"Bascule","Double run"),"ROKS"))))))</f>
        <v/>
      </c>
      <c r="AF189" s="51" t="str">
        <f aca="false">IF(OR($A189="",AF$8=""),"",IF($F189="Migré","ROKS",IF($F189="À décommissionner",IF(AF$8&lt;$AS189,"IKS","Décom."),IF(OR($AQ189="",$AS189=""),"",IF(AF$8&lt;$AQ189,"IKS",IF(AF$8&lt;$AS189,IF(AF$8=$AR189,"Bascule","Double run"),"ROKS"))))))</f>
        <v/>
      </c>
      <c r="AG189" s="51" t="str">
        <f aca="false">IF(OR($A189="",AG$8=""),"",IF($F189="Migré","ROKS",IF($F189="À décommissionner",IF(AG$8&lt;$AS189,"IKS","Décom."),IF(OR($AQ189="",$AS189=""),"",IF(AG$8&lt;$AQ189,"IKS",IF(AG$8&lt;$AS189,IF(AG$8=$AR189,"Bascule","Double run"),"ROKS"))))))</f>
        <v/>
      </c>
      <c r="AH189" s="51" t="str">
        <f aca="false">IF(OR($A189="",AH$8=""),"",IF($F189="Migré","ROKS",IF($F189="À décommissionner",IF(AH$8&lt;$AS189,"IKS","Décom."),IF(OR($AQ189="",$AS189=""),"",IF(AH$8&lt;$AQ189,"IKS",IF(AH$8&lt;$AS189,IF(AH$8=$AR189,"Bascule","Double run"),"ROKS"))))))</f>
        <v/>
      </c>
      <c r="AI189" s="51" t="str">
        <f aca="false">IF(OR($A189="",AI$8=""),"",IF($F189="Migré","ROKS",IF($F189="À décommissionner",IF(AI$8&lt;$AS189,"IKS","Décom."),IF(OR($AQ189="",$AS189=""),"",IF(AI$8&lt;$AQ189,"IKS",IF(AI$8&lt;$AS189,IF(AI$8=$AR189,"Bascule","Double run"),"ROKS"))))))</f>
        <v/>
      </c>
      <c r="AJ189" s="51" t="str">
        <f aca="false">IF(OR($A189="",AJ$8=""),"",IF($F189="Migré","ROKS",IF($F189="À décommissionner",IF(AJ$8&lt;$AS189,"IKS","Décom."),IF(OR($AQ189="",$AS189=""),"",IF(AJ$8&lt;$AQ189,"IKS",IF(AJ$8&lt;$AS189,IF(AJ$8=$AR189,"Bascule","Double run"),"ROKS"))))))</f>
        <v/>
      </c>
      <c r="AK189" s="51" t="str">
        <f aca="false">IF(OR($A189="",AK$8=""),"",IF($F189="Migré","ROKS",IF($F189="À décommissionner",IF(AK$8&lt;$AS189,"IKS","Décom."),IF(OR($AQ189="",$AS189=""),"",IF(AK$8&lt;$AQ189,"IKS",IF(AK$8&lt;$AS189,IF(AK$8=$AR189,"Bascule","Double run"),"ROKS"))))))</f>
        <v/>
      </c>
      <c r="AL189" s="51" t="str">
        <f aca="false">IF(OR($A189="",AL$8=""),"",IF($F189="Migré","ROKS",IF($F189="À décommissionner",IF(AL$8&lt;$AS189,"IKS","Décom."),IF(OR($AQ189="",$AS189=""),"",IF(AL$8&lt;$AQ189,"IKS",IF(AL$8&lt;$AS189,IF(AL$8=$AR189,"Bascule","Double run"),"ROKS"))))))</f>
        <v/>
      </c>
      <c r="AM189" s="51" t="str">
        <f aca="false">IF(OR($A189="",AM$8=""),"",IF($F189="Migré","ROKS",IF($F189="À décommissionner",IF(AM$8&lt;$AS189,"IKS","Décom."),IF(OR($AQ189="",$AS189=""),"",IF(AM$8&lt;$AQ189,"IKS",IF(AM$8&lt;$AS189,IF(AM$8=$AR189,"Bascule","Double run"),"ROKS"))))))</f>
        <v/>
      </c>
      <c r="AN189" s="51" t="str">
        <f aca="false">IF(OR($A189="",AN$8=""),"",IF($F189="Migré","ROKS",IF($F189="À décommissionner",IF(AN$8&lt;$AS189,"IKS","Décom."),IF(OR($AQ189="",$AS189=""),"",IF(AN$8&lt;$AQ189,"IKS",IF(AN$8&lt;$AS189,IF(AN$8=$AR189,"Bascule","Double run"),"ROKS"))))))</f>
        <v/>
      </c>
      <c r="AO189" s="51" t="str">
        <f aca="false">IF(OR($A189="",AO$8=""),"",IF($F189="Migré","ROKS",IF($F189="À décommissionner",IF(AO$8&lt;$AS189,"IKS","Décom."),IF(OR($AQ189="",$AS189=""),"",IF(AO$8&lt;$AQ189,"IKS",IF(AO$8&lt;$AS189,IF(AO$8=$AR189,"Bascule","Double run"),"ROKS"))))))</f>
        <v/>
      </c>
      <c r="AP189" s="51" t="str">
        <f aca="false">IF(OR($A189="",AP$8=""),"",IF($F189="Migré","ROKS",IF($F189="À décommissionner",IF(AP$8&lt;$AS189,"IKS","Décom."),IF(OR($AQ189="",$AS189=""),"",IF(AP$8&lt;$AQ189,"IKS",IF(AP$8&lt;$AS189,IF(AP$8=$AR189,"Bascule","Double run"),"ROKS"))))))</f>
        <v/>
      </c>
      <c r="AQ189" s="0" t="str">
        <f aca="false">IF($A189="","",INDEX(TblApplications[Mois prov (calc)],$A189))</f>
        <v/>
      </c>
      <c r="AR189" s="0" t="str">
        <f aca="false">IF($A189="","",IFERROR(DATE(YEAR(INDEX(TblApplications[Mois bascule],$A189)),MONTH(INDEX(TblApplications[Mois bascule],$A189)),1),""))</f>
        <v/>
      </c>
      <c r="AS189" s="0" t="str">
        <f aca="false">IF($A189="","",INDEX(TblApplications[Mois lib (calc)],$A189))</f>
        <v/>
      </c>
    </row>
    <row r="190" customFormat="false" ht="15" hidden="false" customHeight="false" outlineLevel="0" collapsed="false">
      <c r="A190" s="49" t="str">
        <f aca="false">IFERROR(MATCH(182,TblApplications[Rang frise],0),"")</f>
        <v/>
      </c>
      <c r="B190" s="50" t="str">
        <f aca="false">IF($A190="","",INDEX(TblApplications[ID],$A190))</f>
        <v/>
      </c>
      <c r="C190" s="50" t="str">
        <f aca="false">IF($A190="","",INDEX(TblApplications[Application],$A190))</f>
        <v/>
      </c>
      <c r="D190" s="50" t="str">
        <f aca="false">IF($A190="","",INDEX(TblApplications[Environnement],$A190))</f>
        <v/>
      </c>
      <c r="E190" s="50" t="str">
        <f aca="false">IF($A190="","",INDEX(TblApplications[Couloir],$A190))</f>
        <v/>
      </c>
      <c r="F190" s="50" t="str">
        <f aca="false">IF($A190="","",INDEX(TblApplications[Action],$A190))</f>
        <v/>
      </c>
      <c r="G190" s="51" t="str">
        <f aca="false">IF(OR($A190="",G$8=""),"",IF($F190="Migré","ROKS",IF($F190="À décommissionner",IF(G$8&lt;$AS190,"IKS","Décom."),IF(OR($AQ190="",$AS190=""),"",IF(G$8&lt;$AQ190,"IKS",IF(G$8&lt;$AS190,IF(G$8=$AR190,"Bascule","Double run"),"ROKS"))))))</f>
        <v/>
      </c>
      <c r="H190" s="51" t="str">
        <f aca="false">IF(OR($A190="",H$8=""),"",IF($F190="Migré","ROKS",IF($F190="À décommissionner",IF(H$8&lt;$AS190,"IKS","Décom."),IF(OR($AQ190="",$AS190=""),"",IF(H$8&lt;$AQ190,"IKS",IF(H$8&lt;$AS190,IF(H$8=$AR190,"Bascule","Double run"),"ROKS"))))))</f>
        <v/>
      </c>
      <c r="I190" s="51" t="str">
        <f aca="false">IF(OR($A190="",I$8=""),"",IF($F190="Migré","ROKS",IF($F190="À décommissionner",IF(I$8&lt;$AS190,"IKS","Décom."),IF(OR($AQ190="",$AS190=""),"",IF(I$8&lt;$AQ190,"IKS",IF(I$8&lt;$AS190,IF(I$8=$AR190,"Bascule","Double run"),"ROKS"))))))</f>
        <v/>
      </c>
      <c r="J190" s="51" t="str">
        <f aca="false">IF(OR($A190="",J$8=""),"",IF($F190="Migré","ROKS",IF($F190="À décommissionner",IF(J$8&lt;$AS190,"IKS","Décom."),IF(OR($AQ190="",$AS190=""),"",IF(J$8&lt;$AQ190,"IKS",IF(J$8&lt;$AS190,IF(J$8=$AR190,"Bascule","Double run"),"ROKS"))))))</f>
        <v/>
      </c>
      <c r="K190" s="51" t="str">
        <f aca="false">IF(OR($A190="",K$8=""),"",IF($F190="Migré","ROKS",IF($F190="À décommissionner",IF(K$8&lt;$AS190,"IKS","Décom."),IF(OR($AQ190="",$AS190=""),"",IF(K$8&lt;$AQ190,"IKS",IF(K$8&lt;$AS190,IF(K$8=$AR190,"Bascule","Double run"),"ROKS"))))))</f>
        <v/>
      </c>
      <c r="L190" s="51" t="str">
        <f aca="false">IF(OR($A190="",L$8=""),"",IF($F190="Migré","ROKS",IF($F190="À décommissionner",IF(L$8&lt;$AS190,"IKS","Décom."),IF(OR($AQ190="",$AS190=""),"",IF(L$8&lt;$AQ190,"IKS",IF(L$8&lt;$AS190,IF(L$8=$AR190,"Bascule","Double run"),"ROKS"))))))</f>
        <v/>
      </c>
      <c r="M190" s="51" t="str">
        <f aca="false">IF(OR($A190="",M$8=""),"",IF($F190="Migré","ROKS",IF($F190="À décommissionner",IF(M$8&lt;$AS190,"IKS","Décom."),IF(OR($AQ190="",$AS190=""),"",IF(M$8&lt;$AQ190,"IKS",IF(M$8&lt;$AS190,IF(M$8=$AR190,"Bascule","Double run"),"ROKS"))))))</f>
        <v/>
      </c>
      <c r="N190" s="51" t="str">
        <f aca="false">IF(OR($A190="",N$8=""),"",IF($F190="Migré","ROKS",IF($F190="À décommissionner",IF(N$8&lt;$AS190,"IKS","Décom."),IF(OR($AQ190="",$AS190=""),"",IF(N$8&lt;$AQ190,"IKS",IF(N$8&lt;$AS190,IF(N$8=$AR190,"Bascule","Double run"),"ROKS"))))))</f>
        <v/>
      </c>
      <c r="O190" s="51" t="str">
        <f aca="false">IF(OR($A190="",O$8=""),"",IF($F190="Migré","ROKS",IF($F190="À décommissionner",IF(O$8&lt;$AS190,"IKS","Décom."),IF(OR($AQ190="",$AS190=""),"",IF(O$8&lt;$AQ190,"IKS",IF(O$8&lt;$AS190,IF(O$8=$AR190,"Bascule","Double run"),"ROKS"))))))</f>
        <v/>
      </c>
      <c r="P190" s="51" t="str">
        <f aca="false">IF(OR($A190="",P$8=""),"",IF($F190="Migré","ROKS",IF($F190="À décommissionner",IF(P$8&lt;$AS190,"IKS","Décom."),IF(OR($AQ190="",$AS190=""),"",IF(P$8&lt;$AQ190,"IKS",IF(P$8&lt;$AS190,IF(P$8=$AR190,"Bascule","Double run"),"ROKS"))))))</f>
        <v/>
      </c>
      <c r="Q190" s="51" t="str">
        <f aca="false">IF(OR($A190="",Q$8=""),"",IF($F190="Migré","ROKS",IF($F190="À décommissionner",IF(Q$8&lt;$AS190,"IKS","Décom."),IF(OR($AQ190="",$AS190=""),"",IF(Q$8&lt;$AQ190,"IKS",IF(Q$8&lt;$AS190,IF(Q$8=$AR190,"Bascule","Double run"),"ROKS"))))))</f>
        <v/>
      </c>
      <c r="R190" s="51" t="str">
        <f aca="false">IF(OR($A190="",R$8=""),"",IF($F190="Migré","ROKS",IF($F190="À décommissionner",IF(R$8&lt;$AS190,"IKS","Décom."),IF(OR($AQ190="",$AS190=""),"",IF(R$8&lt;$AQ190,"IKS",IF(R$8&lt;$AS190,IF(R$8=$AR190,"Bascule","Double run"),"ROKS"))))))</f>
        <v/>
      </c>
      <c r="S190" s="51" t="str">
        <f aca="false">IF(OR($A190="",S$8=""),"",IF($F190="Migré","ROKS",IF($F190="À décommissionner",IF(S$8&lt;$AS190,"IKS","Décom."),IF(OR($AQ190="",$AS190=""),"",IF(S$8&lt;$AQ190,"IKS",IF(S$8&lt;$AS190,IF(S$8=$AR190,"Bascule","Double run"),"ROKS"))))))</f>
        <v/>
      </c>
      <c r="T190" s="51" t="str">
        <f aca="false">IF(OR($A190="",T$8=""),"",IF($F190="Migré","ROKS",IF($F190="À décommissionner",IF(T$8&lt;$AS190,"IKS","Décom."),IF(OR($AQ190="",$AS190=""),"",IF(T$8&lt;$AQ190,"IKS",IF(T$8&lt;$AS190,IF(T$8=$AR190,"Bascule","Double run"),"ROKS"))))))</f>
        <v/>
      </c>
      <c r="U190" s="51" t="str">
        <f aca="false">IF(OR($A190="",U$8=""),"",IF($F190="Migré","ROKS",IF($F190="À décommissionner",IF(U$8&lt;$AS190,"IKS","Décom."),IF(OR($AQ190="",$AS190=""),"",IF(U$8&lt;$AQ190,"IKS",IF(U$8&lt;$AS190,IF(U$8=$AR190,"Bascule","Double run"),"ROKS"))))))</f>
        <v/>
      </c>
      <c r="V190" s="51" t="str">
        <f aca="false">IF(OR($A190="",V$8=""),"",IF($F190="Migré","ROKS",IF($F190="À décommissionner",IF(V$8&lt;$AS190,"IKS","Décom."),IF(OR($AQ190="",$AS190=""),"",IF(V$8&lt;$AQ190,"IKS",IF(V$8&lt;$AS190,IF(V$8=$AR190,"Bascule","Double run"),"ROKS"))))))</f>
        <v/>
      </c>
      <c r="W190" s="51" t="str">
        <f aca="false">IF(OR($A190="",W$8=""),"",IF($F190="Migré","ROKS",IF($F190="À décommissionner",IF(W$8&lt;$AS190,"IKS","Décom."),IF(OR($AQ190="",$AS190=""),"",IF(W$8&lt;$AQ190,"IKS",IF(W$8&lt;$AS190,IF(W$8=$AR190,"Bascule","Double run"),"ROKS"))))))</f>
        <v/>
      </c>
      <c r="X190" s="51" t="str">
        <f aca="false">IF(OR($A190="",X$8=""),"",IF($F190="Migré","ROKS",IF($F190="À décommissionner",IF(X$8&lt;$AS190,"IKS","Décom."),IF(OR($AQ190="",$AS190=""),"",IF(X$8&lt;$AQ190,"IKS",IF(X$8&lt;$AS190,IF(X$8=$AR190,"Bascule","Double run"),"ROKS"))))))</f>
        <v/>
      </c>
      <c r="Y190" s="51" t="str">
        <f aca="false">IF(OR($A190="",Y$8=""),"",IF($F190="Migré","ROKS",IF($F190="À décommissionner",IF(Y$8&lt;$AS190,"IKS","Décom."),IF(OR($AQ190="",$AS190=""),"",IF(Y$8&lt;$AQ190,"IKS",IF(Y$8&lt;$AS190,IF(Y$8=$AR190,"Bascule","Double run"),"ROKS"))))))</f>
        <v/>
      </c>
      <c r="Z190" s="51" t="str">
        <f aca="false">IF(OR($A190="",Z$8=""),"",IF($F190="Migré","ROKS",IF($F190="À décommissionner",IF(Z$8&lt;$AS190,"IKS","Décom."),IF(OR($AQ190="",$AS190=""),"",IF(Z$8&lt;$AQ190,"IKS",IF(Z$8&lt;$AS190,IF(Z$8=$AR190,"Bascule","Double run"),"ROKS"))))))</f>
        <v/>
      </c>
      <c r="AA190" s="51" t="str">
        <f aca="false">IF(OR($A190="",AA$8=""),"",IF($F190="Migré","ROKS",IF($F190="À décommissionner",IF(AA$8&lt;$AS190,"IKS","Décom."),IF(OR($AQ190="",$AS190=""),"",IF(AA$8&lt;$AQ190,"IKS",IF(AA$8&lt;$AS190,IF(AA$8=$AR190,"Bascule","Double run"),"ROKS"))))))</f>
        <v/>
      </c>
      <c r="AB190" s="51" t="str">
        <f aca="false">IF(OR($A190="",AB$8=""),"",IF($F190="Migré","ROKS",IF($F190="À décommissionner",IF(AB$8&lt;$AS190,"IKS","Décom."),IF(OR($AQ190="",$AS190=""),"",IF(AB$8&lt;$AQ190,"IKS",IF(AB$8&lt;$AS190,IF(AB$8=$AR190,"Bascule","Double run"),"ROKS"))))))</f>
        <v/>
      </c>
      <c r="AC190" s="51" t="str">
        <f aca="false">IF(OR($A190="",AC$8=""),"",IF($F190="Migré","ROKS",IF($F190="À décommissionner",IF(AC$8&lt;$AS190,"IKS","Décom."),IF(OR($AQ190="",$AS190=""),"",IF(AC$8&lt;$AQ190,"IKS",IF(AC$8&lt;$AS190,IF(AC$8=$AR190,"Bascule","Double run"),"ROKS"))))))</f>
        <v/>
      </c>
      <c r="AD190" s="51" t="str">
        <f aca="false">IF(OR($A190="",AD$8=""),"",IF($F190="Migré","ROKS",IF($F190="À décommissionner",IF(AD$8&lt;$AS190,"IKS","Décom."),IF(OR($AQ190="",$AS190=""),"",IF(AD$8&lt;$AQ190,"IKS",IF(AD$8&lt;$AS190,IF(AD$8=$AR190,"Bascule","Double run"),"ROKS"))))))</f>
        <v/>
      </c>
      <c r="AE190" s="51" t="str">
        <f aca="false">IF(OR($A190="",AE$8=""),"",IF($F190="Migré","ROKS",IF($F190="À décommissionner",IF(AE$8&lt;$AS190,"IKS","Décom."),IF(OR($AQ190="",$AS190=""),"",IF(AE$8&lt;$AQ190,"IKS",IF(AE$8&lt;$AS190,IF(AE$8=$AR190,"Bascule","Double run"),"ROKS"))))))</f>
        <v/>
      </c>
      <c r="AF190" s="51" t="str">
        <f aca="false">IF(OR($A190="",AF$8=""),"",IF($F190="Migré","ROKS",IF($F190="À décommissionner",IF(AF$8&lt;$AS190,"IKS","Décom."),IF(OR($AQ190="",$AS190=""),"",IF(AF$8&lt;$AQ190,"IKS",IF(AF$8&lt;$AS190,IF(AF$8=$AR190,"Bascule","Double run"),"ROKS"))))))</f>
        <v/>
      </c>
      <c r="AG190" s="51" t="str">
        <f aca="false">IF(OR($A190="",AG$8=""),"",IF($F190="Migré","ROKS",IF($F190="À décommissionner",IF(AG$8&lt;$AS190,"IKS","Décom."),IF(OR($AQ190="",$AS190=""),"",IF(AG$8&lt;$AQ190,"IKS",IF(AG$8&lt;$AS190,IF(AG$8=$AR190,"Bascule","Double run"),"ROKS"))))))</f>
        <v/>
      </c>
      <c r="AH190" s="51" t="str">
        <f aca="false">IF(OR($A190="",AH$8=""),"",IF($F190="Migré","ROKS",IF($F190="À décommissionner",IF(AH$8&lt;$AS190,"IKS","Décom."),IF(OR($AQ190="",$AS190=""),"",IF(AH$8&lt;$AQ190,"IKS",IF(AH$8&lt;$AS190,IF(AH$8=$AR190,"Bascule","Double run"),"ROKS"))))))</f>
        <v/>
      </c>
      <c r="AI190" s="51" t="str">
        <f aca="false">IF(OR($A190="",AI$8=""),"",IF($F190="Migré","ROKS",IF($F190="À décommissionner",IF(AI$8&lt;$AS190,"IKS","Décom."),IF(OR($AQ190="",$AS190=""),"",IF(AI$8&lt;$AQ190,"IKS",IF(AI$8&lt;$AS190,IF(AI$8=$AR190,"Bascule","Double run"),"ROKS"))))))</f>
        <v/>
      </c>
      <c r="AJ190" s="51" t="str">
        <f aca="false">IF(OR($A190="",AJ$8=""),"",IF($F190="Migré","ROKS",IF($F190="À décommissionner",IF(AJ$8&lt;$AS190,"IKS","Décom."),IF(OR($AQ190="",$AS190=""),"",IF(AJ$8&lt;$AQ190,"IKS",IF(AJ$8&lt;$AS190,IF(AJ$8=$AR190,"Bascule","Double run"),"ROKS"))))))</f>
        <v/>
      </c>
      <c r="AK190" s="51" t="str">
        <f aca="false">IF(OR($A190="",AK$8=""),"",IF($F190="Migré","ROKS",IF($F190="À décommissionner",IF(AK$8&lt;$AS190,"IKS","Décom."),IF(OR($AQ190="",$AS190=""),"",IF(AK$8&lt;$AQ190,"IKS",IF(AK$8&lt;$AS190,IF(AK$8=$AR190,"Bascule","Double run"),"ROKS"))))))</f>
        <v/>
      </c>
      <c r="AL190" s="51" t="str">
        <f aca="false">IF(OR($A190="",AL$8=""),"",IF($F190="Migré","ROKS",IF($F190="À décommissionner",IF(AL$8&lt;$AS190,"IKS","Décom."),IF(OR($AQ190="",$AS190=""),"",IF(AL$8&lt;$AQ190,"IKS",IF(AL$8&lt;$AS190,IF(AL$8=$AR190,"Bascule","Double run"),"ROKS"))))))</f>
        <v/>
      </c>
      <c r="AM190" s="51" t="str">
        <f aca="false">IF(OR($A190="",AM$8=""),"",IF($F190="Migré","ROKS",IF($F190="À décommissionner",IF(AM$8&lt;$AS190,"IKS","Décom."),IF(OR($AQ190="",$AS190=""),"",IF(AM$8&lt;$AQ190,"IKS",IF(AM$8&lt;$AS190,IF(AM$8=$AR190,"Bascule","Double run"),"ROKS"))))))</f>
        <v/>
      </c>
      <c r="AN190" s="51" t="str">
        <f aca="false">IF(OR($A190="",AN$8=""),"",IF($F190="Migré","ROKS",IF($F190="À décommissionner",IF(AN$8&lt;$AS190,"IKS","Décom."),IF(OR($AQ190="",$AS190=""),"",IF(AN$8&lt;$AQ190,"IKS",IF(AN$8&lt;$AS190,IF(AN$8=$AR190,"Bascule","Double run"),"ROKS"))))))</f>
        <v/>
      </c>
      <c r="AO190" s="51" t="str">
        <f aca="false">IF(OR($A190="",AO$8=""),"",IF($F190="Migré","ROKS",IF($F190="À décommissionner",IF(AO$8&lt;$AS190,"IKS","Décom."),IF(OR($AQ190="",$AS190=""),"",IF(AO$8&lt;$AQ190,"IKS",IF(AO$8&lt;$AS190,IF(AO$8=$AR190,"Bascule","Double run"),"ROKS"))))))</f>
        <v/>
      </c>
      <c r="AP190" s="51" t="str">
        <f aca="false">IF(OR($A190="",AP$8=""),"",IF($F190="Migré","ROKS",IF($F190="À décommissionner",IF(AP$8&lt;$AS190,"IKS","Décom."),IF(OR($AQ190="",$AS190=""),"",IF(AP$8&lt;$AQ190,"IKS",IF(AP$8&lt;$AS190,IF(AP$8=$AR190,"Bascule","Double run"),"ROKS"))))))</f>
        <v/>
      </c>
      <c r="AQ190" s="0" t="str">
        <f aca="false">IF($A190="","",INDEX(TblApplications[Mois prov (calc)],$A190))</f>
        <v/>
      </c>
      <c r="AR190" s="0" t="str">
        <f aca="false">IF($A190="","",IFERROR(DATE(YEAR(INDEX(TblApplications[Mois bascule],$A190)),MONTH(INDEX(TblApplications[Mois bascule],$A190)),1),""))</f>
        <v/>
      </c>
      <c r="AS190" s="0" t="str">
        <f aca="false">IF($A190="","",INDEX(TblApplications[Mois lib (calc)],$A190))</f>
        <v/>
      </c>
    </row>
    <row r="191" customFormat="false" ht="15" hidden="false" customHeight="false" outlineLevel="0" collapsed="false">
      <c r="A191" s="49" t="str">
        <f aca="false">IFERROR(MATCH(183,TblApplications[Rang frise],0),"")</f>
        <v/>
      </c>
      <c r="B191" s="50" t="str">
        <f aca="false">IF($A191="","",INDEX(TblApplications[ID],$A191))</f>
        <v/>
      </c>
      <c r="C191" s="50" t="str">
        <f aca="false">IF($A191="","",INDEX(TblApplications[Application],$A191))</f>
        <v/>
      </c>
      <c r="D191" s="50" t="str">
        <f aca="false">IF($A191="","",INDEX(TblApplications[Environnement],$A191))</f>
        <v/>
      </c>
      <c r="E191" s="50" t="str">
        <f aca="false">IF($A191="","",INDEX(TblApplications[Couloir],$A191))</f>
        <v/>
      </c>
      <c r="F191" s="50" t="str">
        <f aca="false">IF($A191="","",INDEX(TblApplications[Action],$A191))</f>
        <v/>
      </c>
      <c r="G191" s="51" t="str">
        <f aca="false">IF(OR($A191="",G$8=""),"",IF($F191="Migré","ROKS",IF($F191="À décommissionner",IF(G$8&lt;$AS191,"IKS","Décom."),IF(OR($AQ191="",$AS191=""),"",IF(G$8&lt;$AQ191,"IKS",IF(G$8&lt;$AS191,IF(G$8=$AR191,"Bascule","Double run"),"ROKS"))))))</f>
        <v/>
      </c>
      <c r="H191" s="51" t="str">
        <f aca="false">IF(OR($A191="",H$8=""),"",IF($F191="Migré","ROKS",IF($F191="À décommissionner",IF(H$8&lt;$AS191,"IKS","Décom."),IF(OR($AQ191="",$AS191=""),"",IF(H$8&lt;$AQ191,"IKS",IF(H$8&lt;$AS191,IF(H$8=$AR191,"Bascule","Double run"),"ROKS"))))))</f>
        <v/>
      </c>
      <c r="I191" s="51" t="str">
        <f aca="false">IF(OR($A191="",I$8=""),"",IF($F191="Migré","ROKS",IF($F191="À décommissionner",IF(I$8&lt;$AS191,"IKS","Décom."),IF(OR($AQ191="",$AS191=""),"",IF(I$8&lt;$AQ191,"IKS",IF(I$8&lt;$AS191,IF(I$8=$AR191,"Bascule","Double run"),"ROKS"))))))</f>
        <v/>
      </c>
      <c r="J191" s="51" t="str">
        <f aca="false">IF(OR($A191="",J$8=""),"",IF($F191="Migré","ROKS",IF($F191="À décommissionner",IF(J$8&lt;$AS191,"IKS","Décom."),IF(OR($AQ191="",$AS191=""),"",IF(J$8&lt;$AQ191,"IKS",IF(J$8&lt;$AS191,IF(J$8=$AR191,"Bascule","Double run"),"ROKS"))))))</f>
        <v/>
      </c>
      <c r="K191" s="51" t="str">
        <f aca="false">IF(OR($A191="",K$8=""),"",IF($F191="Migré","ROKS",IF($F191="À décommissionner",IF(K$8&lt;$AS191,"IKS","Décom."),IF(OR($AQ191="",$AS191=""),"",IF(K$8&lt;$AQ191,"IKS",IF(K$8&lt;$AS191,IF(K$8=$AR191,"Bascule","Double run"),"ROKS"))))))</f>
        <v/>
      </c>
      <c r="L191" s="51" t="str">
        <f aca="false">IF(OR($A191="",L$8=""),"",IF($F191="Migré","ROKS",IF($F191="À décommissionner",IF(L$8&lt;$AS191,"IKS","Décom."),IF(OR($AQ191="",$AS191=""),"",IF(L$8&lt;$AQ191,"IKS",IF(L$8&lt;$AS191,IF(L$8=$AR191,"Bascule","Double run"),"ROKS"))))))</f>
        <v/>
      </c>
      <c r="M191" s="51" t="str">
        <f aca="false">IF(OR($A191="",M$8=""),"",IF($F191="Migré","ROKS",IF($F191="À décommissionner",IF(M$8&lt;$AS191,"IKS","Décom."),IF(OR($AQ191="",$AS191=""),"",IF(M$8&lt;$AQ191,"IKS",IF(M$8&lt;$AS191,IF(M$8=$AR191,"Bascule","Double run"),"ROKS"))))))</f>
        <v/>
      </c>
      <c r="N191" s="51" t="str">
        <f aca="false">IF(OR($A191="",N$8=""),"",IF($F191="Migré","ROKS",IF($F191="À décommissionner",IF(N$8&lt;$AS191,"IKS","Décom."),IF(OR($AQ191="",$AS191=""),"",IF(N$8&lt;$AQ191,"IKS",IF(N$8&lt;$AS191,IF(N$8=$AR191,"Bascule","Double run"),"ROKS"))))))</f>
        <v/>
      </c>
      <c r="O191" s="51" t="str">
        <f aca="false">IF(OR($A191="",O$8=""),"",IF($F191="Migré","ROKS",IF($F191="À décommissionner",IF(O$8&lt;$AS191,"IKS","Décom."),IF(OR($AQ191="",$AS191=""),"",IF(O$8&lt;$AQ191,"IKS",IF(O$8&lt;$AS191,IF(O$8=$AR191,"Bascule","Double run"),"ROKS"))))))</f>
        <v/>
      </c>
      <c r="P191" s="51" t="str">
        <f aca="false">IF(OR($A191="",P$8=""),"",IF($F191="Migré","ROKS",IF($F191="À décommissionner",IF(P$8&lt;$AS191,"IKS","Décom."),IF(OR($AQ191="",$AS191=""),"",IF(P$8&lt;$AQ191,"IKS",IF(P$8&lt;$AS191,IF(P$8=$AR191,"Bascule","Double run"),"ROKS"))))))</f>
        <v/>
      </c>
      <c r="Q191" s="51" t="str">
        <f aca="false">IF(OR($A191="",Q$8=""),"",IF($F191="Migré","ROKS",IF($F191="À décommissionner",IF(Q$8&lt;$AS191,"IKS","Décom."),IF(OR($AQ191="",$AS191=""),"",IF(Q$8&lt;$AQ191,"IKS",IF(Q$8&lt;$AS191,IF(Q$8=$AR191,"Bascule","Double run"),"ROKS"))))))</f>
        <v/>
      </c>
      <c r="R191" s="51" t="str">
        <f aca="false">IF(OR($A191="",R$8=""),"",IF($F191="Migré","ROKS",IF($F191="À décommissionner",IF(R$8&lt;$AS191,"IKS","Décom."),IF(OR($AQ191="",$AS191=""),"",IF(R$8&lt;$AQ191,"IKS",IF(R$8&lt;$AS191,IF(R$8=$AR191,"Bascule","Double run"),"ROKS"))))))</f>
        <v/>
      </c>
      <c r="S191" s="51" t="str">
        <f aca="false">IF(OR($A191="",S$8=""),"",IF($F191="Migré","ROKS",IF($F191="À décommissionner",IF(S$8&lt;$AS191,"IKS","Décom."),IF(OR($AQ191="",$AS191=""),"",IF(S$8&lt;$AQ191,"IKS",IF(S$8&lt;$AS191,IF(S$8=$AR191,"Bascule","Double run"),"ROKS"))))))</f>
        <v/>
      </c>
      <c r="T191" s="51" t="str">
        <f aca="false">IF(OR($A191="",T$8=""),"",IF($F191="Migré","ROKS",IF($F191="À décommissionner",IF(T$8&lt;$AS191,"IKS","Décom."),IF(OR($AQ191="",$AS191=""),"",IF(T$8&lt;$AQ191,"IKS",IF(T$8&lt;$AS191,IF(T$8=$AR191,"Bascule","Double run"),"ROKS"))))))</f>
        <v/>
      </c>
      <c r="U191" s="51" t="str">
        <f aca="false">IF(OR($A191="",U$8=""),"",IF($F191="Migré","ROKS",IF($F191="À décommissionner",IF(U$8&lt;$AS191,"IKS","Décom."),IF(OR($AQ191="",$AS191=""),"",IF(U$8&lt;$AQ191,"IKS",IF(U$8&lt;$AS191,IF(U$8=$AR191,"Bascule","Double run"),"ROKS"))))))</f>
        <v/>
      </c>
      <c r="V191" s="51" t="str">
        <f aca="false">IF(OR($A191="",V$8=""),"",IF($F191="Migré","ROKS",IF($F191="À décommissionner",IF(V$8&lt;$AS191,"IKS","Décom."),IF(OR($AQ191="",$AS191=""),"",IF(V$8&lt;$AQ191,"IKS",IF(V$8&lt;$AS191,IF(V$8=$AR191,"Bascule","Double run"),"ROKS"))))))</f>
        <v/>
      </c>
      <c r="W191" s="51" t="str">
        <f aca="false">IF(OR($A191="",W$8=""),"",IF($F191="Migré","ROKS",IF($F191="À décommissionner",IF(W$8&lt;$AS191,"IKS","Décom."),IF(OR($AQ191="",$AS191=""),"",IF(W$8&lt;$AQ191,"IKS",IF(W$8&lt;$AS191,IF(W$8=$AR191,"Bascule","Double run"),"ROKS"))))))</f>
        <v/>
      </c>
      <c r="X191" s="51" t="str">
        <f aca="false">IF(OR($A191="",X$8=""),"",IF($F191="Migré","ROKS",IF($F191="À décommissionner",IF(X$8&lt;$AS191,"IKS","Décom."),IF(OR($AQ191="",$AS191=""),"",IF(X$8&lt;$AQ191,"IKS",IF(X$8&lt;$AS191,IF(X$8=$AR191,"Bascule","Double run"),"ROKS"))))))</f>
        <v/>
      </c>
      <c r="Y191" s="51" t="str">
        <f aca="false">IF(OR($A191="",Y$8=""),"",IF($F191="Migré","ROKS",IF($F191="À décommissionner",IF(Y$8&lt;$AS191,"IKS","Décom."),IF(OR($AQ191="",$AS191=""),"",IF(Y$8&lt;$AQ191,"IKS",IF(Y$8&lt;$AS191,IF(Y$8=$AR191,"Bascule","Double run"),"ROKS"))))))</f>
        <v/>
      </c>
      <c r="Z191" s="51" t="str">
        <f aca="false">IF(OR($A191="",Z$8=""),"",IF($F191="Migré","ROKS",IF($F191="À décommissionner",IF(Z$8&lt;$AS191,"IKS","Décom."),IF(OR($AQ191="",$AS191=""),"",IF(Z$8&lt;$AQ191,"IKS",IF(Z$8&lt;$AS191,IF(Z$8=$AR191,"Bascule","Double run"),"ROKS"))))))</f>
        <v/>
      </c>
      <c r="AA191" s="51" t="str">
        <f aca="false">IF(OR($A191="",AA$8=""),"",IF($F191="Migré","ROKS",IF($F191="À décommissionner",IF(AA$8&lt;$AS191,"IKS","Décom."),IF(OR($AQ191="",$AS191=""),"",IF(AA$8&lt;$AQ191,"IKS",IF(AA$8&lt;$AS191,IF(AA$8=$AR191,"Bascule","Double run"),"ROKS"))))))</f>
        <v/>
      </c>
      <c r="AB191" s="51" t="str">
        <f aca="false">IF(OR($A191="",AB$8=""),"",IF($F191="Migré","ROKS",IF($F191="À décommissionner",IF(AB$8&lt;$AS191,"IKS","Décom."),IF(OR($AQ191="",$AS191=""),"",IF(AB$8&lt;$AQ191,"IKS",IF(AB$8&lt;$AS191,IF(AB$8=$AR191,"Bascule","Double run"),"ROKS"))))))</f>
        <v/>
      </c>
      <c r="AC191" s="51" t="str">
        <f aca="false">IF(OR($A191="",AC$8=""),"",IF($F191="Migré","ROKS",IF($F191="À décommissionner",IF(AC$8&lt;$AS191,"IKS","Décom."),IF(OR($AQ191="",$AS191=""),"",IF(AC$8&lt;$AQ191,"IKS",IF(AC$8&lt;$AS191,IF(AC$8=$AR191,"Bascule","Double run"),"ROKS"))))))</f>
        <v/>
      </c>
      <c r="AD191" s="51" t="str">
        <f aca="false">IF(OR($A191="",AD$8=""),"",IF($F191="Migré","ROKS",IF($F191="À décommissionner",IF(AD$8&lt;$AS191,"IKS","Décom."),IF(OR($AQ191="",$AS191=""),"",IF(AD$8&lt;$AQ191,"IKS",IF(AD$8&lt;$AS191,IF(AD$8=$AR191,"Bascule","Double run"),"ROKS"))))))</f>
        <v/>
      </c>
      <c r="AE191" s="51" t="str">
        <f aca="false">IF(OR($A191="",AE$8=""),"",IF($F191="Migré","ROKS",IF($F191="À décommissionner",IF(AE$8&lt;$AS191,"IKS","Décom."),IF(OR($AQ191="",$AS191=""),"",IF(AE$8&lt;$AQ191,"IKS",IF(AE$8&lt;$AS191,IF(AE$8=$AR191,"Bascule","Double run"),"ROKS"))))))</f>
        <v/>
      </c>
      <c r="AF191" s="51" t="str">
        <f aca="false">IF(OR($A191="",AF$8=""),"",IF($F191="Migré","ROKS",IF($F191="À décommissionner",IF(AF$8&lt;$AS191,"IKS","Décom."),IF(OR($AQ191="",$AS191=""),"",IF(AF$8&lt;$AQ191,"IKS",IF(AF$8&lt;$AS191,IF(AF$8=$AR191,"Bascule","Double run"),"ROKS"))))))</f>
        <v/>
      </c>
      <c r="AG191" s="51" t="str">
        <f aca="false">IF(OR($A191="",AG$8=""),"",IF($F191="Migré","ROKS",IF($F191="À décommissionner",IF(AG$8&lt;$AS191,"IKS","Décom."),IF(OR($AQ191="",$AS191=""),"",IF(AG$8&lt;$AQ191,"IKS",IF(AG$8&lt;$AS191,IF(AG$8=$AR191,"Bascule","Double run"),"ROKS"))))))</f>
        <v/>
      </c>
      <c r="AH191" s="51" t="str">
        <f aca="false">IF(OR($A191="",AH$8=""),"",IF($F191="Migré","ROKS",IF($F191="À décommissionner",IF(AH$8&lt;$AS191,"IKS","Décom."),IF(OR($AQ191="",$AS191=""),"",IF(AH$8&lt;$AQ191,"IKS",IF(AH$8&lt;$AS191,IF(AH$8=$AR191,"Bascule","Double run"),"ROKS"))))))</f>
        <v/>
      </c>
      <c r="AI191" s="51" t="str">
        <f aca="false">IF(OR($A191="",AI$8=""),"",IF($F191="Migré","ROKS",IF($F191="À décommissionner",IF(AI$8&lt;$AS191,"IKS","Décom."),IF(OR($AQ191="",$AS191=""),"",IF(AI$8&lt;$AQ191,"IKS",IF(AI$8&lt;$AS191,IF(AI$8=$AR191,"Bascule","Double run"),"ROKS"))))))</f>
        <v/>
      </c>
      <c r="AJ191" s="51" t="str">
        <f aca="false">IF(OR($A191="",AJ$8=""),"",IF($F191="Migré","ROKS",IF($F191="À décommissionner",IF(AJ$8&lt;$AS191,"IKS","Décom."),IF(OR($AQ191="",$AS191=""),"",IF(AJ$8&lt;$AQ191,"IKS",IF(AJ$8&lt;$AS191,IF(AJ$8=$AR191,"Bascule","Double run"),"ROKS"))))))</f>
        <v/>
      </c>
      <c r="AK191" s="51" t="str">
        <f aca="false">IF(OR($A191="",AK$8=""),"",IF($F191="Migré","ROKS",IF($F191="À décommissionner",IF(AK$8&lt;$AS191,"IKS","Décom."),IF(OR($AQ191="",$AS191=""),"",IF(AK$8&lt;$AQ191,"IKS",IF(AK$8&lt;$AS191,IF(AK$8=$AR191,"Bascule","Double run"),"ROKS"))))))</f>
        <v/>
      </c>
      <c r="AL191" s="51" t="str">
        <f aca="false">IF(OR($A191="",AL$8=""),"",IF($F191="Migré","ROKS",IF($F191="À décommissionner",IF(AL$8&lt;$AS191,"IKS","Décom."),IF(OR($AQ191="",$AS191=""),"",IF(AL$8&lt;$AQ191,"IKS",IF(AL$8&lt;$AS191,IF(AL$8=$AR191,"Bascule","Double run"),"ROKS"))))))</f>
        <v/>
      </c>
      <c r="AM191" s="51" t="str">
        <f aca="false">IF(OR($A191="",AM$8=""),"",IF($F191="Migré","ROKS",IF($F191="À décommissionner",IF(AM$8&lt;$AS191,"IKS","Décom."),IF(OR($AQ191="",$AS191=""),"",IF(AM$8&lt;$AQ191,"IKS",IF(AM$8&lt;$AS191,IF(AM$8=$AR191,"Bascule","Double run"),"ROKS"))))))</f>
        <v/>
      </c>
      <c r="AN191" s="51" t="str">
        <f aca="false">IF(OR($A191="",AN$8=""),"",IF($F191="Migré","ROKS",IF($F191="À décommissionner",IF(AN$8&lt;$AS191,"IKS","Décom."),IF(OR($AQ191="",$AS191=""),"",IF(AN$8&lt;$AQ191,"IKS",IF(AN$8&lt;$AS191,IF(AN$8=$AR191,"Bascule","Double run"),"ROKS"))))))</f>
        <v/>
      </c>
      <c r="AO191" s="51" t="str">
        <f aca="false">IF(OR($A191="",AO$8=""),"",IF($F191="Migré","ROKS",IF($F191="À décommissionner",IF(AO$8&lt;$AS191,"IKS","Décom."),IF(OR($AQ191="",$AS191=""),"",IF(AO$8&lt;$AQ191,"IKS",IF(AO$8&lt;$AS191,IF(AO$8=$AR191,"Bascule","Double run"),"ROKS"))))))</f>
        <v/>
      </c>
      <c r="AP191" s="51" t="str">
        <f aca="false">IF(OR($A191="",AP$8=""),"",IF($F191="Migré","ROKS",IF($F191="À décommissionner",IF(AP$8&lt;$AS191,"IKS","Décom."),IF(OR($AQ191="",$AS191=""),"",IF(AP$8&lt;$AQ191,"IKS",IF(AP$8&lt;$AS191,IF(AP$8=$AR191,"Bascule","Double run"),"ROKS"))))))</f>
        <v/>
      </c>
      <c r="AQ191" s="0" t="str">
        <f aca="false">IF($A191="","",INDEX(TblApplications[Mois prov (calc)],$A191))</f>
        <v/>
      </c>
      <c r="AR191" s="0" t="str">
        <f aca="false">IF($A191="","",IFERROR(DATE(YEAR(INDEX(TblApplications[Mois bascule],$A191)),MONTH(INDEX(TblApplications[Mois bascule],$A191)),1),""))</f>
        <v/>
      </c>
      <c r="AS191" s="0" t="str">
        <f aca="false">IF($A191="","",INDEX(TblApplications[Mois lib (calc)],$A191))</f>
        <v/>
      </c>
    </row>
    <row r="192" customFormat="false" ht="15" hidden="false" customHeight="false" outlineLevel="0" collapsed="false">
      <c r="A192" s="49" t="str">
        <f aca="false">IFERROR(MATCH(184,TblApplications[Rang frise],0),"")</f>
        <v/>
      </c>
      <c r="B192" s="50" t="str">
        <f aca="false">IF($A192="","",INDEX(TblApplications[ID],$A192))</f>
        <v/>
      </c>
      <c r="C192" s="50" t="str">
        <f aca="false">IF($A192="","",INDEX(TblApplications[Application],$A192))</f>
        <v/>
      </c>
      <c r="D192" s="50" t="str">
        <f aca="false">IF($A192="","",INDEX(TblApplications[Environnement],$A192))</f>
        <v/>
      </c>
      <c r="E192" s="50" t="str">
        <f aca="false">IF($A192="","",INDEX(TblApplications[Couloir],$A192))</f>
        <v/>
      </c>
      <c r="F192" s="50" t="str">
        <f aca="false">IF($A192="","",INDEX(TblApplications[Action],$A192))</f>
        <v/>
      </c>
      <c r="G192" s="51" t="str">
        <f aca="false">IF(OR($A192="",G$8=""),"",IF($F192="Migré","ROKS",IF($F192="À décommissionner",IF(G$8&lt;$AS192,"IKS","Décom."),IF(OR($AQ192="",$AS192=""),"",IF(G$8&lt;$AQ192,"IKS",IF(G$8&lt;$AS192,IF(G$8=$AR192,"Bascule","Double run"),"ROKS"))))))</f>
        <v/>
      </c>
      <c r="H192" s="51" t="str">
        <f aca="false">IF(OR($A192="",H$8=""),"",IF($F192="Migré","ROKS",IF($F192="À décommissionner",IF(H$8&lt;$AS192,"IKS","Décom."),IF(OR($AQ192="",$AS192=""),"",IF(H$8&lt;$AQ192,"IKS",IF(H$8&lt;$AS192,IF(H$8=$AR192,"Bascule","Double run"),"ROKS"))))))</f>
        <v/>
      </c>
      <c r="I192" s="51" t="str">
        <f aca="false">IF(OR($A192="",I$8=""),"",IF($F192="Migré","ROKS",IF($F192="À décommissionner",IF(I$8&lt;$AS192,"IKS","Décom."),IF(OR($AQ192="",$AS192=""),"",IF(I$8&lt;$AQ192,"IKS",IF(I$8&lt;$AS192,IF(I$8=$AR192,"Bascule","Double run"),"ROKS"))))))</f>
        <v/>
      </c>
      <c r="J192" s="51" t="str">
        <f aca="false">IF(OR($A192="",J$8=""),"",IF($F192="Migré","ROKS",IF($F192="À décommissionner",IF(J$8&lt;$AS192,"IKS","Décom."),IF(OR($AQ192="",$AS192=""),"",IF(J$8&lt;$AQ192,"IKS",IF(J$8&lt;$AS192,IF(J$8=$AR192,"Bascule","Double run"),"ROKS"))))))</f>
        <v/>
      </c>
      <c r="K192" s="51" t="str">
        <f aca="false">IF(OR($A192="",K$8=""),"",IF($F192="Migré","ROKS",IF($F192="À décommissionner",IF(K$8&lt;$AS192,"IKS","Décom."),IF(OR($AQ192="",$AS192=""),"",IF(K$8&lt;$AQ192,"IKS",IF(K$8&lt;$AS192,IF(K$8=$AR192,"Bascule","Double run"),"ROKS"))))))</f>
        <v/>
      </c>
      <c r="L192" s="51" t="str">
        <f aca="false">IF(OR($A192="",L$8=""),"",IF($F192="Migré","ROKS",IF($F192="À décommissionner",IF(L$8&lt;$AS192,"IKS","Décom."),IF(OR($AQ192="",$AS192=""),"",IF(L$8&lt;$AQ192,"IKS",IF(L$8&lt;$AS192,IF(L$8=$AR192,"Bascule","Double run"),"ROKS"))))))</f>
        <v/>
      </c>
      <c r="M192" s="51" t="str">
        <f aca="false">IF(OR($A192="",M$8=""),"",IF($F192="Migré","ROKS",IF($F192="À décommissionner",IF(M$8&lt;$AS192,"IKS","Décom."),IF(OR($AQ192="",$AS192=""),"",IF(M$8&lt;$AQ192,"IKS",IF(M$8&lt;$AS192,IF(M$8=$AR192,"Bascule","Double run"),"ROKS"))))))</f>
        <v/>
      </c>
      <c r="N192" s="51" t="str">
        <f aca="false">IF(OR($A192="",N$8=""),"",IF($F192="Migré","ROKS",IF($F192="À décommissionner",IF(N$8&lt;$AS192,"IKS","Décom."),IF(OR($AQ192="",$AS192=""),"",IF(N$8&lt;$AQ192,"IKS",IF(N$8&lt;$AS192,IF(N$8=$AR192,"Bascule","Double run"),"ROKS"))))))</f>
        <v/>
      </c>
      <c r="O192" s="51" t="str">
        <f aca="false">IF(OR($A192="",O$8=""),"",IF($F192="Migré","ROKS",IF($F192="À décommissionner",IF(O$8&lt;$AS192,"IKS","Décom."),IF(OR($AQ192="",$AS192=""),"",IF(O$8&lt;$AQ192,"IKS",IF(O$8&lt;$AS192,IF(O$8=$AR192,"Bascule","Double run"),"ROKS"))))))</f>
        <v/>
      </c>
      <c r="P192" s="51" t="str">
        <f aca="false">IF(OR($A192="",P$8=""),"",IF($F192="Migré","ROKS",IF($F192="À décommissionner",IF(P$8&lt;$AS192,"IKS","Décom."),IF(OR($AQ192="",$AS192=""),"",IF(P$8&lt;$AQ192,"IKS",IF(P$8&lt;$AS192,IF(P$8=$AR192,"Bascule","Double run"),"ROKS"))))))</f>
        <v/>
      </c>
      <c r="Q192" s="51" t="str">
        <f aca="false">IF(OR($A192="",Q$8=""),"",IF($F192="Migré","ROKS",IF($F192="À décommissionner",IF(Q$8&lt;$AS192,"IKS","Décom."),IF(OR($AQ192="",$AS192=""),"",IF(Q$8&lt;$AQ192,"IKS",IF(Q$8&lt;$AS192,IF(Q$8=$AR192,"Bascule","Double run"),"ROKS"))))))</f>
        <v/>
      </c>
      <c r="R192" s="51" t="str">
        <f aca="false">IF(OR($A192="",R$8=""),"",IF($F192="Migré","ROKS",IF($F192="À décommissionner",IF(R$8&lt;$AS192,"IKS","Décom."),IF(OR($AQ192="",$AS192=""),"",IF(R$8&lt;$AQ192,"IKS",IF(R$8&lt;$AS192,IF(R$8=$AR192,"Bascule","Double run"),"ROKS"))))))</f>
        <v/>
      </c>
      <c r="S192" s="51" t="str">
        <f aca="false">IF(OR($A192="",S$8=""),"",IF($F192="Migré","ROKS",IF($F192="À décommissionner",IF(S$8&lt;$AS192,"IKS","Décom."),IF(OR($AQ192="",$AS192=""),"",IF(S$8&lt;$AQ192,"IKS",IF(S$8&lt;$AS192,IF(S$8=$AR192,"Bascule","Double run"),"ROKS"))))))</f>
        <v/>
      </c>
      <c r="T192" s="51" t="str">
        <f aca="false">IF(OR($A192="",T$8=""),"",IF($F192="Migré","ROKS",IF($F192="À décommissionner",IF(T$8&lt;$AS192,"IKS","Décom."),IF(OR($AQ192="",$AS192=""),"",IF(T$8&lt;$AQ192,"IKS",IF(T$8&lt;$AS192,IF(T$8=$AR192,"Bascule","Double run"),"ROKS"))))))</f>
        <v/>
      </c>
      <c r="U192" s="51" t="str">
        <f aca="false">IF(OR($A192="",U$8=""),"",IF($F192="Migré","ROKS",IF($F192="À décommissionner",IF(U$8&lt;$AS192,"IKS","Décom."),IF(OR($AQ192="",$AS192=""),"",IF(U$8&lt;$AQ192,"IKS",IF(U$8&lt;$AS192,IF(U$8=$AR192,"Bascule","Double run"),"ROKS"))))))</f>
        <v/>
      </c>
      <c r="V192" s="51" t="str">
        <f aca="false">IF(OR($A192="",V$8=""),"",IF($F192="Migré","ROKS",IF($F192="À décommissionner",IF(V$8&lt;$AS192,"IKS","Décom."),IF(OR($AQ192="",$AS192=""),"",IF(V$8&lt;$AQ192,"IKS",IF(V$8&lt;$AS192,IF(V$8=$AR192,"Bascule","Double run"),"ROKS"))))))</f>
        <v/>
      </c>
      <c r="W192" s="51" t="str">
        <f aca="false">IF(OR($A192="",W$8=""),"",IF($F192="Migré","ROKS",IF($F192="À décommissionner",IF(W$8&lt;$AS192,"IKS","Décom."),IF(OR($AQ192="",$AS192=""),"",IF(W$8&lt;$AQ192,"IKS",IF(W$8&lt;$AS192,IF(W$8=$AR192,"Bascule","Double run"),"ROKS"))))))</f>
        <v/>
      </c>
      <c r="X192" s="51" t="str">
        <f aca="false">IF(OR($A192="",X$8=""),"",IF($F192="Migré","ROKS",IF($F192="À décommissionner",IF(X$8&lt;$AS192,"IKS","Décom."),IF(OR($AQ192="",$AS192=""),"",IF(X$8&lt;$AQ192,"IKS",IF(X$8&lt;$AS192,IF(X$8=$AR192,"Bascule","Double run"),"ROKS"))))))</f>
        <v/>
      </c>
      <c r="Y192" s="51" t="str">
        <f aca="false">IF(OR($A192="",Y$8=""),"",IF($F192="Migré","ROKS",IF($F192="À décommissionner",IF(Y$8&lt;$AS192,"IKS","Décom."),IF(OR($AQ192="",$AS192=""),"",IF(Y$8&lt;$AQ192,"IKS",IF(Y$8&lt;$AS192,IF(Y$8=$AR192,"Bascule","Double run"),"ROKS"))))))</f>
        <v/>
      </c>
      <c r="Z192" s="51" t="str">
        <f aca="false">IF(OR($A192="",Z$8=""),"",IF($F192="Migré","ROKS",IF($F192="À décommissionner",IF(Z$8&lt;$AS192,"IKS","Décom."),IF(OR($AQ192="",$AS192=""),"",IF(Z$8&lt;$AQ192,"IKS",IF(Z$8&lt;$AS192,IF(Z$8=$AR192,"Bascule","Double run"),"ROKS"))))))</f>
        <v/>
      </c>
      <c r="AA192" s="51" t="str">
        <f aca="false">IF(OR($A192="",AA$8=""),"",IF($F192="Migré","ROKS",IF($F192="À décommissionner",IF(AA$8&lt;$AS192,"IKS","Décom."),IF(OR($AQ192="",$AS192=""),"",IF(AA$8&lt;$AQ192,"IKS",IF(AA$8&lt;$AS192,IF(AA$8=$AR192,"Bascule","Double run"),"ROKS"))))))</f>
        <v/>
      </c>
      <c r="AB192" s="51" t="str">
        <f aca="false">IF(OR($A192="",AB$8=""),"",IF($F192="Migré","ROKS",IF($F192="À décommissionner",IF(AB$8&lt;$AS192,"IKS","Décom."),IF(OR($AQ192="",$AS192=""),"",IF(AB$8&lt;$AQ192,"IKS",IF(AB$8&lt;$AS192,IF(AB$8=$AR192,"Bascule","Double run"),"ROKS"))))))</f>
        <v/>
      </c>
      <c r="AC192" s="51" t="str">
        <f aca="false">IF(OR($A192="",AC$8=""),"",IF($F192="Migré","ROKS",IF($F192="À décommissionner",IF(AC$8&lt;$AS192,"IKS","Décom."),IF(OR($AQ192="",$AS192=""),"",IF(AC$8&lt;$AQ192,"IKS",IF(AC$8&lt;$AS192,IF(AC$8=$AR192,"Bascule","Double run"),"ROKS"))))))</f>
        <v/>
      </c>
      <c r="AD192" s="51" t="str">
        <f aca="false">IF(OR($A192="",AD$8=""),"",IF($F192="Migré","ROKS",IF($F192="À décommissionner",IF(AD$8&lt;$AS192,"IKS","Décom."),IF(OR($AQ192="",$AS192=""),"",IF(AD$8&lt;$AQ192,"IKS",IF(AD$8&lt;$AS192,IF(AD$8=$AR192,"Bascule","Double run"),"ROKS"))))))</f>
        <v/>
      </c>
      <c r="AE192" s="51" t="str">
        <f aca="false">IF(OR($A192="",AE$8=""),"",IF($F192="Migré","ROKS",IF($F192="À décommissionner",IF(AE$8&lt;$AS192,"IKS","Décom."),IF(OR($AQ192="",$AS192=""),"",IF(AE$8&lt;$AQ192,"IKS",IF(AE$8&lt;$AS192,IF(AE$8=$AR192,"Bascule","Double run"),"ROKS"))))))</f>
        <v/>
      </c>
      <c r="AF192" s="51" t="str">
        <f aca="false">IF(OR($A192="",AF$8=""),"",IF($F192="Migré","ROKS",IF($F192="À décommissionner",IF(AF$8&lt;$AS192,"IKS","Décom."),IF(OR($AQ192="",$AS192=""),"",IF(AF$8&lt;$AQ192,"IKS",IF(AF$8&lt;$AS192,IF(AF$8=$AR192,"Bascule","Double run"),"ROKS"))))))</f>
        <v/>
      </c>
      <c r="AG192" s="51" t="str">
        <f aca="false">IF(OR($A192="",AG$8=""),"",IF($F192="Migré","ROKS",IF($F192="À décommissionner",IF(AG$8&lt;$AS192,"IKS","Décom."),IF(OR($AQ192="",$AS192=""),"",IF(AG$8&lt;$AQ192,"IKS",IF(AG$8&lt;$AS192,IF(AG$8=$AR192,"Bascule","Double run"),"ROKS"))))))</f>
        <v/>
      </c>
      <c r="AH192" s="51" t="str">
        <f aca="false">IF(OR($A192="",AH$8=""),"",IF($F192="Migré","ROKS",IF($F192="À décommissionner",IF(AH$8&lt;$AS192,"IKS","Décom."),IF(OR($AQ192="",$AS192=""),"",IF(AH$8&lt;$AQ192,"IKS",IF(AH$8&lt;$AS192,IF(AH$8=$AR192,"Bascule","Double run"),"ROKS"))))))</f>
        <v/>
      </c>
      <c r="AI192" s="51" t="str">
        <f aca="false">IF(OR($A192="",AI$8=""),"",IF($F192="Migré","ROKS",IF($F192="À décommissionner",IF(AI$8&lt;$AS192,"IKS","Décom."),IF(OR($AQ192="",$AS192=""),"",IF(AI$8&lt;$AQ192,"IKS",IF(AI$8&lt;$AS192,IF(AI$8=$AR192,"Bascule","Double run"),"ROKS"))))))</f>
        <v/>
      </c>
      <c r="AJ192" s="51" t="str">
        <f aca="false">IF(OR($A192="",AJ$8=""),"",IF($F192="Migré","ROKS",IF($F192="À décommissionner",IF(AJ$8&lt;$AS192,"IKS","Décom."),IF(OR($AQ192="",$AS192=""),"",IF(AJ$8&lt;$AQ192,"IKS",IF(AJ$8&lt;$AS192,IF(AJ$8=$AR192,"Bascule","Double run"),"ROKS"))))))</f>
        <v/>
      </c>
      <c r="AK192" s="51" t="str">
        <f aca="false">IF(OR($A192="",AK$8=""),"",IF($F192="Migré","ROKS",IF($F192="À décommissionner",IF(AK$8&lt;$AS192,"IKS","Décom."),IF(OR($AQ192="",$AS192=""),"",IF(AK$8&lt;$AQ192,"IKS",IF(AK$8&lt;$AS192,IF(AK$8=$AR192,"Bascule","Double run"),"ROKS"))))))</f>
        <v/>
      </c>
      <c r="AL192" s="51" t="str">
        <f aca="false">IF(OR($A192="",AL$8=""),"",IF($F192="Migré","ROKS",IF($F192="À décommissionner",IF(AL$8&lt;$AS192,"IKS","Décom."),IF(OR($AQ192="",$AS192=""),"",IF(AL$8&lt;$AQ192,"IKS",IF(AL$8&lt;$AS192,IF(AL$8=$AR192,"Bascule","Double run"),"ROKS"))))))</f>
        <v/>
      </c>
      <c r="AM192" s="51" t="str">
        <f aca="false">IF(OR($A192="",AM$8=""),"",IF($F192="Migré","ROKS",IF($F192="À décommissionner",IF(AM$8&lt;$AS192,"IKS","Décom."),IF(OR($AQ192="",$AS192=""),"",IF(AM$8&lt;$AQ192,"IKS",IF(AM$8&lt;$AS192,IF(AM$8=$AR192,"Bascule","Double run"),"ROKS"))))))</f>
        <v/>
      </c>
      <c r="AN192" s="51" t="str">
        <f aca="false">IF(OR($A192="",AN$8=""),"",IF($F192="Migré","ROKS",IF($F192="À décommissionner",IF(AN$8&lt;$AS192,"IKS","Décom."),IF(OR($AQ192="",$AS192=""),"",IF(AN$8&lt;$AQ192,"IKS",IF(AN$8&lt;$AS192,IF(AN$8=$AR192,"Bascule","Double run"),"ROKS"))))))</f>
        <v/>
      </c>
      <c r="AO192" s="51" t="str">
        <f aca="false">IF(OR($A192="",AO$8=""),"",IF($F192="Migré","ROKS",IF($F192="À décommissionner",IF(AO$8&lt;$AS192,"IKS","Décom."),IF(OR($AQ192="",$AS192=""),"",IF(AO$8&lt;$AQ192,"IKS",IF(AO$8&lt;$AS192,IF(AO$8=$AR192,"Bascule","Double run"),"ROKS"))))))</f>
        <v/>
      </c>
      <c r="AP192" s="51" t="str">
        <f aca="false">IF(OR($A192="",AP$8=""),"",IF($F192="Migré","ROKS",IF($F192="À décommissionner",IF(AP$8&lt;$AS192,"IKS","Décom."),IF(OR($AQ192="",$AS192=""),"",IF(AP$8&lt;$AQ192,"IKS",IF(AP$8&lt;$AS192,IF(AP$8=$AR192,"Bascule","Double run"),"ROKS"))))))</f>
        <v/>
      </c>
      <c r="AQ192" s="0" t="str">
        <f aca="false">IF($A192="","",INDEX(TblApplications[Mois prov (calc)],$A192))</f>
        <v/>
      </c>
      <c r="AR192" s="0" t="str">
        <f aca="false">IF($A192="","",IFERROR(DATE(YEAR(INDEX(TblApplications[Mois bascule],$A192)),MONTH(INDEX(TblApplications[Mois bascule],$A192)),1),""))</f>
        <v/>
      </c>
      <c r="AS192" s="0" t="str">
        <f aca="false">IF($A192="","",INDEX(TblApplications[Mois lib (calc)],$A192))</f>
        <v/>
      </c>
    </row>
    <row r="193" customFormat="false" ht="15" hidden="false" customHeight="false" outlineLevel="0" collapsed="false">
      <c r="A193" s="49" t="str">
        <f aca="false">IFERROR(MATCH(185,TblApplications[Rang frise],0),"")</f>
        <v/>
      </c>
      <c r="B193" s="50" t="str">
        <f aca="false">IF($A193="","",INDEX(TblApplications[ID],$A193))</f>
        <v/>
      </c>
      <c r="C193" s="50" t="str">
        <f aca="false">IF($A193="","",INDEX(TblApplications[Application],$A193))</f>
        <v/>
      </c>
      <c r="D193" s="50" t="str">
        <f aca="false">IF($A193="","",INDEX(TblApplications[Environnement],$A193))</f>
        <v/>
      </c>
      <c r="E193" s="50" t="str">
        <f aca="false">IF($A193="","",INDEX(TblApplications[Couloir],$A193))</f>
        <v/>
      </c>
      <c r="F193" s="50" t="str">
        <f aca="false">IF($A193="","",INDEX(TblApplications[Action],$A193))</f>
        <v/>
      </c>
      <c r="G193" s="51" t="str">
        <f aca="false">IF(OR($A193="",G$8=""),"",IF($F193="Migré","ROKS",IF($F193="À décommissionner",IF(G$8&lt;$AS193,"IKS","Décom."),IF(OR($AQ193="",$AS193=""),"",IF(G$8&lt;$AQ193,"IKS",IF(G$8&lt;$AS193,IF(G$8=$AR193,"Bascule","Double run"),"ROKS"))))))</f>
        <v/>
      </c>
      <c r="H193" s="51" t="str">
        <f aca="false">IF(OR($A193="",H$8=""),"",IF($F193="Migré","ROKS",IF($F193="À décommissionner",IF(H$8&lt;$AS193,"IKS","Décom."),IF(OR($AQ193="",$AS193=""),"",IF(H$8&lt;$AQ193,"IKS",IF(H$8&lt;$AS193,IF(H$8=$AR193,"Bascule","Double run"),"ROKS"))))))</f>
        <v/>
      </c>
      <c r="I193" s="51" t="str">
        <f aca="false">IF(OR($A193="",I$8=""),"",IF($F193="Migré","ROKS",IF($F193="À décommissionner",IF(I$8&lt;$AS193,"IKS","Décom."),IF(OR($AQ193="",$AS193=""),"",IF(I$8&lt;$AQ193,"IKS",IF(I$8&lt;$AS193,IF(I$8=$AR193,"Bascule","Double run"),"ROKS"))))))</f>
        <v/>
      </c>
      <c r="J193" s="51" t="str">
        <f aca="false">IF(OR($A193="",J$8=""),"",IF($F193="Migré","ROKS",IF($F193="À décommissionner",IF(J$8&lt;$AS193,"IKS","Décom."),IF(OR($AQ193="",$AS193=""),"",IF(J$8&lt;$AQ193,"IKS",IF(J$8&lt;$AS193,IF(J$8=$AR193,"Bascule","Double run"),"ROKS"))))))</f>
        <v/>
      </c>
      <c r="K193" s="51" t="str">
        <f aca="false">IF(OR($A193="",K$8=""),"",IF($F193="Migré","ROKS",IF($F193="À décommissionner",IF(K$8&lt;$AS193,"IKS","Décom."),IF(OR($AQ193="",$AS193=""),"",IF(K$8&lt;$AQ193,"IKS",IF(K$8&lt;$AS193,IF(K$8=$AR193,"Bascule","Double run"),"ROKS"))))))</f>
        <v/>
      </c>
      <c r="L193" s="51" t="str">
        <f aca="false">IF(OR($A193="",L$8=""),"",IF($F193="Migré","ROKS",IF($F193="À décommissionner",IF(L$8&lt;$AS193,"IKS","Décom."),IF(OR($AQ193="",$AS193=""),"",IF(L$8&lt;$AQ193,"IKS",IF(L$8&lt;$AS193,IF(L$8=$AR193,"Bascule","Double run"),"ROKS"))))))</f>
        <v/>
      </c>
      <c r="M193" s="51" t="str">
        <f aca="false">IF(OR($A193="",M$8=""),"",IF($F193="Migré","ROKS",IF($F193="À décommissionner",IF(M$8&lt;$AS193,"IKS","Décom."),IF(OR($AQ193="",$AS193=""),"",IF(M$8&lt;$AQ193,"IKS",IF(M$8&lt;$AS193,IF(M$8=$AR193,"Bascule","Double run"),"ROKS"))))))</f>
        <v/>
      </c>
      <c r="N193" s="51" t="str">
        <f aca="false">IF(OR($A193="",N$8=""),"",IF($F193="Migré","ROKS",IF($F193="À décommissionner",IF(N$8&lt;$AS193,"IKS","Décom."),IF(OR($AQ193="",$AS193=""),"",IF(N$8&lt;$AQ193,"IKS",IF(N$8&lt;$AS193,IF(N$8=$AR193,"Bascule","Double run"),"ROKS"))))))</f>
        <v/>
      </c>
      <c r="O193" s="51" t="str">
        <f aca="false">IF(OR($A193="",O$8=""),"",IF($F193="Migré","ROKS",IF($F193="À décommissionner",IF(O$8&lt;$AS193,"IKS","Décom."),IF(OR($AQ193="",$AS193=""),"",IF(O$8&lt;$AQ193,"IKS",IF(O$8&lt;$AS193,IF(O$8=$AR193,"Bascule","Double run"),"ROKS"))))))</f>
        <v/>
      </c>
      <c r="P193" s="51" t="str">
        <f aca="false">IF(OR($A193="",P$8=""),"",IF($F193="Migré","ROKS",IF($F193="À décommissionner",IF(P$8&lt;$AS193,"IKS","Décom."),IF(OR($AQ193="",$AS193=""),"",IF(P$8&lt;$AQ193,"IKS",IF(P$8&lt;$AS193,IF(P$8=$AR193,"Bascule","Double run"),"ROKS"))))))</f>
        <v/>
      </c>
      <c r="Q193" s="51" t="str">
        <f aca="false">IF(OR($A193="",Q$8=""),"",IF($F193="Migré","ROKS",IF($F193="À décommissionner",IF(Q$8&lt;$AS193,"IKS","Décom."),IF(OR($AQ193="",$AS193=""),"",IF(Q$8&lt;$AQ193,"IKS",IF(Q$8&lt;$AS193,IF(Q$8=$AR193,"Bascule","Double run"),"ROKS"))))))</f>
        <v/>
      </c>
      <c r="R193" s="51" t="str">
        <f aca="false">IF(OR($A193="",R$8=""),"",IF($F193="Migré","ROKS",IF($F193="À décommissionner",IF(R$8&lt;$AS193,"IKS","Décom."),IF(OR($AQ193="",$AS193=""),"",IF(R$8&lt;$AQ193,"IKS",IF(R$8&lt;$AS193,IF(R$8=$AR193,"Bascule","Double run"),"ROKS"))))))</f>
        <v/>
      </c>
      <c r="S193" s="51" t="str">
        <f aca="false">IF(OR($A193="",S$8=""),"",IF($F193="Migré","ROKS",IF($F193="À décommissionner",IF(S$8&lt;$AS193,"IKS","Décom."),IF(OR($AQ193="",$AS193=""),"",IF(S$8&lt;$AQ193,"IKS",IF(S$8&lt;$AS193,IF(S$8=$AR193,"Bascule","Double run"),"ROKS"))))))</f>
        <v/>
      </c>
      <c r="T193" s="51" t="str">
        <f aca="false">IF(OR($A193="",T$8=""),"",IF($F193="Migré","ROKS",IF($F193="À décommissionner",IF(T$8&lt;$AS193,"IKS","Décom."),IF(OR($AQ193="",$AS193=""),"",IF(T$8&lt;$AQ193,"IKS",IF(T$8&lt;$AS193,IF(T$8=$AR193,"Bascule","Double run"),"ROKS"))))))</f>
        <v/>
      </c>
      <c r="U193" s="51" t="str">
        <f aca="false">IF(OR($A193="",U$8=""),"",IF($F193="Migré","ROKS",IF($F193="À décommissionner",IF(U$8&lt;$AS193,"IKS","Décom."),IF(OR($AQ193="",$AS193=""),"",IF(U$8&lt;$AQ193,"IKS",IF(U$8&lt;$AS193,IF(U$8=$AR193,"Bascule","Double run"),"ROKS"))))))</f>
        <v/>
      </c>
      <c r="V193" s="51" t="str">
        <f aca="false">IF(OR($A193="",V$8=""),"",IF($F193="Migré","ROKS",IF($F193="À décommissionner",IF(V$8&lt;$AS193,"IKS","Décom."),IF(OR($AQ193="",$AS193=""),"",IF(V$8&lt;$AQ193,"IKS",IF(V$8&lt;$AS193,IF(V$8=$AR193,"Bascule","Double run"),"ROKS"))))))</f>
        <v/>
      </c>
      <c r="W193" s="51" t="str">
        <f aca="false">IF(OR($A193="",W$8=""),"",IF($F193="Migré","ROKS",IF($F193="À décommissionner",IF(W$8&lt;$AS193,"IKS","Décom."),IF(OR($AQ193="",$AS193=""),"",IF(W$8&lt;$AQ193,"IKS",IF(W$8&lt;$AS193,IF(W$8=$AR193,"Bascule","Double run"),"ROKS"))))))</f>
        <v/>
      </c>
      <c r="X193" s="51" t="str">
        <f aca="false">IF(OR($A193="",X$8=""),"",IF($F193="Migré","ROKS",IF($F193="À décommissionner",IF(X$8&lt;$AS193,"IKS","Décom."),IF(OR($AQ193="",$AS193=""),"",IF(X$8&lt;$AQ193,"IKS",IF(X$8&lt;$AS193,IF(X$8=$AR193,"Bascule","Double run"),"ROKS"))))))</f>
        <v/>
      </c>
      <c r="Y193" s="51" t="str">
        <f aca="false">IF(OR($A193="",Y$8=""),"",IF($F193="Migré","ROKS",IF($F193="À décommissionner",IF(Y$8&lt;$AS193,"IKS","Décom."),IF(OR($AQ193="",$AS193=""),"",IF(Y$8&lt;$AQ193,"IKS",IF(Y$8&lt;$AS193,IF(Y$8=$AR193,"Bascule","Double run"),"ROKS"))))))</f>
        <v/>
      </c>
      <c r="Z193" s="51" t="str">
        <f aca="false">IF(OR($A193="",Z$8=""),"",IF($F193="Migré","ROKS",IF($F193="À décommissionner",IF(Z$8&lt;$AS193,"IKS","Décom."),IF(OR($AQ193="",$AS193=""),"",IF(Z$8&lt;$AQ193,"IKS",IF(Z$8&lt;$AS193,IF(Z$8=$AR193,"Bascule","Double run"),"ROKS"))))))</f>
        <v/>
      </c>
      <c r="AA193" s="51" t="str">
        <f aca="false">IF(OR($A193="",AA$8=""),"",IF($F193="Migré","ROKS",IF($F193="À décommissionner",IF(AA$8&lt;$AS193,"IKS","Décom."),IF(OR($AQ193="",$AS193=""),"",IF(AA$8&lt;$AQ193,"IKS",IF(AA$8&lt;$AS193,IF(AA$8=$AR193,"Bascule","Double run"),"ROKS"))))))</f>
        <v/>
      </c>
      <c r="AB193" s="51" t="str">
        <f aca="false">IF(OR($A193="",AB$8=""),"",IF($F193="Migré","ROKS",IF($F193="À décommissionner",IF(AB$8&lt;$AS193,"IKS","Décom."),IF(OR($AQ193="",$AS193=""),"",IF(AB$8&lt;$AQ193,"IKS",IF(AB$8&lt;$AS193,IF(AB$8=$AR193,"Bascule","Double run"),"ROKS"))))))</f>
        <v/>
      </c>
      <c r="AC193" s="51" t="str">
        <f aca="false">IF(OR($A193="",AC$8=""),"",IF($F193="Migré","ROKS",IF($F193="À décommissionner",IF(AC$8&lt;$AS193,"IKS","Décom."),IF(OR($AQ193="",$AS193=""),"",IF(AC$8&lt;$AQ193,"IKS",IF(AC$8&lt;$AS193,IF(AC$8=$AR193,"Bascule","Double run"),"ROKS"))))))</f>
        <v/>
      </c>
      <c r="AD193" s="51" t="str">
        <f aca="false">IF(OR($A193="",AD$8=""),"",IF($F193="Migré","ROKS",IF($F193="À décommissionner",IF(AD$8&lt;$AS193,"IKS","Décom."),IF(OR($AQ193="",$AS193=""),"",IF(AD$8&lt;$AQ193,"IKS",IF(AD$8&lt;$AS193,IF(AD$8=$AR193,"Bascule","Double run"),"ROKS"))))))</f>
        <v/>
      </c>
      <c r="AE193" s="51" t="str">
        <f aca="false">IF(OR($A193="",AE$8=""),"",IF($F193="Migré","ROKS",IF($F193="À décommissionner",IF(AE$8&lt;$AS193,"IKS","Décom."),IF(OR($AQ193="",$AS193=""),"",IF(AE$8&lt;$AQ193,"IKS",IF(AE$8&lt;$AS193,IF(AE$8=$AR193,"Bascule","Double run"),"ROKS"))))))</f>
        <v/>
      </c>
      <c r="AF193" s="51" t="str">
        <f aca="false">IF(OR($A193="",AF$8=""),"",IF($F193="Migré","ROKS",IF($F193="À décommissionner",IF(AF$8&lt;$AS193,"IKS","Décom."),IF(OR($AQ193="",$AS193=""),"",IF(AF$8&lt;$AQ193,"IKS",IF(AF$8&lt;$AS193,IF(AF$8=$AR193,"Bascule","Double run"),"ROKS"))))))</f>
        <v/>
      </c>
      <c r="AG193" s="51" t="str">
        <f aca="false">IF(OR($A193="",AG$8=""),"",IF($F193="Migré","ROKS",IF($F193="À décommissionner",IF(AG$8&lt;$AS193,"IKS","Décom."),IF(OR($AQ193="",$AS193=""),"",IF(AG$8&lt;$AQ193,"IKS",IF(AG$8&lt;$AS193,IF(AG$8=$AR193,"Bascule","Double run"),"ROKS"))))))</f>
        <v/>
      </c>
      <c r="AH193" s="51" t="str">
        <f aca="false">IF(OR($A193="",AH$8=""),"",IF($F193="Migré","ROKS",IF($F193="À décommissionner",IF(AH$8&lt;$AS193,"IKS","Décom."),IF(OR($AQ193="",$AS193=""),"",IF(AH$8&lt;$AQ193,"IKS",IF(AH$8&lt;$AS193,IF(AH$8=$AR193,"Bascule","Double run"),"ROKS"))))))</f>
        <v/>
      </c>
      <c r="AI193" s="51" t="str">
        <f aca="false">IF(OR($A193="",AI$8=""),"",IF($F193="Migré","ROKS",IF($F193="À décommissionner",IF(AI$8&lt;$AS193,"IKS","Décom."),IF(OR($AQ193="",$AS193=""),"",IF(AI$8&lt;$AQ193,"IKS",IF(AI$8&lt;$AS193,IF(AI$8=$AR193,"Bascule","Double run"),"ROKS"))))))</f>
        <v/>
      </c>
      <c r="AJ193" s="51" t="str">
        <f aca="false">IF(OR($A193="",AJ$8=""),"",IF($F193="Migré","ROKS",IF($F193="À décommissionner",IF(AJ$8&lt;$AS193,"IKS","Décom."),IF(OR($AQ193="",$AS193=""),"",IF(AJ$8&lt;$AQ193,"IKS",IF(AJ$8&lt;$AS193,IF(AJ$8=$AR193,"Bascule","Double run"),"ROKS"))))))</f>
        <v/>
      </c>
      <c r="AK193" s="51" t="str">
        <f aca="false">IF(OR($A193="",AK$8=""),"",IF($F193="Migré","ROKS",IF($F193="À décommissionner",IF(AK$8&lt;$AS193,"IKS","Décom."),IF(OR($AQ193="",$AS193=""),"",IF(AK$8&lt;$AQ193,"IKS",IF(AK$8&lt;$AS193,IF(AK$8=$AR193,"Bascule","Double run"),"ROKS"))))))</f>
        <v/>
      </c>
      <c r="AL193" s="51" t="str">
        <f aca="false">IF(OR($A193="",AL$8=""),"",IF($F193="Migré","ROKS",IF($F193="À décommissionner",IF(AL$8&lt;$AS193,"IKS","Décom."),IF(OR($AQ193="",$AS193=""),"",IF(AL$8&lt;$AQ193,"IKS",IF(AL$8&lt;$AS193,IF(AL$8=$AR193,"Bascule","Double run"),"ROKS"))))))</f>
        <v/>
      </c>
      <c r="AM193" s="51" t="str">
        <f aca="false">IF(OR($A193="",AM$8=""),"",IF($F193="Migré","ROKS",IF($F193="À décommissionner",IF(AM$8&lt;$AS193,"IKS","Décom."),IF(OR($AQ193="",$AS193=""),"",IF(AM$8&lt;$AQ193,"IKS",IF(AM$8&lt;$AS193,IF(AM$8=$AR193,"Bascule","Double run"),"ROKS"))))))</f>
        <v/>
      </c>
      <c r="AN193" s="51" t="str">
        <f aca="false">IF(OR($A193="",AN$8=""),"",IF($F193="Migré","ROKS",IF($F193="À décommissionner",IF(AN$8&lt;$AS193,"IKS","Décom."),IF(OR($AQ193="",$AS193=""),"",IF(AN$8&lt;$AQ193,"IKS",IF(AN$8&lt;$AS193,IF(AN$8=$AR193,"Bascule","Double run"),"ROKS"))))))</f>
        <v/>
      </c>
      <c r="AO193" s="51" t="str">
        <f aca="false">IF(OR($A193="",AO$8=""),"",IF($F193="Migré","ROKS",IF($F193="À décommissionner",IF(AO$8&lt;$AS193,"IKS","Décom."),IF(OR($AQ193="",$AS193=""),"",IF(AO$8&lt;$AQ193,"IKS",IF(AO$8&lt;$AS193,IF(AO$8=$AR193,"Bascule","Double run"),"ROKS"))))))</f>
        <v/>
      </c>
      <c r="AP193" s="51" t="str">
        <f aca="false">IF(OR($A193="",AP$8=""),"",IF($F193="Migré","ROKS",IF($F193="À décommissionner",IF(AP$8&lt;$AS193,"IKS","Décom."),IF(OR($AQ193="",$AS193=""),"",IF(AP$8&lt;$AQ193,"IKS",IF(AP$8&lt;$AS193,IF(AP$8=$AR193,"Bascule","Double run"),"ROKS"))))))</f>
        <v/>
      </c>
      <c r="AQ193" s="0" t="str">
        <f aca="false">IF($A193="","",INDEX(TblApplications[Mois prov (calc)],$A193))</f>
        <v/>
      </c>
      <c r="AR193" s="0" t="str">
        <f aca="false">IF($A193="","",IFERROR(DATE(YEAR(INDEX(TblApplications[Mois bascule],$A193)),MONTH(INDEX(TblApplications[Mois bascule],$A193)),1),""))</f>
        <v/>
      </c>
      <c r="AS193" s="0" t="str">
        <f aca="false">IF($A193="","",INDEX(TblApplications[Mois lib (calc)],$A193))</f>
        <v/>
      </c>
    </row>
    <row r="194" customFormat="false" ht="15" hidden="false" customHeight="false" outlineLevel="0" collapsed="false">
      <c r="A194" s="49" t="str">
        <f aca="false">IFERROR(MATCH(186,TblApplications[Rang frise],0),"")</f>
        <v/>
      </c>
      <c r="B194" s="50" t="str">
        <f aca="false">IF($A194="","",INDEX(TblApplications[ID],$A194))</f>
        <v/>
      </c>
      <c r="C194" s="50" t="str">
        <f aca="false">IF($A194="","",INDEX(TblApplications[Application],$A194))</f>
        <v/>
      </c>
      <c r="D194" s="50" t="str">
        <f aca="false">IF($A194="","",INDEX(TblApplications[Environnement],$A194))</f>
        <v/>
      </c>
      <c r="E194" s="50" t="str">
        <f aca="false">IF($A194="","",INDEX(TblApplications[Couloir],$A194))</f>
        <v/>
      </c>
      <c r="F194" s="50" t="str">
        <f aca="false">IF($A194="","",INDEX(TblApplications[Action],$A194))</f>
        <v/>
      </c>
      <c r="G194" s="51" t="str">
        <f aca="false">IF(OR($A194="",G$8=""),"",IF($F194="Migré","ROKS",IF($F194="À décommissionner",IF(G$8&lt;$AS194,"IKS","Décom."),IF(OR($AQ194="",$AS194=""),"",IF(G$8&lt;$AQ194,"IKS",IF(G$8&lt;$AS194,IF(G$8=$AR194,"Bascule","Double run"),"ROKS"))))))</f>
        <v/>
      </c>
      <c r="H194" s="51" t="str">
        <f aca="false">IF(OR($A194="",H$8=""),"",IF($F194="Migré","ROKS",IF($F194="À décommissionner",IF(H$8&lt;$AS194,"IKS","Décom."),IF(OR($AQ194="",$AS194=""),"",IF(H$8&lt;$AQ194,"IKS",IF(H$8&lt;$AS194,IF(H$8=$AR194,"Bascule","Double run"),"ROKS"))))))</f>
        <v/>
      </c>
      <c r="I194" s="51" t="str">
        <f aca="false">IF(OR($A194="",I$8=""),"",IF($F194="Migré","ROKS",IF($F194="À décommissionner",IF(I$8&lt;$AS194,"IKS","Décom."),IF(OR($AQ194="",$AS194=""),"",IF(I$8&lt;$AQ194,"IKS",IF(I$8&lt;$AS194,IF(I$8=$AR194,"Bascule","Double run"),"ROKS"))))))</f>
        <v/>
      </c>
      <c r="J194" s="51" t="str">
        <f aca="false">IF(OR($A194="",J$8=""),"",IF($F194="Migré","ROKS",IF($F194="À décommissionner",IF(J$8&lt;$AS194,"IKS","Décom."),IF(OR($AQ194="",$AS194=""),"",IF(J$8&lt;$AQ194,"IKS",IF(J$8&lt;$AS194,IF(J$8=$AR194,"Bascule","Double run"),"ROKS"))))))</f>
        <v/>
      </c>
      <c r="K194" s="51" t="str">
        <f aca="false">IF(OR($A194="",K$8=""),"",IF($F194="Migré","ROKS",IF($F194="À décommissionner",IF(K$8&lt;$AS194,"IKS","Décom."),IF(OR($AQ194="",$AS194=""),"",IF(K$8&lt;$AQ194,"IKS",IF(K$8&lt;$AS194,IF(K$8=$AR194,"Bascule","Double run"),"ROKS"))))))</f>
        <v/>
      </c>
      <c r="L194" s="51" t="str">
        <f aca="false">IF(OR($A194="",L$8=""),"",IF($F194="Migré","ROKS",IF($F194="À décommissionner",IF(L$8&lt;$AS194,"IKS","Décom."),IF(OR($AQ194="",$AS194=""),"",IF(L$8&lt;$AQ194,"IKS",IF(L$8&lt;$AS194,IF(L$8=$AR194,"Bascule","Double run"),"ROKS"))))))</f>
        <v/>
      </c>
      <c r="M194" s="51" t="str">
        <f aca="false">IF(OR($A194="",M$8=""),"",IF($F194="Migré","ROKS",IF($F194="À décommissionner",IF(M$8&lt;$AS194,"IKS","Décom."),IF(OR($AQ194="",$AS194=""),"",IF(M$8&lt;$AQ194,"IKS",IF(M$8&lt;$AS194,IF(M$8=$AR194,"Bascule","Double run"),"ROKS"))))))</f>
        <v/>
      </c>
      <c r="N194" s="51" t="str">
        <f aca="false">IF(OR($A194="",N$8=""),"",IF($F194="Migré","ROKS",IF($F194="À décommissionner",IF(N$8&lt;$AS194,"IKS","Décom."),IF(OR($AQ194="",$AS194=""),"",IF(N$8&lt;$AQ194,"IKS",IF(N$8&lt;$AS194,IF(N$8=$AR194,"Bascule","Double run"),"ROKS"))))))</f>
        <v/>
      </c>
      <c r="O194" s="51" t="str">
        <f aca="false">IF(OR($A194="",O$8=""),"",IF($F194="Migré","ROKS",IF($F194="À décommissionner",IF(O$8&lt;$AS194,"IKS","Décom."),IF(OR($AQ194="",$AS194=""),"",IF(O$8&lt;$AQ194,"IKS",IF(O$8&lt;$AS194,IF(O$8=$AR194,"Bascule","Double run"),"ROKS"))))))</f>
        <v/>
      </c>
      <c r="P194" s="51" t="str">
        <f aca="false">IF(OR($A194="",P$8=""),"",IF($F194="Migré","ROKS",IF($F194="À décommissionner",IF(P$8&lt;$AS194,"IKS","Décom."),IF(OR($AQ194="",$AS194=""),"",IF(P$8&lt;$AQ194,"IKS",IF(P$8&lt;$AS194,IF(P$8=$AR194,"Bascule","Double run"),"ROKS"))))))</f>
        <v/>
      </c>
      <c r="Q194" s="51" t="str">
        <f aca="false">IF(OR($A194="",Q$8=""),"",IF($F194="Migré","ROKS",IF($F194="À décommissionner",IF(Q$8&lt;$AS194,"IKS","Décom."),IF(OR($AQ194="",$AS194=""),"",IF(Q$8&lt;$AQ194,"IKS",IF(Q$8&lt;$AS194,IF(Q$8=$AR194,"Bascule","Double run"),"ROKS"))))))</f>
        <v/>
      </c>
      <c r="R194" s="51" t="str">
        <f aca="false">IF(OR($A194="",R$8=""),"",IF($F194="Migré","ROKS",IF($F194="À décommissionner",IF(R$8&lt;$AS194,"IKS","Décom."),IF(OR($AQ194="",$AS194=""),"",IF(R$8&lt;$AQ194,"IKS",IF(R$8&lt;$AS194,IF(R$8=$AR194,"Bascule","Double run"),"ROKS"))))))</f>
        <v/>
      </c>
      <c r="S194" s="51" t="str">
        <f aca="false">IF(OR($A194="",S$8=""),"",IF($F194="Migré","ROKS",IF($F194="À décommissionner",IF(S$8&lt;$AS194,"IKS","Décom."),IF(OR($AQ194="",$AS194=""),"",IF(S$8&lt;$AQ194,"IKS",IF(S$8&lt;$AS194,IF(S$8=$AR194,"Bascule","Double run"),"ROKS"))))))</f>
        <v/>
      </c>
      <c r="T194" s="51" t="str">
        <f aca="false">IF(OR($A194="",T$8=""),"",IF($F194="Migré","ROKS",IF($F194="À décommissionner",IF(T$8&lt;$AS194,"IKS","Décom."),IF(OR($AQ194="",$AS194=""),"",IF(T$8&lt;$AQ194,"IKS",IF(T$8&lt;$AS194,IF(T$8=$AR194,"Bascule","Double run"),"ROKS"))))))</f>
        <v/>
      </c>
      <c r="U194" s="51" t="str">
        <f aca="false">IF(OR($A194="",U$8=""),"",IF($F194="Migré","ROKS",IF($F194="À décommissionner",IF(U$8&lt;$AS194,"IKS","Décom."),IF(OR($AQ194="",$AS194=""),"",IF(U$8&lt;$AQ194,"IKS",IF(U$8&lt;$AS194,IF(U$8=$AR194,"Bascule","Double run"),"ROKS"))))))</f>
        <v/>
      </c>
      <c r="V194" s="51" t="str">
        <f aca="false">IF(OR($A194="",V$8=""),"",IF($F194="Migré","ROKS",IF($F194="À décommissionner",IF(V$8&lt;$AS194,"IKS","Décom."),IF(OR($AQ194="",$AS194=""),"",IF(V$8&lt;$AQ194,"IKS",IF(V$8&lt;$AS194,IF(V$8=$AR194,"Bascule","Double run"),"ROKS"))))))</f>
        <v/>
      </c>
      <c r="W194" s="51" t="str">
        <f aca="false">IF(OR($A194="",W$8=""),"",IF($F194="Migré","ROKS",IF($F194="À décommissionner",IF(W$8&lt;$AS194,"IKS","Décom."),IF(OR($AQ194="",$AS194=""),"",IF(W$8&lt;$AQ194,"IKS",IF(W$8&lt;$AS194,IF(W$8=$AR194,"Bascule","Double run"),"ROKS"))))))</f>
        <v/>
      </c>
      <c r="X194" s="51" t="str">
        <f aca="false">IF(OR($A194="",X$8=""),"",IF($F194="Migré","ROKS",IF($F194="À décommissionner",IF(X$8&lt;$AS194,"IKS","Décom."),IF(OR($AQ194="",$AS194=""),"",IF(X$8&lt;$AQ194,"IKS",IF(X$8&lt;$AS194,IF(X$8=$AR194,"Bascule","Double run"),"ROKS"))))))</f>
        <v/>
      </c>
      <c r="Y194" s="51" t="str">
        <f aca="false">IF(OR($A194="",Y$8=""),"",IF($F194="Migré","ROKS",IF($F194="À décommissionner",IF(Y$8&lt;$AS194,"IKS","Décom."),IF(OR($AQ194="",$AS194=""),"",IF(Y$8&lt;$AQ194,"IKS",IF(Y$8&lt;$AS194,IF(Y$8=$AR194,"Bascule","Double run"),"ROKS"))))))</f>
        <v/>
      </c>
      <c r="Z194" s="51" t="str">
        <f aca="false">IF(OR($A194="",Z$8=""),"",IF($F194="Migré","ROKS",IF($F194="À décommissionner",IF(Z$8&lt;$AS194,"IKS","Décom."),IF(OR($AQ194="",$AS194=""),"",IF(Z$8&lt;$AQ194,"IKS",IF(Z$8&lt;$AS194,IF(Z$8=$AR194,"Bascule","Double run"),"ROKS"))))))</f>
        <v/>
      </c>
      <c r="AA194" s="51" t="str">
        <f aca="false">IF(OR($A194="",AA$8=""),"",IF($F194="Migré","ROKS",IF($F194="À décommissionner",IF(AA$8&lt;$AS194,"IKS","Décom."),IF(OR($AQ194="",$AS194=""),"",IF(AA$8&lt;$AQ194,"IKS",IF(AA$8&lt;$AS194,IF(AA$8=$AR194,"Bascule","Double run"),"ROKS"))))))</f>
        <v/>
      </c>
      <c r="AB194" s="51" t="str">
        <f aca="false">IF(OR($A194="",AB$8=""),"",IF($F194="Migré","ROKS",IF($F194="À décommissionner",IF(AB$8&lt;$AS194,"IKS","Décom."),IF(OR($AQ194="",$AS194=""),"",IF(AB$8&lt;$AQ194,"IKS",IF(AB$8&lt;$AS194,IF(AB$8=$AR194,"Bascule","Double run"),"ROKS"))))))</f>
        <v/>
      </c>
      <c r="AC194" s="51" t="str">
        <f aca="false">IF(OR($A194="",AC$8=""),"",IF($F194="Migré","ROKS",IF($F194="À décommissionner",IF(AC$8&lt;$AS194,"IKS","Décom."),IF(OR($AQ194="",$AS194=""),"",IF(AC$8&lt;$AQ194,"IKS",IF(AC$8&lt;$AS194,IF(AC$8=$AR194,"Bascule","Double run"),"ROKS"))))))</f>
        <v/>
      </c>
      <c r="AD194" s="51" t="str">
        <f aca="false">IF(OR($A194="",AD$8=""),"",IF($F194="Migré","ROKS",IF($F194="À décommissionner",IF(AD$8&lt;$AS194,"IKS","Décom."),IF(OR($AQ194="",$AS194=""),"",IF(AD$8&lt;$AQ194,"IKS",IF(AD$8&lt;$AS194,IF(AD$8=$AR194,"Bascule","Double run"),"ROKS"))))))</f>
        <v/>
      </c>
      <c r="AE194" s="51" t="str">
        <f aca="false">IF(OR($A194="",AE$8=""),"",IF($F194="Migré","ROKS",IF($F194="À décommissionner",IF(AE$8&lt;$AS194,"IKS","Décom."),IF(OR($AQ194="",$AS194=""),"",IF(AE$8&lt;$AQ194,"IKS",IF(AE$8&lt;$AS194,IF(AE$8=$AR194,"Bascule","Double run"),"ROKS"))))))</f>
        <v/>
      </c>
      <c r="AF194" s="51" t="str">
        <f aca="false">IF(OR($A194="",AF$8=""),"",IF($F194="Migré","ROKS",IF($F194="À décommissionner",IF(AF$8&lt;$AS194,"IKS","Décom."),IF(OR($AQ194="",$AS194=""),"",IF(AF$8&lt;$AQ194,"IKS",IF(AF$8&lt;$AS194,IF(AF$8=$AR194,"Bascule","Double run"),"ROKS"))))))</f>
        <v/>
      </c>
      <c r="AG194" s="51" t="str">
        <f aca="false">IF(OR($A194="",AG$8=""),"",IF($F194="Migré","ROKS",IF($F194="À décommissionner",IF(AG$8&lt;$AS194,"IKS","Décom."),IF(OR($AQ194="",$AS194=""),"",IF(AG$8&lt;$AQ194,"IKS",IF(AG$8&lt;$AS194,IF(AG$8=$AR194,"Bascule","Double run"),"ROKS"))))))</f>
        <v/>
      </c>
      <c r="AH194" s="51" t="str">
        <f aca="false">IF(OR($A194="",AH$8=""),"",IF($F194="Migré","ROKS",IF($F194="À décommissionner",IF(AH$8&lt;$AS194,"IKS","Décom."),IF(OR($AQ194="",$AS194=""),"",IF(AH$8&lt;$AQ194,"IKS",IF(AH$8&lt;$AS194,IF(AH$8=$AR194,"Bascule","Double run"),"ROKS"))))))</f>
        <v/>
      </c>
      <c r="AI194" s="51" t="str">
        <f aca="false">IF(OR($A194="",AI$8=""),"",IF($F194="Migré","ROKS",IF($F194="À décommissionner",IF(AI$8&lt;$AS194,"IKS","Décom."),IF(OR($AQ194="",$AS194=""),"",IF(AI$8&lt;$AQ194,"IKS",IF(AI$8&lt;$AS194,IF(AI$8=$AR194,"Bascule","Double run"),"ROKS"))))))</f>
        <v/>
      </c>
      <c r="AJ194" s="51" t="str">
        <f aca="false">IF(OR($A194="",AJ$8=""),"",IF($F194="Migré","ROKS",IF($F194="À décommissionner",IF(AJ$8&lt;$AS194,"IKS","Décom."),IF(OR($AQ194="",$AS194=""),"",IF(AJ$8&lt;$AQ194,"IKS",IF(AJ$8&lt;$AS194,IF(AJ$8=$AR194,"Bascule","Double run"),"ROKS"))))))</f>
        <v/>
      </c>
      <c r="AK194" s="51" t="str">
        <f aca="false">IF(OR($A194="",AK$8=""),"",IF($F194="Migré","ROKS",IF($F194="À décommissionner",IF(AK$8&lt;$AS194,"IKS","Décom."),IF(OR($AQ194="",$AS194=""),"",IF(AK$8&lt;$AQ194,"IKS",IF(AK$8&lt;$AS194,IF(AK$8=$AR194,"Bascule","Double run"),"ROKS"))))))</f>
        <v/>
      </c>
      <c r="AL194" s="51" t="str">
        <f aca="false">IF(OR($A194="",AL$8=""),"",IF($F194="Migré","ROKS",IF($F194="À décommissionner",IF(AL$8&lt;$AS194,"IKS","Décom."),IF(OR($AQ194="",$AS194=""),"",IF(AL$8&lt;$AQ194,"IKS",IF(AL$8&lt;$AS194,IF(AL$8=$AR194,"Bascule","Double run"),"ROKS"))))))</f>
        <v/>
      </c>
      <c r="AM194" s="51" t="str">
        <f aca="false">IF(OR($A194="",AM$8=""),"",IF($F194="Migré","ROKS",IF($F194="À décommissionner",IF(AM$8&lt;$AS194,"IKS","Décom."),IF(OR($AQ194="",$AS194=""),"",IF(AM$8&lt;$AQ194,"IKS",IF(AM$8&lt;$AS194,IF(AM$8=$AR194,"Bascule","Double run"),"ROKS"))))))</f>
        <v/>
      </c>
      <c r="AN194" s="51" t="str">
        <f aca="false">IF(OR($A194="",AN$8=""),"",IF($F194="Migré","ROKS",IF($F194="À décommissionner",IF(AN$8&lt;$AS194,"IKS","Décom."),IF(OR($AQ194="",$AS194=""),"",IF(AN$8&lt;$AQ194,"IKS",IF(AN$8&lt;$AS194,IF(AN$8=$AR194,"Bascule","Double run"),"ROKS"))))))</f>
        <v/>
      </c>
      <c r="AO194" s="51" t="str">
        <f aca="false">IF(OR($A194="",AO$8=""),"",IF($F194="Migré","ROKS",IF($F194="À décommissionner",IF(AO$8&lt;$AS194,"IKS","Décom."),IF(OR($AQ194="",$AS194=""),"",IF(AO$8&lt;$AQ194,"IKS",IF(AO$8&lt;$AS194,IF(AO$8=$AR194,"Bascule","Double run"),"ROKS"))))))</f>
        <v/>
      </c>
      <c r="AP194" s="51" t="str">
        <f aca="false">IF(OR($A194="",AP$8=""),"",IF($F194="Migré","ROKS",IF($F194="À décommissionner",IF(AP$8&lt;$AS194,"IKS","Décom."),IF(OR($AQ194="",$AS194=""),"",IF(AP$8&lt;$AQ194,"IKS",IF(AP$8&lt;$AS194,IF(AP$8=$AR194,"Bascule","Double run"),"ROKS"))))))</f>
        <v/>
      </c>
      <c r="AQ194" s="0" t="str">
        <f aca="false">IF($A194="","",INDEX(TblApplications[Mois prov (calc)],$A194))</f>
        <v/>
      </c>
      <c r="AR194" s="0" t="str">
        <f aca="false">IF($A194="","",IFERROR(DATE(YEAR(INDEX(TblApplications[Mois bascule],$A194)),MONTH(INDEX(TblApplications[Mois bascule],$A194)),1),""))</f>
        <v/>
      </c>
      <c r="AS194" s="0" t="str">
        <f aca="false">IF($A194="","",INDEX(TblApplications[Mois lib (calc)],$A194))</f>
        <v/>
      </c>
    </row>
    <row r="195" customFormat="false" ht="15" hidden="false" customHeight="false" outlineLevel="0" collapsed="false">
      <c r="A195" s="49" t="str">
        <f aca="false">IFERROR(MATCH(187,TblApplications[Rang frise],0),"")</f>
        <v/>
      </c>
      <c r="B195" s="50" t="str">
        <f aca="false">IF($A195="","",INDEX(TblApplications[ID],$A195))</f>
        <v/>
      </c>
      <c r="C195" s="50" t="str">
        <f aca="false">IF($A195="","",INDEX(TblApplications[Application],$A195))</f>
        <v/>
      </c>
      <c r="D195" s="50" t="str">
        <f aca="false">IF($A195="","",INDEX(TblApplications[Environnement],$A195))</f>
        <v/>
      </c>
      <c r="E195" s="50" t="str">
        <f aca="false">IF($A195="","",INDEX(TblApplications[Couloir],$A195))</f>
        <v/>
      </c>
      <c r="F195" s="50" t="str">
        <f aca="false">IF($A195="","",INDEX(TblApplications[Action],$A195))</f>
        <v/>
      </c>
      <c r="G195" s="51" t="str">
        <f aca="false">IF(OR($A195="",G$8=""),"",IF($F195="Migré","ROKS",IF($F195="À décommissionner",IF(G$8&lt;$AS195,"IKS","Décom."),IF(OR($AQ195="",$AS195=""),"",IF(G$8&lt;$AQ195,"IKS",IF(G$8&lt;$AS195,IF(G$8=$AR195,"Bascule","Double run"),"ROKS"))))))</f>
        <v/>
      </c>
      <c r="H195" s="51" t="str">
        <f aca="false">IF(OR($A195="",H$8=""),"",IF($F195="Migré","ROKS",IF($F195="À décommissionner",IF(H$8&lt;$AS195,"IKS","Décom."),IF(OR($AQ195="",$AS195=""),"",IF(H$8&lt;$AQ195,"IKS",IF(H$8&lt;$AS195,IF(H$8=$AR195,"Bascule","Double run"),"ROKS"))))))</f>
        <v/>
      </c>
      <c r="I195" s="51" t="str">
        <f aca="false">IF(OR($A195="",I$8=""),"",IF($F195="Migré","ROKS",IF($F195="À décommissionner",IF(I$8&lt;$AS195,"IKS","Décom."),IF(OR($AQ195="",$AS195=""),"",IF(I$8&lt;$AQ195,"IKS",IF(I$8&lt;$AS195,IF(I$8=$AR195,"Bascule","Double run"),"ROKS"))))))</f>
        <v/>
      </c>
      <c r="J195" s="51" t="str">
        <f aca="false">IF(OR($A195="",J$8=""),"",IF($F195="Migré","ROKS",IF($F195="À décommissionner",IF(J$8&lt;$AS195,"IKS","Décom."),IF(OR($AQ195="",$AS195=""),"",IF(J$8&lt;$AQ195,"IKS",IF(J$8&lt;$AS195,IF(J$8=$AR195,"Bascule","Double run"),"ROKS"))))))</f>
        <v/>
      </c>
      <c r="K195" s="51" t="str">
        <f aca="false">IF(OR($A195="",K$8=""),"",IF($F195="Migré","ROKS",IF($F195="À décommissionner",IF(K$8&lt;$AS195,"IKS","Décom."),IF(OR($AQ195="",$AS195=""),"",IF(K$8&lt;$AQ195,"IKS",IF(K$8&lt;$AS195,IF(K$8=$AR195,"Bascule","Double run"),"ROKS"))))))</f>
        <v/>
      </c>
      <c r="L195" s="51" t="str">
        <f aca="false">IF(OR($A195="",L$8=""),"",IF($F195="Migré","ROKS",IF($F195="À décommissionner",IF(L$8&lt;$AS195,"IKS","Décom."),IF(OR($AQ195="",$AS195=""),"",IF(L$8&lt;$AQ195,"IKS",IF(L$8&lt;$AS195,IF(L$8=$AR195,"Bascule","Double run"),"ROKS"))))))</f>
        <v/>
      </c>
      <c r="M195" s="51" t="str">
        <f aca="false">IF(OR($A195="",M$8=""),"",IF($F195="Migré","ROKS",IF($F195="À décommissionner",IF(M$8&lt;$AS195,"IKS","Décom."),IF(OR($AQ195="",$AS195=""),"",IF(M$8&lt;$AQ195,"IKS",IF(M$8&lt;$AS195,IF(M$8=$AR195,"Bascule","Double run"),"ROKS"))))))</f>
        <v/>
      </c>
      <c r="N195" s="51" t="str">
        <f aca="false">IF(OR($A195="",N$8=""),"",IF($F195="Migré","ROKS",IF($F195="À décommissionner",IF(N$8&lt;$AS195,"IKS","Décom."),IF(OR($AQ195="",$AS195=""),"",IF(N$8&lt;$AQ195,"IKS",IF(N$8&lt;$AS195,IF(N$8=$AR195,"Bascule","Double run"),"ROKS"))))))</f>
        <v/>
      </c>
      <c r="O195" s="51" t="str">
        <f aca="false">IF(OR($A195="",O$8=""),"",IF($F195="Migré","ROKS",IF($F195="À décommissionner",IF(O$8&lt;$AS195,"IKS","Décom."),IF(OR($AQ195="",$AS195=""),"",IF(O$8&lt;$AQ195,"IKS",IF(O$8&lt;$AS195,IF(O$8=$AR195,"Bascule","Double run"),"ROKS"))))))</f>
        <v/>
      </c>
      <c r="P195" s="51" t="str">
        <f aca="false">IF(OR($A195="",P$8=""),"",IF($F195="Migré","ROKS",IF($F195="À décommissionner",IF(P$8&lt;$AS195,"IKS","Décom."),IF(OR($AQ195="",$AS195=""),"",IF(P$8&lt;$AQ195,"IKS",IF(P$8&lt;$AS195,IF(P$8=$AR195,"Bascule","Double run"),"ROKS"))))))</f>
        <v/>
      </c>
      <c r="Q195" s="51" t="str">
        <f aca="false">IF(OR($A195="",Q$8=""),"",IF($F195="Migré","ROKS",IF($F195="À décommissionner",IF(Q$8&lt;$AS195,"IKS","Décom."),IF(OR($AQ195="",$AS195=""),"",IF(Q$8&lt;$AQ195,"IKS",IF(Q$8&lt;$AS195,IF(Q$8=$AR195,"Bascule","Double run"),"ROKS"))))))</f>
        <v/>
      </c>
      <c r="R195" s="51" t="str">
        <f aca="false">IF(OR($A195="",R$8=""),"",IF($F195="Migré","ROKS",IF($F195="À décommissionner",IF(R$8&lt;$AS195,"IKS","Décom."),IF(OR($AQ195="",$AS195=""),"",IF(R$8&lt;$AQ195,"IKS",IF(R$8&lt;$AS195,IF(R$8=$AR195,"Bascule","Double run"),"ROKS"))))))</f>
        <v/>
      </c>
      <c r="S195" s="51" t="str">
        <f aca="false">IF(OR($A195="",S$8=""),"",IF($F195="Migré","ROKS",IF($F195="À décommissionner",IF(S$8&lt;$AS195,"IKS","Décom."),IF(OR($AQ195="",$AS195=""),"",IF(S$8&lt;$AQ195,"IKS",IF(S$8&lt;$AS195,IF(S$8=$AR195,"Bascule","Double run"),"ROKS"))))))</f>
        <v/>
      </c>
      <c r="T195" s="51" t="str">
        <f aca="false">IF(OR($A195="",T$8=""),"",IF($F195="Migré","ROKS",IF($F195="À décommissionner",IF(T$8&lt;$AS195,"IKS","Décom."),IF(OR($AQ195="",$AS195=""),"",IF(T$8&lt;$AQ195,"IKS",IF(T$8&lt;$AS195,IF(T$8=$AR195,"Bascule","Double run"),"ROKS"))))))</f>
        <v/>
      </c>
      <c r="U195" s="51" t="str">
        <f aca="false">IF(OR($A195="",U$8=""),"",IF($F195="Migré","ROKS",IF($F195="À décommissionner",IF(U$8&lt;$AS195,"IKS","Décom."),IF(OR($AQ195="",$AS195=""),"",IF(U$8&lt;$AQ195,"IKS",IF(U$8&lt;$AS195,IF(U$8=$AR195,"Bascule","Double run"),"ROKS"))))))</f>
        <v/>
      </c>
      <c r="V195" s="51" t="str">
        <f aca="false">IF(OR($A195="",V$8=""),"",IF($F195="Migré","ROKS",IF($F195="À décommissionner",IF(V$8&lt;$AS195,"IKS","Décom."),IF(OR($AQ195="",$AS195=""),"",IF(V$8&lt;$AQ195,"IKS",IF(V$8&lt;$AS195,IF(V$8=$AR195,"Bascule","Double run"),"ROKS"))))))</f>
        <v/>
      </c>
      <c r="W195" s="51" t="str">
        <f aca="false">IF(OR($A195="",W$8=""),"",IF($F195="Migré","ROKS",IF($F195="À décommissionner",IF(W$8&lt;$AS195,"IKS","Décom."),IF(OR($AQ195="",$AS195=""),"",IF(W$8&lt;$AQ195,"IKS",IF(W$8&lt;$AS195,IF(W$8=$AR195,"Bascule","Double run"),"ROKS"))))))</f>
        <v/>
      </c>
      <c r="X195" s="51" t="str">
        <f aca="false">IF(OR($A195="",X$8=""),"",IF($F195="Migré","ROKS",IF($F195="À décommissionner",IF(X$8&lt;$AS195,"IKS","Décom."),IF(OR($AQ195="",$AS195=""),"",IF(X$8&lt;$AQ195,"IKS",IF(X$8&lt;$AS195,IF(X$8=$AR195,"Bascule","Double run"),"ROKS"))))))</f>
        <v/>
      </c>
      <c r="Y195" s="51" t="str">
        <f aca="false">IF(OR($A195="",Y$8=""),"",IF($F195="Migré","ROKS",IF($F195="À décommissionner",IF(Y$8&lt;$AS195,"IKS","Décom."),IF(OR($AQ195="",$AS195=""),"",IF(Y$8&lt;$AQ195,"IKS",IF(Y$8&lt;$AS195,IF(Y$8=$AR195,"Bascule","Double run"),"ROKS"))))))</f>
        <v/>
      </c>
      <c r="Z195" s="51" t="str">
        <f aca="false">IF(OR($A195="",Z$8=""),"",IF($F195="Migré","ROKS",IF($F195="À décommissionner",IF(Z$8&lt;$AS195,"IKS","Décom."),IF(OR($AQ195="",$AS195=""),"",IF(Z$8&lt;$AQ195,"IKS",IF(Z$8&lt;$AS195,IF(Z$8=$AR195,"Bascule","Double run"),"ROKS"))))))</f>
        <v/>
      </c>
      <c r="AA195" s="51" t="str">
        <f aca="false">IF(OR($A195="",AA$8=""),"",IF($F195="Migré","ROKS",IF($F195="À décommissionner",IF(AA$8&lt;$AS195,"IKS","Décom."),IF(OR($AQ195="",$AS195=""),"",IF(AA$8&lt;$AQ195,"IKS",IF(AA$8&lt;$AS195,IF(AA$8=$AR195,"Bascule","Double run"),"ROKS"))))))</f>
        <v/>
      </c>
      <c r="AB195" s="51" t="str">
        <f aca="false">IF(OR($A195="",AB$8=""),"",IF($F195="Migré","ROKS",IF($F195="À décommissionner",IF(AB$8&lt;$AS195,"IKS","Décom."),IF(OR($AQ195="",$AS195=""),"",IF(AB$8&lt;$AQ195,"IKS",IF(AB$8&lt;$AS195,IF(AB$8=$AR195,"Bascule","Double run"),"ROKS"))))))</f>
        <v/>
      </c>
      <c r="AC195" s="51" t="str">
        <f aca="false">IF(OR($A195="",AC$8=""),"",IF($F195="Migré","ROKS",IF($F195="À décommissionner",IF(AC$8&lt;$AS195,"IKS","Décom."),IF(OR($AQ195="",$AS195=""),"",IF(AC$8&lt;$AQ195,"IKS",IF(AC$8&lt;$AS195,IF(AC$8=$AR195,"Bascule","Double run"),"ROKS"))))))</f>
        <v/>
      </c>
      <c r="AD195" s="51" t="str">
        <f aca="false">IF(OR($A195="",AD$8=""),"",IF($F195="Migré","ROKS",IF($F195="À décommissionner",IF(AD$8&lt;$AS195,"IKS","Décom."),IF(OR($AQ195="",$AS195=""),"",IF(AD$8&lt;$AQ195,"IKS",IF(AD$8&lt;$AS195,IF(AD$8=$AR195,"Bascule","Double run"),"ROKS"))))))</f>
        <v/>
      </c>
      <c r="AE195" s="51" t="str">
        <f aca="false">IF(OR($A195="",AE$8=""),"",IF($F195="Migré","ROKS",IF($F195="À décommissionner",IF(AE$8&lt;$AS195,"IKS","Décom."),IF(OR($AQ195="",$AS195=""),"",IF(AE$8&lt;$AQ195,"IKS",IF(AE$8&lt;$AS195,IF(AE$8=$AR195,"Bascule","Double run"),"ROKS"))))))</f>
        <v/>
      </c>
      <c r="AF195" s="51" t="str">
        <f aca="false">IF(OR($A195="",AF$8=""),"",IF($F195="Migré","ROKS",IF($F195="À décommissionner",IF(AF$8&lt;$AS195,"IKS","Décom."),IF(OR($AQ195="",$AS195=""),"",IF(AF$8&lt;$AQ195,"IKS",IF(AF$8&lt;$AS195,IF(AF$8=$AR195,"Bascule","Double run"),"ROKS"))))))</f>
        <v/>
      </c>
      <c r="AG195" s="51" t="str">
        <f aca="false">IF(OR($A195="",AG$8=""),"",IF($F195="Migré","ROKS",IF($F195="À décommissionner",IF(AG$8&lt;$AS195,"IKS","Décom."),IF(OR($AQ195="",$AS195=""),"",IF(AG$8&lt;$AQ195,"IKS",IF(AG$8&lt;$AS195,IF(AG$8=$AR195,"Bascule","Double run"),"ROKS"))))))</f>
        <v/>
      </c>
      <c r="AH195" s="51" t="str">
        <f aca="false">IF(OR($A195="",AH$8=""),"",IF($F195="Migré","ROKS",IF($F195="À décommissionner",IF(AH$8&lt;$AS195,"IKS","Décom."),IF(OR($AQ195="",$AS195=""),"",IF(AH$8&lt;$AQ195,"IKS",IF(AH$8&lt;$AS195,IF(AH$8=$AR195,"Bascule","Double run"),"ROKS"))))))</f>
        <v/>
      </c>
      <c r="AI195" s="51" t="str">
        <f aca="false">IF(OR($A195="",AI$8=""),"",IF($F195="Migré","ROKS",IF($F195="À décommissionner",IF(AI$8&lt;$AS195,"IKS","Décom."),IF(OR($AQ195="",$AS195=""),"",IF(AI$8&lt;$AQ195,"IKS",IF(AI$8&lt;$AS195,IF(AI$8=$AR195,"Bascule","Double run"),"ROKS"))))))</f>
        <v/>
      </c>
      <c r="AJ195" s="51" t="str">
        <f aca="false">IF(OR($A195="",AJ$8=""),"",IF($F195="Migré","ROKS",IF($F195="À décommissionner",IF(AJ$8&lt;$AS195,"IKS","Décom."),IF(OR($AQ195="",$AS195=""),"",IF(AJ$8&lt;$AQ195,"IKS",IF(AJ$8&lt;$AS195,IF(AJ$8=$AR195,"Bascule","Double run"),"ROKS"))))))</f>
        <v/>
      </c>
      <c r="AK195" s="51" t="str">
        <f aca="false">IF(OR($A195="",AK$8=""),"",IF($F195="Migré","ROKS",IF($F195="À décommissionner",IF(AK$8&lt;$AS195,"IKS","Décom."),IF(OR($AQ195="",$AS195=""),"",IF(AK$8&lt;$AQ195,"IKS",IF(AK$8&lt;$AS195,IF(AK$8=$AR195,"Bascule","Double run"),"ROKS"))))))</f>
        <v/>
      </c>
      <c r="AL195" s="51" t="str">
        <f aca="false">IF(OR($A195="",AL$8=""),"",IF($F195="Migré","ROKS",IF($F195="À décommissionner",IF(AL$8&lt;$AS195,"IKS","Décom."),IF(OR($AQ195="",$AS195=""),"",IF(AL$8&lt;$AQ195,"IKS",IF(AL$8&lt;$AS195,IF(AL$8=$AR195,"Bascule","Double run"),"ROKS"))))))</f>
        <v/>
      </c>
      <c r="AM195" s="51" t="str">
        <f aca="false">IF(OR($A195="",AM$8=""),"",IF($F195="Migré","ROKS",IF($F195="À décommissionner",IF(AM$8&lt;$AS195,"IKS","Décom."),IF(OR($AQ195="",$AS195=""),"",IF(AM$8&lt;$AQ195,"IKS",IF(AM$8&lt;$AS195,IF(AM$8=$AR195,"Bascule","Double run"),"ROKS"))))))</f>
        <v/>
      </c>
      <c r="AN195" s="51" t="str">
        <f aca="false">IF(OR($A195="",AN$8=""),"",IF($F195="Migré","ROKS",IF($F195="À décommissionner",IF(AN$8&lt;$AS195,"IKS","Décom."),IF(OR($AQ195="",$AS195=""),"",IF(AN$8&lt;$AQ195,"IKS",IF(AN$8&lt;$AS195,IF(AN$8=$AR195,"Bascule","Double run"),"ROKS"))))))</f>
        <v/>
      </c>
      <c r="AO195" s="51" t="str">
        <f aca="false">IF(OR($A195="",AO$8=""),"",IF($F195="Migré","ROKS",IF($F195="À décommissionner",IF(AO$8&lt;$AS195,"IKS","Décom."),IF(OR($AQ195="",$AS195=""),"",IF(AO$8&lt;$AQ195,"IKS",IF(AO$8&lt;$AS195,IF(AO$8=$AR195,"Bascule","Double run"),"ROKS"))))))</f>
        <v/>
      </c>
      <c r="AP195" s="51" t="str">
        <f aca="false">IF(OR($A195="",AP$8=""),"",IF($F195="Migré","ROKS",IF($F195="À décommissionner",IF(AP$8&lt;$AS195,"IKS","Décom."),IF(OR($AQ195="",$AS195=""),"",IF(AP$8&lt;$AQ195,"IKS",IF(AP$8&lt;$AS195,IF(AP$8=$AR195,"Bascule","Double run"),"ROKS"))))))</f>
        <v/>
      </c>
      <c r="AQ195" s="0" t="str">
        <f aca="false">IF($A195="","",INDEX(TblApplications[Mois prov (calc)],$A195))</f>
        <v/>
      </c>
      <c r="AR195" s="0" t="str">
        <f aca="false">IF($A195="","",IFERROR(DATE(YEAR(INDEX(TblApplications[Mois bascule],$A195)),MONTH(INDEX(TblApplications[Mois bascule],$A195)),1),""))</f>
        <v/>
      </c>
      <c r="AS195" s="0" t="str">
        <f aca="false">IF($A195="","",INDEX(TblApplications[Mois lib (calc)],$A195))</f>
        <v/>
      </c>
    </row>
    <row r="196" customFormat="false" ht="15" hidden="false" customHeight="false" outlineLevel="0" collapsed="false">
      <c r="A196" s="49" t="str">
        <f aca="false">IFERROR(MATCH(188,TblApplications[Rang frise],0),"")</f>
        <v/>
      </c>
      <c r="B196" s="50" t="str">
        <f aca="false">IF($A196="","",INDEX(TblApplications[ID],$A196))</f>
        <v/>
      </c>
      <c r="C196" s="50" t="str">
        <f aca="false">IF($A196="","",INDEX(TblApplications[Application],$A196))</f>
        <v/>
      </c>
      <c r="D196" s="50" t="str">
        <f aca="false">IF($A196="","",INDEX(TblApplications[Environnement],$A196))</f>
        <v/>
      </c>
      <c r="E196" s="50" t="str">
        <f aca="false">IF($A196="","",INDEX(TblApplications[Couloir],$A196))</f>
        <v/>
      </c>
      <c r="F196" s="50" t="str">
        <f aca="false">IF($A196="","",INDEX(TblApplications[Action],$A196))</f>
        <v/>
      </c>
      <c r="G196" s="51" t="str">
        <f aca="false">IF(OR($A196="",G$8=""),"",IF($F196="Migré","ROKS",IF($F196="À décommissionner",IF(G$8&lt;$AS196,"IKS","Décom."),IF(OR($AQ196="",$AS196=""),"",IF(G$8&lt;$AQ196,"IKS",IF(G$8&lt;$AS196,IF(G$8=$AR196,"Bascule","Double run"),"ROKS"))))))</f>
        <v/>
      </c>
      <c r="H196" s="51" t="str">
        <f aca="false">IF(OR($A196="",H$8=""),"",IF($F196="Migré","ROKS",IF($F196="À décommissionner",IF(H$8&lt;$AS196,"IKS","Décom."),IF(OR($AQ196="",$AS196=""),"",IF(H$8&lt;$AQ196,"IKS",IF(H$8&lt;$AS196,IF(H$8=$AR196,"Bascule","Double run"),"ROKS"))))))</f>
        <v/>
      </c>
      <c r="I196" s="51" t="str">
        <f aca="false">IF(OR($A196="",I$8=""),"",IF($F196="Migré","ROKS",IF($F196="À décommissionner",IF(I$8&lt;$AS196,"IKS","Décom."),IF(OR($AQ196="",$AS196=""),"",IF(I$8&lt;$AQ196,"IKS",IF(I$8&lt;$AS196,IF(I$8=$AR196,"Bascule","Double run"),"ROKS"))))))</f>
        <v/>
      </c>
      <c r="J196" s="51" t="str">
        <f aca="false">IF(OR($A196="",J$8=""),"",IF($F196="Migré","ROKS",IF($F196="À décommissionner",IF(J$8&lt;$AS196,"IKS","Décom."),IF(OR($AQ196="",$AS196=""),"",IF(J$8&lt;$AQ196,"IKS",IF(J$8&lt;$AS196,IF(J$8=$AR196,"Bascule","Double run"),"ROKS"))))))</f>
        <v/>
      </c>
      <c r="K196" s="51" t="str">
        <f aca="false">IF(OR($A196="",K$8=""),"",IF($F196="Migré","ROKS",IF($F196="À décommissionner",IF(K$8&lt;$AS196,"IKS","Décom."),IF(OR($AQ196="",$AS196=""),"",IF(K$8&lt;$AQ196,"IKS",IF(K$8&lt;$AS196,IF(K$8=$AR196,"Bascule","Double run"),"ROKS"))))))</f>
        <v/>
      </c>
      <c r="L196" s="51" t="str">
        <f aca="false">IF(OR($A196="",L$8=""),"",IF($F196="Migré","ROKS",IF($F196="À décommissionner",IF(L$8&lt;$AS196,"IKS","Décom."),IF(OR($AQ196="",$AS196=""),"",IF(L$8&lt;$AQ196,"IKS",IF(L$8&lt;$AS196,IF(L$8=$AR196,"Bascule","Double run"),"ROKS"))))))</f>
        <v/>
      </c>
      <c r="M196" s="51" t="str">
        <f aca="false">IF(OR($A196="",M$8=""),"",IF($F196="Migré","ROKS",IF($F196="À décommissionner",IF(M$8&lt;$AS196,"IKS","Décom."),IF(OR($AQ196="",$AS196=""),"",IF(M$8&lt;$AQ196,"IKS",IF(M$8&lt;$AS196,IF(M$8=$AR196,"Bascule","Double run"),"ROKS"))))))</f>
        <v/>
      </c>
      <c r="N196" s="51" t="str">
        <f aca="false">IF(OR($A196="",N$8=""),"",IF($F196="Migré","ROKS",IF($F196="À décommissionner",IF(N$8&lt;$AS196,"IKS","Décom."),IF(OR($AQ196="",$AS196=""),"",IF(N$8&lt;$AQ196,"IKS",IF(N$8&lt;$AS196,IF(N$8=$AR196,"Bascule","Double run"),"ROKS"))))))</f>
        <v/>
      </c>
      <c r="O196" s="51" t="str">
        <f aca="false">IF(OR($A196="",O$8=""),"",IF($F196="Migré","ROKS",IF($F196="À décommissionner",IF(O$8&lt;$AS196,"IKS","Décom."),IF(OR($AQ196="",$AS196=""),"",IF(O$8&lt;$AQ196,"IKS",IF(O$8&lt;$AS196,IF(O$8=$AR196,"Bascule","Double run"),"ROKS"))))))</f>
        <v/>
      </c>
      <c r="P196" s="51" t="str">
        <f aca="false">IF(OR($A196="",P$8=""),"",IF($F196="Migré","ROKS",IF($F196="À décommissionner",IF(P$8&lt;$AS196,"IKS","Décom."),IF(OR($AQ196="",$AS196=""),"",IF(P$8&lt;$AQ196,"IKS",IF(P$8&lt;$AS196,IF(P$8=$AR196,"Bascule","Double run"),"ROKS"))))))</f>
        <v/>
      </c>
      <c r="Q196" s="51" t="str">
        <f aca="false">IF(OR($A196="",Q$8=""),"",IF($F196="Migré","ROKS",IF($F196="À décommissionner",IF(Q$8&lt;$AS196,"IKS","Décom."),IF(OR($AQ196="",$AS196=""),"",IF(Q$8&lt;$AQ196,"IKS",IF(Q$8&lt;$AS196,IF(Q$8=$AR196,"Bascule","Double run"),"ROKS"))))))</f>
        <v/>
      </c>
      <c r="R196" s="51" t="str">
        <f aca="false">IF(OR($A196="",R$8=""),"",IF($F196="Migré","ROKS",IF($F196="À décommissionner",IF(R$8&lt;$AS196,"IKS","Décom."),IF(OR($AQ196="",$AS196=""),"",IF(R$8&lt;$AQ196,"IKS",IF(R$8&lt;$AS196,IF(R$8=$AR196,"Bascule","Double run"),"ROKS"))))))</f>
        <v/>
      </c>
      <c r="S196" s="51" t="str">
        <f aca="false">IF(OR($A196="",S$8=""),"",IF($F196="Migré","ROKS",IF($F196="À décommissionner",IF(S$8&lt;$AS196,"IKS","Décom."),IF(OR($AQ196="",$AS196=""),"",IF(S$8&lt;$AQ196,"IKS",IF(S$8&lt;$AS196,IF(S$8=$AR196,"Bascule","Double run"),"ROKS"))))))</f>
        <v/>
      </c>
      <c r="T196" s="51" t="str">
        <f aca="false">IF(OR($A196="",T$8=""),"",IF($F196="Migré","ROKS",IF($F196="À décommissionner",IF(T$8&lt;$AS196,"IKS","Décom."),IF(OR($AQ196="",$AS196=""),"",IF(T$8&lt;$AQ196,"IKS",IF(T$8&lt;$AS196,IF(T$8=$AR196,"Bascule","Double run"),"ROKS"))))))</f>
        <v/>
      </c>
      <c r="U196" s="51" t="str">
        <f aca="false">IF(OR($A196="",U$8=""),"",IF($F196="Migré","ROKS",IF($F196="À décommissionner",IF(U$8&lt;$AS196,"IKS","Décom."),IF(OR($AQ196="",$AS196=""),"",IF(U$8&lt;$AQ196,"IKS",IF(U$8&lt;$AS196,IF(U$8=$AR196,"Bascule","Double run"),"ROKS"))))))</f>
        <v/>
      </c>
      <c r="V196" s="51" t="str">
        <f aca="false">IF(OR($A196="",V$8=""),"",IF($F196="Migré","ROKS",IF($F196="À décommissionner",IF(V$8&lt;$AS196,"IKS","Décom."),IF(OR($AQ196="",$AS196=""),"",IF(V$8&lt;$AQ196,"IKS",IF(V$8&lt;$AS196,IF(V$8=$AR196,"Bascule","Double run"),"ROKS"))))))</f>
        <v/>
      </c>
      <c r="W196" s="51" t="str">
        <f aca="false">IF(OR($A196="",W$8=""),"",IF($F196="Migré","ROKS",IF($F196="À décommissionner",IF(W$8&lt;$AS196,"IKS","Décom."),IF(OR($AQ196="",$AS196=""),"",IF(W$8&lt;$AQ196,"IKS",IF(W$8&lt;$AS196,IF(W$8=$AR196,"Bascule","Double run"),"ROKS"))))))</f>
        <v/>
      </c>
      <c r="X196" s="51" t="str">
        <f aca="false">IF(OR($A196="",X$8=""),"",IF($F196="Migré","ROKS",IF($F196="À décommissionner",IF(X$8&lt;$AS196,"IKS","Décom."),IF(OR($AQ196="",$AS196=""),"",IF(X$8&lt;$AQ196,"IKS",IF(X$8&lt;$AS196,IF(X$8=$AR196,"Bascule","Double run"),"ROKS"))))))</f>
        <v/>
      </c>
      <c r="Y196" s="51" t="str">
        <f aca="false">IF(OR($A196="",Y$8=""),"",IF($F196="Migré","ROKS",IF($F196="À décommissionner",IF(Y$8&lt;$AS196,"IKS","Décom."),IF(OR($AQ196="",$AS196=""),"",IF(Y$8&lt;$AQ196,"IKS",IF(Y$8&lt;$AS196,IF(Y$8=$AR196,"Bascule","Double run"),"ROKS"))))))</f>
        <v/>
      </c>
      <c r="Z196" s="51" t="str">
        <f aca="false">IF(OR($A196="",Z$8=""),"",IF($F196="Migré","ROKS",IF($F196="À décommissionner",IF(Z$8&lt;$AS196,"IKS","Décom."),IF(OR($AQ196="",$AS196=""),"",IF(Z$8&lt;$AQ196,"IKS",IF(Z$8&lt;$AS196,IF(Z$8=$AR196,"Bascule","Double run"),"ROKS"))))))</f>
        <v/>
      </c>
      <c r="AA196" s="51" t="str">
        <f aca="false">IF(OR($A196="",AA$8=""),"",IF($F196="Migré","ROKS",IF($F196="À décommissionner",IF(AA$8&lt;$AS196,"IKS","Décom."),IF(OR($AQ196="",$AS196=""),"",IF(AA$8&lt;$AQ196,"IKS",IF(AA$8&lt;$AS196,IF(AA$8=$AR196,"Bascule","Double run"),"ROKS"))))))</f>
        <v/>
      </c>
      <c r="AB196" s="51" t="str">
        <f aca="false">IF(OR($A196="",AB$8=""),"",IF($F196="Migré","ROKS",IF($F196="À décommissionner",IF(AB$8&lt;$AS196,"IKS","Décom."),IF(OR($AQ196="",$AS196=""),"",IF(AB$8&lt;$AQ196,"IKS",IF(AB$8&lt;$AS196,IF(AB$8=$AR196,"Bascule","Double run"),"ROKS"))))))</f>
        <v/>
      </c>
      <c r="AC196" s="51" t="str">
        <f aca="false">IF(OR($A196="",AC$8=""),"",IF($F196="Migré","ROKS",IF($F196="À décommissionner",IF(AC$8&lt;$AS196,"IKS","Décom."),IF(OR($AQ196="",$AS196=""),"",IF(AC$8&lt;$AQ196,"IKS",IF(AC$8&lt;$AS196,IF(AC$8=$AR196,"Bascule","Double run"),"ROKS"))))))</f>
        <v/>
      </c>
      <c r="AD196" s="51" t="str">
        <f aca="false">IF(OR($A196="",AD$8=""),"",IF($F196="Migré","ROKS",IF($F196="À décommissionner",IF(AD$8&lt;$AS196,"IKS","Décom."),IF(OR($AQ196="",$AS196=""),"",IF(AD$8&lt;$AQ196,"IKS",IF(AD$8&lt;$AS196,IF(AD$8=$AR196,"Bascule","Double run"),"ROKS"))))))</f>
        <v/>
      </c>
      <c r="AE196" s="51" t="str">
        <f aca="false">IF(OR($A196="",AE$8=""),"",IF($F196="Migré","ROKS",IF($F196="À décommissionner",IF(AE$8&lt;$AS196,"IKS","Décom."),IF(OR($AQ196="",$AS196=""),"",IF(AE$8&lt;$AQ196,"IKS",IF(AE$8&lt;$AS196,IF(AE$8=$AR196,"Bascule","Double run"),"ROKS"))))))</f>
        <v/>
      </c>
      <c r="AF196" s="51" t="str">
        <f aca="false">IF(OR($A196="",AF$8=""),"",IF($F196="Migré","ROKS",IF($F196="À décommissionner",IF(AF$8&lt;$AS196,"IKS","Décom."),IF(OR($AQ196="",$AS196=""),"",IF(AF$8&lt;$AQ196,"IKS",IF(AF$8&lt;$AS196,IF(AF$8=$AR196,"Bascule","Double run"),"ROKS"))))))</f>
        <v/>
      </c>
      <c r="AG196" s="51" t="str">
        <f aca="false">IF(OR($A196="",AG$8=""),"",IF($F196="Migré","ROKS",IF($F196="À décommissionner",IF(AG$8&lt;$AS196,"IKS","Décom."),IF(OR($AQ196="",$AS196=""),"",IF(AG$8&lt;$AQ196,"IKS",IF(AG$8&lt;$AS196,IF(AG$8=$AR196,"Bascule","Double run"),"ROKS"))))))</f>
        <v/>
      </c>
      <c r="AH196" s="51" t="str">
        <f aca="false">IF(OR($A196="",AH$8=""),"",IF($F196="Migré","ROKS",IF($F196="À décommissionner",IF(AH$8&lt;$AS196,"IKS","Décom."),IF(OR($AQ196="",$AS196=""),"",IF(AH$8&lt;$AQ196,"IKS",IF(AH$8&lt;$AS196,IF(AH$8=$AR196,"Bascule","Double run"),"ROKS"))))))</f>
        <v/>
      </c>
      <c r="AI196" s="51" t="str">
        <f aca="false">IF(OR($A196="",AI$8=""),"",IF($F196="Migré","ROKS",IF($F196="À décommissionner",IF(AI$8&lt;$AS196,"IKS","Décom."),IF(OR($AQ196="",$AS196=""),"",IF(AI$8&lt;$AQ196,"IKS",IF(AI$8&lt;$AS196,IF(AI$8=$AR196,"Bascule","Double run"),"ROKS"))))))</f>
        <v/>
      </c>
      <c r="AJ196" s="51" t="str">
        <f aca="false">IF(OR($A196="",AJ$8=""),"",IF($F196="Migré","ROKS",IF($F196="À décommissionner",IF(AJ$8&lt;$AS196,"IKS","Décom."),IF(OR($AQ196="",$AS196=""),"",IF(AJ$8&lt;$AQ196,"IKS",IF(AJ$8&lt;$AS196,IF(AJ$8=$AR196,"Bascule","Double run"),"ROKS"))))))</f>
        <v/>
      </c>
      <c r="AK196" s="51" t="str">
        <f aca="false">IF(OR($A196="",AK$8=""),"",IF($F196="Migré","ROKS",IF($F196="À décommissionner",IF(AK$8&lt;$AS196,"IKS","Décom."),IF(OR($AQ196="",$AS196=""),"",IF(AK$8&lt;$AQ196,"IKS",IF(AK$8&lt;$AS196,IF(AK$8=$AR196,"Bascule","Double run"),"ROKS"))))))</f>
        <v/>
      </c>
      <c r="AL196" s="51" t="str">
        <f aca="false">IF(OR($A196="",AL$8=""),"",IF($F196="Migré","ROKS",IF($F196="À décommissionner",IF(AL$8&lt;$AS196,"IKS","Décom."),IF(OR($AQ196="",$AS196=""),"",IF(AL$8&lt;$AQ196,"IKS",IF(AL$8&lt;$AS196,IF(AL$8=$AR196,"Bascule","Double run"),"ROKS"))))))</f>
        <v/>
      </c>
      <c r="AM196" s="51" t="str">
        <f aca="false">IF(OR($A196="",AM$8=""),"",IF($F196="Migré","ROKS",IF($F196="À décommissionner",IF(AM$8&lt;$AS196,"IKS","Décom."),IF(OR($AQ196="",$AS196=""),"",IF(AM$8&lt;$AQ196,"IKS",IF(AM$8&lt;$AS196,IF(AM$8=$AR196,"Bascule","Double run"),"ROKS"))))))</f>
        <v/>
      </c>
      <c r="AN196" s="51" t="str">
        <f aca="false">IF(OR($A196="",AN$8=""),"",IF($F196="Migré","ROKS",IF($F196="À décommissionner",IF(AN$8&lt;$AS196,"IKS","Décom."),IF(OR($AQ196="",$AS196=""),"",IF(AN$8&lt;$AQ196,"IKS",IF(AN$8&lt;$AS196,IF(AN$8=$AR196,"Bascule","Double run"),"ROKS"))))))</f>
        <v/>
      </c>
      <c r="AO196" s="51" t="str">
        <f aca="false">IF(OR($A196="",AO$8=""),"",IF($F196="Migré","ROKS",IF($F196="À décommissionner",IF(AO$8&lt;$AS196,"IKS","Décom."),IF(OR($AQ196="",$AS196=""),"",IF(AO$8&lt;$AQ196,"IKS",IF(AO$8&lt;$AS196,IF(AO$8=$AR196,"Bascule","Double run"),"ROKS"))))))</f>
        <v/>
      </c>
      <c r="AP196" s="51" t="str">
        <f aca="false">IF(OR($A196="",AP$8=""),"",IF($F196="Migré","ROKS",IF($F196="À décommissionner",IF(AP$8&lt;$AS196,"IKS","Décom."),IF(OR($AQ196="",$AS196=""),"",IF(AP$8&lt;$AQ196,"IKS",IF(AP$8&lt;$AS196,IF(AP$8=$AR196,"Bascule","Double run"),"ROKS"))))))</f>
        <v/>
      </c>
      <c r="AQ196" s="0" t="str">
        <f aca="false">IF($A196="","",INDEX(TblApplications[Mois prov (calc)],$A196))</f>
        <v/>
      </c>
      <c r="AR196" s="0" t="str">
        <f aca="false">IF($A196="","",IFERROR(DATE(YEAR(INDEX(TblApplications[Mois bascule],$A196)),MONTH(INDEX(TblApplications[Mois bascule],$A196)),1),""))</f>
        <v/>
      </c>
      <c r="AS196" s="0" t="str">
        <f aca="false">IF($A196="","",INDEX(TblApplications[Mois lib (calc)],$A196))</f>
        <v/>
      </c>
    </row>
    <row r="197" customFormat="false" ht="15" hidden="false" customHeight="false" outlineLevel="0" collapsed="false">
      <c r="A197" s="49" t="str">
        <f aca="false">IFERROR(MATCH(189,TblApplications[Rang frise],0),"")</f>
        <v/>
      </c>
      <c r="B197" s="50" t="str">
        <f aca="false">IF($A197="","",INDEX(TblApplications[ID],$A197))</f>
        <v/>
      </c>
      <c r="C197" s="50" t="str">
        <f aca="false">IF($A197="","",INDEX(TblApplications[Application],$A197))</f>
        <v/>
      </c>
      <c r="D197" s="50" t="str">
        <f aca="false">IF($A197="","",INDEX(TblApplications[Environnement],$A197))</f>
        <v/>
      </c>
      <c r="E197" s="50" t="str">
        <f aca="false">IF($A197="","",INDEX(TblApplications[Couloir],$A197))</f>
        <v/>
      </c>
      <c r="F197" s="50" t="str">
        <f aca="false">IF($A197="","",INDEX(TblApplications[Action],$A197))</f>
        <v/>
      </c>
      <c r="G197" s="51" t="str">
        <f aca="false">IF(OR($A197="",G$8=""),"",IF($F197="Migré","ROKS",IF($F197="À décommissionner",IF(G$8&lt;$AS197,"IKS","Décom."),IF(OR($AQ197="",$AS197=""),"",IF(G$8&lt;$AQ197,"IKS",IF(G$8&lt;$AS197,IF(G$8=$AR197,"Bascule","Double run"),"ROKS"))))))</f>
        <v/>
      </c>
      <c r="H197" s="51" t="str">
        <f aca="false">IF(OR($A197="",H$8=""),"",IF($F197="Migré","ROKS",IF($F197="À décommissionner",IF(H$8&lt;$AS197,"IKS","Décom."),IF(OR($AQ197="",$AS197=""),"",IF(H$8&lt;$AQ197,"IKS",IF(H$8&lt;$AS197,IF(H$8=$AR197,"Bascule","Double run"),"ROKS"))))))</f>
        <v/>
      </c>
      <c r="I197" s="51" t="str">
        <f aca="false">IF(OR($A197="",I$8=""),"",IF($F197="Migré","ROKS",IF($F197="À décommissionner",IF(I$8&lt;$AS197,"IKS","Décom."),IF(OR($AQ197="",$AS197=""),"",IF(I$8&lt;$AQ197,"IKS",IF(I$8&lt;$AS197,IF(I$8=$AR197,"Bascule","Double run"),"ROKS"))))))</f>
        <v/>
      </c>
      <c r="J197" s="51" t="str">
        <f aca="false">IF(OR($A197="",J$8=""),"",IF($F197="Migré","ROKS",IF($F197="À décommissionner",IF(J$8&lt;$AS197,"IKS","Décom."),IF(OR($AQ197="",$AS197=""),"",IF(J$8&lt;$AQ197,"IKS",IF(J$8&lt;$AS197,IF(J$8=$AR197,"Bascule","Double run"),"ROKS"))))))</f>
        <v/>
      </c>
      <c r="K197" s="51" t="str">
        <f aca="false">IF(OR($A197="",K$8=""),"",IF($F197="Migré","ROKS",IF($F197="À décommissionner",IF(K$8&lt;$AS197,"IKS","Décom."),IF(OR($AQ197="",$AS197=""),"",IF(K$8&lt;$AQ197,"IKS",IF(K$8&lt;$AS197,IF(K$8=$AR197,"Bascule","Double run"),"ROKS"))))))</f>
        <v/>
      </c>
      <c r="L197" s="51" t="str">
        <f aca="false">IF(OR($A197="",L$8=""),"",IF($F197="Migré","ROKS",IF($F197="À décommissionner",IF(L$8&lt;$AS197,"IKS","Décom."),IF(OR($AQ197="",$AS197=""),"",IF(L$8&lt;$AQ197,"IKS",IF(L$8&lt;$AS197,IF(L$8=$AR197,"Bascule","Double run"),"ROKS"))))))</f>
        <v/>
      </c>
      <c r="M197" s="51" t="str">
        <f aca="false">IF(OR($A197="",M$8=""),"",IF($F197="Migré","ROKS",IF($F197="À décommissionner",IF(M$8&lt;$AS197,"IKS","Décom."),IF(OR($AQ197="",$AS197=""),"",IF(M$8&lt;$AQ197,"IKS",IF(M$8&lt;$AS197,IF(M$8=$AR197,"Bascule","Double run"),"ROKS"))))))</f>
        <v/>
      </c>
      <c r="N197" s="51" t="str">
        <f aca="false">IF(OR($A197="",N$8=""),"",IF($F197="Migré","ROKS",IF($F197="À décommissionner",IF(N$8&lt;$AS197,"IKS","Décom."),IF(OR($AQ197="",$AS197=""),"",IF(N$8&lt;$AQ197,"IKS",IF(N$8&lt;$AS197,IF(N$8=$AR197,"Bascule","Double run"),"ROKS"))))))</f>
        <v/>
      </c>
      <c r="O197" s="51" t="str">
        <f aca="false">IF(OR($A197="",O$8=""),"",IF($F197="Migré","ROKS",IF($F197="À décommissionner",IF(O$8&lt;$AS197,"IKS","Décom."),IF(OR($AQ197="",$AS197=""),"",IF(O$8&lt;$AQ197,"IKS",IF(O$8&lt;$AS197,IF(O$8=$AR197,"Bascule","Double run"),"ROKS"))))))</f>
        <v/>
      </c>
      <c r="P197" s="51" t="str">
        <f aca="false">IF(OR($A197="",P$8=""),"",IF($F197="Migré","ROKS",IF($F197="À décommissionner",IF(P$8&lt;$AS197,"IKS","Décom."),IF(OR($AQ197="",$AS197=""),"",IF(P$8&lt;$AQ197,"IKS",IF(P$8&lt;$AS197,IF(P$8=$AR197,"Bascule","Double run"),"ROKS"))))))</f>
        <v/>
      </c>
      <c r="Q197" s="51" t="str">
        <f aca="false">IF(OR($A197="",Q$8=""),"",IF($F197="Migré","ROKS",IF($F197="À décommissionner",IF(Q$8&lt;$AS197,"IKS","Décom."),IF(OR($AQ197="",$AS197=""),"",IF(Q$8&lt;$AQ197,"IKS",IF(Q$8&lt;$AS197,IF(Q$8=$AR197,"Bascule","Double run"),"ROKS"))))))</f>
        <v/>
      </c>
      <c r="R197" s="51" t="str">
        <f aca="false">IF(OR($A197="",R$8=""),"",IF($F197="Migré","ROKS",IF($F197="À décommissionner",IF(R$8&lt;$AS197,"IKS","Décom."),IF(OR($AQ197="",$AS197=""),"",IF(R$8&lt;$AQ197,"IKS",IF(R$8&lt;$AS197,IF(R$8=$AR197,"Bascule","Double run"),"ROKS"))))))</f>
        <v/>
      </c>
      <c r="S197" s="51" t="str">
        <f aca="false">IF(OR($A197="",S$8=""),"",IF($F197="Migré","ROKS",IF($F197="À décommissionner",IF(S$8&lt;$AS197,"IKS","Décom."),IF(OR($AQ197="",$AS197=""),"",IF(S$8&lt;$AQ197,"IKS",IF(S$8&lt;$AS197,IF(S$8=$AR197,"Bascule","Double run"),"ROKS"))))))</f>
        <v/>
      </c>
      <c r="T197" s="51" t="str">
        <f aca="false">IF(OR($A197="",T$8=""),"",IF($F197="Migré","ROKS",IF($F197="À décommissionner",IF(T$8&lt;$AS197,"IKS","Décom."),IF(OR($AQ197="",$AS197=""),"",IF(T$8&lt;$AQ197,"IKS",IF(T$8&lt;$AS197,IF(T$8=$AR197,"Bascule","Double run"),"ROKS"))))))</f>
        <v/>
      </c>
      <c r="U197" s="51" t="str">
        <f aca="false">IF(OR($A197="",U$8=""),"",IF($F197="Migré","ROKS",IF($F197="À décommissionner",IF(U$8&lt;$AS197,"IKS","Décom."),IF(OR($AQ197="",$AS197=""),"",IF(U$8&lt;$AQ197,"IKS",IF(U$8&lt;$AS197,IF(U$8=$AR197,"Bascule","Double run"),"ROKS"))))))</f>
        <v/>
      </c>
      <c r="V197" s="51" t="str">
        <f aca="false">IF(OR($A197="",V$8=""),"",IF($F197="Migré","ROKS",IF($F197="À décommissionner",IF(V$8&lt;$AS197,"IKS","Décom."),IF(OR($AQ197="",$AS197=""),"",IF(V$8&lt;$AQ197,"IKS",IF(V$8&lt;$AS197,IF(V$8=$AR197,"Bascule","Double run"),"ROKS"))))))</f>
        <v/>
      </c>
      <c r="W197" s="51" t="str">
        <f aca="false">IF(OR($A197="",W$8=""),"",IF($F197="Migré","ROKS",IF($F197="À décommissionner",IF(W$8&lt;$AS197,"IKS","Décom."),IF(OR($AQ197="",$AS197=""),"",IF(W$8&lt;$AQ197,"IKS",IF(W$8&lt;$AS197,IF(W$8=$AR197,"Bascule","Double run"),"ROKS"))))))</f>
        <v/>
      </c>
      <c r="X197" s="51" t="str">
        <f aca="false">IF(OR($A197="",X$8=""),"",IF($F197="Migré","ROKS",IF($F197="À décommissionner",IF(X$8&lt;$AS197,"IKS","Décom."),IF(OR($AQ197="",$AS197=""),"",IF(X$8&lt;$AQ197,"IKS",IF(X$8&lt;$AS197,IF(X$8=$AR197,"Bascule","Double run"),"ROKS"))))))</f>
        <v/>
      </c>
      <c r="Y197" s="51" t="str">
        <f aca="false">IF(OR($A197="",Y$8=""),"",IF($F197="Migré","ROKS",IF($F197="À décommissionner",IF(Y$8&lt;$AS197,"IKS","Décom."),IF(OR($AQ197="",$AS197=""),"",IF(Y$8&lt;$AQ197,"IKS",IF(Y$8&lt;$AS197,IF(Y$8=$AR197,"Bascule","Double run"),"ROKS"))))))</f>
        <v/>
      </c>
      <c r="Z197" s="51" t="str">
        <f aca="false">IF(OR($A197="",Z$8=""),"",IF($F197="Migré","ROKS",IF($F197="À décommissionner",IF(Z$8&lt;$AS197,"IKS","Décom."),IF(OR($AQ197="",$AS197=""),"",IF(Z$8&lt;$AQ197,"IKS",IF(Z$8&lt;$AS197,IF(Z$8=$AR197,"Bascule","Double run"),"ROKS"))))))</f>
        <v/>
      </c>
      <c r="AA197" s="51" t="str">
        <f aca="false">IF(OR($A197="",AA$8=""),"",IF($F197="Migré","ROKS",IF($F197="À décommissionner",IF(AA$8&lt;$AS197,"IKS","Décom."),IF(OR($AQ197="",$AS197=""),"",IF(AA$8&lt;$AQ197,"IKS",IF(AA$8&lt;$AS197,IF(AA$8=$AR197,"Bascule","Double run"),"ROKS"))))))</f>
        <v/>
      </c>
      <c r="AB197" s="51" t="str">
        <f aca="false">IF(OR($A197="",AB$8=""),"",IF($F197="Migré","ROKS",IF($F197="À décommissionner",IF(AB$8&lt;$AS197,"IKS","Décom."),IF(OR($AQ197="",$AS197=""),"",IF(AB$8&lt;$AQ197,"IKS",IF(AB$8&lt;$AS197,IF(AB$8=$AR197,"Bascule","Double run"),"ROKS"))))))</f>
        <v/>
      </c>
      <c r="AC197" s="51" t="str">
        <f aca="false">IF(OR($A197="",AC$8=""),"",IF($F197="Migré","ROKS",IF($F197="À décommissionner",IF(AC$8&lt;$AS197,"IKS","Décom."),IF(OR($AQ197="",$AS197=""),"",IF(AC$8&lt;$AQ197,"IKS",IF(AC$8&lt;$AS197,IF(AC$8=$AR197,"Bascule","Double run"),"ROKS"))))))</f>
        <v/>
      </c>
      <c r="AD197" s="51" t="str">
        <f aca="false">IF(OR($A197="",AD$8=""),"",IF($F197="Migré","ROKS",IF($F197="À décommissionner",IF(AD$8&lt;$AS197,"IKS","Décom."),IF(OR($AQ197="",$AS197=""),"",IF(AD$8&lt;$AQ197,"IKS",IF(AD$8&lt;$AS197,IF(AD$8=$AR197,"Bascule","Double run"),"ROKS"))))))</f>
        <v/>
      </c>
      <c r="AE197" s="51" t="str">
        <f aca="false">IF(OR($A197="",AE$8=""),"",IF($F197="Migré","ROKS",IF($F197="À décommissionner",IF(AE$8&lt;$AS197,"IKS","Décom."),IF(OR($AQ197="",$AS197=""),"",IF(AE$8&lt;$AQ197,"IKS",IF(AE$8&lt;$AS197,IF(AE$8=$AR197,"Bascule","Double run"),"ROKS"))))))</f>
        <v/>
      </c>
      <c r="AF197" s="51" t="str">
        <f aca="false">IF(OR($A197="",AF$8=""),"",IF($F197="Migré","ROKS",IF($F197="À décommissionner",IF(AF$8&lt;$AS197,"IKS","Décom."),IF(OR($AQ197="",$AS197=""),"",IF(AF$8&lt;$AQ197,"IKS",IF(AF$8&lt;$AS197,IF(AF$8=$AR197,"Bascule","Double run"),"ROKS"))))))</f>
        <v/>
      </c>
      <c r="AG197" s="51" t="str">
        <f aca="false">IF(OR($A197="",AG$8=""),"",IF($F197="Migré","ROKS",IF($F197="À décommissionner",IF(AG$8&lt;$AS197,"IKS","Décom."),IF(OR($AQ197="",$AS197=""),"",IF(AG$8&lt;$AQ197,"IKS",IF(AG$8&lt;$AS197,IF(AG$8=$AR197,"Bascule","Double run"),"ROKS"))))))</f>
        <v/>
      </c>
      <c r="AH197" s="51" t="str">
        <f aca="false">IF(OR($A197="",AH$8=""),"",IF($F197="Migré","ROKS",IF($F197="À décommissionner",IF(AH$8&lt;$AS197,"IKS","Décom."),IF(OR($AQ197="",$AS197=""),"",IF(AH$8&lt;$AQ197,"IKS",IF(AH$8&lt;$AS197,IF(AH$8=$AR197,"Bascule","Double run"),"ROKS"))))))</f>
        <v/>
      </c>
      <c r="AI197" s="51" t="str">
        <f aca="false">IF(OR($A197="",AI$8=""),"",IF($F197="Migré","ROKS",IF($F197="À décommissionner",IF(AI$8&lt;$AS197,"IKS","Décom."),IF(OR($AQ197="",$AS197=""),"",IF(AI$8&lt;$AQ197,"IKS",IF(AI$8&lt;$AS197,IF(AI$8=$AR197,"Bascule","Double run"),"ROKS"))))))</f>
        <v/>
      </c>
      <c r="AJ197" s="51" t="str">
        <f aca="false">IF(OR($A197="",AJ$8=""),"",IF($F197="Migré","ROKS",IF($F197="À décommissionner",IF(AJ$8&lt;$AS197,"IKS","Décom."),IF(OR($AQ197="",$AS197=""),"",IF(AJ$8&lt;$AQ197,"IKS",IF(AJ$8&lt;$AS197,IF(AJ$8=$AR197,"Bascule","Double run"),"ROKS"))))))</f>
        <v/>
      </c>
      <c r="AK197" s="51" t="str">
        <f aca="false">IF(OR($A197="",AK$8=""),"",IF($F197="Migré","ROKS",IF($F197="À décommissionner",IF(AK$8&lt;$AS197,"IKS","Décom."),IF(OR($AQ197="",$AS197=""),"",IF(AK$8&lt;$AQ197,"IKS",IF(AK$8&lt;$AS197,IF(AK$8=$AR197,"Bascule","Double run"),"ROKS"))))))</f>
        <v/>
      </c>
      <c r="AL197" s="51" t="str">
        <f aca="false">IF(OR($A197="",AL$8=""),"",IF($F197="Migré","ROKS",IF($F197="À décommissionner",IF(AL$8&lt;$AS197,"IKS","Décom."),IF(OR($AQ197="",$AS197=""),"",IF(AL$8&lt;$AQ197,"IKS",IF(AL$8&lt;$AS197,IF(AL$8=$AR197,"Bascule","Double run"),"ROKS"))))))</f>
        <v/>
      </c>
      <c r="AM197" s="51" t="str">
        <f aca="false">IF(OR($A197="",AM$8=""),"",IF($F197="Migré","ROKS",IF($F197="À décommissionner",IF(AM$8&lt;$AS197,"IKS","Décom."),IF(OR($AQ197="",$AS197=""),"",IF(AM$8&lt;$AQ197,"IKS",IF(AM$8&lt;$AS197,IF(AM$8=$AR197,"Bascule","Double run"),"ROKS"))))))</f>
        <v/>
      </c>
      <c r="AN197" s="51" t="str">
        <f aca="false">IF(OR($A197="",AN$8=""),"",IF($F197="Migré","ROKS",IF($F197="À décommissionner",IF(AN$8&lt;$AS197,"IKS","Décom."),IF(OR($AQ197="",$AS197=""),"",IF(AN$8&lt;$AQ197,"IKS",IF(AN$8&lt;$AS197,IF(AN$8=$AR197,"Bascule","Double run"),"ROKS"))))))</f>
        <v/>
      </c>
      <c r="AO197" s="51" t="str">
        <f aca="false">IF(OR($A197="",AO$8=""),"",IF($F197="Migré","ROKS",IF($F197="À décommissionner",IF(AO$8&lt;$AS197,"IKS","Décom."),IF(OR($AQ197="",$AS197=""),"",IF(AO$8&lt;$AQ197,"IKS",IF(AO$8&lt;$AS197,IF(AO$8=$AR197,"Bascule","Double run"),"ROKS"))))))</f>
        <v/>
      </c>
      <c r="AP197" s="51" t="str">
        <f aca="false">IF(OR($A197="",AP$8=""),"",IF($F197="Migré","ROKS",IF($F197="À décommissionner",IF(AP$8&lt;$AS197,"IKS","Décom."),IF(OR($AQ197="",$AS197=""),"",IF(AP$8&lt;$AQ197,"IKS",IF(AP$8&lt;$AS197,IF(AP$8=$AR197,"Bascule","Double run"),"ROKS"))))))</f>
        <v/>
      </c>
      <c r="AQ197" s="0" t="str">
        <f aca="false">IF($A197="","",INDEX(TblApplications[Mois prov (calc)],$A197))</f>
        <v/>
      </c>
      <c r="AR197" s="0" t="str">
        <f aca="false">IF($A197="","",IFERROR(DATE(YEAR(INDEX(TblApplications[Mois bascule],$A197)),MONTH(INDEX(TblApplications[Mois bascule],$A197)),1),""))</f>
        <v/>
      </c>
      <c r="AS197" s="0" t="str">
        <f aca="false">IF($A197="","",INDEX(TblApplications[Mois lib (calc)],$A197))</f>
        <v/>
      </c>
    </row>
    <row r="198" customFormat="false" ht="15" hidden="false" customHeight="false" outlineLevel="0" collapsed="false">
      <c r="A198" s="49" t="str">
        <f aca="false">IFERROR(MATCH(190,TblApplications[Rang frise],0),"")</f>
        <v/>
      </c>
      <c r="B198" s="50" t="str">
        <f aca="false">IF($A198="","",INDEX(TblApplications[ID],$A198))</f>
        <v/>
      </c>
      <c r="C198" s="50" t="str">
        <f aca="false">IF($A198="","",INDEX(TblApplications[Application],$A198))</f>
        <v/>
      </c>
      <c r="D198" s="50" t="str">
        <f aca="false">IF($A198="","",INDEX(TblApplications[Environnement],$A198))</f>
        <v/>
      </c>
      <c r="E198" s="50" t="str">
        <f aca="false">IF($A198="","",INDEX(TblApplications[Couloir],$A198))</f>
        <v/>
      </c>
      <c r="F198" s="50" t="str">
        <f aca="false">IF($A198="","",INDEX(TblApplications[Action],$A198))</f>
        <v/>
      </c>
      <c r="G198" s="51" t="str">
        <f aca="false">IF(OR($A198="",G$8=""),"",IF($F198="Migré","ROKS",IF($F198="À décommissionner",IF(G$8&lt;$AS198,"IKS","Décom."),IF(OR($AQ198="",$AS198=""),"",IF(G$8&lt;$AQ198,"IKS",IF(G$8&lt;$AS198,IF(G$8=$AR198,"Bascule","Double run"),"ROKS"))))))</f>
        <v/>
      </c>
      <c r="H198" s="51" t="str">
        <f aca="false">IF(OR($A198="",H$8=""),"",IF($F198="Migré","ROKS",IF($F198="À décommissionner",IF(H$8&lt;$AS198,"IKS","Décom."),IF(OR($AQ198="",$AS198=""),"",IF(H$8&lt;$AQ198,"IKS",IF(H$8&lt;$AS198,IF(H$8=$AR198,"Bascule","Double run"),"ROKS"))))))</f>
        <v/>
      </c>
      <c r="I198" s="51" t="str">
        <f aca="false">IF(OR($A198="",I$8=""),"",IF($F198="Migré","ROKS",IF($F198="À décommissionner",IF(I$8&lt;$AS198,"IKS","Décom."),IF(OR($AQ198="",$AS198=""),"",IF(I$8&lt;$AQ198,"IKS",IF(I$8&lt;$AS198,IF(I$8=$AR198,"Bascule","Double run"),"ROKS"))))))</f>
        <v/>
      </c>
      <c r="J198" s="51" t="str">
        <f aca="false">IF(OR($A198="",J$8=""),"",IF($F198="Migré","ROKS",IF($F198="À décommissionner",IF(J$8&lt;$AS198,"IKS","Décom."),IF(OR($AQ198="",$AS198=""),"",IF(J$8&lt;$AQ198,"IKS",IF(J$8&lt;$AS198,IF(J$8=$AR198,"Bascule","Double run"),"ROKS"))))))</f>
        <v/>
      </c>
      <c r="K198" s="51" t="str">
        <f aca="false">IF(OR($A198="",K$8=""),"",IF($F198="Migré","ROKS",IF($F198="À décommissionner",IF(K$8&lt;$AS198,"IKS","Décom."),IF(OR($AQ198="",$AS198=""),"",IF(K$8&lt;$AQ198,"IKS",IF(K$8&lt;$AS198,IF(K$8=$AR198,"Bascule","Double run"),"ROKS"))))))</f>
        <v/>
      </c>
      <c r="L198" s="51" t="str">
        <f aca="false">IF(OR($A198="",L$8=""),"",IF($F198="Migré","ROKS",IF($F198="À décommissionner",IF(L$8&lt;$AS198,"IKS","Décom."),IF(OR($AQ198="",$AS198=""),"",IF(L$8&lt;$AQ198,"IKS",IF(L$8&lt;$AS198,IF(L$8=$AR198,"Bascule","Double run"),"ROKS"))))))</f>
        <v/>
      </c>
      <c r="M198" s="51" t="str">
        <f aca="false">IF(OR($A198="",M$8=""),"",IF($F198="Migré","ROKS",IF($F198="À décommissionner",IF(M$8&lt;$AS198,"IKS","Décom."),IF(OR($AQ198="",$AS198=""),"",IF(M$8&lt;$AQ198,"IKS",IF(M$8&lt;$AS198,IF(M$8=$AR198,"Bascule","Double run"),"ROKS"))))))</f>
        <v/>
      </c>
      <c r="N198" s="51" t="str">
        <f aca="false">IF(OR($A198="",N$8=""),"",IF($F198="Migré","ROKS",IF($F198="À décommissionner",IF(N$8&lt;$AS198,"IKS","Décom."),IF(OR($AQ198="",$AS198=""),"",IF(N$8&lt;$AQ198,"IKS",IF(N$8&lt;$AS198,IF(N$8=$AR198,"Bascule","Double run"),"ROKS"))))))</f>
        <v/>
      </c>
      <c r="O198" s="51" t="str">
        <f aca="false">IF(OR($A198="",O$8=""),"",IF($F198="Migré","ROKS",IF($F198="À décommissionner",IF(O$8&lt;$AS198,"IKS","Décom."),IF(OR($AQ198="",$AS198=""),"",IF(O$8&lt;$AQ198,"IKS",IF(O$8&lt;$AS198,IF(O$8=$AR198,"Bascule","Double run"),"ROKS"))))))</f>
        <v/>
      </c>
      <c r="P198" s="51" t="str">
        <f aca="false">IF(OR($A198="",P$8=""),"",IF($F198="Migré","ROKS",IF($F198="À décommissionner",IF(P$8&lt;$AS198,"IKS","Décom."),IF(OR($AQ198="",$AS198=""),"",IF(P$8&lt;$AQ198,"IKS",IF(P$8&lt;$AS198,IF(P$8=$AR198,"Bascule","Double run"),"ROKS"))))))</f>
        <v/>
      </c>
      <c r="Q198" s="51" t="str">
        <f aca="false">IF(OR($A198="",Q$8=""),"",IF($F198="Migré","ROKS",IF($F198="À décommissionner",IF(Q$8&lt;$AS198,"IKS","Décom."),IF(OR($AQ198="",$AS198=""),"",IF(Q$8&lt;$AQ198,"IKS",IF(Q$8&lt;$AS198,IF(Q$8=$AR198,"Bascule","Double run"),"ROKS"))))))</f>
        <v/>
      </c>
      <c r="R198" s="51" t="str">
        <f aca="false">IF(OR($A198="",R$8=""),"",IF($F198="Migré","ROKS",IF($F198="À décommissionner",IF(R$8&lt;$AS198,"IKS","Décom."),IF(OR($AQ198="",$AS198=""),"",IF(R$8&lt;$AQ198,"IKS",IF(R$8&lt;$AS198,IF(R$8=$AR198,"Bascule","Double run"),"ROKS"))))))</f>
        <v/>
      </c>
      <c r="S198" s="51" t="str">
        <f aca="false">IF(OR($A198="",S$8=""),"",IF($F198="Migré","ROKS",IF($F198="À décommissionner",IF(S$8&lt;$AS198,"IKS","Décom."),IF(OR($AQ198="",$AS198=""),"",IF(S$8&lt;$AQ198,"IKS",IF(S$8&lt;$AS198,IF(S$8=$AR198,"Bascule","Double run"),"ROKS"))))))</f>
        <v/>
      </c>
      <c r="T198" s="51" t="str">
        <f aca="false">IF(OR($A198="",T$8=""),"",IF($F198="Migré","ROKS",IF($F198="À décommissionner",IF(T$8&lt;$AS198,"IKS","Décom."),IF(OR($AQ198="",$AS198=""),"",IF(T$8&lt;$AQ198,"IKS",IF(T$8&lt;$AS198,IF(T$8=$AR198,"Bascule","Double run"),"ROKS"))))))</f>
        <v/>
      </c>
      <c r="U198" s="51" t="str">
        <f aca="false">IF(OR($A198="",U$8=""),"",IF($F198="Migré","ROKS",IF($F198="À décommissionner",IF(U$8&lt;$AS198,"IKS","Décom."),IF(OR($AQ198="",$AS198=""),"",IF(U$8&lt;$AQ198,"IKS",IF(U$8&lt;$AS198,IF(U$8=$AR198,"Bascule","Double run"),"ROKS"))))))</f>
        <v/>
      </c>
      <c r="V198" s="51" t="str">
        <f aca="false">IF(OR($A198="",V$8=""),"",IF($F198="Migré","ROKS",IF($F198="À décommissionner",IF(V$8&lt;$AS198,"IKS","Décom."),IF(OR($AQ198="",$AS198=""),"",IF(V$8&lt;$AQ198,"IKS",IF(V$8&lt;$AS198,IF(V$8=$AR198,"Bascule","Double run"),"ROKS"))))))</f>
        <v/>
      </c>
      <c r="W198" s="51" t="str">
        <f aca="false">IF(OR($A198="",W$8=""),"",IF($F198="Migré","ROKS",IF($F198="À décommissionner",IF(W$8&lt;$AS198,"IKS","Décom."),IF(OR($AQ198="",$AS198=""),"",IF(W$8&lt;$AQ198,"IKS",IF(W$8&lt;$AS198,IF(W$8=$AR198,"Bascule","Double run"),"ROKS"))))))</f>
        <v/>
      </c>
      <c r="X198" s="51" t="str">
        <f aca="false">IF(OR($A198="",X$8=""),"",IF($F198="Migré","ROKS",IF($F198="À décommissionner",IF(X$8&lt;$AS198,"IKS","Décom."),IF(OR($AQ198="",$AS198=""),"",IF(X$8&lt;$AQ198,"IKS",IF(X$8&lt;$AS198,IF(X$8=$AR198,"Bascule","Double run"),"ROKS"))))))</f>
        <v/>
      </c>
      <c r="Y198" s="51" t="str">
        <f aca="false">IF(OR($A198="",Y$8=""),"",IF($F198="Migré","ROKS",IF($F198="À décommissionner",IF(Y$8&lt;$AS198,"IKS","Décom."),IF(OR($AQ198="",$AS198=""),"",IF(Y$8&lt;$AQ198,"IKS",IF(Y$8&lt;$AS198,IF(Y$8=$AR198,"Bascule","Double run"),"ROKS"))))))</f>
        <v/>
      </c>
      <c r="Z198" s="51" t="str">
        <f aca="false">IF(OR($A198="",Z$8=""),"",IF($F198="Migré","ROKS",IF($F198="À décommissionner",IF(Z$8&lt;$AS198,"IKS","Décom."),IF(OR($AQ198="",$AS198=""),"",IF(Z$8&lt;$AQ198,"IKS",IF(Z$8&lt;$AS198,IF(Z$8=$AR198,"Bascule","Double run"),"ROKS"))))))</f>
        <v/>
      </c>
      <c r="AA198" s="51" t="str">
        <f aca="false">IF(OR($A198="",AA$8=""),"",IF($F198="Migré","ROKS",IF($F198="À décommissionner",IF(AA$8&lt;$AS198,"IKS","Décom."),IF(OR($AQ198="",$AS198=""),"",IF(AA$8&lt;$AQ198,"IKS",IF(AA$8&lt;$AS198,IF(AA$8=$AR198,"Bascule","Double run"),"ROKS"))))))</f>
        <v/>
      </c>
      <c r="AB198" s="51" t="str">
        <f aca="false">IF(OR($A198="",AB$8=""),"",IF($F198="Migré","ROKS",IF($F198="À décommissionner",IF(AB$8&lt;$AS198,"IKS","Décom."),IF(OR($AQ198="",$AS198=""),"",IF(AB$8&lt;$AQ198,"IKS",IF(AB$8&lt;$AS198,IF(AB$8=$AR198,"Bascule","Double run"),"ROKS"))))))</f>
        <v/>
      </c>
      <c r="AC198" s="51" t="str">
        <f aca="false">IF(OR($A198="",AC$8=""),"",IF($F198="Migré","ROKS",IF($F198="À décommissionner",IF(AC$8&lt;$AS198,"IKS","Décom."),IF(OR($AQ198="",$AS198=""),"",IF(AC$8&lt;$AQ198,"IKS",IF(AC$8&lt;$AS198,IF(AC$8=$AR198,"Bascule","Double run"),"ROKS"))))))</f>
        <v/>
      </c>
      <c r="AD198" s="51" t="str">
        <f aca="false">IF(OR($A198="",AD$8=""),"",IF($F198="Migré","ROKS",IF($F198="À décommissionner",IF(AD$8&lt;$AS198,"IKS","Décom."),IF(OR($AQ198="",$AS198=""),"",IF(AD$8&lt;$AQ198,"IKS",IF(AD$8&lt;$AS198,IF(AD$8=$AR198,"Bascule","Double run"),"ROKS"))))))</f>
        <v/>
      </c>
      <c r="AE198" s="51" t="str">
        <f aca="false">IF(OR($A198="",AE$8=""),"",IF($F198="Migré","ROKS",IF($F198="À décommissionner",IF(AE$8&lt;$AS198,"IKS","Décom."),IF(OR($AQ198="",$AS198=""),"",IF(AE$8&lt;$AQ198,"IKS",IF(AE$8&lt;$AS198,IF(AE$8=$AR198,"Bascule","Double run"),"ROKS"))))))</f>
        <v/>
      </c>
      <c r="AF198" s="51" t="str">
        <f aca="false">IF(OR($A198="",AF$8=""),"",IF($F198="Migré","ROKS",IF($F198="À décommissionner",IF(AF$8&lt;$AS198,"IKS","Décom."),IF(OR($AQ198="",$AS198=""),"",IF(AF$8&lt;$AQ198,"IKS",IF(AF$8&lt;$AS198,IF(AF$8=$AR198,"Bascule","Double run"),"ROKS"))))))</f>
        <v/>
      </c>
      <c r="AG198" s="51" t="str">
        <f aca="false">IF(OR($A198="",AG$8=""),"",IF($F198="Migré","ROKS",IF($F198="À décommissionner",IF(AG$8&lt;$AS198,"IKS","Décom."),IF(OR($AQ198="",$AS198=""),"",IF(AG$8&lt;$AQ198,"IKS",IF(AG$8&lt;$AS198,IF(AG$8=$AR198,"Bascule","Double run"),"ROKS"))))))</f>
        <v/>
      </c>
      <c r="AH198" s="51" t="str">
        <f aca="false">IF(OR($A198="",AH$8=""),"",IF($F198="Migré","ROKS",IF($F198="À décommissionner",IF(AH$8&lt;$AS198,"IKS","Décom."),IF(OR($AQ198="",$AS198=""),"",IF(AH$8&lt;$AQ198,"IKS",IF(AH$8&lt;$AS198,IF(AH$8=$AR198,"Bascule","Double run"),"ROKS"))))))</f>
        <v/>
      </c>
      <c r="AI198" s="51" t="str">
        <f aca="false">IF(OR($A198="",AI$8=""),"",IF($F198="Migré","ROKS",IF($F198="À décommissionner",IF(AI$8&lt;$AS198,"IKS","Décom."),IF(OR($AQ198="",$AS198=""),"",IF(AI$8&lt;$AQ198,"IKS",IF(AI$8&lt;$AS198,IF(AI$8=$AR198,"Bascule","Double run"),"ROKS"))))))</f>
        <v/>
      </c>
      <c r="AJ198" s="51" t="str">
        <f aca="false">IF(OR($A198="",AJ$8=""),"",IF($F198="Migré","ROKS",IF($F198="À décommissionner",IF(AJ$8&lt;$AS198,"IKS","Décom."),IF(OR($AQ198="",$AS198=""),"",IF(AJ$8&lt;$AQ198,"IKS",IF(AJ$8&lt;$AS198,IF(AJ$8=$AR198,"Bascule","Double run"),"ROKS"))))))</f>
        <v/>
      </c>
      <c r="AK198" s="51" t="str">
        <f aca="false">IF(OR($A198="",AK$8=""),"",IF($F198="Migré","ROKS",IF($F198="À décommissionner",IF(AK$8&lt;$AS198,"IKS","Décom."),IF(OR($AQ198="",$AS198=""),"",IF(AK$8&lt;$AQ198,"IKS",IF(AK$8&lt;$AS198,IF(AK$8=$AR198,"Bascule","Double run"),"ROKS"))))))</f>
        <v/>
      </c>
      <c r="AL198" s="51" t="str">
        <f aca="false">IF(OR($A198="",AL$8=""),"",IF($F198="Migré","ROKS",IF($F198="À décommissionner",IF(AL$8&lt;$AS198,"IKS","Décom."),IF(OR($AQ198="",$AS198=""),"",IF(AL$8&lt;$AQ198,"IKS",IF(AL$8&lt;$AS198,IF(AL$8=$AR198,"Bascule","Double run"),"ROKS"))))))</f>
        <v/>
      </c>
      <c r="AM198" s="51" t="str">
        <f aca="false">IF(OR($A198="",AM$8=""),"",IF($F198="Migré","ROKS",IF($F198="À décommissionner",IF(AM$8&lt;$AS198,"IKS","Décom."),IF(OR($AQ198="",$AS198=""),"",IF(AM$8&lt;$AQ198,"IKS",IF(AM$8&lt;$AS198,IF(AM$8=$AR198,"Bascule","Double run"),"ROKS"))))))</f>
        <v/>
      </c>
      <c r="AN198" s="51" t="str">
        <f aca="false">IF(OR($A198="",AN$8=""),"",IF($F198="Migré","ROKS",IF($F198="À décommissionner",IF(AN$8&lt;$AS198,"IKS","Décom."),IF(OR($AQ198="",$AS198=""),"",IF(AN$8&lt;$AQ198,"IKS",IF(AN$8&lt;$AS198,IF(AN$8=$AR198,"Bascule","Double run"),"ROKS"))))))</f>
        <v/>
      </c>
      <c r="AO198" s="51" t="str">
        <f aca="false">IF(OR($A198="",AO$8=""),"",IF($F198="Migré","ROKS",IF($F198="À décommissionner",IF(AO$8&lt;$AS198,"IKS","Décom."),IF(OR($AQ198="",$AS198=""),"",IF(AO$8&lt;$AQ198,"IKS",IF(AO$8&lt;$AS198,IF(AO$8=$AR198,"Bascule","Double run"),"ROKS"))))))</f>
        <v/>
      </c>
      <c r="AP198" s="51" t="str">
        <f aca="false">IF(OR($A198="",AP$8=""),"",IF($F198="Migré","ROKS",IF($F198="À décommissionner",IF(AP$8&lt;$AS198,"IKS","Décom."),IF(OR($AQ198="",$AS198=""),"",IF(AP$8&lt;$AQ198,"IKS",IF(AP$8&lt;$AS198,IF(AP$8=$AR198,"Bascule","Double run"),"ROKS"))))))</f>
        <v/>
      </c>
      <c r="AQ198" s="0" t="str">
        <f aca="false">IF($A198="","",INDEX(TblApplications[Mois prov (calc)],$A198))</f>
        <v/>
      </c>
      <c r="AR198" s="0" t="str">
        <f aca="false">IF($A198="","",IFERROR(DATE(YEAR(INDEX(TblApplications[Mois bascule],$A198)),MONTH(INDEX(TblApplications[Mois bascule],$A198)),1),""))</f>
        <v/>
      </c>
      <c r="AS198" s="0" t="str">
        <f aca="false">IF($A198="","",INDEX(TblApplications[Mois lib (calc)],$A198))</f>
        <v/>
      </c>
    </row>
    <row r="199" customFormat="false" ht="15" hidden="false" customHeight="false" outlineLevel="0" collapsed="false">
      <c r="A199" s="49" t="str">
        <f aca="false">IFERROR(MATCH(191,TblApplications[Rang frise],0),"")</f>
        <v/>
      </c>
      <c r="B199" s="50" t="str">
        <f aca="false">IF($A199="","",INDEX(TblApplications[ID],$A199))</f>
        <v/>
      </c>
      <c r="C199" s="50" t="str">
        <f aca="false">IF($A199="","",INDEX(TblApplications[Application],$A199))</f>
        <v/>
      </c>
      <c r="D199" s="50" t="str">
        <f aca="false">IF($A199="","",INDEX(TblApplications[Environnement],$A199))</f>
        <v/>
      </c>
      <c r="E199" s="50" t="str">
        <f aca="false">IF($A199="","",INDEX(TblApplications[Couloir],$A199))</f>
        <v/>
      </c>
      <c r="F199" s="50" t="str">
        <f aca="false">IF($A199="","",INDEX(TblApplications[Action],$A199))</f>
        <v/>
      </c>
      <c r="G199" s="51" t="str">
        <f aca="false">IF(OR($A199="",G$8=""),"",IF($F199="Migré","ROKS",IF($F199="À décommissionner",IF(G$8&lt;$AS199,"IKS","Décom."),IF(OR($AQ199="",$AS199=""),"",IF(G$8&lt;$AQ199,"IKS",IF(G$8&lt;$AS199,IF(G$8=$AR199,"Bascule","Double run"),"ROKS"))))))</f>
        <v/>
      </c>
      <c r="H199" s="51" t="str">
        <f aca="false">IF(OR($A199="",H$8=""),"",IF($F199="Migré","ROKS",IF($F199="À décommissionner",IF(H$8&lt;$AS199,"IKS","Décom."),IF(OR($AQ199="",$AS199=""),"",IF(H$8&lt;$AQ199,"IKS",IF(H$8&lt;$AS199,IF(H$8=$AR199,"Bascule","Double run"),"ROKS"))))))</f>
        <v/>
      </c>
      <c r="I199" s="51" t="str">
        <f aca="false">IF(OR($A199="",I$8=""),"",IF($F199="Migré","ROKS",IF($F199="À décommissionner",IF(I$8&lt;$AS199,"IKS","Décom."),IF(OR($AQ199="",$AS199=""),"",IF(I$8&lt;$AQ199,"IKS",IF(I$8&lt;$AS199,IF(I$8=$AR199,"Bascule","Double run"),"ROKS"))))))</f>
        <v/>
      </c>
      <c r="J199" s="51" t="str">
        <f aca="false">IF(OR($A199="",J$8=""),"",IF($F199="Migré","ROKS",IF($F199="À décommissionner",IF(J$8&lt;$AS199,"IKS","Décom."),IF(OR($AQ199="",$AS199=""),"",IF(J$8&lt;$AQ199,"IKS",IF(J$8&lt;$AS199,IF(J$8=$AR199,"Bascule","Double run"),"ROKS"))))))</f>
        <v/>
      </c>
      <c r="K199" s="51" t="str">
        <f aca="false">IF(OR($A199="",K$8=""),"",IF($F199="Migré","ROKS",IF($F199="À décommissionner",IF(K$8&lt;$AS199,"IKS","Décom."),IF(OR($AQ199="",$AS199=""),"",IF(K$8&lt;$AQ199,"IKS",IF(K$8&lt;$AS199,IF(K$8=$AR199,"Bascule","Double run"),"ROKS"))))))</f>
        <v/>
      </c>
      <c r="L199" s="51" t="str">
        <f aca="false">IF(OR($A199="",L$8=""),"",IF($F199="Migré","ROKS",IF($F199="À décommissionner",IF(L$8&lt;$AS199,"IKS","Décom."),IF(OR($AQ199="",$AS199=""),"",IF(L$8&lt;$AQ199,"IKS",IF(L$8&lt;$AS199,IF(L$8=$AR199,"Bascule","Double run"),"ROKS"))))))</f>
        <v/>
      </c>
      <c r="M199" s="51" t="str">
        <f aca="false">IF(OR($A199="",M$8=""),"",IF($F199="Migré","ROKS",IF($F199="À décommissionner",IF(M$8&lt;$AS199,"IKS","Décom."),IF(OR($AQ199="",$AS199=""),"",IF(M$8&lt;$AQ199,"IKS",IF(M$8&lt;$AS199,IF(M$8=$AR199,"Bascule","Double run"),"ROKS"))))))</f>
        <v/>
      </c>
      <c r="N199" s="51" t="str">
        <f aca="false">IF(OR($A199="",N$8=""),"",IF($F199="Migré","ROKS",IF($F199="À décommissionner",IF(N$8&lt;$AS199,"IKS","Décom."),IF(OR($AQ199="",$AS199=""),"",IF(N$8&lt;$AQ199,"IKS",IF(N$8&lt;$AS199,IF(N$8=$AR199,"Bascule","Double run"),"ROKS"))))))</f>
        <v/>
      </c>
      <c r="O199" s="51" t="str">
        <f aca="false">IF(OR($A199="",O$8=""),"",IF($F199="Migré","ROKS",IF($F199="À décommissionner",IF(O$8&lt;$AS199,"IKS","Décom."),IF(OR($AQ199="",$AS199=""),"",IF(O$8&lt;$AQ199,"IKS",IF(O$8&lt;$AS199,IF(O$8=$AR199,"Bascule","Double run"),"ROKS"))))))</f>
        <v/>
      </c>
      <c r="P199" s="51" t="str">
        <f aca="false">IF(OR($A199="",P$8=""),"",IF($F199="Migré","ROKS",IF($F199="À décommissionner",IF(P$8&lt;$AS199,"IKS","Décom."),IF(OR($AQ199="",$AS199=""),"",IF(P$8&lt;$AQ199,"IKS",IF(P$8&lt;$AS199,IF(P$8=$AR199,"Bascule","Double run"),"ROKS"))))))</f>
        <v/>
      </c>
      <c r="Q199" s="51" t="str">
        <f aca="false">IF(OR($A199="",Q$8=""),"",IF($F199="Migré","ROKS",IF($F199="À décommissionner",IF(Q$8&lt;$AS199,"IKS","Décom."),IF(OR($AQ199="",$AS199=""),"",IF(Q$8&lt;$AQ199,"IKS",IF(Q$8&lt;$AS199,IF(Q$8=$AR199,"Bascule","Double run"),"ROKS"))))))</f>
        <v/>
      </c>
      <c r="R199" s="51" t="str">
        <f aca="false">IF(OR($A199="",R$8=""),"",IF($F199="Migré","ROKS",IF($F199="À décommissionner",IF(R$8&lt;$AS199,"IKS","Décom."),IF(OR($AQ199="",$AS199=""),"",IF(R$8&lt;$AQ199,"IKS",IF(R$8&lt;$AS199,IF(R$8=$AR199,"Bascule","Double run"),"ROKS"))))))</f>
        <v/>
      </c>
      <c r="S199" s="51" t="str">
        <f aca="false">IF(OR($A199="",S$8=""),"",IF($F199="Migré","ROKS",IF($F199="À décommissionner",IF(S$8&lt;$AS199,"IKS","Décom."),IF(OR($AQ199="",$AS199=""),"",IF(S$8&lt;$AQ199,"IKS",IF(S$8&lt;$AS199,IF(S$8=$AR199,"Bascule","Double run"),"ROKS"))))))</f>
        <v/>
      </c>
      <c r="T199" s="51" t="str">
        <f aca="false">IF(OR($A199="",T$8=""),"",IF($F199="Migré","ROKS",IF($F199="À décommissionner",IF(T$8&lt;$AS199,"IKS","Décom."),IF(OR($AQ199="",$AS199=""),"",IF(T$8&lt;$AQ199,"IKS",IF(T$8&lt;$AS199,IF(T$8=$AR199,"Bascule","Double run"),"ROKS"))))))</f>
        <v/>
      </c>
      <c r="U199" s="51" t="str">
        <f aca="false">IF(OR($A199="",U$8=""),"",IF($F199="Migré","ROKS",IF($F199="À décommissionner",IF(U$8&lt;$AS199,"IKS","Décom."),IF(OR($AQ199="",$AS199=""),"",IF(U$8&lt;$AQ199,"IKS",IF(U$8&lt;$AS199,IF(U$8=$AR199,"Bascule","Double run"),"ROKS"))))))</f>
        <v/>
      </c>
      <c r="V199" s="51" t="str">
        <f aca="false">IF(OR($A199="",V$8=""),"",IF($F199="Migré","ROKS",IF($F199="À décommissionner",IF(V$8&lt;$AS199,"IKS","Décom."),IF(OR($AQ199="",$AS199=""),"",IF(V$8&lt;$AQ199,"IKS",IF(V$8&lt;$AS199,IF(V$8=$AR199,"Bascule","Double run"),"ROKS"))))))</f>
        <v/>
      </c>
      <c r="W199" s="51" t="str">
        <f aca="false">IF(OR($A199="",W$8=""),"",IF($F199="Migré","ROKS",IF($F199="À décommissionner",IF(W$8&lt;$AS199,"IKS","Décom."),IF(OR($AQ199="",$AS199=""),"",IF(W$8&lt;$AQ199,"IKS",IF(W$8&lt;$AS199,IF(W$8=$AR199,"Bascule","Double run"),"ROKS"))))))</f>
        <v/>
      </c>
      <c r="X199" s="51" t="str">
        <f aca="false">IF(OR($A199="",X$8=""),"",IF($F199="Migré","ROKS",IF($F199="À décommissionner",IF(X$8&lt;$AS199,"IKS","Décom."),IF(OR($AQ199="",$AS199=""),"",IF(X$8&lt;$AQ199,"IKS",IF(X$8&lt;$AS199,IF(X$8=$AR199,"Bascule","Double run"),"ROKS"))))))</f>
        <v/>
      </c>
      <c r="Y199" s="51" t="str">
        <f aca="false">IF(OR($A199="",Y$8=""),"",IF($F199="Migré","ROKS",IF($F199="À décommissionner",IF(Y$8&lt;$AS199,"IKS","Décom."),IF(OR($AQ199="",$AS199=""),"",IF(Y$8&lt;$AQ199,"IKS",IF(Y$8&lt;$AS199,IF(Y$8=$AR199,"Bascule","Double run"),"ROKS"))))))</f>
        <v/>
      </c>
      <c r="Z199" s="51" t="str">
        <f aca="false">IF(OR($A199="",Z$8=""),"",IF($F199="Migré","ROKS",IF($F199="À décommissionner",IF(Z$8&lt;$AS199,"IKS","Décom."),IF(OR($AQ199="",$AS199=""),"",IF(Z$8&lt;$AQ199,"IKS",IF(Z$8&lt;$AS199,IF(Z$8=$AR199,"Bascule","Double run"),"ROKS"))))))</f>
        <v/>
      </c>
      <c r="AA199" s="51" t="str">
        <f aca="false">IF(OR($A199="",AA$8=""),"",IF($F199="Migré","ROKS",IF($F199="À décommissionner",IF(AA$8&lt;$AS199,"IKS","Décom."),IF(OR($AQ199="",$AS199=""),"",IF(AA$8&lt;$AQ199,"IKS",IF(AA$8&lt;$AS199,IF(AA$8=$AR199,"Bascule","Double run"),"ROKS"))))))</f>
        <v/>
      </c>
      <c r="AB199" s="51" t="str">
        <f aca="false">IF(OR($A199="",AB$8=""),"",IF($F199="Migré","ROKS",IF($F199="À décommissionner",IF(AB$8&lt;$AS199,"IKS","Décom."),IF(OR($AQ199="",$AS199=""),"",IF(AB$8&lt;$AQ199,"IKS",IF(AB$8&lt;$AS199,IF(AB$8=$AR199,"Bascule","Double run"),"ROKS"))))))</f>
        <v/>
      </c>
      <c r="AC199" s="51" t="str">
        <f aca="false">IF(OR($A199="",AC$8=""),"",IF($F199="Migré","ROKS",IF($F199="À décommissionner",IF(AC$8&lt;$AS199,"IKS","Décom."),IF(OR($AQ199="",$AS199=""),"",IF(AC$8&lt;$AQ199,"IKS",IF(AC$8&lt;$AS199,IF(AC$8=$AR199,"Bascule","Double run"),"ROKS"))))))</f>
        <v/>
      </c>
      <c r="AD199" s="51" t="str">
        <f aca="false">IF(OR($A199="",AD$8=""),"",IF($F199="Migré","ROKS",IF($F199="À décommissionner",IF(AD$8&lt;$AS199,"IKS","Décom."),IF(OR($AQ199="",$AS199=""),"",IF(AD$8&lt;$AQ199,"IKS",IF(AD$8&lt;$AS199,IF(AD$8=$AR199,"Bascule","Double run"),"ROKS"))))))</f>
        <v/>
      </c>
      <c r="AE199" s="51" t="str">
        <f aca="false">IF(OR($A199="",AE$8=""),"",IF($F199="Migré","ROKS",IF($F199="À décommissionner",IF(AE$8&lt;$AS199,"IKS","Décom."),IF(OR($AQ199="",$AS199=""),"",IF(AE$8&lt;$AQ199,"IKS",IF(AE$8&lt;$AS199,IF(AE$8=$AR199,"Bascule","Double run"),"ROKS"))))))</f>
        <v/>
      </c>
      <c r="AF199" s="51" t="str">
        <f aca="false">IF(OR($A199="",AF$8=""),"",IF($F199="Migré","ROKS",IF($F199="À décommissionner",IF(AF$8&lt;$AS199,"IKS","Décom."),IF(OR($AQ199="",$AS199=""),"",IF(AF$8&lt;$AQ199,"IKS",IF(AF$8&lt;$AS199,IF(AF$8=$AR199,"Bascule","Double run"),"ROKS"))))))</f>
        <v/>
      </c>
      <c r="AG199" s="51" t="str">
        <f aca="false">IF(OR($A199="",AG$8=""),"",IF($F199="Migré","ROKS",IF($F199="À décommissionner",IF(AG$8&lt;$AS199,"IKS","Décom."),IF(OR($AQ199="",$AS199=""),"",IF(AG$8&lt;$AQ199,"IKS",IF(AG$8&lt;$AS199,IF(AG$8=$AR199,"Bascule","Double run"),"ROKS"))))))</f>
        <v/>
      </c>
      <c r="AH199" s="51" t="str">
        <f aca="false">IF(OR($A199="",AH$8=""),"",IF($F199="Migré","ROKS",IF($F199="À décommissionner",IF(AH$8&lt;$AS199,"IKS","Décom."),IF(OR($AQ199="",$AS199=""),"",IF(AH$8&lt;$AQ199,"IKS",IF(AH$8&lt;$AS199,IF(AH$8=$AR199,"Bascule","Double run"),"ROKS"))))))</f>
        <v/>
      </c>
      <c r="AI199" s="51" t="str">
        <f aca="false">IF(OR($A199="",AI$8=""),"",IF($F199="Migré","ROKS",IF($F199="À décommissionner",IF(AI$8&lt;$AS199,"IKS","Décom."),IF(OR($AQ199="",$AS199=""),"",IF(AI$8&lt;$AQ199,"IKS",IF(AI$8&lt;$AS199,IF(AI$8=$AR199,"Bascule","Double run"),"ROKS"))))))</f>
        <v/>
      </c>
      <c r="AJ199" s="51" t="str">
        <f aca="false">IF(OR($A199="",AJ$8=""),"",IF($F199="Migré","ROKS",IF($F199="À décommissionner",IF(AJ$8&lt;$AS199,"IKS","Décom."),IF(OR($AQ199="",$AS199=""),"",IF(AJ$8&lt;$AQ199,"IKS",IF(AJ$8&lt;$AS199,IF(AJ$8=$AR199,"Bascule","Double run"),"ROKS"))))))</f>
        <v/>
      </c>
      <c r="AK199" s="51" t="str">
        <f aca="false">IF(OR($A199="",AK$8=""),"",IF($F199="Migré","ROKS",IF($F199="À décommissionner",IF(AK$8&lt;$AS199,"IKS","Décom."),IF(OR($AQ199="",$AS199=""),"",IF(AK$8&lt;$AQ199,"IKS",IF(AK$8&lt;$AS199,IF(AK$8=$AR199,"Bascule","Double run"),"ROKS"))))))</f>
        <v/>
      </c>
      <c r="AL199" s="51" t="str">
        <f aca="false">IF(OR($A199="",AL$8=""),"",IF($F199="Migré","ROKS",IF($F199="À décommissionner",IF(AL$8&lt;$AS199,"IKS","Décom."),IF(OR($AQ199="",$AS199=""),"",IF(AL$8&lt;$AQ199,"IKS",IF(AL$8&lt;$AS199,IF(AL$8=$AR199,"Bascule","Double run"),"ROKS"))))))</f>
        <v/>
      </c>
      <c r="AM199" s="51" t="str">
        <f aca="false">IF(OR($A199="",AM$8=""),"",IF($F199="Migré","ROKS",IF($F199="À décommissionner",IF(AM$8&lt;$AS199,"IKS","Décom."),IF(OR($AQ199="",$AS199=""),"",IF(AM$8&lt;$AQ199,"IKS",IF(AM$8&lt;$AS199,IF(AM$8=$AR199,"Bascule","Double run"),"ROKS"))))))</f>
        <v/>
      </c>
      <c r="AN199" s="51" t="str">
        <f aca="false">IF(OR($A199="",AN$8=""),"",IF($F199="Migré","ROKS",IF($F199="À décommissionner",IF(AN$8&lt;$AS199,"IKS","Décom."),IF(OR($AQ199="",$AS199=""),"",IF(AN$8&lt;$AQ199,"IKS",IF(AN$8&lt;$AS199,IF(AN$8=$AR199,"Bascule","Double run"),"ROKS"))))))</f>
        <v/>
      </c>
      <c r="AO199" s="51" t="str">
        <f aca="false">IF(OR($A199="",AO$8=""),"",IF($F199="Migré","ROKS",IF($F199="À décommissionner",IF(AO$8&lt;$AS199,"IKS","Décom."),IF(OR($AQ199="",$AS199=""),"",IF(AO$8&lt;$AQ199,"IKS",IF(AO$8&lt;$AS199,IF(AO$8=$AR199,"Bascule","Double run"),"ROKS"))))))</f>
        <v/>
      </c>
      <c r="AP199" s="51" t="str">
        <f aca="false">IF(OR($A199="",AP$8=""),"",IF($F199="Migré","ROKS",IF($F199="À décommissionner",IF(AP$8&lt;$AS199,"IKS","Décom."),IF(OR($AQ199="",$AS199=""),"",IF(AP$8&lt;$AQ199,"IKS",IF(AP$8&lt;$AS199,IF(AP$8=$AR199,"Bascule","Double run"),"ROKS"))))))</f>
        <v/>
      </c>
      <c r="AQ199" s="0" t="str">
        <f aca="false">IF($A199="","",INDEX(TblApplications[Mois prov (calc)],$A199))</f>
        <v/>
      </c>
      <c r="AR199" s="0" t="str">
        <f aca="false">IF($A199="","",IFERROR(DATE(YEAR(INDEX(TblApplications[Mois bascule],$A199)),MONTH(INDEX(TblApplications[Mois bascule],$A199)),1),""))</f>
        <v/>
      </c>
      <c r="AS199" s="0" t="str">
        <f aca="false">IF($A199="","",INDEX(TblApplications[Mois lib (calc)],$A199))</f>
        <v/>
      </c>
    </row>
    <row r="200" customFormat="false" ht="15" hidden="false" customHeight="false" outlineLevel="0" collapsed="false">
      <c r="A200" s="49" t="str">
        <f aca="false">IFERROR(MATCH(192,TblApplications[Rang frise],0),"")</f>
        <v/>
      </c>
      <c r="B200" s="50" t="str">
        <f aca="false">IF($A200="","",INDEX(TblApplications[ID],$A200))</f>
        <v/>
      </c>
      <c r="C200" s="50" t="str">
        <f aca="false">IF($A200="","",INDEX(TblApplications[Application],$A200))</f>
        <v/>
      </c>
      <c r="D200" s="50" t="str">
        <f aca="false">IF($A200="","",INDEX(TblApplications[Environnement],$A200))</f>
        <v/>
      </c>
      <c r="E200" s="50" t="str">
        <f aca="false">IF($A200="","",INDEX(TblApplications[Couloir],$A200))</f>
        <v/>
      </c>
      <c r="F200" s="50" t="str">
        <f aca="false">IF($A200="","",INDEX(TblApplications[Action],$A200))</f>
        <v/>
      </c>
      <c r="G200" s="51" t="str">
        <f aca="false">IF(OR($A200="",G$8=""),"",IF($F200="Migré","ROKS",IF($F200="À décommissionner",IF(G$8&lt;$AS200,"IKS","Décom."),IF(OR($AQ200="",$AS200=""),"",IF(G$8&lt;$AQ200,"IKS",IF(G$8&lt;$AS200,IF(G$8=$AR200,"Bascule","Double run"),"ROKS"))))))</f>
        <v/>
      </c>
      <c r="H200" s="51" t="str">
        <f aca="false">IF(OR($A200="",H$8=""),"",IF($F200="Migré","ROKS",IF($F200="À décommissionner",IF(H$8&lt;$AS200,"IKS","Décom."),IF(OR($AQ200="",$AS200=""),"",IF(H$8&lt;$AQ200,"IKS",IF(H$8&lt;$AS200,IF(H$8=$AR200,"Bascule","Double run"),"ROKS"))))))</f>
        <v/>
      </c>
      <c r="I200" s="51" t="str">
        <f aca="false">IF(OR($A200="",I$8=""),"",IF($F200="Migré","ROKS",IF($F200="À décommissionner",IF(I$8&lt;$AS200,"IKS","Décom."),IF(OR($AQ200="",$AS200=""),"",IF(I$8&lt;$AQ200,"IKS",IF(I$8&lt;$AS200,IF(I$8=$AR200,"Bascule","Double run"),"ROKS"))))))</f>
        <v/>
      </c>
      <c r="J200" s="51" t="str">
        <f aca="false">IF(OR($A200="",J$8=""),"",IF($F200="Migré","ROKS",IF($F200="À décommissionner",IF(J$8&lt;$AS200,"IKS","Décom."),IF(OR($AQ200="",$AS200=""),"",IF(J$8&lt;$AQ200,"IKS",IF(J$8&lt;$AS200,IF(J$8=$AR200,"Bascule","Double run"),"ROKS"))))))</f>
        <v/>
      </c>
      <c r="K200" s="51" t="str">
        <f aca="false">IF(OR($A200="",K$8=""),"",IF($F200="Migré","ROKS",IF($F200="À décommissionner",IF(K$8&lt;$AS200,"IKS","Décom."),IF(OR($AQ200="",$AS200=""),"",IF(K$8&lt;$AQ200,"IKS",IF(K$8&lt;$AS200,IF(K$8=$AR200,"Bascule","Double run"),"ROKS"))))))</f>
        <v/>
      </c>
      <c r="L200" s="51" t="str">
        <f aca="false">IF(OR($A200="",L$8=""),"",IF($F200="Migré","ROKS",IF($F200="À décommissionner",IF(L$8&lt;$AS200,"IKS","Décom."),IF(OR($AQ200="",$AS200=""),"",IF(L$8&lt;$AQ200,"IKS",IF(L$8&lt;$AS200,IF(L$8=$AR200,"Bascule","Double run"),"ROKS"))))))</f>
        <v/>
      </c>
      <c r="M200" s="51" t="str">
        <f aca="false">IF(OR($A200="",M$8=""),"",IF($F200="Migré","ROKS",IF($F200="À décommissionner",IF(M$8&lt;$AS200,"IKS","Décom."),IF(OR($AQ200="",$AS200=""),"",IF(M$8&lt;$AQ200,"IKS",IF(M$8&lt;$AS200,IF(M$8=$AR200,"Bascule","Double run"),"ROKS"))))))</f>
        <v/>
      </c>
      <c r="N200" s="51" t="str">
        <f aca="false">IF(OR($A200="",N$8=""),"",IF($F200="Migré","ROKS",IF($F200="À décommissionner",IF(N$8&lt;$AS200,"IKS","Décom."),IF(OR($AQ200="",$AS200=""),"",IF(N$8&lt;$AQ200,"IKS",IF(N$8&lt;$AS200,IF(N$8=$AR200,"Bascule","Double run"),"ROKS"))))))</f>
        <v/>
      </c>
      <c r="O200" s="51" t="str">
        <f aca="false">IF(OR($A200="",O$8=""),"",IF($F200="Migré","ROKS",IF($F200="À décommissionner",IF(O$8&lt;$AS200,"IKS","Décom."),IF(OR($AQ200="",$AS200=""),"",IF(O$8&lt;$AQ200,"IKS",IF(O$8&lt;$AS200,IF(O$8=$AR200,"Bascule","Double run"),"ROKS"))))))</f>
        <v/>
      </c>
      <c r="P200" s="51" t="str">
        <f aca="false">IF(OR($A200="",P$8=""),"",IF($F200="Migré","ROKS",IF($F200="À décommissionner",IF(P$8&lt;$AS200,"IKS","Décom."),IF(OR($AQ200="",$AS200=""),"",IF(P$8&lt;$AQ200,"IKS",IF(P$8&lt;$AS200,IF(P$8=$AR200,"Bascule","Double run"),"ROKS"))))))</f>
        <v/>
      </c>
      <c r="Q200" s="51" t="str">
        <f aca="false">IF(OR($A200="",Q$8=""),"",IF($F200="Migré","ROKS",IF($F200="À décommissionner",IF(Q$8&lt;$AS200,"IKS","Décom."),IF(OR($AQ200="",$AS200=""),"",IF(Q$8&lt;$AQ200,"IKS",IF(Q$8&lt;$AS200,IF(Q$8=$AR200,"Bascule","Double run"),"ROKS"))))))</f>
        <v/>
      </c>
      <c r="R200" s="51" t="str">
        <f aca="false">IF(OR($A200="",R$8=""),"",IF($F200="Migré","ROKS",IF($F200="À décommissionner",IF(R$8&lt;$AS200,"IKS","Décom."),IF(OR($AQ200="",$AS200=""),"",IF(R$8&lt;$AQ200,"IKS",IF(R$8&lt;$AS200,IF(R$8=$AR200,"Bascule","Double run"),"ROKS"))))))</f>
        <v/>
      </c>
      <c r="S200" s="51" t="str">
        <f aca="false">IF(OR($A200="",S$8=""),"",IF($F200="Migré","ROKS",IF($F200="À décommissionner",IF(S$8&lt;$AS200,"IKS","Décom."),IF(OR($AQ200="",$AS200=""),"",IF(S$8&lt;$AQ200,"IKS",IF(S$8&lt;$AS200,IF(S$8=$AR200,"Bascule","Double run"),"ROKS"))))))</f>
        <v/>
      </c>
      <c r="T200" s="51" t="str">
        <f aca="false">IF(OR($A200="",T$8=""),"",IF($F200="Migré","ROKS",IF($F200="À décommissionner",IF(T$8&lt;$AS200,"IKS","Décom."),IF(OR($AQ200="",$AS200=""),"",IF(T$8&lt;$AQ200,"IKS",IF(T$8&lt;$AS200,IF(T$8=$AR200,"Bascule","Double run"),"ROKS"))))))</f>
        <v/>
      </c>
      <c r="U200" s="51" t="str">
        <f aca="false">IF(OR($A200="",U$8=""),"",IF($F200="Migré","ROKS",IF($F200="À décommissionner",IF(U$8&lt;$AS200,"IKS","Décom."),IF(OR($AQ200="",$AS200=""),"",IF(U$8&lt;$AQ200,"IKS",IF(U$8&lt;$AS200,IF(U$8=$AR200,"Bascule","Double run"),"ROKS"))))))</f>
        <v/>
      </c>
      <c r="V200" s="51" t="str">
        <f aca="false">IF(OR($A200="",V$8=""),"",IF($F200="Migré","ROKS",IF($F200="À décommissionner",IF(V$8&lt;$AS200,"IKS","Décom."),IF(OR($AQ200="",$AS200=""),"",IF(V$8&lt;$AQ200,"IKS",IF(V$8&lt;$AS200,IF(V$8=$AR200,"Bascule","Double run"),"ROKS"))))))</f>
        <v/>
      </c>
      <c r="W200" s="51" t="str">
        <f aca="false">IF(OR($A200="",W$8=""),"",IF($F200="Migré","ROKS",IF($F200="À décommissionner",IF(W$8&lt;$AS200,"IKS","Décom."),IF(OR($AQ200="",$AS200=""),"",IF(W$8&lt;$AQ200,"IKS",IF(W$8&lt;$AS200,IF(W$8=$AR200,"Bascule","Double run"),"ROKS"))))))</f>
        <v/>
      </c>
      <c r="X200" s="51" t="str">
        <f aca="false">IF(OR($A200="",X$8=""),"",IF($F200="Migré","ROKS",IF($F200="À décommissionner",IF(X$8&lt;$AS200,"IKS","Décom."),IF(OR($AQ200="",$AS200=""),"",IF(X$8&lt;$AQ200,"IKS",IF(X$8&lt;$AS200,IF(X$8=$AR200,"Bascule","Double run"),"ROKS"))))))</f>
        <v/>
      </c>
      <c r="Y200" s="51" t="str">
        <f aca="false">IF(OR($A200="",Y$8=""),"",IF($F200="Migré","ROKS",IF($F200="À décommissionner",IF(Y$8&lt;$AS200,"IKS","Décom."),IF(OR($AQ200="",$AS200=""),"",IF(Y$8&lt;$AQ200,"IKS",IF(Y$8&lt;$AS200,IF(Y$8=$AR200,"Bascule","Double run"),"ROKS"))))))</f>
        <v/>
      </c>
      <c r="Z200" s="51" t="str">
        <f aca="false">IF(OR($A200="",Z$8=""),"",IF($F200="Migré","ROKS",IF($F200="À décommissionner",IF(Z$8&lt;$AS200,"IKS","Décom."),IF(OR($AQ200="",$AS200=""),"",IF(Z$8&lt;$AQ200,"IKS",IF(Z$8&lt;$AS200,IF(Z$8=$AR200,"Bascule","Double run"),"ROKS"))))))</f>
        <v/>
      </c>
      <c r="AA200" s="51" t="str">
        <f aca="false">IF(OR($A200="",AA$8=""),"",IF($F200="Migré","ROKS",IF($F200="À décommissionner",IF(AA$8&lt;$AS200,"IKS","Décom."),IF(OR($AQ200="",$AS200=""),"",IF(AA$8&lt;$AQ200,"IKS",IF(AA$8&lt;$AS200,IF(AA$8=$AR200,"Bascule","Double run"),"ROKS"))))))</f>
        <v/>
      </c>
      <c r="AB200" s="51" t="str">
        <f aca="false">IF(OR($A200="",AB$8=""),"",IF($F200="Migré","ROKS",IF($F200="À décommissionner",IF(AB$8&lt;$AS200,"IKS","Décom."),IF(OR($AQ200="",$AS200=""),"",IF(AB$8&lt;$AQ200,"IKS",IF(AB$8&lt;$AS200,IF(AB$8=$AR200,"Bascule","Double run"),"ROKS"))))))</f>
        <v/>
      </c>
      <c r="AC200" s="51" t="str">
        <f aca="false">IF(OR($A200="",AC$8=""),"",IF($F200="Migré","ROKS",IF($F200="À décommissionner",IF(AC$8&lt;$AS200,"IKS","Décom."),IF(OR($AQ200="",$AS200=""),"",IF(AC$8&lt;$AQ200,"IKS",IF(AC$8&lt;$AS200,IF(AC$8=$AR200,"Bascule","Double run"),"ROKS"))))))</f>
        <v/>
      </c>
      <c r="AD200" s="51" t="str">
        <f aca="false">IF(OR($A200="",AD$8=""),"",IF($F200="Migré","ROKS",IF($F200="À décommissionner",IF(AD$8&lt;$AS200,"IKS","Décom."),IF(OR($AQ200="",$AS200=""),"",IF(AD$8&lt;$AQ200,"IKS",IF(AD$8&lt;$AS200,IF(AD$8=$AR200,"Bascule","Double run"),"ROKS"))))))</f>
        <v/>
      </c>
      <c r="AE200" s="51" t="str">
        <f aca="false">IF(OR($A200="",AE$8=""),"",IF($F200="Migré","ROKS",IF($F200="À décommissionner",IF(AE$8&lt;$AS200,"IKS","Décom."),IF(OR($AQ200="",$AS200=""),"",IF(AE$8&lt;$AQ200,"IKS",IF(AE$8&lt;$AS200,IF(AE$8=$AR200,"Bascule","Double run"),"ROKS"))))))</f>
        <v/>
      </c>
      <c r="AF200" s="51" t="str">
        <f aca="false">IF(OR($A200="",AF$8=""),"",IF($F200="Migré","ROKS",IF($F200="À décommissionner",IF(AF$8&lt;$AS200,"IKS","Décom."),IF(OR($AQ200="",$AS200=""),"",IF(AF$8&lt;$AQ200,"IKS",IF(AF$8&lt;$AS200,IF(AF$8=$AR200,"Bascule","Double run"),"ROKS"))))))</f>
        <v/>
      </c>
      <c r="AG200" s="51" t="str">
        <f aca="false">IF(OR($A200="",AG$8=""),"",IF($F200="Migré","ROKS",IF($F200="À décommissionner",IF(AG$8&lt;$AS200,"IKS","Décom."),IF(OR($AQ200="",$AS200=""),"",IF(AG$8&lt;$AQ200,"IKS",IF(AG$8&lt;$AS200,IF(AG$8=$AR200,"Bascule","Double run"),"ROKS"))))))</f>
        <v/>
      </c>
      <c r="AH200" s="51" t="str">
        <f aca="false">IF(OR($A200="",AH$8=""),"",IF($F200="Migré","ROKS",IF($F200="À décommissionner",IF(AH$8&lt;$AS200,"IKS","Décom."),IF(OR($AQ200="",$AS200=""),"",IF(AH$8&lt;$AQ200,"IKS",IF(AH$8&lt;$AS200,IF(AH$8=$AR200,"Bascule","Double run"),"ROKS"))))))</f>
        <v/>
      </c>
      <c r="AI200" s="51" t="str">
        <f aca="false">IF(OR($A200="",AI$8=""),"",IF($F200="Migré","ROKS",IF($F200="À décommissionner",IF(AI$8&lt;$AS200,"IKS","Décom."),IF(OR($AQ200="",$AS200=""),"",IF(AI$8&lt;$AQ200,"IKS",IF(AI$8&lt;$AS200,IF(AI$8=$AR200,"Bascule","Double run"),"ROKS"))))))</f>
        <v/>
      </c>
      <c r="AJ200" s="51" t="str">
        <f aca="false">IF(OR($A200="",AJ$8=""),"",IF($F200="Migré","ROKS",IF($F200="À décommissionner",IF(AJ$8&lt;$AS200,"IKS","Décom."),IF(OR($AQ200="",$AS200=""),"",IF(AJ$8&lt;$AQ200,"IKS",IF(AJ$8&lt;$AS200,IF(AJ$8=$AR200,"Bascule","Double run"),"ROKS"))))))</f>
        <v/>
      </c>
      <c r="AK200" s="51" t="str">
        <f aca="false">IF(OR($A200="",AK$8=""),"",IF($F200="Migré","ROKS",IF($F200="À décommissionner",IF(AK$8&lt;$AS200,"IKS","Décom."),IF(OR($AQ200="",$AS200=""),"",IF(AK$8&lt;$AQ200,"IKS",IF(AK$8&lt;$AS200,IF(AK$8=$AR200,"Bascule","Double run"),"ROKS"))))))</f>
        <v/>
      </c>
      <c r="AL200" s="51" t="str">
        <f aca="false">IF(OR($A200="",AL$8=""),"",IF($F200="Migré","ROKS",IF($F200="À décommissionner",IF(AL$8&lt;$AS200,"IKS","Décom."),IF(OR($AQ200="",$AS200=""),"",IF(AL$8&lt;$AQ200,"IKS",IF(AL$8&lt;$AS200,IF(AL$8=$AR200,"Bascule","Double run"),"ROKS"))))))</f>
        <v/>
      </c>
      <c r="AM200" s="51" t="str">
        <f aca="false">IF(OR($A200="",AM$8=""),"",IF($F200="Migré","ROKS",IF($F200="À décommissionner",IF(AM$8&lt;$AS200,"IKS","Décom."),IF(OR($AQ200="",$AS200=""),"",IF(AM$8&lt;$AQ200,"IKS",IF(AM$8&lt;$AS200,IF(AM$8=$AR200,"Bascule","Double run"),"ROKS"))))))</f>
        <v/>
      </c>
      <c r="AN200" s="51" t="str">
        <f aca="false">IF(OR($A200="",AN$8=""),"",IF($F200="Migré","ROKS",IF($F200="À décommissionner",IF(AN$8&lt;$AS200,"IKS","Décom."),IF(OR($AQ200="",$AS200=""),"",IF(AN$8&lt;$AQ200,"IKS",IF(AN$8&lt;$AS200,IF(AN$8=$AR200,"Bascule","Double run"),"ROKS"))))))</f>
        <v/>
      </c>
      <c r="AO200" s="51" t="str">
        <f aca="false">IF(OR($A200="",AO$8=""),"",IF($F200="Migré","ROKS",IF($F200="À décommissionner",IF(AO$8&lt;$AS200,"IKS","Décom."),IF(OR($AQ200="",$AS200=""),"",IF(AO$8&lt;$AQ200,"IKS",IF(AO$8&lt;$AS200,IF(AO$8=$AR200,"Bascule","Double run"),"ROKS"))))))</f>
        <v/>
      </c>
      <c r="AP200" s="51" t="str">
        <f aca="false">IF(OR($A200="",AP$8=""),"",IF($F200="Migré","ROKS",IF($F200="À décommissionner",IF(AP$8&lt;$AS200,"IKS","Décom."),IF(OR($AQ200="",$AS200=""),"",IF(AP$8&lt;$AQ200,"IKS",IF(AP$8&lt;$AS200,IF(AP$8=$AR200,"Bascule","Double run"),"ROKS"))))))</f>
        <v/>
      </c>
      <c r="AQ200" s="0" t="str">
        <f aca="false">IF($A200="","",INDEX(TblApplications[Mois prov (calc)],$A200))</f>
        <v/>
      </c>
      <c r="AR200" s="0" t="str">
        <f aca="false">IF($A200="","",IFERROR(DATE(YEAR(INDEX(TblApplications[Mois bascule],$A200)),MONTH(INDEX(TblApplications[Mois bascule],$A200)),1),""))</f>
        <v/>
      </c>
      <c r="AS200" s="0" t="str">
        <f aca="false">IF($A200="","",INDEX(TblApplications[Mois lib (calc)],$A200))</f>
        <v/>
      </c>
    </row>
    <row r="201" customFormat="false" ht="15" hidden="false" customHeight="false" outlineLevel="0" collapsed="false">
      <c r="A201" s="49" t="str">
        <f aca="false">IFERROR(MATCH(193,TblApplications[Rang frise],0),"")</f>
        <v/>
      </c>
      <c r="B201" s="50" t="str">
        <f aca="false">IF($A201="","",INDEX(TblApplications[ID],$A201))</f>
        <v/>
      </c>
      <c r="C201" s="50" t="str">
        <f aca="false">IF($A201="","",INDEX(TblApplications[Application],$A201))</f>
        <v/>
      </c>
      <c r="D201" s="50" t="str">
        <f aca="false">IF($A201="","",INDEX(TblApplications[Environnement],$A201))</f>
        <v/>
      </c>
      <c r="E201" s="50" t="str">
        <f aca="false">IF($A201="","",INDEX(TblApplications[Couloir],$A201))</f>
        <v/>
      </c>
      <c r="F201" s="50" t="str">
        <f aca="false">IF($A201="","",INDEX(TblApplications[Action],$A201))</f>
        <v/>
      </c>
      <c r="G201" s="51" t="str">
        <f aca="false">IF(OR($A201="",G$8=""),"",IF($F201="Migré","ROKS",IF($F201="À décommissionner",IF(G$8&lt;$AS201,"IKS","Décom."),IF(OR($AQ201="",$AS201=""),"",IF(G$8&lt;$AQ201,"IKS",IF(G$8&lt;$AS201,IF(G$8=$AR201,"Bascule","Double run"),"ROKS"))))))</f>
        <v/>
      </c>
      <c r="H201" s="51" t="str">
        <f aca="false">IF(OR($A201="",H$8=""),"",IF($F201="Migré","ROKS",IF($F201="À décommissionner",IF(H$8&lt;$AS201,"IKS","Décom."),IF(OR($AQ201="",$AS201=""),"",IF(H$8&lt;$AQ201,"IKS",IF(H$8&lt;$AS201,IF(H$8=$AR201,"Bascule","Double run"),"ROKS"))))))</f>
        <v/>
      </c>
      <c r="I201" s="51" t="str">
        <f aca="false">IF(OR($A201="",I$8=""),"",IF($F201="Migré","ROKS",IF($F201="À décommissionner",IF(I$8&lt;$AS201,"IKS","Décom."),IF(OR($AQ201="",$AS201=""),"",IF(I$8&lt;$AQ201,"IKS",IF(I$8&lt;$AS201,IF(I$8=$AR201,"Bascule","Double run"),"ROKS"))))))</f>
        <v/>
      </c>
      <c r="J201" s="51" t="str">
        <f aca="false">IF(OR($A201="",J$8=""),"",IF($F201="Migré","ROKS",IF($F201="À décommissionner",IF(J$8&lt;$AS201,"IKS","Décom."),IF(OR($AQ201="",$AS201=""),"",IF(J$8&lt;$AQ201,"IKS",IF(J$8&lt;$AS201,IF(J$8=$AR201,"Bascule","Double run"),"ROKS"))))))</f>
        <v/>
      </c>
      <c r="K201" s="51" t="str">
        <f aca="false">IF(OR($A201="",K$8=""),"",IF($F201="Migré","ROKS",IF($F201="À décommissionner",IF(K$8&lt;$AS201,"IKS","Décom."),IF(OR($AQ201="",$AS201=""),"",IF(K$8&lt;$AQ201,"IKS",IF(K$8&lt;$AS201,IF(K$8=$AR201,"Bascule","Double run"),"ROKS"))))))</f>
        <v/>
      </c>
      <c r="L201" s="51" t="str">
        <f aca="false">IF(OR($A201="",L$8=""),"",IF($F201="Migré","ROKS",IF($F201="À décommissionner",IF(L$8&lt;$AS201,"IKS","Décom."),IF(OR($AQ201="",$AS201=""),"",IF(L$8&lt;$AQ201,"IKS",IF(L$8&lt;$AS201,IF(L$8=$AR201,"Bascule","Double run"),"ROKS"))))))</f>
        <v/>
      </c>
      <c r="M201" s="51" t="str">
        <f aca="false">IF(OR($A201="",M$8=""),"",IF($F201="Migré","ROKS",IF($F201="À décommissionner",IF(M$8&lt;$AS201,"IKS","Décom."),IF(OR($AQ201="",$AS201=""),"",IF(M$8&lt;$AQ201,"IKS",IF(M$8&lt;$AS201,IF(M$8=$AR201,"Bascule","Double run"),"ROKS"))))))</f>
        <v/>
      </c>
      <c r="N201" s="51" t="str">
        <f aca="false">IF(OR($A201="",N$8=""),"",IF($F201="Migré","ROKS",IF($F201="À décommissionner",IF(N$8&lt;$AS201,"IKS","Décom."),IF(OR($AQ201="",$AS201=""),"",IF(N$8&lt;$AQ201,"IKS",IF(N$8&lt;$AS201,IF(N$8=$AR201,"Bascule","Double run"),"ROKS"))))))</f>
        <v/>
      </c>
      <c r="O201" s="51" t="str">
        <f aca="false">IF(OR($A201="",O$8=""),"",IF($F201="Migré","ROKS",IF($F201="À décommissionner",IF(O$8&lt;$AS201,"IKS","Décom."),IF(OR($AQ201="",$AS201=""),"",IF(O$8&lt;$AQ201,"IKS",IF(O$8&lt;$AS201,IF(O$8=$AR201,"Bascule","Double run"),"ROKS"))))))</f>
        <v/>
      </c>
      <c r="P201" s="51" t="str">
        <f aca="false">IF(OR($A201="",P$8=""),"",IF($F201="Migré","ROKS",IF($F201="À décommissionner",IF(P$8&lt;$AS201,"IKS","Décom."),IF(OR($AQ201="",$AS201=""),"",IF(P$8&lt;$AQ201,"IKS",IF(P$8&lt;$AS201,IF(P$8=$AR201,"Bascule","Double run"),"ROKS"))))))</f>
        <v/>
      </c>
      <c r="Q201" s="51" t="str">
        <f aca="false">IF(OR($A201="",Q$8=""),"",IF($F201="Migré","ROKS",IF($F201="À décommissionner",IF(Q$8&lt;$AS201,"IKS","Décom."),IF(OR($AQ201="",$AS201=""),"",IF(Q$8&lt;$AQ201,"IKS",IF(Q$8&lt;$AS201,IF(Q$8=$AR201,"Bascule","Double run"),"ROKS"))))))</f>
        <v/>
      </c>
      <c r="R201" s="51" t="str">
        <f aca="false">IF(OR($A201="",R$8=""),"",IF($F201="Migré","ROKS",IF($F201="À décommissionner",IF(R$8&lt;$AS201,"IKS","Décom."),IF(OR($AQ201="",$AS201=""),"",IF(R$8&lt;$AQ201,"IKS",IF(R$8&lt;$AS201,IF(R$8=$AR201,"Bascule","Double run"),"ROKS"))))))</f>
        <v/>
      </c>
      <c r="S201" s="51" t="str">
        <f aca="false">IF(OR($A201="",S$8=""),"",IF($F201="Migré","ROKS",IF($F201="À décommissionner",IF(S$8&lt;$AS201,"IKS","Décom."),IF(OR($AQ201="",$AS201=""),"",IF(S$8&lt;$AQ201,"IKS",IF(S$8&lt;$AS201,IF(S$8=$AR201,"Bascule","Double run"),"ROKS"))))))</f>
        <v/>
      </c>
      <c r="T201" s="51" t="str">
        <f aca="false">IF(OR($A201="",T$8=""),"",IF($F201="Migré","ROKS",IF($F201="À décommissionner",IF(T$8&lt;$AS201,"IKS","Décom."),IF(OR($AQ201="",$AS201=""),"",IF(T$8&lt;$AQ201,"IKS",IF(T$8&lt;$AS201,IF(T$8=$AR201,"Bascule","Double run"),"ROKS"))))))</f>
        <v/>
      </c>
      <c r="U201" s="51" t="str">
        <f aca="false">IF(OR($A201="",U$8=""),"",IF($F201="Migré","ROKS",IF($F201="À décommissionner",IF(U$8&lt;$AS201,"IKS","Décom."),IF(OR($AQ201="",$AS201=""),"",IF(U$8&lt;$AQ201,"IKS",IF(U$8&lt;$AS201,IF(U$8=$AR201,"Bascule","Double run"),"ROKS"))))))</f>
        <v/>
      </c>
      <c r="V201" s="51" t="str">
        <f aca="false">IF(OR($A201="",V$8=""),"",IF($F201="Migré","ROKS",IF($F201="À décommissionner",IF(V$8&lt;$AS201,"IKS","Décom."),IF(OR($AQ201="",$AS201=""),"",IF(V$8&lt;$AQ201,"IKS",IF(V$8&lt;$AS201,IF(V$8=$AR201,"Bascule","Double run"),"ROKS"))))))</f>
        <v/>
      </c>
      <c r="W201" s="51" t="str">
        <f aca="false">IF(OR($A201="",W$8=""),"",IF($F201="Migré","ROKS",IF($F201="À décommissionner",IF(W$8&lt;$AS201,"IKS","Décom."),IF(OR($AQ201="",$AS201=""),"",IF(W$8&lt;$AQ201,"IKS",IF(W$8&lt;$AS201,IF(W$8=$AR201,"Bascule","Double run"),"ROKS"))))))</f>
        <v/>
      </c>
      <c r="X201" s="51" t="str">
        <f aca="false">IF(OR($A201="",X$8=""),"",IF($F201="Migré","ROKS",IF($F201="À décommissionner",IF(X$8&lt;$AS201,"IKS","Décom."),IF(OR($AQ201="",$AS201=""),"",IF(X$8&lt;$AQ201,"IKS",IF(X$8&lt;$AS201,IF(X$8=$AR201,"Bascule","Double run"),"ROKS"))))))</f>
        <v/>
      </c>
      <c r="Y201" s="51" t="str">
        <f aca="false">IF(OR($A201="",Y$8=""),"",IF($F201="Migré","ROKS",IF($F201="À décommissionner",IF(Y$8&lt;$AS201,"IKS","Décom."),IF(OR($AQ201="",$AS201=""),"",IF(Y$8&lt;$AQ201,"IKS",IF(Y$8&lt;$AS201,IF(Y$8=$AR201,"Bascule","Double run"),"ROKS"))))))</f>
        <v/>
      </c>
      <c r="Z201" s="51" t="str">
        <f aca="false">IF(OR($A201="",Z$8=""),"",IF($F201="Migré","ROKS",IF($F201="À décommissionner",IF(Z$8&lt;$AS201,"IKS","Décom."),IF(OR($AQ201="",$AS201=""),"",IF(Z$8&lt;$AQ201,"IKS",IF(Z$8&lt;$AS201,IF(Z$8=$AR201,"Bascule","Double run"),"ROKS"))))))</f>
        <v/>
      </c>
      <c r="AA201" s="51" t="str">
        <f aca="false">IF(OR($A201="",AA$8=""),"",IF($F201="Migré","ROKS",IF($F201="À décommissionner",IF(AA$8&lt;$AS201,"IKS","Décom."),IF(OR($AQ201="",$AS201=""),"",IF(AA$8&lt;$AQ201,"IKS",IF(AA$8&lt;$AS201,IF(AA$8=$AR201,"Bascule","Double run"),"ROKS"))))))</f>
        <v/>
      </c>
      <c r="AB201" s="51" t="str">
        <f aca="false">IF(OR($A201="",AB$8=""),"",IF($F201="Migré","ROKS",IF($F201="À décommissionner",IF(AB$8&lt;$AS201,"IKS","Décom."),IF(OR($AQ201="",$AS201=""),"",IF(AB$8&lt;$AQ201,"IKS",IF(AB$8&lt;$AS201,IF(AB$8=$AR201,"Bascule","Double run"),"ROKS"))))))</f>
        <v/>
      </c>
      <c r="AC201" s="51" t="str">
        <f aca="false">IF(OR($A201="",AC$8=""),"",IF($F201="Migré","ROKS",IF($F201="À décommissionner",IF(AC$8&lt;$AS201,"IKS","Décom."),IF(OR($AQ201="",$AS201=""),"",IF(AC$8&lt;$AQ201,"IKS",IF(AC$8&lt;$AS201,IF(AC$8=$AR201,"Bascule","Double run"),"ROKS"))))))</f>
        <v/>
      </c>
      <c r="AD201" s="51" t="str">
        <f aca="false">IF(OR($A201="",AD$8=""),"",IF($F201="Migré","ROKS",IF($F201="À décommissionner",IF(AD$8&lt;$AS201,"IKS","Décom."),IF(OR($AQ201="",$AS201=""),"",IF(AD$8&lt;$AQ201,"IKS",IF(AD$8&lt;$AS201,IF(AD$8=$AR201,"Bascule","Double run"),"ROKS"))))))</f>
        <v/>
      </c>
      <c r="AE201" s="51" t="str">
        <f aca="false">IF(OR($A201="",AE$8=""),"",IF($F201="Migré","ROKS",IF($F201="À décommissionner",IF(AE$8&lt;$AS201,"IKS","Décom."),IF(OR($AQ201="",$AS201=""),"",IF(AE$8&lt;$AQ201,"IKS",IF(AE$8&lt;$AS201,IF(AE$8=$AR201,"Bascule","Double run"),"ROKS"))))))</f>
        <v/>
      </c>
      <c r="AF201" s="51" t="str">
        <f aca="false">IF(OR($A201="",AF$8=""),"",IF($F201="Migré","ROKS",IF($F201="À décommissionner",IF(AF$8&lt;$AS201,"IKS","Décom."),IF(OR($AQ201="",$AS201=""),"",IF(AF$8&lt;$AQ201,"IKS",IF(AF$8&lt;$AS201,IF(AF$8=$AR201,"Bascule","Double run"),"ROKS"))))))</f>
        <v/>
      </c>
      <c r="AG201" s="51" t="str">
        <f aca="false">IF(OR($A201="",AG$8=""),"",IF($F201="Migré","ROKS",IF($F201="À décommissionner",IF(AG$8&lt;$AS201,"IKS","Décom."),IF(OR($AQ201="",$AS201=""),"",IF(AG$8&lt;$AQ201,"IKS",IF(AG$8&lt;$AS201,IF(AG$8=$AR201,"Bascule","Double run"),"ROKS"))))))</f>
        <v/>
      </c>
      <c r="AH201" s="51" t="str">
        <f aca="false">IF(OR($A201="",AH$8=""),"",IF($F201="Migré","ROKS",IF($F201="À décommissionner",IF(AH$8&lt;$AS201,"IKS","Décom."),IF(OR($AQ201="",$AS201=""),"",IF(AH$8&lt;$AQ201,"IKS",IF(AH$8&lt;$AS201,IF(AH$8=$AR201,"Bascule","Double run"),"ROKS"))))))</f>
        <v/>
      </c>
      <c r="AI201" s="51" t="str">
        <f aca="false">IF(OR($A201="",AI$8=""),"",IF($F201="Migré","ROKS",IF($F201="À décommissionner",IF(AI$8&lt;$AS201,"IKS","Décom."),IF(OR($AQ201="",$AS201=""),"",IF(AI$8&lt;$AQ201,"IKS",IF(AI$8&lt;$AS201,IF(AI$8=$AR201,"Bascule","Double run"),"ROKS"))))))</f>
        <v/>
      </c>
      <c r="AJ201" s="51" t="str">
        <f aca="false">IF(OR($A201="",AJ$8=""),"",IF($F201="Migré","ROKS",IF($F201="À décommissionner",IF(AJ$8&lt;$AS201,"IKS","Décom."),IF(OR($AQ201="",$AS201=""),"",IF(AJ$8&lt;$AQ201,"IKS",IF(AJ$8&lt;$AS201,IF(AJ$8=$AR201,"Bascule","Double run"),"ROKS"))))))</f>
        <v/>
      </c>
      <c r="AK201" s="51" t="str">
        <f aca="false">IF(OR($A201="",AK$8=""),"",IF($F201="Migré","ROKS",IF($F201="À décommissionner",IF(AK$8&lt;$AS201,"IKS","Décom."),IF(OR($AQ201="",$AS201=""),"",IF(AK$8&lt;$AQ201,"IKS",IF(AK$8&lt;$AS201,IF(AK$8=$AR201,"Bascule","Double run"),"ROKS"))))))</f>
        <v/>
      </c>
      <c r="AL201" s="51" t="str">
        <f aca="false">IF(OR($A201="",AL$8=""),"",IF($F201="Migré","ROKS",IF($F201="À décommissionner",IF(AL$8&lt;$AS201,"IKS","Décom."),IF(OR($AQ201="",$AS201=""),"",IF(AL$8&lt;$AQ201,"IKS",IF(AL$8&lt;$AS201,IF(AL$8=$AR201,"Bascule","Double run"),"ROKS"))))))</f>
        <v/>
      </c>
      <c r="AM201" s="51" t="str">
        <f aca="false">IF(OR($A201="",AM$8=""),"",IF($F201="Migré","ROKS",IF($F201="À décommissionner",IF(AM$8&lt;$AS201,"IKS","Décom."),IF(OR($AQ201="",$AS201=""),"",IF(AM$8&lt;$AQ201,"IKS",IF(AM$8&lt;$AS201,IF(AM$8=$AR201,"Bascule","Double run"),"ROKS"))))))</f>
        <v/>
      </c>
      <c r="AN201" s="51" t="str">
        <f aca="false">IF(OR($A201="",AN$8=""),"",IF($F201="Migré","ROKS",IF($F201="À décommissionner",IF(AN$8&lt;$AS201,"IKS","Décom."),IF(OR($AQ201="",$AS201=""),"",IF(AN$8&lt;$AQ201,"IKS",IF(AN$8&lt;$AS201,IF(AN$8=$AR201,"Bascule","Double run"),"ROKS"))))))</f>
        <v/>
      </c>
      <c r="AO201" s="51" t="str">
        <f aca="false">IF(OR($A201="",AO$8=""),"",IF($F201="Migré","ROKS",IF($F201="À décommissionner",IF(AO$8&lt;$AS201,"IKS","Décom."),IF(OR($AQ201="",$AS201=""),"",IF(AO$8&lt;$AQ201,"IKS",IF(AO$8&lt;$AS201,IF(AO$8=$AR201,"Bascule","Double run"),"ROKS"))))))</f>
        <v/>
      </c>
      <c r="AP201" s="51" t="str">
        <f aca="false">IF(OR($A201="",AP$8=""),"",IF($F201="Migré","ROKS",IF($F201="À décommissionner",IF(AP$8&lt;$AS201,"IKS","Décom."),IF(OR($AQ201="",$AS201=""),"",IF(AP$8&lt;$AQ201,"IKS",IF(AP$8&lt;$AS201,IF(AP$8=$AR201,"Bascule","Double run"),"ROKS"))))))</f>
        <v/>
      </c>
      <c r="AQ201" s="0" t="str">
        <f aca="false">IF($A201="","",INDEX(TblApplications[Mois prov (calc)],$A201))</f>
        <v/>
      </c>
      <c r="AR201" s="0" t="str">
        <f aca="false">IF($A201="","",IFERROR(DATE(YEAR(INDEX(TblApplications[Mois bascule],$A201)),MONTH(INDEX(TblApplications[Mois bascule],$A201)),1),""))</f>
        <v/>
      </c>
      <c r="AS201" s="0" t="str">
        <f aca="false">IF($A201="","",INDEX(TblApplications[Mois lib (calc)],$A201))</f>
        <v/>
      </c>
    </row>
    <row r="202" customFormat="false" ht="15" hidden="false" customHeight="false" outlineLevel="0" collapsed="false">
      <c r="A202" s="49" t="str">
        <f aca="false">IFERROR(MATCH(194,TblApplications[Rang frise],0),"")</f>
        <v/>
      </c>
      <c r="B202" s="50" t="str">
        <f aca="false">IF($A202="","",INDEX(TblApplications[ID],$A202))</f>
        <v/>
      </c>
      <c r="C202" s="50" t="str">
        <f aca="false">IF($A202="","",INDEX(TblApplications[Application],$A202))</f>
        <v/>
      </c>
      <c r="D202" s="50" t="str">
        <f aca="false">IF($A202="","",INDEX(TblApplications[Environnement],$A202))</f>
        <v/>
      </c>
      <c r="E202" s="50" t="str">
        <f aca="false">IF($A202="","",INDEX(TblApplications[Couloir],$A202))</f>
        <v/>
      </c>
      <c r="F202" s="50" t="str">
        <f aca="false">IF($A202="","",INDEX(TblApplications[Action],$A202))</f>
        <v/>
      </c>
      <c r="G202" s="51" t="str">
        <f aca="false">IF(OR($A202="",G$8=""),"",IF($F202="Migré","ROKS",IF($F202="À décommissionner",IF(G$8&lt;$AS202,"IKS","Décom."),IF(OR($AQ202="",$AS202=""),"",IF(G$8&lt;$AQ202,"IKS",IF(G$8&lt;$AS202,IF(G$8=$AR202,"Bascule","Double run"),"ROKS"))))))</f>
        <v/>
      </c>
      <c r="H202" s="51" t="str">
        <f aca="false">IF(OR($A202="",H$8=""),"",IF($F202="Migré","ROKS",IF($F202="À décommissionner",IF(H$8&lt;$AS202,"IKS","Décom."),IF(OR($AQ202="",$AS202=""),"",IF(H$8&lt;$AQ202,"IKS",IF(H$8&lt;$AS202,IF(H$8=$AR202,"Bascule","Double run"),"ROKS"))))))</f>
        <v/>
      </c>
      <c r="I202" s="51" t="str">
        <f aca="false">IF(OR($A202="",I$8=""),"",IF($F202="Migré","ROKS",IF($F202="À décommissionner",IF(I$8&lt;$AS202,"IKS","Décom."),IF(OR($AQ202="",$AS202=""),"",IF(I$8&lt;$AQ202,"IKS",IF(I$8&lt;$AS202,IF(I$8=$AR202,"Bascule","Double run"),"ROKS"))))))</f>
        <v/>
      </c>
      <c r="J202" s="51" t="str">
        <f aca="false">IF(OR($A202="",J$8=""),"",IF($F202="Migré","ROKS",IF($F202="À décommissionner",IF(J$8&lt;$AS202,"IKS","Décom."),IF(OR($AQ202="",$AS202=""),"",IF(J$8&lt;$AQ202,"IKS",IF(J$8&lt;$AS202,IF(J$8=$AR202,"Bascule","Double run"),"ROKS"))))))</f>
        <v/>
      </c>
      <c r="K202" s="51" t="str">
        <f aca="false">IF(OR($A202="",K$8=""),"",IF($F202="Migré","ROKS",IF($F202="À décommissionner",IF(K$8&lt;$AS202,"IKS","Décom."),IF(OR($AQ202="",$AS202=""),"",IF(K$8&lt;$AQ202,"IKS",IF(K$8&lt;$AS202,IF(K$8=$AR202,"Bascule","Double run"),"ROKS"))))))</f>
        <v/>
      </c>
      <c r="L202" s="51" t="str">
        <f aca="false">IF(OR($A202="",L$8=""),"",IF($F202="Migré","ROKS",IF($F202="À décommissionner",IF(L$8&lt;$AS202,"IKS","Décom."),IF(OR($AQ202="",$AS202=""),"",IF(L$8&lt;$AQ202,"IKS",IF(L$8&lt;$AS202,IF(L$8=$AR202,"Bascule","Double run"),"ROKS"))))))</f>
        <v/>
      </c>
      <c r="M202" s="51" t="str">
        <f aca="false">IF(OR($A202="",M$8=""),"",IF($F202="Migré","ROKS",IF($F202="À décommissionner",IF(M$8&lt;$AS202,"IKS","Décom."),IF(OR($AQ202="",$AS202=""),"",IF(M$8&lt;$AQ202,"IKS",IF(M$8&lt;$AS202,IF(M$8=$AR202,"Bascule","Double run"),"ROKS"))))))</f>
        <v/>
      </c>
      <c r="N202" s="51" t="str">
        <f aca="false">IF(OR($A202="",N$8=""),"",IF($F202="Migré","ROKS",IF($F202="À décommissionner",IF(N$8&lt;$AS202,"IKS","Décom."),IF(OR($AQ202="",$AS202=""),"",IF(N$8&lt;$AQ202,"IKS",IF(N$8&lt;$AS202,IF(N$8=$AR202,"Bascule","Double run"),"ROKS"))))))</f>
        <v/>
      </c>
      <c r="O202" s="51" t="str">
        <f aca="false">IF(OR($A202="",O$8=""),"",IF($F202="Migré","ROKS",IF($F202="À décommissionner",IF(O$8&lt;$AS202,"IKS","Décom."),IF(OR($AQ202="",$AS202=""),"",IF(O$8&lt;$AQ202,"IKS",IF(O$8&lt;$AS202,IF(O$8=$AR202,"Bascule","Double run"),"ROKS"))))))</f>
        <v/>
      </c>
      <c r="P202" s="51" t="str">
        <f aca="false">IF(OR($A202="",P$8=""),"",IF($F202="Migré","ROKS",IF($F202="À décommissionner",IF(P$8&lt;$AS202,"IKS","Décom."),IF(OR($AQ202="",$AS202=""),"",IF(P$8&lt;$AQ202,"IKS",IF(P$8&lt;$AS202,IF(P$8=$AR202,"Bascule","Double run"),"ROKS"))))))</f>
        <v/>
      </c>
      <c r="Q202" s="51" t="str">
        <f aca="false">IF(OR($A202="",Q$8=""),"",IF($F202="Migré","ROKS",IF($F202="À décommissionner",IF(Q$8&lt;$AS202,"IKS","Décom."),IF(OR($AQ202="",$AS202=""),"",IF(Q$8&lt;$AQ202,"IKS",IF(Q$8&lt;$AS202,IF(Q$8=$AR202,"Bascule","Double run"),"ROKS"))))))</f>
        <v/>
      </c>
      <c r="R202" s="51" t="str">
        <f aca="false">IF(OR($A202="",R$8=""),"",IF($F202="Migré","ROKS",IF($F202="À décommissionner",IF(R$8&lt;$AS202,"IKS","Décom."),IF(OR($AQ202="",$AS202=""),"",IF(R$8&lt;$AQ202,"IKS",IF(R$8&lt;$AS202,IF(R$8=$AR202,"Bascule","Double run"),"ROKS"))))))</f>
        <v/>
      </c>
      <c r="S202" s="51" t="str">
        <f aca="false">IF(OR($A202="",S$8=""),"",IF($F202="Migré","ROKS",IF($F202="À décommissionner",IF(S$8&lt;$AS202,"IKS","Décom."),IF(OR($AQ202="",$AS202=""),"",IF(S$8&lt;$AQ202,"IKS",IF(S$8&lt;$AS202,IF(S$8=$AR202,"Bascule","Double run"),"ROKS"))))))</f>
        <v/>
      </c>
      <c r="T202" s="51" t="str">
        <f aca="false">IF(OR($A202="",T$8=""),"",IF($F202="Migré","ROKS",IF($F202="À décommissionner",IF(T$8&lt;$AS202,"IKS","Décom."),IF(OR($AQ202="",$AS202=""),"",IF(T$8&lt;$AQ202,"IKS",IF(T$8&lt;$AS202,IF(T$8=$AR202,"Bascule","Double run"),"ROKS"))))))</f>
        <v/>
      </c>
      <c r="U202" s="51" t="str">
        <f aca="false">IF(OR($A202="",U$8=""),"",IF($F202="Migré","ROKS",IF($F202="À décommissionner",IF(U$8&lt;$AS202,"IKS","Décom."),IF(OR($AQ202="",$AS202=""),"",IF(U$8&lt;$AQ202,"IKS",IF(U$8&lt;$AS202,IF(U$8=$AR202,"Bascule","Double run"),"ROKS"))))))</f>
        <v/>
      </c>
      <c r="V202" s="51" t="str">
        <f aca="false">IF(OR($A202="",V$8=""),"",IF($F202="Migré","ROKS",IF($F202="À décommissionner",IF(V$8&lt;$AS202,"IKS","Décom."),IF(OR($AQ202="",$AS202=""),"",IF(V$8&lt;$AQ202,"IKS",IF(V$8&lt;$AS202,IF(V$8=$AR202,"Bascule","Double run"),"ROKS"))))))</f>
        <v/>
      </c>
      <c r="W202" s="51" t="str">
        <f aca="false">IF(OR($A202="",W$8=""),"",IF($F202="Migré","ROKS",IF($F202="À décommissionner",IF(W$8&lt;$AS202,"IKS","Décom."),IF(OR($AQ202="",$AS202=""),"",IF(W$8&lt;$AQ202,"IKS",IF(W$8&lt;$AS202,IF(W$8=$AR202,"Bascule","Double run"),"ROKS"))))))</f>
        <v/>
      </c>
      <c r="X202" s="51" t="str">
        <f aca="false">IF(OR($A202="",X$8=""),"",IF($F202="Migré","ROKS",IF($F202="À décommissionner",IF(X$8&lt;$AS202,"IKS","Décom."),IF(OR($AQ202="",$AS202=""),"",IF(X$8&lt;$AQ202,"IKS",IF(X$8&lt;$AS202,IF(X$8=$AR202,"Bascule","Double run"),"ROKS"))))))</f>
        <v/>
      </c>
      <c r="Y202" s="51" t="str">
        <f aca="false">IF(OR($A202="",Y$8=""),"",IF($F202="Migré","ROKS",IF($F202="À décommissionner",IF(Y$8&lt;$AS202,"IKS","Décom."),IF(OR($AQ202="",$AS202=""),"",IF(Y$8&lt;$AQ202,"IKS",IF(Y$8&lt;$AS202,IF(Y$8=$AR202,"Bascule","Double run"),"ROKS"))))))</f>
        <v/>
      </c>
      <c r="Z202" s="51" t="str">
        <f aca="false">IF(OR($A202="",Z$8=""),"",IF($F202="Migré","ROKS",IF($F202="À décommissionner",IF(Z$8&lt;$AS202,"IKS","Décom."),IF(OR($AQ202="",$AS202=""),"",IF(Z$8&lt;$AQ202,"IKS",IF(Z$8&lt;$AS202,IF(Z$8=$AR202,"Bascule","Double run"),"ROKS"))))))</f>
        <v/>
      </c>
      <c r="AA202" s="51" t="str">
        <f aca="false">IF(OR($A202="",AA$8=""),"",IF($F202="Migré","ROKS",IF($F202="À décommissionner",IF(AA$8&lt;$AS202,"IKS","Décom."),IF(OR($AQ202="",$AS202=""),"",IF(AA$8&lt;$AQ202,"IKS",IF(AA$8&lt;$AS202,IF(AA$8=$AR202,"Bascule","Double run"),"ROKS"))))))</f>
        <v/>
      </c>
      <c r="AB202" s="51" t="str">
        <f aca="false">IF(OR($A202="",AB$8=""),"",IF($F202="Migré","ROKS",IF($F202="À décommissionner",IF(AB$8&lt;$AS202,"IKS","Décom."),IF(OR($AQ202="",$AS202=""),"",IF(AB$8&lt;$AQ202,"IKS",IF(AB$8&lt;$AS202,IF(AB$8=$AR202,"Bascule","Double run"),"ROKS"))))))</f>
        <v/>
      </c>
      <c r="AC202" s="51" t="str">
        <f aca="false">IF(OR($A202="",AC$8=""),"",IF($F202="Migré","ROKS",IF($F202="À décommissionner",IF(AC$8&lt;$AS202,"IKS","Décom."),IF(OR($AQ202="",$AS202=""),"",IF(AC$8&lt;$AQ202,"IKS",IF(AC$8&lt;$AS202,IF(AC$8=$AR202,"Bascule","Double run"),"ROKS"))))))</f>
        <v/>
      </c>
      <c r="AD202" s="51" t="str">
        <f aca="false">IF(OR($A202="",AD$8=""),"",IF($F202="Migré","ROKS",IF($F202="À décommissionner",IF(AD$8&lt;$AS202,"IKS","Décom."),IF(OR($AQ202="",$AS202=""),"",IF(AD$8&lt;$AQ202,"IKS",IF(AD$8&lt;$AS202,IF(AD$8=$AR202,"Bascule","Double run"),"ROKS"))))))</f>
        <v/>
      </c>
      <c r="AE202" s="51" t="str">
        <f aca="false">IF(OR($A202="",AE$8=""),"",IF($F202="Migré","ROKS",IF($F202="À décommissionner",IF(AE$8&lt;$AS202,"IKS","Décom."),IF(OR($AQ202="",$AS202=""),"",IF(AE$8&lt;$AQ202,"IKS",IF(AE$8&lt;$AS202,IF(AE$8=$AR202,"Bascule","Double run"),"ROKS"))))))</f>
        <v/>
      </c>
      <c r="AF202" s="51" t="str">
        <f aca="false">IF(OR($A202="",AF$8=""),"",IF($F202="Migré","ROKS",IF($F202="À décommissionner",IF(AF$8&lt;$AS202,"IKS","Décom."),IF(OR($AQ202="",$AS202=""),"",IF(AF$8&lt;$AQ202,"IKS",IF(AF$8&lt;$AS202,IF(AF$8=$AR202,"Bascule","Double run"),"ROKS"))))))</f>
        <v/>
      </c>
      <c r="AG202" s="51" t="str">
        <f aca="false">IF(OR($A202="",AG$8=""),"",IF($F202="Migré","ROKS",IF($F202="À décommissionner",IF(AG$8&lt;$AS202,"IKS","Décom."),IF(OR($AQ202="",$AS202=""),"",IF(AG$8&lt;$AQ202,"IKS",IF(AG$8&lt;$AS202,IF(AG$8=$AR202,"Bascule","Double run"),"ROKS"))))))</f>
        <v/>
      </c>
      <c r="AH202" s="51" t="str">
        <f aca="false">IF(OR($A202="",AH$8=""),"",IF($F202="Migré","ROKS",IF($F202="À décommissionner",IF(AH$8&lt;$AS202,"IKS","Décom."),IF(OR($AQ202="",$AS202=""),"",IF(AH$8&lt;$AQ202,"IKS",IF(AH$8&lt;$AS202,IF(AH$8=$AR202,"Bascule","Double run"),"ROKS"))))))</f>
        <v/>
      </c>
      <c r="AI202" s="51" t="str">
        <f aca="false">IF(OR($A202="",AI$8=""),"",IF($F202="Migré","ROKS",IF($F202="À décommissionner",IF(AI$8&lt;$AS202,"IKS","Décom."),IF(OR($AQ202="",$AS202=""),"",IF(AI$8&lt;$AQ202,"IKS",IF(AI$8&lt;$AS202,IF(AI$8=$AR202,"Bascule","Double run"),"ROKS"))))))</f>
        <v/>
      </c>
      <c r="AJ202" s="51" t="str">
        <f aca="false">IF(OR($A202="",AJ$8=""),"",IF($F202="Migré","ROKS",IF($F202="À décommissionner",IF(AJ$8&lt;$AS202,"IKS","Décom."),IF(OR($AQ202="",$AS202=""),"",IF(AJ$8&lt;$AQ202,"IKS",IF(AJ$8&lt;$AS202,IF(AJ$8=$AR202,"Bascule","Double run"),"ROKS"))))))</f>
        <v/>
      </c>
      <c r="AK202" s="51" t="str">
        <f aca="false">IF(OR($A202="",AK$8=""),"",IF($F202="Migré","ROKS",IF($F202="À décommissionner",IF(AK$8&lt;$AS202,"IKS","Décom."),IF(OR($AQ202="",$AS202=""),"",IF(AK$8&lt;$AQ202,"IKS",IF(AK$8&lt;$AS202,IF(AK$8=$AR202,"Bascule","Double run"),"ROKS"))))))</f>
        <v/>
      </c>
      <c r="AL202" s="51" t="str">
        <f aca="false">IF(OR($A202="",AL$8=""),"",IF($F202="Migré","ROKS",IF($F202="À décommissionner",IF(AL$8&lt;$AS202,"IKS","Décom."),IF(OR($AQ202="",$AS202=""),"",IF(AL$8&lt;$AQ202,"IKS",IF(AL$8&lt;$AS202,IF(AL$8=$AR202,"Bascule","Double run"),"ROKS"))))))</f>
        <v/>
      </c>
      <c r="AM202" s="51" t="str">
        <f aca="false">IF(OR($A202="",AM$8=""),"",IF($F202="Migré","ROKS",IF($F202="À décommissionner",IF(AM$8&lt;$AS202,"IKS","Décom."),IF(OR($AQ202="",$AS202=""),"",IF(AM$8&lt;$AQ202,"IKS",IF(AM$8&lt;$AS202,IF(AM$8=$AR202,"Bascule","Double run"),"ROKS"))))))</f>
        <v/>
      </c>
      <c r="AN202" s="51" t="str">
        <f aca="false">IF(OR($A202="",AN$8=""),"",IF($F202="Migré","ROKS",IF($F202="À décommissionner",IF(AN$8&lt;$AS202,"IKS","Décom."),IF(OR($AQ202="",$AS202=""),"",IF(AN$8&lt;$AQ202,"IKS",IF(AN$8&lt;$AS202,IF(AN$8=$AR202,"Bascule","Double run"),"ROKS"))))))</f>
        <v/>
      </c>
      <c r="AO202" s="51" t="str">
        <f aca="false">IF(OR($A202="",AO$8=""),"",IF($F202="Migré","ROKS",IF($F202="À décommissionner",IF(AO$8&lt;$AS202,"IKS","Décom."),IF(OR($AQ202="",$AS202=""),"",IF(AO$8&lt;$AQ202,"IKS",IF(AO$8&lt;$AS202,IF(AO$8=$AR202,"Bascule","Double run"),"ROKS"))))))</f>
        <v/>
      </c>
      <c r="AP202" s="51" t="str">
        <f aca="false">IF(OR($A202="",AP$8=""),"",IF($F202="Migré","ROKS",IF($F202="À décommissionner",IF(AP$8&lt;$AS202,"IKS","Décom."),IF(OR($AQ202="",$AS202=""),"",IF(AP$8&lt;$AQ202,"IKS",IF(AP$8&lt;$AS202,IF(AP$8=$AR202,"Bascule","Double run"),"ROKS"))))))</f>
        <v/>
      </c>
      <c r="AQ202" s="0" t="str">
        <f aca="false">IF($A202="","",INDEX(TblApplications[Mois prov (calc)],$A202))</f>
        <v/>
      </c>
      <c r="AR202" s="0" t="str">
        <f aca="false">IF($A202="","",IFERROR(DATE(YEAR(INDEX(TblApplications[Mois bascule],$A202)),MONTH(INDEX(TblApplications[Mois bascule],$A202)),1),""))</f>
        <v/>
      </c>
      <c r="AS202" s="0" t="str">
        <f aca="false">IF($A202="","",INDEX(TblApplications[Mois lib (calc)],$A202))</f>
        <v/>
      </c>
    </row>
    <row r="203" customFormat="false" ht="15" hidden="false" customHeight="false" outlineLevel="0" collapsed="false">
      <c r="A203" s="49" t="str">
        <f aca="false">IFERROR(MATCH(195,TblApplications[Rang frise],0),"")</f>
        <v/>
      </c>
      <c r="B203" s="50" t="str">
        <f aca="false">IF($A203="","",INDEX(TblApplications[ID],$A203))</f>
        <v/>
      </c>
      <c r="C203" s="50" t="str">
        <f aca="false">IF($A203="","",INDEX(TblApplications[Application],$A203))</f>
        <v/>
      </c>
      <c r="D203" s="50" t="str">
        <f aca="false">IF($A203="","",INDEX(TblApplications[Environnement],$A203))</f>
        <v/>
      </c>
      <c r="E203" s="50" t="str">
        <f aca="false">IF($A203="","",INDEX(TblApplications[Couloir],$A203))</f>
        <v/>
      </c>
      <c r="F203" s="50" t="str">
        <f aca="false">IF($A203="","",INDEX(TblApplications[Action],$A203))</f>
        <v/>
      </c>
      <c r="G203" s="51" t="str">
        <f aca="false">IF(OR($A203="",G$8=""),"",IF($F203="Migré","ROKS",IF($F203="À décommissionner",IF(G$8&lt;$AS203,"IKS","Décom."),IF(OR($AQ203="",$AS203=""),"",IF(G$8&lt;$AQ203,"IKS",IF(G$8&lt;$AS203,IF(G$8=$AR203,"Bascule","Double run"),"ROKS"))))))</f>
        <v/>
      </c>
      <c r="H203" s="51" t="str">
        <f aca="false">IF(OR($A203="",H$8=""),"",IF($F203="Migré","ROKS",IF($F203="À décommissionner",IF(H$8&lt;$AS203,"IKS","Décom."),IF(OR($AQ203="",$AS203=""),"",IF(H$8&lt;$AQ203,"IKS",IF(H$8&lt;$AS203,IF(H$8=$AR203,"Bascule","Double run"),"ROKS"))))))</f>
        <v/>
      </c>
      <c r="I203" s="51" t="str">
        <f aca="false">IF(OR($A203="",I$8=""),"",IF($F203="Migré","ROKS",IF($F203="À décommissionner",IF(I$8&lt;$AS203,"IKS","Décom."),IF(OR($AQ203="",$AS203=""),"",IF(I$8&lt;$AQ203,"IKS",IF(I$8&lt;$AS203,IF(I$8=$AR203,"Bascule","Double run"),"ROKS"))))))</f>
        <v/>
      </c>
      <c r="J203" s="51" t="str">
        <f aca="false">IF(OR($A203="",J$8=""),"",IF($F203="Migré","ROKS",IF($F203="À décommissionner",IF(J$8&lt;$AS203,"IKS","Décom."),IF(OR($AQ203="",$AS203=""),"",IF(J$8&lt;$AQ203,"IKS",IF(J$8&lt;$AS203,IF(J$8=$AR203,"Bascule","Double run"),"ROKS"))))))</f>
        <v/>
      </c>
      <c r="K203" s="51" t="str">
        <f aca="false">IF(OR($A203="",K$8=""),"",IF($F203="Migré","ROKS",IF($F203="À décommissionner",IF(K$8&lt;$AS203,"IKS","Décom."),IF(OR($AQ203="",$AS203=""),"",IF(K$8&lt;$AQ203,"IKS",IF(K$8&lt;$AS203,IF(K$8=$AR203,"Bascule","Double run"),"ROKS"))))))</f>
        <v/>
      </c>
      <c r="L203" s="51" t="str">
        <f aca="false">IF(OR($A203="",L$8=""),"",IF($F203="Migré","ROKS",IF($F203="À décommissionner",IF(L$8&lt;$AS203,"IKS","Décom."),IF(OR($AQ203="",$AS203=""),"",IF(L$8&lt;$AQ203,"IKS",IF(L$8&lt;$AS203,IF(L$8=$AR203,"Bascule","Double run"),"ROKS"))))))</f>
        <v/>
      </c>
      <c r="M203" s="51" t="str">
        <f aca="false">IF(OR($A203="",M$8=""),"",IF($F203="Migré","ROKS",IF($F203="À décommissionner",IF(M$8&lt;$AS203,"IKS","Décom."),IF(OR($AQ203="",$AS203=""),"",IF(M$8&lt;$AQ203,"IKS",IF(M$8&lt;$AS203,IF(M$8=$AR203,"Bascule","Double run"),"ROKS"))))))</f>
        <v/>
      </c>
      <c r="N203" s="51" t="str">
        <f aca="false">IF(OR($A203="",N$8=""),"",IF($F203="Migré","ROKS",IF($F203="À décommissionner",IF(N$8&lt;$AS203,"IKS","Décom."),IF(OR($AQ203="",$AS203=""),"",IF(N$8&lt;$AQ203,"IKS",IF(N$8&lt;$AS203,IF(N$8=$AR203,"Bascule","Double run"),"ROKS"))))))</f>
        <v/>
      </c>
      <c r="O203" s="51" t="str">
        <f aca="false">IF(OR($A203="",O$8=""),"",IF($F203="Migré","ROKS",IF($F203="À décommissionner",IF(O$8&lt;$AS203,"IKS","Décom."),IF(OR($AQ203="",$AS203=""),"",IF(O$8&lt;$AQ203,"IKS",IF(O$8&lt;$AS203,IF(O$8=$AR203,"Bascule","Double run"),"ROKS"))))))</f>
        <v/>
      </c>
      <c r="P203" s="51" t="str">
        <f aca="false">IF(OR($A203="",P$8=""),"",IF($F203="Migré","ROKS",IF($F203="À décommissionner",IF(P$8&lt;$AS203,"IKS","Décom."),IF(OR($AQ203="",$AS203=""),"",IF(P$8&lt;$AQ203,"IKS",IF(P$8&lt;$AS203,IF(P$8=$AR203,"Bascule","Double run"),"ROKS"))))))</f>
        <v/>
      </c>
      <c r="Q203" s="51" t="str">
        <f aca="false">IF(OR($A203="",Q$8=""),"",IF($F203="Migré","ROKS",IF($F203="À décommissionner",IF(Q$8&lt;$AS203,"IKS","Décom."),IF(OR($AQ203="",$AS203=""),"",IF(Q$8&lt;$AQ203,"IKS",IF(Q$8&lt;$AS203,IF(Q$8=$AR203,"Bascule","Double run"),"ROKS"))))))</f>
        <v/>
      </c>
      <c r="R203" s="51" t="str">
        <f aca="false">IF(OR($A203="",R$8=""),"",IF($F203="Migré","ROKS",IF($F203="À décommissionner",IF(R$8&lt;$AS203,"IKS","Décom."),IF(OR($AQ203="",$AS203=""),"",IF(R$8&lt;$AQ203,"IKS",IF(R$8&lt;$AS203,IF(R$8=$AR203,"Bascule","Double run"),"ROKS"))))))</f>
        <v/>
      </c>
      <c r="S203" s="51" t="str">
        <f aca="false">IF(OR($A203="",S$8=""),"",IF($F203="Migré","ROKS",IF($F203="À décommissionner",IF(S$8&lt;$AS203,"IKS","Décom."),IF(OR($AQ203="",$AS203=""),"",IF(S$8&lt;$AQ203,"IKS",IF(S$8&lt;$AS203,IF(S$8=$AR203,"Bascule","Double run"),"ROKS"))))))</f>
        <v/>
      </c>
      <c r="T203" s="51" t="str">
        <f aca="false">IF(OR($A203="",T$8=""),"",IF($F203="Migré","ROKS",IF($F203="À décommissionner",IF(T$8&lt;$AS203,"IKS","Décom."),IF(OR($AQ203="",$AS203=""),"",IF(T$8&lt;$AQ203,"IKS",IF(T$8&lt;$AS203,IF(T$8=$AR203,"Bascule","Double run"),"ROKS"))))))</f>
        <v/>
      </c>
      <c r="U203" s="51" t="str">
        <f aca="false">IF(OR($A203="",U$8=""),"",IF($F203="Migré","ROKS",IF($F203="À décommissionner",IF(U$8&lt;$AS203,"IKS","Décom."),IF(OR($AQ203="",$AS203=""),"",IF(U$8&lt;$AQ203,"IKS",IF(U$8&lt;$AS203,IF(U$8=$AR203,"Bascule","Double run"),"ROKS"))))))</f>
        <v/>
      </c>
      <c r="V203" s="51" t="str">
        <f aca="false">IF(OR($A203="",V$8=""),"",IF($F203="Migré","ROKS",IF($F203="À décommissionner",IF(V$8&lt;$AS203,"IKS","Décom."),IF(OR($AQ203="",$AS203=""),"",IF(V$8&lt;$AQ203,"IKS",IF(V$8&lt;$AS203,IF(V$8=$AR203,"Bascule","Double run"),"ROKS"))))))</f>
        <v/>
      </c>
      <c r="W203" s="51" t="str">
        <f aca="false">IF(OR($A203="",W$8=""),"",IF($F203="Migré","ROKS",IF($F203="À décommissionner",IF(W$8&lt;$AS203,"IKS","Décom."),IF(OR($AQ203="",$AS203=""),"",IF(W$8&lt;$AQ203,"IKS",IF(W$8&lt;$AS203,IF(W$8=$AR203,"Bascule","Double run"),"ROKS"))))))</f>
        <v/>
      </c>
      <c r="X203" s="51" t="str">
        <f aca="false">IF(OR($A203="",X$8=""),"",IF($F203="Migré","ROKS",IF($F203="À décommissionner",IF(X$8&lt;$AS203,"IKS","Décom."),IF(OR($AQ203="",$AS203=""),"",IF(X$8&lt;$AQ203,"IKS",IF(X$8&lt;$AS203,IF(X$8=$AR203,"Bascule","Double run"),"ROKS"))))))</f>
        <v/>
      </c>
      <c r="Y203" s="51" t="str">
        <f aca="false">IF(OR($A203="",Y$8=""),"",IF($F203="Migré","ROKS",IF($F203="À décommissionner",IF(Y$8&lt;$AS203,"IKS","Décom."),IF(OR($AQ203="",$AS203=""),"",IF(Y$8&lt;$AQ203,"IKS",IF(Y$8&lt;$AS203,IF(Y$8=$AR203,"Bascule","Double run"),"ROKS"))))))</f>
        <v/>
      </c>
      <c r="Z203" s="51" t="str">
        <f aca="false">IF(OR($A203="",Z$8=""),"",IF($F203="Migré","ROKS",IF($F203="À décommissionner",IF(Z$8&lt;$AS203,"IKS","Décom."),IF(OR($AQ203="",$AS203=""),"",IF(Z$8&lt;$AQ203,"IKS",IF(Z$8&lt;$AS203,IF(Z$8=$AR203,"Bascule","Double run"),"ROKS"))))))</f>
        <v/>
      </c>
      <c r="AA203" s="51" t="str">
        <f aca="false">IF(OR($A203="",AA$8=""),"",IF($F203="Migré","ROKS",IF($F203="À décommissionner",IF(AA$8&lt;$AS203,"IKS","Décom."),IF(OR($AQ203="",$AS203=""),"",IF(AA$8&lt;$AQ203,"IKS",IF(AA$8&lt;$AS203,IF(AA$8=$AR203,"Bascule","Double run"),"ROKS"))))))</f>
        <v/>
      </c>
      <c r="AB203" s="51" t="str">
        <f aca="false">IF(OR($A203="",AB$8=""),"",IF($F203="Migré","ROKS",IF($F203="À décommissionner",IF(AB$8&lt;$AS203,"IKS","Décom."),IF(OR($AQ203="",$AS203=""),"",IF(AB$8&lt;$AQ203,"IKS",IF(AB$8&lt;$AS203,IF(AB$8=$AR203,"Bascule","Double run"),"ROKS"))))))</f>
        <v/>
      </c>
      <c r="AC203" s="51" t="str">
        <f aca="false">IF(OR($A203="",AC$8=""),"",IF($F203="Migré","ROKS",IF($F203="À décommissionner",IF(AC$8&lt;$AS203,"IKS","Décom."),IF(OR($AQ203="",$AS203=""),"",IF(AC$8&lt;$AQ203,"IKS",IF(AC$8&lt;$AS203,IF(AC$8=$AR203,"Bascule","Double run"),"ROKS"))))))</f>
        <v/>
      </c>
      <c r="AD203" s="51" t="str">
        <f aca="false">IF(OR($A203="",AD$8=""),"",IF($F203="Migré","ROKS",IF($F203="À décommissionner",IF(AD$8&lt;$AS203,"IKS","Décom."),IF(OR($AQ203="",$AS203=""),"",IF(AD$8&lt;$AQ203,"IKS",IF(AD$8&lt;$AS203,IF(AD$8=$AR203,"Bascule","Double run"),"ROKS"))))))</f>
        <v/>
      </c>
      <c r="AE203" s="51" t="str">
        <f aca="false">IF(OR($A203="",AE$8=""),"",IF($F203="Migré","ROKS",IF($F203="À décommissionner",IF(AE$8&lt;$AS203,"IKS","Décom."),IF(OR($AQ203="",$AS203=""),"",IF(AE$8&lt;$AQ203,"IKS",IF(AE$8&lt;$AS203,IF(AE$8=$AR203,"Bascule","Double run"),"ROKS"))))))</f>
        <v/>
      </c>
      <c r="AF203" s="51" t="str">
        <f aca="false">IF(OR($A203="",AF$8=""),"",IF($F203="Migré","ROKS",IF($F203="À décommissionner",IF(AF$8&lt;$AS203,"IKS","Décom."),IF(OR($AQ203="",$AS203=""),"",IF(AF$8&lt;$AQ203,"IKS",IF(AF$8&lt;$AS203,IF(AF$8=$AR203,"Bascule","Double run"),"ROKS"))))))</f>
        <v/>
      </c>
      <c r="AG203" s="51" t="str">
        <f aca="false">IF(OR($A203="",AG$8=""),"",IF($F203="Migré","ROKS",IF($F203="À décommissionner",IF(AG$8&lt;$AS203,"IKS","Décom."),IF(OR($AQ203="",$AS203=""),"",IF(AG$8&lt;$AQ203,"IKS",IF(AG$8&lt;$AS203,IF(AG$8=$AR203,"Bascule","Double run"),"ROKS"))))))</f>
        <v/>
      </c>
      <c r="AH203" s="51" t="str">
        <f aca="false">IF(OR($A203="",AH$8=""),"",IF($F203="Migré","ROKS",IF($F203="À décommissionner",IF(AH$8&lt;$AS203,"IKS","Décom."),IF(OR($AQ203="",$AS203=""),"",IF(AH$8&lt;$AQ203,"IKS",IF(AH$8&lt;$AS203,IF(AH$8=$AR203,"Bascule","Double run"),"ROKS"))))))</f>
        <v/>
      </c>
      <c r="AI203" s="51" t="str">
        <f aca="false">IF(OR($A203="",AI$8=""),"",IF($F203="Migré","ROKS",IF($F203="À décommissionner",IF(AI$8&lt;$AS203,"IKS","Décom."),IF(OR($AQ203="",$AS203=""),"",IF(AI$8&lt;$AQ203,"IKS",IF(AI$8&lt;$AS203,IF(AI$8=$AR203,"Bascule","Double run"),"ROKS"))))))</f>
        <v/>
      </c>
      <c r="AJ203" s="51" t="str">
        <f aca="false">IF(OR($A203="",AJ$8=""),"",IF($F203="Migré","ROKS",IF($F203="À décommissionner",IF(AJ$8&lt;$AS203,"IKS","Décom."),IF(OR($AQ203="",$AS203=""),"",IF(AJ$8&lt;$AQ203,"IKS",IF(AJ$8&lt;$AS203,IF(AJ$8=$AR203,"Bascule","Double run"),"ROKS"))))))</f>
        <v/>
      </c>
      <c r="AK203" s="51" t="str">
        <f aca="false">IF(OR($A203="",AK$8=""),"",IF($F203="Migré","ROKS",IF($F203="À décommissionner",IF(AK$8&lt;$AS203,"IKS","Décom."),IF(OR($AQ203="",$AS203=""),"",IF(AK$8&lt;$AQ203,"IKS",IF(AK$8&lt;$AS203,IF(AK$8=$AR203,"Bascule","Double run"),"ROKS"))))))</f>
        <v/>
      </c>
      <c r="AL203" s="51" t="str">
        <f aca="false">IF(OR($A203="",AL$8=""),"",IF($F203="Migré","ROKS",IF($F203="À décommissionner",IF(AL$8&lt;$AS203,"IKS","Décom."),IF(OR($AQ203="",$AS203=""),"",IF(AL$8&lt;$AQ203,"IKS",IF(AL$8&lt;$AS203,IF(AL$8=$AR203,"Bascule","Double run"),"ROKS"))))))</f>
        <v/>
      </c>
      <c r="AM203" s="51" t="str">
        <f aca="false">IF(OR($A203="",AM$8=""),"",IF($F203="Migré","ROKS",IF($F203="À décommissionner",IF(AM$8&lt;$AS203,"IKS","Décom."),IF(OR($AQ203="",$AS203=""),"",IF(AM$8&lt;$AQ203,"IKS",IF(AM$8&lt;$AS203,IF(AM$8=$AR203,"Bascule","Double run"),"ROKS"))))))</f>
        <v/>
      </c>
      <c r="AN203" s="51" t="str">
        <f aca="false">IF(OR($A203="",AN$8=""),"",IF($F203="Migré","ROKS",IF($F203="À décommissionner",IF(AN$8&lt;$AS203,"IKS","Décom."),IF(OR($AQ203="",$AS203=""),"",IF(AN$8&lt;$AQ203,"IKS",IF(AN$8&lt;$AS203,IF(AN$8=$AR203,"Bascule","Double run"),"ROKS"))))))</f>
        <v/>
      </c>
      <c r="AO203" s="51" t="str">
        <f aca="false">IF(OR($A203="",AO$8=""),"",IF($F203="Migré","ROKS",IF($F203="À décommissionner",IF(AO$8&lt;$AS203,"IKS","Décom."),IF(OR($AQ203="",$AS203=""),"",IF(AO$8&lt;$AQ203,"IKS",IF(AO$8&lt;$AS203,IF(AO$8=$AR203,"Bascule","Double run"),"ROKS"))))))</f>
        <v/>
      </c>
      <c r="AP203" s="51" t="str">
        <f aca="false">IF(OR($A203="",AP$8=""),"",IF($F203="Migré","ROKS",IF($F203="À décommissionner",IF(AP$8&lt;$AS203,"IKS","Décom."),IF(OR($AQ203="",$AS203=""),"",IF(AP$8&lt;$AQ203,"IKS",IF(AP$8&lt;$AS203,IF(AP$8=$AR203,"Bascule","Double run"),"ROKS"))))))</f>
        <v/>
      </c>
      <c r="AQ203" s="0" t="str">
        <f aca="false">IF($A203="","",INDEX(TblApplications[Mois prov (calc)],$A203))</f>
        <v/>
      </c>
      <c r="AR203" s="0" t="str">
        <f aca="false">IF($A203="","",IFERROR(DATE(YEAR(INDEX(TblApplications[Mois bascule],$A203)),MONTH(INDEX(TblApplications[Mois bascule],$A203)),1),""))</f>
        <v/>
      </c>
      <c r="AS203" s="0" t="str">
        <f aca="false">IF($A203="","",INDEX(TblApplications[Mois lib (calc)],$A203))</f>
        <v/>
      </c>
    </row>
    <row r="204" customFormat="false" ht="15" hidden="false" customHeight="false" outlineLevel="0" collapsed="false">
      <c r="A204" s="49" t="str">
        <f aca="false">IFERROR(MATCH(196,TblApplications[Rang frise],0),"")</f>
        <v/>
      </c>
      <c r="B204" s="50" t="str">
        <f aca="false">IF($A204="","",INDEX(TblApplications[ID],$A204))</f>
        <v/>
      </c>
      <c r="C204" s="50" t="str">
        <f aca="false">IF($A204="","",INDEX(TblApplications[Application],$A204))</f>
        <v/>
      </c>
      <c r="D204" s="50" t="str">
        <f aca="false">IF($A204="","",INDEX(TblApplications[Environnement],$A204))</f>
        <v/>
      </c>
      <c r="E204" s="50" t="str">
        <f aca="false">IF($A204="","",INDEX(TblApplications[Couloir],$A204))</f>
        <v/>
      </c>
      <c r="F204" s="50" t="str">
        <f aca="false">IF($A204="","",INDEX(TblApplications[Action],$A204))</f>
        <v/>
      </c>
      <c r="G204" s="51" t="str">
        <f aca="false">IF(OR($A204="",G$8=""),"",IF($F204="Migré","ROKS",IF($F204="À décommissionner",IF(G$8&lt;$AS204,"IKS","Décom."),IF(OR($AQ204="",$AS204=""),"",IF(G$8&lt;$AQ204,"IKS",IF(G$8&lt;$AS204,IF(G$8=$AR204,"Bascule","Double run"),"ROKS"))))))</f>
        <v/>
      </c>
      <c r="H204" s="51" t="str">
        <f aca="false">IF(OR($A204="",H$8=""),"",IF($F204="Migré","ROKS",IF($F204="À décommissionner",IF(H$8&lt;$AS204,"IKS","Décom."),IF(OR($AQ204="",$AS204=""),"",IF(H$8&lt;$AQ204,"IKS",IF(H$8&lt;$AS204,IF(H$8=$AR204,"Bascule","Double run"),"ROKS"))))))</f>
        <v/>
      </c>
      <c r="I204" s="51" t="str">
        <f aca="false">IF(OR($A204="",I$8=""),"",IF($F204="Migré","ROKS",IF($F204="À décommissionner",IF(I$8&lt;$AS204,"IKS","Décom."),IF(OR($AQ204="",$AS204=""),"",IF(I$8&lt;$AQ204,"IKS",IF(I$8&lt;$AS204,IF(I$8=$AR204,"Bascule","Double run"),"ROKS"))))))</f>
        <v/>
      </c>
      <c r="J204" s="51" t="str">
        <f aca="false">IF(OR($A204="",J$8=""),"",IF($F204="Migré","ROKS",IF($F204="À décommissionner",IF(J$8&lt;$AS204,"IKS","Décom."),IF(OR($AQ204="",$AS204=""),"",IF(J$8&lt;$AQ204,"IKS",IF(J$8&lt;$AS204,IF(J$8=$AR204,"Bascule","Double run"),"ROKS"))))))</f>
        <v/>
      </c>
      <c r="K204" s="51" t="str">
        <f aca="false">IF(OR($A204="",K$8=""),"",IF($F204="Migré","ROKS",IF($F204="À décommissionner",IF(K$8&lt;$AS204,"IKS","Décom."),IF(OR($AQ204="",$AS204=""),"",IF(K$8&lt;$AQ204,"IKS",IF(K$8&lt;$AS204,IF(K$8=$AR204,"Bascule","Double run"),"ROKS"))))))</f>
        <v/>
      </c>
      <c r="L204" s="51" t="str">
        <f aca="false">IF(OR($A204="",L$8=""),"",IF($F204="Migré","ROKS",IF($F204="À décommissionner",IF(L$8&lt;$AS204,"IKS","Décom."),IF(OR($AQ204="",$AS204=""),"",IF(L$8&lt;$AQ204,"IKS",IF(L$8&lt;$AS204,IF(L$8=$AR204,"Bascule","Double run"),"ROKS"))))))</f>
        <v/>
      </c>
      <c r="M204" s="51" t="str">
        <f aca="false">IF(OR($A204="",M$8=""),"",IF($F204="Migré","ROKS",IF($F204="À décommissionner",IF(M$8&lt;$AS204,"IKS","Décom."),IF(OR($AQ204="",$AS204=""),"",IF(M$8&lt;$AQ204,"IKS",IF(M$8&lt;$AS204,IF(M$8=$AR204,"Bascule","Double run"),"ROKS"))))))</f>
        <v/>
      </c>
      <c r="N204" s="51" t="str">
        <f aca="false">IF(OR($A204="",N$8=""),"",IF($F204="Migré","ROKS",IF($F204="À décommissionner",IF(N$8&lt;$AS204,"IKS","Décom."),IF(OR($AQ204="",$AS204=""),"",IF(N$8&lt;$AQ204,"IKS",IF(N$8&lt;$AS204,IF(N$8=$AR204,"Bascule","Double run"),"ROKS"))))))</f>
        <v/>
      </c>
      <c r="O204" s="51" t="str">
        <f aca="false">IF(OR($A204="",O$8=""),"",IF($F204="Migré","ROKS",IF($F204="À décommissionner",IF(O$8&lt;$AS204,"IKS","Décom."),IF(OR($AQ204="",$AS204=""),"",IF(O$8&lt;$AQ204,"IKS",IF(O$8&lt;$AS204,IF(O$8=$AR204,"Bascule","Double run"),"ROKS"))))))</f>
        <v/>
      </c>
      <c r="P204" s="51" t="str">
        <f aca="false">IF(OR($A204="",P$8=""),"",IF($F204="Migré","ROKS",IF($F204="À décommissionner",IF(P$8&lt;$AS204,"IKS","Décom."),IF(OR($AQ204="",$AS204=""),"",IF(P$8&lt;$AQ204,"IKS",IF(P$8&lt;$AS204,IF(P$8=$AR204,"Bascule","Double run"),"ROKS"))))))</f>
        <v/>
      </c>
      <c r="Q204" s="51" t="str">
        <f aca="false">IF(OR($A204="",Q$8=""),"",IF($F204="Migré","ROKS",IF($F204="À décommissionner",IF(Q$8&lt;$AS204,"IKS","Décom."),IF(OR($AQ204="",$AS204=""),"",IF(Q$8&lt;$AQ204,"IKS",IF(Q$8&lt;$AS204,IF(Q$8=$AR204,"Bascule","Double run"),"ROKS"))))))</f>
        <v/>
      </c>
      <c r="R204" s="51" t="str">
        <f aca="false">IF(OR($A204="",R$8=""),"",IF($F204="Migré","ROKS",IF($F204="À décommissionner",IF(R$8&lt;$AS204,"IKS","Décom."),IF(OR($AQ204="",$AS204=""),"",IF(R$8&lt;$AQ204,"IKS",IF(R$8&lt;$AS204,IF(R$8=$AR204,"Bascule","Double run"),"ROKS"))))))</f>
        <v/>
      </c>
      <c r="S204" s="51" t="str">
        <f aca="false">IF(OR($A204="",S$8=""),"",IF($F204="Migré","ROKS",IF($F204="À décommissionner",IF(S$8&lt;$AS204,"IKS","Décom."),IF(OR($AQ204="",$AS204=""),"",IF(S$8&lt;$AQ204,"IKS",IF(S$8&lt;$AS204,IF(S$8=$AR204,"Bascule","Double run"),"ROKS"))))))</f>
        <v/>
      </c>
      <c r="T204" s="51" t="str">
        <f aca="false">IF(OR($A204="",T$8=""),"",IF($F204="Migré","ROKS",IF($F204="À décommissionner",IF(T$8&lt;$AS204,"IKS","Décom."),IF(OR($AQ204="",$AS204=""),"",IF(T$8&lt;$AQ204,"IKS",IF(T$8&lt;$AS204,IF(T$8=$AR204,"Bascule","Double run"),"ROKS"))))))</f>
        <v/>
      </c>
      <c r="U204" s="51" t="str">
        <f aca="false">IF(OR($A204="",U$8=""),"",IF($F204="Migré","ROKS",IF($F204="À décommissionner",IF(U$8&lt;$AS204,"IKS","Décom."),IF(OR($AQ204="",$AS204=""),"",IF(U$8&lt;$AQ204,"IKS",IF(U$8&lt;$AS204,IF(U$8=$AR204,"Bascule","Double run"),"ROKS"))))))</f>
        <v/>
      </c>
      <c r="V204" s="51" t="str">
        <f aca="false">IF(OR($A204="",V$8=""),"",IF($F204="Migré","ROKS",IF($F204="À décommissionner",IF(V$8&lt;$AS204,"IKS","Décom."),IF(OR($AQ204="",$AS204=""),"",IF(V$8&lt;$AQ204,"IKS",IF(V$8&lt;$AS204,IF(V$8=$AR204,"Bascule","Double run"),"ROKS"))))))</f>
        <v/>
      </c>
      <c r="W204" s="51" t="str">
        <f aca="false">IF(OR($A204="",W$8=""),"",IF($F204="Migré","ROKS",IF($F204="À décommissionner",IF(W$8&lt;$AS204,"IKS","Décom."),IF(OR($AQ204="",$AS204=""),"",IF(W$8&lt;$AQ204,"IKS",IF(W$8&lt;$AS204,IF(W$8=$AR204,"Bascule","Double run"),"ROKS"))))))</f>
        <v/>
      </c>
      <c r="X204" s="51" t="str">
        <f aca="false">IF(OR($A204="",X$8=""),"",IF($F204="Migré","ROKS",IF($F204="À décommissionner",IF(X$8&lt;$AS204,"IKS","Décom."),IF(OR($AQ204="",$AS204=""),"",IF(X$8&lt;$AQ204,"IKS",IF(X$8&lt;$AS204,IF(X$8=$AR204,"Bascule","Double run"),"ROKS"))))))</f>
        <v/>
      </c>
      <c r="Y204" s="51" t="str">
        <f aca="false">IF(OR($A204="",Y$8=""),"",IF($F204="Migré","ROKS",IF($F204="À décommissionner",IF(Y$8&lt;$AS204,"IKS","Décom."),IF(OR($AQ204="",$AS204=""),"",IF(Y$8&lt;$AQ204,"IKS",IF(Y$8&lt;$AS204,IF(Y$8=$AR204,"Bascule","Double run"),"ROKS"))))))</f>
        <v/>
      </c>
      <c r="Z204" s="51" t="str">
        <f aca="false">IF(OR($A204="",Z$8=""),"",IF($F204="Migré","ROKS",IF($F204="À décommissionner",IF(Z$8&lt;$AS204,"IKS","Décom."),IF(OR($AQ204="",$AS204=""),"",IF(Z$8&lt;$AQ204,"IKS",IF(Z$8&lt;$AS204,IF(Z$8=$AR204,"Bascule","Double run"),"ROKS"))))))</f>
        <v/>
      </c>
      <c r="AA204" s="51" t="str">
        <f aca="false">IF(OR($A204="",AA$8=""),"",IF($F204="Migré","ROKS",IF($F204="À décommissionner",IF(AA$8&lt;$AS204,"IKS","Décom."),IF(OR($AQ204="",$AS204=""),"",IF(AA$8&lt;$AQ204,"IKS",IF(AA$8&lt;$AS204,IF(AA$8=$AR204,"Bascule","Double run"),"ROKS"))))))</f>
        <v/>
      </c>
      <c r="AB204" s="51" t="str">
        <f aca="false">IF(OR($A204="",AB$8=""),"",IF($F204="Migré","ROKS",IF($F204="À décommissionner",IF(AB$8&lt;$AS204,"IKS","Décom."),IF(OR($AQ204="",$AS204=""),"",IF(AB$8&lt;$AQ204,"IKS",IF(AB$8&lt;$AS204,IF(AB$8=$AR204,"Bascule","Double run"),"ROKS"))))))</f>
        <v/>
      </c>
      <c r="AC204" s="51" t="str">
        <f aca="false">IF(OR($A204="",AC$8=""),"",IF($F204="Migré","ROKS",IF($F204="À décommissionner",IF(AC$8&lt;$AS204,"IKS","Décom."),IF(OR($AQ204="",$AS204=""),"",IF(AC$8&lt;$AQ204,"IKS",IF(AC$8&lt;$AS204,IF(AC$8=$AR204,"Bascule","Double run"),"ROKS"))))))</f>
        <v/>
      </c>
      <c r="AD204" s="51" t="str">
        <f aca="false">IF(OR($A204="",AD$8=""),"",IF($F204="Migré","ROKS",IF($F204="À décommissionner",IF(AD$8&lt;$AS204,"IKS","Décom."),IF(OR($AQ204="",$AS204=""),"",IF(AD$8&lt;$AQ204,"IKS",IF(AD$8&lt;$AS204,IF(AD$8=$AR204,"Bascule","Double run"),"ROKS"))))))</f>
        <v/>
      </c>
      <c r="AE204" s="51" t="str">
        <f aca="false">IF(OR($A204="",AE$8=""),"",IF($F204="Migré","ROKS",IF($F204="À décommissionner",IF(AE$8&lt;$AS204,"IKS","Décom."),IF(OR($AQ204="",$AS204=""),"",IF(AE$8&lt;$AQ204,"IKS",IF(AE$8&lt;$AS204,IF(AE$8=$AR204,"Bascule","Double run"),"ROKS"))))))</f>
        <v/>
      </c>
      <c r="AF204" s="51" t="str">
        <f aca="false">IF(OR($A204="",AF$8=""),"",IF($F204="Migré","ROKS",IF($F204="À décommissionner",IF(AF$8&lt;$AS204,"IKS","Décom."),IF(OR($AQ204="",$AS204=""),"",IF(AF$8&lt;$AQ204,"IKS",IF(AF$8&lt;$AS204,IF(AF$8=$AR204,"Bascule","Double run"),"ROKS"))))))</f>
        <v/>
      </c>
      <c r="AG204" s="51" t="str">
        <f aca="false">IF(OR($A204="",AG$8=""),"",IF($F204="Migré","ROKS",IF($F204="À décommissionner",IF(AG$8&lt;$AS204,"IKS","Décom."),IF(OR($AQ204="",$AS204=""),"",IF(AG$8&lt;$AQ204,"IKS",IF(AG$8&lt;$AS204,IF(AG$8=$AR204,"Bascule","Double run"),"ROKS"))))))</f>
        <v/>
      </c>
      <c r="AH204" s="51" t="str">
        <f aca="false">IF(OR($A204="",AH$8=""),"",IF($F204="Migré","ROKS",IF($F204="À décommissionner",IF(AH$8&lt;$AS204,"IKS","Décom."),IF(OR($AQ204="",$AS204=""),"",IF(AH$8&lt;$AQ204,"IKS",IF(AH$8&lt;$AS204,IF(AH$8=$AR204,"Bascule","Double run"),"ROKS"))))))</f>
        <v/>
      </c>
      <c r="AI204" s="51" t="str">
        <f aca="false">IF(OR($A204="",AI$8=""),"",IF($F204="Migré","ROKS",IF($F204="À décommissionner",IF(AI$8&lt;$AS204,"IKS","Décom."),IF(OR($AQ204="",$AS204=""),"",IF(AI$8&lt;$AQ204,"IKS",IF(AI$8&lt;$AS204,IF(AI$8=$AR204,"Bascule","Double run"),"ROKS"))))))</f>
        <v/>
      </c>
      <c r="AJ204" s="51" t="str">
        <f aca="false">IF(OR($A204="",AJ$8=""),"",IF($F204="Migré","ROKS",IF($F204="À décommissionner",IF(AJ$8&lt;$AS204,"IKS","Décom."),IF(OR($AQ204="",$AS204=""),"",IF(AJ$8&lt;$AQ204,"IKS",IF(AJ$8&lt;$AS204,IF(AJ$8=$AR204,"Bascule","Double run"),"ROKS"))))))</f>
        <v/>
      </c>
      <c r="AK204" s="51" t="str">
        <f aca="false">IF(OR($A204="",AK$8=""),"",IF($F204="Migré","ROKS",IF($F204="À décommissionner",IF(AK$8&lt;$AS204,"IKS","Décom."),IF(OR($AQ204="",$AS204=""),"",IF(AK$8&lt;$AQ204,"IKS",IF(AK$8&lt;$AS204,IF(AK$8=$AR204,"Bascule","Double run"),"ROKS"))))))</f>
        <v/>
      </c>
      <c r="AL204" s="51" t="str">
        <f aca="false">IF(OR($A204="",AL$8=""),"",IF($F204="Migré","ROKS",IF($F204="À décommissionner",IF(AL$8&lt;$AS204,"IKS","Décom."),IF(OR($AQ204="",$AS204=""),"",IF(AL$8&lt;$AQ204,"IKS",IF(AL$8&lt;$AS204,IF(AL$8=$AR204,"Bascule","Double run"),"ROKS"))))))</f>
        <v/>
      </c>
      <c r="AM204" s="51" t="str">
        <f aca="false">IF(OR($A204="",AM$8=""),"",IF($F204="Migré","ROKS",IF($F204="À décommissionner",IF(AM$8&lt;$AS204,"IKS","Décom."),IF(OR($AQ204="",$AS204=""),"",IF(AM$8&lt;$AQ204,"IKS",IF(AM$8&lt;$AS204,IF(AM$8=$AR204,"Bascule","Double run"),"ROKS"))))))</f>
        <v/>
      </c>
      <c r="AN204" s="51" t="str">
        <f aca="false">IF(OR($A204="",AN$8=""),"",IF($F204="Migré","ROKS",IF($F204="À décommissionner",IF(AN$8&lt;$AS204,"IKS","Décom."),IF(OR($AQ204="",$AS204=""),"",IF(AN$8&lt;$AQ204,"IKS",IF(AN$8&lt;$AS204,IF(AN$8=$AR204,"Bascule","Double run"),"ROKS"))))))</f>
        <v/>
      </c>
      <c r="AO204" s="51" t="str">
        <f aca="false">IF(OR($A204="",AO$8=""),"",IF($F204="Migré","ROKS",IF($F204="À décommissionner",IF(AO$8&lt;$AS204,"IKS","Décom."),IF(OR($AQ204="",$AS204=""),"",IF(AO$8&lt;$AQ204,"IKS",IF(AO$8&lt;$AS204,IF(AO$8=$AR204,"Bascule","Double run"),"ROKS"))))))</f>
        <v/>
      </c>
      <c r="AP204" s="51" t="str">
        <f aca="false">IF(OR($A204="",AP$8=""),"",IF($F204="Migré","ROKS",IF($F204="À décommissionner",IF(AP$8&lt;$AS204,"IKS","Décom."),IF(OR($AQ204="",$AS204=""),"",IF(AP$8&lt;$AQ204,"IKS",IF(AP$8&lt;$AS204,IF(AP$8=$AR204,"Bascule","Double run"),"ROKS"))))))</f>
        <v/>
      </c>
      <c r="AQ204" s="0" t="str">
        <f aca="false">IF($A204="","",INDEX(TblApplications[Mois prov (calc)],$A204))</f>
        <v/>
      </c>
      <c r="AR204" s="0" t="str">
        <f aca="false">IF($A204="","",IFERROR(DATE(YEAR(INDEX(TblApplications[Mois bascule],$A204)),MONTH(INDEX(TblApplications[Mois bascule],$A204)),1),""))</f>
        <v/>
      </c>
      <c r="AS204" s="0" t="str">
        <f aca="false">IF($A204="","",INDEX(TblApplications[Mois lib (calc)],$A204))</f>
        <v/>
      </c>
    </row>
    <row r="205" customFormat="false" ht="15" hidden="false" customHeight="false" outlineLevel="0" collapsed="false">
      <c r="A205" s="49" t="str">
        <f aca="false">IFERROR(MATCH(197,TblApplications[Rang frise],0),"")</f>
        <v/>
      </c>
      <c r="B205" s="50" t="str">
        <f aca="false">IF($A205="","",INDEX(TblApplications[ID],$A205))</f>
        <v/>
      </c>
      <c r="C205" s="50" t="str">
        <f aca="false">IF($A205="","",INDEX(TblApplications[Application],$A205))</f>
        <v/>
      </c>
      <c r="D205" s="50" t="str">
        <f aca="false">IF($A205="","",INDEX(TblApplications[Environnement],$A205))</f>
        <v/>
      </c>
      <c r="E205" s="50" t="str">
        <f aca="false">IF($A205="","",INDEX(TblApplications[Couloir],$A205))</f>
        <v/>
      </c>
      <c r="F205" s="50" t="str">
        <f aca="false">IF($A205="","",INDEX(TblApplications[Action],$A205))</f>
        <v/>
      </c>
      <c r="G205" s="51" t="str">
        <f aca="false">IF(OR($A205="",G$8=""),"",IF($F205="Migré","ROKS",IF($F205="À décommissionner",IF(G$8&lt;$AS205,"IKS","Décom."),IF(OR($AQ205="",$AS205=""),"",IF(G$8&lt;$AQ205,"IKS",IF(G$8&lt;$AS205,IF(G$8=$AR205,"Bascule","Double run"),"ROKS"))))))</f>
        <v/>
      </c>
      <c r="H205" s="51" t="str">
        <f aca="false">IF(OR($A205="",H$8=""),"",IF($F205="Migré","ROKS",IF($F205="À décommissionner",IF(H$8&lt;$AS205,"IKS","Décom."),IF(OR($AQ205="",$AS205=""),"",IF(H$8&lt;$AQ205,"IKS",IF(H$8&lt;$AS205,IF(H$8=$AR205,"Bascule","Double run"),"ROKS"))))))</f>
        <v/>
      </c>
      <c r="I205" s="51" t="str">
        <f aca="false">IF(OR($A205="",I$8=""),"",IF($F205="Migré","ROKS",IF($F205="À décommissionner",IF(I$8&lt;$AS205,"IKS","Décom."),IF(OR($AQ205="",$AS205=""),"",IF(I$8&lt;$AQ205,"IKS",IF(I$8&lt;$AS205,IF(I$8=$AR205,"Bascule","Double run"),"ROKS"))))))</f>
        <v/>
      </c>
      <c r="J205" s="51" t="str">
        <f aca="false">IF(OR($A205="",J$8=""),"",IF($F205="Migré","ROKS",IF($F205="À décommissionner",IF(J$8&lt;$AS205,"IKS","Décom."),IF(OR($AQ205="",$AS205=""),"",IF(J$8&lt;$AQ205,"IKS",IF(J$8&lt;$AS205,IF(J$8=$AR205,"Bascule","Double run"),"ROKS"))))))</f>
        <v/>
      </c>
      <c r="K205" s="51" t="str">
        <f aca="false">IF(OR($A205="",K$8=""),"",IF($F205="Migré","ROKS",IF($F205="À décommissionner",IF(K$8&lt;$AS205,"IKS","Décom."),IF(OR($AQ205="",$AS205=""),"",IF(K$8&lt;$AQ205,"IKS",IF(K$8&lt;$AS205,IF(K$8=$AR205,"Bascule","Double run"),"ROKS"))))))</f>
        <v/>
      </c>
      <c r="L205" s="51" t="str">
        <f aca="false">IF(OR($A205="",L$8=""),"",IF($F205="Migré","ROKS",IF($F205="À décommissionner",IF(L$8&lt;$AS205,"IKS","Décom."),IF(OR($AQ205="",$AS205=""),"",IF(L$8&lt;$AQ205,"IKS",IF(L$8&lt;$AS205,IF(L$8=$AR205,"Bascule","Double run"),"ROKS"))))))</f>
        <v/>
      </c>
      <c r="M205" s="51" t="str">
        <f aca="false">IF(OR($A205="",M$8=""),"",IF($F205="Migré","ROKS",IF($F205="À décommissionner",IF(M$8&lt;$AS205,"IKS","Décom."),IF(OR($AQ205="",$AS205=""),"",IF(M$8&lt;$AQ205,"IKS",IF(M$8&lt;$AS205,IF(M$8=$AR205,"Bascule","Double run"),"ROKS"))))))</f>
        <v/>
      </c>
      <c r="N205" s="51" t="str">
        <f aca="false">IF(OR($A205="",N$8=""),"",IF($F205="Migré","ROKS",IF($F205="À décommissionner",IF(N$8&lt;$AS205,"IKS","Décom."),IF(OR($AQ205="",$AS205=""),"",IF(N$8&lt;$AQ205,"IKS",IF(N$8&lt;$AS205,IF(N$8=$AR205,"Bascule","Double run"),"ROKS"))))))</f>
        <v/>
      </c>
      <c r="O205" s="51" t="str">
        <f aca="false">IF(OR($A205="",O$8=""),"",IF($F205="Migré","ROKS",IF($F205="À décommissionner",IF(O$8&lt;$AS205,"IKS","Décom."),IF(OR($AQ205="",$AS205=""),"",IF(O$8&lt;$AQ205,"IKS",IF(O$8&lt;$AS205,IF(O$8=$AR205,"Bascule","Double run"),"ROKS"))))))</f>
        <v/>
      </c>
      <c r="P205" s="51" t="str">
        <f aca="false">IF(OR($A205="",P$8=""),"",IF($F205="Migré","ROKS",IF($F205="À décommissionner",IF(P$8&lt;$AS205,"IKS","Décom."),IF(OR($AQ205="",$AS205=""),"",IF(P$8&lt;$AQ205,"IKS",IF(P$8&lt;$AS205,IF(P$8=$AR205,"Bascule","Double run"),"ROKS"))))))</f>
        <v/>
      </c>
      <c r="Q205" s="51" t="str">
        <f aca="false">IF(OR($A205="",Q$8=""),"",IF($F205="Migré","ROKS",IF($F205="À décommissionner",IF(Q$8&lt;$AS205,"IKS","Décom."),IF(OR($AQ205="",$AS205=""),"",IF(Q$8&lt;$AQ205,"IKS",IF(Q$8&lt;$AS205,IF(Q$8=$AR205,"Bascule","Double run"),"ROKS"))))))</f>
        <v/>
      </c>
      <c r="R205" s="51" t="str">
        <f aca="false">IF(OR($A205="",R$8=""),"",IF($F205="Migré","ROKS",IF($F205="À décommissionner",IF(R$8&lt;$AS205,"IKS","Décom."),IF(OR($AQ205="",$AS205=""),"",IF(R$8&lt;$AQ205,"IKS",IF(R$8&lt;$AS205,IF(R$8=$AR205,"Bascule","Double run"),"ROKS"))))))</f>
        <v/>
      </c>
      <c r="S205" s="51" t="str">
        <f aca="false">IF(OR($A205="",S$8=""),"",IF($F205="Migré","ROKS",IF($F205="À décommissionner",IF(S$8&lt;$AS205,"IKS","Décom."),IF(OR($AQ205="",$AS205=""),"",IF(S$8&lt;$AQ205,"IKS",IF(S$8&lt;$AS205,IF(S$8=$AR205,"Bascule","Double run"),"ROKS"))))))</f>
        <v/>
      </c>
      <c r="T205" s="51" t="str">
        <f aca="false">IF(OR($A205="",T$8=""),"",IF($F205="Migré","ROKS",IF($F205="À décommissionner",IF(T$8&lt;$AS205,"IKS","Décom."),IF(OR($AQ205="",$AS205=""),"",IF(T$8&lt;$AQ205,"IKS",IF(T$8&lt;$AS205,IF(T$8=$AR205,"Bascule","Double run"),"ROKS"))))))</f>
        <v/>
      </c>
      <c r="U205" s="51" t="str">
        <f aca="false">IF(OR($A205="",U$8=""),"",IF($F205="Migré","ROKS",IF($F205="À décommissionner",IF(U$8&lt;$AS205,"IKS","Décom."),IF(OR($AQ205="",$AS205=""),"",IF(U$8&lt;$AQ205,"IKS",IF(U$8&lt;$AS205,IF(U$8=$AR205,"Bascule","Double run"),"ROKS"))))))</f>
        <v/>
      </c>
      <c r="V205" s="51" t="str">
        <f aca="false">IF(OR($A205="",V$8=""),"",IF($F205="Migré","ROKS",IF($F205="À décommissionner",IF(V$8&lt;$AS205,"IKS","Décom."),IF(OR($AQ205="",$AS205=""),"",IF(V$8&lt;$AQ205,"IKS",IF(V$8&lt;$AS205,IF(V$8=$AR205,"Bascule","Double run"),"ROKS"))))))</f>
        <v/>
      </c>
      <c r="W205" s="51" t="str">
        <f aca="false">IF(OR($A205="",W$8=""),"",IF($F205="Migré","ROKS",IF($F205="À décommissionner",IF(W$8&lt;$AS205,"IKS","Décom."),IF(OR($AQ205="",$AS205=""),"",IF(W$8&lt;$AQ205,"IKS",IF(W$8&lt;$AS205,IF(W$8=$AR205,"Bascule","Double run"),"ROKS"))))))</f>
        <v/>
      </c>
      <c r="X205" s="51" t="str">
        <f aca="false">IF(OR($A205="",X$8=""),"",IF($F205="Migré","ROKS",IF($F205="À décommissionner",IF(X$8&lt;$AS205,"IKS","Décom."),IF(OR($AQ205="",$AS205=""),"",IF(X$8&lt;$AQ205,"IKS",IF(X$8&lt;$AS205,IF(X$8=$AR205,"Bascule","Double run"),"ROKS"))))))</f>
        <v/>
      </c>
      <c r="Y205" s="51" t="str">
        <f aca="false">IF(OR($A205="",Y$8=""),"",IF($F205="Migré","ROKS",IF($F205="À décommissionner",IF(Y$8&lt;$AS205,"IKS","Décom."),IF(OR($AQ205="",$AS205=""),"",IF(Y$8&lt;$AQ205,"IKS",IF(Y$8&lt;$AS205,IF(Y$8=$AR205,"Bascule","Double run"),"ROKS"))))))</f>
        <v/>
      </c>
      <c r="Z205" s="51" t="str">
        <f aca="false">IF(OR($A205="",Z$8=""),"",IF($F205="Migré","ROKS",IF($F205="À décommissionner",IF(Z$8&lt;$AS205,"IKS","Décom."),IF(OR($AQ205="",$AS205=""),"",IF(Z$8&lt;$AQ205,"IKS",IF(Z$8&lt;$AS205,IF(Z$8=$AR205,"Bascule","Double run"),"ROKS"))))))</f>
        <v/>
      </c>
      <c r="AA205" s="51" t="str">
        <f aca="false">IF(OR($A205="",AA$8=""),"",IF($F205="Migré","ROKS",IF($F205="À décommissionner",IF(AA$8&lt;$AS205,"IKS","Décom."),IF(OR($AQ205="",$AS205=""),"",IF(AA$8&lt;$AQ205,"IKS",IF(AA$8&lt;$AS205,IF(AA$8=$AR205,"Bascule","Double run"),"ROKS"))))))</f>
        <v/>
      </c>
      <c r="AB205" s="51" t="str">
        <f aca="false">IF(OR($A205="",AB$8=""),"",IF($F205="Migré","ROKS",IF($F205="À décommissionner",IF(AB$8&lt;$AS205,"IKS","Décom."),IF(OR($AQ205="",$AS205=""),"",IF(AB$8&lt;$AQ205,"IKS",IF(AB$8&lt;$AS205,IF(AB$8=$AR205,"Bascule","Double run"),"ROKS"))))))</f>
        <v/>
      </c>
      <c r="AC205" s="51" t="str">
        <f aca="false">IF(OR($A205="",AC$8=""),"",IF($F205="Migré","ROKS",IF($F205="À décommissionner",IF(AC$8&lt;$AS205,"IKS","Décom."),IF(OR($AQ205="",$AS205=""),"",IF(AC$8&lt;$AQ205,"IKS",IF(AC$8&lt;$AS205,IF(AC$8=$AR205,"Bascule","Double run"),"ROKS"))))))</f>
        <v/>
      </c>
      <c r="AD205" s="51" t="str">
        <f aca="false">IF(OR($A205="",AD$8=""),"",IF($F205="Migré","ROKS",IF($F205="À décommissionner",IF(AD$8&lt;$AS205,"IKS","Décom."),IF(OR($AQ205="",$AS205=""),"",IF(AD$8&lt;$AQ205,"IKS",IF(AD$8&lt;$AS205,IF(AD$8=$AR205,"Bascule","Double run"),"ROKS"))))))</f>
        <v/>
      </c>
      <c r="AE205" s="51" t="str">
        <f aca="false">IF(OR($A205="",AE$8=""),"",IF($F205="Migré","ROKS",IF($F205="À décommissionner",IF(AE$8&lt;$AS205,"IKS","Décom."),IF(OR($AQ205="",$AS205=""),"",IF(AE$8&lt;$AQ205,"IKS",IF(AE$8&lt;$AS205,IF(AE$8=$AR205,"Bascule","Double run"),"ROKS"))))))</f>
        <v/>
      </c>
      <c r="AF205" s="51" t="str">
        <f aca="false">IF(OR($A205="",AF$8=""),"",IF($F205="Migré","ROKS",IF($F205="À décommissionner",IF(AF$8&lt;$AS205,"IKS","Décom."),IF(OR($AQ205="",$AS205=""),"",IF(AF$8&lt;$AQ205,"IKS",IF(AF$8&lt;$AS205,IF(AF$8=$AR205,"Bascule","Double run"),"ROKS"))))))</f>
        <v/>
      </c>
      <c r="AG205" s="51" t="str">
        <f aca="false">IF(OR($A205="",AG$8=""),"",IF($F205="Migré","ROKS",IF($F205="À décommissionner",IF(AG$8&lt;$AS205,"IKS","Décom."),IF(OR($AQ205="",$AS205=""),"",IF(AG$8&lt;$AQ205,"IKS",IF(AG$8&lt;$AS205,IF(AG$8=$AR205,"Bascule","Double run"),"ROKS"))))))</f>
        <v/>
      </c>
      <c r="AH205" s="51" t="str">
        <f aca="false">IF(OR($A205="",AH$8=""),"",IF($F205="Migré","ROKS",IF($F205="À décommissionner",IF(AH$8&lt;$AS205,"IKS","Décom."),IF(OR($AQ205="",$AS205=""),"",IF(AH$8&lt;$AQ205,"IKS",IF(AH$8&lt;$AS205,IF(AH$8=$AR205,"Bascule","Double run"),"ROKS"))))))</f>
        <v/>
      </c>
      <c r="AI205" s="51" t="str">
        <f aca="false">IF(OR($A205="",AI$8=""),"",IF($F205="Migré","ROKS",IF($F205="À décommissionner",IF(AI$8&lt;$AS205,"IKS","Décom."),IF(OR($AQ205="",$AS205=""),"",IF(AI$8&lt;$AQ205,"IKS",IF(AI$8&lt;$AS205,IF(AI$8=$AR205,"Bascule","Double run"),"ROKS"))))))</f>
        <v/>
      </c>
      <c r="AJ205" s="51" t="str">
        <f aca="false">IF(OR($A205="",AJ$8=""),"",IF($F205="Migré","ROKS",IF($F205="À décommissionner",IF(AJ$8&lt;$AS205,"IKS","Décom."),IF(OR($AQ205="",$AS205=""),"",IF(AJ$8&lt;$AQ205,"IKS",IF(AJ$8&lt;$AS205,IF(AJ$8=$AR205,"Bascule","Double run"),"ROKS"))))))</f>
        <v/>
      </c>
      <c r="AK205" s="51" t="str">
        <f aca="false">IF(OR($A205="",AK$8=""),"",IF($F205="Migré","ROKS",IF($F205="À décommissionner",IF(AK$8&lt;$AS205,"IKS","Décom."),IF(OR($AQ205="",$AS205=""),"",IF(AK$8&lt;$AQ205,"IKS",IF(AK$8&lt;$AS205,IF(AK$8=$AR205,"Bascule","Double run"),"ROKS"))))))</f>
        <v/>
      </c>
      <c r="AL205" s="51" t="str">
        <f aca="false">IF(OR($A205="",AL$8=""),"",IF($F205="Migré","ROKS",IF($F205="À décommissionner",IF(AL$8&lt;$AS205,"IKS","Décom."),IF(OR($AQ205="",$AS205=""),"",IF(AL$8&lt;$AQ205,"IKS",IF(AL$8&lt;$AS205,IF(AL$8=$AR205,"Bascule","Double run"),"ROKS"))))))</f>
        <v/>
      </c>
      <c r="AM205" s="51" t="str">
        <f aca="false">IF(OR($A205="",AM$8=""),"",IF($F205="Migré","ROKS",IF($F205="À décommissionner",IF(AM$8&lt;$AS205,"IKS","Décom."),IF(OR($AQ205="",$AS205=""),"",IF(AM$8&lt;$AQ205,"IKS",IF(AM$8&lt;$AS205,IF(AM$8=$AR205,"Bascule","Double run"),"ROKS"))))))</f>
        <v/>
      </c>
      <c r="AN205" s="51" t="str">
        <f aca="false">IF(OR($A205="",AN$8=""),"",IF($F205="Migré","ROKS",IF($F205="À décommissionner",IF(AN$8&lt;$AS205,"IKS","Décom."),IF(OR($AQ205="",$AS205=""),"",IF(AN$8&lt;$AQ205,"IKS",IF(AN$8&lt;$AS205,IF(AN$8=$AR205,"Bascule","Double run"),"ROKS"))))))</f>
        <v/>
      </c>
      <c r="AO205" s="51" t="str">
        <f aca="false">IF(OR($A205="",AO$8=""),"",IF($F205="Migré","ROKS",IF($F205="À décommissionner",IF(AO$8&lt;$AS205,"IKS","Décom."),IF(OR($AQ205="",$AS205=""),"",IF(AO$8&lt;$AQ205,"IKS",IF(AO$8&lt;$AS205,IF(AO$8=$AR205,"Bascule","Double run"),"ROKS"))))))</f>
        <v/>
      </c>
      <c r="AP205" s="51" t="str">
        <f aca="false">IF(OR($A205="",AP$8=""),"",IF($F205="Migré","ROKS",IF($F205="À décommissionner",IF(AP$8&lt;$AS205,"IKS","Décom."),IF(OR($AQ205="",$AS205=""),"",IF(AP$8&lt;$AQ205,"IKS",IF(AP$8&lt;$AS205,IF(AP$8=$AR205,"Bascule","Double run"),"ROKS"))))))</f>
        <v/>
      </c>
      <c r="AQ205" s="0" t="str">
        <f aca="false">IF($A205="","",INDEX(TblApplications[Mois prov (calc)],$A205))</f>
        <v/>
      </c>
      <c r="AR205" s="0" t="str">
        <f aca="false">IF($A205="","",IFERROR(DATE(YEAR(INDEX(TblApplications[Mois bascule],$A205)),MONTH(INDEX(TblApplications[Mois bascule],$A205)),1),""))</f>
        <v/>
      </c>
      <c r="AS205" s="0" t="str">
        <f aca="false">IF($A205="","",INDEX(TblApplications[Mois lib (calc)],$A205))</f>
        <v/>
      </c>
    </row>
    <row r="206" customFormat="false" ht="15" hidden="false" customHeight="false" outlineLevel="0" collapsed="false">
      <c r="A206" s="49" t="str">
        <f aca="false">IFERROR(MATCH(198,TblApplications[Rang frise],0),"")</f>
        <v/>
      </c>
      <c r="B206" s="50" t="str">
        <f aca="false">IF($A206="","",INDEX(TblApplications[ID],$A206))</f>
        <v/>
      </c>
      <c r="C206" s="50" t="str">
        <f aca="false">IF($A206="","",INDEX(TblApplications[Application],$A206))</f>
        <v/>
      </c>
      <c r="D206" s="50" t="str">
        <f aca="false">IF($A206="","",INDEX(TblApplications[Environnement],$A206))</f>
        <v/>
      </c>
      <c r="E206" s="50" t="str">
        <f aca="false">IF($A206="","",INDEX(TblApplications[Couloir],$A206))</f>
        <v/>
      </c>
      <c r="F206" s="50" t="str">
        <f aca="false">IF($A206="","",INDEX(TblApplications[Action],$A206))</f>
        <v/>
      </c>
      <c r="G206" s="51" t="str">
        <f aca="false">IF(OR($A206="",G$8=""),"",IF($F206="Migré","ROKS",IF($F206="À décommissionner",IF(G$8&lt;$AS206,"IKS","Décom."),IF(OR($AQ206="",$AS206=""),"",IF(G$8&lt;$AQ206,"IKS",IF(G$8&lt;$AS206,IF(G$8=$AR206,"Bascule","Double run"),"ROKS"))))))</f>
        <v/>
      </c>
      <c r="H206" s="51" t="str">
        <f aca="false">IF(OR($A206="",H$8=""),"",IF($F206="Migré","ROKS",IF($F206="À décommissionner",IF(H$8&lt;$AS206,"IKS","Décom."),IF(OR($AQ206="",$AS206=""),"",IF(H$8&lt;$AQ206,"IKS",IF(H$8&lt;$AS206,IF(H$8=$AR206,"Bascule","Double run"),"ROKS"))))))</f>
        <v/>
      </c>
      <c r="I206" s="51" t="str">
        <f aca="false">IF(OR($A206="",I$8=""),"",IF($F206="Migré","ROKS",IF($F206="À décommissionner",IF(I$8&lt;$AS206,"IKS","Décom."),IF(OR($AQ206="",$AS206=""),"",IF(I$8&lt;$AQ206,"IKS",IF(I$8&lt;$AS206,IF(I$8=$AR206,"Bascule","Double run"),"ROKS"))))))</f>
        <v/>
      </c>
      <c r="J206" s="51" t="str">
        <f aca="false">IF(OR($A206="",J$8=""),"",IF($F206="Migré","ROKS",IF($F206="À décommissionner",IF(J$8&lt;$AS206,"IKS","Décom."),IF(OR($AQ206="",$AS206=""),"",IF(J$8&lt;$AQ206,"IKS",IF(J$8&lt;$AS206,IF(J$8=$AR206,"Bascule","Double run"),"ROKS"))))))</f>
        <v/>
      </c>
      <c r="K206" s="51" t="str">
        <f aca="false">IF(OR($A206="",K$8=""),"",IF($F206="Migré","ROKS",IF($F206="À décommissionner",IF(K$8&lt;$AS206,"IKS","Décom."),IF(OR($AQ206="",$AS206=""),"",IF(K$8&lt;$AQ206,"IKS",IF(K$8&lt;$AS206,IF(K$8=$AR206,"Bascule","Double run"),"ROKS"))))))</f>
        <v/>
      </c>
      <c r="L206" s="51" t="str">
        <f aca="false">IF(OR($A206="",L$8=""),"",IF($F206="Migré","ROKS",IF($F206="À décommissionner",IF(L$8&lt;$AS206,"IKS","Décom."),IF(OR($AQ206="",$AS206=""),"",IF(L$8&lt;$AQ206,"IKS",IF(L$8&lt;$AS206,IF(L$8=$AR206,"Bascule","Double run"),"ROKS"))))))</f>
        <v/>
      </c>
      <c r="M206" s="51" t="str">
        <f aca="false">IF(OR($A206="",M$8=""),"",IF($F206="Migré","ROKS",IF($F206="À décommissionner",IF(M$8&lt;$AS206,"IKS","Décom."),IF(OR($AQ206="",$AS206=""),"",IF(M$8&lt;$AQ206,"IKS",IF(M$8&lt;$AS206,IF(M$8=$AR206,"Bascule","Double run"),"ROKS"))))))</f>
        <v/>
      </c>
      <c r="N206" s="51" t="str">
        <f aca="false">IF(OR($A206="",N$8=""),"",IF($F206="Migré","ROKS",IF($F206="À décommissionner",IF(N$8&lt;$AS206,"IKS","Décom."),IF(OR($AQ206="",$AS206=""),"",IF(N$8&lt;$AQ206,"IKS",IF(N$8&lt;$AS206,IF(N$8=$AR206,"Bascule","Double run"),"ROKS"))))))</f>
        <v/>
      </c>
      <c r="O206" s="51" t="str">
        <f aca="false">IF(OR($A206="",O$8=""),"",IF($F206="Migré","ROKS",IF($F206="À décommissionner",IF(O$8&lt;$AS206,"IKS","Décom."),IF(OR($AQ206="",$AS206=""),"",IF(O$8&lt;$AQ206,"IKS",IF(O$8&lt;$AS206,IF(O$8=$AR206,"Bascule","Double run"),"ROKS"))))))</f>
        <v/>
      </c>
      <c r="P206" s="51" t="str">
        <f aca="false">IF(OR($A206="",P$8=""),"",IF($F206="Migré","ROKS",IF($F206="À décommissionner",IF(P$8&lt;$AS206,"IKS","Décom."),IF(OR($AQ206="",$AS206=""),"",IF(P$8&lt;$AQ206,"IKS",IF(P$8&lt;$AS206,IF(P$8=$AR206,"Bascule","Double run"),"ROKS"))))))</f>
        <v/>
      </c>
      <c r="Q206" s="51" t="str">
        <f aca="false">IF(OR($A206="",Q$8=""),"",IF($F206="Migré","ROKS",IF($F206="À décommissionner",IF(Q$8&lt;$AS206,"IKS","Décom."),IF(OR($AQ206="",$AS206=""),"",IF(Q$8&lt;$AQ206,"IKS",IF(Q$8&lt;$AS206,IF(Q$8=$AR206,"Bascule","Double run"),"ROKS"))))))</f>
        <v/>
      </c>
      <c r="R206" s="51" t="str">
        <f aca="false">IF(OR($A206="",R$8=""),"",IF($F206="Migré","ROKS",IF($F206="À décommissionner",IF(R$8&lt;$AS206,"IKS","Décom."),IF(OR($AQ206="",$AS206=""),"",IF(R$8&lt;$AQ206,"IKS",IF(R$8&lt;$AS206,IF(R$8=$AR206,"Bascule","Double run"),"ROKS"))))))</f>
        <v/>
      </c>
      <c r="S206" s="51" t="str">
        <f aca="false">IF(OR($A206="",S$8=""),"",IF($F206="Migré","ROKS",IF($F206="À décommissionner",IF(S$8&lt;$AS206,"IKS","Décom."),IF(OR($AQ206="",$AS206=""),"",IF(S$8&lt;$AQ206,"IKS",IF(S$8&lt;$AS206,IF(S$8=$AR206,"Bascule","Double run"),"ROKS"))))))</f>
        <v/>
      </c>
      <c r="T206" s="51" t="str">
        <f aca="false">IF(OR($A206="",T$8=""),"",IF($F206="Migré","ROKS",IF($F206="À décommissionner",IF(T$8&lt;$AS206,"IKS","Décom."),IF(OR($AQ206="",$AS206=""),"",IF(T$8&lt;$AQ206,"IKS",IF(T$8&lt;$AS206,IF(T$8=$AR206,"Bascule","Double run"),"ROKS"))))))</f>
        <v/>
      </c>
      <c r="U206" s="51" t="str">
        <f aca="false">IF(OR($A206="",U$8=""),"",IF($F206="Migré","ROKS",IF($F206="À décommissionner",IF(U$8&lt;$AS206,"IKS","Décom."),IF(OR($AQ206="",$AS206=""),"",IF(U$8&lt;$AQ206,"IKS",IF(U$8&lt;$AS206,IF(U$8=$AR206,"Bascule","Double run"),"ROKS"))))))</f>
        <v/>
      </c>
      <c r="V206" s="51" t="str">
        <f aca="false">IF(OR($A206="",V$8=""),"",IF($F206="Migré","ROKS",IF($F206="À décommissionner",IF(V$8&lt;$AS206,"IKS","Décom."),IF(OR($AQ206="",$AS206=""),"",IF(V$8&lt;$AQ206,"IKS",IF(V$8&lt;$AS206,IF(V$8=$AR206,"Bascule","Double run"),"ROKS"))))))</f>
        <v/>
      </c>
      <c r="W206" s="51" t="str">
        <f aca="false">IF(OR($A206="",W$8=""),"",IF($F206="Migré","ROKS",IF($F206="À décommissionner",IF(W$8&lt;$AS206,"IKS","Décom."),IF(OR($AQ206="",$AS206=""),"",IF(W$8&lt;$AQ206,"IKS",IF(W$8&lt;$AS206,IF(W$8=$AR206,"Bascule","Double run"),"ROKS"))))))</f>
        <v/>
      </c>
      <c r="X206" s="51" t="str">
        <f aca="false">IF(OR($A206="",X$8=""),"",IF($F206="Migré","ROKS",IF($F206="À décommissionner",IF(X$8&lt;$AS206,"IKS","Décom."),IF(OR($AQ206="",$AS206=""),"",IF(X$8&lt;$AQ206,"IKS",IF(X$8&lt;$AS206,IF(X$8=$AR206,"Bascule","Double run"),"ROKS"))))))</f>
        <v/>
      </c>
      <c r="Y206" s="51" t="str">
        <f aca="false">IF(OR($A206="",Y$8=""),"",IF($F206="Migré","ROKS",IF($F206="À décommissionner",IF(Y$8&lt;$AS206,"IKS","Décom."),IF(OR($AQ206="",$AS206=""),"",IF(Y$8&lt;$AQ206,"IKS",IF(Y$8&lt;$AS206,IF(Y$8=$AR206,"Bascule","Double run"),"ROKS"))))))</f>
        <v/>
      </c>
      <c r="Z206" s="51" t="str">
        <f aca="false">IF(OR($A206="",Z$8=""),"",IF($F206="Migré","ROKS",IF($F206="À décommissionner",IF(Z$8&lt;$AS206,"IKS","Décom."),IF(OR($AQ206="",$AS206=""),"",IF(Z$8&lt;$AQ206,"IKS",IF(Z$8&lt;$AS206,IF(Z$8=$AR206,"Bascule","Double run"),"ROKS"))))))</f>
        <v/>
      </c>
      <c r="AA206" s="51" t="str">
        <f aca="false">IF(OR($A206="",AA$8=""),"",IF($F206="Migré","ROKS",IF($F206="À décommissionner",IF(AA$8&lt;$AS206,"IKS","Décom."),IF(OR($AQ206="",$AS206=""),"",IF(AA$8&lt;$AQ206,"IKS",IF(AA$8&lt;$AS206,IF(AA$8=$AR206,"Bascule","Double run"),"ROKS"))))))</f>
        <v/>
      </c>
      <c r="AB206" s="51" t="str">
        <f aca="false">IF(OR($A206="",AB$8=""),"",IF($F206="Migré","ROKS",IF($F206="À décommissionner",IF(AB$8&lt;$AS206,"IKS","Décom."),IF(OR($AQ206="",$AS206=""),"",IF(AB$8&lt;$AQ206,"IKS",IF(AB$8&lt;$AS206,IF(AB$8=$AR206,"Bascule","Double run"),"ROKS"))))))</f>
        <v/>
      </c>
      <c r="AC206" s="51" t="str">
        <f aca="false">IF(OR($A206="",AC$8=""),"",IF($F206="Migré","ROKS",IF($F206="À décommissionner",IF(AC$8&lt;$AS206,"IKS","Décom."),IF(OR($AQ206="",$AS206=""),"",IF(AC$8&lt;$AQ206,"IKS",IF(AC$8&lt;$AS206,IF(AC$8=$AR206,"Bascule","Double run"),"ROKS"))))))</f>
        <v/>
      </c>
      <c r="AD206" s="51" t="str">
        <f aca="false">IF(OR($A206="",AD$8=""),"",IF($F206="Migré","ROKS",IF($F206="À décommissionner",IF(AD$8&lt;$AS206,"IKS","Décom."),IF(OR($AQ206="",$AS206=""),"",IF(AD$8&lt;$AQ206,"IKS",IF(AD$8&lt;$AS206,IF(AD$8=$AR206,"Bascule","Double run"),"ROKS"))))))</f>
        <v/>
      </c>
      <c r="AE206" s="51" t="str">
        <f aca="false">IF(OR($A206="",AE$8=""),"",IF($F206="Migré","ROKS",IF($F206="À décommissionner",IF(AE$8&lt;$AS206,"IKS","Décom."),IF(OR($AQ206="",$AS206=""),"",IF(AE$8&lt;$AQ206,"IKS",IF(AE$8&lt;$AS206,IF(AE$8=$AR206,"Bascule","Double run"),"ROKS"))))))</f>
        <v/>
      </c>
      <c r="AF206" s="51" t="str">
        <f aca="false">IF(OR($A206="",AF$8=""),"",IF($F206="Migré","ROKS",IF($F206="À décommissionner",IF(AF$8&lt;$AS206,"IKS","Décom."),IF(OR($AQ206="",$AS206=""),"",IF(AF$8&lt;$AQ206,"IKS",IF(AF$8&lt;$AS206,IF(AF$8=$AR206,"Bascule","Double run"),"ROKS"))))))</f>
        <v/>
      </c>
      <c r="AG206" s="51" t="str">
        <f aca="false">IF(OR($A206="",AG$8=""),"",IF($F206="Migré","ROKS",IF($F206="À décommissionner",IF(AG$8&lt;$AS206,"IKS","Décom."),IF(OR($AQ206="",$AS206=""),"",IF(AG$8&lt;$AQ206,"IKS",IF(AG$8&lt;$AS206,IF(AG$8=$AR206,"Bascule","Double run"),"ROKS"))))))</f>
        <v/>
      </c>
      <c r="AH206" s="51" t="str">
        <f aca="false">IF(OR($A206="",AH$8=""),"",IF($F206="Migré","ROKS",IF($F206="À décommissionner",IF(AH$8&lt;$AS206,"IKS","Décom."),IF(OR($AQ206="",$AS206=""),"",IF(AH$8&lt;$AQ206,"IKS",IF(AH$8&lt;$AS206,IF(AH$8=$AR206,"Bascule","Double run"),"ROKS"))))))</f>
        <v/>
      </c>
      <c r="AI206" s="51" t="str">
        <f aca="false">IF(OR($A206="",AI$8=""),"",IF($F206="Migré","ROKS",IF($F206="À décommissionner",IF(AI$8&lt;$AS206,"IKS","Décom."),IF(OR($AQ206="",$AS206=""),"",IF(AI$8&lt;$AQ206,"IKS",IF(AI$8&lt;$AS206,IF(AI$8=$AR206,"Bascule","Double run"),"ROKS"))))))</f>
        <v/>
      </c>
      <c r="AJ206" s="51" t="str">
        <f aca="false">IF(OR($A206="",AJ$8=""),"",IF($F206="Migré","ROKS",IF($F206="À décommissionner",IF(AJ$8&lt;$AS206,"IKS","Décom."),IF(OR($AQ206="",$AS206=""),"",IF(AJ$8&lt;$AQ206,"IKS",IF(AJ$8&lt;$AS206,IF(AJ$8=$AR206,"Bascule","Double run"),"ROKS"))))))</f>
        <v/>
      </c>
      <c r="AK206" s="51" t="str">
        <f aca="false">IF(OR($A206="",AK$8=""),"",IF($F206="Migré","ROKS",IF($F206="À décommissionner",IF(AK$8&lt;$AS206,"IKS","Décom."),IF(OR($AQ206="",$AS206=""),"",IF(AK$8&lt;$AQ206,"IKS",IF(AK$8&lt;$AS206,IF(AK$8=$AR206,"Bascule","Double run"),"ROKS"))))))</f>
        <v/>
      </c>
      <c r="AL206" s="51" t="str">
        <f aca="false">IF(OR($A206="",AL$8=""),"",IF($F206="Migré","ROKS",IF($F206="À décommissionner",IF(AL$8&lt;$AS206,"IKS","Décom."),IF(OR($AQ206="",$AS206=""),"",IF(AL$8&lt;$AQ206,"IKS",IF(AL$8&lt;$AS206,IF(AL$8=$AR206,"Bascule","Double run"),"ROKS"))))))</f>
        <v/>
      </c>
      <c r="AM206" s="51" t="str">
        <f aca="false">IF(OR($A206="",AM$8=""),"",IF($F206="Migré","ROKS",IF($F206="À décommissionner",IF(AM$8&lt;$AS206,"IKS","Décom."),IF(OR($AQ206="",$AS206=""),"",IF(AM$8&lt;$AQ206,"IKS",IF(AM$8&lt;$AS206,IF(AM$8=$AR206,"Bascule","Double run"),"ROKS"))))))</f>
        <v/>
      </c>
      <c r="AN206" s="51" t="str">
        <f aca="false">IF(OR($A206="",AN$8=""),"",IF($F206="Migré","ROKS",IF($F206="À décommissionner",IF(AN$8&lt;$AS206,"IKS","Décom."),IF(OR($AQ206="",$AS206=""),"",IF(AN$8&lt;$AQ206,"IKS",IF(AN$8&lt;$AS206,IF(AN$8=$AR206,"Bascule","Double run"),"ROKS"))))))</f>
        <v/>
      </c>
      <c r="AO206" s="51" t="str">
        <f aca="false">IF(OR($A206="",AO$8=""),"",IF($F206="Migré","ROKS",IF($F206="À décommissionner",IF(AO$8&lt;$AS206,"IKS","Décom."),IF(OR($AQ206="",$AS206=""),"",IF(AO$8&lt;$AQ206,"IKS",IF(AO$8&lt;$AS206,IF(AO$8=$AR206,"Bascule","Double run"),"ROKS"))))))</f>
        <v/>
      </c>
      <c r="AP206" s="51" t="str">
        <f aca="false">IF(OR($A206="",AP$8=""),"",IF($F206="Migré","ROKS",IF($F206="À décommissionner",IF(AP$8&lt;$AS206,"IKS","Décom."),IF(OR($AQ206="",$AS206=""),"",IF(AP$8&lt;$AQ206,"IKS",IF(AP$8&lt;$AS206,IF(AP$8=$AR206,"Bascule","Double run"),"ROKS"))))))</f>
        <v/>
      </c>
      <c r="AQ206" s="0" t="str">
        <f aca="false">IF($A206="","",INDEX(TblApplications[Mois prov (calc)],$A206))</f>
        <v/>
      </c>
      <c r="AR206" s="0" t="str">
        <f aca="false">IF($A206="","",IFERROR(DATE(YEAR(INDEX(TblApplications[Mois bascule],$A206)),MONTH(INDEX(TblApplications[Mois bascule],$A206)),1),""))</f>
        <v/>
      </c>
      <c r="AS206" s="0" t="str">
        <f aca="false">IF($A206="","",INDEX(TblApplications[Mois lib (calc)],$A206))</f>
        <v/>
      </c>
    </row>
    <row r="207" customFormat="false" ht="15" hidden="false" customHeight="false" outlineLevel="0" collapsed="false">
      <c r="A207" s="49" t="str">
        <f aca="false">IFERROR(MATCH(199,TblApplications[Rang frise],0),"")</f>
        <v/>
      </c>
      <c r="B207" s="50" t="str">
        <f aca="false">IF($A207="","",INDEX(TblApplications[ID],$A207))</f>
        <v/>
      </c>
      <c r="C207" s="50" t="str">
        <f aca="false">IF($A207="","",INDEX(TblApplications[Application],$A207))</f>
        <v/>
      </c>
      <c r="D207" s="50" t="str">
        <f aca="false">IF($A207="","",INDEX(TblApplications[Environnement],$A207))</f>
        <v/>
      </c>
      <c r="E207" s="50" t="str">
        <f aca="false">IF($A207="","",INDEX(TblApplications[Couloir],$A207))</f>
        <v/>
      </c>
      <c r="F207" s="50" t="str">
        <f aca="false">IF($A207="","",INDEX(TblApplications[Action],$A207))</f>
        <v/>
      </c>
      <c r="G207" s="51" t="str">
        <f aca="false">IF(OR($A207="",G$8=""),"",IF($F207="Migré","ROKS",IF($F207="À décommissionner",IF(G$8&lt;$AS207,"IKS","Décom."),IF(OR($AQ207="",$AS207=""),"",IF(G$8&lt;$AQ207,"IKS",IF(G$8&lt;$AS207,IF(G$8=$AR207,"Bascule","Double run"),"ROKS"))))))</f>
        <v/>
      </c>
      <c r="H207" s="51" t="str">
        <f aca="false">IF(OR($A207="",H$8=""),"",IF($F207="Migré","ROKS",IF($F207="À décommissionner",IF(H$8&lt;$AS207,"IKS","Décom."),IF(OR($AQ207="",$AS207=""),"",IF(H$8&lt;$AQ207,"IKS",IF(H$8&lt;$AS207,IF(H$8=$AR207,"Bascule","Double run"),"ROKS"))))))</f>
        <v/>
      </c>
      <c r="I207" s="51" t="str">
        <f aca="false">IF(OR($A207="",I$8=""),"",IF($F207="Migré","ROKS",IF($F207="À décommissionner",IF(I$8&lt;$AS207,"IKS","Décom."),IF(OR($AQ207="",$AS207=""),"",IF(I$8&lt;$AQ207,"IKS",IF(I$8&lt;$AS207,IF(I$8=$AR207,"Bascule","Double run"),"ROKS"))))))</f>
        <v/>
      </c>
      <c r="J207" s="51" t="str">
        <f aca="false">IF(OR($A207="",J$8=""),"",IF($F207="Migré","ROKS",IF($F207="À décommissionner",IF(J$8&lt;$AS207,"IKS","Décom."),IF(OR($AQ207="",$AS207=""),"",IF(J$8&lt;$AQ207,"IKS",IF(J$8&lt;$AS207,IF(J$8=$AR207,"Bascule","Double run"),"ROKS"))))))</f>
        <v/>
      </c>
      <c r="K207" s="51" t="str">
        <f aca="false">IF(OR($A207="",K$8=""),"",IF($F207="Migré","ROKS",IF($F207="À décommissionner",IF(K$8&lt;$AS207,"IKS","Décom."),IF(OR($AQ207="",$AS207=""),"",IF(K$8&lt;$AQ207,"IKS",IF(K$8&lt;$AS207,IF(K$8=$AR207,"Bascule","Double run"),"ROKS"))))))</f>
        <v/>
      </c>
      <c r="L207" s="51" t="str">
        <f aca="false">IF(OR($A207="",L$8=""),"",IF($F207="Migré","ROKS",IF($F207="À décommissionner",IF(L$8&lt;$AS207,"IKS","Décom."),IF(OR($AQ207="",$AS207=""),"",IF(L$8&lt;$AQ207,"IKS",IF(L$8&lt;$AS207,IF(L$8=$AR207,"Bascule","Double run"),"ROKS"))))))</f>
        <v/>
      </c>
      <c r="M207" s="51" t="str">
        <f aca="false">IF(OR($A207="",M$8=""),"",IF($F207="Migré","ROKS",IF($F207="À décommissionner",IF(M$8&lt;$AS207,"IKS","Décom."),IF(OR($AQ207="",$AS207=""),"",IF(M$8&lt;$AQ207,"IKS",IF(M$8&lt;$AS207,IF(M$8=$AR207,"Bascule","Double run"),"ROKS"))))))</f>
        <v/>
      </c>
      <c r="N207" s="51" t="str">
        <f aca="false">IF(OR($A207="",N$8=""),"",IF($F207="Migré","ROKS",IF($F207="À décommissionner",IF(N$8&lt;$AS207,"IKS","Décom."),IF(OR($AQ207="",$AS207=""),"",IF(N$8&lt;$AQ207,"IKS",IF(N$8&lt;$AS207,IF(N$8=$AR207,"Bascule","Double run"),"ROKS"))))))</f>
        <v/>
      </c>
      <c r="O207" s="51" t="str">
        <f aca="false">IF(OR($A207="",O$8=""),"",IF($F207="Migré","ROKS",IF($F207="À décommissionner",IF(O$8&lt;$AS207,"IKS","Décom."),IF(OR($AQ207="",$AS207=""),"",IF(O$8&lt;$AQ207,"IKS",IF(O$8&lt;$AS207,IF(O$8=$AR207,"Bascule","Double run"),"ROKS"))))))</f>
        <v/>
      </c>
      <c r="P207" s="51" t="str">
        <f aca="false">IF(OR($A207="",P$8=""),"",IF($F207="Migré","ROKS",IF($F207="À décommissionner",IF(P$8&lt;$AS207,"IKS","Décom."),IF(OR($AQ207="",$AS207=""),"",IF(P$8&lt;$AQ207,"IKS",IF(P$8&lt;$AS207,IF(P$8=$AR207,"Bascule","Double run"),"ROKS"))))))</f>
        <v/>
      </c>
      <c r="Q207" s="51" t="str">
        <f aca="false">IF(OR($A207="",Q$8=""),"",IF($F207="Migré","ROKS",IF($F207="À décommissionner",IF(Q$8&lt;$AS207,"IKS","Décom."),IF(OR($AQ207="",$AS207=""),"",IF(Q$8&lt;$AQ207,"IKS",IF(Q$8&lt;$AS207,IF(Q$8=$AR207,"Bascule","Double run"),"ROKS"))))))</f>
        <v/>
      </c>
      <c r="R207" s="51" t="str">
        <f aca="false">IF(OR($A207="",R$8=""),"",IF($F207="Migré","ROKS",IF($F207="À décommissionner",IF(R$8&lt;$AS207,"IKS","Décom."),IF(OR($AQ207="",$AS207=""),"",IF(R$8&lt;$AQ207,"IKS",IF(R$8&lt;$AS207,IF(R$8=$AR207,"Bascule","Double run"),"ROKS"))))))</f>
        <v/>
      </c>
      <c r="S207" s="51" t="str">
        <f aca="false">IF(OR($A207="",S$8=""),"",IF($F207="Migré","ROKS",IF($F207="À décommissionner",IF(S$8&lt;$AS207,"IKS","Décom."),IF(OR($AQ207="",$AS207=""),"",IF(S$8&lt;$AQ207,"IKS",IF(S$8&lt;$AS207,IF(S$8=$AR207,"Bascule","Double run"),"ROKS"))))))</f>
        <v/>
      </c>
      <c r="T207" s="51" t="str">
        <f aca="false">IF(OR($A207="",T$8=""),"",IF($F207="Migré","ROKS",IF($F207="À décommissionner",IF(T$8&lt;$AS207,"IKS","Décom."),IF(OR($AQ207="",$AS207=""),"",IF(T$8&lt;$AQ207,"IKS",IF(T$8&lt;$AS207,IF(T$8=$AR207,"Bascule","Double run"),"ROKS"))))))</f>
        <v/>
      </c>
      <c r="U207" s="51" t="str">
        <f aca="false">IF(OR($A207="",U$8=""),"",IF($F207="Migré","ROKS",IF($F207="À décommissionner",IF(U$8&lt;$AS207,"IKS","Décom."),IF(OR($AQ207="",$AS207=""),"",IF(U$8&lt;$AQ207,"IKS",IF(U$8&lt;$AS207,IF(U$8=$AR207,"Bascule","Double run"),"ROKS"))))))</f>
        <v/>
      </c>
      <c r="V207" s="51" t="str">
        <f aca="false">IF(OR($A207="",V$8=""),"",IF($F207="Migré","ROKS",IF($F207="À décommissionner",IF(V$8&lt;$AS207,"IKS","Décom."),IF(OR($AQ207="",$AS207=""),"",IF(V$8&lt;$AQ207,"IKS",IF(V$8&lt;$AS207,IF(V$8=$AR207,"Bascule","Double run"),"ROKS"))))))</f>
        <v/>
      </c>
      <c r="W207" s="51" t="str">
        <f aca="false">IF(OR($A207="",W$8=""),"",IF($F207="Migré","ROKS",IF($F207="À décommissionner",IF(W$8&lt;$AS207,"IKS","Décom."),IF(OR($AQ207="",$AS207=""),"",IF(W$8&lt;$AQ207,"IKS",IF(W$8&lt;$AS207,IF(W$8=$AR207,"Bascule","Double run"),"ROKS"))))))</f>
        <v/>
      </c>
      <c r="X207" s="51" t="str">
        <f aca="false">IF(OR($A207="",X$8=""),"",IF($F207="Migré","ROKS",IF($F207="À décommissionner",IF(X$8&lt;$AS207,"IKS","Décom."),IF(OR($AQ207="",$AS207=""),"",IF(X$8&lt;$AQ207,"IKS",IF(X$8&lt;$AS207,IF(X$8=$AR207,"Bascule","Double run"),"ROKS"))))))</f>
        <v/>
      </c>
      <c r="Y207" s="51" t="str">
        <f aca="false">IF(OR($A207="",Y$8=""),"",IF($F207="Migré","ROKS",IF($F207="À décommissionner",IF(Y$8&lt;$AS207,"IKS","Décom."),IF(OR($AQ207="",$AS207=""),"",IF(Y$8&lt;$AQ207,"IKS",IF(Y$8&lt;$AS207,IF(Y$8=$AR207,"Bascule","Double run"),"ROKS"))))))</f>
        <v/>
      </c>
      <c r="Z207" s="51" t="str">
        <f aca="false">IF(OR($A207="",Z$8=""),"",IF($F207="Migré","ROKS",IF($F207="À décommissionner",IF(Z$8&lt;$AS207,"IKS","Décom."),IF(OR($AQ207="",$AS207=""),"",IF(Z$8&lt;$AQ207,"IKS",IF(Z$8&lt;$AS207,IF(Z$8=$AR207,"Bascule","Double run"),"ROKS"))))))</f>
        <v/>
      </c>
      <c r="AA207" s="51" t="str">
        <f aca="false">IF(OR($A207="",AA$8=""),"",IF($F207="Migré","ROKS",IF($F207="À décommissionner",IF(AA$8&lt;$AS207,"IKS","Décom."),IF(OR($AQ207="",$AS207=""),"",IF(AA$8&lt;$AQ207,"IKS",IF(AA$8&lt;$AS207,IF(AA$8=$AR207,"Bascule","Double run"),"ROKS"))))))</f>
        <v/>
      </c>
      <c r="AB207" s="51" t="str">
        <f aca="false">IF(OR($A207="",AB$8=""),"",IF($F207="Migré","ROKS",IF($F207="À décommissionner",IF(AB$8&lt;$AS207,"IKS","Décom."),IF(OR($AQ207="",$AS207=""),"",IF(AB$8&lt;$AQ207,"IKS",IF(AB$8&lt;$AS207,IF(AB$8=$AR207,"Bascule","Double run"),"ROKS"))))))</f>
        <v/>
      </c>
      <c r="AC207" s="51" t="str">
        <f aca="false">IF(OR($A207="",AC$8=""),"",IF($F207="Migré","ROKS",IF($F207="À décommissionner",IF(AC$8&lt;$AS207,"IKS","Décom."),IF(OR($AQ207="",$AS207=""),"",IF(AC$8&lt;$AQ207,"IKS",IF(AC$8&lt;$AS207,IF(AC$8=$AR207,"Bascule","Double run"),"ROKS"))))))</f>
        <v/>
      </c>
      <c r="AD207" s="51" t="str">
        <f aca="false">IF(OR($A207="",AD$8=""),"",IF($F207="Migré","ROKS",IF($F207="À décommissionner",IF(AD$8&lt;$AS207,"IKS","Décom."),IF(OR($AQ207="",$AS207=""),"",IF(AD$8&lt;$AQ207,"IKS",IF(AD$8&lt;$AS207,IF(AD$8=$AR207,"Bascule","Double run"),"ROKS"))))))</f>
        <v/>
      </c>
      <c r="AE207" s="51" t="str">
        <f aca="false">IF(OR($A207="",AE$8=""),"",IF($F207="Migré","ROKS",IF($F207="À décommissionner",IF(AE$8&lt;$AS207,"IKS","Décom."),IF(OR($AQ207="",$AS207=""),"",IF(AE$8&lt;$AQ207,"IKS",IF(AE$8&lt;$AS207,IF(AE$8=$AR207,"Bascule","Double run"),"ROKS"))))))</f>
        <v/>
      </c>
      <c r="AF207" s="51" t="str">
        <f aca="false">IF(OR($A207="",AF$8=""),"",IF($F207="Migré","ROKS",IF($F207="À décommissionner",IF(AF$8&lt;$AS207,"IKS","Décom."),IF(OR($AQ207="",$AS207=""),"",IF(AF$8&lt;$AQ207,"IKS",IF(AF$8&lt;$AS207,IF(AF$8=$AR207,"Bascule","Double run"),"ROKS"))))))</f>
        <v/>
      </c>
      <c r="AG207" s="51" t="str">
        <f aca="false">IF(OR($A207="",AG$8=""),"",IF($F207="Migré","ROKS",IF($F207="À décommissionner",IF(AG$8&lt;$AS207,"IKS","Décom."),IF(OR($AQ207="",$AS207=""),"",IF(AG$8&lt;$AQ207,"IKS",IF(AG$8&lt;$AS207,IF(AG$8=$AR207,"Bascule","Double run"),"ROKS"))))))</f>
        <v/>
      </c>
      <c r="AH207" s="51" t="str">
        <f aca="false">IF(OR($A207="",AH$8=""),"",IF($F207="Migré","ROKS",IF($F207="À décommissionner",IF(AH$8&lt;$AS207,"IKS","Décom."),IF(OR($AQ207="",$AS207=""),"",IF(AH$8&lt;$AQ207,"IKS",IF(AH$8&lt;$AS207,IF(AH$8=$AR207,"Bascule","Double run"),"ROKS"))))))</f>
        <v/>
      </c>
      <c r="AI207" s="51" t="str">
        <f aca="false">IF(OR($A207="",AI$8=""),"",IF($F207="Migré","ROKS",IF($F207="À décommissionner",IF(AI$8&lt;$AS207,"IKS","Décom."),IF(OR($AQ207="",$AS207=""),"",IF(AI$8&lt;$AQ207,"IKS",IF(AI$8&lt;$AS207,IF(AI$8=$AR207,"Bascule","Double run"),"ROKS"))))))</f>
        <v/>
      </c>
      <c r="AJ207" s="51" t="str">
        <f aca="false">IF(OR($A207="",AJ$8=""),"",IF($F207="Migré","ROKS",IF($F207="À décommissionner",IF(AJ$8&lt;$AS207,"IKS","Décom."),IF(OR($AQ207="",$AS207=""),"",IF(AJ$8&lt;$AQ207,"IKS",IF(AJ$8&lt;$AS207,IF(AJ$8=$AR207,"Bascule","Double run"),"ROKS"))))))</f>
        <v/>
      </c>
      <c r="AK207" s="51" t="str">
        <f aca="false">IF(OR($A207="",AK$8=""),"",IF($F207="Migré","ROKS",IF($F207="À décommissionner",IF(AK$8&lt;$AS207,"IKS","Décom."),IF(OR($AQ207="",$AS207=""),"",IF(AK$8&lt;$AQ207,"IKS",IF(AK$8&lt;$AS207,IF(AK$8=$AR207,"Bascule","Double run"),"ROKS"))))))</f>
        <v/>
      </c>
      <c r="AL207" s="51" t="str">
        <f aca="false">IF(OR($A207="",AL$8=""),"",IF($F207="Migré","ROKS",IF($F207="À décommissionner",IF(AL$8&lt;$AS207,"IKS","Décom."),IF(OR($AQ207="",$AS207=""),"",IF(AL$8&lt;$AQ207,"IKS",IF(AL$8&lt;$AS207,IF(AL$8=$AR207,"Bascule","Double run"),"ROKS"))))))</f>
        <v/>
      </c>
      <c r="AM207" s="51" t="str">
        <f aca="false">IF(OR($A207="",AM$8=""),"",IF($F207="Migré","ROKS",IF($F207="À décommissionner",IF(AM$8&lt;$AS207,"IKS","Décom."),IF(OR($AQ207="",$AS207=""),"",IF(AM$8&lt;$AQ207,"IKS",IF(AM$8&lt;$AS207,IF(AM$8=$AR207,"Bascule","Double run"),"ROKS"))))))</f>
        <v/>
      </c>
      <c r="AN207" s="51" t="str">
        <f aca="false">IF(OR($A207="",AN$8=""),"",IF($F207="Migré","ROKS",IF($F207="À décommissionner",IF(AN$8&lt;$AS207,"IKS","Décom."),IF(OR($AQ207="",$AS207=""),"",IF(AN$8&lt;$AQ207,"IKS",IF(AN$8&lt;$AS207,IF(AN$8=$AR207,"Bascule","Double run"),"ROKS"))))))</f>
        <v/>
      </c>
      <c r="AO207" s="51" t="str">
        <f aca="false">IF(OR($A207="",AO$8=""),"",IF($F207="Migré","ROKS",IF($F207="À décommissionner",IF(AO$8&lt;$AS207,"IKS","Décom."),IF(OR($AQ207="",$AS207=""),"",IF(AO$8&lt;$AQ207,"IKS",IF(AO$8&lt;$AS207,IF(AO$8=$AR207,"Bascule","Double run"),"ROKS"))))))</f>
        <v/>
      </c>
      <c r="AP207" s="51" t="str">
        <f aca="false">IF(OR($A207="",AP$8=""),"",IF($F207="Migré","ROKS",IF($F207="À décommissionner",IF(AP$8&lt;$AS207,"IKS","Décom."),IF(OR($AQ207="",$AS207=""),"",IF(AP$8&lt;$AQ207,"IKS",IF(AP$8&lt;$AS207,IF(AP$8=$AR207,"Bascule","Double run"),"ROKS"))))))</f>
        <v/>
      </c>
      <c r="AQ207" s="0" t="str">
        <f aca="false">IF($A207="","",INDEX(TblApplications[Mois prov (calc)],$A207))</f>
        <v/>
      </c>
      <c r="AR207" s="0" t="str">
        <f aca="false">IF($A207="","",IFERROR(DATE(YEAR(INDEX(TblApplications[Mois bascule],$A207)),MONTH(INDEX(TblApplications[Mois bascule],$A207)),1),""))</f>
        <v/>
      </c>
      <c r="AS207" s="0" t="str">
        <f aca="false">IF($A207="","",INDEX(TblApplications[Mois lib (calc)],$A207))</f>
        <v/>
      </c>
    </row>
    <row r="208" customFormat="false" ht="15" hidden="false" customHeight="false" outlineLevel="0" collapsed="false">
      <c r="A208" s="49" t="str">
        <f aca="false">IFERROR(MATCH(200,TblApplications[Rang frise],0),"")</f>
        <v/>
      </c>
      <c r="B208" s="50" t="str">
        <f aca="false">IF($A208="","",INDEX(TblApplications[ID],$A208))</f>
        <v/>
      </c>
      <c r="C208" s="50" t="str">
        <f aca="false">IF($A208="","",INDEX(TblApplications[Application],$A208))</f>
        <v/>
      </c>
      <c r="D208" s="50" t="str">
        <f aca="false">IF($A208="","",INDEX(TblApplications[Environnement],$A208))</f>
        <v/>
      </c>
      <c r="E208" s="50" t="str">
        <f aca="false">IF($A208="","",INDEX(TblApplications[Couloir],$A208))</f>
        <v/>
      </c>
      <c r="F208" s="50" t="str">
        <f aca="false">IF($A208="","",INDEX(TblApplications[Action],$A208))</f>
        <v/>
      </c>
      <c r="G208" s="51" t="str">
        <f aca="false">IF(OR($A208="",G$8=""),"",IF($F208="Migré","ROKS",IF($F208="À décommissionner",IF(G$8&lt;$AS208,"IKS","Décom."),IF(OR($AQ208="",$AS208=""),"",IF(G$8&lt;$AQ208,"IKS",IF(G$8&lt;$AS208,IF(G$8=$AR208,"Bascule","Double run"),"ROKS"))))))</f>
        <v/>
      </c>
      <c r="H208" s="51" t="str">
        <f aca="false">IF(OR($A208="",H$8=""),"",IF($F208="Migré","ROKS",IF($F208="À décommissionner",IF(H$8&lt;$AS208,"IKS","Décom."),IF(OR($AQ208="",$AS208=""),"",IF(H$8&lt;$AQ208,"IKS",IF(H$8&lt;$AS208,IF(H$8=$AR208,"Bascule","Double run"),"ROKS"))))))</f>
        <v/>
      </c>
      <c r="I208" s="51" t="str">
        <f aca="false">IF(OR($A208="",I$8=""),"",IF($F208="Migré","ROKS",IF($F208="À décommissionner",IF(I$8&lt;$AS208,"IKS","Décom."),IF(OR($AQ208="",$AS208=""),"",IF(I$8&lt;$AQ208,"IKS",IF(I$8&lt;$AS208,IF(I$8=$AR208,"Bascule","Double run"),"ROKS"))))))</f>
        <v/>
      </c>
      <c r="J208" s="51" t="str">
        <f aca="false">IF(OR($A208="",J$8=""),"",IF($F208="Migré","ROKS",IF($F208="À décommissionner",IF(J$8&lt;$AS208,"IKS","Décom."),IF(OR($AQ208="",$AS208=""),"",IF(J$8&lt;$AQ208,"IKS",IF(J$8&lt;$AS208,IF(J$8=$AR208,"Bascule","Double run"),"ROKS"))))))</f>
        <v/>
      </c>
      <c r="K208" s="51" t="str">
        <f aca="false">IF(OR($A208="",K$8=""),"",IF($F208="Migré","ROKS",IF($F208="À décommissionner",IF(K$8&lt;$AS208,"IKS","Décom."),IF(OR($AQ208="",$AS208=""),"",IF(K$8&lt;$AQ208,"IKS",IF(K$8&lt;$AS208,IF(K$8=$AR208,"Bascule","Double run"),"ROKS"))))))</f>
        <v/>
      </c>
      <c r="L208" s="51" t="str">
        <f aca="false">IF(OR($A208="",L$8=""),"",IF($F208="Migré","ROKS",IF($F208="À décommissionner",IF(L$8&lt;$AS208,"IKS","Décom."),IF(OR($AQ208="",$AS208=""),"",IF(L$8&lt;$AQ208,"IKS",IF(L$8&lt;$AS208,IF(L$8=$AR208,"Bascule","Double run"),"ROKS"))))))</f>
        <v/>
      </c>
      <c r="M208" s="51" t="str">
        <f aca="false">IF(OR($A208="",M$8=""),"",IF($F208="Migré","ROKS",IF($F208="À décommissionner",IF(M$8&lt;$AS208,"IKS","Décom."),IF(OR($AQ208="",$AS208=""),"",IF(M$8&lt;$AQ208,"IKS",IF(M$8&lt;$AS208,IF(M$8=$AR208,"Bascule","Double run"),"ROKS"))))))</f>
        <v/>
      </c>
      <c r="N208" s="51" t="str">
        <f aca="false">IF(OR($A208="",N$8=""),"",IF($F208="Migré","ROKS",IF($F208="À décommissionner",IF(N$8&lt;$AS208,"IKS","Décom."),IF(OR($AQ208="",$AS208=""),"",IF(N$8&lt;$AQ208,"IKS",IF(N$8&lt;$AS208,IF(N$8=$AR208,"Bascule","Double run"),"ROKS"))))))</f>
        <v/>
      </c>
      <c r="O208" s="51" t="str">
        <f aca="false">IF(OR($A208="",O$8=""),"",IF($F208="Migré","ROKS",IF($F208="À décommissionner",IF(O$8&lt;$AS208,"IKS","Décom."),IF(OR($AQ208="",$AS208=""),"",IF(O$8&lt;$AQ208,"IKS",IF(O$8&lt;$AS208,IF(O$8=$AR208,"Bascule","Double run"),"ROKS"))))))</f>
        <v/>
      </c>
      <c r="P208" s="51" t="str">
        <f aca="false">IF(OR($A208="",P$8=""),"",IF($F208="Migré","ROKS",IF($F208="À décommissionner",IF(P$8&lt;$AS208,"IKS","Décom."),IF(OR($AQ208="",$AS208=""),"",IF(P$8&lt;$AQ208,"IKS",IF(P$8&lt;$AS208,IF(P$8=$AR208,"Bascule","Double run"),"ROKS"))))))</f>
        <v/>
      </c>
      <c r="Q208" s="51" t="str">
        <f aca="false">IF(OR($A208="",Q$8=""),"",IF($F208="Migré","ROKS",IF($F208="À décommissionner",IF(Q$8&lt;$AS208,"IKS","Décom."),IF(OR($AQ208="",$AS208=""),"",IF(Q$8&lt;$AQ208,"IKS",IF(Q$8&lt;$AS208,IF(Q$8=$AR208,"Bascule","Double run"),"ROKS"))))))</f>
        <v/>
      </c>
      <c r="R208" s="51" t="str">
        <f aca="false">IF(OR($A208="",R$8=""),"",IF($F208="Migré","ROKS",IF($F208="À décommissionner",IF(R$8&lt;$AS208,"IKS","Décom."),IF(OR($AQ208="",$AS208=""),"",IF(R$8&lt;$AQ208,"IKS",IF(R$8&lt;$AS208,IF(R$8=$AR208,"Bascule","Double run"),"ROKS"))))))</f>
        <v/>
      </c>
      <c r="S208" s="51" t="str">
        <f aca="false">IF(OR($A208="",S$8=""),"",IF($F208="Migré","ROKS",IF($F208="À décommissionner",IF(S$8&lt;$AS208,"IKS","Décom."),IF(OR($AQ208="",$AS208=""),"",IF(S$8&lt;$AQ208,"IKS",IF(S$8&lt;$AS208,IF(S$8=$AR208,"Bascule","Double run"),"ROKS"))))))</f>
        <v/>
      </c>
      <c r="T208" s="51" t="str">
        <f aca="false">IF(OR($A208="",T$8=""),"",IF($F208="Migré","ROKS",IF($F208="À décommissionner",IF(T$8&lt;$AS208,"IKS","Décom."),IF(OR($AQ208="",$AS208=""),"",IF(T$8&lt;$AQ208,"IKS",IF(T$8&lt;$AS208,IF(T$8=$AR208,"Bascule","Double run"),"ROKS"))))))</f>
        <v/>
      </c>
      <c r="U208" s="51" t="str">
        <f aca="false">IF(OR($A208="",U$8=""),"",IF($F208="Migré","ROKS",IF($F208="À décommissionner",IF(U$8&lt;$AS208,"IKS","Décom."),IF(OR($AQ208="",$AS208=""),"",IF(U$8&lt;$AQ208,"IKS",IF(U$8&lt;$AS208,IF(U$8=$AR208,"Bascule","Double run"),"ROKS"))))))</f>
        <v/>
      </c>
      <c r="V208" s="51" t="str">
        <f aca="false">IF(OR($A208="",V$8=""),"",IF($F208="Migré","ROKS",IF($F208="À décommissionner",IF(V$8&lt;$AS208,"IKS","Décom."),IF(OR($AQ208="",$AS208=""),"",IF(V$8&lt;$AQ208,"IKS",IF(V$8&lt;$AS208,IF(V$8=$AR208,"Bascule","Double run"),"ROKS"))))))</f>
        <v/>
      </c>
      <c r="W208" s="51" t="str">
        <f aca="false">IF(OR($A208="",W$8=""),"",IF($F208="Migré","ROKS",IF($F208="À décommissionner",IF(W$8&lt;$AS208,"IKS","Décom."),IF(OR($AQ208="",$AS208=""),"",IF(W$8&lt;$AQ208,"IKS",IF(W$8&lt;$AS208,IF(W$8=$AR208,"Bascule","Double run"),"ROKS"))))))</f>
        <v/>
      </c>
      <c r="X208" s="51" t="str">
        <f aca="false">IF(OR($A208="",X$8=""),"",IF($F208="Migré","ROKS",IF($F208="À décommissionner",IF(X$8&lt;$AS208,"IKS","Décom."),IF(OR($AQ208="",$AS208=""),"",IF(X$8&lt;$AQ208,"IKS",IF(X$8&lt;$AS208,IF(X$8=$AR208,"Bascule","Double run"),"ROKS"))))))</f>
        <v/>
      </c>
      <c r="Y208" s="51" t="str">
        <f aca="false">IF(OR($A208="",Y$8=""),"",IF($F208="Migré","ROKS",IF($F208="À décommissionner",IF(Y$8&lt;$AS208,"IKS","Décom."),IF(OR($AQ208="",$AS208=""),"",IF(Y$8&lt;$AQ208,"IKS",IF(Y$8&lt;$AS208,IF(Y$8=$AR208,"Bascule","Double run"),"ROKS"))))))</f>
        <v/>
      </c>
      <c r="Z208" s="51" t="str">
        <f aca="false">IF(OR($A208="",Z$8=""),"",IF($F208="Migré","ROKS",IF($F208="À décommissionner",IF(Z$8&lt;$AS208,"IKS","Décom."),IF(OR($AQ208="",$AS208=""),"",IF(Z$8&lt;$AQ208,"IKS",IF(Z$8&lt;$AS208,IF(Z$8=$AR208,"Bascule","Double run"),"ROKS"))))))</f>
        <v/>
      </c>
      <c r="AA208" s="51" t="str">
        <f aca="false">IF(OR($A208="",AA$8=""),"",IF($F208="Migré","ROKS",IF($F208="À décommissionner",IF(AA$8&lt;$AS208,"IKS","Décom."),IF(OR($AQ208="",$AS208=""),"",IF(AA$8&lt;$AQ208,"IKS",IF(AA$8&lt;$AS208,IF(AA$8=$AR208,"Bascule","Double run"),"ROKS"))))))</f>
        <v/>
      </c>
      <c r="AB208" s="51" t="str">
        <f aca="false">IF(OR($A208="",AB$8=""),"",IF($F208="Migré","ROKS",IF($F208="À décommissionner",IF(AB$8&lt;$AS208,"IKS","Décom."),IF(OR($AQ208="",$AS208=""),"",IF(AB$8&lt;$AQ208,"IKS",IF(AB$8&lt;$AS208,IF(AB$8=$AR208,"Bascule","Double run"),"ROKS"))))))</f>
        <v/>
      </c>
      <c r="AC208" s="51" t="str">
        <f aca="false">IF(OR($A208="",AC$8=""),"",IF($F208="Migré","ROKS",IF($F208="À décommissionner",IF(AC$8&lt;$AS208,"IKS","Décom."),IF(OR($AQ208="",$AS208=""),"",IF(AC$8&lt;$AQ208,"IKS",IF(AC$8&lt;$AS208,IF(AC$8=$AR208,"Bascule","Double run"),"ROKS"))))))</f>
        <v/>
      </c>
      <c r="AD208" s="51" t="str">
        <f aca="false">IF(OR($A208="",AD$8=""),"",IF($F208="Migré","ROKS",IF($F208="À décommissionner",IF(AD$8&lt;$AS208,"IKS","Décom."),IF(OR($AQ208="",$AS208=""),"",IF(AD$8&lt;$AQ208,"IKS",IF(AD$8&lt;$AS208,IF(AD$8=$AR208,"Bascule","Double run"),"ROKS"))))))</f>
        <v/>
      </c>
      <c r="AE208" s="51" t="str">
        <f aca="false">IF(OR($A208="",AE$8=""),"",IF($F208="Migré","ROKS",IF($F208="À décommissionner",IF(AE$8&lt;$AS208,"IKS","Décom."),IF(OR($AQ208="",$AS208=""),"",IF(AE$8&lt;$AQ208,"IKS",IF(AE$8&lt;$AS208,IF(AE$8=$AR208,"Bascule","Double run"),"ROKS"))))))</f>
        <v/>
      </c>
      <c r="AF208" s="51" t="str">
        <f aca="false">IF(OR($A208="",AF$8=""),"",IF($F208="Migré","ROKS",IF($F208="À décommissionner",IF(AF$8&lt;$AS208,"IKS","Décom."),IF(OR($AQ208="",$AS208=""),"",IF(AF$8&lt;$AQ208,"IKS",IF(AF$8&lt;$AS208,IF(AF$8=$AR208,"Bascule","Double run"),"ROKS"))))))</f>
        <v/>
      </c>
      <c r="AG208" s="51" t="str">
        <f aca="false">IF(OR($A208="",AG$8=""),"",IF($F208="Migré","ROKS",IF($F208="À décommissionner",IF(AG$8&lt;$AS208,"IKS","Décom."),IF(OR($AQ208="",$AS208=""),"",IF(AG$8&lt;$AQ208,"IKS",IF(AG$8&lt;$AS208,IF(AG$8=$AR208,"Bascule","Double run"),"ROKS"))))))</f>
        <v/>
      </c>
      <c r="AH208" s="51" t="str">
        <f aca="false">IF(OR($A208="",AH$8=""),"",IF($F208="Migré","ROKS",IF($F208="À décommissionner",IF(AH$8&lt;$AS208,"IKS","Décom."),IF(OR($AQ208="",$AS208=""),"",IF(AH$8&lt;$AQ208,"IKS",IF(AH$8&lt;$AS208,IF(AH$8=$AR208,"Bascule","Double run"),"ROKS"))))))</f>
        <v/>
      </c>
      <c r="AI208" s="51" t="str">
        <f aca="false">IF(OR($A208="",AI$8=""),"",IF($F208="Migré","ROKS",IF($F208="À décommissionner",IF(AI$8&lt;$AS208,"IKS","Décom."),IF(OR($AQ208="",$AS208=""),"",IF(AI$8&lt;$AQ208,"IKS",IF(AI$8&lt;$AS208,IF(AI$8=$AR208,"Bascule","Double run"),"ROKS"))))))</f>
        <v/>
      </c>
      <c r="AJ208" s="51" t="str">
        <f aca="false">IF(OR($A208="",AJ$8=""),"",IF($F208="Migré","ROKS",IF($F208="À décommissionner",IF(AJ$8&lt;$AS208,"IKS","Décom."),IF(OR($AQ208="",$AS208=""),"",IF(AJ$8&lt;$AQ208,"IKS",IF(AJ$8&lt;$AS208,IF(AJ$8=$AR208,"Bascule","Double run"),"ROKS"))))))</f>
        <v/>
      </c>
      <c r="AK208" s="51" t="str">
        <f aca="false">IF(OR($A208="",AK$8=""),"",IF($F208="Migré","ROKS",IF($F208="À décommissionner",IF(AK$8&lt;$AS208,"IKS","Décom."),IF(OR($AQ208="",$AS208=""),"",IF(AK$8&lt;$AQ208,"IKS",IF(AK$8&lt;$AS208,IF(AK$8=$AR208,"Bascule","Double run"),"ROKS"))))))</f>
        <v/>
      </c>
      <c r="AL208" s="51" t="str">
        <f aca="false">IF(OR($A208="",AL$8=""),"",IF($F208="Migré","ROKS",IF($F208="À décommissionner",IF(AL$8&lt;$AS208,"IKS","Décom."),IF(OR($AQ208="",$AS208=""),"",IF(AL$8&lt;$AQ208,"IKS",IF(AL$8&lt;$AS208,IF(AL$8=$AR208,"Bascule","Double run"),"ROKS"))))))</f>
        <v/>
      </c>
      <c r="AM208" s="51" t="str">
        <f aca="false">IF(OR($A208="",AM$8=""),"",IF($F208="Migré","ROKS",IF($F208="À décommissionner",IF(AM$8&lt;$AS208,"IKS","Décom."),IF(OR($AQ208="",$AS208=""),"",IF(AM$8&lt;$AQ208,"IKS",IF(AM$8&lt;$AS208,IF(AM$8=$AR208,"Bascule","Double run"),"ROKS"))))))</f>
        <v/>
      </c>
      <c r="AN208" s="51" t="str">
        <f aca="false">IF(OR($A208="",AN$8=""),"",IF($F208="Migré","ROKS",IF($F208="À décommissionner",IF(AN$8&lt;$AS208,"IKS","Décom."),IF(OR($AQ208="",$AS208=""),"",IF(AN$8&lt;$AQ208,"IKS",IF(AN$8&lt;$AS208,IF(AN$8=$AR208,"Bascule","Double run"),"ROKS"))))))</f>
        <v/>
      </c>
      <c r="AO208" s="51" t="str">
        <f aca="false">IF(OR($A208="",AO$8=""),"",IF($F208="Migré","ROKS",IF($F208="À décommissionner",IF(AO$8&lt;$AS208,"IKS","Décom."),IF(OR($AQ208="",$AS208=""),"",IF(AO$8&lt;$AQ208,"IKS",IF(AO$8&lt;$AS208,IF(AO$8=$AR208,"Bascule","Double run"),"ROKS"))))))</f>
        <v/>
      </c>
      <c r="AP208" s="51" t="str">
        <f aca="false">IF(OR($A208="",AP$8=""),"",IF($F208="Migré","ROKS",IF($F208="À décommissionner",IF(AP$8&lt;$AS208,"IKS","Décom."),IF(OR($AQ208="",$AS208=""),"",IF(AP$8&lt;$AQ208,"IKS",IF(AP$8&lt;$AS208,IF(AP$8=$AR208,"Bascule","Double run"),"ROKS"))))))</f>
        <v/>
      </c>
      <c r="AQ208" s="0" t="str">
        <f aca="false">IF($A208="","",INDEX(TblApplications[Mois prov (calc)],$A208))</f>
        <v/>
      </c>
      <c r="AR208" s="0" t="str">
        <f aca="false">IF($A208="","",IFERROR(DATE(YEAR(INDEX(TblApplications[Mois bascule],$A208)),MONTH(INDEX(TblApplications[Mois bascule],$A208)),1),""))</f>
        <v/>
      </c>
      <c r="AS208" s="0" t="str">
        <f aca="false">IF($A208="","",INDEX(TblApplications[Mois lib (calc)],$A208))</f>
        <v/>
      </c>
    </row>
    <row r="209" customFormat="false" ht="15" hidden="false" customHeight="false" outlineLevel="0" collapsed="false">
      <c r="A209" s="49" t="str">
        <f aca="false">IFERROR(MATCH(201,TblApplications[Rang frise],0),"")</f>
        <v/>
      </c>
      <c r="B209" s="50" t="str">
        <f aca="false">IF($A209="","",INDEX(TblApplications[ID],$A209))</f>
        <v/>
      </c>
      <c r="C209" s="50" t="str">
        <f aca="false">IF($A209="","",INDEX(TblApplications[Application],$A209))</f>
        <v/>
      </c>
      <c r="D209" s="50" t="str">
        <f aca="false">IF($A209="","",INDEX(TblApplications[Environnement],$A209))</f>
        <v/>
      </c>
      <c r="E209" s="50" t="str">
        <f aca="false">IF($A209="","",INDEX(TblApplications[Couloir],$A209))</f>
        <v/>
      </c>
      <c r="F209" s="50" t="str">
        <f aca="false">IF($A209="","",INDEX(TblApplications[Action],$A209))</f>
        <v/>
      </c>
      <c r="G209" s="51" t="str">
        <f aca="false">IF(OR($A209="",G$8=""),"",IF($F209="Migré","ROKS",IF($F209="À décommissionner",IF(G$8&lt;$AS209,"IKS","Décom."),IF(OR($AQ209="",$AS209=""),"",IF(G$8&lt;$AQ209,"IKS",IF(G$8&lt;$AS209,IF(G$8=$AR209,"Bascule","Double run"),"ROKS"))))))</f>
        <v/>
      </c>
      <c r="H209" s="51" t="str">
        <f aca="false">IF(OR($A209="",H$8=""),"",IF($F209="Migré","ROKS",IF($F209="À décommissionner",IF(H$8&lt;$AS209,"IKS","Décom."),IF(OR($AQ209="",$AS209=""),"",IF(H$8&lt;$AQ209,"IKS",IF(H$8&lt;$AS209,IF(H$8=$AR209,"Bascule","Double run"),"ROKS"))))))</f>
        <v/>
      </c>
      <c r="I209" s="51" t="str">
        <f aca="false">IF(OR($A209="",I$8=""),"",IF($F209="Migré","ROKS",IF($F209="À décommissionner",IF(I$8&lt;$AS209,"IKS","Décom."),IF(OR($AQ209="",$AS209=""),"",IF(I$8&lt;$AQ209,"IKS",IF(I$8&lt;$AS209,IF(I$8=$AR209,"Bascule","Double run"),"ROKS"))))))</f>
        <v/>
      </c>
      <c r="J209" s="51" t="str">
        <f aca="false">IF(OR($A209="",J$8=""),"",IF($F209="Migré","ROKS",IF($F209="À décommissionner",IF(J$8&lt;$AS209,"IKS","Décom."),IF(OR($AQ209="",$AS209=""),"",IF(J$8&lt;$AQ209,"IKS",IF(J$8&lt;$AS209,IF(J$8=$AR209,"Bascule","Double run"),"ROKS"))))))</f>
        <v/>
      </c>
      <c r="K209" s="51" t="str">
        <f aca="false">IF(OR($A209="",K$8=""),"",IF($F209="Migré","ROKS",IF($F209="À décommissionner",IF(K$8&lt;$AS209,"IKS","Décom."),IF(OR($AQ209="",$AS209=""),"",IF(K$8&lt;$AQ209,"IKS",IF(K$8&lt;$AS209,IF(K$8=$AR209,"Bascule","Double run"),"ROKS"))))))</f>
        <v/>
      </c>
      <c r="L209" s="51" t="str">
        <f aca="false">IF(OR($A209="",L$8=""),"",IF($F209="Migré","ROKS",IF($F209="À décommissionner",IF(L$8&lt;$AS209,"IKS","Décom."),IF(OR($AQ209="",$AS209=""),"",IF(L$8&lt;$AQ209,"IKS",IF(L$8&lt;$AS209,IF(L$8=$AR209,"Bascule","Double run"),"ROKS"))))))</f>
        <v/>
      </c>
      <c r="M209" s="51" t="str">
        <f aca="false">IF(OR($A209="",M$8=""),"",IF($F209="Migré","ROKS",IF($F209="À décommissionner",IF(M$8&lt;$AS209,"IKS","Décom."),IF(OR($AQ209="",$AS209=""),"",IF(M$8&lt;$AQ209,"IKS",IF(M$8&lt;$AS209,IF(M$8=$AR209,"Bascule","Double run"),"ROKS"))))))</f>
        <v/>
      </c>
      <c r="N209" s="51" t="str">
        <f aca="false">IF(OR($A209="",N$8=""),"",IF($F209="Migré","ROKS",IF($F209="À décommissionner",IF(N$8&lt;$AS209,"IKS","Décom."),IF(OR($AQ209="",$AS209=""),"",IF(N$8&lt;$AQ209,"IKS",IF(N$8&lt;$AS209,IF(N$8=$AR209,"Bascule","Double run"),"ROKS"))))))</f>
        <v/>
      </c>
      <c r="O209" s="51" t="str">
        <f aca="false">IF(OR($A209="",O$8=""),"",IF($F209="Migré","ROKS",IF($F209="À décommissionner",IF(O$8&lt;$AS209,"IKS","Décom."),IF(OR($AQ209="",$AS209=""),"",IF(O$8&lt;$AQ209,"IKS",IF(O$8&lt;$AS209,IF(O$8=$AR209,"Bascule","Double run"),"ROKS"))))))</f>
        <v/>
      </c>
      <c r="P209" s="51" t="str">
        <f aca="false">IF(OR($A209="",P$8=""),"",IF($F209="Migré","ROKS",IF($F209="À décommissionner",IF(P$8&lt;$AS209,"IKS","Décom."),IF(OR($AQ209="",$AS209=""),"",IF(P$8&lt;$AQ209,"IKS",IF(P$8&lt;$AS209,IF(P$8=$AR209,"Bascule","Double run"),"ROKS"))))))</f>
        <v/>
      </c>
      <c r="Q209" s="51" t="str">
        <f aca="false">IF(OR($A209="",Q$8=""),"",IF($F209="Migré","ROKS",IF($F209="À décommissionner",IF(Q$8&lt;$AS209,"IKS","Décom."),IF(OR($AQ209="",$AS209=""),"",IF(Q$8&lt;$AQ209,"IKS",IF(Q$8&lt;$AS209,IF(Q$8=$AR209,"Bascule","Double run"),"ROKS"))))))</f>
        <v/>
      </c>
      <c r="R209" s="51" t="str">
        <f aca="false">IF(OR($A209="",R$8=""),"",IF($F209="Migré","ROKS",IF($F209="À décommissionner",IF(R$8&lt;$AS209,"IKS","Décom."),IF(OR($AQ209="",$AS209=""),"",IF(R$8&lt;$AQ209,"IKS",IF(R$8&lt;$AS209,IF(R$8=$AR209,"Bascule","Double run"),"ROKS"))))))</f>
        <v/>
      </c>
      <c r="S209" s="51" t="str">
        <f aca="false">IF(OR($A209="",S$8=""),"",IF($F209="Migré","ROKS",IF($F209="À décommissionner",IF(S$8&lt;$AS209,"IKS","Décom."),IF(OR($AQ209="",$AS209=""),"",IF(S$8&lt;$AQ209,"IKS",IF(S$8&lt;$AS209,IF(S$8=$AR209,"Bascule","Double run"),"ROKS"))))))</f>
        <v/>
      </c>
      <c r="T209" s="51" t="str">
        <f aca="false">IF(OR($A209="",T$8=""),"",IF($F209="Migré","ROKS",IF($F209="À décommissionner",IF(T$8&lt;$AS209,"IKS","Décom."),IF(OR($AQ209="",$AS209=""),"",IF(T$8&lt;$AQ209,"IKS",IF(T$8&lt;$AS209,IF(T$8=$AR209,"Bascule","Double run"),"ROKS"))))))</f>
        <v/>
      </c>
      <c r="U209" s="51" t="str">
        <f aca="false">IF(OR($A209="",U$8=""),"",IF($F209="Migré","ROKS",IF($F209="À décommissionner",IF(U$8&lt;$AS209,"IKS","Décom."),IF(OR($AQ209="",$AS209=""),"",IF(U$8&lt;$AQ209,"IKS",IF(U$8&lt;$AS209,IF(U$8=$AR209,"Bascule","Double run"),"ROKS"))))))</f>
        <v/>
      </c>
      <c r="V209" s="51" t="str">
        <f aca="false">IF(OR($A209="",V$8=""),"",IF($F209="Migré","ROKS",IF($F209="À décommissionner",IF(V$8&lt;$AS209,"IKS","Décom."),IF(OR($AQ209="",$AS209=""),"",IF(V$8&lt;$AQ209,"IKS",IF(V$8&lt;$AS209,IF(V$8=$AR209,"Bascule","Double run"),"ROKS"))))))</f>
        <v/>
      </c>
      <c r="W209" s="51" t="str">
        <f aca="false">IF(OR($A209="",W$8=""),"",IF($F209="Migré","ROKS",IF($F209="À décommissionner",IF(W$8&lt;$AS209,"IKS","Décom."),IF(OR($AQ209="",$AS209=""),"",IF(W$8&lt;$AQ209,"IKS",IF(W$8&lt;$AS209,IF(W$8=$AR209,"Bascule","Double run"),"ROKS"))))))</f>
        <v/>
      </c>
      <c r="X209" s="51" t="str">
        <f aca="false">IF(OR($A209="",X$8=""),"",IF($F209="Migré","ROKS",IF($F209="À décommissionner",IF(X$8&lt;$AS209,"IKS","Décom."),IF(OR($AQ209="",$AS209=""),"",IF(X$8&lt;$AQ209,"IKS",IF(X$8&lt;$AS209,IF(X$8=$AR209,"Bascule","Double run"),"ROKS"))))))</f>
        <v/>
      </c>
      <c r="Y209" s="51" t="str">
        <f aca="false">IF(OR($A209="",Y$8=""),"",IF($F209="Migré","ROKS",IF($F209="À décommissionner",IF(Y$8&lt;$AS209,"IKS","Décom."),IF(OR($AQ209="",$AS209=""),"",IF(Y$8&lt;$AQ209,"IKS",IF(Y$8&lt;$AS209,IF(Y$8=$AR209,"Bascule","Double run"),"ROKS"))))))</f>
        <v/>
      </c>
      <c r="Z209" s="51" t="str">
        <f aca="false">IF(OR($A209="",Z$8=""),"",IF($F209="Migré","ROKS",IF($F209="À décommissionner",IF(Z$8&lt;$AS209,"IKS","Décom."),IF(OR($AQ209="",$AS209=""),"",IF(Z$8&lt;$AQ209,"IKS",IF(Z$8&lt;$AS209,IF(Z$8=$AR209,"Bascule","Double run"),"ROKS"))))))</f>
        <v/>
      </c>
      <c r="AA209" s="51" t="str">
        <f aca="false">IF(OR($A209="",AA$8=""),"",IF($F209="Migré","ROKS",IF($F209="À décommissionner",IF(AA$8&lt;$AS209,"IKS","Décom."),IF(OR($AQ209="",$AS209=""),"",IF(AA$8&lt;$AQ209,"IKS",IF(AA$8&lt;$AS209,IF(AA$8=$AR209,"Bascule","Double run"),"ROKS"))))))</f>
        <v/>
      </c>
      <c r="AB209" s="51" t="str">
        <f aca="false">IF(OR($A209="",AB$8=""),"",IF($F209="Migré","ROKS",IF($F209="À décommissionner",IF(AB$8&lt;$AS209,"IKS","Décom."),IF(OR($AQ209="",$AS209=""),"",IF(AB$8&lt;$AQ209,"IKS",IF(AB$8&lt;$AS209,IF(AB$8=$AR209,"Bascule","Double run"),"ROKS"))))))</f>
        <v/>
      </c>
      <c r="AC209" s="51" t="str">
        <f aca="false">IF(OR($A209="",AC$8=""),"",IF($F209="Migré","ROKS",IF($F209="À décommissionner",IF(AC$8&lt;$AS209,"IKS","Décom."),IF(OR($AQ209="",$AS209=""),"",IF(AC$8&lt;$AQ209,"IKS",IF(AC$8&lt;$AS209,IF(AC$8=$AR209,"Bascule","Double run"),"ROKS"))))))</f>
        <v/>
      </c>
      <c r="AD209" s="51" t="str">
        <f aca="false">IF(OR($A209="",AD$8=""),"",IF($F209="Migré","ROKS",IF($F209="À décommissionner",IF(AD$8&lt;$AS209,"IKS","Décom."),IF(OR($AQ209="",$AS209=""),"",IF(AD$8&lt;$AQ209,"IKS",IF(AD$8&lt;$AS209,IF(AD$8=$AR209,"Bascule","Double run"),"ROKS"))))))</f>
        <v/>
      </c>
      <c r="AE209" s="51" t="str">
        <f aca="false">IF(OR($A209="",AE$8=""),"",IF($F209="Migré","ROKS",IF($F209="À décommissionner",IF(AE$8&lt;$AS209,"IKS","Décom."),IF(OR($AQ209="",$AS209=""),"",IF(AE$8&lt;$AQ209,"IKS",IF(AE$8&lt;$AS209,IF(AE$8=$AR209,"Bascule","Double run"),"ROKS"))))))</f>
        <v/>
      </c>
      <c r="AF209" s="51" t="str">
        <f aca="false">IF(OR($A209="",AF$8=""),"",IF($F209="Migré","ROKS",IF($F209="À décommissionner",IF(AF$8&lt;$AS209,"IKS","Décom."),IF(OR($AQ209="",$AS209=""),"",IF(AF$8&lt;$AQ209,"IKS",IF(AF$8&lt;$AS209,IF(AF$8=$AR209,"Bascule","Double run"),"ROKS"))))))</f>
        <v/>
      </c>
      <c r="AG209" s="51" t="str">
        <f aca="false">IF(OR($A209="",AG$8=""),"",IF($F209="Migré","ROKS",IF($F209="À décommissionner",IF(AG$8&lt;$AS209,"IKS","Décom."),IF(OR($AQ209="",$AS209=""),"",IF(AG$8&lt;$AQ209,"IKS",IF(AG$8&lt;$AS209,IF(AG$8=$AR209,"Bascule","Double run"),"ROKS"))))))</f>
        <v/>
      </c>
      <c r="AH209" s="51" t="str">
        <f aca="false">IF(OR($A209="",AH$8=""),"",IF($F209="Migré","ROKS",IF($F209="À décommissionner",IF(AH$8&lt;$AS209,"IKS","Décom."),IF(OR($AQ209="",$AS209=""),"",IF(AH$8&lt;$AQ209,"IKS",IF(AH$8&lt;$AS209,IF(AH$8=$AR209,"Bascule","Double run"),"ROKS"))))))</f>
        <v/>
      </c>
      <c r="AI209" s="51" t="str">
        <f aca="false">IF(OR($A209="",AI$8=""),"",IF($F209="Migré","ROKS",IF($F209="À décommissionner",IF(AI$8&lt;$AS209,"IKS","Décom."),IF(OR($AQ209="",$AS209=""),"",IF(AI$8&lt;$AQ209,"IKS",IF(AI$8&lt;$AS209,IF(AI$8=$AR209,"Bascule","Double run"),"ROKS"))))))</f>
        <v/>
      </c>
      <c r="AJ209" s="51" t="str">
        <f aca="false">IF(OR($A209="",AJ$8=""),"",IF($F209="Migré","ROKS",IF($F209="À décommissionner",IF(AJ$8&lt;$AS209,"IKS","Décom."),IF(OR($AQ209="",$AS209=""),"",IF(AJ$8&lt;$AQ209,"IKS",IF(AJ$8&lt;$AS209,IF(AJ$8=$AR209,"Bascule","Double run"),"ROKS"))))))</f>
        <v/>
      </c>
      <c r="AK209" s="51" t="str">
        <f aca="false">IF(OR($A209="",AK$8=""),"",IF($F209="Migré","ROKS",IF($F209="À décommissionner",IF(AK$8&lt;$AS209,"IKS","Décom."),IF(OR($AQ209="",$AS209=""),"",IF(AK$8&lt;$AQ209,"IKS",IF(AK$8&lt;$AS209,IF(AK$8=$AR209,"Bascule","Double run"),"ROKS"))))))</f>
        <v/>
      </c>
      <c r="AL209" s="51" t="str">
        <f aca="false">IF(OR($A209="",AL$8=""),"",IF($F209="Migré","ROKS",IF($F209="À décommissionner",IF(AL$8&lt;$AS209,"IKS","Décom."),IF(OR($AQ209="",$AS209=""),"",IF(AL$8&lt;$AQ209,"IKS",IF(AL$8&lt;$AS209,IF(AL$8=$AR209,"Bascule","Double run"),"ROKS"))))))</f>
        <v/>
      </c>
      <c r="AM209" s="51" t="str">
        <f aca="false">IF(OR($A209="",AM$8=""),"",IF($F209="Migré","ROKS",IF($F209="À décommissionner",IF(AM$8&lt;$AS209,"IKS","Décom."),IF(OR($AQ209="",$AS209=""),"",IF(AM$8&lt;$AQ209,"IKS",IF(AM$8&lt;$AS209,IF(AM$8=$AR209,"Bascule","Double run"),"ROKS"))))))</f>
        <v/>
      </c>
      <c r="AN209" s="51" t="str">
        <f aca="false">IF(OR($A209="",AN$8=""),"",IF($F209="Migré","ROKS",IF($F209="À décommissionner",IF(AN$8&lt;$AS209,"IKS","Décom."),IF(OR($AQ209="",$AS209=""),"",IF(AN$8&lt;$AQ209,"IKS",IF(AN$8&lt;$AS209,IF(AN$8=$AR209,"Bascule","Double run"),"ROKS"))))))</f>
        <v/>
      </c>
      <c r="AO209" s="51" t="str">
        <f aca="false">IF(OR($A209="",AO$8=""),"",IF($F209="Migré","ROKS",IF($F209="À décommissionner",IF(AO$8&lt;$AS209,"IKS","Décom."),IF(OR($AQ209="",$AS209=""),"",IF(AO$8&lt;$AQ209,"IKS",IF(AO$8&lt;$AS209,IF(AO$8=$AR209,"Bascule","Double run"),"ROKS"))))))</f>
        <v/>
      </c>
      <c r="AP209" s="51" t="str">
        <f aca="false">IF(OR($A209="",AP$8=""),"",IF($F209="Migré","ROKS",IF($F209="À décommissionner",IF(AP$8&lt;$AS209,"IKS","Décom."),IF(OR($AQ209="",$AS209=""),"",IF(AP$8&lt;$AQ209,"IKS",IF(AP$8&lt;$AS209,IF(AP$8=$AR209,"Bascule","Double run"),"ROKS"))))))</f>
        <v/>
      </c>
      <c r="AQ209" s="0" t="str">
        <f aca="false">IF($A209="","",INDEX(TblApplications[Mois prov (calc)],$A209))</f>
        <v/>
      </c>
      <c r="AR209" s="0" t="str">
        <f aca="false">IF($A209="","",IFERROR(DATE(YEAR(INDEX(TblApplications[Mois bascule],$A209)),MONTH(INDEX(TblApplications[Mois bascule],$A209)),1),""))</f>
        <v/>
      </c>
      <c r="AS209" s="0" t="str">
        <f aca="false">IF($A209="","",INDEX(TblApplications[Mois lib (calc)],$A209))</f>
        <v/>
      </c>
    </row>
    <row r="210" customFormat="false" ht="15" hidden="false" customHeight="false" outlineLevel="0" collapsed="false">
      <c r="A210" s="49" t="str">
        <f aca="false">IFERROR(MATCH(202,TblApplications[Rang frise],0),"")</f>
        <v/>
      </c>
      <c r="B210" s="50" t="str">
        <f aca="false">IF($A210="","",INDEX(TblApplications[ID],$A210))</f>
        <v/>
      </c>
      <c r="C210" s="50" t="str">
        <f aca="false">IF($A210="","",INDEX(TblApplications[Application],$A210))</f>
        <v/>
      </c>
      <c r="D210" s="50" t="str">
        <f aca="false">IF($A210="","",INDEX(TblApplications[Environnement],$A210))</f>
        <v/>
      </c>
      <c r="E210" s="50" t="str">
        <f aca="false">IF($A210="","",INDEX(TblApplications[Couloir],$A210))</f>
        <v/>
      </c>
      <c r="F210" s="50" t="str">
        <f aca="false">IF($A210="","",INDEX(TblApplications[Action],$A210))</f>
        <v/>
      </c>
      <c r="G210" s="51" t="str">
        <f aca="false">IF(OR($A210="",G$8=""),"",IF($F210="Migré","ROKS",IF($F210="À décommissionner",IF(G$8&lt;$AS210,"IKS","Décom."),IF(OR($AQ210="",$AS210=""),"",IF(G$8&lt;$AQ210,"IKS",IF(G$8&lt;$AS210,IF(G$8=$AR210,"Bascule","Double run"),"ROKS"))))))</f>
        <v/>
      </c>
      <c r="H210" s="51" t="str">
        <f aca="false">IF(OR($A210="",H$8=""),"",IF($F210="Migré","ROKS",IF($F210="À décommissionner",IF(H$8&lt;$AS210,"IKS","Décom."),IF(OR($AQ210="",$AS210=""),"",IF(H$8&lt;$AQ210,"IKS",IF(H$8&lt;$AS210,IF(H$8=$AR210,"Bascule","Double run"),"ROKS"))))))</f>
        <v/>
      </c>
      <c r="I210" s="51" t="str">
        <f aca="false">IF(OR($A210="",I$8=""),"",IF($F210="Migré","ROKS",IF($F210="À décommissionner",IF(I$8&lt;$AS210,"IKS","Décom."),IF(OR($AQ210="",$AS210=""),"",IF(I$8&lt;$AQ210,"IKS",IF(I$8&lt;$AS210,IF(I$8=$AR210,"Bascule","Double run"),"ROKS"))))))</f>
        <v/>
      </c>
      <c r="J210" s="51" t="str">
        <f aca="false">IF(OR($A210="",J$8=""),"",IF($F210="Migré","ROKS",IF($F210="À décommissionner",IF(J$8&lt;$AS210,"IKS","Décom."),IF(OR($AQ210="",$AS210=""),"",IF(J$8&lt;$AQ210,"IKS",IF(J$8&lt;$AS210,IF(J$8=$AR210,"Bascule","Double run"),"ROKS"))))))</f>
        <v/>
      </c>
      <c r="K210" s="51" t="str">
        <f aca="false">IF(OR($A210="",K$8=""),"",IF($F210="Migré","ROKS",IF($F210="À décommissionner",IF(K$8&lt;$AS210,"IKS","Décom."),IF(OR($AQ210="",$AS210=""),"",IF(K$8&lt;$AQ210,"IKS",IF(K$8&lt;$AS210,IF(K$8=$AR210,"Bascule","Double run"),"ROKS"))))))</f>
        <v/>
      </c>
      <c r="L210" s="51" t="str">
        <f aca="false">IF(OR($A210="",L$8=""),"",IF($F210="Migré","ROKS",IF($F210="À décommissionner",IF(L$8&lt;$AS210,"IKS","Décom."),IF(OR($AQ210="",$AS210=""),"",IF(L$8&lt;$AQ210,"IKS",IF(L$8&lt;$AS210,IF(L$8=$AR210,"Bascule","Double run"),"ROKS"))))))</f>
        <v/>
      </c>
      <c r="M210" s="51" t="str">
        <f aca="false">IF(OR($A210="",M$8=""),"",IF($F210="Migré","ROKS",IF($F210="À décommissionner",IF(M$8&lt;$AS210,"IKS","Décom."),IF(OR($AQ210="",$AS210=""),"",IF(M$8&lt;$AQ210,"IKS",IF(M$8&lt;$AS210,IF(M$8=$AR210,"Bascule","Double run"),"ROKS"))))))</f>
        <v/>
      </c>
      <c r="N210" s="51" t="str">
        <f aca="false">IF(OR($A210="",N$8=""),"",IF($F210="Migré","ROKS",IF($F210="À décommissionner",IF(N$8&lt;$AS210,"IKS","Décom."),IF(OR($AQ210="",$AS210=""),"",IF(N$8&lt;$AQ210,"IKS",IF(N$8&lt;$AS210,IF(N$8=$AR210,"Bascule","Double run"),"ROKS"))))))</f>
        <v/>
      </c>
      <c r="O210" s="51" t="str">
        <f aca="false">IF(OR($A210="",O$8=""),"",IF($F210="Migré","ROKS",IF($F210="À décommissionner",IF(O$8&lt;$AS210,"IKS","Décom."),IF(OR($AQ210="",$AS210=""),"",IF(O$8&lt;$AQ210,"IKS",IF(O$8&lt;$AS210,IF(O$8=$AR210,"Bascule","Double run"),"ROKS"))))))</f>
        <v/>
      </c>
      <c r="P210" s="51" t="str">
        <f aca="false">IF(OR($A210="",P$8=""),"",IF($F210="Migré","ROKS",IF($F210="À décommissionner",IF(P$8&lt;$AS210,"IKS","Décom."),IF(OR($AQ210="",$AS210=""),"",IF(P$8&lt;$AQ210,"IKS",IF(P$8&lt;$AS210,IF(P$8=$AR210,"Bascule","Double run"),"ROKS"))))))</f>
        <v/>
      </c>
      <c r="Q210" s="51" t="str">
        <f aca="false">IF(OR($A210="",Q$8=""),"",IF($F210="Migré","ROKS",IF($F210="À décommissionner",IF(Q$8&lt;$AS210,"IKS","Décom."),IF(OR($AQ210="",$AS210=""),"",IF(Q$8&lt;$AQ210,"IKS",IF(Q$8&lt;$AS210,IF(Q$8=$AR210,"Bascule","Double run"),"ROKS"))))))</f>
        <v/>
      </c>
      <c r="R210" s="51" t="str">
        <f aca="false">IF(OR($A210="",R$8=""),"",IF($F210="Migré","ROKS",IF($F210="À décommissionner",IF(R$8&lt;$AS210,"IKS","Décom."),IF(OR($AQ210="",$AS210=""),"",IF(R$8&lt;$AQ210,"IKS",IF(R$8&lt;$AS210,IF(R$8=$AR210,"Bascule","Double run"),"ROKS"))))))</f>
        <v/>
      </c>
      <c r="S210" s="51" t="str">
        <f aca="false">IF(OR($A210="",S$8=""),"",IF($F210="Migré","ROKS",IF($F210="À décommissionner",IF(S$8&lt;$AS210,"IKS","Décom."),IF(OR($AQ210="",$AS210=""),"",IF(S$8&lt;$AQ210,"IKS",IF(S$8&lt;$AS210,IF(S$8=$AR210,"Bascule","Double run"),"ROKS"))))))</f>
        <v/>
      </c>
      <c r="T210" s="51" t="str">
        <f aca="false">IF(OR($A210="",T$8=""),"",IF($F210="Migré","ROKS",IF($F210="À décommissionner",IF(T$8&lt;$AS210,"IKS","Décom."),IF(OR($AQ210="",$AS210=""),"",IF(T$8&lt;$AQ210,"IKS",IF(T$8&lt;$AS210,IF(T$8=$AR210,"Bascule","Double run"),"ROKS"))))))</f>
        <v/>
      </c>
      <c r="U210" s="51" t="str">
        <f aca="false">IF(OR($A210="",U$8=""),"",IF($F210="Migré","ROKS",IF($F210="À décommissionner",IF(U$8&lt;$AS210,"IKS","Décom."),IF(OR($AQ210="",$AS210=""),"",IF(U$8&lt;$AQ210,"IKS",IF(U$8&lt;$AS210,IF(U$8=$AR210,"Bascule","Double run"),"ROKS"))))))</f>
        <v/>
      </c>
      <c r="V210" s="51" t="str">
        <f aca="false">IF(OR($A210="",V$8=""),"",IF($F210="Migré","ROKS",IF($F210="À décommissionner",IF(V$8&lt;$AS210,"IKS","Décom."),IF(OR($AQ210="",$AS210=""),"",IF(V$8&lt;$AQ210,"IKS",IF(V$8&lt;$AS210,IF(V$8=$AR210,"Bascule","Double run"),"ROKS"))))))</f>
        <v/>
      </c>
      <c r="W210" s="51" t="str">
        <f aca="false">IF(OR($A210="",W$8=""),"",IF($F210="Migré","ROKS",IF($F210="À décommissionner",IF(W$8&lt;$AS210,"IKS","Décom."),IF(OR($AQ210="",$AS210=""),"",IF(W$8&lt;$AQ210,"IKS",IF(W$8&lt;$AS210,IF(W$8=$AR210,"Bascule","Double run"),"ROKS"))))))</f>
        <v/>
      </c>
      <c r="X210" s="51" t="str">
        <f aca="false">IF(OR($A210="",X$8=""),"",IF($F210="Migré","ROKS",IF($F210="À décommissionner",IF(X$8&lt;$AS210,"IKS","Décom."),IF(OR($AQ210="",$AS210=""),"",IF(X$8&lt;$AQ210,"IKS",IF(X$8&lt;$AS210,IF(X$8=$AR210,"Bascule","Double run"),"ROKS"))))))</f>
        <v/>
      </c>
      <c r="Y210" s="51" t="str">
        <f aca="false">IF(OR($A210="",Y$8=""),"",IF($F210="Migré","ROKS",IF($F210="À décommissionner",IF(Y$8&lt;$AS210,"IKS","Décom."),IF(OR($AQ210="",$AS210=""),"",IF(Y$8&lt;$AQ210,"IKS",IF(Y$8&lt;$AS210,IF(Y$8=$AR210,"Bascule","Double run"),"ROKS"))))))</f>
        <v/>
      </c>
      <c r="Z210" s="51" t="str">
        <f aca="false">IF(OR($A210="",Z$8=""),"",IF($F210="Migré","ROKS",IF($F210="À décommissionner",IF(Z$8&lt;$AS210,"IKS","Décom."),IF(OR($AQ210="",$AS210=""),"",IF(Z$8&lt;$AQ210,"IKS",IF(Z$8&lt;$AS210,IF(Z$8=$AR210,"Bascule","Double run"),"ROKS"))))))</f>
        <v/>
      </c>
      <c r="AA210" s="51" t="str">
        <f aca="false">IF(OR($A210="",AA$8=""),"",IF($F210="Migré","ROKS",IF($F210="À décommissionner",IF(AA$8&lt;$AS210,"IKS","Décom."),IF(OR($AQ210="",$AS210=""),"",IF(AA$8&lt;$AQ210,"IKS",IF(AA$8&lt;$AS210,IF(AA$8=$AR210,"Bascule","Double run"),"ROKS"))))))</f>
        <v/>
      </c>
      <c r="AB210" s="51" t="str">
        <f aca="false">IF(OR($A210="",AB$8=""),"",IF($F210="Migré","ROKS",IF($F210="À décommissionner",IF(AB$8&lt;$AS210,"IKS","Décom."),IF(OR($AQ210="",$AS210=""),"",IF(AB$8&lt;$AQ210,"IKS",IF(AB$8&lt;$AS210,IF(AB$8=$AR210,"Bascule","Double run"),"ROKS"))))))</f>
        <v/>
      </c>
      <c r="AC210" s="51" t="str">
        <f aca="false">IF(OR($A210="",AC$8=""),"",IF($F210="Migré","ROKS",IF($F210="À décommissionner",IF(AC$8&lt;$AS210,"IKS","Décom."),IF(OR($AQ210="",$AS210=""),"",IF(AC$8&lt;$AQ210,"IKS",IF(AC$8&lt;$AS210,IF(AC$8=$AR210,"Bascule","Double run"),"ROKS"))))))</f>
        <v/>
      </c>
      <c r="AD210" s="51" t="str">
        <f aca="false">IF(OR($A210="",AD$8=""),"",IF($F210="Migré","ROKS",IF($F210="À décommissionner",IF(AD$8&lt;$AS210,"IKS","Décom."),IF(OR($AQ210="",$AS210=""),"",IF(AD$8&lt;$AQ210,"IKS",IF(AD$8&lt;$AS210,IF(AD$8=$AR210,"Bascule","Double run"),"ROKS"))))))</f>
        <v/>
      </c>
      <c r="AE210" s="51" t="str">
        <f aca="false">IF(OR($A210="",AE$8=""),"",IF($F210="Migré","ROKS",IF($F210="À décommissionner",IF(AE$8&lt;$AS210,"IKS","Décom."),IF(OR($AQ210="",$AS210=""),"",IF(AE$8&lt;$AQ210,"IKS",IF(AE$8&lt;$AS210,IF(AE$8=$AR210,"Bascule","Double run"),"ROKS"))))))</f>
        <v/>
      </c>
      <c r="AF210" s="51" t="str">
        <f aca="false">IF(OR($A210="",AF$8=""),"",IF($F210="Migré","ROKS",IF($F210="À décommissionner",IF(AF$8&lt;$AS210,"IKS","Décom."),IF(OR($AQ210="",$AS210=""),"",IF(AF$8&lt;$AQ210,"IKS",IF(AF$8&lt;$AS210,IF(AF$8=$AR210,"Bascule","Double run"),"ROKS"))))))</f>
        <v/>
      </c>
      <c r="AG210" s="51" t="str">
        <f aca="false">IF(OR($A210="",AG$8=""),"",IF($F210="Migré","ROKS",IF($F210="À décommissionner",IF(AG$8&lt;$AS210,"IKS","Décom."),IF(OR($AQ210="",$AS210=""),"",IF(AG$8&lt;$AQ210,"IKS",IF(AG$8&lt;$AS210,IF(AG$8=$AR210,"Bascule","Double run"),"ROKS"))))))</f>
        <v/>
      </c>
      <c r="AH210" s="51" t="str">
        <f aca="false">IF(OR($A210="",AH$8=""),"",IF($F210="Migré","ROKS",IF($F210="À décommissionner",IF(AH$8&lt;$AS210,"IKS","Décom."),IF(OR($AQ210="",$AS210=""),"",IF(AH$8&lt;$AQ210,"IKS",IF(AH$8&lt;$AS210,IF(AH$8=$AR210,"Bascule","Double run"),"ROKS"))))))</f>
        <v/>
      </c>
      <c r="AI210" s="51" t="str">
        <f aca="false">IF(OR($A210="",AI$8=""),"",IF($F210="Migré","ROKS",IF($F210="À décommissionner",IF(AI$8&lt;$AS210,"IKS","Décom."),IF(OR($AQ210="",$AS210=""),"",IF(AI$8&lt;$AQ210,"IKS",IF(AI$8&lt;$AS210,IF(AI$8=$AR210,"Bascule","Double run"),"ROKS"))))))</f>
        <v/>
      </c>
      <c r="AJ210" s="51" t="str">
        <f aca="false">IF(OR($A210="",AJ$8=""),"",IF($F210="Migré","ROKS",IF($F210="À décommissionner",IF(AJ$8&lt;$AS210,"IKS","Décom."),IF(OR($AQ210="",$AS210=""),"",IF(AJ$8&lt;$AQ210,"IKS",IF(AJ$8&lt;$AS210,IF(AJ$8=$AR210,"Bascule","Double run"),"ROKS"))))))</f>
        <v/>
      </c>
      <c r="AK210" s="51" t="str">
        <f aca="false">IF(OR($A210="",AK$8=""),"",IF($F210="Migré","ROKS",IF($F210="À décommissionner",IF(AK$8&lt;$AS210,"IKS","Décom."),IF(OR($AQ210="",$AS210=""),"",IF(AK$8&lt;$AQ210,"IKS",IF(AK$8&lt;$AS210,IF(AK$8=$AR210,"Bascule","Double run"),"ROKS"))))))</f>
        <v/>
      </c>
      <c r="AL210" s="51" t="str">
        <f aca="false">IF(OR($A210="",AL$8=""),"",IF($F210="Migré","ROKS",IF($F210="À décommissionner",IF(AL$8&lt;$AS210,"IKS","Décom."),IF(OR($AQ210="",$AS210=""),"",IF(AL$8&lt;$AQ210,"IKS",IF(AL$8&lt;$AS210,IF(AL$8=$AR210,"Bascule","Double run"),"ROKS"))))))</f>
        <v/>
      </c>
      <c r="AM210" s="51" t="str">
        <f aca="false">IF(OR($A210="",AM$8=""),"",IF($F210="Migré","ROKS",IF($F210="À décommissionner",IF(AM$8&lt;$AS210,"IKS","Décom."),IF(OR($AQ210="",$AS210=""),"",IF(AM$8&lt;$AQ210,"IKS",IF(AM$8&lt;$AS210,IF(AM$8=$AR210,"Bascule","Double run"),"ROKS"))))))</f>
        <v/>
      </c>
      <c r="AN210" s="51" t="str">
        <f aca="false">IF(OR($A210="",AN$8=""),"",IF($F210="Migré","ROKS",IF($F210="À décommissionner",IF(AN$8&lt;$AS210,"IKS","Décom."),IF(OR($AQ210="",$AS210=""),"",IF(AN$8&lt;$AQ210,"IKS",IF(AN$8&lt;$AS210,IF(AN$8=$AR210,"Bascule","Double run"),"ROKS"))))))</f>
        <v/>
      </c>
      <c r="AO210" s="51" t="str">
        <f aca="false">IF(OR($A210="",AO$8=""),"",IF($F210="Migré","ROKS",IF($F210="À décommissionner",IF(AO$8&lt;$AS210,"IKS","Décom."),IF(OR($AQ210="",$AS210=""),"",IF(AO$8&lt;$AQ210,"IKS",IF(AO$8&lt;$AS210,IF(AO$8=$AR210,"Bascule","Double run"),"ROKS"))))))</f>
        <v/>
      </c>
      <c r="AP210" s="51" t="str">
        <f aca="false">IF(OR($A210="",AP$8=""),"",IF($F210="Migré","ROKS",IF($F210="À décommissionner",IF(AP$8&lt;$AS210,"IKS","Décom."),IF(OR($AQ210="",$AS210=""),"",IF(AP$8&lt;$AQ210,"IKS",IF(AP$8&lt;$AS210,IF(AP$8=$AR210,"Bascule","Double run"),"ROKS"))))))</f>
        <v/>
      </c>
      <c r="AQ210" s="0" t="str">
        <f aca="false">IF($A210="","",INDEX(TblApplications[Mois prov (calc)],$A210))</f>
        <v/>
      </c>
      <c r="AR210" s="0" t="str">
        <f aca="false">IF($A210="","",IFERROR(DATE(YEAR(INDEX(TblApplications[Mois bascule],$A210)),MONTH(INDEX(TblApplications[Mois bascule],$A210)),1),""))</f>
        <v/>
      </c>
      <c r="AS210" s="0" t="str">
        <f aca="false">IF($A210="","",INDEX(TblApplications[Mois lib (calc)],$A210))</f>
        <v/>
      </c>
    </row>
    <row r="211" customFormat="false" ht="15" hidden="false" customHeight="false" outlineLevel="0" collapsed="false">
      <c r="A211" s="49" t="str">
        <f aca="false">IFERROR(MATCH(203,TblApplications[Rang frise],0),"")</f>
        <v/>
      </c>
      <c r="B211" s="50" t="str">
        <f aca="false">IF($A211="","",INDEX(TblApplications[ID],$A211))</f>
        <v/>
      </c>
      <c r="C211" s="50" t="str">
        <f aca="false">IF($A211="","",INDEX(TblApplications[Application],$A211))</f>
        <v/>
      </c>
      <c r="D211" s="50" t="str">
        <f aca="false">IF($A211="","",INDEX(TblApplications[Environnement],$A211))</f>
        <v/>
      </c>
      <c r="E211" s="50" t="str">
        <f aca="false">IF($A211="","",INDEX(TblApplications[Couloir],$A211))</f>
        <v/>
      </c>
      <c r="F211" s="50" t="str">
        <f aca="false">IF($A211="","",INDEX(TblApplications[Action],$A211))</f>
        <v/>
      </c>
      <c r="G211" s="51" t="str">
        <f aca="false">IF(OR($A211="",G$8=""),"",IF($F211="Migré","ROKS",IF($F211="À décommissionner",IF(G$8&lt;$AS211,"IKS","Décom."),IF(OR($AQ211="",$AS211=""),"",IF(G$8&lt;$AQ211,"IKS",IF(G$8&lt;$AS211,IF(G$8=$AR211,"Bascule","Double run"),"ROKS"))))))</f>
        <v/>
      </c>
      <c r="H211" s="51" t="str">
        <f aca="false">IF(OR($A211="",H$8=""),"",IF($F211="Migré","ROKS",IF($F211="À décommissionner",IF(H$8&lt;$AS211,"IKS","Décom."),IF(OR($AQ211="",$AS211=""),"",IF(H$8&lt;$AQ211,"IKS",IF(H$8&lt;$AS211,IF(H$8=$AR211,"Bascule","Double run"),"ROKS"))))))</f>
        <v/>
      </c>
      <c r="I211" s="51" t="str">
        <f aca="false">IF(OR($A211="",I$8=""),"",IF($F211="Migré","ROKS",IF($F211="À décommissionner",IF(I$8&lt;$AS211,"IKS","Décom."),IF(OR($AQ211="",$AS211=""),"",IF(I$8&lt;$AQ211,"IKS",IF(I$8&lt;$AS211,IF(I$8=$AR211,"Bascule","Double run"),"ROKS"))))))</f>
        <v/>
      </c>
      <c r="J211" s="51" t="str">
        <f aca="false">IF(OR($A211="",J$8=""),"",IF($F211="Migré","ROKS",IF($F211="À décommissionner",IF(J$8&lt;$AS211,"IKS","Décom."),IF(OR($AQ211="",$AS211=""),"",IF(J$8&lt;$AQ211,"IKS",IF(J$8&lt;$AS211,IF(J$8=$AR211,"Bascule","Double run"),"ROKS"))))))</f>
        <v/>
      </c>
      <c r="K211" s="51" t="str">
        <f aca="false">IF(OR($A211="",K$8=""),"",IF($F211="Migré","ROKS",IF($F211="À décommissionner",IF(K$8&lt;$AS211,"IKS","Décom."),IF(OR($AQ211="",$AS211=""),"",IF(K$8&lt;$AQ211,"IKS",IF(K$8&lt;$AS211,IF(K$8=$AR211,"Bascule","Double run"),"ROKS"))))))</f>
        <v/>
      </c>
      <c r="L211" s="51" t="str">
        <f aca="false">IF(OR($A211="",L$8=""),"",IF($F211="Migré","ROKS",IF($F211="À décommissionner",IF(L$8&lt;$AS211,"IKS","Décom."),IF(OR($AQ211="",$AS211=""),"",IF(L$8&lt;$AQ211,"IKS",IF(L$8&lt;$AS211,IF(L$8=$AR211,"Bascule","Double run"),"ROKS"))))))</f>
        <v/>
      </c>
      <c r="M211" s="51" t="str">
        <f aca="false">IF(OR($A211="",M$8=""),"",IF($F211="Migré","ROKS",IF($F211="À décommissionner",IF(M$8&lt;$AS211,"IKS","Décom."),IF(OR($AQ211="",$AS211=""),"",IF(M$8&lt;$AQ211,"IKS",IF(M$8&lt;$AS211,IF(M$8=$AR211,"Bascule","Double run"),"ROKS"))))))</f>
        <v/>
      </c>
      <c r="N211" s="51" t="str">
        <f aca="false">IF(OR($A211="",N$8=""),"",IF($F211="Migré","ROKS",IF($F211="À décommissionner",IF(N$8&lt;$AS211,"IKS","Décom."),IF(OR($AQ211="",$AS211=""),"",IF(N$8&lt;$AQ211,"IKS",IF(N$8&lt;$AS211,IF(N$8=$AR211,"Bascule","Double run"),"ROKS"))))))</f>
        <v/>
      </c>
      <c r="O211" s="51" t="str">
        <f aca="false">IF(OR($A211="",O$8=""),"",IF($F211="Migré","ROKS",IF($F211="À décommissionner",IF(O$8&lt;$AS211,"IKS","Décom."),IF(OR($AQ211="",$AS211=""),"",IF(O$8&lt;$AQ211,"IKS",IF(O$8&lt;$AS211,IF(O$8=$AR211,"Bascule","Double run"),"ROKS"))))))</f>
        <v/>
      </c>
      <c r="P211" s="51" t="str">
        <f aca="false">IF(OR($A211="",P$8=""),"",IF($F211="Migré","ROKS",IF($F211="À décommissionner",IF(P$8&lt;$AS211,"IKS","Décom."),IF(OR($AQ211="",$AS211=""),"",IF(P$8&lt;$AQ211,"IKS",IF(P$8&lt;$AS211,IF(P$8=$AR211,"Bascule","Double run"),"ROKS"))))))</f>
        <v/>
      </c>
      <c r="Q211" s="51" t="str">
        <f aca="false">IF(OR($A211="",Q$8=""),"",IF($F211="Migré","ROKS",IF($F211="À décommissionner",IF(Q$8&lt;$AS211,"IKS","Décom."),IF(OR($AQ211="",$AS211=""),"",IF(Q$8&lt;$AQ211,"IKS",IF(Q$8&lt;$AS211,IF(Q$8=$AR211,"Bascule","Double run"),"ROKS"))))))</f>
        <v/>
      </c>
      <c r="R211" s="51" t="str">
        <f aca="false">IF(OR($A211="",R$8=""),"",IF($F211="Migré","ROKS",IF($F211="À décommissionner",IF(R$8&lt;$AS211,"IKS","Décom."),IF(OR($AQ211="",$AS211=""),"",IF(R$8&lt;$AQ211,"IKS",IF(R$8&lt;$AS211,IF(R$8=$AR211,"Bascule","Double run"),"ROKS"))))))</f>
        <v/>
      </c>
      <c r="S211" s="51" t="str">
        <f aca="false">IF(OR($A211="",S$8=""),"",IF($F211="Migré","ROKS",IF($F211="À décommissionner",IF(S$8&lt;$AS211,"IKS","Décom."),IF(OR($AQ211="",$AS211=""),"",IF(S$8&lt;$AQ211,"IKS",IF(S$8&lt;$AS211,IF(S$8=$AR211,"Bascule","Double run"),"ROKS"))))))</f>
        <v/>
      </c>
      <c r="T211" s="51" t="str">
        <f aca="false">IF(OR($A211="",T$8=""),"",IF($F211="Migré","ROKS",IF($F211="À décommissionner",IF(T$8&lt;$AS211,"IKS","Décom."),IF(OR($AQ211="",$AS211=""),"",IF(T$8&lt;$AQ211,"IKS",IF(T$8&lt;$AS211,IF(T$8=$AR211,"Bascule","Double run"),"ROKS"))))))</f>
        <v/>
      </c>
      <c r="U211" s="51" t="str">
        <f aca="false">IF(OR($A211="",U$8=""),"",IF($F211="Migré","ROKS",IF($F211="À décommissionner",IF(U$8&lt;$AS211,"IKS","Décom."),IF(OR($AQ211="",$AS211=""),"",IF(U$8&lt;$AQ211,"IKS",IF(U$8&lt;$AS211,IF(U$8=$AR211,"Bascule","Double run"),"ROKS"))))))</f>
        <v/>
      </c>
      <c r="V211" s="51" t="str">
        <f aca="false">IF(OR($A211="",V$8=""),"",IF($F211="Migré","ROKS",IF($F211="À décommissionner",IF(V$8&lt;$AS211,"IKS","Décom."),IF(OR($AQ211="",$AS211=""),"",IF(V$8&lt;$AQ211,"IKS",IF(V$8&lt;$AS211,IF(V$8=$AR211,"Bascule","Double run"),"ROKS"))))))</f>
        <v/>
      </c>
      <c r="W211" s="51" t="str">
        <f aca="false">IF(OR($A211="",W$8=""),"",IF($F211="Migré","ROKS",IF($F211="À décommissionner",IF(W$8&lt;$AS211,"IKS","Décom."),IF(OR($AQ211="",$AS211=""),"",IF(W$8&lt;$AQ211,"IKS",IF(W$8&lt;$AS211,IF(W$8=$AR211,"Bascule","Double run"),"ROKS"))))))</f>
        <v/>
      </c>
      <c r="X211" s="51" t="str">
        <f aca="false">IF(OR($A211="",X$8=""),"",IF($F211="Migré","ROKS",IF($F211="À décommissionner",IF(X$8&lt;$AS211,"IKS","Décom."),IF(OR($AQ211="",$AS211=""),"",IF(X$8&lt;$AQ211,"IKS",IF(X$8&lt;$AS211,IF(X$8=$AR211,"Bascule","Double run"),"ROKS"))))))</f>
        <v/>
      </c>
      <c r="Y211" s="51" t="str">
        <f aca="false">IF(OR($A211="",Y$8=""),"",IF($F211="Migré","ROKS",IF($F211="À décommissionner",IF(Y$8&lt;$AS211,"IKS","Décom."),IF(OR($AQ211="",$AS211=""),"",IF(Y$8&lt;$AQ211,"IKS",IF(Y$8&lt;$AS211,IF(Y$8=$AR211,"Bascule","Double run"),"ROKS"))))))</f>
        <v/>
      </c>
      <c r="Z211" s="51" t="str">
        <f aca="false">IF(OR($A211="",Z$8=""),"",IF($F211="Migré","ROKS",IF($F211="À décommissionner",IF(Z$8&lt;$AS211,"IKS","Décom."),IF(OR($AQ211="",$AS211=""),"",IF(Z$8&lt;$AQ211,"IKS",IF(Z$8&lt;$AS211,IF(Z$8=$AR211,"Bascule","Double run"),"ROKS"))))))</f>
        <v/>
      </c>
      <c r="AA211" s="51" t="str">
        <f aca="false">IF(OR($A211="",AA$8=""),"",IF($F211="Migré","ROKS",IF($F211="À décommissionner",IF(AA$8&lt;$AS211,"IKS","Décom."),IF(OR($AQ211="",$AS211=""),"",IF(AA$8&lt;$AQ211,"IKS",IF(AA$8&lt;$AS211,IF(AA$8=$AR211,"Bascule","Double run"),"ROKS"))))))</f>
        <v/>
      </c>
      <c r="AB211" s="51" t="str">
        <f aca="false">IF(OR($A211="",AB$8=""),"",IF($F211="Migré","ROKS",IF($F211="À décommissionner",IF(AB$8&lt;$AS211,"IKS","Décom."),IF(OR($AQ211="",$AS211=""),"",IF(AB$8&lt;$AQ211,"IKS",IF(AB$8&lt;$AS211,IF(AB$8=$AR211,"Bascule","Double run"),"ROKS"))))))</f>
        <v/>
      </c>
      <c r="AC211" s="51" t="str">
        <f aca="false">IF(OR($A211="",AC$8=""),"",IF($F211="Migré","ROKS",IF($F211="À décommissionner",IF(AC$8&lt;$AS211,"IKS","Décom."),IF(OR($AQ211="",$AS211=""),"",IF(AC$8&lt;$AQ211,"IKS",IF(AC$8&lt;$AS211,IF(AC$8=$AR211,"Bascule","Double run"),"ROKS"))))))</f>
        <v/>
      </c>
      <c r="AD211" s="51" t="str">
        <f aca="false">IF(OR($A211="",AD$8=""),"",IF($F211="Migré","ROKS",IF($F211="À décommissionner",IF(AD$8&lt;$AS211,"IKS","Décom."),IF(OR($AQ211="",$AS211=""),"",IF(AD$8&lt;$AQ211,"IKS",IF(AD$8&lt;$AS211,IF(AD$8=$AR211,"Bascule","Double run"),"ROKS"))))))</f>
        <v/>
      </c>
      <c r="AE211" s="51" t="str">
        <f aca="false">IF(OR($A211="",AE$8=""),"",IF($F211="Migré","ROKS",IF($F211="À décommissionner",IF(AE$8&lt;$AS211,"IKS","Décom."),IF(OR($AQ211="",$AS211=""),"",IF(AE$8&lt;$AQ211,"IKS",IF(AE$8&lt;$AS211,IF(AE$8=$AR211,"Bascule","Double run"),"ROKS"))))))</f>
        <v/>
      </c>
      <c r="AF211" s="51" t="str">
        <f aca="false">IF(OR($A211="",AF$8=""),"",IF($F211="Migré","ROKS",IF($F211="À décommissionner",IF(AF$8&lt;$AS211,"IKS","Décom."),IF(OR($AQ211="",$AS211=""),"",IF(AF$8&lt;$AQ211,"IKS",IF(AF$8&lt;$AS211,IF(AF$8=$AR211,"Bascule","Double run"),"ROKS"))))))</f>
        <v/>
      </c>
      <c r="AG211" s="51" t="str">
        <f aca="false">IF(OR($A211="",AG$8=""),"",IF($F211="Migré","ROKS",IF($F211="À décommissionner",IF(AG$8&lt;$AS211,"IKS","Décom."),IF(OR($AQ211="",$AS211=""),"",IF(AG$8&lt;$AQ211,"IKS",IF(AG$8&lt;$AS211,IF(AG$8=$AR211,"Bascule","Double run"),"ROKS"))))))</f>
        <v/>
      </c>
      <c r="AH211" s="51" t="str">
        <f aca="false">IF(OR($A211="",AH$8=""),"",IF($F211="Migré","ROKS",IF($F211="À décommissionner",IF(AH$8&lt;$AS211,"IKS","Décom."),IF(OR($AQ211="",$AS211=""),"",IF(AH$8&lt;$AQ211,"IKS",IF(AH$8&lt;$AS211,IF(AH$8=$AR211,"Bascule","Double run"),"ROKS"))))))</f>
        <v/>
      </c>
      <c r="AI211" s="51" t="str">
        <f aca="false">IF(OR($A211="",AI$8=""),"",IF($F211="Migré","ROKS",IF($F211="À décommissionner",IF(AI$8&lt;$AS211,"IKS","Décom."),IF(OR($AQ211="",$AS211=""),"",IF(AI$8&lt;$AQ211,"IKS",IF(AI$8&lt;$AS211,IF(AI$8=$AR211,"Bascule","Double run"),"ROKS"))))))</f>
        <v/>
      </c>
      <c r="AJ211" s="51" t="str">
        <f aca="false">IF(OR($A211="",AJ$8=""),"",IF($F211="Migré","ROKS",IF($F211="À décommissionner",IF(AJ$8&lt;$AS211,"IKS","Décom."),IF(OR($AQ211="",$AS211=""),"",IF(AJ$8&lt;$AQ211,"IKS",IF(AJ$8&lt;$AS211,IF(AJ$8=$AR211,"Bascule","Double run"),"ROKS"))))))</f>
        <v/>
      </c>
      <c r="AK211" s="51" t="str">
        <f aca="false">IF(OR($A211="",AK$8=""),"",IF($F211="Migré","ROKS",IF($F211="À décommissionner",IF(AK$8&lt;$AS211,"IKS","Décom."),IF(OR($AQ211="",$AS211=""),"",IF(AK$8&lt;$AQ211,"IKS",IF(AK$8&lt;$AS211,IF(AK$8=$AR211,"Bascule","Double run"),"ROKS"))))))</f>
        <v/>
      </c>
      <c r="AL211" s="51" t="str">
        <f aca="false">IF(OR($A211="",AL$8=""),"",IF($F211="Migré","ROKS",IF($F211="À décommissionner",IF(AL$8&lt;$AS211,"IKS","Décom."),IF(OR($AQ211="",$AS211=""),"",IF(AL$8&lt;$AQ211,"IKS",IF(AL$8&lt;$AS211,IF(AL$8=$AR211,"Bascule","Double run"),"ROKS"))))))</f>
        <v/>
      </c>
      <c r="AM211" s="51" t="str">
        <f aca="false">IF(OR($A211="",AM$8=""),"",IF($F211="Migré","ROKS",IF($F211="À décommissionner",IF(AM$8&lt;$AS211,"IKS","Décom."),IF(OR($AQ211="",$AS211=""),"",IF(AM$8&lt;$AQ211,"IKS",IF(AM$8&lt;$AS211,IF(AM$8=$AR211,"Bascule","Double run"),"ROKS"))))))</f>
        <v/>
      </c>
      <c r="AN211" s="51" t="str">
        <f aca="false">IF(OR($A211="",AN$8=""),"",IF($F211="Migré","ROKS",IF($F211="À décommissionner",IF(AN$8&lt;$AS211,"IKS","Décom."),IF(OR($AQ211="",$AS211=""),"",IF(AN$8&lt;$AQ211,"IKS",IF(AN$8&lt;$AS211,IF(AN$8=$AR211,"Bascule","Double run"),"ROKS"))))))</f>
        <v/>
      </c>
      <c r="AO211" s="51" t="str">
        <f aca="false">IF(OR($A211="",AO$8=""),"",IF($F211="Migré","ROKS",IF($F211="À décommissionner",IF(AO$8&lt;$AS211,"IKS","Décom."),IF(OR($AQ211="",$AS211=""),"",IF(AO$8&lt;$AQ211,"IKS",IF(AO$8&lt;$AS211,IF(AO$8=$AR211,"Bascule","Double run"),"ROKS"))))))</f>
        <v/>
      </c>
      <c r="AP211" s="51" t="str">
        <f aca="false">IF(OR($A211="",AP$8=""),"",IF($F211="Migré","ROKS",IF($F211="À décommissionner",IF(AP$8&lt;$AS211,"IKS","Décom."),IF(OR($AQ211="",$AS211=""),"",IF(AP$8&lt;$AQ211,"IKS",IF(AP$8&lt;$AS211,IF(AP$8=$AR211,"Bascule","Double run"),"ROKS"))))))</f>
        <v/>
      </c>
      <c r="AQ211" s="0" t="str">
        <f aca="false">IF($A211="","",INDEX(TblApplications[Mois prov (calc)],$A211))</f>
        <v/>
      </c>
      <c r="AR211" s="0" t="str">
        <f aca="false">IF($A211="","",IFERROR(DATE(YEAR(INDEX(TblApplications[Mois bascule],$A211)),MONTH(INDEX(TblApplications[Mois bascule],$A211)),1),""))</f>
        <v/>
      </c>
      <c r="AS211" s="0" t="str">
        <f aca="false">IF($A211="","",INDEX(TblApplications[Mois lib (calc)],$A211))</f>
        <v/>
      </c>
    </row>
    <row r="212" customFormat="false" ht="15" hidden="false" customHeight="false" outlineLevel="0" collapsed="false">
      <c r="A212" s="49" t="str">
        <f aca="false">IFERROR(MATCH(204,TblApplications[Rang frise],0),"")</f>
        <v/>
      </c>
      <c r="B212" s="50" t="str">
        <f aca="false">IF($A212="","",INDEX(TblApplications[ID],$A212))</f>
        <v/>
      </c>
      <c r="C212" s="50" t="str">
        <f aca="false">IF($A212="","",INDEX(TblApplications[Application],$A212))</f>
        <v/>
      </c>
      <c r="D212" s="50" t="str">
        <f aca="false">IF($A212="","",INDEX(TblApplications[Environnement],$A212))</f>
        <v/>
      </c>
      <c r="E212" s="50" t="str">
        <f aca="false">IF($A212="","",INDEX(TblApplications[Couloir],$A212))</f>
        <v/>
      </c>
      <c r="F212" s="50" t="str">
        <f aca="false">IF($A212="","",INDEX(TblApplications[Action],$A212))</f>
        <v/>
      </c>
      <c r="G212" s="51" t="str">
        <f aca="false">IF(OR($A212="",G$8=""),"",IF($F212="Migré","ROKS",IF($F212="À décommissionner",IF(G$8&lt;$AS212,"IKS","Décom."),IF(OR($AQ212="",$AS212=""),"",IF(G$8&lt;$AQ212,"IKS",IF(G$8&lt;$AS212,IF(G$8=$AR212,"Bascule","Double run"),"ROKS"))))))</f>
        <v/>
      </c>
      <c r="H212" s="51" t="str">
        <f aca="false">IF(OR($A212="",H$8=""),"",IF($F212="Migré","ROKS",IF($F212="À décommissionner",IF(H$8&lt;$AS212,"IKS","Décom."),IF(OR($AQ212="",$AS212=""),"",IF(H$8&lt;$AQ212,"IKS",IF(H$8&lt;$AS212,IF(H$8=$AR212,"Bascule","Double run"),"ROKS"))))))</f>
        <v/>
      </c>
      <c r="I212" s="51" t="str">
        <f aca="false">IF(OR($A212="",I$8=""),"",IF($F212="Migré","ROKS",IF($F212="À décommissionner",IF(I$8&lt;$AS212,"IKS","Décom."),IF(OR($AQ212="",$AS212=""),"",IF(I$8&lt;$AQ212,"IKS",IF(I$8&lt;$AS212,IF(I$8=$AR212,"Bascule","Double run"),"ROKS"))))))</f>
        <v/>
      </c>
      <c r="J212" s="51" t="str">
        <f aca="false">IF(OR($A212="",J$8=""),"",IF($F212="Migré","ROKS",IF($F212="À décommissionner",IF(J$8&lt;$AS212,"IKS","Décom."),IF(OR($AQ212="",$AS212=""),"",IF(J$8&lt;$AQ212,"IKS",IF(J$8&lt;$AS212,IF(J$8=$AR212,"Bascule","Double run"),"ROKS"))))))</f>
        <v/>
      </c>
      <c r="K212" s="51" t="str">
        <f aca="false">IF(OR($A212="",K$8=""),"",IF($F212="Migré","ROKS",IF($F212="À décommissionner",IF(K$8&lt;$AS212,"IKS","Décom."),IF(OR($AQ212="",$AS212=""),"",IF(K$8&lt;$AQ212,"IKS",IF(K$8&lt;$AS212,IF(K$8=$AR212,"Bascule","Double run"),"ROKS"))))))</f>
        <v/>
      </c>
      <c r="L212" s="51" t="str">
        <f aca="false">IF(OR($A212="",L$8=""),"",IF($F212="Migré","ROKS",IF($F212="À décommissionner",IF(L$8&lt;$AS212,"IKS","Décom."),IF(OR($AQ212="",$AS212=""),"",IF(L$8&lt;$AQ212,"IKS",IF(L$8&lt;$AS212,IF(L$8=$AR212,"Bascule","Double run"),"ROKS"))))))</f>
        <v/>
      </c>
      <c r="M212" s="51" t="str">
        <f aca="false">IF(OR($A212="",M$8=""),"",IF($F212="Migré","ROKS",IF($F212="À décommissionner",IF(M$8&lt;$AS212,"IKS","Décom."),IF(OR($AQ212="",$AS212=""),"",IF(M$8&lt;$AQ212,"IKS",IF(M$8&lt;$AS212,IF(M$8=$AR212,"Bascule","Double run"),"ROKS"))))))</f>
        <v/>
      </c>
      <c r="N212" s="51" t="str">
        <f aca="false">IF(OR($A212="",N$8=""),"",IF($F212="Migré","ROKS",IF($F212="À décommissionner",IF(N$8&lt;$AS212,"IKS","Décom."),IF(OR($AQ212="",$AS212=""),"",IF(N$8&lt;$AQ212,"IKS",IF(N$8&lt;$AS212,IF(N$8=$AR212,"Bascule","Double run"),"ROKS"))))))</f>
        <v/>
      </c>
      <c r="O212" s="51" t="str">
        <f aca="false">IF(OR($A212="",O$8=""),"",IF($F212="Migré","ROKS",IF($F212="À décommissionner",IF(O$8&lt;$AS212,"IKS","Décom."),IF(OR($AQ212="",$AS212=""),"",IF(O$8&lt;$AQ212,"IKS",IF(O$8&lt;$AS212,IF(O$8=$AR212,"Bascule","Double run"),"ROKS"))))))</f>
        <v/>
      </c>
      <c r="P212" s="51" t="str">
        <f aca="false">IF(OR($A212="",P$8=""),"",IF($F212="Migré","ROKS",IF($F212="À décommissionner",IF(P$8&lt;$AS212,"IKS","Décom."),IF(OR($AQ212="",$AS212=""),"",IF(P$8&lt;$AQ212,"IKS",IF(P$8&lt;$AS212,IF(P$8=$AR212,"Bascule","Double run"),"ROKS"))))))</f>
        <v/>
      </c>
      <c r="Q212" s="51" t="str">
        <f aca="false">IF(OR($A212="",Q$8=""),"",IF($F212="Migré","ROKS",IF($F212="À décommissionner",IF(Q$8&lt;$AS212,"IKS","Décom."),IF(OR($AQ212="",$AS212=""),"",IF(Q$8&lt;$AQ212,"IKS",IF(Q$8&lt;$AS212,IF(Q$8=$AR212,"Bascule","Double run"),"ROKS"))))))</f>
        <v/>
      </c>
      <c r="R212" s="51" t="str">
        <f aca="false">IF(OR($A212="",R$8=""),"",IF($F212="Migré","ROKS",IF($F212="À décommissionner",IF(R$8&lt;$AS212,"IKS","Décom."),IF(OR($AQ212="",$AS212=""),"",IF(R$8&lt;$AQ212,"IKS",IF(R$8&lt;$AS212,IF(R$8=$AR212,"Bascule","Double run"),"ROKS"))))))</f>
        <v/>
      </c>
      <c r="S212" s="51" t="str">
        <f aca="false">IF(OR($A212="",S$8=""),"",IF($F212="Migré","ROKS",IF($F212="À décommissionner",IF(S$8&lt;$AS212,"IKS","Décom."),IF(OR($AQ212="",$AS212=""),"",IF(S$8&lt;$AQ212,"IKS",IF(S$8&lt;$AS212,IF(S$8=$AR212,"Bascule","Double run"),"ROKS"))))))</f>
        <v/>
      </c>
      <c r="T212" s="51" t="str">
        <f aca="false">IF(OR($A212="",T$8=""),"",IF($F212="Migré","ROKS",IF($F212="À décommissionner",IF(T$8&lt;$AS212,"IKS","Décom."),IF(OR($AQ212="",$AS212=""),"",IF(T$8&lt;$AQ212,"IKS",IF(T$8&lt;$AS212,IF(T$8=$AR212,"Bascule","Double run"),"ROKS"))))))</f>
        <v/>
      </c>
      <c r="U212" s="51" t="str">
        <f aca="false">IF(OR($A212="",U$8=""),"",IF($F212="Migré","ROKS",IF($F212="À décommissionner",IF(U$8&lt;$AS212,"IKS","Décom."),IF(OR($AQ212="",$AS212=""),"",IF(U$8&lt;$AQ212,"IKS",IF(U$8&lt;$AS212,IF(U$8=$AR212,"Bascule","Double run"),"ROKS"))))))</f>
        <v/>
      </c>
      <c r="V212" s="51" t="str">
        <f aca="false">IF(OR($A212="",V$8=""),"",IF($F212="Migré","ROKS",IF($F212="À décommissionner",IF(V$8&lt;$AS212,"IKS","Décom."),IF(OR($AQ212="",$AS212=""),"",IF(V$8&lt;$AQ212,"IKS",IF(V$8&lt;$AS212,IF(V$8=$AR212,"Bascule","Double run"),"ROKS"))))))</f>
        <v/>
      </c>
      <c r="W212" s="51" t="str">
        <f aca="false">IF(OR($A212="",W$8=""),"",IF($F212="Migré","ROKS",IF($F212="À décommissionner",IF(W$8&lt;$AS212,"IKS","Décom."),IF(OR($AQ212="",$AS212=""),"",IF(W$8&lt;$AQ212,"IKS",IF(W$8&lt;$AS212,IF(W$8=$AR212,"Bascule","Double run"),"ROKS"))))))</f>
        <v/>
      </c>
      <c r="X212" s="51" t="str">
        <f aca="false">IF(OR($A212="",X$8=""),"",IF($F212="Migré","ROKS",IF($F212="À décommissionner",IF(X$8&lt;$AS212,"IKS","Décom."),IF(OR($AQ212="",$AS212=""),"",IF(X$8&lt;$AQ212,"IKS",IF(X$8&lt;$AS212,IF(X$8=$AR212,"Bascule","Double run"),"ROKS"))))))</f>
        <v/>
      </c>
      <c r="Y212" s="51" t="str">
        <f aca="false">IF(OR($A212="",Y$8=""),"",IF($F212="Migré","ROKS",IF($F212="À décommissionner",IF(Y$8&lt;$AS212,"IKS","Décom."),IF(OR($AQ212="",$AS212=""),"",IF(Y$8&lt;$AQ212,"IKS",IF(Y$8&lt;$AS212,IF(Y$8=$AR212,"Bascule","Double run"),"ROKS"))))))</f>
        <v/>
      </c>
      <c r="Z212" s="51" t="str">
        <f aca="false">IF(OR($A212="",Z$8=""),"",IF($F212="Migré","ROKS",IF($F212="À décommissionner",IF(Z$8&lt;$AS212,"IKS","Décom."),IF(OR($AQ212="",$AS212=""),"",IF(Z$8&lt;$AQ212,"IKS",IF(Z$8&lt;$AS212,IF(Z$8=$AR212,"Bascule","Double run"),"ROKS"))))))</f>
        <v/>
      </c>
      <c r="AA212" s="51" t="str">
        <f aca="false">IF(OR($A212="",AA$8=""),"",IF($F212="Migré","ROKS",IF($F212="À décommissionner",IF(AA$8&lt;$AS212,"IKS","Décom."),IF(OR($AQ212="",$AS212=""),"",IF(AA$8&lt;$AQ212,"IKS",IF(AA$8&lt;$AS212,IF(AA$8=$AR212,"Bascule","Double run"),"ROKS"))))))</f>
        <v/>
      </c>
      <c r="AB212" s="51" t="str">
        <f aca="false">IF(OR($A212="",AB$8=""),"",IF($F212="Migré","ROKS",IF($F212="À décommissionner",IF(AB$8&lt;$AS212,"IKS","Décom."),IF(OR($AQ212="",$AS212=""),"",IF(AB$8&lt;$AQ212,"IKS",IF(AB$8&lt;$AS212,IF(AB$8=$AR212,"Bascule","Double run"),"ROKS"))))))</f>
        <v/>
      </c>
      <c r="AC212" s="51" t="str">
        <f aca="false">IF(OR($A212="",AC$8=""),"",IF($F212="Migré","ROKS",IF($F212="À décommissionner",IF(AC$8&lt;$AS212,"IKS","Décom."),IF(OR($AQ212="",$AS212=""),"",IF(AC$8&lt;$AQ212,"IKS",IF(AC$8&lt;$AS212,IF(AC$8=$AR212,"Bascule","Double run"),"ROKS"))))))</f>
        <v/>
      </c>
      <c r="AD212" s="51" t="str">
        <f aca="false">IF(OR($A212="",AD$8=""),"",IF($F212="Migré","ROKS",IF($F212="À décommissionner",IF(AD$8&lt;$AS212,"IKS","Décom."),IF(OR($AQ212="",$AS212=""),"",IF(AD$8&lt;$AQ212,"IKS",IF(AD$8&lt;$AS212,IF(AD$8=$AR212,"Bascule","Double run"),"ROKS"))))))</f>
        <v/>
      </c>
      <c r="AE212" s="51" t="str">
        <f aca="false">IF(OR($A212="",AE$8=""),"",IF($F212="Migré","ROKS",IF($F212="À décommissionner",IF(AE$8&lt;$AS212,"IKS","Décom."),IF(OR($AQ212="",$AS212=""),"",IF(AE$8&lt;$AQ212,"IKS",IF(AE$8&lt;$AS212,IF(AE$8=$AR212,"Bascule","Double run"),"ROKS"))))))</f>
        <v/>
      </c>
      <c r="AF212" s="51" t="str">
        <f aca="false">IF(OR($A212="",AF$8=""),"",IF($F212="Migré","ROKS",IF($F212="À décommissionner",IF(AF$8&lt;$AS212,"IKS","Décom."),IF(OR($AQ212="",$AS212=""),"",IF(AF$8&lt;$AQ212,"IKS",IF(AF$8&lt;$AS212,IF(AF$8=$AR212,"Bascule","Double run"),"ROKS"))))))</f>
        <v/>
      </c>
      <c r="AG212" s="51" t="str">
        <f aca="false">IF(OR($A212="",AG$8=""),"",IF($F212="Migré","ROKS",IF($F212="À décommissionner",IF(AG$8&lt;$AS212,"IKS","Décom."),IF(OR($AQ212="",$AS212=""),"",IF(AG$8&lt;$AQ212,"IKS",IF(AG$8&lt;$AS212,IF(AG$8=$AR212,"Bascule","Double run"),"ROKS"))))))</f>
        <v/>
      </c>
      <c r="AH212" s="51" t="str">
        <f aca="false">IF(OR($A212="",AH$8=""),"",IF($F212="Migré","ROKS",IF($F212="À décommissionner",IF(AH$8&lt;$AS212,"IKS","Décom."),IF(OR($AQ212="",$AS212=""),"",IF(AH$8&lt;$AQ212,"IKS",IF(AH$8&lt;$AS212,IF(AH$8=$AR212,"Bascule","Double run"),"ROKS"))))))</f>
        <v/>
      </c>
      <c r="AI212" s="51" t="str">
        <f aca="false">IF(OR($A212="",AI$8=""),"",IF($F212="Migré","ROKS",IF($F212="À décommissionner",IF(AI$8&lt;$AS212,"IKS","Décom."),IF(OR($AQ212="",$AS212=""),"",IF(AI$8&lt;$AQ212,"IKS",IF(AI$8&lt;$AS212,IF(AI$8=$AR212,"Bascule","Double run"),"ROKS"))))))</f>
        <v/>
      </c>
      <c r="AJ212" s="51" t="str">
        <f aca="false">IF(OR($A212="",AJ$8=""),"",IF($F212="Migré","ROKS",IF($F212="À décommissionner",IF(AJ$8&lt;$AS212,"IKS","Décom."),IF(OR($AQ212="",$AS212=""),"",IF(AJ$8&lt;$AQ212,"IKS",IF(AJ$8&lt;$AS212,IF(AJ$8=$AR212,"Bascule","Double run"),"ROKS"))))))</f>
        <v/>
      </c>
      <c r="AK212" s="51" t="str">
        <f aca="false">IF(OR($A212="",AK$8=""),"",IF($F212="Migré","ROKS",IF($F212="À décommissionner",IF(AK$8&lt;$AS212,"IKS","Décom."),IF(OR($AQ212="",$AS212=""),"",IF(AK$8&lt;$AQ212,"IKS",IF(AK$8&lt;$AS212,IF(AK$8=$AR212,"Bascule","Double run"),"ROKS"))))))</f>
        <v/>
      </c>
      <c r="AL212" s="51" t="str">
        <f aca="false">IF(OR($A212="",AL$8=""),"",IF($F212="Migré","ROKS",IF($F212="À décommissionner",IF(AL$8&lt;$AS212,"IKS","Décom."),IF(OR($AQ212="",$AS212=""),"",IF(AL$8&lt;$AQ212,"IKS",IF(AL$8&lt;$AS212,IF(AL$8=$AR212,"Bascule","Double run"),"ROKS"))))))</f>
        <v/>
      </c>
      <c r="AM212" s="51" t="str">
        <f aca="false">IF(OR($A212="",AM$8=""),"",IF($F212="Migré","ROKS",IF($F212="À décommissionner",IF(AM$8&lt;$AS212,"IKS","Décom."),IF(OR($AQ212="",$AS212=""),"",IF(AM$8&lt;$AQ212,"IKS",IF(AM$8&lt;$AS212,IF(AM$8=$AR212,"Bascule","Double run"),"ROKS"))))))</f>
        <v/>
      </c>
      <c r="AN212" s="51" t="str">
        <f aca="false">IF(OR($A212="",AN$8=""),"",IF($F212="Migré","ROKS",IF($F212="À décommissionner",IF(AN$8&lt;$AS212,"IKS","Décom."),IF(OR($AQ212="",$AS212=""),"",IF(AN$8&lt;$AQ212,"IKS",IF(AN$8&lt;$AS212,IF(AN$8=$AR212,"Bascule","Double run"),"ROKS"))))))</f>
        <v/>
      </c>
      <c r="AO212" s="51" t="str">
        <f aca="false">IF(OR($A212="",AO$8=""),"",IF($F212="Migré","ROKS",IF($F212="À décommissionner",IF(AO$8&lt;$AS212,"IKS","Décom."),IF(OR($AQ212="",$AS212=""),"",IF(AO$8&lt;$AQ212,"IKS",IF(AO$8&lt;$AS212,IF(AO$8=$AR212,"Bascule","Double run"),"ROKS"))))))</f>
        <v/>
      </c>
      <c r="AP212" s="51" t="str">
        <f aca="false">IF(OR($A212="",AP$8=""),"",IF($F212="Migré","ROKS",IF($F212="À décommissionner",IF(AP$8&lt;$AS212,"IKS","Décom."),IF(OR($AQ212="",$AS212=""),"",IF(AP$8&lt;$AQ212,"IKS",IF(AP$8&lt;$AS212,IF(AP$8=$AR212,"Bascule","Double run"),"ROKS"))))))</f>
        <v/>
      </c>
      <c r="AQ212" s="0" t="str">
        <f aca="false">IF($A212="","",INDEX(TblApplications[Mois prov (calc)],$A212))</f>
        <v/>
      </c>
      <c r="AR212" s="0" t="str">
        <f aca="false">IF($A212="","",IFERROR(DATE(YEAR(INDEX(TblApplications[Mois bascule],$A212)),MONTH(INDEX(TblApplications[Mois bascule],$A212)),1),""))</f>
        <v/>
      </c>
      <c r="AS212" s="0" t="str">
        <f aca="false">IF($A212="","",INDEX(TblApplications[Mois lib (calc)],$A212))</f>
        <v/>
      </c>
    </row>
    <row r="213" customFormat="false" ht="15" hidden="false" customHeight="false" outlineLevel="0" collapsed="false">
      <c r="A213" s="49" t="str">
        <f aca="false">IFERROR(MATCH(205,TblApplications[Rang frise],0),"")</f>
        <v/>
      </c>
      <c r="B213" s="50" t="str">
        <f aca="false">IF($A213="","",INDEX(TblApplications[ID],$A213))</f>
        <v/>
      </c>
      <c r="C213" s="50" t="str">
        <f aca="false">IF($A213="","",INDEX(TblApplications[Application],$A213))</f>
        <v/>
      </c>
      <c r="D213" s="50" t="str">
        <f aca="false">IF($A213="","",INDEX(TblApplications[Environnement],$A213))</f>
        <v/>
      </c>
      <c r="E213" s="50" t="str">
        <f aca="false">IF($A213="","",INDEX(TblApplications[Couloir],$A213))</f>
        <v/>
      </c>
      <c r="F213" s="50" t="str">
        <f aca="false">IF($A213="","",INDEX(TblApplications[Action],$A213))</f>
        <v/>
      </c>
      <c r="G213" s="51" t="str">
        <f aca="false">IF(OR($A213="",G$8=""),"",IF($F213="Migré","ROKS",IF($F213="À décommissionner",IF(G$8&lt;$AS213,"IKS","Décom."),IF(OR($AQ213="",$AS213=""),"",IF(G$8&lt;$AQ213,"IKS",IF(G$8&lt;$AS213,IF(G$8=$AR213,"Bascule","Double run"),"ROKS"))))))</f>
        <v/>
      </c>
      <c r="H213" s="51" t="str">
        <f aca="false">IF(OR($A213="",H$8=""),"",IF($F213="Migré","ROKS",IF($F213="À décommissionner",IF(H$8&lt;$AS213,"IKS","Décom."),IF(OR($AQ213="",$AS213=""),"",IF(H$8&lt;$AQ213,"IKS",IF(H$8&lt;$AS213,IF(H$8=$AR213,"Bascule","Double run"),"ROKS"))))))</f>
        <v/>
      </c>
      <c r="I213" s="51" t="str">
        <f aca="false">IF(OR($A213="",I$8=""),"",IF($F213="Migré","ROKS",IF($F213="À décommissionner",IF(I$8&lt;$AS213,"IKS","Décom."),IF(OR($AQ213="",$AS213=""),"",IF(I$8&lt;$AQ213,"IKS",IF(I$8&lt;$AS213,IF(I$8=$AR213,"Bascule","Double run"),"ROKS"))))))</f>
        <v/>
      </c>
      <c r="J213" s="51" t="str">
        <f aca="false">IF(OR($A213="",J$8=""),"",IF($F213="Migré","ROKS",IF($F213="À décommissionner",IF(J$8&lt;$AS213,"IKS","Décom."),IF(OR($AQ213="",$AS213=""),"",IF(J$8&lt;$AQ213,"IKS",IF(J$8&lt;$AS213,IF(J$8=$AR213,"Bascule","Double run"),"ROKS"))))))</f>
        <v/>
      </c>
      <c r="K213" s="51" t="str">
        <f aca="false">IF(OR($A213="",K$8=""),"",IF($F213="Migré","ROKS",IF($F213="À décommissionner",IF(K$8&lt;$AS213,"IKS","Décom."),IF(OR($AQ213="",$AS213=""),"",IF(K$8&lt;$AQ213,"IKS",IF(K$8&lt;$AS213,IF(K$8=$AR213,"Bascule","Double run"),"ROKS"))))))</f>
        <v/>
      </c>
      <c r="L213" s="51" t="str">
        <f aca="false">IF(OR($A213="",L$8=""),"",IF($F213="Migré","ROKS",IF($F213="À décommissionner",IF(L$8&lt;$AS213,"IKS","Décom."),IF(OR($AQ213="",$AS213=""),"",IF(L$8&lt;$AQ213,"IKS",IF(L$8&lt;$AS213,IF(L$8=$AR213,"Bascule","Double run"),"ROKS"))))))</f>
        <v/>
      </c>
      <c r="M213" s="51" t="str">
        <f aca="false">IF(OR($A213="",M$8=""),"",IF($F213="Migré","ROKS",IF($F213="À décommissionner",IF(M$8&lt;$AS213,"IKS","Décom."),IF(OR($AQ213="",$AS213=""),"",IF(M$8&lt;$AQ213,"IKS",IF(M$8&lt;$AS213,IF(M$8=$AR213,"Bascule","Double run"),"ROKS"))))))</f>
        <v/>
      </c>
      <c r="N213" s="51" t="str">
        <f aca="false">IF(OR($A213="",N$8=""),"",IF($F213="Migré","ROKS",IF($F213="À décommissionner",IF(N$8&lt;$AS213,"IKS","Décom."),IF(OR($AQ213="",$AS213=""),"",IF(N$8&lt;$AQ213,"IKS",IF(N$8&lt;$AS213,IF(N$8=$AR213,"Bascule","Double run"),"ROKS"))))))</f>
        <v/>
      </c>
      <c r="O213" s="51" t="str">
        <f aca="false">IF(OR($A213="",O$8=""),"",IF($F213="Migré","ROKS",IF($F213="À décommissionner",IF(O$8&lt;$AS213,"IKS","Décom."),IF(OR($AQ213="",$AS213=""),"",IF(O$8&lt;$AQ213,"IKS",IF(O$8&lt;$AS213,IF(O$8=$AR213,"Bascule","Double run"),"ROKS"))))))</f>
        <v/>
      </c>
      <c r="P213" s="51" t="str">
        <f aca="false">IF(OR($A213="",P$8=""),"",IF($F213="Migré","ROKS",IF($F213="À décommissionner",IF(P$8&lt;$AS213,"IKS","Décom."),IF(OR($AQ213="",$AS213=""),"",IF(P$8&lt;$AQ213,"IKS",IF(P$8&lt;$AS213,IF(P$8=$AR213,"Bascule","Double run"),"ROKS"))))))</f>
        <v/>
      </c>
      <c r="Q213" s="51" t="str">
        <f aca="false">IF(OR($A213="",Q$8=""),"",IF($F213="Migré","ROKS",IF($F213="À décommissionner",IF(Q$8&lt;$AS213,"IKS","Décom."),IF(OR($AQ213="",$AS213=""),"",IF(Q$8&lt;$AQ213,"IKS",IF(Q$8&lt;$AS213,IF(Q$8=$AR213,"Bascule","Double run"),"ROKS"))))))</f>
        <v/>
      </c>
      <c r="R213" s="51" t="str">
        <f aca="false">IF(OR($A213="",R$8=""),"",IF($F213="Migré","ROKS",IF($F213="À décommissionner",IF(R$8&lt;$AS213,"IKS","Décom."),IF(OR($AQ213="",$AS213=""),"",IF(R$8&lt;$AQ213,"IKS",IF(R$8&lt;$AS213,IF(R$8=$AR213,"Bascule","Double run"),"ROKS"))))))</f>
        <v/>
      </c>
      <c r="S213" s="51" t="str">
        <f aca="false">IF(OR($A213="",S$8=""),"",IF($F213="Migré","ROKS",IF($F213="À décommissionner",IF(S$8&lt;$AS213,"IKS","Décom."),IF(OR($AQ213="",$AS213=""),"",IF(S$8&lt;$AQ213,"IKS",IF(S$8&lt;$AS213,IF(S$8=$AR213,"Bascule","Double run"),"ROKS"))))))</f>
        <v/>
      </c>
      <c r="T213" s="51" t="str">
        <f aca="false">IF(OR($A213="",T$8=""),"",IF($F213="Migré","ROKS",IF($F213="À décommissionner",IF(T$8&lt;$AS213,"IKS","Décom."),IF(OR($AQ213="",$AS213=""),"",IF(T$8&lt;$AQ213,"IKS",IF(T$8&lt;$AS213,IF(T$8=$AR213,"Bascule","Double run"),"ROKS"))))))</f>
        <v/>
      </c>
      <c r="U213" s="51" t="str">
        <f aca="false">IF(OR($A213="",U$8=""),"",IF($F213="Migré","ROKS",IF($F213="À décommissionner",IF(U$8&lt;$AS213,"IKS","Décom."),IF(OR($AQ213="",$AS213=""),"",IF(U$8&lt;$AQ213,"IKS",IF(U$8&lt;$AS213,IF(U$8=$AR213,"Bascule","Double run"),"ROKS"))))))</f>
        <v/>
      </c>
      <c r="V213" s="51" t="str">
        <f aca="false">IF(OR($A213="",V$8=""),"",IF($F213="Migré","ROKS",IF($F213="À décommissionner",IF(V$8&lt;$AS213,"IKS","Décom."),IF(OR($AQ213="",$AS213=""),"",IF(V$8&lt;$AQ213,"IKS",IF(V$8&lt;$AS213,IF(V$8=$AR213,"Bascule","Double run"),"ROKS"))))))</f>
        <v/>
      </c>
      <c r="W213" s="51" t="str">
        <f aca="false">IF(OR($A213="",W$8=""),"",IF($F213="Migré","ROKS",IF($F213="À décommissionner",IF(W$8&lt;$AS213,"IKS","Décom."),IF(OR($AQ213="",$AS213=""),"",IF(W$8&lt;$AQ213,"IKS",IF(W$8&lt;$AS213,IF(W$8=$AR213,"Bascule","Double run"),"ROKS"))))))</f>
        <v/>
      </c>
      <c r="X213" s="51" t="str">
        <f aca="false">IF(OR($A213="",X$8=""),"",IF($F213="Migré","ROKS",IF($F213="À décommissionner",IF(X$8&lt;$AS213,"IKS","Décom."),IF(OR($AQ213="",$AS213=""),"",IF(X$8&lt;$AQ213,"IKS",IF(X$8&lt;$AS213,IF(X$8=$AR213,"Bascule","Double run"),"ROKS"))))))</f>
        <v/>
      </c>
      <c r="Y213" s="51" t="str">
        <f aca="false">IF(OR($A213="",Y$8=""),"",IF($F213="Migré","ROKS",IF($F213="À décommissionner",IF(Y$8&lt;$AS213,"IKS","Décom."),IF(OR($AQ213="",$AS213=""),"",IF(Y$8&lt;$AQ213,"IKS",IF(Y$8&lt;$AS213,IF(Y$8=$AR213,"Bascule","Double run"),"ROKS"))))))</f>
        <v/>
      </c>
      <c r="Z213" s="51" t="str">
        <f aca="false">IF(OR($A213="",Z$8=""),"",IF($F213="Migré","ROKS",IF($F213="À décommissionner",IF(Z$8&lt;$AS213,"IKS","Décom."),IF(OR($AQ213="",$AS213=""),"",IF(Z$8&lt;$AQ213,"IKS",IF(Z$8&lt;$AS213,IF(Z$8=$AR213,"Bascule","Double run"),"ROKS"))))))</f>
        <v/>
      </c>
      <c r="AA213" s="51" t="str">
        <f aca="false">IF(OR($A213="",AA$8=""),"",IF($F213="Migré","ROKS",IF($F213="À décommissionner",IF(AA$8&lt;$AS213,"IKS","Décom."),IF(OR($AQ213="",$AS213=""),"",IF(AA$8&lt;$AQ213,"IKS",IF(AA$8&lt;$AS213,IF(AA$8=$AR213,"Bascule","Double run"),"ROKS"))))))</f>
        <v/>
      </c>
      <c r="AB213" s="51" t="str">
        <f aca="false">IF(OR($A213="",AB$8=""),"",IF($F213="Migré","ROKS",IF($F213="À décommissionner",IF(AB$8&lt;$AS213,"IKS","Décom."),IF(OR($AQ213="",$AS213=""),"",IF(AB$8&lt;$AQ213,"IKS",IF(AB$8&lt;$AS213,IF(AB$8=$AR213,"Bascule","Double run"),"ROKS"))))))</f>
        <v/>
      </c>
      <c r="AC213" s="51" t="str">
        <f aca="false">IF(OR($A213="",AC$8=""),"",IF($F213="Migré","ROKS",IF($F213="À décommissionner",IF(AC$8&lt;$AS213,"IKS","Décom."),IF(OR($AQ213="",$AS213=""),"",IF(AC$8&lt;$AQ213,"IKS",IF(AC$8&lt;$AS213,IF(AC$8=$AR213,"Bascule","Double run"),"ROKS"))))))</f>
        <v/>
      </c>
      <c r="AD213" s="51" t="str">
        <f aca="false">IF(OR($A213="",AD$8=""),"",IF($F213="Migré","ROKS",IF($F213="À décommissionner",IF(AD$8&lt;$AS213,"IKS","Décom."),IF(OR($AQ213="",$AS213=""),"",IF(AD$8&lt;$AQ213,"IKS",IF(AD$8&lt;$AS213,IF(AD$8=$AR213,"Bascule","Double run"),"ROKS"))))))</f>
        <v/>
      </c>
      <c r="AE213" s="51" t="str">
        <f aca="false">IF(OR($A213="",AE$8=""),"",IF($F213="Migré","ROKS",IF($F213="À décommissionner",IF(AE$8&lt;$AS213,"IKS","Décom."),IF(OR($AQ213="",$AS213=""),"",IF(AE$8&lt;$AQ213,"IKS",IF(AE$8&lt;$AS213,IF(AE$8=$AR213,"Bascule","Double run"),"ROKS"))))))</f>
        <v/>
      </c>
      <c r="AF213" s="51" t="str">
        <f aca="false">IF(OR($A213="",AF$8=""),"",IF($F213="Migré","ROKS",IF($F213="À décommissionner",IF(AF$8&lt;$AS213,"IKS","Décom."),IF(OR($AQ213="",$AS213=""),"",IF(AF$8&lt;$AQ213,"IKS",IF(AF$8&lt;$AS213,IF(AF$8=$AR213,"Bascule","Double run"),"ROKS"))))))</f>
        <v/>
      </c>
      <c r="AG213" s="51" t="str">
        <f aca="false">IF(OR($A213="",AG$8=""),"",IF($F213="Migré","ROKS",IF($F213="À décommissionner",IF(AG$8&lt;$AS213,"IKS","Décom."),IF(OR($AQ213="",$AS213=""),"",IF(AG$8&lt;$AQ213,"IKS",IF(AG$8&lt;$AS213,IF(AG$8=$AR213,"Bascule","Double run"),"ROKS"))))))</f>
        <v/>
      </c>
      <c r="AH213" s="51" t="str">
        <f aca="false">IF(OR($A213="",AH$8=""),"",IF($F213="Migré","ROKS",IF($F213="À décommissionner",IF(AH$8&lt;$AS213,"IKS","Décom."),IF(OR($AQ213="",$AS213=""),"",IF(AH$8&lt;$AQ213,"IKS",IF(AH$8&lt;$AS213,IF(AH$8=$AR213,"Bascule","Double run"),"ROKS"))))))</f>
        <v/>
      </c>
      <c r="AI213" s="51" t="str">
        <f aca="false">IF(OR($A213="",AI$8=""),"",IF($F213="Migré","ROKS",IF($F213="À décommissionner",IF(AI$8&lt;$AS213,"IKS","Décom."),IF(OR($AQ213="",$AS213=""),"",IF(AI$8&lt;$AQ213,"IKS",IF(AI$8&lt;$AS213,IF(AI$8=$AR213,"Bascule","Double run"),"ROKS"))))))</f>
        <v/>
      </c>
      <c r="AJ213" s="51" t="str">
        <f aca="false">IF(OR($A213="",AJ$8=""),"",IF($F213="Migré","ROKS",IF($F213="À décommissionner",IF(AJ$8&lt;$AS213,"IKS","Décom."),IF(OR($AQ213="",$AS213=""),"",IF(AJ$8&lt;$AQ213,"IKS",IF(AJ$8&lt;$AS213,IF(AJ$8=$AR213,"Bascule","Double run"),"ROKS"))))))</f>
        <v/>
      </c>
      <c r="AK213" s="51" t="str">
        <f aca="false">IF(OR($A213="",AK$8=""),"",IF($F213="Migré","ROKS",IF($F213="À décommissionner",IF(AK$8&lt;$AS213,"IKS","Décom."),IF(OR($AQ213="",$AS213=""),"",IF(AK$8&lt;$AQ213,"IKS",IF(AK$8&lt;$AS213,IF(AK$8=$AR213,"Bascule","Double run"),"ROKS"))))))</f>
        <v/>
      </c>
      <c r="AL213" s="51" t="str">
        <f aca="false">IF(OR($A213="",AL$8=""),"",IF($F213="Migré","ROKS",IF($F213="À décommissionner",IF(AL$8&lt;$AS213,"IKS","Décom."),IF(OR($AQ213="",$AS213=""),"",IF(AL$8&lt;$AQ213,"IKS",IF(AL$8&lt;$AS213,IF(AL$8=$AR213,"Bascule","Double run"),"ROKS"))))))</f>
        <v/>
      </c>
      <c r="AM213" s="51" t="str">
        <f aca="false">IF(OR($A213="",AM$8=""),"",IF($F213="Migré","ROKS",IF($F213="À décommissionner",IF(AM$8&lt;$AS213,"IKS","Décom."),IF(OR($AQ213="",$AS213=""),"",IF(AM$8&lt;$AQ213,"IKS",IF(AM$8&lt;$AS213,IF(AM$8=$AR213,"Bascule","Double run"),"ROKS"))))))</f>
        <v/>
      </c>
      <c r="AN213" s="51" t="str">
        <f aca="false">IF(OR($A213="",AN$8=""),"",IF($F213="Migré","ROKS",IF($F213="À décommissionner",IF(AN$8&lt;$AS213,"IKS","Décom."),IF(OR($AQ213="",$AS213=""),"",IF(AN$8&lt;$AQ213,"IKS",IF(AN$8&lt;$AS213,IF(AN$8=$AR213,"Bascule","Double run"),"ROKS"))))))</f>
        <v/>
      </c>
      <c r="AO213" s="51" t="str">
        <f aca="false">IF(OR($A213="",AO$8=""),"",IF($F213="Migré","ROKS",IF($F213="À décommissionner",IF(AO$8&lt;$AS213,"IKS","Décom."),IF(OR($AQ213="",$AS213=""),"",IF(AO$8&lt;$AQ213,"IKS",IF(AO$8&lt;$AS213,IF(AO$8=$AR213,"Bascule","Double run"),"ROKS"))))))</f>
        <v/>
      </c>
      <c r="AP213" s="51" t="str">
        <f aca="false">IF(OR($A213="",AP$8=""),"",IF($F213="Migré","ROKS",IF($F213="À décommissionner",IF(AP$8&lt;$AS213,"IKS","Décom."),IF(OR($AQ213="",$AS213=""),"",IF(AP$8&lt;$AQ213,"IKS",IF(AP$8&lt;$AS213,IF(AP$8=$AR213,"Bascule","Double run"),"ROKS"))))))</f>
        <v/>
      </c>
      <c r="AQ213" s="0" t="str">
        <f aca="false">IF($A213="","",INDEX(TblApplications[Mois prov (calc)],$A213))</f>
        <v/>
      </c>
      <c r="AR213" s="0" t="str">
        <f aca="false">IF($A213="","",IFERROR(DATE(YEAR(INDEX(TblApplications[Mois bascule],$A213)),MONTH(INDEX(TblApplications[Mois bascule],$A213)),1),""))</f>
        <v/>
      </c>
      <c r="AS213" s="0" t="str">
        <f aca="false">IF($A213="","",INDEX(TblApplications[Mois lib (calc)],$A213))</f>
        <v/>
      </c>
    </row>
    <row r="214" customFormat="false" ht="15" hidden="false" customHeight="false" outlineLevel="0" collapsed="false">
      <c r="A214" s="49" t="str">
        <f aca="false">IFERROR(MATCH(206,TblApplications[Rang frise],0),"")</f>
        <v/>
      </c>
      <c r="B214" s="50" t="str">
        <f aca="false">IF($A214="","",INDEX(TblApplications[ID],$A214))</f>
        <v/>
      </c>
      <c r="C214" s="50" t="str">
        <f aca="false">IF($A214="","",INDEX(TblApplications[Application],$A214))</f>
        <v/>
      </c>
      <c r="D214" s="50" t="str">
        <f aca="false">IF($A214="","",INDEX(TblApplications[Environnement],$A214))</f>
        <v/>
      </c>
      <c r="E214" s="50" t="str">
        <f aca="false">IF($A214="","",INDEX(TblApplications[Couloir],$A214))</f>
        <v/>
      </c>
      <c r="F214" s="50" t="str">
        <f aca="false">IF($A214="","",INDEX(TblApplications[Action],$A214))</f>
        <v/>
      </c>
      <c r="G214" s="51" t="str">
        <f aca="false">IF(OR($A214="",G$8=""),"",IF($F214="Migré","ROKS",IF($F214="À décommissionner",IF(G$8&lt;$AS214,"IKS","Décom."),IF(OR($AQ214="",$AS214=""),"",IF(G$8&lt;$AQ214,"IKS",IF(G$8&lt;$AS214,IF(G$8=$AR214,"Bascule","Double run"),"ROKS"))))))</f>
        <v/>
      </c>
      <c r="H214" s="51" t="str">
        <f aca="false">IF(OR($A214="",H$8=""),"",IF($F214="Migré","ROKS",IF($F214="À décommissionner",IF(H$8&lt;$AS214,"IKS","Décom."),IF(OR($AQ214="",$AS214=""),"",IF(H$8&lt;$AQ214,"IKS",IF(H$8&lt;$AS214,IF(H$8=$AR214,"Bascule","Double run"),"ROKS"))))))</f>
        <v/>
      </c>
      <c r="I214" s="51" t="str">
        <f aca="false">IF(OR($A214="",I$8=""),"",IF($F214="Migré","ROKS",IF($F214="À décommissionner",IF(I$8&lt;$AS214,"IKS","Décom."),IF(OR($AQ214="",$AS214=""),"",IF(I$8&lt;$AQ214,"IKS",IF(I$8&lt;$AS214,IF(I$8=$AR214,"Bascule","Double run"),"ROKS"))))))</f>
        <v/>
      </c>
      <c r="J214" s="51" t="str">
        <f aca="false">IF(OR($A214="",J$8=""),"",IF($F214="Migré","ROKS",IF($F214="À décommissionner",IF(J$8&lt;$AS214,"IKS","Décom."),IF(OR($AQ214="",$AS214=""),"",IF(J$8&lt;$AQ214,"IKS",IF(J$8&lt;$AS214,IF(J$8=$AR214,"Bascule","Double run"),"ROKS"))))))</f>
        <v/>
      </c>
      <c r="K214" s="51" t="str">
        <f aca="false">IF(OR($A214="",K$8=""),"",IF($F214="Migré","ROKS",IF($F214="À décommissionner",IF(K$8&lt;$AS214,"IKS","Décom."),IF(OR($AQ214="",$AS214=""),"",IF(K$8&lt;$AQ214,"IKS",IF(K$8&lt;$AS214,IF(K$8=$AR214,"Bascule","Double run"),"ROKS"))))))</f>
        <v/>
      </c>
      <c r="L214" s="51" t="str">
        <f aca="false">IF(OR($A214="",L$8=""),"",IF($F214="Migré","ROKS",IF($F214="À décommissionner",IF(L$8&lt;$AS214,"IKS","Décom."),IF(OR($AQ214="",$AS214=""),"",IF(L$8&lt;$AQ214,"IKS",IF(L$8&lt;$AS214,IF(L$8=$AR214,"Bascule","Double run"),"ROKS"))))))</f>
        <v/>
      </c>
      <c r="M214" s="51" t="str">
        <f aca="false">IF(OR($A214="",M$8=""),"",IF($F214="Migré","ROKS",IF($F214="À décommissionner",IF(M$8&lt;$AS214,"IKS","Décom."),IF(OR($AQ214="",$AS214=""),"",IF(M$8&lt;$AQ214,"IKS",IF(M$8&lt;$AS214,IF(M$8=$AR214,"Bascule","Double run"),"ROKS"))))))</f>
        <v/>
      </c>
      <c r="N214" s="51" t="str">
        <f aca="false">IF(OR($A214="",N$8=""),"",IF($F214="Migré","ROKS",IF($F214="À décommissionner",IF(N$8&lt;$AS214,"IKS","Décom."),IF(OR($AQ214="",$AS214=""),"",IF(N$8&lt;$AQ214,"IKS",IF(N$8&lt;$AS214,IF(N$8=$AR214,"Bascule","Double run"),"ROKS"))))))</f>
        <v/>
      </c>
      <c r="O214" s="51" t="str">
        <f aca="false">IF(OR($A214="",O$8=""),"",IF($F214="Migré","ROKS",IF($F214="À décommissionner",IF(O$8&lt;$AS214,"IKS","Décom."),IF(OR($AQ214="",$AS214=""),"",IF(O$8&lt;$AQ214,"IKS",IF(O$8&lt;$AS214,IF(O$8=$AR214,"Bascule","Double run"),"ROKS"))))))</f>
        <v/>
      </c>
      <c r="P214" s="51" t="str">
        <f aca="false">IF(OR($A214="",P$8=""),"",IF($F214="Migré","ROKS",IF($F214="À décommissionner",IF(P$8&lt;$AS214,"IKS","Décom."),IF(OR($AQ214="",$AS214=""),"",IF(P$8&lt;$AQ214,"IKS",IF(P$8&lt;$AS214,IF(P$8=$AR214,"Bascule","Double run"),"ROKS"))))))</f>
        <v/>
      </c>
      <c r="Q214" s="51" t="str">
        <f aca="false">IF(OR($A214="",Q$8=""),"",IF($F214="Migré","ROKS",IF($F214="À décommissionner",IF(Q$8&lt;$AS214,"IKS","Décom."),IF(OR($AQ214="",$AS214=""),"",IF(Q$8&lt;$AQ214,"IKS",IF(Q$8&lt;$AS214,IF(Q$8=$AR214,"Bascule","Double run"),"ROKS"))))))</f>
        <v/>
      </c>
      <c r="R214" s="51" t="str">
        <f aca="false">IF(OR($A214="",R$8=""),"",IF($F214="Migré","ROKS",IF($F214="À décommissionner",IF(R$8&lt;$AS214,"IKS","Décom."),IF(OR($AQ214="",$AS214=""),"",IF(R$8&lt;$AQ214,"IKS",IF(R$8&lt;$AS214,IF(R$8=$AR214,"Bascule","Double run"),"ROKS"))))))</f>
        <v/>
      </c>
      <c r="S214" s="51" t="str">
        <f aca="false">IF(OR($A214="",S$8=""),"",IF($F214="Migré","ROKS",IF($F214="À décommissionner",IF(S$8&lt;$AS214,"IKS","Décom."),IF(OR($AQ214="",$AS214=""),"",IF(S$8&lt;$AQ214,"IKS",IF(S$8&lt;$AS214,IF(S$8=$AR214,"Bascule","Double run"),"ROKS"))))))</f>
        <v/>
      </c>
      <c r="T214" s="51" t="str">
        <f aca="false">IF(OR($A214="",T$8=""),"",IF($F214="Migré","ROKS",IF($F214="À décommissionner",IF(T$8&lt;$AS214,"IKS","Décom."),IF(OR($AQ214="",$AS214=""),"",IF(T$8&lt;$AQ214,"IKS",IF(T$8&lt;$AS214,IF(T$8=$AR214,"Bascule","Double run"),"ROKS"))))))</f>
        <v/>
      </c>
      <c r="U214" s="51" t="str">
        <f aca="false">IF(OR($A214="",U$8=""),"",IF($F214="Migré","ROKS",IF($F214="À décommissionner",IF(U$8&lt;$AS214,"IKS","Décom."),IF(OR($AQ214="",$AS214=""),"",IF(U$8&lt;$AQ214,"IKS",IF(U$8&lt;$AS214,IF(U$8=$AR214,"Bascule","Double run"),"ROKS"))))))</f>
        <v/>
      </c>
      <c r="V214" s="51" t="str">
        <f aca="false">IF(OR($A214="",V$8=""),"",IF($F214="Migré","ROKS",IF($F214="À décommissionner",IF(V$8&lt;$AS214,"IKS","Décom."),IF(OR($AQ214="",$AS214=""),"",IF(V$8&lt;$AQ214,"IKS",IF(V$8&lt;$AS214,IF(V$8=$AR214,"Bascule","Double run"),"ROKS"))))))</f>
        <v/>
      </c>
      <c r="W214" s="51" t="str">
        <f aca="false">IF(OR($A214="",W$8=""),"",IF($F214="Migré","ROKS",IF($F214="À décommissionner",IF(W$8&lt;$AS214,"IKS","Décom."),IF(OR($AQ214="",$AS214=""),"",IF(W$8&lt;$AQ214,"IKS",IF(W$8&lt;$AS214,IF(W$8=$AR214,"Bascule","Double run"),"ROKS"))))))</f>
        <v/>
      </c>
      <c r="X214" s="51" t="str">
        <f aca="false">IF(OR($A214="",X$8=""),"",IF($F214="Migré","ROKS",IF($F214="À décommissionner",IF(X$8&lt;$AS214,"IKS","Décom."),IF(OR($AQ214="",$AS214=""),"",IF(X$8&lt;$AQ214,"IKS",IF(X$8&lt;$AS214,IF(X$8=$AR214,"Bascule","Double run"),"ROKS"))))))</f>
        <v/>
      </c>
      <c r="Y214" s="51" t="str">
        <f aca="false">IF(OR($A214="",Y$8=""),"",IF($F214="Migré","ROKS",IF($F214="À décommissionner",IF(Y$8&lt;$AS214,"IKS","Décom."),IF(OR($AQ214="",$AS214=""),"",IF(Y$8&lt;$AQ214,"IKS",IF(Y$8&lt;$AS214,IF(Y$8=$AR214,"Bascule","Double run"),"ROKS"))))))</f>
        <v/>
      </c>
      <c r="Z214" s="51" t="str">
        <f aca="false">IF(OR($A214="",Z$8=""),"",IF($F214="Migré","ROKS",IF($F214="À décommissionner",IF(Z$8&lt;$AS214,"IKS","Décom."),IF(OR($AQ214="",$AS214=""),"",IF(Z$8&lt;$AQ214,"IKS",IF(Z$8&lt;$AS214,IF(Z$8=$AR214,"Bascule","Double run"),"ROKS"))))))</f>
        <v/>
      </c>
      <c r="AA214" s="51" t="str">
        <f aca="false">IF(OR($A214="",AA$8=""),"",IF($F214="Migré","ROKS",IF($F214="À décommissionner",IF(AA$8&lt;$AS214,"IKS","Décom."),IF(OR($AQ214="",$AS214=""),"",IF(AA$8&lt;$AQ214,"IKS",IF(AA$8&lt;$AS214,IF(AA$8=$AR214,"Bascule","Double run"),"ROKS"))))))</f>
        <v/>
      </c>
      <c r="AB214" s="51" t="str">
        <f aca="false">IF(OR($A214="",AB$8=""),"",IF($F214="Migré","ROKS",IF($F214="À décommissionner",IF(AB$8&lt;$AS214,"IKS","Décom."),IF(OR($AQ214="",$AS214=""),"",IF(AB$8&lt;$AQ214,"IKS",IF(AB$8&lt;$AS214,IF(AB$8=$AR214,"Bascule","Double run"),"ROKS"))))))</f>
        <v/>
      </c>
      <c r="AC214" s="51" t="str">
        <f aca="false">IF(OR($A214="",AC$8=""),"",IF($F214="Migré","ROKS",IF($F214="À décommissionner",IF(AC$8&lt;$AS214,"IKS","Décom."),IF(OR($AQ214="",$AS214=""),"",IF(AC$8&lt;$AQ214,"IKS",IF(AC$8&lt;$AS214,IF(AC$8=$AR214,"Bascule","Double run"),"ROKS"))))))</f>
        <v/>
      </c>
      <c r="AD214" s="51" t="str">
        <f aca="false">IF(OR($A214="",AD$8=""),"",IF($F214="Migré","ROKS",IF($F214="À décommissionner",IF(AD$8&lt;$AS214,"IKS","Décom."),IF(OR($AQ214="",$AS214=""),"",IF(AD$8&lt;$AQ214,"IKS",IF(AD$8&lt;$AS214,IF(AD$8=$AR214,"Bascule","Double run"),"ROKS"))))))</f>
        <v/>
      </c>
      <c r="AE214" s="51" t="str">
        <f aca="false">IF(OR($A214="",AE$8=""),"",IF($F214="Migré","ROKS",IF($F214="À décommissionner",IF(AE$8&lt;$AS214,"IKS","Décom."),IF(OR($AQ214="",$AS214=""),"",IF(AE$8&lt;$AQ214,"IKS",IF(AE$8&lt;$AS214,IF(AE$8=$AR214,"Bascule","Double run"),"ROKS"))))))</f>
        <v/>
      </c>
      <c r="AF214" s="51" t="str">
        <f aca="false">IF(OR($A214="",AF$8=""),"",IF($F214="Migré","ROKS",IF($F214="À décommissionner",IF(AF$8&lt;$AS214,"IKS","Décom."),IF(OR($AQ214="",$AS214=""),"",IF(AF$8&lt;$AQ214,"IKS",IF(AF$8&lt;$AS214,IF(AF$8=$AR214,"Bascule","Double run"),"ROKS"))))))</f>
        <v/>
      </c>
      <c r="AG214" s="51" t="str">
        <f aca="false">IF(OR($A214="",AG$8=""),"",IF($F214="Migré","ROKS",IF($F214="À décommissionner",IF(AG$8&lt;$AS214,"IKS","Décom."),IF(OR($AQ214="",$AS214=""),"",IF(AG$8&lt;$AQ214,"IKS",IF(AG$8&lt;$AS214,IF(AG$8=$AR214,"Bascule","Double run"),"ROKS"))))))</f>
        <v/>
      </c>
      <c r="AH214" s="51" t="str">
        <f aca="false">IF(OR($A214="",AH$8=""),"",IF($F214="Migré","ROKS",IF($F214="À décommissionner",IF(AH$8&lt;$AS214,"IKS","Décom."),IF(OR($AQ214="",$AS214=""),"",IF(AH$8&lt;$AQ214,"IKS",IF(AH$8&lt;$AS214,IF(AH$8=$AR214,"Bascule","Double run"),"ROKS"))))))</f>
        <v/>
      </c>
      <c r="AI214" s="51" t="str">
        <f aca="false">IF(OR($A214="",AI$8=""),"",IF($F214="Migré","ROKS",IF($F214="À décommissionner",IF(AI$8&lt;$AS214,"IKS","Décom."),IF(OR($AQ214="",$AS214=""),"",IF(AI$8&lt;$AQ214,"IKS",IF(AI$8&lt;$AS214,IF(AI$8=$AR214,"Bascule","Double run"),"ROKS"))))))</f>
        <v/>
      </c>
      <c r="AJ214" s="51" t="str">
        <f aca="false">IF(OR($A214="",AJ$8=""),"",IF($F214="Migré","ROKS",IF($F214="À décommissionner",IF(AJ$8&lt;$AS214,"IKS","Décom."),IF(OR($AQ214="",$AS214=""),"",IF(AJ$8&lt;$AQ214,"IKS",IF(AJ$8&lt;$AS214,IF(AJ$8=$AR214,"Bascule","Double run"),"ROKS"))))))</f>
        <v/>
      </c>
      <c r="AK214" s="51" t="str">
        <f aca="false">IF(OR($A214="",AK$8=""),"",IF($F214="Migré","ROKS",IF($F214="À décommissionner",IF(AK$8&lt;$AS214,"IKS","Décom."),IF(OR($AQ214="",$AS214=""),"",IF(AK$8&lt;$AQ214,"IKS",IF(AK$8&lt;$AS214,IF(AK$8=$AR214,"Bascule","Double run"),"ROKS"))))))</f>
        <v/>
      </c>
      <c r="AL214" s="51" t="str">
        <f aca="false">IF(OR($A214="",AL$8=""),"",IF($F214="Migré","ROKS",IF($F214="À décommissionner",IF(AL$8&lt;$AS214,"IKS","Décom."),IF(OR($AQ214="",$AS214=""),"",IF(AL$8&lt;$AQ214,"IKS",IF(AL$8&lt;$AS214,IF(AL$8=$AR214,"Bascule","Double run"),"ROKS"))))))</f>
        <v/>
      </c>
      <c r="AM214" s="51" t="str">
        <f aca="false">IF(OR($A214="",AM$8=""),"",IF($F214="Migré","ROKS",IF($F214="À décommissionner",IF(AM$8&lt;$AS214,"IKS","Décom."),IF(OR($AQ214="",$AS214=""),"",IF(AM$8&lt;$AQ214,"IKS",IF(AM$8&lt;$AS214,IF(AM$8=$AR214,"Bascule","Double run"),"ROKS"))))))</f>
        <v/>
      </c>
      <c r="AN214" s="51" t="str">
        <f aca="false">IF(OR($A214="",AN$8=""),"",IF($F214="Migré","ROKS",IF($F214="À décommissionner",IF(AN$8&lt;$AS214,"IKS","Décom."),IF(OR($AQ214="",$AS214=""),"",IF(AN$8&lt;$AQ214,"IKS",IF(AN$8&lt;$AS214,IF(AN$8=$AR214,"Bascule","Double run"),"ROKS"))))))</f>
        <v/>
      </c>
      <c r="AO214" s="51" t="str">
        <f aca="false">IF(OR($A214="",AO$8=""),"",IF($F214="Migré","ROKS",IF($F214="À décommissionner",IF(AO$8&lt;$AS214,"IKS","Décom."),IF(OR($AQ214="",$AS214=""),"",IF(AO$8&lt;$AQ214,"IKS",IF(AO$8&lt;$AS214,IF(AO$8=$AR214,"Bascule","Double run"),"ROKS"))))))</f>
        <v/>
      </c>
      <c r="AP214" s="51" t="str">
        <f aca="false">IF(OR($A214="",AP$8=""),"",IF($F214="Migré","ROKS",IF($F214="À décommissionner",IF(AP$8&lt;$AS214,"IKS","Décom."),IF(OR($AQ214="",$AS214=""),"",IF(AP$8&lt;$AQ214,"IKS",IF(AP$8&lt;$AS214,IF(AP$8=$AR214,"Bascule","Double run"),"ROKS"))))))</f>
        <v/>
      </c>
      <c r="AQ214" s="0" t="str">
        <f aca="false">IF($A214="","",INDEX(TblApplications[Mois prov (calc)],$A214))</f>
        <v/>
      </c>
      <c r="AR214" s="0" t="str">
        <f aca="false">IF($A214="","",IFERROR(DATE(YEAR(INDEX(TblApplications[Mois bascule],$A214)),MONTH(INDEX(TblApplications[Mois bascule],$A214)),1),""))</f>
        <v/>
      </c>
      <c r="AS214" s="0" t="str">
        <f aca="false">IF($A214="","",INDEX(TblApplications[Mois lib (calc)],$A214))</f>
        <v/>
      </c>
    </row>
    <row r="215" customFormat="false" ht="15" hidden="false" customHeight="false" outlineLevel="0" collapsed="false">
      <c r="A215" s="49" t="str">
        <f aca="false">IFERROR(MATCH(207,TblApplications[Rang frise],0),"")</f>
        <v/>
      </c>
      <c r="B215" s="50" t="str">
        <f aca="false">IF($A215="","",INDEX(TblApplications[ID],$A215))</f>
        <v/>
      </c>
      <c r="C215" s="50" t="str">
        <f aca="false">IF($A215="","",INDEX(TblApplications[Application],$A215))</f>
        <v/>
      </c>
      <c r="D215" s="50" t="str">
        <f aca="false">IF($A215="","",INDEX(TblApplications[Environnement],$A215))</f>
        <v/>
      </c>
      <c r="E215" s="50" t="str">
        <f aca="false">IF($A215="","",INDEX(TblApplications[Couloir],$A215))</f>
        <v/>
      </c>
      <c r="F215" s="50" t="str">
        <f aca="false">IF($A215="","",INDEX(TblApplications[Action],$A215))</f>
        <v/>
      </c>
      <c r="G215" s="51" t="str">
        <f aca="false">IF(OR($A215="",G$8=""),"",IF($F215="Migré","ROKS",IF($F215="À décommissionner",IF(G$8&lt;$AS215,"IKS","Décom."),IF(OR($AQ215="",$AS215=""),"",IF(G$8&lt;$AQ215,"IKS",IF(G$8&lt;$AS215,IF(G$8=$AR215,"Bascule","Double run"),"ROKS"))))))</f>
        <v/>
      </c>
      <c r="H215" s="51" t="str">
        <f aca="false">IF(OR($A215="",H$8=""),"",IF($F215="Migré","ROKS",IF($F215="À décommissionner",IF(H$8&lt;$AS215,"IKS","Décom."),IF(OR($AQ215="",$AS215=""),"",IF(H$8&lt;$AQ215,"IKS",IF(H$8&lt;$AS215,IF(H$8=$AR215,"Bascule","Double run"),"ROKS"))))))</f>
        <v/>
      </c>
      <c r="I215" s="51" t="str">
        <f aca="false">IF(OR($A215="",I$8=""),"",IF($F215="Migré","ROKS",IF($F215="À décommissionner",IF(I$8&lt;$AS215,"IKS","Décom."),IF(OR($AQ215="",$AS215=""),"",IF(I$8&lt;$AQ215,"IKS",IF(I$8&lt;$AS215,IF(I$8=$AR215,"Bascule","Double run"),"ROKS"))))))</f>
        <v/>
      </c>
      <c r="J215" s="51" t="str">
        <f aca="false">IF(OR($A215="",J$8=""),"",IF($F215="Migré","ROKS",IF($F215="À décommissionner",IF(J$8&lt;$AS215,"IKS","Décom."),IF(OR($AQ215="",$AS215=""),"",IF(J$8&lt;$AQ215,"IKS",IF(J$8&lt;$AS215,IF(J$8=$AR215,"Bascule","Double run"),"ROKS"))))))</f>
        <v/>
      </c>
      <c r="K215" s="51" t="str">
        <f aca="false">IF(OR($A215="",K$8=""),"",IF($F215="Migré","ROKS",IF($F215="À décommissionner",IF(K$8&lt;$AS215,"IKS","Décom."),IF(OR($AQ215="",$AS215=""),"",IF(K$8&lt;$AQ215,"IKS",IF(K$8&lt;$AS215,IF(K$8=$AR215,"Bascule","Double run"),"ROKS"))))))</f>
        <v/>
      </c>
      <c r="L215" s="51" t="str">
        <f aca="false">IF(OR($A215="",L$8=""),"",IF($F215="Migré","ROKS",IF($F215="À décommissionner",IF(L$8&lt;$AS215,"IKS","Décom."),IF(OR($AQ215="",$AS215=""),"",IF(L$8&lt;$AQ215,"IKS",IF(L$8&lt;$AS215,IF(L$8=$AR215,"Bascule","Double run"),"ROKS"))))))</f>
        <v/>
      </c>
      <c r="M215" s="51" t="str">
        <f aca="false">IF(OR($A215="",M$8=""),"",IF($F215="Migré","ROKS",IF($F215="À décommissionner",IF(M$8&lt;$AS215,"IKS","Décom."),IF(OR($AQ215="",$AS215=""),"",IF(M$8&lt;$AQ215,"IKS",IF(M$8&lt;$AS215,IF(M$8=$AR215,"Bascule","Double run"),"ROKS"))))))</f>
        <v/>
      </c>
      <c r="N215" s="51" t="str">
        <f aca="false">IF(OR($A215="",N$8=""),"",IF($F215="Migré","ROKS",IF($F215="À décommissionner",IF(N$8&lt;$AS215,"IKS","Décom."),IF(OR($AQ215="",$AS215=""),"",IF(N$8&lt;$AQ215,"IKS",IF(N$8&lt;$AS215,IF(N$8=$AR215,"Bascule","Double run"),"ROKS"))))))</f>
        <v/>
      </c>
      <c r="O215" s="51" t="str">
        <f aca="false">IF(OR($A215="",O$8=""),"",IF($F215="Migré","ROKS",IF($F215="À décommissionner",IF(O$8&lt;$AS215,"IKS","Décom."),IF(OR($AQ215="",$AS215=""),"",IF(O$8&lt;$AQ215,"IKS",IF(O$8&lt;$AS215,IF(O$8=$AR215,"Bascule","Double run"),"ROKS"))))))</f>
        <v/>
      </c>
      <c r="P215" s="51" t="str">
        <f aca="false">IF(OR($A215="",P$8=""),"",IF($F215="Migré","ROKS",IF($F215="À décommissionner",IF(P$8&lt;$AS215,"IKS","Décom."),IF(OR($AQ215="",$AS215=""),"",IF(P$8&lt;$AQ215,"IKS",IF(P$8&lt;$AS215,IF(P$8=$AR215,"Bascule","Double run"),"ROKS"))))))</f>
        <v/>
      </c>
      <c r="Q215" s="51" t="str">
        <f aca="false">IF(OR($A215="",Q$8=""),"",IF($F215="Migré","ROKS",IF($F215="À décommissionner",IF(Q$8&lt;$AS215,"IKS","Décom."),IF(OR($AQ215="",$AS215=""),"",IF(Q$8&lt;$AQ215,"IKS",IF(Q$8&lt;$AS215,IF(Q$8=$AR215,"Bascule","Double run"),"ROKS"))))))</f>
        <v/>
      </c>
      <c r="R215" s="51" t="str">
        <f aca="false">IF(OR($A215="",R$8=""),"",IF($F215="Migré","ROKS",IF($F215="À décommissionner",IF(R$8&lt;$AS215,"IKS","Décom."),IF(OR($AQ215="",$AS215=""),"",IF(R$8&lt;$AQ215,"IKS",IF(R$8&lt;$AS215,IF(R$8=$AR215,"Bascule","Double run"),"ROKS"))))))</f>
        <v/>
      </c>
      <c r="S215" s="51" t="str">
        <f aca="false">IF(OR($A215="",S$8=""),"",IF($F215="Migré","ROKS",IF($F215="À décommissionner",IF(S$8&lt;$AS215,"IKS","Décom."),IF(OR($AQ215="",$AS215=""),"",IF(S$8&lt;$AQ215,"IKS",IF(S$8&lt;$AS215,IF(S$8=$AR215,"Bascule","Double run"),"ROKS"))))))</f>
        <v/>
      </c>
      <c r="T215" s="51" t="str">
        <f aca="false">IF(OR($A215="",T$8=""),"",IF($F215="Migré","ROKS",IF($F215="À décommissionner",IF(T$8&lt;$AS215,"IKS","Décom."),IF(OR($AQ215="",$AS215=""),"",IF(T$8&lt;$AQ215,"IKS",IF(T$8&lt;$AS215,IF(T$8=$AR215,"Bascule","Double run"),"ROKS"))))))</f>
        <v/>
      </c>
      <c r="U215" s="51" t="str">
        <f aca="false">IF(OR($A215="",U$8=""),"",IF($F215="Migré","ROKS",IF($F215="À décommissionner",IF(U$8&lt;$AS215,"IKS","Décom."),IF(OR($AQ215="",$AS215=""),"",IF(U$8&lt;$AQ215,"IKS",IF(U$8&lt;$AS215,IF(U$8=$AR215,"Bascule","Double run"),"ROKS"))))))</f>
        <v/>
      </c>
      <c r="V215" s="51" t="str">
        <f aca="false">IF(OR($A215="",V$8=""),"",IF($F215="Migré","ROKS",IF($F215="À décommissionner",IF(V$8&lt;$AS215,"IKS","Décom."),IF(OR($AQ215="",$AS215=""),"",IF(V$8&lt;$AQ215,"IKS",IF(V$8&lt;$AS215,IF(V$8=$AR215,"Bascule","Double run"),"ROKS"))))))</f>
        <v/>
      </c>
      <c r="W215" s="51" t="str">
        <f aca="false">IF(OR($A215="",W$8=""),"",IF($F215="Migré","ROKS",IF($F215="À décommissionner",IF(W$8&lt;$AS215,"IKS","Décom."),IF(OR($AQ215="",$AS215=""),"",IF(W$8&lt;$AQ215,"IKS",IF(W$8&lt;$AS215,IF(W$8=$AR215,"Bascule","Double run"),"ROKS"))))))</f>
        <v/>
      </c>
      <c r="X215" s="51" t="str">
        <f aca="false">IF(OR($A215="",X$8=""),"",IF($F215="Migré","ROKS",IF($F215="À décommissionner",IF(X$8&lt;$AS215,"IKS","Décom."),IF(OR($AQ215="",$AS215=""),"",IF(X$8&lt;$AQ215,"IKS",IF(X$8&lt;$AS215,IF(X$8=$AR215,"Bascule","Double run"),"ROKS"))))))</f>
        <v/>
      </c>
      <c r="Y215" s="51" t="str">
        <f aca="false">IF(OR($A215="",Y$8=""),"",IF($F215="Migré","ROKS",IF($F215="À décommissionner",IF(Y$8&lt;$AS215,"IKS","Décom."),IF(OR($AQ215="",$AS215=""),"",IF(Y$8&lt;$AQ215,"IKS",IF(Y$8&lt;$AS215,IF(Y$8=$AR215,"Bascule","Double run"),"ROKS"))))))</f>
        <v/>
      </c>
      <c r="Z215" s="51" t="str">
        <f aca="false">IF(OR($A215="",Z$8=""),"",IF($F215="Migré","ROKS",IF($F215="À décommissionner",IF(Z$8&lt;$AS215,"IKS","Décom."),IF(OR($AQ215="",$AS215=""),"",IF(Z$8&lt;$AQ215,"IKS",IF(Z$8&lt;$AS215,IF(Z$8=$AR215,"Bascule","Double run"),"ROKS"))))))</f>
        <v/>
      </c>
      <c r="AA215" s="51" t="str">
        <f aca="false">IF(OR($A215="",AA$8=""),"",IF($F215="Migré","ROKS",IF($F215="À décommissionner",IF(AA$8&lt;$AS215,"IKS","Décom."),IF(OR($AQ215="",$AS215=""),"",IF(AA$8&lt;$AQ215,"IKS",IF(AA$8&lt;$AS215,IF(AA$8=$AR215,"Bascule","Double run"),"ROKS"))))))</f>
        <v/>
      </c>
      <c r="AB215" s="51" t="str">
        <f aca="false">IF(OR($A215="",AB$8=""),"",IF($F215="Migré","ROKS",IF($F215="À décommissionner",IF(AB$8&lt;$AS215,"IKS","Décom."),IF(OR($AQ215="",$AS215=""),"",IF(AB$8&lt;$AQ215,"IKS",IF(AB$8&lt;$AS215,IF(AB$8=$AR215,"Bascule","Double run"),"ROKS"))))))</f>
        <v/>
      </c>
      <c r="AC215" s="51" t="str">
        <f aca="false">IF(OR($A215="",AC$8=""),"",IF($F215="Migré","ROKS",IF($F215="À décommissionner",IF(AC$8&lt;$AS215,"IKS","Décom."),IF(OR($AQ215="",$AS215=""),"",IF(AC$8&lt;$AQ215,"IKS",IF(AC$8&lt;$AS215,IF(AC$8=$AR215,"Bascule","Double run"),"ROKS"))))))</f>
        <v/>
      </c>
      <c r="AD215" s="51" t="str">
        <f aca="false">IF(OR($A215="",AD$8=""),"",IF($F215="Migré","ROKS",IF($F215="À décommissionner",IF(AD$8&lt;$AS215,"IKS","Décom."),IF(OR($AQ215="",$AS215=""),"",IF(AD$8&lt;$AQ215,"IKS",IF(AD$8&lt;$AS215,IF(AD$8=$AR215,"Bascule","Double run"),"ROKS"))))))</f>
        <v/>
      </c>
      <c r="AE215" s="51" t="str">
        <f aca="false">IF(OR($A215="",AE$8=""),"",IF($F215="Migré","ROKS",IF($F215="À décommissionner",IF(AE$8&lt;$AS215,"IKS","Décom."),IF(OR($AQ215="",$AS215=""),"",IF(AE$8&lt;$AQ215,"IKS",IF(AE$8&lt;$AS215,IF(AE$8=$AR215,"Bascule","Double run"),"ROKS"))))))</f>
        <v/>
      </c>
      <c r="AF215" s="51" t="str">
        <f aca="false">IF(OR($A215="",AF$8=""),"",IF($F215="Migré","ROKS",IF($F215="À décommissionner",IF(AF$8&lt;$AS215,"IKS","Décom."),IF(OR($AQ215="",$AS215=""),"",IF(AF$8&lt;$AQ215,"IKS",IF(AF$8&lt;$AS215,IF(AF$8=$AR215,"Bascule","Double run"),"ROKS"))))))</f>
        <v/>
      </c>
      <c r="AG215" s="51" t="str">
        <f aca="false">IF(OR($A215="",AG$8=""),"",IF($F215="Migré","ROKS",IF($F215="À décommissionner",IF(AG$8&lt;$AS215,"IKS","Décom."),IF(OR($AQ215="",$AS215=""),"",IF(AG$8&lt;$AQ215,"IKS",IF(AG$8&lt;$AS215,IF(AG$8=$AR215,"Bascule","Double run"),"ROKS"))))))</f>
        <v/>
      </c>
      <c r="AH215" s="51" t="str">
        <f aca="false">IF(OR($A215="",AH$8=""),"",IF($F215="Migré","ROKS",IF($F215="À décommissionner",IF(AH$8&lt;$AS215,"IKS","Décom."),IF(OR($AQ215="",$AS215=""),"",IF(AH$8&lt;$AQ215,"IKS",IF(AH$8&lt;$AS215,IF(AH$8=$AR215,"Bascule","Double run"),"ROKS"))))))</f>
        <v/>
      </c>
      <c r="AI215" s="51" t="str">
        <f aca="false">IF(OR($A215="",AI$8=""),"",IF($F215="Migré","ROKS",IF($F215="À décommissionner",IF(AI$8&lt;$AS215,"IKS","Décom."),IF(OR($AQ215="",$AS215=""),"",IF(AI$8&lt;$AQ215,"IKS",IF(AI$8&lt;$AS215,IF(AI$8=$AR215,"Bascule","Double run"),"ROKS"))))))</f>
        <v/>
      </c>
      <c r="AJ215" s="51" t="str">
        <f aca="false">IF(OR($A215="",AJ$8=""),"",IF($F215="Migré","ROKS",IF($F215="À décommissionner",IF(AJ$8&lt;$AS215,"IKS","Décom."),IF(OR($AQ215="",$AS215=""),"",IF(AJ$8&lt;$AQ215,"IKS",IF(AJ$8&lt;$AS215,IF(AJ$8=$AR215,"Bascule","Double run"),"ROKS"))))))</f>
        <v/>
      </c>
      <c r="AK215" s="51" t="str">
        <f aca="false">IF(OR($A215="",AK$8=""),"",IF($F215="Migré","ROKS",IF($F215="À décommissionner",IF(AK$8&lt;$AS215,"IKS","Décom."),IF(OR($AQ215="",$AS215=""),"",IF(AK$8&lt;$AQ215,"IKS",IF(AK$8&lt;$AS215,IF(AK$8=$AR215,"Bascule","Double run"),"ROKS"))))))</f>
        <v/>
      </c>
      <c r="AL215" s="51" t="str">
        <f aca="false">IF(OR($A215="",AL$8=""),"",IF($F215="Migré","ROKS",IF($F215="À décommissionner",IF(AL$8&lt;$AS215,"IKS","Décom."),IF(OR($AQ215="",$AS215=""),"",IF(AL$8&lt;$AQ215,"IKS",IF(AL$8&lt;$AS215,IF(AL$8=$AR215,"Bascule","Double run"),"ROKS"))))))</f>
        <v/>
      </c>
      <c r="AM215" s="51" t="str">
        <f aca="false">IF(OR($A215="",AM$8=""),"",IF($F215="Migré","ROKS",IF($F215="À décommissionner",IF(AM$8&lt;$AS215,"IKS","Décom."),IF(OR($AQ215="",$AS215=""),"",IF(AM$8&lt;$AQ215,"IKS",IF(AM$8&lt;$AS215,IF(AM$8=$AR215,"Bascule","Double run"),"ROKS"))))))</f>
        <v/>
      </c>
      <c r="AN215" s="51" t="str">
        <f aca="false">IF(OR($A215="",AN$8=""),"",IF($F215="Migré","ROKS",IF($F215="À décommissionner",IF(AN$8&lt;$AS215,"IKS","Décom."),IF(OR($AQ215="",$AS215=""),"",IF(AN$8&lt;$AQ215,"IKS",IF(AN$8&lt;$AS215,IF(AN$8=$AR215,"Bascule","Double run"),"ROKS"))))))</f>
        <v/>
      </c>
      <c r="AO215" s="51" t="str">
        <f aca="false">IF(OR($A215="",AO$8=""),"",IF($F215="Migré","ROKS",IF($F215="À décommissionner",IF(AO$8&lt;$AS215,"IKS","Décom."),IF(OR($AQ215="",$AS215=""),"",IF(AO$8&lt;$AQ215,"IKS",IF(AO$8&lt;$AS215,IF(AO$8=$AR215,"Bascule","Double run"),"ROKS"))))))</f>
        <v/>
      </c>
      <c r="AP215" s="51" t="str">
        <f aca="false">IF(OR($A215="",AP$8=""),"",IF($F215="Migré","ROKS",IF($F215="À décommissionner",IF(AP$8&lt;$AS215,"IKS","Décom."),IF(OR($AQ215="",$AS215=""),"",IF(AP$8&lt;$AQ215,"IKS",IF(AP$8&lt;$AS215,IF(AP$8=$AR215,"Bascule","Double run"),"ROKS"))))))</f>
        <v/>
      </c>
      <c r="AQ215" s="0" t="str">
        <f aca="false">IF($A215="","",INDEX(TblApplications[Mois prov (calc)],$A215))</f>
        <v/>
      </c>
      <c r="AR215" s="0" t="str">
        <f aca="false">IF($A215="","",IFERROR(DATE(YEAR(INDEX(TblApplications[Mois bascule],$A215)),MONTH(INDEX(TblApplications[Mois bascule],$A215)),1),""))</f>
        <v/>
      </c>
      <c r="AS215" s="0" t="str">
        <f aca="false">IF($A215="","",INDEX(TblApplications[Mois lib (calc)],$A215))</f>
        <v/>
      </c>
    </row>
    <row r="216" customFormat="false" ht="15" hidden="false" customHeight="false" outlineLevel="0" collapsed="false">
      <c r="A216" s="49" t="str">
        <f aca="false">IFERROR(MATCH(208,TblApplications[Rang frise],0),"")</f>
        <v/>
      </c>
      <c r="B216" s="50" t="str">
        <f aca="false">IF($A216="","",INDEX(TblApplications[ID],$A216))</f>
        <v/>
      </c>
      <c r="C216" s="50" t="str">
        <f aca="false">IF($A216="","",INDEX(TblApplications[Application],$A216))</f>
        <v/>
      </c>
      <c r="D216" s="50" t="str">
        <f aca="false">IF($A216="","",INDEX(TblApplications[Environnement],$A216))</f>
        <v/>
      </c>
      <c r="E216" s="50" t="str">
        <f aca="false">IF($A216="","",INDEX(TblApplications[Couloir],$A216))</f>
        <v/>
      </c>
      <c r="F216" s="50" t="str">
        <f aca="false">IF($A216="","",INDEX(TblApplications[Action],$A216))</f>
        <v/>
      </c>
      <c r="G216" s="51" t="str">
        <f aca="false">IF(OR($A216="",G$8=""),"",IF($F216="Migré","ROKS",IF($F216="À décommissionner",IF(G$8&lt;$AS216,"IKS","Décom."),IF(OR($AQ216="",$AS216=""),"",IF(G$8&lt;$AQ216,"IKS",IF(G$8&lt;$AS216,IF(G$8=$AR216,"Bascule","Double run"),"ROKS"))))))</f>
        <v/>
      </c>
      <c r="H216" s="51" t="str">
        <f aca="false">IF(OR($A216="",H$8=""),"",IF($F216="Migré","ROKS",IF($F216="À décommissionner",IF(H$8&lt;$AS216,"IKS","Décom."),IF(OR($AQ216="",$AS216=""),"",IF(H$8&lt;$AQ216,"IKS",IF(H$8&lt;$AS216,IF(H$8=$AR216,"Bascule","Double run"),"ROKS"))))))</f>
        <v/>
      </c>
      <c r="I216" s="51" t="str">
        <f aca="false">IF(OR($A216="",I$8=""),"",IF($F216="Migré","ROKS",IF($F216="À décommissionner",IF(I$8&lt;$AS216,"IKS","Décom."),IF(OR($AQ216="",$AS216=""),"",IF(I$8&lt;$AQ216,"IKS",IF(I$8&lt;$AS216,IF(I$8=$AR216,"Bascule","Double run"),"ROKS"))))))</f>
        <v/>
      </c>
      <c r="J216" s="51" t="str">
        <f aca="false">IF(OR($A216="",J$8=""),"",IF($F216="Migré","ROKS",IF($F216="À décommissionner",IF(J$8&lt;$AS216,"IKS","Décom."),IF(OR($AQ216="",$AS216=""),"",IF(J$8&lt;$AQ216,"IKS",IF(J$8&lt;$AS216,IF(J$8=$AR216,"Bascule","Double run"),"ROKS"))))))</f>
        <v/>
      </c>
      <c r="K216" s="51" t="str">
        <f aca="false">IF(OR($A216="",K$8=""),"",IF($F216="Migré","ROKS",IF($F216="À décommissionner",IF(K$8&lt;$AS216,"IKS","Décom."),IF(OR($AQ216="",$AS216=""),"",IF(K$8&lt;$AQ216,"IKS",IF(K$8&lt;$AS216,IF(K$8=$AR216,"Bascule","Double run"),"ROKS"))))))</f>
        <v/>
      </c>
      <c r="L216" s="51" t="str">
        <f aca="false">IF(OR($A216="",L$8=""),"",IF($F216="Migré","ROKS",IF($F216="À décommissionner",IF(L$8&lt;$AS216,"IKS","Décom."),IF(OR($AQ216="",$AS216=""),"",IF(L$8&lt;$AQ216,"IKS",IF(L$8&lt;$AS216,IF(L$8=$AR216,"Bascule","Double run"),"ROKS"))))))</f>
        <v/>
      </c>
      <c r="M216" s="51" t="str">
        <f aca="false">IF(OR($A216="",M$8=""),"",IF($F216="Migré","ROKS",IF($F216="À décommissionner",IF(M$8&lt;$AS216,"IKS","Décom."),IF(OR($AQ216="",$AS216=""),"",IF(M$8&lt;$AQ216,"IKS",IF(M$8&lt;$AS216,IF(M$8=$AR216,"Bascule","Double run"),"ROKS"))))))</f>
        <v/>
      </c>
      <c r="N216" s="51" t="str">
        <f aca="false">IF(OR($A216="",N$8=""),"",IF($F216="Migré","ROKS",IF($F216="À décommissionner",IF(N$8&lt;$AS216,"IKS","Décom."),IF(OR($AQ216="",$AS216=""),"",IF(N$8&lt;$AQ216,"IKS",IF(N$8&lt;$AS216,IF(N$8=$AR216,"Bascule","Double run"),"ROKS"))))))</f>
        <v/>
      </c>
      <c r="O216" s="51" t="str">
        <f aca="false">IF(OR($A216="",O$8=""),"",IF($F216="Migré","ROKS",IF($F216="À décommissionner",IF(O$8&lt;$AS216,"IKS","Décom."),IF(OR($AQ216="",$AS216=""),"",IF(O$8&lt;$AQ216,"IKS",IF(O$8&lt;$AS216,IF(O$8=$AR216,"Bascule","Double run"),"ROKS"))))))</f>
        <v/>
      </c>
      <c r="P216" s="51" t="str">
        <f aca="false">IF(OR($A216="",P$8=""),"",IF($F216="Migré","ROKS",IF($F216="À décommissionner",IF(P$8&lt;$AS216,"IKS","Décom."),IF(OR($AQ216="",$AS216=""),"",IF(P$8&lt;$AQ216,"IKS",IF(P$8&lt;$AS216,IF(P$8=$AR216,"Bascule","Double run"),"ROKS"))))))</f>
        <v/>
      </c>
      <c r="Q216" s="51" t="str">
        <f aca="false">IF(OR($A216="",Q$8=""),"",IF($F216="Migré","ROKS",IF($F216="À décommissionner",IF(Q$8&lt;$AS216,"IKS","Décom."),IF(OR($AQ216="",$AS216=""),"",IF(Q$8&lt;$AQ216,"IKS",IF(Q$8&lt;$AS216,IF(Q$8=$AR216,"Bascule","Double run"),"ROKS"))))))</f>
        <v/>
      </c>
      <c r="R216" s="51" t="str">
        <f aca="false">IF(OR($A216="",R$8=""),"",IF($F216="Migré","ROKS",IF($F216="À décommissionner",IF(R$8&lt;$AS216,"IKS","Décom."),IF(OR($AQ216="",$AS216=""),"",IF(R$8&lt;$AQ216,"IKS",IF(R$8&lt;$AS216,IF(R$8=$AR216,"Bascule","Double run"),"ROKS"))))))</f>
        <v/>
      </c>
      <c r="S216" s="51" t="str">
        <f aca="false">IF(OR($A216="",S$8=""),"",IF($F216="Migré","ROKS",IF($F216="À décommissionner",IF(S$8&lt;$AS216,"IKS","Décom."),IF(OR($AQ216="",$AS216=""),"",IF(S$8&lt;$AQ216,"IKS",IF(S$8&lt;$AS216,IF(S$8=$AR216,"Bascule","Double run"),"ROKS"))))))</f>
        <v/>
      </c>
      <c r="T216" s="51" t="str">
        <f aca="false">IF(OR($A216="",T$8=""),"",IF($F216="Migré","ROKS",IF($F216="À décommissionner",IF(T$8&lt;$AS216,"IKS","Décom."),IF(OR($AQ216="",$AS216=""),"",IF(T$8&lt;$AQ216,"IKS",IF(T$8&lt;$AS216,IF(T$8=$AR216,"Bascule","Double run"),"ROKS"))))))</f>
        <v/>
      </c>
      <c r="U216" s="51" t="str">
        <f aca="false">IF(OR($A216="",U$8=""),"",IF($F216="Migré","ROKS",IF($F216="À décommissionner",IF(U$8&lt;$AS216,"IKS","Décom."),IF(OR($AQ216="",$AS216=""),"",IF(U$8&lt;$AQ216,"IKS",IF(U$8&lt;$AS216,IF(U$8=$AR216,"Bascule","Double run"),"ROKS"))))))</f>
        <v/>
      </c>
      <c r="V216" s="51" t="str">
        <f aca="false">IF(OR($A216="",V$8=""),"",IF($F216="Migré","ROKS",IF($F216="À décommissionner",IF(V$8&lt;$AS216,"IKS","Décom."),IF(OR($AQ216="",$AS216=""),"",IF(V$8&lt;$AQ216,"IKS",IF(V$8&lt;$AS216,IF(V$8=$AR216,"Bascule","Double run"),"ROKS"))))))</f>
        <v/>
      </c>
      <c r="W216" s="51" t="str">
        <f aca="false">IF(OR($A216="",W$8=""),"",IF($F216="Migré","ROKS",IF($F216="À décommissionner",IF(W$8&lt;$AS216,"IKS","Décom."),IF(OR($AQ216="",$AS216=""),"",IF(W$8&lt;$AQ216,"IKS",IF(W$8&lt;$AS216,IF(W$8=$AR216,"Bascule","Double run"),"ROKS"))))))</f>
        <v/>
      </c>
      <c r="X216" s="51" t="str">
        <f aca="false">IF(OR($A216="",X$8=""),"",IF($F216="Migré","ROKS",IF($F216="À décommissionner",IF(X$8&lt;$AS216,"IKS","Décom."),IF(OR($AQ216="",$AS216=""),"",IF(X$8&lt;$AQ216,"IKS",IF(X$8&lt;$AS216,IF(X$8=$AR216,"Bascule","Double run"),"ROKS"))))))</f>
        <v/>
      </c>
      <c r="Y216" s="51" t="str">
        <f aca="false">IF(OR($A216="",Y$8=""),"",IF($F216="Migré","ROKS",IF($F216="À décommissionner",IF(Y$8&lt;$AS216,"IKS","Décom."),IF(OR($AQ216="",$AS216=""),"",IF(Y$8&lt;$AQ216,"IKS",IF(Y$8&lt;$AS216,IF(Y$8=$AR216,"Bascule","Double run"),"ROKS"))))))</f>
        <v/>
      </c>
      <c r="Z216" s="51" t="str">
        <f aca="false">IF(OR($A216="",Z$8=""),"",IF($F216="Migré","ROKS",IF($F216="À décommissionner",IF(Z$8&lt;$AS216,"IKS","Décom."),IF(OR($AQ216="",$AS216=""),"",IF(Z$8&lt;$AQ216,"IKS",IF(Z$8&lt;$AS216,IF(Z$8=$AR216,"Bascule","Double run"),"ROKS"))))))</f>
        <v/>
      </c>
      <c r="AA216" s="51" t="str">
        <f aca="false">IF(OR($A216="",AA$8=""),"",IF($F216="Migré","ROKS",IF($F216="À décommissionner",IF(AA$8&lt;$AS216,"IKS","Décom."),IF(OR($AQ216="",$AS216=""),"",IF(AA$8&lt;$AQ216,"IKS",IF(AA$8&lt;$AS216,IF(AA$8=$AR216,"Bascule","Double run"),"ROKS"))))))</f>
        <v/>
      </c>
      <c r="AB216" s="51" t="str">
        <f aca="false">IF(OR($A216="",AB$8=""),"",IF($F216="Migré","ROKS",IF($F216="À décommissionner",IF(AB$8&lt;$AS216,"IKS","Décom."),IF(OR($AQ216="",$AS216=""),"",IF(AB$8&lt;$AQ216,"IKS",IF(AB$8&lt;$AS216,IF(AB$8=$AR216,"Bascule","Double run"),"ROKS"))))))</f>
        <v/>
      </c>
      <c r="AC216" s="51" t="str">
        <f aca="false">IF(OR($A216="",AC$8=""),"",IF($F216="Migré","ROKS",IF($F216="À décommissionner",IF(AC$8&lt;$AS216,"IKS","Décom."),IF(OR($AQ216="",$AS216=""),"",IF(AC$8&lt;$AQ216,"IKS",IF(AC$8&lt;$AS216,IF(AC$8=$AR216,"Bascule","Double run"),"ROKS"))))))</f>
        <v/>
      </c>
      <c r="AD216" s="51" t="str">
        <f aca="false">IF(OR($A216="",AD$8=""),"",IF($F216="Migré","ROKS",IF($F216="À décommissionner",IF(AD$8&lt;$AS216,"IKS","Décom."),IF(OR($AQ216="",$AS216=""),"",IF(AD$8&lt;$AQ216,"IKS",IF(AD$8&lt;$AS216,IF(AD$8=$AR216,"Bascule","Double run"),"ROKS"))))))</f>
        <v/>
      </c>
      <c r="AE216" s="51" t="str">
        <f aca="false">IF(OR($A216="",AE$8=""),"",IF($F216="Migré","ROKS",IF($F216="À décommissionner",IF(AE$8&lt;$AS216,"IKS","Décom."),IF(OR($AQ216="",$AS216=""),"",IF(AE$8&lt;$AQ216,"IKS",IF(AE$8&lt;$AS216,IF(AE$8=$AR216,"Bascule","Double run"),"ROKS"))))))</f>
        <v/>
      </c>
      <c r="AF216" s="51" t="str">
        <f aca="false">IF(OR($A216="",AF$8=""),"",IF($F216="Migré","ROKS",IF($F216="À décommissionner",IF(AF$8&lt;$AS216,"IKS","Décom."),IF(OR($AQ216="",$AS216=""),"",IF(AF$8&lt;$AQ216,"IKS",IF(AF$8&lt;$AS216,IF(AF$8=$AR216,"Bascule","Double run"),"ROKS"))))))</f>
        <v/>
      </c>
      <c r="AG216" s="51" t="str">
        <f aca="false">IF(OR($A216="",AG$8=""),"",IF($F216="Migré","ROKS",IF($F216="À décommissionner",IF(AG$8&lt;$AS216,"IKS","Décom."),IF(OR($AQ216="",$AS216=""),"",IF(AG$8&lt;$AQ216,"IKS",IF(AG$8&lt;$AS216,IF(AG$8=$AR216,"Bascule","Double run"),"ROKS"))))))</f>
        <v/>
      </c>
      <c r="AH216" s="51" t="str">
        <f aca="false">IF(OR($A216="",AH$8=""),"",IF($F216="Migré","ROKS",IF($F216="À décommissionner",IF(AH$8&lt;$AS216,"IKS","Décom."),IF(OR($AQ216="",$AS216=""),"",IF(AH$8&lt;$AQ216,"IKS",IF(AH$8&lt;$AS216,IF(AH$8=$AR216,"Bascule","Double run"),"ROKS"))))))</f>
        <v/>
      </c>
      <c r="AI216" s="51" t="str">
        <f aca="false">IF(OR($A216="",AI$8=""),"",IF($F216="Migré","ROKS",IF($F216="À décommissionner",IF(AI$8&lt;$AS216,"IKS","Décom."),IF(OR($AQ216="",$AS216=""),"",IF(AI$8&lt;$AQ216,"IKS",IF(AI$8&lt;$AS216,IF(AI$8=$AR216,"Bascule","Double run"),"ROKS"))))))</f>
        <v/>
      </c>
      <c r="AJ216" s="51" t="str">
        <f aca="false">IF(OR($A216="",AJ$8=""),"",IF($F216="Migré","ROKS",IF($F216="À décommissionner",IF(AJ$8&lt;$AS216,"IKS","Décom."),IF(OR($AQ216="",$AS216=""),"",IF(AJ$8&lt;$AQ216,"IKS",IF(AJ$8&lt;$AS216,IF(AJ$8=$AR216,"Bascule","Double run"),"ROKS"))))))</f>
        <v/>
      </c>
      <c r="AK216" s="51" t="str">
        <f aca="false">IF(OR($A216="",AK$8=""),"",IF($F216="Migré","ROKS",IF($F216="À décommissionner",IF(AK$8&lt;$AS216,"IKS","Décom."),IF(OR($AQ216="",$AS216=""),"",IF(AK$8&lt;$AQ216,"IKS",IF(AK$8&lt;$AS216,IF(AK$8=$AR216,"Bascule","Double run"),"ROKS"))))))</f>
        <v/>
      </c>
      <c r="AL216" s="51" t="str">
        <f aca="false">IF(OR($A216="",AL$8=""),"",IF($F216="Migré","ROKS",IF($F216="À décommissionner",IF(AL$8&lt;$AS216,"IKS","Décom."),IF(OR($AQ216="",$AS216=""),"",IF(AL$8&lt;$AQ216,"IKS",IF(AL$8&lt;$AS216,IF(AL$8=$AR216,"Bascule","Double run"),"ROKS"))))))</f>
        <v/>
      </c>
      <c r="AM216" s="51" t="str">
        <f aca="false">IF(OR($A216="",AM$8=""),"",IF($F216="Migré","ROKS",IF($F216="À décommissionner",IF(AM$8&lt;$AS216,"IKS","Décom."),IF(OR($AQ216="",$AS216=""),"",IF(AM$8&lt;$AQ216,"IKS",IF(AM$8&lt;$AS216,IF(AM$8=$AR216,"Bascule","Double run"),"ROKS"))))))</f>
        <v/>
      </c>
      <c r="AN216" s="51" t="str">
        <f aca="false">IF(OR($A216="",AN$8=""),"",IF($F216="Migré","ROKS",IF($F216="À décommissionner",IF(AN$8&lt;$AS216,"IKS","Décom."),IF(OR($AQ216="",$AS216=""),"",IF(AN$8&lt;$AQ216,"IKS",IF(AN$8&lt;$AS216,IF(AN$8=$AR216,"Bascule","Double run"),"ROKS"))))))</f>
        <v/>
      </c>
      <c r="AO216" s="51" t="str">
        <f aca="false">IF(OR($A216="",AO$8=""),"",IF($F216="Migré","ROKS",IF($F216="À décommissionner",IF(AO$8&lt;$AS216,"IKS","Décom."),IF(OR($AQ216="",$AS216=""),"",IF(AO$8&lt;$AQ216,"IKS",IF(AO$8&lt;$AS216,IF(AO$8=$AR216,"Bascule","Double run"),"ROKS"))))))</f>
        <v/>
      </c>
      <c r="AP216" s="51" t="str">
        <f aca="false">IF(OR($A216="",AP$8=""),"",IF($F216="Migré","ROKS",IF($F216="À décommissionner",IF(AP$8&lt;$AS216,"IKS","Décom."),IF(OR($AQ216="",$AS216=""),"",IF(AP$8&lt;$AQ216,"IKS",IF(AP$8&lt;$AS216,IF(AP$8=$AR216,"Bascule","Double run"),"ROKS"))))))</f>
        <v/>
      </c>
      <c r="AQ216" s="0" t="str">
        <f aca="false">IF($A216="","",INDEX(TblApplications[Mois prov (calc)],$A216))</f>
        <v/>
      </c>
      <c r="AR216" s="0" t="str">
        <f aca="false">IF($A216="","",IFERROR(DATE(YEAR(INDEX(TblApplications[Mois bascule],$A216)),MONTH(INDEX(TblApplications[Mois bascule],$A216)),1),""))</f>
        <v/>
      </c>
      <c r="AS216" s="0" t="str">
        <f aca="false">IF($A216="","",INDEX(TblApplications[Mois lib (calc)],$A216))</f>
        <v/>
      </c>
    </row>
    <row r="217" customFormat="false" ht="15" hidden="false" customHeight="false" outlineLevel="0" collapsed="false">
      <c r="A217" s="49" t="str">
        <f aca="false">IFERROR(MATCH(209,TblApplications[Rang frise],0),"")</f>
        <v/>
      </c>
      <c r="B217" s="50" t="str">
        <f aca="false">IF($A217="","",INDEX(TblApplications[ID],$A217))</f>
        <v/>
      </c>
      <c r="C217" s="50" t="str">
        <f aca="false">IF($A217="","",INDEX(TblApplications[Application],$A217))</f>
        <v/>
      </c>
      <c r="D217" s="50" t="str">
        <f aca="false">IF($A217="","",INDEX(TblApplications[Environnement],$A217))</f>
        <v/>
      </c>
      <c r="E217" s="50" t="str">
        <f aca="false">IF($A217="","",INDEX(TblApplications[Couloir],$A217))</f>
        <v/>
      </c>
      <c r="F217" s="50" t="str">
        <f aca="false">IF($A217="","",INDEX(TblApplications[Action],$A217))</f>
        <v/>
      </c>
      <c r="G217" s="51" t="str">
        <f aca="false">IF(OR($A217="",G$8=""),"",IF($F217="Migré","ROKS",IF($F217="À décommissionner",IF(G$8&lt;$AS217,"IKS","Décom."),IF(OR($AQ217="",$AS217=""),"",IF(G$8&lt;$AQ217,"IKS",IF(G$8&lt;$AS217,IF(G$8=$AR217,"Bascule","Double run"),"ROKS"))))))</f>
        <v/>
      </c>
      <c r="H217" s="51" t="str">
        <f aca="false">IF(OR($A217="",H$8=""),"",IF($F217="Migré","ROKS",IF($F217="À décommissionner",IF(H$8&lt;$AS217,"IKS","Décom."),IF(OR($AQ217="",$AS217=""),"",IF(H$8&lt;$AQ217,"IKS",IF(H$8&lt;$AS217,IF(H$8=$AR217,"Bascule","Double run"),"ROKS"))))))</f>
        <v/>
      </c>
      <c r="I217" s="51" t="str">
        <f aca="false">IF(OR($A217="",I$8=""),"",IF($F217="Migré","ROKS",IF($F217="À décommissionner",IF(I$8&lt;$AS217,"IKS","Décom."),IF(OR($AQ217="",$AS217=""),"",IF(I$8&lt;$AQ217,"IKS",IF(I$8&lt;$AS217,IF(I$8=$AR217,"Bascule","Double run"),"ROKS"))))))</f>
        <v/>
      </c>
      <c r="J217" s="51" t="str">
        <f aca="false">IF(OR($A217="",J$8=""),"",IF($F217="Migré","ROKS",IF($F217="À décommissionner",IF(J$8&lt;$AS217,"IKS","Décom."),IF(OR($AQ217="",$AS217=""),"",IF(J$8&lt;$AQ217,"IKS",IF(J$8&lt;$AS217,IF(J$8=$AR217,"Bascule","Double run"),"ROKS"))))))</f>
        <v/>
      </c>
      <c r="K217" s="51" t="str">
        <f aca="false">IF(OR($A217="",K$8=""),"",IF($F217="Migré","ROKS",IF($F217="À décommissionner",IF(K$8&lt;$AS217,"IKS","Décom."),IF(OR($AQ217="",$AS217=""),"",IF(K$8&lt;$AQ217,"IKS",IF(K$8&lt;$AS217,IF(K$8=$AR217,"Bascule","Double run"),"ROKS"))))))</f>
        <v/>
      </c>
      <c r="L217" s="51" t="str">
        <f aca="false">IF(OR($A217="",L$8=""),"",IF($F217="Migré","ROKS",IF($F217="À décommissionner",IF(L$8&lt;$AS217,"IKS","Décom."),IF(OR($AQ217="",$AS217=""),"",IF(L$8&lt;$AQ217,"IKS",IF(L$8&lt;$AS217,IF(L$8=$AR217,"Bascule","Double run"),"ROKS"))))))</f>
        <v/>
      </c>
      <c r="M217" s="51" t="str">
        <f aca="false">IF(OR($A217="",M$8=""),"",IF($F217="Migré","ROKS",IF($F217="À décommissionner",IF(M$8&lt;$AS217,"IKS","Décom."),IF(OR($AQ217="",$AS217=""),"",IF(M$8&lt;$AQ217,"IKS",IF(M$8&lt;$AS217,IF(M$8=$AR217,"Bascule","Double run"),"ROKS"))))))</f>
        <v/>
      </c>
      <c r="N217" s="51" t="str">
        <f aca="false">IF(OR($A217="",N$8=""),"",IF($F217="Migré","ROKS",IF($F217="À décommissionner",IF(N$8&lt;$AS217,"IKS","Décom."),IF(OR($AQ217="",$AS217=""),"",IF(N$8&lt;$AQ217,"IKS",IF(N$8&lt;$AS217,IF(N$8=$AR217,"Bascule","Double run"),"ROKS"))))))</f>
        <v/>
      </c>
      <c r="O217" s="51" t="str">
        <f aca="false">IF(OR($A217="",O$8=""),"",IF($F217="Migré","ROKS",IF($F217="À décommissionner",IF(O$8&lt;$AS217,"IKS","Décom."),IF(OR($AQ217="",$AS217=""),"",IF(O$8&lt;$AQ217,"IKS",IF(O$8&lt;$AS217,IF(O$8=$AR217,"Bascule","Double run"),"ROKS"))))))</f>
        <v/>
      </c>
      <c r="P217" s="51" t="str">
        <f aca="false">IF(OR($A217="",P$8=""),"",IF($F217="Migré","ROKS",IF($F217="À décommissionner",IF(P$8&lt;$AS217,"IKS","Décom."),IF(OR($AQ217="",$AS217=""),"",IF(P$8&lt;$AQ217,"IKS",IF(P$8&lt;$AS217,IF(P$8=$AR217,"Bascule","Double run"),"ROKS"))))))</f>
        <v/>
      </c>
      <c r="Q217" s="51" t="str">
        <f aca="false">IF(OR($A217="",Q$8=""),"",IF($F217="Migré","ROKS",IF($F217="À décommissionner",IF(Q$8&lt;$AS217,"IKS","Décom."),IF(OR($AQ217="",$AS217=""),"",IF(Q$8&lt;$AQ217,"IKS",IF(Q$8&lt;$AS217,IF(Q$8=$AR217,"Bascule","Double run"),"ROKS"))))))</f>
        <v/>
      </c>
      <c r="R217" s="51" t="str">
        <f aca="false">IF(OR($A217="",R$8=""),"",IF($F217="Migré","ROKS",IF($F217="À décommissionner",IF(R$8&lt;$AS217,"IKS","Décom."),IF(OR($AQ217="",$AS217=""),"",IF(R$8&lt;$AQ217,"IKS",IF(R$8&lt;$AS217,IF(R$8=$AR217,"Bascule","Double run"),"ROKS"))))))</f>
        <v/>
      </c>
      <c r="S217" s="51" t="str">
        <f aca="false">IF(OR($A217="",S$8=""),"",IF($F217="Migré","ROKS",IF($F217="À décommissionner",IF(S$8&lt;$AS217,"IKS","Décom."),IF(OR($AQ217="",$AS217=""),"",IF(S$8&lt;$AQ217,"IKS",IF(S$8&lt;$AS217,IF(S$8=$AR217,"Bascule","Double run"),"ROKS"))))))</f>
        <v/>
      </c>
      <c r="T217" s="51" t="str">
        <f aca="false">IF(OR($A217="",T$8=""),"",IF($F217="Migré","ROKS",IF($F217="À décommissionner",IF(T$8&lt;$AS217,"IKS","Décom."),IF(OR($AQ217="",$AS217=""),"",IF(T$8&lt;$AQ217,"IKS",IF(T$8&lt;$AS217,IF(T$8=$AR217,"Bascule","Double run"),"ROKS"))))))</f>
        <v/>
      </c>
      <c r="U217" s="51" t="str">
        <f aca="false">IF(OR($A217="",U$8=""),"",IF($F217="Migré","ROKS",IF($F217="À décommissionner",IF(U$8&lt;$AS217,"IKS","Décom."),IF(OR($AQ217="",$AS217=""),"",IF(U$8&lt;$AQ217,"IKS",IF(U$8&lt;$AS217,IF(U$8=$AR217,"Bascule","Double run"),"ROKS"))))))</f>
        <v/>
      </c>
      <c r="V217" s="51" t="str">
        <f aca="false">IF(OR($A217="",V$8=""),"",IF($F217="Migré","ROKS",IF($F217="À décommissionner",IF(V$8&lt;$AS217,"IKS","Décom."),IF(OR($AQ217="",$AS217=""),"",IF(V$8&lt;$AQ217,"IKS",IF(V$8&lt;$AS217,IF(V$8=$AR217,"Bascule","Double run"),"ROKS"))))))</f>
        <v/>
      </c>
      <c r="W217" s="51" t="str">
        <f aca="false">IF(OR($A217="",W$8=""),"",IF($F217="Migré","ROKS",IF($F217="À décommissionner",IF(W$8&lt;$AS217,"IKS","Décom."),IF(OR($AQ217="",$AS217=""),"",IF(W$8&lt;$AQ217,"IKS",IF(W$8&lt;$AS217,IF(W$8=$AR217,"Bascule","Double run"),"ROKS"))))))</f>
        <v/>
      </c>
      <c r="X217" s="51" t="str">
        <f aca="false">IF(OR($A217="",X$8=""),"",IF($F217="Migré","ROKS",IF($F217="À décommissionner",IF(X$8&lt;$AS217,"IKS","Décom."),IF(OR($AQ217="",$AS217=""),"",IF(X$8&lt;$AQ217,"IKS",IF(X$8&lt;$AS217,IF(X$8=$AR217,"Bascule","Double run"),"ROKS"))))))</f>
        <v/>
      </c>
      <c r="Y217" s="51" t="str">
        <f aca="false">IF(OR($A217="",Y$8=""),"",IF($F217="Migré","ROKS",IF($F217="À décommissionner",IF(Y$8&lt;$AS217,"IKS","Décom."),IF(OR($AQ217="",$AS217=""),"",IF(Y$8&lt;$AQ217,"IKS",IF(Y$8&lt;$AS217,IF(Y$8=$AR217,"Bascule","Double run"),"ROKS"))))))</f>
        <v/>
      </c>
      <c r="Z217" s="51" t="str">
        <f aca="false">IF(OR($A217="",Z$8=""),"",IF($F217="Migré","ROKS",IF($F217="À décommissionner",IF(Z$8&lt;$AS217,"IKS","Décom."),IF(OR($AQ217="",$AS217=""),"",IF(Z$8&lt;$AQ217,"IKS",IF(Z$8&lt;$AS217,IF(Z$8=$AR217,"Bascule","Double run"),"ROKS"))))))</f>
        <v/>
      </c>
      <c r="AA217" s="51" t="str">
        <f aca="false">IF(OR($A217="",AA$8=""),"",IF($F217="Migré","ROKS",IF($F217="À décommissionner",IF(AA$8&lt;$AS217,"IKS","Décom."),IF(OR($AQ217="",$AS217=""),"",IF(AA$8&lt;$AQ217,"IKS",IF(AA$8&lt;$AS217,IF(AA$8=$AR217,"Bascule","Double run"),"ROKS"))))))</f>
        <v/>
      </c>
      <c r="AB217" s="51" t="str">
        <f aca="false">IF(OR($A217="",AB$8=""),"",IF($F217="Migré","ROKS",IF($F217="À décommissionner",IF(AB$8&lt;$AS217,"IKS","Décom."),IF(OR($AQ217="",$AS217=""),"",IF(AB$8&lt;$AQ217,"IKS",IF(AB$8&lt;$AS217,IF(AB$8=$AR217,"Bascule","Double run"),"ROKS"))))))</f>
        <v/>
      </c>
      <c r="AC217" s="51" t="str">
        <f aca="false">IF(OR($A217="",AC$8=""),"",IF($F217="Migré","ROKS",IF($F217="À décommissionner",IF(AC$8&lt;$AS217,"IKS","Décom."),IF(OR($AQ217="",$AS217=""),"",IF(AC$8&lt;$AQ217,"IKS",IF(AC$8&lt;$AS217,IF(AC$8=$AR217,"Bascule","Double run"),"ROKS"))))))</f>
        <v/>
      </c>
      <c r="AD217" s="51" t="str">
        <f aca="false">IF(OR($A217="",AD$8=""),"",IF($F217="Migré","ROKS",IF($F217="À décommissionner",IF(AD$8&lt;$AS217,"IKS","Décom."),IF(OR($AQ217="",$AS217=""),"",IF(AD$8&lt;$AQ217,"IKS",IF(AD$8&lt;$AS217,IF(AD$8=$AR217,"Bascule","Double run"),"ROKS"))))))</f>
        <v/>
      </c>
      <c r="AE217" s="51" t="str">
        <f aca="false">IF(OR($A217="",AE$8=""),"",IF($F217="Migré","ROKS",IF($F217="À décommissionner",IF(AE$8&lt;$AS217,"IKS","Décom."),IF(OR($AQ217="",$AS217=""),"",IF(AE$8&lt;$AQ217,"IKS",IF(AE$8&lt;$AS217,IF(AE$8=$AR217,"Bascule","Double run"),"ROKS"))))))</f>
        <v/>
      </c>
      <c r="AF217" s="51" t="str">
        <f aca="false">IF(OR($A217="",AF$8=""),"",IF($F217="Migré","ROKS",IF($F217="À décommissionner",IF(AF$8&lt;$AS217,"IKS","Décom."),IF(OR($AQ217="",$AS217=""),"",IF(AF$8&lt;$AQ217,"IKS",IF(AF$8&lt;$AS217,IF(AF$8=$AR217,"Bascule","Double run"),"ROKS"))))))</f>
        <v/>
      </c>
      <c r="AG217" s="51" t="str">
        <f aca="false">IF(OR($A217="",AG$8=""),"",IF($F217="Migré","ROKS",IF($F217="À décommissionner",IF(AG$8&lt;$AS217,"IKS","Décom."),IF(OR($AQ217="",$AS217=""),"",IF(AG$8&lt;$AQ217,"IKS",IF(AG$8&lt;$AS217,IF(AG$8=$AR217,"Bascule","Double run"),"ROKS"))))))</f>
        <v/>
      </c>
      <c r="AH217" s="51" t="str">
        <f aca="false">IF(OR($A217="",AH$8=""),"",IF($F217="Migré","ROKS",IF($F217="À décommissionner",IF(AH$8&lt;$AS217,"IKS","Décom."),IF(OR($AQ217="",$AS217=""),"",IF(AH$8&lt;$AQ217,"IKS",IF(AH$8&lt;$AS217,IF(AH$8=$AR217,"Bascule","Double run"),"ROKS"))))))</f>
        <v/>
      </c>
      <c r="AI217" s="51" t="str">
        <f aca="false">IF(OR($A217="",AI$8=""),"",IF($F217="Migré","ROKS",IF($F217="À décommissionner",IF(AI$8&lt;$AS217,"IKS","Décom."),IF(OR($AQ217="",$AS217=""),"",IF(AI$8&lt;$AQ217,"IKS",IF(AI$8&lt;$AS217,IF(AI$8=$AR217,"Bascule","Double run"),"ROKS"))))))</f>
        <v/>
      </c>
      <c r="AJ217" s="51" t="str">
        <f aca="false">IF(OR($A217="",AJ$8=""),"",IF($F217="Migré","ROKS",IF($F217="À décommissionner",IF(AJ$8&lt;$AS217,"IKS","Décom."),IF(OR($AQ217="",$AS217=""),"",IF(AJ$8&lt;$AQ217,"IKS",IF(AJ$8&lt;$AS217,IF(AJ$8=$AR217,"Bascule","Double run"),"ROKS"))))))</f>
        <v/>
      </c>
      <c r="AK217" s="51" t="str">
        <f aca="false">IF(OR($A217="",AK$8=""),"",IF($F217="Migré","ROKS",IF($F217="À décommissionner",IF(AK$8&lt;$AS217,"IKS","Décom."),IF(OR($AQ217="",$AS217=""),"",IF(AK$8&lt;$AQ217,"IKS",IF(AK$8&lt;$AS217,IF(AK$8=$AR217,"Bascule","Double run"),"ROKS"))))))</f>
        <v/>
      </c>
      <c r="AL217" s="51" t="str">
        <f aca="false">IF(OR($A217="",AL$8=""),"",IF($F217="Migré","ROKS",IF($F217="À décommissionner",IF(AL$8&lt;$AS217,"IKS","Décom."),IF(OR($AQ217="",$AS217=""),"",IF(AL$8&lt;$AQ217,"IKS",IF(AL$8&lt;$AS217,IF(AL$8=$AR217,"Bascule","Double run"),"ROKS"))))))</f>
        <v/>
      </c>
      <c r="AM217" s="51" t="str">
        <f aca="false">IF(OR($A217="",AM$8=""),"",IF($F217="Migré","ROKS",IF($F217="À décommissionner",IF(AM$8&lt;$AS217,"IKS","Décom."),IF(OR($AQ217="",$AS217=""),"",IF(AM$8&lt;$AQ217,"IKS",IF(AM$8&lt;$AS217,IF(AM$8=$AR217,"Bascule","Double run"),"ROKS"))))))</f>
        <v/>
      </c>
      <c r="AN217" s="51" t="str">
        <f aca="false">IF(OR($A217="",AN$8=""),"",IF($F217="Migré","ROKS",IF($F217="À décommissionner",IF(AN$8&lt;$AS217,"IKS","Décom."),IF(OR($AQ217="",$AS217=""),"",IF(AN$8&lt;$AQ217,"IKS",IF(AN$8&lt;$AS217,IF(AN$8=$AR217,"Bascule","Double run"),"ROKS"))))))</f>
        <v/>
      </c>
      <c r="AO217" s="51" t="str">
        <f aca="false">IF(OR($A217="",AO$8=""),"",IF($F217="Migré","ROKS",IF($F217="À décommissionner",IF(AO$8&lt;$AS217,"IKS","Décom."),IF(OR($AQ217="",$AS217=""),"",IF(AO$8&lt;$AQ217,"IKS",IF(AO$8&lt;$AS217,IF(AO$8=$AR217,"Bascule","Double run"),"ROKS"))))))</f>
        <v/>
      </c>
      <c r="AP217" s="51" t="str">
        <f aca="false">IF(OR($A217="",AP$8=""),"",IF($F217="Migré","ROKS",IF($F217="À décommissionner",IF(AP$8&lt;$AS217,"IKS","Décom."),IF(OR($AQ217="",$AS217=""),"",IF(AP$8&lt;$AQ217,"IKS",IF(AP$8&lt;$AS217,IF(AP$8=$AR217,"Bascule","Double run"),"ROKS"))))))</f>
        <v/>
      </c>
      <c r="AQ217" s="0" t="str">
        <f aca="false">IF($A217="","",INDEX(TblApplications[Mois prov (calc)],$A217))</f>
        <v/>
      </c>
      <c r="AR217" s="0" t="str">
        <f aca="false">IF($A217="","",IFERROR(DATE(YEAR(INDEX(TblApplications[Mois bascule],$A217)),MONTH(INDEX(TblApplications[Mois bascule],$A217)),1),""))</f>
        <v/>
      </c>
      <c r="AS217" s="0" t="str">
        <f aca="false">IF($A217="","",INDEX(TblApplications[Mois lib (calc)],$A217))</f>
        <v/>
      </c>
    </row>
    <row r="218" customFormat="false" ht="15" hidden="false" customHeight="false" outlineLevel="0" collapsed="false">
      <c r="A218" s="49" t="str">
        <f aca="false">IFERROR(MATCH(210,TblApplications[Rang frise],0),"")</f>
        <v/>
      </c>
      <c r="B218" s="50" t="str">
        <f aca="false">IF($A218="","",INDEX(TblApplications[ID],$A218))</f>
        <v/>
      </c>
      <c r="C218" s="50" t="str">
        <f aca="false">IF($A218="","",INDEX(TblApplications[Application],$A218))</f>
        <v/>
      </c>
      <c r="D218" s="50" t="str">
        <f aca="false">IF($A218="","",INDEX(TblApplications[Environnement],$A218))</f>
        <v/>
      </c>
      <c r="E218" s="50" t="str">
        <f aca="false">IF($A218="","",INDEX(TblApplications[Couloir],$A218))</f>
        <v/>
      </c>
      <c r="F218" s="50" t="str">
        <f aca="false">IF($A218="","",INDEX(TblApplications[Action],$A218))</f>
        <v/>
      </c>
      <c r="G218" s="51" t="str">
        <f aca="false">IF(OR($A218="",G$8=""),"",IF($F218="Migré","ROKS",IF($F218="À décommissionner",IF(G$8&lt;$AS218,"IKS","Décom."),IF(OR($AQ218="",$AS218=""),"",IF(G$8&lt;$AQ218,"IKS",IF(G$8&lt;$AS218,IF(G$8=$AR218,"Bascule","Double run"),"ROKS"))))))</f>
        <v/>
      </c>
      <c r="H218" s="51" t="str">
        <f aca="false">IF(OR($A218="",H$8=""),"",IF($F218="Migré","ROKS",IF($F218="À décommissionner",IF(H$8&lt;$AS218,"IKS","Décom."),IF(OR($AQ218="",$AS218=""),"",IF(H$8&lt;$AQ218,"IKS",IF(H$8&lt;$AS218,IF(H$8=$AR218,"Bascule","Double run"),"ROKS"))))))</f>
        <v/>
      </c>
      <c r="I218" s="51" t="str">
        <f aca="false">IF(OR($A218="",I$8=""),"",IF($F218="Migré","ROKS",IF($F218="À décommissionner",IF(I$8&lt;$AS218,"IKS","Décom."),IF(OR($AQ218="",$AS218=""),"",IF(I$8&lt;$AQ218,"IKS",IF(I$8&lt;$AS218,IF(I$8=$AR218,"Bascule","Double run"),"ROKS"))))))</f>
        <v/>
      </c>
      <c r="J218" s="51" t="str">
        <f aca="false">IF(OR($A218="",J$8=""),"",IF($F218="Migré","ROKS",IF($F218="À décommissionner",IF(J$8&lt;$AS218,"IKS","Décom."),IF(OR($AQ218="",$AS218=""),"",IF(J$8&lt;$AQ218,"IKS",IF(J$8&lt;$AS218,IF(J$8=$AR218,"Bascule","Double run"),"ROKS"))))))</f>
        <v/>
      </c>
      <c r="K218" s="51" t="str">
        <f aca="false">IF(OR($A218="",K$8=""),"",IF($F218="Migré","ROKS",IF($F218="À décommissionner",IF(K$8&lt;$AS218,"IKS","Décom."),IF(OR($AQ218="",$AS218=""),"",IF(K$8&lt;$AQ218,"IKS",IF(K$8&lt;$AS218,IF(K$8=$AR218,"Bascule","Double run"),"ROKS"))))))</f>
        <v/>
      </c>
      <c r="L218" s="51" t="str">
        <f aca="false">IF(OR($A218="",L$8=""),"",IF($F218="Migré","ROKS",IF($F218="À décommissionner",IF(L$8&lt;$AS218,"IKS","Décom."),IF(OR($AQ218="",$AS218=""),"",IF(L$8&lt;$AQ218,"IKS",IF(L$8&lt;$AS218,IF(L$8=$AR218,"Bascule","Double run"),"ROKS"))))))</f>
        <v/>
      </c>
      <c r="M218" s="51" t="str">
        <f aca="false">IF(OR($A218="",M$8=""),"",IF($F218="Migré","ROKS",IF($F218="À décommissionner",IF(M$8&lt;$AS218,"IKS","Décom."),IF(OR($AQ218="",$AS218=""),"",IF(M$8&lt;$AQ218,"IKS",IF(M$8&lt;$AS218,IF(M$8=$AR218,"Bascule","Double run"),"ROKS"))))))</f>
        <v/>
      </c>
      <c r="N218" s="51" t="str">
        <f aca="false">IF(OR($A218="",N$8=""),"",IF($F218="Migré","ROKS",IF($F218="À décommissionner",IF(N$8&lt;$AS218,"IKS","Décom."),IF(OR($AQ218="",$AS218=""),"",IF(N$8&lt;$AQ218,"IKS",IF(N$8&lt;$AS218,IF(N$8=$AR218,"Bascule","Double run"),"ROKS"))))))</f>
        <v/>
      </c>
      <c r="O218" s="51" t="str">
        <f aca="false">IF(OR($A218="",O$8=""),"",IF($F218="Migré","ROKS",IF($F218="À décommissionner",IF(O$8&lt;$AS218,"IKS","Décom."),IF(OR($AQ218="",$AS218=""),"",IF(O$8&lt;$AQ218,"IKS",IF(O$8&lt;$AS218,IF(O$8=$AR218,"Bascule","Double run"),"ROKS"))))))</f>
        <v/>
      </c>
      <c r="P218" s="51" t="str">
        <f aca="false">IF(OR($A218="",P$8=""),"",IF($F218="Migré","ROKS",IF($F218="À décommissionner",IF(P$8&lt;$AS218,"IKS","Décom."),IF(OR($AQ218="",$AS218=""),"",IF(P$8&lt;$AQ218,"IKS",IF(P$8&lt;$AS218,IF(P$8=$AR218,"Bascule","Double run"),"ROKS"))))))</f>
        <v/>
      </c>
      <c r="Q218" s="51" t="str">
        <f aca="false">IF(OR($A218="",Q$8=""),"",IF($F218="Migré","ROKS",IF($F218="À décommissionner",IF(Q$8&lt;$AS218,"IKS","Décom."),IF(OR($AQ218="",$AS218=""),"",IF(Q$8&lt;$AQ218,"IKS",IF(Q$8&lt;$AS218,IF(Q$8=$AR218,"Bascule","Double run"),"ROKS"))))))</f>
        <v/>
      </c>
      <c r="R218" s="51" t="str">
        <f aca="false">IF(OR($A218="",R$8=""),"",IF($F218="Migré","ROKS",IF($F218="À décommissionner",IF(R$8&lt;$AS218,"IKS","Décom."),IF(OR($AQ218="",$AS218=""),"",IF(R$8&lt;$AQ218,"IKS",IF(R$8&lt;$AS218,IF(R$8=$AR218,"Bascule","Double run"),"ROKS"))))))</f>
        <v/>
      </c>
      <c r="S218" s="51" t="str">
        <f aca="false">IF(OR($A218="",S$8=""),"",IF($F218="Migré","ROKS",IF($F218="À décommissionner",IF(S$8&lt;$AS218,"IKS","Décom."),IF(OR($AQ218="",$AS218=""),"",IF(S$8&lt;$AQ218,"IKS",IF(S$8&lt;$AS218,IF(S$8=$AR218,"Bascule","Double run"),"ROKS"))))))</f>
        <v/>
      </c>
      <c r="T218" s="51" t="str">
        <f aca="false">IF(OR($A218="",T$8=""),"",IF($F218="Migré","ROKS",IF($F218="À décommissionner",IF(T$8&lt;$AS218,"IKS","Décom."),IF(OR($AQ218="",$AS218=""),"",IF(T$8&lt;$AQ218,"IKS",IF(T$8&lt;$AS218,IF(T$8=$AR218,"Bascule","Double run"),"ROKS"))))))</f>
        <v/>
      </c>
      <c r="U218" s="51" t="str">
        <f aca="false">IF(OR($A218="",U$8=""),"",IF($F218="Migré","ROKS",IF($F218="À décommissionner",IF(U$8&lt;$AS218,"IKS","Décom."),IF(OR($AQ218="",$AS218=""),"",IF(U$8&lt;$AQ218,"IKS",IF(U$8&lt;$AS218,IF(U$8=$AR218,"Bascule","Double run"),"ROKS"))))))</f>
        <v/>
      </c>
      <c r="V218" s="51" t="str">
        <f aca="false">IF(OR($A218="",V$8=""),"",IF($F218="Migré","ROKS",IF($F218="À décommissionner",IF(V$8&lt;$AS218,"IKS","Décom."),IF(OR($AQ218="",$AS218=""),"",IF(V$8&lt;$AQ218,"IKS",IF(V$8&lt;$AS218,IF(V$8=$AR218,"Bascule","Double run"),"ROKS"))))))</f>
        <v/>
      </c>
      <c r="W218" s="51" t="str">
        <f aca="false">IF(OR($A218="",W$8=""),"",IF($F218="Migré","ROKS",IF($F218="À décommissionner",IF(W$8&lt;$AS218,"IKS","Décom."),IF(OR($AQ218="",$AS218=""),"",IF(W$8&lt;$AQ218,"IKS",IF(W$8&lt;$AS218,IF(W$8=$AR218,"Bascule","Double run"),"ROKS"))))))</f>
        <v/>
      </c>
      <c r="X218" s="51" t="str">
        <f aca="false">IF(OR($A218="",X$8=""),"",IF($F218="Migré","ROKS",IF($F218="À décommissionner",IF(X$8&lt;$AS218,"IKS","Décom."),IF(OR($AQ218="",$AS218=""),"",IF(X$8&lt;$AQ218,"IKS",IF(X$8&lt;$AS218,IF(X$8=$AR218,"Bascule","Double run"),"ROKS"))))))</f>
        <v/>
      </c>
      <c r="Y218" s="51" t="str">
        <f aca="false">IF(OR($A218="",Y$8=""),"",IF($F218="Migré","ROKS",IF($F218="À décommissionner",IF(Y$8&lt;$AS218,"IKS","Décom."),IF(OR($AQ218="",$AS218=""),"",IF(Y$8&lt;$AQ218,"IKS",IF(Y$8&lt;$AS218,IF(Y$8=$AR218,"Bascule","Double run"),"ROKS"))))))</f>
        <v/>
      </c>
      <c r="Z218" s="51" t="str">
        <f aca="false">IF(OR($A218="",Z$8=""),"",IF($F218="Migré","ROKS",IF($F218="À décommissionner",IF(Z$8&lt;$AS218,"IKS","Décom."),IF(OR($AQ218="",$AS218=""),"",IF(Z$8&lt;$AQ218,"IKS",IF(Z$8&lt;$AS218,IF(Z$8=$AR218,"Bascule","Double run"),"ROKS"))))))</f>
        <v/>
      </c>
      <c r="AA218" s="51" t="str">
        <f aca="false">IF(OR($A218="",AA$8=""),"",IF($F218="Migré","ROKS",IF($F218="À décommissionner",IF(AA$8&lt;$AS218,"IKS","Décom."),IF(OR($AQ218="",$AS218=""),"",IF(AA$8&lt;$AQ218,"IKS",IF(AA$8&lt;$AS218,IF(AA$8=$AR218,"Bascule","Double run"),"ROKS"))))))</f>
        <v/>
      </c>
      <c r="AB218" s="51" t="str">
        <f aca="false">IF(OR($A218="",AB$8=""),"",IF($F218="Migré","ROKS",IF($F218="À décommissionner",IF(AB$8&lt;$AS218,"IKS","Décom."),IF(OR($AQ218="",$AS218=""),"",IF(AB$8&lt;$AQ218,"IKS",IF(AB$8&lt;$AS218,IF(AB$8=$AR218,"Bascule","Double run"),"ROKS"))))))</f>
        <v/>
      </c>
      <c r="AC218" s="51" t="str">
        <f aca="false">IF(OR($A218="",AC$8=""),"",IF($F218="Migré","ROKS",IF($F218="À décommissionner",IF(AC$8&lt;$AS218,"IKS","Décom."),IF(OR($AQ218="",$AS218=""),"",IF(AC$8&lt;$AQ218,"IKS",IF(AC$8&lt;$AS218,IF(AC$8=$AR218,"Bascule","Double run"),"ROKS"))))))</f>
        <v/>
      </c>
      <c r="AD218" s="51" t="str">
        <f aca="false">IF(OR($A218="",AD$8=""),"",IF($F218="Migré","ROKS",IF($F218="À décommissionner",IF(AD$8&lt;$AS218,"IKS","Décom."),IF(OR($AQ218="",$AS218=""),"",IF(AD$8&lt;$AQ218,"IKS",IF(AD$8&lt;$AS218,IF(AD$8=$AR218,"Bascule","Double run"),"ROKS"))))))</f>
        <v/>
      </c>
      <c r="AE218" s="51" t="str">
        <f aca="false">IF(OR($A218="",AE$8=""),"",IF($F218="Migré","ROKS",IF($F218="À décommissionner",IF(AE$8&lt;$AS218,"IKS","Décom."),IF(OR($AQ218="",$AS218=""),"",IF(AE$8&lt;$AQ218,"IKS",IF(AE$8&lt;$AS218,IF(AE$8=$AR218,"Bascule","Double run"),"ROKS"))))))</f>
        <v/>
      </c>
      <c r="AF218" s="51" t="str">
        <f aca="false">IF(OR($A218="",AF$8=""),"",IF($F218="Migré","ROKS",IF($F218="À décommissionner",IF(AF$8&lt;$AS218,"IKS","Décom."),IF(OR($AQ218="",$AS218=""),"",IF(AF$8&lt;$AQ218,"IKS",IF(AF$8&lt;$AS218,IF(AF$8=$AR218,"Bascule","Double run"),"ROKS"))))))</f>
        <v/>
      </c>
      <c r="AG218" s="51" t="str">
        <f aca="false">IF(OR($A218="",AG$8=""),"",IF($F218="Migré","ROKS",IF($F218="À décommissionner",IF(AG$8&lt;$AS218,"IKS","Décom."),IF(OR($AQ218="",$AS218=""),"",IF(AG$8&lt;$AQ218,"IKS",IF(AG$8&lt;$AS218,IF(AG$8=$AR218,"Bascule","Double run"),"ROKS"))))))</f>
        <v/>
      </c>
      <c r="AH218" s="51" t="str">
        <f aca="false">IF(OR($A218="",AH$8=""),"",IF($F218="Migré","ROKS",IF($F218="À décommissionner",IF(AH$8&lt;$AS218,"IKS","Décom."),IF(OR($AQ218="",$AS218=""),"",IF(AH$8&lt;$AQ218,"IKS",IF(AH$8&lt;$AS218,IF(AH$8=$AR218,"Bascule","Double run"),"ROKS"))))))</f>
        <v/>
      </c>
      <c r="AI218" s="51" t="str">
        <f aca="false">IF(OR($A218="",AI$8=""),"",IF($F218="Migré","ROKS",IF($F218="À décommissionner",IF(AI$8&lt;$AS218,"IKS","Décom."),IF(OR($AQ218="",$AS218=""),"",IF(AI$8&lt;$AQ218,"IKS",IF(AI$8&lt;$AS218,IF(AI$8=$AR218,"Bascule","Double run"),"ROKS"))))))</f>
        <v/>
      </c>
      <c r="AJ218" s="51" t="str">
        <f aca="false">IF(OR($A218="",AJ$8=""),"",IF($F218="Migré","ROKS",IF($F218="À décommissionner",IF(AJ$8&lt;$AS218,"IKS","Décom."),IF(OR($AQ218="",$AS218=""),"",IF(AJ$8&lt;$AQ218,"IKS",IF(AJ$8&lt;$AS218,IF(AJ$8=$AR218,"Bascule","Double run"),"ROKS"))))))</f>
        <v/>
      </c>
      <c r="AK218" s="51" t="str">
        <f aca="false">IF(OR($A218="",AK$8=""),"",IF($F218="Migré","ROKS",IF($F218="À décommissionner",IF(AK$8&lt;$AS218,"IKS","Décom."),IF(OR($AQ218="",$AS218=""),"",IF(AK$8&lt;$AQ218,"IKS",IF(AK$8&lt;$AS218,IF(AK$8=$AR218,"Bascule","Double run"),"ROKS"))))))</f>
        <v/>
      </c>
      <c r="AL218" s="51" t="str">
        <f aca="false">IF(OR($A218="",AL$8=""),"",IF($F218="Migré","ROKS",IF($F218="À décommissionner",IF(AL$8&lt;$AS218,"IKS","Décom."),IF(OR($AQ218="",$AS218=""),"",IF(AL$8&lt;$AQ218,"IKS",IF(AL$8&lt;$AS218,IF(AL$8=$AR218,"Bascule","Double run"),"ROKS"))))))</f>
        <v/>
      </c>
      <c r="AM218" s="51" t="str">
        <f aca="false">IF(OR($A218="",AM$8=""),"",IF($F218="Migré","ROKS",IF($F218="À décommissionner",IF(AM$8&lt;$AS218,"IKS","Décom."),IF(OR($AQ218="",$AS218=""),"",IF(AM$8&lt;$AQ218,"IKS",IF(AM$8&lt;$AS218,IF(AM$8=$AR218,"Bascule","Double run"),"ROKS"))))))</f>
        <v/>
      </c>
      <c r="AN218" s="51" t="str">
        <f aca="false">IF(OR($A218="",AN$8=""),"",IF($F218="Migré","ROKS",IF($F218="À décommissionner",IF(AN$8&lt;$AS218,"IKS","Décom."),IF(OR($AQ218="",$AS218=""),"",IF(AN$8&lt;$AQ218,"IKS",IF(AN$8&lt;$AS218,IF(AN$8=$AR218,"Bascule","Double run"),"ROKS"))))))</f>
        <v/>
      </c>
      <c r="AO218" s="51" t="str">
        <f aca="false">IF(OR($A218="",AO$8=""),"",IF($F218="Migré","ROKS",IF($F218="À décommissionner",IF(AO$8&lt;$AS218,"IKS","Décom."),IF(OR($AQ218="",$AS218=""),"",IF(AO$8&lt;$AQ218,"IKS",IF(AO$8&lt;$AS218,IF(AO$8=$AR218,"Bascule","Double run"),"ROKS"))))))</f>
        <v/>
      </c>
      <c r="AP218" s="51" t="str">
        <f aca="false">IF(OR($A218="",AP$8=""),"",IF($F218="Migré","ROKS",IF($F218="À décommissionner",IF(AP$8&lt;$AS218,"IKS","Décom."),IF(OR($AQ218="",$AS218=""),"",IF(AP$8&lt;$AQ218,"IKS",IF(AP$8&lt;$AS218,IF(AP$8=$AR218,"Bascule","Double run"),"ROKS"))))))</f>
        <v/>
      </c>
      <c r="AQ218" s="0" t="str">
        <f aca="false">IF($A218="","",INDEX(TblApplications[Mois prov (calc)],$A218))</f>
        <v/>
      </c>
      <c r="AR218" s="0" t="str">
        <f aca="false">IF($A218="","",IFERROR(DATE(YEAR(INDEX(TblApplications[Mois bascule],$A218)),MONTH(INDEX(TblApplications[Mois bascule],$A218)),1),""))</f>
        <v/>
      </c>
      <c r="AS218" s="0" t="str">
        <f aca="false">IF($A218="","",INDEX(TblApplications[Mois lib (calc)],$A218))</f>
        <v/>
      </c>
    </row>
    <row r="219" customFormat="false" ht="15" hidden="false" customHeight="false" outlineLevel="0" collapsed="false">
      <c r="A219" s="49" t="str">
        <f aca="false">IFERROR(MATCH(211,TblApplications[Rang frise],0),"")</f>
        <v/>
      </c>
      <c r="B219" s="50" t="str">
        <f aca="false">IF($A219="","",INDEX(TblApplications[ID],$A219))</f>
        <v/>
      </c>
      <c r="C219" s="50" t="str">
        <f aca="false">IF($A219="","",INDEX(TblApplications[Application],$A219))</f>
        <v/>
      </c>
      <c r="D219" s="50" t="str">
        <f aca="false">IF($A219="","",INDEX(TblApplications[Environnement],$A219))</f>
        <v/>
      </c>
      <c r="E219" s="50" t="str">
        <f aca="false">IF($A219="","",INDEX(TblApplications[Couloir],$A219))</f>
        <v/>
      </c>
      <c r="F219" s="50" t="str">
        <f aca="false">IF($A219="","",INDEX(TblApplications[Action],$A219))</f>
        <v/>
      </c>
      <c r="G219" s="51" t="str">
        <f aca="false">IF(OR($A219="",G$8=""),"",IF($F219="Migré","ROKS",IF($F219="À décommissionner",IF(G$8&lt;$AS219,"IKS","Décom."),IF(OR($AQ219="",$AS219=""),"",IF(G$8&lt;$AQ219,"IKS",IF(G$8&lt;$AS219,IF(G$8=$AR219,"Bascule","Double run"),"ROKS"))))))</f>
        <v/>
      </c>
      <c r="H219" s="51" t="str">
        <f aca="false">IF(OR($A219="",H$8=""),"",IF($F219="Migré","ROKS",IF($F219="À décommissionner",IF(H$8&lt;$AS219,"IKS","Décom."),IF(OR($AQ219="",$AS219=""),"",IF(H$8&lt;$AQ219,"IKS",IF(H$8&lt;$AS219,IF(H$8=$AR219,"Bascule","Double run"),"ROKS"))))))</f>
        <v/>
      </c>
      <c r="I219" s="51" t="str">
        <f aca="false">IF(OR($A219="",I$8=""),"",IF($F219="Migré","ROKS",IF($F219="À décommissionner",IF(I$8&lt;$AS219,"IKS","Décom."),IF(OR($AQ219="",$AS219=""),"",IF(I$8&lt;$AQ219,"IKS",IF(I$8&lt;$AS219,IF(I$8=$AR219,"Bascule","Double run"),"ROKS"))))))</f>
        <v/>
      </c>
      <c r="J219" s="51" t="str">
        <f aca="false">IF(OR($A219="",J$8=""),"",IF($F219="Migré","ROKS",IF($F219="À décommissionner",IF(J$8&lt;$AS219,"IKS","Décom."),IF(OR($AQ219="",$AS219=""),"",IF(J$8&lt;$AQ219,"IKS",IF(J$8&lt;$AS219,IF(J$8=$AR219,"Bascule","Double run"),"ROKS"))))))</f>
        <v/>
      </c>
      <c r="K219" s="51" t="str">
        <f aca="false">IF(OR($A219="",K$8=""),"",IF($F219="Migré","ROKS",IF($F219="À décommissionner",IF(K$8&lt;$AS219,"IKS","Décom."),IF(OR($AQ219="",$AS219=""),"",IF(K$8&lt;$AQ219,"IKS",IF(K$8&lt;$AS219,IF(K$8=$AR219,"Bascule","Double run"),"ROKS"))))))</f>
        <v/>
      </c>
      <c r="L219" s="51" t="str">
        <f aca="false">IF(OR($A219="",L$8=""),"",IF($F219="Migré","ROKS",IF($F219="À décommissionner",IF(L$8&lt;$AS219,"IKS","Décom."),IF(OR($AQ219="",$AS219=""),"",IF(L$8&lt;$AQ219,"IKS",IF(L$8&lt;$AS219,IF(L$8=$AR219,"Bascule","Double run"),"ROKS"))))))</f>
        <v/>
      </c>
      <c r="M219" s="51" t="str">
        <f aca="false">IF(OR($A219="",M$8=""),"",IF($F219="Migré","ROKS",IF($F219="À décommissionner",IF(M$8&lt;$AS219,"IKS","Décom."),IF(OR($AQ219="",$AS219=""),"",IF(M$8&lt;$AQ219,"IKS",IF(M$8&lt;$AS219,IF(M$8=$AR219,"Bascule","Double run"),"ROKS"))))))</f>
        <v/>
      </c>
      <c r="N219" s="51" t="str">
        <f aca="false">IF(OR($A219="",N$8=""),"",IF($F219="Migré","ROKS",IF($F219="À décommissionner",IF(N$8&lt;$AS219,"IKS","Décom."),IF(OR($AQ219="",$AS219=""),"",IF(N$8&lt;$AQ219,"IKS",IF(N$8&lt;$AS219,IF(N$8=$AR219,"Bascule","Double run"),"ROKS"))))))</f>
        <v/>
      </c>
      <c r="O219" s="51" t="str">
        <f aca="false">IF(OR($A219="",O$8=""),"",IF($F219="Migré","ROKS",IF($F219="À décommissionner",IF(O$8&lt;$AS219,"IKS","Décom."),IF(OR($AQ219="",$AS219=""),"",IF(O$8&lt;$AQ219,"IKS",IF(O$8&lt;$AS219,IF(O$8=$AR219,"Bascule","Double run"),"ROKS"))))))</f>
        <v/>
      </c>
      <c r="P219" s="51" t="str">
        <f aca="false">IF(OR($A219="",P$8=""),"",IF($F219="Migré","ROKS",IF($F219="À décommissionner",IF(P$8&lt;$AS219,"IKS","Décom."),IF(OR($AQ219="",$AS219=""),"",IF(P$8&lt;$AQ219,"IKS",IF(P$8&lt;$AS219,IF(P$8=$AR219,"Bascule","Double run"),"ROKS"))))))</f>
        <v/>
      </c>
      <c r="Q219" s="51" t="str">
        <f aca="false">IF(OR($A219="",Q$8=""),"",IF($F219="Migré","ROKS",IF($F219="À décommissionner",IF(Q$8&lt;$AS219,"IKS","Décom."),IF(OR($AQ219="",$AS219=""),"",IF(Q$8&lt;$AQ219,"IKS",IF(Q$8&lt;$AS219,IF(Q$8=$AR219,"Bascule","Double run"),"ROKS"))))))</f>
        <v/>
      </c>
      <c r="R219" s="51" t="str">
        <f aca="false">IF(OR($A219="",R$8=""),"",IF($F219="Migré","ROKS",IF($F219="À décommissionner",IF(R$8&lt;$AS219,"IKS","Décom."),IF(OR($AQ219="",$AS219=""),"",IF(R$8&lt;$AQ219,"IKS",IF(R$8&lt;$AS219,IF(R$8=$AR219,"Bascule","Double run"),"ROKS"))))))</f>
        <v/>
      </c>
      <c r="S219" s="51" t="str">
        <f aca="false">IF(OR($A219="",S$8=""),"",IF($F219="Migré","ROKS",IF($F219="À décommissionner",IF(S$8&lt;$AS219,"IKS","Décom."),IF(OR($AQ219="",$AS219=""),"",IF(S$8&lt;$AQ219,"IKS",IF(S$8&lt;$AS219,IF(S$8=$AR219,"Bascule","Double run"),"ROKS"))))))</f>
        <v/>
      </c>
      <c r="T219" s="51" t="str">
        <f aca="false">IF(OR($A219="",T$8=""),"",IF($F219="Migré","ROKS",IF($F219="À décommissionner",IF(T$8&lt;$AS219,"IKS","Décom."),IF(OR($AQ219="",$AS219=""),"",IF(T$8&lt;$AQ219,"IKS",IF(T$8&lt;$AS219,IF(T$8=$AR219,"Bascule","Double run"),"ROKS"))))))</f>
        <v/>
      </c>
      <c r="U219" s="51" t="str">
        <f aca="false">IF(OR($A219="",U$8=""),"",IF($F219="Migré","ROKS",IF($F219="À décommissionner",IF(U$8&lt;$AS219,"IKS","Décom."),IF(OR($AQ219="",$AS219=""),"",IF(U$8&lt;$AQ219,"IKS",IF(U$8&lt;$AS219,IF(U$8=$AR219,"Bascule","Double run"),"ROKS"))))))</f>
        <v/>
      </c>
      <c r="V219" s="51" t="str">
        <f aca="false">IF(OR($A219="",V$8=""),"",IF($F219="Migré","ROKS",IF($F219="À décommissionner",IF(V$8&lt;$AS219,"IKS","Décom."),IF(OR($AQ219="",$AS219=""),"",IF(V$8&lt;$AQ219,"IKS",IF(V$8&lt;$AS219,IF(V$8=$AR219,"Bascule","Double run"),"ROKS"))))))</f>
        <v/>
      </c>
      <c r="W219" s="51" t="str">
        <f aca="false">IF(OR($A219="",W$8=""),"",IF($F219="Migré","ROKS",IF($F219="À décommissionner",IF(W$8&lt;$AS219,"IKS","Décom."),IF(OR($AQ219="",$AS219=""),"",IF(W$8&lt;$AQ219,"IKS",IF(W$8&lt;$AS219,IF(W$8=$AR219,"Bascule","Double run"),"ROKS"))))))</f>
        <v/>
      </c>
      <c r="X219" s="51" t="str">
        <f aca="false">IF(OR($A219="",X$8=""),"",IF($F219="Migré","ROKS",IF($F219="À décommissionner",IF(X$8&lt;$AS219,"IKS","Décom."),IF(OR($AQ219="",$AS219=""),"",IF(X$8&lt;$AQ219,"IKS",IF(X$8&lt;$AS219,IF(X$8=$AR219,"Bascule","Double run"),"ROKS"))))))</f>
        <v/>
      </c>
      <c r="Y219" s="51" t="str">
        <f aca="false">IF(OR($A219="",Y$8=""),"",IF($F219="Migré","ROKS",IF($F219="À décommissionner",IF(Y$8&lt;$AS219,"IKS","Décom."),IF(OR($AQ219="",$AS219=""),"",IF(Y$8&lt;$AQ219,"IKS",IF(Y$8&lt;$AS219,IF(Y$8=$AR219,"Bascule","Double run"),"ROKS"))))))</f>
        <v/>
      </c>
      <c r="Z219" s="51" t="str">
        <f aca="false">IF(OR($A219="",Z$8=""),"",IF($F219="Migré","ROKS",IF($F219="À décommissionner",IF(Z$8&lt;$AS219,"IKS","Décom."),IF(OR($AQ219="",$AS219=""),"",IF(Z$8&lt;$AQ219,"IKS",IF(Z$8&lt;$AS219,IF(Z$8=$AR219,"Bascule","Double run"),"ROKS"))))))</f>
        <v/>
      </c>
      <c r="AA219" s="51" t="str">
        <f aca="false">IF(OR($A219="",AA$8=""),"",IF($F219="Migré","ROKS",IF($F219="À décommissionner",IF(AA$8&lt;$AS219,"IKS","Décom."),IF(OR($AQ219="",$AS219=""),"",IF(AA$8&lt;$AQ219,"IKS",IF(AA$8&lt;$AS219,IF(AA$8=$AR219,"Bascule","Double run"),"ROKS"))))))</f>
        <v/>
      </c>
      <c r="AB219" s="51" t="str">
        <f aca="false">IF(OR($A219="",AB$8=""),"",IF($F219="Migré","ROKS",IF($F219="À décommissionner",IF(AB$8&lt;$AS219,"IKS","Décom."),IF(OR($AQ219="",$AS219=""),"",IF(AB$8&lt;$AQ219,"IKS",IF(AB$8&lt;$AS219,IF(AB$8=$AR219,"Bascule","Double run"),"ROKS"))))))</f>
        <v/>
      </c>
      <c r="AC219" s="51" t="str">
        <f aca="false">IF(OR($A219="",AC$8=""),"",IF($F219="Migré","ROKS",IF($F219="À décommissionner",IF(AC$8&lt;$AS219,"IKS","Décom."),IF(OR($AQ219="",$AS219=""),"",IF(AC$8&lt;$AQ219,"IKS",IF(AC$8&lt;$AS219,IF(AC$8=$AR219,"Bascule","Double run"),"ROKS"))))))</f>
        <v/>
      </c>
      <c r="AD219" s="51" t="str">
        <f aca="false">IF(OR($A219="",AD$8=""),"",IF($F219="Migré","ROKS",IF($F219="À décommissionner",IF(AD$8&lt;$AS219,"IKS","Décom."),IF(OR($AQ219="",$AS219=""),"",IF(AD$8&lt;$AQ219,"IKS",IF(AD$8&lt;$AS219,IF(AD$8=$AR219,"Bascule","Double run"),"ROKS"))))))</f>
        <v/>
      </c>
      <c r="AE219" s="51" t="str">
        <f aca="false">IF(OR($A219="",AE$8=""),"",IF($F219="Migré","ROKS",IF($F219="À décommissionner",IF(AE$8&lt;$AS219,"IKS","Décom."),IF(OR($AQ219="",$AS219=""),"",IF(AE$8&lt;$AQ219,"IKS",IF(AE$8&lt;$AS219,IF(AE$8=$AR219,"Bascule","Double run"),"ROKS"))))))</f>
        <v/>
      </c>
      <c r="AF219" s="51" t="str">
        <f aca="false">IF(OR($A219="",AF$8=""),"",IF($F219="Migré","ROKS",IF($F219="À décommissionner",IF(AF$8&lt;$AS219,"IKS","Décom."),IF(OR($AQ219="",$AS219=""),"",IF(AF$8&lt;$AQ219,"IKS",IF(AF$8&lt;$AS219,IF(AF$8=$AR219,"Bascule","Double run"),"ROKS"))))))</f>
        <v/>
      </c>
      <c r="AG219" s="51" t="str">
        <f aca="false">IF(OR($A219="",AG$8=""),"",IF($F219="Migré","ROKS",IF($F219="À décommissionner",IF(AG$8&lt;$AS219,"IKS","Décom."),IF(OR($AQ219="",$AS219=""),"",IF(AG$8&lt;$AQ219,"IKS",IF(AG$8&lt;$AS219,IF(AG$8=$AR219,"Bascule","Double run"),"ROKS"))))))</f>
        <v/>
      </c>
      <c r="AH219" s="51" t="str">
        <f aca="false">IF(OR($A219="",AH$8=""),"",IF($F219="Migré","ROKS",IF($F219="À décommissionner",IF(AH$8&lt;$AS219,"IKS","Décom."),IF(OR($AQ219="",$AS219=""),"",IF(AH$8&lt;$AQ219,"IKS",IF(AH$8&lt;$AS219,IF(AH$8=$AR219,"Bascule","Double run"),"ROKS"))))))</f>
        <v/>
      </c>
      <c r="AI219" s="51" t="str">
        <f aca="false">IF(OR($A219="",AI$8=""),"",IF($F219="Migré","ROKS",IF($F219="À décommissionner",IF(AI$8&lt;$AS219,"IKS","Décom."),IF(OR($AQ219="",$AS219=""),"",IF(AI$8&lt;$AQ219,"IKS",IF(AI$8&lt;$AS219,IF(AI$8=$AR219,"Bascule","Double run"),"ROKS"))))))</f>
        <v/>
      </c>
      <c r="AJ219" s="51" t="str">
        <f aca="false">IF(OR($A219="",AJ$8=""),"",IF($F219="Migré","ROKS",IF($F219="À décommissionner",IF(AJ$8&lt;$AS219,"IKS","Décom."),IF(OR($AQ219="",$AS219=""),"",IF(AJ$8&lt;$AQ219,"IKS",IF(AJ$8&lt;$AS219,IF(AJ$8=$AR219,"Bascule","Double run"),"ROKS"))))))</f>
        <v/>
      </c>
      <c r="AK219" s="51" t="str">
        <f aca="false">IF(OR($A219="",AK$8=""),"",IF($F219="Migré","ROKS",IF($F219="À décommissionner",IF(AK$8&lt;$AS219,"IKS","Décom."),IF(OR($AQ219="",$AS219=""),"",IF(AK$8&lt;$AQ219,"IKS",IF(AK$8&lt;$AS219,IF(AK$8=$AR219,"Bascule","Double run"),"ROKS"))))))</f>
        <v/>
      </c>
      <c r="AL219" s="51" t="str">
        <f aca="false">IF(OR($A219="",AL$8=""),"",IF($F219="Migré","ROKS",IF($F219="À décommissionner",IF(AL$8&lt;$AS219,"IKS","Décom."),IF(OR($AQ219="",$AS219=""),"",IF(AL$8&lt;$AQ219,"IKS",IF(AL$8&lt;$AS219,IF(AL$8=$AR219,"Bascule","Double run"),"ROKS"))))))</f>
        <v/>
      </c>
      <c r="AM219" s="51" t="str">
        <f aca="false">IF(OR($A219="",AM$8=""),"",IF($F219="Migré","ROKS",IF($F219="À décommissionner",IF(AM$8&lt;$AS219,"IKS","Décom."),IF(OR($AQ219="",$AS219=""),"",IF(AM$8&lt;$AQ219,"IKS",IF(AM$8&lt;$AS219,IF(AM$8=$AR219,"Bascule","Double run"),"ROKS"))))))</f>
        <v/>
      </c>
      <c r="AN219" s="51" t="str">
        <f aca="false">IF(OR($A219="",AN$8=""),"",IF($F219="Migré","ROKS",IF($F219="À décommissionner",IF(AN$8&lt;$AS219,"IKS","Décom."),IF(OR($AQ219="",$AS219=""),"",IF(AN$8&lt;$AQ219,"IKS",IF(AN$8&lt;$AS219,IF(AN$8=$AR219,"Bascule","Double run"),"ROKS"))))))</f>
        <v/>
      </c>
      <c r="AO219" s="51" t="str">
        <f aca="false">IF(OR($A219="",AO$8=""),"",IF($F219="Migré","ROKS",IF($F219="À décommissionner",IF(AO$8&lt;$AS219,"IKS","Décom."),IF(OR($AQ219="",$AS219=""),"",IF(AO$8&lt;$AQ219,"IKS",IF(AO$8&lt;$AS219,IF(AO$8=$AR219,"Bascule","Double run"),"ROKS"))))))</f>
        <v/>
      </c>
      <c r="AP219" s="51" t="str">
        <f aca="false">IF(OR($A219="",AP$8=""),"",IF($F219="Migré","ROKS",IF($F219="À décommissionner",IF(AP$8&lt;$AS219,"IKS","Décom."),IF(OR($AQ219="",$AS219=""),"",IF(AP$8&lt;$AQ219,"IKS",IF(AP$8&lt;$AS219,IF(AP$8=$AR219,"Bascule","Double run"),"ROKS"))))))</f>
        <v/>
      </c>
      <c r="AQ219" s="0" t="str">
        <f aca="false">IF($A219="","",INDEX(TblApplications[Mois prov (calc)],$A219))</f>
        <v/>
      </c>
      <c r="AR219" s="0" t="str">
        <f aca="false">IF($A219="","",IFERROR(DATE(YEAR(INDEX(TblApplications[Mois bascule],$A219)),MONTH(INDEX(TblApplications[Mois bascule],$A219)),1),""))</f>
        <v/>
      </c>
      <c r="AS219" s="0" t="str">
        <f aca="false">IF($A219="","",INDEX(TblApplications[Mois lib (calc)],$A219))</f>
        <v/>
      </c>
    </row>
    <row r="220" customFormat="false" ht="15" hidden="false" customHeight="false" outlineLevel="0" collapsed="false">
      <c r="A220" s="49" t="str">
        <f aca="false">IFERROR(MATCH(212,TblApplications[Rang frise],0),"")</f>
        <v/>
      </c>
      <c r="B220" s="50" t="str">
        <f aca="false">IF($A220="","",INDEX(TblApplications[ID],$A220))</f>
        <v/>
      </c>
      <c r="C220" s="50" t="str">
        <f aca="false">IF($A220="","",INDEX(TblApplications[Application],$A220))</f>
        <v/>
      </c>
      <c r="D220" s="50" t="str">
        <f aca="false">IF($A220="","",INDEX(TblApplications[Environnement],$A220))</f>
        <v/>
      </c>
      <c r="E220" s="50" t="str">
        <f aca="false">IF($A220="","",INDEX(TblApplications[Couloir],$A220))</f>
        <v/>
      </c>
      <c r="F220" s="50" t="str">
        <f aca="false">IF($A220="","",INDEX(TblApplications[Action],$A220))</f>
        <v/>
      </c>
      <c r="G220" s="51" t="str">
        <f aca="false">IF(OR($A220="",G$8=""),"",IF($F220="Migré","ROKS",IF($F220="À décommissionner",IF(G$8&lt;$AS220,"IKS","Décom."),IF(OR($AQ220="",$AS220=""),"",IF(G$8&lt;$AQ220,"IKS",IF(G$8&lt;$AS220,IF(G$8=$AR220,"Bascule","Double run"),"ROKS"))))))</f>
        <v/>
      </c>
      <c r="H220" s="51" t="str">
        <f aca="false">IF(OR($A220="",H$8=""),"",IF($F220="Migré","ROKS",IF($F220="À décommissionner",IF(H$8&lt;$AS220,"IKS","Décom."),IF(OR($AQ220="",$AS220=""),"",IF(H$8&lt;$AQ220,"IKS",IF(H$8&lt;$AS220,IF(H$8=$AR220,"Bascule","Double run"),"ROKS"))))))</f>
        <v/>
      </c>
      <c r="I220" s="51" t="str">
        <f aca="false">IF(OR($A220="",I$8=""),"",IF($F220="Migré","ROKS",IF($F220="À décommissionner",IF(I$8&lt;$AS220,"IKS","Décom."),IF(OR($AQ220="",$AS220=""),"",IF(I$8&lt;$AQ220,"IKS",IF(I$8&lt;$AS220,IF(I$8=$AR220,"Bascule","Double run"),"ROKS"))))))</f>
        <v/>
      </c>
      <c r="J220" s="51" t="str">
        <f aca="false">IF(OR($A220="",J$8=""),"",IF($F220="Migré","ROKS",IF($F220="À décommissionner",IF(J$8&lt;$AS220,"IKS","Décom."),IF(OR($AQ220="",$AS220=""),"",IF(J$8&lt;$AQ220,"IKS",IF(J$8&lt;$AS220,IF(J$8=$AR220,"Bascule","Double run"),"ROKS"))))))</f>
        <v/>
      </c>
      <c r="K220" s="51" t="str">
        <f aca="false">IF(OR($A220="",K$8=""),"",IF($F220="Migré","ROKS",IF($F220="À décommissionner",IF(K$8&lt;$AS220,"IKS","Décom."),IF(OR($AQ220="",$AS220=""),"",IF(K$8&lt;$AQ220,"IKS",IF(K$8&lt;$AS220,IF(K$8=$AR220,"Bascule","Double run"),"ROKS"))))))</f>
        <v/>
      </c>
      <c r="L220" s="51" t="str">
        <f aca="false">IF(OR($A220="",L$8=""),"",IF($F220="Migré","ROKS",IF($F220="À décommissionner",IF(L$8&lt;$AS220,"IKS","Décom."),IF(OR($AQ220="",$AS220=""),"",IF(L$8&lt;$AQ220,"IKS",IF(L$8&lt;$AS220,IF(L$8=$AR220,"Bascule","Double run"),"ROKS"))))))</f>
        <v/>
      </c>
      <c r="M220" s="51" t="str">
        <f aca="false">IF(OR($A220="",M$8=""),"",IF($F220="Migré","ROKS",IF($F220="À décommissionner",IF(M$8&lt;$AS220,"IKS","Décom."),IF(OR($AQ220="",$AS220=""),"",IF(M$8&lt;$AQ220,"IKS",IF(M$8&lt;$AS220,IF(M$8=$AR220,"Bascule","Double run"),"ROKS"))))))</f>
        <v/>
      </c>
      <c r="N220" s="51" t="str">
        <f aca="false">IF(OR($A220="",N$8=""),"",IF($F220="Migré","ROKS",IF($F220="À décommissionner",IF(N$8&lt;$AS220,"IKS","Décom."),IF(OR($AQ220="",$AS220=""),"",IF(N$8&lt;$AQ220,"IKS",IF(N$8&lt;$AS220,IF(N$8=$AR220,"Bascule","Double run"),"ROKS"))))))</f>
        <v/>
      </c>
      <c r="O220" s="51" t="str">
        <f aca="false">IF(OR($A220="",O$8=""),"",IF($F220="Migré","ROKS",IF($F220="À décommissionner",IF(O$8&lt;$AS220,"IKS","Décom."),IF(OR($AQ220="",$AS220=""),"",IF(O$8&lt;$AQ220,"IKS",IF(O$8&lt;$AS220,IF(O$8=$AR220,"Bascule","Double run"),"ROKS"))))))</f>
        <v/>
      </c>
      <c r="P220" s="51" t="str">
        <f aca="false">IF(OR($A220="",P$8=""),"",IF($F220="Migré","ROKS",IF($F220="À décommissionner",IF(P$8&lt;$AS220,"IKS","Décom."),IF(OR($AQ220="",$AS220=""),"",IF(P$8&lt;$AQ220,"IKS",IF(P$8&lt;$AS220,IF(P$8=$AR220,"Bascule","Double run"),"ROKS"))))))</f>
        <v/>
      </c>
      <c r="Q220" s="51" t="str">
        <f aca="false">IF(OR($A220="",Q$8=""),"",IF($F220="Migré","ROKS",IF($F220="À décommissionner",IF(Q$8&lt;$AS220,"IKS","Décom."),IF(OR($AQ220="",$AS220=""),"",IF(Q$8&lt;$AQ220,"IKS",IF(Q$8&lt;$AS220,IF(Q$8=$AR220,"Bascule","Double run"),"ROKS"))))))</f>
        <v/>
      </c>
      <c r="R220" s="51" t="str">
        <f aca="false">IF(OR($A220="",R$8=""),"",IF($F220="Migré","ROKS",IF($F220="À décommissionner",IF(R$8&lt;$AS220,"IKS","Décom."),IF(OR($AQ220="",$AS220=""),"",IF(R$8&lt;$AQ220,"IKS",IF(R$8&lt;$AS220,IF(R$8=$AR220,"Bascule","Double run"),"ROKS"))))))</f>
        <v/>
      </c>
      <c r="S220" s="51" t="str">
        <f aca="false">IF(OR($A220="",S$8=""),"",IF($F220="Migré","ROKS",IF($F220="À décommissionner",IF(S$8&lt;$AS220,"IKS","Décom."),IF(OR($AQ220="",$AS220=""),"",IF(S$8&lt;$AQ220,"IKS",IF(S$8&lt;$AS220,IF(S$8=$AR220,"Bascule","Double run"),"ROKS"))))))</f>
        <v/>
      </c>
      <c r="T220" s="51" t="str">
        <f aca="false">IF(OR($A220="",T$8=""),"",IF($F220="Migré","ROKS",IF($F220="À décommissionner",IF(T$8&lt;$AS220,"IKS","Décom."),IF(OR($AQ220="",$AS220=""),"",IF(T$8&lt;$AQ220,"IKS",IF(T$8&lt;$AS220,IF(T$8=$AR220,"Bascule","Double run"),"ROKS"))))))</f>
        <v/>
      </c>
      <c r="U220" s="51" t="str">
        <f aca="false">IF(OR($A220="",U$8=""),"",IF($F220="Migré","ROKS",IF($F220="À décommissionner",IF(U$8&lt;$AS220,"IKS","Décom."),IF(OR($AQ220="",$AS220=""),"",IF(U$8&lt;$AQ220,"IKS",IF(U$8&lt;$AS220,IF(U$8=$AR220,"Bascule","Double run"),"ROKS"))))))</f>
        <v/>
      </c>
      <c r="V220" s="51" t="str">
        <f aca="false">IF(OR($A220="",V$8=""),"",IF($F220="Migré","ROKS",IF($F220="À décommissionner",IF(V$8&lt;$AS220,"IKS","Décom."),IF(OR($AQ220="",$AS220=""),"",IF(V$8&lt;$AQ220,"IKS",IF(V$8&lt;$AS220,IF(V$8=$AR220,"Bascule","Double run"),"ROKS"))))))</f>
        <v/>
      </c>
      <c r="W220" s="51" t="str">
        <f aca="false">IF(OR($A220="",W$8=""),"",IF($F220="Migré","ROKS",IF($F220="À décommissionner",IF(W$8&lt;$AS220,"IKS","Décom."),IF(OR($AQ220="",$AS220=""),"",IF(W$8&lt;$AQ220,"IKS",IF(W$8&lt;$AS220,IF(W$8=$AR220,"Bascule","Double run"),"ROKS"))))))</f>
        <v/>
      </c>
      <c r="X220" s="51" t="str">
        <f aca="false">IF(OR($A220="",X$8=""),"",IF($F220="Migré","ROKS",IF($F220="À décommissionner",IF(X$8&lt;$AS220,"IKS","Décom."),IF(OR($AQ220="",$AS220=""),"",IF(X$8&lt;$AQ220,"IKS",IF(X$8&lt;$AS220,IF(X$8=$AR220,"Bascule","Double run"),"ROKS"))))))</f>
        <v/>
      </c>
      <c r="Y220" s="51" t="str">
        <f aca="false">IF(OR($A220="",Y$8=""),"",IF($F220="Migré","ROKS",IF($F220="À décommissionner",IF(Y$8&lt;$AS220,"IKS","Décom."),IF(OR($AQ220="",$AS220=""),"",IF(Y$8&lt;$AQ220,"IKS",IF(Y$8&lt;$AS220,IF(Y$8=$AR220,"Bascule","Double run"),"ROKS"))))))</f>
        <v/>
      </c>
      <c r="Z220" s="51" t="str">
        <f aca="false">IF(OR($A220="",Z$8=""),"",IF($F220="Migré","ROKS",IF($F220="À décommissionner",IF(Z$8&lt;$AS220,"IKS","Décom."),IF(OR($AQ220="",$AS220=""),"",IF(Z$8&lt;$AQ220,"IKS",IF(Z$8&lt;$AS220,IF(Z$8=$AR220,"Bascule","Double run"),"ROKS"))))))</f>
        <v/>
      </c>
      <c r="AA220" s="51" t="str">
        <f aca="false">IF(OR($A220="",AA$8=""),"",IF($F220="Migré","ROKS",IF($F220="À décommissionner",IF(AA$8&lt;$AS220,"IKS","Décom."),IF(OR($AQ220="",$AS220=""),"",IF(AA$8&lt;$AQ220,"IKS",IF(AA$8&lt;$AS220,IF(AA$8=$AR220,"Bascule","Double run"),"ROKS"))))))</f>
        <v/>
      </c>
      <c r="AB220" s="51" t="str">
        <f aca="false">IF(OR($A220="",AB$8=""),"",IF($F220="Migré","ROKS",IF($F220="À décommissionner",IF(AB$8&lt;$AS220,"IKS","Décom."),IF(OR($AQ220="",$AS220=""),"",IF(AB$8&lt;$AQ220,"IKS",IF(AB$8&lt;$AS220,IF(AB$8=$AR220,"Bascule","Double run"),"ROKS"))))))</f>
        <v/>
      </c>
      <c r="AC220" s="51" t="str">
        <f aca="false">IF(OR($A220="",AC$8=""),"",IF($F220="Migré","ROKS",IF($F220="À décommissionner",IF(AC$8&lt;$AS220,"IKS","Décom."),IF(OR($AQ220="",$AS220=""),"",IF(AC$8&lt;$AQ220,"IKS",IF(AC$8&lt;$AS220,IF(AC$8=$AR220,"Bascule","Double run"),"ROKS"))))))</f>
        <v/>
      </c>
      <c r="AD220" s="51" t="str">
        <f aca="false">IF(OR($A220="",AD$8=""),"",IF($F220="Migré","ROKS",IF($F220="À décommissionner",IF(AD$8&lt;$AS220,"IKS","Décom."),IF(OR($AQ220="",$AS220=""),"",IF(AD$8&lt;$AQ220,"IKS",IF(AD$8&lt;$AS220,IF(AD$8=$AR220,"Bascule","Double run"),"ROKS"))))))</f>
        <v/>
      </c>
      <c r="AE220" s="51" t="str">
        <f aca="false">IF(OR($A220="",AE$8=""),"",IF($F220="Migré","ROKS",IF($F220="À décommissionner",IF(AE$8&lt;$AS220,"IKS","Décom."),IF(OR($AQ220="",$AS220=""),"",IF(AE$8&lt;$AQ220,"IKS",IF(AE$8&lt;$AS220,IF(AE$8=$AR220,"Bascule","Double run"),"ROKS"))))))</f>
        <v/>
      </c>
      <c r="AF220" s="51" t="str">
        <f aca="false">IF(OR($A220="",AF$8=""),"",IF($F220="Migré","ROKS",IF($F220="À décommissionner",IF(AF$8&lt;$AS220,"IKS","Décom."),IF(OR($AQ220="",$AS220=""),"",IF(AF$8&lt;$AQ220,"IKS",IF(AF$8&lt;$AS220,IF(AF$8=$AR220,"Bascule","Double run"),"ROKS"))))))</f>
        <v/>
      </c>
      <c r="AG220" s="51" t="str">
        <f aca="false">IF(OR($A220="",AG$8=""),"",IF($F220="Migré","ROKS",IF($F220="À décommissionner",IF(AG$8&lt;$AS220,"IKS","Décom."),IF(OR($AQ220="",$AS220=""),"",IF(AG$8&lt;$AQ220,"IKS",IF(AG$8&lt;$AS220,IF(AG$8=$AR220,"Bascule","Double run"),"ROKS"))))))</f>
        <v/>
      </c>
      <c r="AH220" s="51" t="str">
        <f aca="false">IF(OR($A220="",AH$8=""),"",IF($F220="Migré","ROKS",IF($F220="À décommissionner",IF(AH$8&lt;$AS220,"IKS","Décom."),IF(OR($AQ220="",$AS220=""),"",IF(AH$8&lt;$AQ220,"IKS",IF(AH$8&lt;$AS220,IF(AH$8=$AR220,"Bascule","Double run"),"ROKS"))))))</f>
        <v/>
      </c>
      <c r="AI220" s="51" t="str">
        <f aca="false">IF(OR($A220="",AI$8=""),"",IF($F220="Migré","ROKS",IF($F220="À décommissionner",IF(AI$8&lt;$AS220,"IKS","Décom."),IF(OR($AQ220="",$AS220=""),"",IF(AI$8&lt;$AQ220,"IKS",IF(AI$8&lt;$AS220,IF(AI$8=$AR220,"Bascule","Double run"),"ROKS"))))))</f>
        <v/>
      </c>
      <c r="AJ220" s="51" t="str">
        <f aca="false">IF(OR($A220="",AJ$8=""),"",IF($F220="Migré","ROKS",IF($F220="À décommissionner",IF(AJ$8&lt;$AS220,"IKS","Décom."),IF(OR($AQ220="",$AS220=""),"",IF(AJ$8&lt;$AQ220,"IKS",IF(AJ$8&lt;$AS220,IF(AJ$8=$AR220,"Bascule","Double run"),"ROKS"))))))</f>
        <v/>
      </c>
      <c r="AK220" s="51" t="str">
        <f aca="false">IF(OR($A220="",AK$8=""),"",IF($F220="Migré","ROKS",IF($F220="À décommissionner",IF(AK$8&lt;$AS220,"IKS","Décom."),IF(OR($AQ220="",$AS220=""),"",IF(AK$8&lt;$AQ220,"IKS",IF(AK$8&lt;$AS220,IF(AK$8=$AR220,"Bascule","Double run"),"ROKS"))))))</f>
        <v/>
      </c>
      <c r="AL220" s="51" t="str">
        <f aca="false">IF(OR($A220="",AL$8=""),"",IF($F220="Migré","ROKS",IF($F220="À décommissionner",IF(AL$8&lt;$AS220,"IKS","Décom."),IF(OR($AQ220="",$AS220=""),"",IF(AL$8&lt;$AQ220,"IKS",IF(AL$8&lt;$AS220,IF(AL$8=$AR220,"Bascule","Double run"),"ROKS"))))))</f>
        <v/>
      </c>
      <c r="AM220" s="51" t="str">
        <f aca="false">IF(OR($A220="",AM$8=""),"",IF($F220="Migré","ROKS",IF($F220="À décommissionner",IF(AM$8&lt;$AS220,"IKS","Décom."),IF(OR($AQ220="",$AS220=""),"",IF(AM$8&lt;$AQ220,"IKS",IF(AM$8&lt;$AS220,IF(AM$8=$AR220,"Bascule","Double run"),"ROKS"))))))</f>
        <v/>
      </c>
      <c r="AN220" s="51" t="str">
        <f aca="false">IF(OR($A220="",AN$8=""),"",IF($F220="Migré","ROKS",IF($F220="À décommissionner",IF(AN$8&lt;$AS220,"IKS","Décom."),IF(OR($AQ220="",$AS220=""),"",IF(AN$8&lt;$AQ220,"IKS",IF(AN$8&lt;$AS220,IF(AN$8=$AR220,"Bascule","Double run"),"ROKS"))))))</f>
        <v/>
      </c>
      <c r="AO220" s="51" t="str">
        <f aca="false">IF(OR($A220="",AO$8=""),"",IF($F220="Migré","ROKS",IF($F220="À décommissionner",IF(AO$8&lt;$AS220,"IKS","Décom."),IF(OR($AQ220="",$AS220=""),"",IF(AO$8&lt;$AQ220,"IKS",IF(AO$8&lt;$AS220,IF(AO$8=$AR220,"Bascule","Double run"),"ROKS"))))))</f>
        <v/>
      </c>
      <c r="AP220" s="51" t="str">
        <f aca="false">IF(OR($A220="",AP$8=""),"",IF($F220="Migré","ROKS",IF($F220="À décommissionner",IF(AP$8&lt;$AS220,"IKS","Décom."),IF(OR($AQ220="",$AS220=""),"",IF(AP$8&lt;$AQ220,"IKS",IF(AP$8&lt;$AS220,IF(AP$8=$AR220,"Bascule","Double run"),"ROKS"))))))</f>
        <v/>
      </c>
      <c r="AQ220" s="0" t="str">
        <f aca="false">IF($A220="","",INDEX(TblApplications[Mois prov (calc)],$A220))</f>
        <v/>
      </c>
      <c r="AR220" s="0" t="str">
        <f aca="false">IF($A220="","",IFERROR(DATE(YEAR(INDEX(TblApplications[Mois bascule],$A220)),MONTH(INDEX(TblApplications[Mois bascule],$A220)),1),""))</f>
        <v/>
      </c>
      <c r="AS220" s="0" t="str">
        <f aca="false">IF($A220="","",INDEX(TblApplications[Mois lib (calc)],$A220))</f>
        <v/>
      </c>
    </row>
    <row r="221" customFormat="false" ht="15" hidden="false" customHeight="false" outlineLevel="0" collapsed="false">
      <c r="A221" s="49" t="str">
        <f aca="false">IFERROR(MATCH(213,TblApplications[Rang frise],0),"")</f>
        <v/>
      </c>
      <c r="B221" s="50" t="str">
        <f aca="false">IF($A221="","",INDEX(TblApplications[ID],$A221))</f>
        <v/>
      </c>
      <c r="C221" s="50" t="str">
        <f aca="false">IF($A221="","",INDEX(TblApplications[Application],$A221))</f>
        <v/>
      </c>
      <c r="D221" s="50" t="str">
        <f aca="false">IF($A221="","",INDEX(TblApplications[Environnement],$A221))</f>
        <v/>
      </c>
      <c r="E221" s="50" t="str">
        <f aca="false">IF($A221="","",INDEX(TblApplications[Couloir],$A221))</f>
        <v/>
      </c>
      <c r="F221" s="50" t="str">
        <f aca="false">IF($A221="","",INDEX(TblApplications[Action],$A221))</f>
        <v/>
      </c>
      <c r="G221" s="51" t="str">
        <f aca="false">IF(OR($A221="",G$8=""),"",IF($F221="Migré","ROKS",IF($F221="À décommissionner",IF(G$8&lt;$AS221,"IKS","Décom."),IF(OR($AQ221="",$AS221=""),"",IF(G$8&lt;$AQ221,"IKS",IF(G$8&lt;$AS221,IF(G$8=$AR221,"Bascule","Double run"),"ROKS"))))))</f>
        <v/>
      </c>
      <c r="H221" s="51" t="str">
        <f aca="false">IF(OR($A221="",H$8=""),"",IF($F221="Migré","ROKS",IF($F221="À décommissionner",IF(H$8&lt;$AS221,"IKS","Décom."),IF(OR($AQ221="",$AS221=""),"",IF(H$8&lt;$AQ221,"IKS",IF(H$8&lt;$AS221,IF(H$8=$AR221,"Bascule","Double run"),"ROKS"))))))</f>
        <v/>
      </c>
      <c r="I221" s="51" t="str">
        <f aca="false">IF(OR($A221="",I$8=""),"",IF($F221="Migré","ROKS",IF($F221="À décommissionner",IF(I$8&lt;$AS221,"IKS","Décom."),IF(OR($AQ221="",$AS221=""),"",IF(I$8&lt;$AQ221,"IKS",IF(I$8&lt;$AS221,IF(I$8=$AR221,"Bascule","Double run"),"ROKS"))))))</f>
        <v/>
      </c>
      <c r="J221" s="51" t="str">
        <f aca="false">IF(OR($A221="",J$8=""),"",IF($F221="Migré","ROKS",IF($F221="À décommissionner",IF(J$8&lt;$AS221,"IKS","Décom."),IF(OR($AQ221="",$AS221=""),"",IF(J$8&lt;$AQ221,"IKS",IF(J$8&lt;$AS221,IF(J$8=$AR221,"Bascule","Double run"),"ROKS"))))))</f>
        <v/>
      </c>
      <c r="K221" s="51" t="str">
        <f aca="false">IF(OR($A221="",K$8=""),"",IF($F221="Migré","ROKS",IF($F221="À décommissionner",IF(K$8&lt;$AS221,"IKS","Décom."),IF(OR($AQ221="",$AS221=""),"",IF(K$8&lt;$AQ221,"IKS",IF(K$8&lt;$AS221,IF(K$8=$AR221,"Bascule","Double run"),"ROKS"))))))</f>
        <v/>
      </c>
      <c r="L221" s="51" t="str">
        <f aca="false">IF(OR($A221="",L$8=""),"",IF($F221="Migré","ROKS",IF($F221="À décommissionner",IF(L$8&lt;$AS221,"IKS","Décom."),IF(OR($AQ221="",$AS221=""),"",IF(L$8&lt;$AQ221,"IKS",IF(L$8&lt;$AS221,IF(L$8=$AR221,"Bascule","Double run"),"ROKS"))))))</f>
        <v/>
      </c>
      <c r="M221" s="51" t="str">
        <f aca="false">IF(OR($A221="",M$8=""),"",IF($F221="Migré","ROKS",IF($F221="À décommissionner",IF(M$8&lt;$AS221,"IKS","Décom."),IF(OR($AQ221="",$AS221=""),"",IF(M$8&lt;$AQ221,"IKS",IF(M$8&lt;$AS221,IF(M$8=$AR221,"Bascule","Double run"),"ROKS"))))))</f>
        <v/>
      </c>
      <c r="N221" s="51" t="str">
        <f aca="false">IF(OR($A221="",N$8=""),"",IF($F221="Migré","ROKS",IF($F221="À décommissionner",IF(N$8&lt;$AS221,"IKS","Décom."),IF(OR($AQ221="",$AS221=""),"",IF(N$8&lt;$AQ221,"IKS",IF(N$8&lt;$AS221,IF(N$8=$AR221,"Bascule","Double run"),"ROKS"))))))</f>
        <v/>
      </c>
      <c r="O221" s="51" t="str">
        <f aca="false">IF(OR($A221="",O$8=""),"",IF($F221="Migré","ROKS",IF($F221="À décommissionner",IF(O$8&lt;$AS221,"IKS","Décom."),IF(OR($AQ221="",$AS221=""),"",IF(O$8&lt;$AQ221,"IKS",IF(O$8&lt;$AS221,IF(O$8=$AR221,"Bascule","Double run"),"ROKS"))))))</f>
        <v/>
      </c>
      <c r="P221" s="51" t="str">
        <f aca="false">IF(OR($A221="",P$8=""),"",IF($F221="Migré","ROKS",IF($F221="À décommissionner",IF(P$8&lt;$AS221,"IKS","Décom."),IF(OR($AQ221="",$AS221=""),"",IF(P$8&lt;$AQ221,"IKS",IF(P$8&lt;$AS221,IF(P$8=$AR221,"Bascule","Double run"),"ROKS"))))))</f>
        <v/>
      </c>
      <c r="Q221" s="51" t="str">
        <f aca="false">IF(OR($A221="",Q$8=""),"",IF($F221="Migré","ROKS",IF($F221="À décommissionner",IF(Q$8&lt;$AS221,"IKS","Décom."),IF(OR($AQ221="",$AS221=""),"",IF(Q$8&lt;$AQ221,"IKS",IF(Q$8&lt;$AS221,IF(Q$8=$AR221,"Bascule","Double run"),"ROKS"))))))</f>
        <v/>
      </c>
      <c r="R221" s="51" t="str">
        <f aca="false">IF(OR($A221="",R$8=""),"",IF($F221="Migré","ROKS",IF($F221="À décommissionner",IF(R$8&lt;$AS221,"IKS","Décom."),IF(OR($AQ221="",$AS221=""),"",IF(R$8&lt;$AQ221,"IKS",IF(R$8&lt;$AS221,IF(R$8=$AR221,"Bascule","Double run"),"ROKS"))))))</f>
        <v/>
      </c>
      <c r="S221" s="51" t="str">
        <f aca="false">IF(OR($A221="",S$8=""),"",IF($F221="Migré","ROKS",IF($F221="À décommissionner",IF(S$8&lt;$AS221,"IKS","Décom."),IF(OR($AQ221="",$AS221=""),"",IF(S$8&lt;$AQ221,"IKS",IF(S$8&lt;$AS221,IF(S$8=$AR221,"Bascule","Double run"),"ROKS"))))))</f>
        <v/>
      </c>
      <c r="T221" s="51" t="str">
        <f aca="false">IF(OR($A221="",T$8=""),"",IF($F221="Migré","ROKS",IF($F221="À décommissionner",IF(T$8&lt;$AS221,"IKS","Décom."),IF(OR($AQ221="",$AS221=""),"",IF(T$8&lt;$AQ221,"IKS",IF(T$8&lt;$AS221,IF(T$8=$AR221,"Bascule","Double run"),"ROKS"))))))</f>
        <v/>
      </c>
      <c r="U221" s="51" t="str">
        <f aca="false">IF(OR($A221="",U$8=""),"",IF($F221="Migré","ROKS",IF($F221="À décommissionner",IF(U$8&lt;$AS221,"IKS","Décom."),IF(OR($AQ221="",$AS221=""),"",IF(U$8&lt;$AQ221,"IKS",IF(U$8&lt;$AS221,IF(U$8=$AR221,"Bascule","Double run"),"ROKS"))))))</f>
        <v/>
      </c>
      <c r="V221" s="51" t="str">
        <f aca="false">IF(OR($A221="",V$8=""),"",IF($F221="Migré","ROKS",IF($F221="À décommissionner",IF(V$8&lt;$AS221,"IKS","Décom."),IF(OR($AQ221="",$AS221=""),"",IF(V$8&lt;$AQ221,"IKS",IF(V$8&lt;$AS221,IF(V$8=$AR221,"Bascule","Double run"),"ROKS"))))))</f>
        <v/>
      </c>
      <c r="W221" s="51" t="str">
        <f aca="false">IF(OR($A221="",W$8=""),"",IF($F221="Migré","ROKS",IF($F221="À décommissionner",IF(W$8&lt;$AS221,"IKS","Décom."),IF(OR($AQ221="",$AS221=""),"",IF(W$8&lt;$AQ221,"IKS",IF(W$8&lt;$AS221,IF(W$8=$AR221,"Bascule","Double run"),"ROKS"))))))</f>
        <v/>
      </c>
      <c r="X221" s="51" t="str">
        <f aca="false">IF(OR($A221="",X$8=""),"",IF($F221="Migré","ROKS",IF($F221="À décommissionner",IF(X$8&lt;$AS221,"IKS","Décom."),IF(OR($AQ221="",$AS221=""),"",IF(X$8&lt;$AQ221,"IKS",IF(X$8&lt;$AS221,IF(X$8=$AR221,"Bascule","Double run"),"ROKS"))))))</f>
        <v/>
      </c>
      <c r="Y221" s="51" t="str">
        <f aca="false">IF(OR($A221="",Y$8=""),"",IF($F221="Migré","ROKS",IF($F221="À décommissionner",IF(Y$8&lt;$AS221,"IKS","Décom."),IF(OR($AQ221="",$AS221=""),"",IF(Y$8&lt;$AQ221,"IKS",IF(Y$8&lt;$AS221,IF(Y$8=$AR221,"Bascule","Double run"),"ROKS"))))))</f>
        <v/>
      </c>
      <c r="Z221" s="51" t="str">
        <f aca="false">IF(OR($A221="",Z$8=""),"",IF($F221="Migré","ROKS",IF($F221="À décommissionner",IF(Z$8&lt;$AS221,"IKS","Décom."),IF(OR($AQ221="",$AS221=""),"",IF(Z$8&lt;$AQ221,"IKS",IF(Z$8&lt;$AS221,IF(Z$8=$AR221,"Bascule","Double run"),"ROKS"))))))</f>
        <v/>
      </c>
      <c r="AA221" s="51" t="str">
        <f aca="false">IF(OR($A221="",AA$8=""),"",IF($F221="Migré","ROKS",IF($F221="À décommissionner",IF(AA$8&lt;$AS221,"IKS","Décom."),IF(OR($AQ221="",$AS221=""),"",IF(AA$8&lt;$AQ221,"IKS",IF(AA$8&lt;$AS221,IF(AA$8=$AR221,"Bascule","Double run"),"ROKS"))))))</f>
        <v/>
      </c>
      <c r="AB221" s="51" t="str">
        <f aca="false">IF(OR($A221="",AB$8=""),"",IF($F221="Migré","ROKS",IF($F221="À décommissionner",IF(AB$8&lt;$AS221,"IKS","Décom."),IF(OR($AQ221="",$AS221=""),"",IF(AB$8&lt;$AQ221,"IKS",IF(AB$8&lt;$AS221,IF(AB$8=$AR221,"Bascule","Double run"),"ROKS"))))))</f>
        <v/>
      </c>
      <c r="AC221" s="51" t="str">
        <f aca="false">IF(OR($A221="",AC$8=""),"",IF($F221="Migré","ROKS",IF($F221="À décommissionner",IF(AC$8&lt;$AS221,"IKS","Décom."),IF(OR($AQ221="",$AS221=""),"",IF(AC$8&lt;$AQ221,"IKS",IF(AC$8&lt;$AS221,IF(AC$8=$AR221,"Bascule","Double run"),"ROKS"))))))</f>
        <v/>
      </c>
      <c r="AD221" s="51" t="str">
        <f aca="false">IF(OR($A221="",AD$8=""),"",IF($F221="Migré","ROKS",IF($F221="À décommissionner",IF(AD$8&lt;$AS221,"IKS","Décom."),IF(OR($AQ221="",$AS221=""),"",IF(AD$8&lt;$AQ221,"IKS",IF(AD$8&lt;$AS221,IF(AD$8=$AR221,"Bascule","Double run"),"ROKS"))))))</f>
        <v/>
      </c>
      <c r="AE221" s="51" t="str">
        <f aca="false">IF(OR($A221="",AE$8=""),"",IF($F221="Migré","ROKS",IF($F221="À décommissionner",IF(AE$8&lt;$AS221,"IKS","Décom."),IF(OR($AQ221="",$AS221=""),"",IF(AE$8&lt;$AQ221,"IKS",IF(AE$8&lt;$AS221,IF(AE$8=$AR221,"Bascule","Double run"),"ROKS"))))))</f>
        <v/>
      </c>
      <c r="AF221" s="51" t="str">
        <f aca="false">IF(OR($A221="",AF$8=""),"",IF($F221="Migré","ROKS",IF($F221="À décommissionner",IF(AF$8&lt;$AS221,"IKS","Décom."),IF(OR($AQ221="",$AS221=""),"",IF(AF$8&lt;$AQ221,"IKS",IF(AF$8&lt;$AS221,IF(AF$8=$AR221,"Bascule","Double run"),"ROKS"))))))</f>
        <v/>
      </c>
      <c r="AG221" s="51" t="str">
        <f aca="false">IF(OR($A221="",AG$8=""),"",IF($F221="Migré","ROKS",IF($F221="À décommissionner",IF(AG$8&lt;$AS221,"IKS","Décom."),IF(OR($AQ221="",$AS221=""),"",IF(AG$8&lt;$AQ221,"IKS",IF(AG$8&lt;$AS221,IF(AG$8=$AR221,"Bascule","Double run"),"ROKS"))))))</f>
        <v/>
      </c>
      <c r="AH221" s="51" t="str">
        <f aca="false">IF(OR($A221="",AH$8=""),"",IF($F221="Migré","ROKS",IF($F221="À décommissionner",IF(AH$8&lt;$AS221,"IKS","Décom."),IF(OR($AQ221="",$AS221=""),"",IF(AH$8&lt;$AQ221,"IKS",IF(AH$8&lt;$AS221,IF(AH$8=$AR221,"Bascule","Double run"),"ROKS"))))))</f>
        <v/>
      </c>
      <c r="AI221" s="51" t="str">
        <f aca="false">IF(OR($A221="",AI$8=""),"",IF($F221="Migré","ROKS",IF($F221="À décommissionner",IF(AI$8&lt;$AS221,"IKS","Décom."),IF(OR($AQ221="",$AS221=""),"",IF(AI$8&lt;$AQ221,"IKS",IF(AI$8&lt;$AS221,IF(AI$8=$AR221,"Bascule","Double run"),"ROKS"))))))</f>
        <v/>
      </c>
      <c r="AJ221" s="51" t="str">
        <f aca="false">IF(OR($A221="",AJ$8=""),"",IF($F221="Migré","ROKS",IF($F221="À décommissionner",IF(AJ$8&lt;$AS221,"IKS","Décom."),IF(OR($AQ221="",$AS221=""),"",IF(AJ$8&lt;$AQ221,"IKS",IF(AJ$8&lt;$AS221,IF(AJ$8=$AR221,"Bascule","Double run"),"ROKS"))))))</f>
        <v/>
      </c>
      <c r="AK221" s="51" t="str">
        <f aca="false">IF(OR($A221="",AK$8=""),"",IF($F221="Migré","ROKS",IF($F221="À décommissionner",IF(AK$8&lt;$AS221,"IKS","Décom."),IF(OR($AQ221="",$AS221=""),"",IF(AK$8&lt;$AQ221,"IKS",IF(AK$8&lt;$AS221,IF(AK$8=$AR221,"Bascule","Double run"),"ROKS"))))))</f>
        <v/>
      </c>
      <c r="AL221" s="51" t="str">
        <f aca="false">IF(OR($A221="",AL$8=""),"",IF($F221="Migré","ROKS",IF($F221="À décommissionner",IF(AL$8&lt;$AS221,"IKS","Décom."),IF(OR($AQ221="",$AS221=""),"",IF(AL$8&lt;$AQ221,"IKS",IF(AL$8&lt;$AS221,IF(AL$8=$AR221,"Bascule","Double run"),"ROKS"))))))</f>
        <v/>
      </c>
      <c r="AM221" s="51" t="str">
        <f aca="false">IF(OR($A221="",AM$8=""),"",IF($F221="Migré","ROKS",IF($F221="À décommissionner",IF(AM$8&lt;$AS221,"IKS","Décom."),IF(OR($AQ221="",$AS221=""),"",IF(AM$8&lt;$AQ221,"IKS",IF(AM$8&lt;$AS221,IF(AM$8=$AR221,"Bascule","Double run"),"ROKS"))))))</f>
        <v/>
      </c>
      <c r="AN221" s="51" t="str">
        <f aca="false">IF(OR($A221="",AN$8=""),"",IF($F221="Migré","ROKS",IF($F221="À décommissionner",IF(AN$8&lt;$AS221,"IKS","Décom."),IF(OR($AQ221="",$AS221=""),"",IF(AN$8&lt;$AQ221,"IKS",IF(AN$8&lt;$AS221,IF(AN$8=$AR221,"Bascule","Double run"),"ROKS"))))))</f>
        <v/>
      </c>
      <c r="AO221" s="51" t="str">
        <f aca="false">IF(OR($A221="",AO$8=""),"",IF($F221="Migré","ROKS",IF($F221="À décommissionner",IF(AO$8&lt;$AS221,"IKS","Décom."),IF(OR($AQ221="",$AS221=""),"",IF(AO$8&lt;$AQ221,"IKS",IF(AO$8&lt;$AS221,IF(AO$8=$AR221,"Bascule","Double run"),"ROKS"))))))</f>
        <v/>
      </c>
      <c r="AP221" s="51" t="str">
        <f aca="false">IF(OR($A221="",AP$8=""),"",IF($F221="Migré","ROKS",IF($F221="À décommissionner",IF(AP$8&lt;$AS221,"IKS","Décom."),IF(OR($AQ221="",$AS221=""),"",IF(AP$8&lt;$AQ221,"IKS",IF(AP$8&lt;$AS221,IF(AP$8=$AR221,"Bascule","Double run"),"ROKS"))))))</f>
        <v/>
      </c>
      <c r="AQ221" s="0" t="str">
        <f aca="false">IF($A221="","",INDEX(TblApplications[Mois prov (calc)],$A221))</f>
        <v/>
      </c>
      <c r="AR221" s="0" t="str">
        <f aca="false">IF($A221="","",IFERROR(DATE(YEAR(INDEX(TblApplications[Mois bascule],$A221)),MONTH(INDEX(TblApplications[Mois bascule],$A221)),1),""))</f>
        <v/>
      </c>
      <c r="AS221" s="0" t="str">
        <f aca="false">IF($A221="","",INDEX(TblApplications[Mois lib (calc)],$A221))</f>
        <v/>
      </c>
    </row>
    <row r="222" customFormat="false" ht="15" hidden="false" customHeight="false" outlineLevel="0" collapsed="false">
      <c r="A222" s="49" t="str">
        <f aca="false">IFERROR(MATCH(214,TblApplications[Rang frise],0),"")</f>
        <v/>
      </c>
      <c r="B222" s="50" t="str">
        <f aca="false">IF($A222="","",INDEX(TblApplications[ID],$A222))</f>
        <v/>
      </c>
      <c r="C222" s="50" t="str">
        <f aca="false">IF($A222="","",INDEX(TblApplications[Application],$A222))</f>
        <v/>
      </c>
      <c r="D222" s="50" t="str">
        <f aca="false">IF($A222="","",INDEX(TblApplications[Environnement],$A222))</f>
        <v/>
      </c>
      <c r="E222" s="50" t="str">
        <f aca="false">IF($A222="","",INDEX(TblApplications[Couloir],$A222))</f>
        <v/>
      </c>
      <c r="F222" s="50" t="str">
        <f aca="false">IF($A222="","",INDEX(TblApplications[Action],$A222))</f>
        <v/>
      </c>
      <c r="G222" s="51" t="str">
        <f aca="false">IF(OR($A222="",G$8=""),"",IF($F222="Migré","ROKS",IF($F222="À décommissionner",IF(G$8&lt;$AS222,"IKS","Décom."),IF(OR($AQ222="",$AS222=""),"",IF(G$8&lt;$AQ222,"IKS",IF(G$8&lt;$AS222,IF(G$8=$AR222,"Bascule","Double run"),"ROKS"))))))</f>
        <v/>
      </c>
      <c r="H222" s="51" t="str">
        <f aca="false">IF(OR($A222="",H$8=""),"",IF($F222="Migré","ROKS",IF($F222="À décommissionner",IF(H$8&lt;$AS222,"IKS","Décom."),IF(OR($AQ222="",$AS222=""),"",IF(H$8&lt;$AQ222,"IKS",IF(H$8&lt;$AS222,IF(H$8=$AR222,"Bascule","Double run"),"ROKS"))))))</f>
        <v/>
      </c>
      <c r="I222" s="51" t="str">
        <f aca="false">IF(OR($A222="",I$8=""),"",IF($F222="Migré","ROKS",IF($F222="À décommissionner",IF(I$8&lt;$AS222,"IKS","Décom."),IF(OR($AQ222="",$AS222=""),"",IF(I$8&lt;$AQ222,"IKS",IF(I$8&lt;$AS222,IF(I$8=$AR222,"Bascule","Double run"),"ROKS"))))))</f>
        <v/>
      </c>
      <c r="J222" s="51" t="str">
        <f aca="false">IF(OR($A222="",J$8=""),"",IF($F222="Migré","ROKS",IF($F222="À décommissionner",IF(J$8&lt;$AS222,"IKS","Décom."),IF(OR($AQ222="",$AS222=""),"",IF(J$8&lt;$AQ222,"IKS",IF(J$8&lt;$AS222,IF(J$8=$AR222,"Bascule","Double run"),"ROKS"))))))</f>
        <v/>
      </c>
      <c r="K222" s="51" t="str">
        <f aca="false">IF(OR($A222="",K$8=""),"",IF($F222="Migré","ROKS",IF($F222="À décommissionner",IF(K$8&lt;$AS222,"IKS","Décom."),IF(OR($AQ222="",$AS222=""),"",IF(K$8&lt;$AQ222,"IKS",IF(K$8&lt;$AS222,IF(K$8=$AR222,"Bascule","Double run"),"ROKS"))))))</f>
        <v/>
      </c>
      <c r="L222" s="51" t="str">
        <f aca="false">IF(OR($A222="",L$8=""),"",IF($F222="Migré","ROKS",IF($F222="À décommissionner",IF(L$8&lt;$AS222,"IKS","Décom."),IF(OR($AQ222="",$AS222=""),"",IF(L$8&lt;$AQ222,"IKS",IF(L$8&lt;$AS222,IF(L$8=$AR222,"Bascule","Double run"),"ROKS"))))))</f>
        <v/>
      </c>
      <c r="M222" s="51" t="str">
        <f aca="false">IF(OR($A222="",M$8=""),"",IF($F222="Migré","ROKS",IF($F222="À décommissionner",IF(M$8&lt;$AS222,"IKS","Décom."),IF(OR($AQ222="",$AS222=""),"",IF(M$8&lt;$AQ222,"IKS",IF(M$8&lt;$AS222,IF(M$8=$AR222,"Bascule","Double run"),"ROKS"))))))</f>
        <v/>
      </c>
      <c r="N222" s="51" t="str">
        <f aca="false">IF(OR($A222="",N$8=""),"",IF($F222="Migré","ROKS",IF($F222="À décommissionner",IF(N$8&lt;$AS222,"IKS","Décom."),IF(OR($AQ222="",$AS222=""),"",IF(N$8&lt;$AQ222,"IKS",IF(N$8&lt;$AS222,IF(N$8=$AR222,"Bascule","Double run"),"ROKS"))))))</f>
        <v/>
      </c>
      <c r="O222" s="51" t="str">
        <f aca="false">IF(OR($A222="",O$8=""),"",IF($F222="Migré","ROKS",IF($F222="À décommissionner",IF(O$8&lt;$AS222,"IKS","Décom."),IF(OR($AQ222="",$AS222=""),"",IF(O$8&lt;$AQ222,"IKS",IF(O$8&lt;$AS222,IF(O$8=$AR222,"Bascule","Double run"),"ROKS"))))))</f>
        <v/>
      </c>
      <c r="P222" s="51" t="str">
        <f aca="false">IF(OR($A222="",P$8=""),"",IF($F222="Migré","ROKS",IF($F222="À décommissionner",IF(P$8&lt;$AS222,"IKS","Décom."),IF(OR($AQ222="",$AS222=""),"",IF(P$8&lt;$AQ222,"IKS",IF(P$8&lt;$AS222,IF(P$8=$AR222,"Bascule","Double run"),"ROKS"))))))</f>
        <v/>
      </c>
      <c r="Q222" s="51" t="str">
        <f aca="false">IF(OR($A222="",Q$8=""),"",IF($F222="Migré","ROKS",IF($F222="À décommissionner",IF(Q$8&lt;$AS222,"IKS","Décom."),IF(OR($AQ222="",$AS222=""),"",IF(Q$8&lt;$AQ222,"IKS",IF(Q$8&lt;$AS222,IF(Q$8=$AR222,"Bascule","Double run"),"ROKS"))))))</f>
        <v/>
      </c>
      <c r="R222" s="51" t="str">
        <f aca="false">IF(OR($A222="",R$8=""),"",IF($F222="Migré","ROKS",IF($F222="À décommissionner",IF(R$8&lt;$AS222,"IKS","Décom."),IF(OR($AQ222="",$AS222=""),"",IF(R$8&lt;$AQ222,"IKS",IF(R$8&lt;$AS222,IF(R$8=$AR222,"Bascule","Double run"),"ROKS"))))))</f>
        <v/>
      </c>
      <c r="S222" s="51" t="str">
        <f aca="false">IF(OR($A222="",S$8=""),"",IF($F222="Migré","ROKS",IF($F222="À décommissionner",IF(S$8&lt;$AS222,"IKS","Décom."),IF(OR($AQ222="",$AS222=""),"",IF(S$8&lt;$AQ222,"IKS",IF(S$8&lt;$AS222,IF(S$8=$AR222,"Bascule","Double run"),"ROKS"))))))</f>
        <v/>
      </c>
      <c r="T222" s="51" t="str">
        <f aca="false">IF(OR($A222="",T$8=""),"",IF($F222="Migré","ROKS",IF($F222="À décommissionner",IF(T$8&lt;$AS222,"IKS","Décom."),IF(OR($AQ222="",$AS222=""),"",IF(T$8&lt;$AQ222,"IKS",IF(T$8&lt;$AS222,IF(T$8=$AR222,"Bascule","Double run"),"ROKS"))))))</f>
        <v/>
      </c>
      <c r="U222" s="51" t="str">
        <f aca="false">IF(OR($A222="",U$8=""),"",IF($F222="Migré","ROKS",IF($F222="À décommissionner",IF(U$8&lt;$AS222,"IKS","Décom."),IF(OR($AQ222="",$AS222=""),"",IF(U$8&lt;$AQ222,"IKS",IF(U$8&lt;$AS222,IF(U$8=$AR222,"Bascule","Double run"),"ROKS"))))))</f>
        <v/>
      </c>
      <c r="V222" s="51" t="str">
        <f aca="false">IF(OR($A222="",V$8=""),"",IF($F222="Migré","ROKS",IF($F222="À décommissionner",IF(V$8&lt;$AS222,"IKS","Décom."),IF(OR($AQ222="",$AS222=""),"",IF(V$8&lt;$AQ222,"IKS",IF(V$8&lt;$AS222,IF(V$8=$AR222,"Bascule","Double run"),"ROKS"))))))</f>
        <v/>
      </c>
      <c r="W222" s="51" t="str">
        <f aca="false">IF(OR($A222="",W$8=""),"",IF($F222="Migré","ROKS",IF($F222="À décommissionner",IF(W$8&lt;$AS222,"IKS","Décom."),IF(OR($AQ222="",$AS222=""),"",IF(W$8&lt;$AQ222,"IKS",IF(W$8&lt;$AS222,IF(W$8=$AR222,"Bascule","Double run"),"ROKS"))))))</f>
        <v/>
      </c>
      <c r="X222" s="51" t="str">
        <f aca="false">IF(OR($A222="",X$8=""),"",IF($F222="Migré","ROKS",IF($F222="À décommissionner",IF(X$8&lt;$AS222,"IKS","Décom."),IF(OR($AQ222="",$AS222=""),"",IF(X$8&lt;$AQ222,"IKS",IF(X$8&lt;$AS222,IF(X$8=$AR222,"Bascule","Double run"),"ROKS"))))))</f>
        <v/>
      </c>
      <c r="Y222" s="51" t="str">
        <f aca="false">IF(OR($A222="",Y$8=""),"",IF($F222="Migré","ROKS",IF($F222="À décommissionner",IF(Y$8&lt;$AS222,"IKS","Décom."),IF(OR($AQ222="",$AS222=""),"",IF(Y$8&lt;$AQ222,"IKS",IF(Y$8&lt;$AS222,IF(Y$8=$AR222,"Bascule","Double run"),"ROKS"))))))</f>
        <v/>
      </c>
      <c r="Z222" s="51" t="str">
        <f aca="false">IF(OR($A222="",Z$8=""),"",IF($F222="Migré","ROKS",IF($F222="À décommissionner",IF(Z$8&lt;$AS222,"IKS","Décom."),IF(OR($AQ222="",$AS222=""),"",IF(Z$8&lt;$AQ222,"IKS",IF(Z$8&lt;$AS222,IF(Z$8=$AR222,"Bascule","Double run"),"ROKS"))))))</f>
        <v/>
      </c>
      <c r="AA222" s="51" t="str">
        <f aca="false">IF(OR($A222="",AA$8=""),"",IF($F222="Migré","ROKS",IF($F222="À décommissionner",IF(AA$8&lt;$AS222,"IKS","Décom."),IF(OR($AQ222="",$AS222=""),"",IF(AA$8&lt;$AQ222,"IKS",IF(AA$8&lt;$AS222,IF(AA$8=$AR222,"Bascule","Double run"),"ROKS"))))))</f>
        <v/>
      </c>
      <c r="AB222" s="51" t="str">
        <f aca="false">IF(OR($A222="",AB$8=""),"",IF($F222="Migré","ROKS",IF($F222="À décommissionner",IF(AB$8&lt;$AS222,"IKS","Décom."),IF(OR($AQ222="",$AS222=""),"",IF(AB$8&lt;$AQ222,"IKS",IF(AB$8&lt;$AS222,IF(AB$8=$AR222,"Bascule","Double run"),"ROKS"))))))</f>
        <v/>
      </c>
      <c r="AC222" s="51" t="str">
        <f aca="false">IF(OR($A222="",AC$8=""),"",IF($F222="Migré","ROKS",IF($F222="À décommissionner",IF(AC$8&lt;$AS222,"IKS","Décom."),IF(OR($AQ222="",$AS222=""),"",IF(AC$8&lt;$AQ222,"IKS",IF(AC$8&lt;$AS222,IF(AC$8=$AR222,"Bascule","Double run"),"ROKS"))))))</f>
        <v/>
      </c>
      <c r="AD222" s="51" t="str">
        <f aca="false">IF(OR($A222="",AD$8=""),"",IF($F222="Migré","ROKS",IF($F222="À décommissionner",IF(AD$8&lt;$AS222,"IKS","Décom."),IF(OR($AQ222="",$AS222=""),"",IF(AD$8&lt;$AQ222,"IKS",IF(AD$8&lt;$AS222,IF(AD$8=$AR222,"Bascule","Double run"),"ROKS"))))))</f>
        <v/>
      </c>
      <c r="AE222" s="51" t="str">
        <f aca="false">IF(OR($A222="",AE$8=""),"",IF($F222="Migré","ROKS",IF($F222="À décommissionner",IF(AE$8&lt;$AS222,"IKS","Décom."),IF(OR($AQ222="",$AS222=""),"",IF(AE$8&lt;$AQ222,"IKS",IF(AE$8&lt;$AS222,IF(AE$8=$AR222,"Bascule","Double run"),"ROKS"))))))</f>
        <v/>
      </c>
      <c r="AF222" s="51" t="str">
        <f aca="false">IF(OR($A222="",AF$8=""),"",IF($F222="Migré","ROKS",IF($F222="À décommissionner",IF(AF$8&lt;$AS222,"IKS","Décom."),IF(OR($AQ222="",$AS222=""),"",IF(AF$8&lt;$AQ222,"IKS",IF(AF$8&lt;$AS222,IF(AF$8=$AR222,"Bascule","Double run"),"ROKS"))))))</f>
        <v/>
      </c>
      <c r="AG222" s="51" t="str">
        <f aca="false">IF(OR($A222="",AG$8=""),"",IF($F222="Migré","ROKS",IF($F222="À décommissionner",IF(AG$8&lt;$AS222,"IKS","Décom."),IF(OR($AQ222="",$AS222=""),"",IF(AG$8&lt;$AQ222,"IKS",IF(AG$8&lt;$AS222,IF(AG$8=$AR222,"Bascule","Double run"),"ROKS"))))))</f>
        <v/>
      </c>
      <c r="AH222" s="51" t="str">
        <f aca="false">IF(OR($A222="",AH$8=""),"",IF($F222="Migré","ROKS",IF($F222="À décommissionner",IF(AH$8&lt;$AS222,"IKS","Décom."),IF(OR($AQ222="",$AS222=""),"",IF(AH$8&lt;$AQ222,"IKS",IF(AH$8&lt;$AS222,IF(AH$8=$AR222,"Bascule","Double run"),"ROKS"))))))</f>
        <v/>
      </c>
      <c r="AI222" s="51" t="str">
        <f aca="false">IF(OR($A222="",AI$8=""),"",IF($F222="Migré","ROKS",IF($F222="À décommissionner",IF(AI$8&lt;$AS222,"IKS","Décom."),IF(OR($AQ222="",$AS222=""),"",IF(AI$8&lt;$AQ222,"IKS",IF(AI$8&lt;$AS222,IF(AI$8=$AR222,"Bascule","Double run"),"ROKS"))))))</f>
        <v/>
      </c>
      <c r="AJ222" s="51" t="str">
        <f aca="false">IF(OR($A222="",AJ$8=""),"",IF($F222="Migré","ROKS",IF($F222="À décommissionner",IF(AJ$8&lt;$AS222,"IKS","Décom."),IF(OR($AQ222="",$AS222=""),"",IF(AJ$8&lt;$AQ222,"IKS",IF(AJ$8&lt;$AS222,IF(AJ$8=$AR222,"Bascule","Double run"),"ROKS"))))))</f>
        <v/>
      </c>
      <c r="AK222" s="51" t="str">
        <f aca="false">IF(OR($A222="",AK$8=""),"",IF($F222="Migré","ROKS",IF($F222="À décommissionner",IF(AK$8&lt;$AS222,"IKS","Décom."),IF(OR($AQ222="",$AS222=""),"",IF(AK$8&lt;$AQ222,"IKS",IF(AK$8&lt;$AS222,IF(AK$8=$AR222,"Bascule","Double run"),"ROKS"))))))</f>
        <v/>
      </c>
      <c r="AL222" s="51" t="str">
        <f aca="false">IF(OR($A222="",AL$8=""),"",IF($F222="Migré","ROKS",IF($F222="À décommissionner",IF(AL$8&lt;$AS222,"IKS","Décom."),IF(OR($AQ222="",$AS222=""),"",IF(AL$8&lt;$AQ222,"IKS",IF(AL$8&lt;$AS222,IF(AL$8=$AR222,"Bascule","Double run"),"ROKS"))))))</f>
        <v/>
      </c>
      <c r="AM222" s="51" t="str">
        <f aca="false">IF(OR($A222="",AM$8=""),"",IF($F222="Migré","ROKS",IF($F222="À décommissionner",IF(AM$8&lt;$AS222,"IKS","Décom."),IF(OR($AQ222="",$AS222=""),"",IF(AM$8&lt;$AQ222,"IKS",IF(AM$8&lt;$AS222,IF(AM$8=$AR222,"Bascule","Double run"),"ROKS"))))))</f>
        <v/>
      </c>
      <c r="AN222" s="51" t="str">
        <f aca="false">IF(OR($A222="",AN$8=""),"",IF($F222="Migré","ROKS",IF($F222="À décommissionner",IF(AN$8&lt;$AS222,"IKS","Décom."),IF(OR($AQ222="",$AS222=""),"",IF(AN$8&lt;$AQ222,"IKS",IF(AN$8&lt;$AS222,IF(AN$8=$AR222,"Bascule","Double run"),"ROKS"))))))</f>
        <v/>
      </c>
      <c r="AO222" s="51" t="str">
        <f aca="false">IF(OR($A222="",AO$8=""),"",IF($F222="Migré","ROKS",IF($F222="À décommissionner",IF(AO$8&lt;$AS222,"IKS","Décom."),IF(OR($AQ222="",$AS222=""),"",IF(AO$8&lt;$AQ222,"IKS",IF(AO$8&lt;$AS222,IF(AO$8=$AR222,"Bascule","Double run"),"ROKS"))))))</f>
        <v/>
      </c>
      <c r="AP222" s="51" t="str">
        <f aca="false">IF(OR($A222="",AP$8=""),"",IF($F222="Migré","ROKS",IF($F222="À décommissionner",IF(AP$8&lt;$AS222,"IKS","Décom."),IF(OR($AQ222="",$AS222=""),"",IF(AP$8&lt;$AQ222,"IKS",IF(AP$8&lt;$AS222,IF(AP$8=$AR222,"Bascule","Double run"),"ROKS"))))))</f>
        <v/>
      </c>
      <c r="AQ222" s="0" t="str">
        <f aca="false">IF($A222="","",INDEX(TblApplications[Mois prov (calc)],$A222))</f>
        <v/>
      </c>
      <c r="AR222" s="0" t="str">
        <f aca="false">IF($A222="","",IFERROR(DATE(YEAR(INDEX(TblApplications[Mois bascule],$A222)),MONTH(INDEX(TblApplications[Mois bascule],$A222)),1),""))</f>
        <v/>
      </c>
      <c r="AS222" s="0" t="str">
        <f aca="false">IF($A222="","",INDEX(TblApplications[Mois lib (calc)],$A222))</f>
        <v/>
      </c>
    </row>
    <row r="223" customFormat="false" ht="15" hidden="false" customHeight="false" outlineLevel="0" collapsed="false">
      <c r="A223" s="49" t="str">
        <f aca="false">IFERROR(MATCH(215,TblApplications[Rang frise],0),"")</f>
        <v/>
      </c>
      <c r="B223" s="50" t="str">
        <f aca="false">IF($A223="","",INDEX(TblApplications[ID],$A223))</f>
        <v/>
      </c>
      <c r="C223" s="50" t="str">
        <f aca="false">IF($A223="","",INDEX(TblApplications[Application],$A223))</f>
        <v/>
      </c>
      <c r="D223" s="50" t="str">
        <f aca="false">IF($A223="","",INDEX(TblApplications[Environnement],$A223))</f>
        <v/>
      </c>
      <c r="E223" s="50" t="str">
        <f aca="false">IF($A223="","",INDEX(TblApplications[Couloir],$A223))</f>
        <v/>
      </c>
      <c r="F223" s="50" t="str">
        <f aca="false">IF($A223="","",INDEX(TblApplications[Action],$A223))</f>
        <v/>
      </c>
      <c r="G223" s="51" t="str">
        <f aca="false">IF(OR($A223="",G$8=""),"",IF($F223="Migré","ROKS",IF($F223="À décommissionner",IF(G$8&lt;$AS223,"IKS","Décom."),IF(OR($AQ223="",$AS223=""),"",IF(G$8&lt;$AQ223,"IKS",IF(G$8&lt;$AS223,IF(G$8=$AR223,"Bascule","Double run"),"ROKS"))))))</f>
        <v/>
      </c>
      <c r="H223" s="51" t="str">
        <f aca="false">IF(OR($A223="",H$8=""),"",IF($F223="Migré","ROKS",IF($F223="À décommissionner",IF(H$8&lt;$AS223,"IKS","Décom."),IF(OR($AQ223="",$AS223=""),"",IF(H$8&lt;$AQ223,"IKS",IF(H$8&lt;$AS223,IF(H$8=$AR223,"Bascule","Double run"),"ROKS"))))))</f>
        <v/>
      </c>
      <c r="I223" s="51" t="str">
        <f aca="false">IF(OR($A223="",I$8=""),"",IF($F223="Migré","ROKS",IF($F223="À décommissionner",IF(I$8&lt;$AS223,"IKS","Décom."),IF(OR($AQ223="",$AS223=""),"",IF(I$8&lt;$AQ223,"IKS",IF(I$8&lt;$AS223,IF(I$8=$AR223,"Bascule","Double run"),"ROKS"))))))</f>
        <v/>
      </c>
      <c r="J223" s="51" t="str">
        <f aca="false">IF(OR($A223="",J$8=""),"",IF($F223="Migré","ROKS",IF($F223="À décommissionner",IF(J$8&lt;$AS223,"IKS","Décom."),IF(OR($AQ223="",$AS223=""),"",IF(J$8&lt;$AQ223,"IKS",IF(J$8&lt;$AS223,IF(J$8=$AR223,"Bascule","Double run"),"ROKS"))))))</f>
        <v/>
      </c>
      <c r="K223" s="51" t="str">
        <f aca="false">IF(OR($A223="",K$8=""),"",IF($F223="Migré","ROKS",IF($F223="À décommissionner",IF(K$8&lt;$AS223,"IKS","Décom."),IF(OR($AQ223="",$AS223=""),"",IF(K$8&lt;$AQ223,"IKS",IF(K$8&lt;$AS223,IF(K$8=$AR223,"Bascule","Double run"),"ROKS"))))))</f>
        <v/>
      </c>
      <c r="L223" s="51" t="str">
        <f aca="false">IF(OR($A223="",L$8=""),"",IF($F223="Migré","ROKS",IF($F223="À décommissionner",IF(L$8&lt;$AS223,"IKS","Décom."),IF(OR($AQ223="",$AS223=""),"",IF(L$8&lt;$AQ223,"IKS",IF(L$8&lt;$AS223,IF(L$8=$AR223,"Bascule","Double run"),"ROKS"))))))</f>
        <v/>
      </c>
      <c r="M223" s="51" t="str">
        <f aca="false">IF(OR($A223="",M$8=""),"",IF($F223="Migré","ROKS",IF($F223="À décommissionner",IF(M$8&lt;$AS223,"IKS","Décom."),IF(OR($AQ223="",$AS223=""),"",IF(M$8&lt;$AQ223,"IKS",IF(M$8&lt;$AS223,IF(M$8=$AR223,"Bascule","Double run"),"ROKS"))))))</f>
        <v/>
      </c>
      <c r="N223" s="51" t="str">
        <f aca="false">IF(OR($A223="",N$8=""),"",IF($F223="Migré","ROKS",IF($F223="À décommissionner",IF(N$8&lt;$AS223,"IKS","Décom."),IF(OR($AQ223="",$AS223=""),"",IF(N$8&lt;$AQ223,"IKS",IF(N$8&lt;$AS223,IF(N$8=$AR223,"Bascule","Double run"),"ROKS"))))))</f>
        <v/>
      </c>
      <c r="O223" s="51" t="str">
        <f aca="false">IF(OR($A223="",O$8=""),"",IF($F223="Migré","ROKS",IF($F223="À décommissionner",IF(O$8&lt;$AS223,"IKS","Décom."),IF(OR($AQ223="",$AS223=""),"",IF(O$8&lt;$AQ223,"IKS",IF(O$8&lt;$AS223,IF(O$8=$AR223,"Bascule","Double run"),"ROKS"))))))</f>
        <v/>
      </c>
      <c r="P223" s="51" t="str">
        <f aca="false">IF(OR($A223="",P$8=""),"",IF($F223="Migré","ROKS",IF($F223="À décommissionner",IF(P$8&lt;$AS223,"IKS","Décom."),IF(OR($AQ223="",$AS223=""),"",IF(P$8&lt;$AQ223,"IKS",IF(P$8&lt;$AS223,IF(P$8=$AR223,"Bascule","Double run"),"ROKS"))))))</f>
        <v/>
      </c>
      <c r="Q223" s="51" t="str">
        <f aca="false">IF(OR($A223="",Q$8=""),"",IF($F223="Migré","ROKS",IF($F223="À décommissionner",IF(Q$8&lt;$AS223,"IKS","Décom."),IF(OR($AQ223="",$AS223=""),"",IF(Q$8&lt;$AQ223,"IKS",IF(Q$8&lt;$AS223,IF(Q$8=$AR223,"Bascule","Double run"),"ROKS"))))))</f>
        <v/>
      </c>
      <c r="R223" s="51" t="str">
        <f aca="false">IF(OR($A223="",R$8=""),"",IF($F223="Migré","ROKS",IF($F223="À décommissionner",IF(R$8&lt;$AS223,"IKS","Décom."),IF(OR($AQ223="",$AS223=""),"",IF(R$8&lt;$AQ223,"IKS",IF(R$8&lt;$AS223,IF(R$8=$AR223,"Bascule","Double run"),"ROKS"))))))</f>
        <v/>
      </c>
      <c r="S223" s="51" t="str">
        <f aca="false">IF(OR($A223="",S$8=""),"",IF($F223="Migré","ROKS",IF($F223="À décommissionner",IF(S$8&lt;$AS223,"IKS","Décom."),IF(OR($AQ223="",$AS223=""),"",IF(S$8&lt;$AQ223,"IKS",IF(S$8&lt;$AS223,IF(S$8=$AR223,"Bascule","Double run"),"ROKS"))))))</f>
        <v/>
      </c>
      <c r="T223" s="51" t="str">
        <f aca="false">IF(OR($A223="",T$8=""),"",IF($F223="Migré","ROKS",IF($F223="À décommissionner",IF(T$8&lt;$AS223,"IKS","Décom."),IF(OR($AQ223="",$AS223=""),"",IF(T$8&lt;$AQ223,"IKS",IF(T$8&lt;$AS223,IF(T$8=$AR223,"Bascule","Double run"),"ROKS"))))))</f>
        <v/>
      </c>
      <c r="U223" s="51" t="str">
        <f aca="false">IF(OR($A223="",U$8=""),"",IF($F223="Migré","ROKS",IF($F223="À décommissionner",IF(U$8&lt;$AS223,"IKS","Décom."),IF(OR($AQ223="",$AS223=""),"",IF(U$8&lt;$AQ223,"IKS",IF(U$8&lt;$AS223,IF(U$8=$AR223,"Bascule","Double run"),"ROKS"))))))</f>
        <v/>
      </c>
      <c r="V223" s="51" t="str">
        <f aca="false">IF(OR($A223="",V$8=""),"",IF($F223="Migré","ROKS",IF($F223="À décommissionner",IF(V$8&lt;$AS223,"IKS","Décom."),IF(OR($AQ223="",$AS223=""),"",IF(V$8&lt;$AQ223,"IKS",IF(V$8&lt;$AS223,IF(V$8=$AR223,"Bascule","Double run"),"ROKS"))))))</f>
        <v/>
      </c>
      <c r="W223" s="51" t="str">
        <f aca="false">IF(OR($A223="",W$8=""),"",IF($F223="Migré","ROKS",IF($F223="À décommissionner",IF(W$8&lt;$AS223,"IKS","Décom."),IF(OR($AQ223="",$AS223=""),"",IF(W$8&lt;$AQ223,"IKS",IF(W$8&lt;$AS223,IF(W$8=$AR223,"Bascule","Double run"),"ROKS"))))))</f>
        <v/>
      </c>
      <c r="X223" s="51" t="str">
        <f aca="false">IF(OR($A223="",X$8=""),"",IF($F223="Migré","ROKS",IF($F223="À décommissionner",IF(X$8&lt;$AS223,"IKS","Décom."),IF(OR($AQ223="",$AS223=""),"",IF(X$8&lt;$AQ223,"IKS",IF(X$8&lt;$AS223,IF(X$8=$AR223,"Bascule","Double run"),"ROKS"))))))</f>
        <v/>
      </c>
      <c r="Y223" s="51" t="str">
        <f aca="false">IF(OR($A223="",Y$8=""),"",IF($F223="Migré","ROKS",IF($F223="À décommissionner",IF(Y$8&lt;$AS223,"IKS","Décom."),IF(OR($AQ223="",$AS223=""),"",IF(Y$8&lt;$AQ223,"IKS",IF(Y$8&lt;$AS223,IF(Y$8=$AR223,"Bascule","Double run"),"ROKS"))))))</f>
        <v/>
      </c>
      <c r="Z223" s="51" t="str">
        <f aca="false">IF(OR($A223="",Z$8=""),"",IF($F223="Migré","ROKS",IF($F223="À décommissionner",IF(Z$8&lt;$AS223,"IKS","Décom."),IF(OR($AQ223="",$AS223=""),"",IF(Z$8&lt;$AQ223,"IKS",IF(Z$8&lt;$AS223,IF(Z$8=$AR223,"Bascule","Double run"),"ROKS"))))))</f>
        <v/>
      </c>
      <c r="AA223" s="51" t="str">
        <f aca="false">IF(OR($A223="",AA$8=""),"",IF($F223="Migré","ROKS",IF($F223="À décommissionner",IF(AA$8&lt;$AS223,"IKS","Décom."),IF(OR($AQ223="",$AS223=""),"",IF(AA$8&lt;$AQ223,"IKS",IF(AA$8&lt;$AS223,IF(AA$8=$AR223,"Bascule","Double run"),"ROKS"))))))</f>
        <v/>
      </c>
      <c r="AB223" s="51" t="str">
        <f aca="false">IF(OR($A223="",AB$8=""),"",IF($F223="Migré","ROKS",IF($F223="À décommissionner",IF(AB$8&lt;$AS223,"IKS","Décom."),IF(OR($AQ223="",$AS223=""),"",IF(AB$8&lt;$AQ223,"IKS",IF(AB$8&lt;$AS223,IF(AB$8=$AR223,"Bascule","Double run"),"ROKS"))))))</f>
        <v/>
      </c>
      <c r="AC223" s="51" t="str">
        <f aca="false">IF(OR($A223="",AC$8=""),"",IF($F223="Migré","ROKS",IF($F223="À décommissionner",IF(AC$8&lt;$AS223,"IKS","Décom."),IF(OR($AQ223="",$AS223=""),"",IF(AC$8&lt;$AQ223,"IKS",IF(AC$8&lt;$AS223,IF(AC$8=$AR223,"Bascule","Double run"),"ROKS"))))))</f>
        <v/>
      </c>
      <c r="AD223" s="51" t="str">
        <f aca="false">IF(OR($A223="",AD$8=""),"",IF($F223="Migré","ROKS",IF($F223="À décommissionner",IF(AD$8&lt;$AS223,"IKS","Décom."),IF(OR($AQ223="",$AS223=""),"",IF(AD$8&lt;$AQ223,"IKS",IF(AD$8&lt;$AS223,IF(AD$8=$AR223,"Bascule","Double run"),"ROKS"))))))</f>
        <v/>
      </c>
      <c r="AE223" s="51" t="str">
        <f aca="false">IF(OR($A223="",AE$8=""),"",IF($F223="Migré","ROKS",IF($F223="À décommissionner",IF(AE$8&lt;$AS223,"IKS","Décom."),IF(OR($AQ223="",$AS223=""),"",IF(AE$8&lt;$AQ223,"IKS",IF(AE$8&lt;$AS223,IF(AE$8=$AR223,"Bascule","Double run"),"ROKS"))))))</f>
        <v/>
      </c>
      <c r="AF223" s="51" t="str">
        <f aca="false">IF(OR($A223="",AF$8=""),"",IF($F223="Migré","ROKS",IF($F223="À décommissionner",IF(AF$8&lt;$AS223,"IKS","Décom."),IF(OR($AQ223="",$AS223=""),"",IF(AF$8&lt;$AQ223,"IKS",IF(AF$8&lt;$AS223,IF(AF$8=$AR223,"Bascule","Double run"),"ROKS"))))))</f>
        <v/>
      </c>
      <c r="AG223" s="51" t="str">
        <f aca="false">IF(OR($A223="",AG$8=""),"",IF($F223="Migré","ROKS",IF($F223="À décommissionner",IF(AG$8&lt;$AS223,"IKS","Décom."),IF(OR($AQ223="",$AS223=""),"",IF(AG$8&lt;$AQ223,"IKS",IF(AG$8&lt;$AS223,IF(AG$8=$AR223,"Bascule","Double run"),"ROKS"))))))</f>
        <v/>
      </c>
      <c r="AH223" s="51" t="str">
        <f aca="false">IF(OR($A223="",AH$8=""),"",IF($F223="Migré","ROKS",IF($F223="À décommissionner",IF(AH$8&lt;$AS223,"IKS","Décom."),IF(OR($AQ223="",$AS223=""),"",IF(AH$8&lt;$AQ223,"IKS",IF(AH$8&lt;$AS223,IF(AH$8=$AR223,"Bascule","Double run"),"ROKS"))))))</f>
        <v/>
      </c>
      <c r="AI223" s="51" t="str">
        <f aca="false">IF(OR($A223="",AI$8=""),"",IF($F223="Migré","ROKS",IF($F223="À décommissionner",IF(AI$8&lt;$AS223,"IKS","Décom."),IF(OR($AQ223="",$AS223=""),"",IF(AI$8&lt;$AQ223,"IKS",IF(AI$8&lt;$AS223,IF(AI$8=$AR223,"Bascule","Double run"),"ROKS"))))))</f>
        <v/>
      </c>
      <c r="AJ223" s="51" t="str">
        <f aca="false">IF(OR($A223="",AJ$8=""),"",IF($F223="Migré","ROKS",IF($F223="À décommissionner",IF(AJ$8&lt;$AS223,"IKS","Décom."),IF(OR($AQ223="",$AS223=""),"",IF(AJ$8&lt;$AQ223,"IKS",IF(AJ$8&lt;$AS223,IF(AJ$8=$AR223,"Bascule","Double run"),"ROKS"))))))</f>
        <v/>
      </c>
      <c r="AK223" s="51" t="str">
        <f aca="false">IF(OR($A223="",AK$8=""),"",IF($F223="Migré","ROKS",IF($F223="À décommissionner",IF(AK$8&lt;$AS223,"IKS","Décom."),IF(OR($AQ223="",$AS223=""),"",IF(AK$8&lt;$AQ223,"IKS",IF(AK$8&lt;$AS223,IF(AK$8=$AR223,"Bascule","Double run"),"ROKS"))))))</f>
        <v/>
      </c>
      <c r="AL223" s="51" t="str">
        <f aca="false">IF(OR($A223="",AL$8=""),"",IF($F223="Migré","ROKS",IF($F223="À décommissionner",IF(AL$8&lt;$AS223,"IKS","Décom."),IF(OR($AQ223="",$AS223=""),"",IF(AL$8&lt;$AQ223,"IKS",IF(AL$8&lt;$AS223,IF(AL$8=$AR223,"Bascule","Double run"),"ROKS"))))))</f>
        <v/>
      </c>
      <c r="AM223" s="51" t="str">
        <f aca="false">IF(OR($A223="",AM$8=""),"",IF($F223="Migré","ROKS",IF($F223="À décommissionner",IF(AM$8&lt;$AS223,"IKS","Décom."),IF(OR($AQ223="",$AS223=""),"",IF(AM$8&lt;$AQ223,"IKS",IF(AM$8&lt;$AS223,IF(AM$8=$AR223,"Bascule","Double run"),"ROKS"))))))</f>
        <v/>
      </c>
      <c r="AN223" s="51" t="str">
        <f aca="false">IF(OR($A223="",AN$8=""),"",IF($F223="Migré","ROKS",IF($F223="À décommissionner",IF(AN$8&lt;$AS223,"IKS","Décom."),IF(OR($AQ223="",$AS223=""),"",IF(AN$8&lt;$AQ223,"IKS",IF(AN$8&lt;$AS223,IF(AN$8=$AR223,"Bascule","Double run"),"ROKS"))))))</f>
        <v/>
      </c>
      <c r="AO223" s="51" t="str">
        <f aca="false">IF(OR($A223="",AO$8=""),"",IF($F223="Migré","ROKS",IF($F223="À décommissionner",IF(AO$8&lt;$AS223,"IKS","Décom."),IF(OR($AQ223="",$AS223=""),"",IF(AO$8&lt;$AQ223,"IKS",IF(AO$8&lt;$AS223,IF(AO$8=$AR223,"Bascule","Double run"),"ROKS"))))))</f>
        <v/>
      </c>
      <c r="AP223" s="51" t="str">
        <f aca="false">IF(OR($A223="",AP$8=""),"",IF($F223="Migré","ROKS",IF($F223="À décommissionner",IF(AP$8&lt;$AS223,"IKS","Décom."),IF(OR($AQ223="",$AS223=""),"",IF(AP$8&lt;$AQ223,"IKS",IF(AP$8&lt;$AS223,IF(AP$8=$AR223,"Bascule","Double run"),"ROKS"))))))</f>
        <v/>
      </c>
      <c r="AQ223" s="0" t="str">
        <f aca="false">IF($A223="","",INDEX(TblApplications[Mois prov (calc)],$A223))</f>
        <v/>
      </c>
      <c r="AR223" s="0" t="str">
        <f aca="false">IF($A223="","",IFERROR(DATE(YEAR(INDEX(TblApplications[Mois bascule],$A223)),MONTH(INDEX(TblApplications[Mois bascule],$A223)),1),""))</f>
        <v/>
      </c>
      <c r="AS223" s="0" t="str">
        <f aca="false">IF($A223="","",INDEX(TblApplications[Mois lib (calc)],$A223))</f>
        <v/>
      </c>
    </row>
    <row r="224" customFormat="false" ht="15" hidden="false" customHeight="false" outlineLevel="0" collapsed="false">
      <c r="A224" s="49" t="str">
        <f aca="false">IFERROR(MATCH(216,TblApplications[Rang frise],0),"")</f>
        <v/>
      </c>
      <c r="B224" s="50" t="str">
        <f aca="false">IF($A224="","",INDEX(TblApplications[ID],$A224))</f>
        <v/>
      </c>
      <c r="C224" s="50" t="str">
        <f aca="false">IF($A224="","",INDEX(TblApplications[Application],$A224))</f>
        <v/>
      </c>
      <c r="D224" s="50" t="str">
        <f aca="false">IF($A224="","",INDEX(TblApplications[Environnement],$A224))</f>
        <v/>
      </c>
      <c r="E224" s="50" t="str">
        <f aca="false">IF($A224="","",INDEX(TblApplications[Couloir],$A224))</f>
        <v/>
      </c>
      <c r="F224" s="50" t="str">
        <f aca="false">IF($A224="","",INDEX(TblApplications[Action],$A224))</f>
        <v/>
      </c>
      <c r="G224" s="51" t="str">
        <f aca="false">IF(OR($A224="",G$8=""),"",IF($F224="Migré","ROKS",IF($F224="À décommissionner",IF(G$8&lt;$AS224,"IKS","Décom."),IF(OR($AQ224="",$AS224=""),"",IF(G$8&lt;$AQ224,"IKS",IF(G$8&lt;$AS224,IF(G$8=$AR224,"Bascule","Double run"),"ROKS"))))))</f>
        <v/>
      </c>
      <c r="H224" s="51" t="str">
        <f aca="false">IF(OR($A224="",H$8=""),"",IF($F224="Migré","ROKS",IF($F224="À décommissionner",IF(H$8&lt;$AS224,"IKS","Décom."),IF(OR($AQ224="",$AS224=""),"",IF(H$8&lt;$AQ224,"IKS",IF(H$8&lt;$AS224,IF(H$8=$AR224,"Bascule","Double run"),"ROKS"))))))</f>
        <v/>
      </c>
      <c r="I224" s="51" t="str">
        <f aca="false">IF(OR($A224="",I$8=""),"",IF($F224="Migré","ROKS",IF($F224="À décommissionner",IF(I$8&lt;$AS224,"IKS","Décom."),IF(OR($AQ224="",$AS224=""),"",IF(I$8&lt;$AQ224,"IKS",IF(I$8&lt;$AS224,IF(I$8=$AR224,"Bascule","Double run"),"ROKS"))))))</f>
        <v/>
      </c>
      <c r="J224" s="51" t="str">
        <f aca="false">IF(OR($A224="",J$8=""),"",IF($F224="Migré","ROKS",IF($F224="À décommissionner",IF(J$8&lt;$AS224,"IKS","Décom."),IF(OR($AQ224="",$AS224=""),"",IF(J$8&lt;$AQ224,"IKS",IF(J$8&lt;$AS224,IF(J$8=$AR224,"Bascule","Double run"),"ROKS"))))))</f>
        <v/>
      </c>
      <c r="K224" s="51" t="str">
        <f aca="false">IF(OR($A224="",K$8=""),"",IF($F224="Migré","ROKS",IF($F224="À décommissionner",IF(K$8&lt;$AS224,"IKS","Décom."),IF(OR($AQ224="",$AS224=""),"",IF(K$8&lt;$AQ224,"IKS",IF(K$8&lt;$AS224,IF(K$8=$AR224,"Bascule","Double run"),"ROKS"))))))</f>
        <v/>
      </c>
      <c r="L224" s="51" t="str">
        <f aca="false">IF(OR($A224="",L$8=""),"",IF($F224="Migré","ROKS",IF($F224="À décommissionner",IF(L$8&lt;$AS224,"IKS","Décom."),IF(OR($AQ224="",$AS224=""),"",IF(L$8&lt;$AQ224,"IKS",IF(L$8&lt;$AS224,IF(L$8=$AR224,"Bascule","Double run"),"ROKS"))))))</f>
        <v/>
      </c>
      <c r="M224" s="51" t="str">
        <f aca="false">IF(OR($A224="",M$8=""),"",IF($F224="Migré","ROKS",IF($F224="À décommissionner",IF(M$8&lt;$AS224,"IKS","Décom."),IF(OR($AQ224="",$AS224=""),"",IF(M$8&lt;$AQ224,"IKS",IF(M$8&lt;$AS224,IF(M$8=$AR224,"Bascule","Double run"),"ROKS"))))))</f>
        <v/>
      </c>
      <c r="N224" s="51" t="str">
        <f aca="false">IF(OR($A224="",N$8=""),"",IF($F224="Migré","ROKS",IF($F224="À décommissionner",IF(N$8&lt;$AS224,"IKS","Décom."),IF(OR($AQ224="",$AS224=""),"",IF(N$8&lt;$AQ224,"IKS",IF(N$8&lt;$AS224,IF(N$8=$AR224,"Bascule","Double run"),"ROKS"))))))</f>
        <v/>
      </c>
      <c r="O224" s="51" t="str">
        <f aca="false">IF(OR($A224="",O$8=""),"",IF($F224="Migré","ROKS",IF($F224="À décommissionner",IF(O$8&lt;$AS224,"IKS","Décom."),IF(OR($AQ224="",$AS224=""),"",IF(O$8&lt;$AQ224,"IKS",IF(O$8&lt;$AS224,IF(O$8=$AR224,"Bascule","Double run"),"ROKS"))))))</f>
        <v/>
      </c>
      <c r="P224" s="51" t="str">
        <f aca="false">IF(OR($A224="",P$8=""),"",IF($F224="Migré","ROKS",IF($F224="À décommissionner",IF(P$8&lt;$AS224,"IKS","Décom."),IF(OR($AQ224="",$AS224=""),"",IF(P$8&lt;$AQ224,"IKS",IF(P$8&lt;$AS224,IF(P$8=$AR224,"Bascule","Double run"),"ROKS"))))))</f>
        <v/>
      </c>
      <c r="Q224" s="51" t="str">
        <f aca="false">IF(OR($A224="",Q$8=""),"",IF($F224="Migré","ROKS",IF($F224="À décommissionner",IF(Q$8&lt;$AS224,"IKS","Décom."),IF(OR($AQ224="",$AS224=""),"",IF(Q$8&lt;$AQ224,"IKS",IF(Q$8&lt;$AS224,IF(Q$8=$AR224,"Bascule","Double run"),"ROKS"))))))</f>
        <v/>
      </c>
      <c r="R224" s="51" t="str">
        <f aca="false">IF(OR($A224="",R$8=""),"",IF($F224="Migré","ROKS",IF($F224="À décommissionner",IF(R$8&lt;$AS224,"IKS","Décom."),IF(OR($AQ224="",$AS224=""),"",IF(R$8&lt;$AQ224,"IKS",IF(R$8&lt;$AS224,IF(R$8=$AR224,"Bascule","Double run"),"ROKS"))))))</f>
        <v/>
      </c>
      <c r="S224" s="51" t="str">
        <f aca="false">IF(OR($A224="",S$8=""),"",IF($F224="Migré","ROKS",IF($F224="À décommissionner",IF(S$8&lt;$AS224,"IKS","Décom."),IF(OR($AQ224="",$AS224=""),"",IF(S$8&lt;$AQ224,"IKS",IF(S$8&lt;$AS224,IF(S$8=$AR224,"Bascule","Double run"),"ROKS"))))))</f>
        <v/>
      </c>
      <c r="T224" s="51" t="str">
        <f aca="false">IF(OR($A224="",T$8=""),"",IF($F224="Migré","ROKS",IF($F224="À décommissionner",IF(T$8&lt;$AS224,"IKS","Décom."),IF(OR($AQ224="",$AS224=""),"",IF(T$8&lt;$AQ224,"IKS",IF(T$8&lt;$AS224,IF(T$8=$AR224,"Bascule","Double run"),"ROKS"))))))</f>
        <v/>
      </c>
      <c r="U224" s="51" t="str">
        <f aca="false">IF(OR($A224="",U$8=""),"",IF($F224="Migré","ROKS",IF($F224="À décommissionner",IF(U$8&lt;$AS224,"IKS","Décom."),IF(OR($AQ224="",$AS224=""),"",IF(U$8&lt;$AQ224,"IKS",IF(U$8&lt;$AS224,IF(U$8=$AR224,"Bascule","Double run"),"ROKS"))))))</f>
        <v/>
      </c>
      <c r="V224" s="51" t="str">
        <f aca="false">IF(OR($A224="",V$8=""),"",IF($F224="Migré","ROKS",IF($F224="À décommissionner",IF(V$8&lt;$AS224,"IKS","Décom."),IF(OR($AQ224="",$AS224=""),"",IF(V$8&lt;$AQ224,"IKS",IF(V$8&lt;$AS224,IF(V$8=$AR224,"Bascule","Double run"),"ROKS"))))))</f>
        <v/>
      </c>
      <c r="W224" s="51" t="str">
        <f aca="false">IF(OR($A224="",W$8=""),"",IF($F224="Migré","ROKS",IF($F224="À décommissionner",IF(W$8&lt;$AS224,"IKS","Décom."),IF(OR($AQ224="",$AS224=""),"",IF(W$8&lt;$AQ224,"IKS",IF(W$8&lt;$AS224,IF(W$8=$AR224,"Bascule","Double run"),"ROKS"))))))</f>
        <v/>
      </c>
      <c r="X224" s="51" t="str">
        <f aca="false">IF(OR($A224="",X$8=""),"",IF($F224="Migré","ROKS",IF($F224="À décommissionner",IF(X$8&lt;$AS224,"IKS","Décom."),IF(OR($AQ224="",$AS224=""),"",IF(X$8&lt;$AQ224,"IKS",IF(X$8&lt;$AS224,IF(X$8=$AR224,"Bascule","Double run"),"ROKS"))))))</f>
        <v/>
      </c>
      <c r="Y224" s="51" t="str">
        <f aca="false">IF(OR($A224="",Y$8=""),"",IF($F224="Migré","ROKS",IF($F224="À décommissionner",IF(Y$8&lt;$AS224,"IKS","Décom."),IF(OR($AQ224="",$AS224=""),"",IF(Y$8&lt;$AQ224,"IKS",IF(Y$8&lt;$AS224,IF(Y$8=$AR224,"Bascule","Double run"),"ROKS"))))))</f>
        <v/>
      </c>
      <c r="Z224" s="51" t="str">
        <f aca="false">IF(OR($A224="",Z$8=""),"",IF($F224="Migré","ROKS",IF($F224="À décommissionner",IF(Z$8&lt;$AS224,"IKS","Décom."),IF(OR($AQ224="",$AS224=""),"",IF(Z$8&lt;$AQ224,"IKS",IF(Z$8&lt;$AS224,IF(Z$8=$AR224,"Bascule","Double run"),"ROKS"))))))</f>
        <v/>
      </c>
      <c r="AA224" s="51" t="str">
        <f aca="false">IF(OR($A224="",AA$8=""),"",IF($F224="Migré","ROKS",IF($F224="À décommissionner",IF(AA$8&lt;$AS224,"IKS","Décom."),IF(OR($AQ224="",$AS224=""),"",IF(AA$8&lt;$AQ224,"IKS",IF(AA$8&lt;$AS224,IF(AA$8=$AR224,"Bascule","Double run"),"ROKS"))))))</f>
        <v/>
      </c>
      <c r="AB224" s="51" t="str">
        <f aca="false">IF(OR($A224="",AB$8=""),"",IF($F224="Migré","ROKS",IF($F224="À décommissionner",IF(AB$8&lt;$AS224,"IKS","Décom."),IF(OR($AQ224="",$AS224=""),"",IF(AB$8&lt;$AQ224,"IKS",IF(AB$8&lt;$AS224,IF(AB$8=$AR224,"Bascule","Double run"),"ROKS"))))))</f>
        <v/>
      </c>
      <c r="AC224" s="51" t="str">
        <f aca="false">IF(OR($A224="",AC$8=""),"",IF($F224="Migré","ROKS",IF($F224="À décommissionner",IF(AC$8&lt;$AS224,"IKS","Décom."),IF(OR($AQ224="",$AS224=""),"",IF(AC$8&lt;$AQ224,"IKS",IF(AC$8&lt;$AS224,IF(AC$8=$AR224,"Bascule","Double run"),"ROKS"))))))</f>
        <v/>
      </c>
      <c r="AD224" s="51" t="str">
        <f aca="false">IF(OR($A224="",AD$8=""),"",IF($F224="Migré","ROKS",IF($F224="À décommissionner",IF(AD$8&lt;$AS224,"IKS","Décom."),IF(OR($AQ224="",$AS224=""),"",IF(AD$8&lt;$AQ224,"IKS",IF(AD$8&lt;$AS224,IF(AD$8=$AR224,"Bascule","Double run"),"ROKS"))))))</f>
        <v/>
      </c>
      <c r="AE224" s="51" t="str">
        <f aca="false">IF(OR($A224="",AE$8=""),"",IF($F224="Migré","ROKS",IF($F224="À décommissionner",IF(AE$8&lt;$AS224,"IKS","Décom."),IF(OR($AQ224="",$AS224=""),"",IF(AE$8&lt;$AQ224,"IKS",IF(AE$8&lt;$AS224,IF(AE$8=$AR224,"Bascule","Double run"),"ROKS"))))))</f>
        <v/>
      </c>
      <c r="AF224" s="51" t="str">
        <f aca="false">IF(OR($A224="",AF$8=""),"",IF($F224="Migré","ROKS",IF($F224="À décommissionner",IF(AF$8&lt;$AS224,"IKS","Décom."),IF(OR($AQ224="",$AS224=""),"",IF(AF$8&lt;$AQ224,"IKS",IF(AF$8&lt;$AS224,IF(AF$8=$AR224,"Bascule","Double run"),"ROKS"))))))</f>
        <v/>
      </c>
      <c r="AG224" s="51" t="str">
        <f aca="false">IF(OR($A224="",AG$8=""),"",IF($F224="Migré","ROKS",IF($F224="À décommissionner",IF(AG$8&lt;$AS224,"IKS","Décom."),IF(OR($AQ224="",$AS224=""),"",IF(AG$8&lt;$AQ224,"IKS",IF(AG$8&lt;$AS224,IF(AG$8=$AR224,"Bascule","Double run"),"ROKS"))))))</f>
        <v/>
      </c>
      <c r="AH224" s="51" t="str">
        <f aca="false">IF(OR($A224="",AH$8=""),"",IF($F224="Migré","ROKS",IF($F224="À décommissionner",IF(AH$8&lt;$AS224,"IKS","Décom."),IF(OR($AQ224="",$AS224=""),"",IF(AH$8&lt;$AQ224,"IKS",IF(AH$8&lt;$AS224,IF(AH$8=$AR224,"Bascule","Double run"),"ROKS"))))))</f>
        <v/>
      </c>
      <c r="AI224" s="51" t="str">
        <f aca="false">IF(OR($A224="",AI$8=""),"",IF($F224="Migré","ROKS",IF($F224="À décommissionner",IF(AI$8&lt;$AS224,"IKS","Décom."),IF(OR($AQ224="",$AS224=""),"",IF(AI$8&lt;$AQ224,"IKS",IF(AI$8&lt;$AS224,IF(AI$8=$AR224,"Bascule","Double run"),"ROKS"))))))</f>
        <v/>
      </c>
      <c r="AJ224" s="51" t="str">
        <f aca="false">IF(OR($A224="",AJ$8=""),"",IF($F224="Migré","ROKS",IF($F224="À décommissionner",IF(AJ$8&lt;$AS224,"IKS","Décom."),IF(OR($AQ224="",$AS224=""),"",IF(AJ$8&lt;$AQ224,"IKS",IF(AJ$8&lt;$AS224,IF(AJ$8=$AR224,"Bascule","Double run"),"ROKS"))))))</f>
        <v/>
      </c>
      <c r="AK224" s="51" t="str">
        <f aca="false">IF(OR($A224="",AK$8=""),"",IF($F224="Migré","ROKS",IF($F224="À décommissionner",IF(AK$8&lt;$AS224,"IKS","Décom."),IF(OR($AQ224="",$AS224=""),"",IF(AK$8&lt;$AQ224,"IKS",IF(AK$8&lt;$AS224,IF(AK$8=$AR224,"Bascule","Double run"),"ROKS"))))))</f>
        <v/>
      </c>
      <c r="AL224" s="51" t="str">
        <f aca="false">IF(OR($A224="",AL$8=""),"",IF($F224="Migré","ROKS",IF($F224="À décommissionner",IF(AL$8&lt;$AS224,"IKS","Décom."),IF(OR($AQ224="",$AS224=""),"",IF(AL$8&lt;$AQ224,"IKS",IF(AL$8&lt;$AS224,IF(AL$8=$AR224,"Bascule","Double run"),"ROKS"))))))</f>
        <v/>
      </c>
      <c r="AM224" s="51" t="str">
        <f aca="false">IF(OR($A224="",AM$8=""),"",IF($F224="Migré","ROKS",IF($F224="À décommissionner",IF(AM$8&lt;$AS224,"IKS","Décom."),IF(OR($AQ224="",$AS224=""),"",IF(AM$8&lt;$AQ224,"IKS",IF(AM$8&lt;$AS224,IF(AM$8=$AR224,"Bascule","Double run"),"ROKS"))))))</f>
        <v/>
      </c>
      <c r="AN224" s="51" t="str">
        <f aca="false">IF(OR($A224="",AN$8=""),"",IF($F224="Migré","ROKS",IF($F224="À décommissionner",IF(AN$8&lt;$AS224,"IKS","Décom."),IF(OR($AQ224="",$AS224=""),"",IF(AN$8&lt;$AQ224,"IKS",IF(AN$8&lt;$AS224,IF(AN$8=$AR224,"Bascule","Double run"),"ROKS"))))))</f>
        <v/>
      </c>
      <c r="AO224" s="51" t="str">
        <f aca="false">IF(OR($A224="",AO$8=""),"",IF($F224="Migré","ROKS",IF($F224="À décommissionner",IF(AO$8&lt;$AS224,"IKS","Décom."),IF(OR($AQ224="",$AS224=""),"",IF(AO$8&lt;$AQ224,"IKS",IF(AO$8&lt;$AS224,IF(AO$8=$AR224,"Bascule","Double run"),"ROKS"))))))</f>
        <v/>
      </c>
      <c r="AP224" s="51" t="str">
        <f aca="false">IF(OR($A224="",AP$8=""),"",IF($F224="Migré","ROKS",IF($F224="À décommissionner",IF(AP$8&lt;$AS224,"IKS","Décom."),IF(OR($AQ224="",$AS224=""),"",IF(AP$8&lt;$AQ224,"IKS",IF(AP$8&lt;$AS224,IF(AP$8=$AR224,"Bascule","Double run"),"ROKS"))))))</f>
        <v/>
      </c>
      <c r="AQ224" s="0" t="str">
        <f aca="false">IF($A224="","",INDEX(TblApplications[Mois prov (calc)],$A224))</f>
        <v/>
      </c>
      <c r="AR224" s="0" t="str">
        <f aca="false">IF($A224="","",IFERROR(DATE(YEAR(INDEX(TblApplications[Mois bascule],$A224)),MONTH(INDEX(TblApplications[Mois bascule],$A224)),1),""))</f>
        <v/>
      </c>
      <c r="AS224" s="0" t="str">
        <f aca="false">IF($A224="","",INDEX(TblApplications[Mois lib (calc)],$A224))</f>
        <v/>
      </c>
    </row>
    <row r="225" customFormat="false" ht="15" hidden="false" customHeight="false" outlineLevel="0" collapsed="false">
      <c r="A225" s="49" t="str">
        <f aca="false">IFERROR(MATCH(217,TblApplications[Rang frise],0),"")</f>
        <v/>
      </c>
      <c r="B225" s="50" t="str">
        <f aca="false">IF($A225="","",INDEX(TblApplications[ID],$A225))</f>
        <v/>
      </c>
      <c r="C225" s="50" t="str">
        <f aca="false">IF($A225="","",INDEX(TblApplications[Application],$A225))</f>
        <v/>
      </c>
      <c r="D225" s="50" t="str">
        <f aca="false">IF($A225="","",INDEX(TblApplications[Environnement],$A225))</f>
        <v/>
      </c>
      <c r="E225" s="50" t="str">
        <f aca="false">IF($A225="","",INDEX(TblApplications[Couloir],$A225))</f>
        <v/>
      </c>
      <c r="F225" s="50" t="str">
        <f aca="false">IF($A225="","",INDEX(TblApplications[Action],$A225))</f>
        <v/>
      </c>
      <c r="G225" s="51" t="str">
        <f aca="false">IF(OR($A225="",G$8=""),"",IF($F225="Migré","ROKS",IF($F225="À décommissionner",IF(G$8&lt;$AS225,"IKS","Décom."),IF(OR($AQ225="",$AS225=""),"",IF(G$8&lt;$AQ225,"IKS",IF(G$8&lt;$AS225,IF(G$8=$AR225,"Bascule","Double run"),"ROKS"))))))</f>
        <v/>
      </c>
      <c r="H225" s="51" t="str">
        <f aca="false">IF(OR($A225="",H$8=""),"",IF($F225="Migré","ROKS",IF($F225="À décommissionner",IF(H$8&lt;$AS225,"IKS","Décom."),IF(OR($AQ225="",$AS225=""),"",IF(H$8&lt;$AQ225,"IKS",IF(H$8&lt;$AS225,IF(H$8=$AR225,"Bascule","Double run"),"ROKS"))))))</f>
        <v/>
      </c>
      <c r="I225" s="51" t="str">
        <f aca="false">IF(OR($A225="",I$8=""),"",IF($F225="Migré","ROKS",IF($F225="À décommissionner",IF(I$8&lt;$AS225,"IKS","Décom."),IF(OR($AQ225="",$AS225=""),"",IF(I$8&lt;$AQ225,"IKS",IF(I$8&lt;$AS225,IF(I$8=$AR225,"Bascule","Double run"),"ROKS"))))))</f>
        <v/>
      </c>
      <c r="J225" s="51" t="str">
        <f aca="false">IF(OR($A225="",J$8=""),"",IF($F225="Migré","ROKS",IF($F225="À décommissionner",IF(J$8&lt;$AS225,"IKS","Décom."),IF(OR($AQ225="",$AS225=""),"",IF(J$8&lt;$AQ225,"IKS",IF(J$8&lt;$AS225,IF(J$8=$AR225,"Bascule","Double run"),"ROKS"))))))</f>
        <v/>
      </c>
      <c r="K225" s="51" t="str">
        <f aca="false">IF(OR($A225="",K$8=""),"",IF($F225="Migré","ROKS",IF($F225="À décommissionner",IF(K$8&lt;$AS225,"IKS","Décom."),IF(OR($AQ225="",$AS225=""),"",IF(K$8&lt;$AQ225,"IKS",IF(K$8&lt;$AS225,IF(K$8=$AR225,"Bascule","Double run"),"ROKS"))))))</f>
        <v/>
      </c>
      <c r="L225" s="51" t="str">
        <f aca="false">IF(OR($A225="",L$8=""),"",IF($F225="Migré","ROKS",IF($F225="À décommissionner",IF(L$8&lt;$AS225,"IKS","Décom."),IF(OR($AQ225="",$AS225=""),"",IF(L$8&lt;$AQ225,"IKS",IF(L$8&lt;$AS225,IF(L$8=$AR225,"Bascule","Double run"),"ROKS"))))))</f>
        <v/>
      </c>
      <c r="M225" s="51" t="str">
        <f aca="false">IF(OR($A225="",M$8=""),"",IF($F225="Migré","ROKS",IF($F225="À décommissionner",IF(M$8&lt;$AS225,"IKS","Décom."),IF(OR($AQ225="",$AS225=""),"",IF(M$8&lt;$AQ225,"IKS",IF(M$8&lt;$AS225,IF(M$8=$AR225,"Bascule","Double run"),"ROKS"))))))</f>
        <v/>
      </c>
      <c r="N225" s="51" t="str">
        <f aca="false">IF(OR($A225="",N$8=""),"",IF($F225="Migré","ROKS",IF($F225="À décommissionner",IF(N$8&lt;$AS225,"IKS","Décom."),IF(OR($AQ225="",$AS225=""),"",IF(N$8&lt;$AQ225,"IKS",IF(N$8&lt;$AS225,IF(N$8=$AR225,"Bascule","Double run"),"ROKS"))))))</f>
        <v/>
      </c>
      <c r="O225" s="51" t="str">
        <f aca="false">IF(OR($A225="",O$8=""),"",IF($F225="Migré","ROKS",IF($F225="À décommissionner",IF(O$8&lt;$AS225,"IKS","Décom."),IF(OR($AQ225="",$AS225=""),"",IF(O$8&lt;$AQ225,"IKS",IF(O$8&lt;$AS225,IF(O$8=$AR225,"Bascule","Double run"),"ROKS"))))))</f>
        <v/>
      </c>
      <c r="P225" s="51" t="str">
        <f aca="false">IF(OR($A225="",P$8=""),"",IF($F225="Migré","ROKS",IF($F225="À décommissionner",IF(P$8&lt;$AS225,"IKS","Décom."),IF(OR($AQ225="",$AS225=""),"",IF(P$8&lt;$AQ225,"IKS",IF(P$8&lt;$AS225,IF(P$8=$AR225,"Bascule","Double run"),"ROKS"))))))</f>
        <v/>
      </c>
      <c r="Q225" s="51" t="str">
        <f aca="false">IF(OR($A225="",Q$8=""),"",IF($F225="Migré","ROKS",IF($F225="À décommissionner",IF(Q$8&lt;$AS225,"IKS","Décom."),IF(OR($AQ225="",$AS225=""),"",IF(Q$8&lt;$AQ225,"IKS",IF(Q$8&lt;$AS225,IF(Q$8=$AR225,"Bascule","Double run"),"ROKS"))))))</f>
        <v/>
      </c>
      <c r="R225" s="51" t="str">
        <f aca="false">IF(OR($A225="",R$8=""),"",IF($F225="Migré","ROKS",IF($F225="À décommissionner",IF(R$8&lt;$AS225,"IKS","Décom."),IF(OR($AQ225="",$AS225=""),"",IF(R$8&lt;$AQ225,"IKS",IF(R$8&lt;$AS225,IF(R$8=$AR225,"Bascule","Double run"),"ROKS"))))))</f>
        <v/>
      </c>
      <c r="S225" s="51" t="str">
        <f aca="false">IF(OR($A225="",S$8=""),"",IF($F225="Migré","ROKS",IF($F225="À décommissionner",IF(S$8&lt;$AS225,"IKS","Décom."),IF(OR($AQ225="",$AS225=""),"",IF(S$8&lt;$AQ225,"IKS",IF(S$8&lt;$AS225,IF(S$8=$AR225,"Bascule","Double run"),"ROKS"))))))</f>
        <v/>
      </c>
      <c r="T225" s="51" t="str">
        <f aca="false">IF(OR($A225="",T$8=""),"",IF($F225="Migré","ROKS",IF($F225="À décommissionner",IF(T$8&lt;$AS225,"IKS","Décom."),IF(OR($AQ225="",$AS225=""),"",IF(T$8&lt;$AQ225,"IKS",IF(T$8&lt;$AS225,IF(T$8=$AR225,"Bascule","Double run"),"ROKS"))))))</f>
        <v/>
      </c>
      <c r="U225" s="51" t="str">
        <f aca="false">IF(OR($A225="",U$8=""),"",IF($F225="Migré","ROKS",IF($F225="À décommissionner",IF(U$8&lt;$AS225,"IKS","Décom."),IF(OR($AQ225="",$AS225=""),"",IF(U$8&lt;$AQ225,"IKS",IF(U$8&lt;$AS225,IF(U$8=$AR225,"Bascule","Double run"),"ROKS"))))))</f>
        <v/>
      </c>
      <c r="V225" s="51" t="str">
        <f aca="false">IF(OR($A225="",V$8=""),"",IF($F225="Migré","ROKS",IF($F225="À décommissionner",IF(V$8&lt;$AS225,"IKS","Décom."),IF(OR($AQ225="",$AS225=""),"",IF(V$8&lt;$AQ225,"IKS",IF(V$8&lt;$AS225,IF(V$8=$AR225,"Bascule","Double run"),"ROKS"))))))</f>
        <v/>
      </c>
      <c r="W225" s="51" t="str">
        <f aca="false">IF(OR($A225="",W$8=""),"",IF($F225="Migré","ROKS",IF($F225="À décommissionner",IF(W$8&lt;$AS225,"IKS","Décom."),IF(OR($AQ225="",$AS225=""),"",IF(W$8&lt;$AQ225,"IKS",IF(W$8&lt;$AS225,IF(W$8=$AR225,"Bascule","Double run"),"ROKS"))))))</f>
        <v/>
      </c>
      <c r="X225" s="51" t="str">
        <f aca="false">IF(OR($A225="",X$8=""),"",IF($F225="Migré","ROKS",IF($F225="À décommissionner",IF(X$8&lt;$AS225,"IKS","Décom."),IF(OR($AQ225="",$AS225=""),"",IF(X$8&lt;$AQ225,"IKS",IF(X$8&lt;$AS225,IF(X$8=$AR225,"Bascule","Double run"),"ROKS"))))))</f>
        <v/>
      </c>
      <c r="Y225" s="51" t="str">
        <f aca="false">IF(OR($A225="",Y$8=""),"",IF($F225="Migré","ROKS",IF($F225="À décommissionner",IF(Y$8&lt;$AS225,"IKS","Décom."),IF(OR($AQ225="",$AS225=""),"",IF(Y$8&lt;$AQ225,"IKS",IF(Y$8&lt;$AS225,IF(Y$8=$AR225,"Bascule","Double run"),"ROKS"))))))</f>
        <v/>
      </c>
      <c r="Z225" s="51" t="str">
        <f aca="false">IF(OR($A225="",Z$8=""),"",IF($F225="Migré","ROKS",IF($F225="À décommissionner",IF(Z$8&lt;$AS225,"IKS","Décom."),IF(OR($AQ225="",$AS225=""),"",IF(Z$8&lt;$AQ225,"IKS",IF(Z$8&lt;$AS225,IF(Z$8=$AR225,"Bascule","Double run"),"ROKS"))))))</f>
        <v/>
      </c>
      <c r="AA225" s="51" t="str">
        <f aca="false">IF(OR($A225="",AA$8=""),"",IF($F225="Migré","ROKS",IF($F225="À décommissionner",IF(AA$8&lt;$AS225,"IKS","Décom."),IF(OR($AQ225="",$AS225=""),"",IF(AA$8&lt;$AQ225,"IKS",IF(AA$8&lt;$AS225,IF(AA$8=$AR225,"Bascule","Double run"),"ROKS"))))))</f>
        <v/>
      </c>
      <c r="AB225" s="51" t="str">
        <f aca="false">IF(OR($A225="",AB$8=""),"",IF($F225="Migré","ROKS",IF($F225="À décommissionner",IF(AB$8&lt;$AS225,"IKS","Décom."),IF(OR($AQ225="",$AS225=""),"",IF(AB$8&lt;$AQ225,"IKS",IF(AB$8&lt;$AS225,IF(AB$8=$AR225,"Bascule","Double run"),"ROKS"))))))</f>
        <v/>
      </c>
      <c r="AC225" s="51" t="str">
        <f aca="false">IF(OR($A225="",AC$8=""),"",IF($F225="Migré","ROKS",IF($F225="À décommissionner",IF(AC$8&lt;$AS225,"IKS","Décom."),IF(OR($AQ225="",$AS225=""),"",IF(AC$8&lt;$AQ225,"IKS",IF(AC$8&lt;$AS225,IF(AC$8=$AR225,"Bascule","Double run"),"ROKS"))))))</f>
        <v/>
      </c>
      <c r="AD225" s="51" t="str">
        <f aca="false">IF(OR($A225="",AD$8=""),"",IF($F225="Migré","ROKS",IF($F225="À décommissionner",IF(AD$8&lt;$AS225,"IKS","Décom."),IF(OR($AQ225="",$AS225=""),"",IF(AD$8&lt;$AQ225,"IKS",IF(AD$8&lt;$AS225,IF(AD$8=$AR225,"Bascule","Double run"),"ROKS"))))))</f>
        <v/>
      </c>
      <c r="AE225" s="51" t="str">
        <f aca="false">IF(OR($A225="",AE$8=""),"",IF($F225="Migré","ROKS",IF($F225="À décommissionner",IF(AE$8&lt;$AS225,"IKS","Décom."),IF(OR($AQ225="",$AS225=""),"",IF(AE$8&lt;$AQ225,"IKS",IF(AE$8&lt;$AS225,IF(AE$8=$AR225,"Bascule","Double run"),"ROKS"))))))</f>
        <v/>
      </c>
      <c r="AF225" s="51" t="str">
        <f aca="false">IF(OR($A225="",AF$8=""),"",IF($F225="Migré","ROKS",IF($F225="À décommissionner",IF(AF$8&lt;$AS225,"IKS","Décom."),IF(OR($AQ225="",$AS225=""),"",IF(AF$8&lt;$AQ225,"IKS",IF(AF$8&lt;$AS225,IF(AF$8=$AR225,"Bascule","Double run"),"ROKS"))))))</f>
        <v/>
      </c>
      <c r="AG225" s="51" t="str">
        <f aca="false">IF(OR($A225="",AG$8=""),"",IF($F225="Migré","ROKS",IF($F225="À décommissionner",IF(AG$8&lt;$AS225,"IKS","Décom."),IF(OR($AQ225="",$AS225=""),"",IF(AG$8&lt;$AQ225,"IKS",IF(AG$8&lt;$AS225,IF(AG$8=$AR225,"Bascule","Double run"),"ROKS"))))))</f>
        <v/>
      </c>
      <c r="AH225" s="51" t="str">
        <f aca="false">IF(OR($A225="",AH$8=""),"",IF($F225="Migré","ROKS",IF($F225="À décommissionner",IF(AH$8&lt;$AS225,"IKS","Décom."),IF(OR($AQ225="",$AS225=""),"",IF(AH$8&lt;$AQ225,"IKS",IF(AH$8&lt;$AS225,IF(AH$8=$AR225,"Bascule","Double run"),"ROKS"))))))</f>
        <v/>
      </c>
      <c r="AI225" s="51" t="str">
        <f aca="false">IF(OR($A225="",AI$8=""),"",IF($F225="Migré","ROKS",IF($F225="À décommissionner",IF(AI$8&lt;$AS225,"IKS","Décom."),IF(OR($AQ225="",$AS225=""),"",IF(AI$8&lt;$AQ225,"IKS",IF(AI$8&lt;$AS225,IF(AI$8=$AR225,"Bascule","Double run"),"ROKS"))))))</f>
        <v/>
      </c>
      <c r="AJ225" s="51" t="str">
        <f aca="false">IF(OR($A225="",AJ$8=""),"",IF($F225="Migré","ROKS",IF($F225="À décommissionner",IF(AJ$8&lt;$AS225,"IKS","Décom."),IF(OR($AQ225="",$AS225=""),"",IF(AJ$8&lt;$AQ225,"IKS",IF(AJ$8&lt;$AS225,IF(AJ$8=$AR225,"Bascule","Double run"),"ROKS"))))))</f>
        <v/>
      </c>
      <c r="AK225" s="51" t="str">
        <f aca="false">IF(OR($A225="",AK$8=""),"",IF($F225="Migré","ROKS",IF($F225="À décommissionner",IF(AK$8&lt;$AS225,"IKS","Décom."),IF(OR($AQ225="",$AS225=""),"",IF(AK$8&lt;$AQ225,"IKS",IF(AK$8&lt;$AS225,IF(AK$8=$AR225,"Bascule","Double run"),"ROKS"))))))</f>
        <v/>
      </c>
      <c r="AL225" s="51" t="str">
        <f aca="false">IF(OR($A225="",AL$8=""),"",IF($F225="Migré","ROKS",IF($F225="À décommissionner",IF(AL$8&lt;$AS225,"IKS","Décom."),IF(OR($AQ225="",$AS225=""),"",IF(AL$8&lt;$AQ225,"IKS",IF(AL$8&lt;$AS225,IF(AL$8=$AR225,"Bascule","Double run"),"ROKS"))))))</f>
        <v/>
      </c>
      <c r="AM225" s="51" t="str">
        <f aca="false">IF(OR($A225="",AM$8=""),"",IF($F225="Migré","ROKS",IF($F225="À décommissionner",IF(AM$8&lt;$AS225,"IKS","Décom."),IF(OR($AQ225="",$AS225=""),"",IF(AM$8&lt;$AQ225,"IKS",IF(AM$8&lt;$AS225,IF(AM$8=$AR225,"Bascule","Double run"),"ROKS"))))))</f>
        <v/>
      </c>
      <c r="AN225" s="51" t="str">
        <f aca="false">IF(OR($A225="",AN$8=""),"",IF($F225="Migré","ROKS",IF($F225="À décommissionner",IF(AN$8&lt;$AS225,"IKS","Décom."),IF(OR($AQ225="",$AS225=""),"",IF(AN$8&lt;$AQ225,"IKS",IF(AN$8&lt;$AS225,IF(AN$8=$AR225,"Bascule","Double run"),"ROKS"))))))</f>
        <v/>
      </c>
      <c r="AO225" s="51" t="str">
        <f aca="false">IF(OR($A225="",AO$8=""),"",IF($F225="Migré","ROKS",IF($F225="À décommissionner",IF(AO$8&lt;$AS225,"IKS","Décom."),IF(OR($AQ225="",$AS225=""),"",IF(AO$8&lt;$AQ225,"IKS",IF(AO$8&lt;$AS225,IF(AO$8=$AR225,"Bascule","Double run"),"ROKS"))))))</f>
        <v/>
      </c>
      <c r="AP225" s="51" t="str">
        <f aca="false">IF(OR($A225="",AP$8=""),"",IF($F225="Migré","ROKS",IF($F225="À décommissionner",IF(AP$8&lt;$AS225,"IKS","Décom."),IF(OR($AQ225="",$AS225=""),"",IF(AP$8&lt;$AQ225,"IKS",IF(AP$8&lt;$AS225,IF(AP$8=$AR225,"Bascule","Double run"),"ROKS"))))))</f>
        <v/>
      </c>
      <c r="AQ225" s="0" t="str">
        <f aca="false">IF($A225="","",INDEX(TblApplications[Mois prov (calc)],$A225))</f>
        <v/>
      </c>
      <c r="AR225" s="0" t="str">
        <f aca="false">IF($A225="","",IFERROR(DATE(YEAR(INDEX(TblApplications[Mois bascule],$A225)),MONTH(INDEX(TblApplications[Mois bascule],$A225)),1),""))</f>
        <v/>
      </c>
      <c r="AS225" s="0" t="str">
        <f aca="false">IF($A225="","",INDEX(TblApplications[Mois lib (calc)],$A225))</f>
        <v/>
      </c>
    </row>
    <row r="226" customFormat="false" ht="15" hidden="false" customHeight="false" outlineLevel="0" collapsed="false">
      <c r="A226" s="49" t="str">
        <f aca="false">IFERROR(MATCH(218,TblApplications[Rang frise],0),"")</f>
        <v/>
      </c>
      <c r="B226" s="50" t="str">
        <f aca="false">IF($A226="","",INDEX(TblApplications[ID],$A226))</f>
        <v/>
      </c>
      <c r="C226" s="50" t="str">
        <f aca="false">IF($A226="","",INDEX(TblApplications[Application],$A226))</f>
        <v/>
      </c>
      <c r="D226" s="50" t="str">
        <f aca="false">IF($A226="","",INDEX(TblApplications[Environnement],$A226))</f>
        <v/>
      </c>
      <c r="E226" s="50" t="str">
        <f aca="false">IF($A226="","",INDEX(TblApplications[Couloir],$A226))</f>
        <v/>
      </c>
      <c r="F226" s="50" t="str">
        <f aca="false">IF($A226="","",INDEX(TblApplications[Action],$A226))</f>
        <v/>
      </c>
      <c r="G226" s="51" t="str">
        <f aca="false">IF(OR($A226="",G$8=""),"",IF($F226="Migré","ROKS",IF($F226="À décommissionner",IF(G$8&lt;$AS226,"IKS","Décom."),IF(OR($AQ226="",$AS226=""),"",IF(G$8&lt;$AQ226,"IKS",IF(G$8&lt;$AS226,IF(G$8=$AR226,"Bascule","Double run"),"ROKS"))))))</f>
        <v/>
      </c>
      <c r="H226" s="51" t="str">
        <f aca="false">IF(OR($A226="",H$8=""),"",IF($F226="Migré","ROKS",IF($F226="À décommissionner",IF(H$8&lt;$AS226,"IKS","Décom."),IF(OR($AQ226="",$AS226=""),"",IF(H$8&lt;$AQ226,"IKS",IF(H$8&lt;$AS226,IF(H$8=$AR226,"Bascule","Double run"),"ROKS"))))))</f>
        <v/>
      </c>
      <c r="I226" s="51" t="str">
        <f aca="false">IF(OR($A226="",I$8=""),"",IF($F226="Migré","ROKS",IF($F226="À décommissionner",IF(I$8&lt;$AS226,"IKS","Décom."),IF(OR($AQ226="",$AS226=""),"",IF(I$8&lt;$AQ226,"IKS",IF(I$8&lt;$AS226,IF(I$8=$AR226,"Bascule","Double run"),"ROKS"))))))</f>
        <v/>
      </c>
      <c r="J226" s="51" t="str">
        <f aca="false">IF(OR($A226="",J$8=""),"",IF($F226="Migré","ROKS",IF($F226="À décommissionner",IF(J$8&lt;$AS226,"IKS","Décom."),IF(OR($AQ226="",$AS226=""),"",IF(J$8&lt;$AQ226,"IKS",IF(J$8&lt;$AS226,IF(J$8=$AR226,"Bascule","Double run"),"ROKS"))))))</f>
        <v/>
      </c>
      <c r="K226" s="51" t="str">
        <f aca="false">IF(OR($A226="",K$8=""),"",IF($F226="Migré","ROKS",IF($F226="À décommissionner",IF(K$8&lt;$AS226,"IKS","Décom."),IF(OR($AQ226="",$AS226=""),"",IF(K$8&lt;$AQ226,"IKS",IF(K$8&lt;$AS226,IF(K$8=$AR226,"Bascule","Double run"),"ROKS"))))))</f>
        <v/>
      </c>
      <c r="L226" s="51" t="str">
        <f aca="false">IF(OR($A226="",L$8=""),"",IF($F226="Migré","ROKS",IF($F226="À décommissionner",IF(L$8&lt;$AS226,"IKS","Décom."),IF(OR($AQ226="",$AS226=""),"",IF(L$8&lt;$AQ226,"IKS",IF(L$8&lt;$AS226,IF(L$8=$AR226,"Bascule","Double run"),"ROKS"))))))</f>
        <v/>
      </c>
      <c r="M226" s="51" t="str">
        <f aca="false">IF(OR($A226="",M$8=""),"",IF($F226="Migré","ROKS",IF($F226="À décommissionner",IF(M$8&lt;$AS226,"IKS","Décom."),IF(OR($AQ226="",$AS226=""),"",IF(M$8&lt;$AQ226,"IKS",IF(M$8&lt;$AS226,IF(M$8=$AR226,"Bascule","Double run"),"ROKS"))))))</f>
        <v/>
      </c>
      <c r="N226" s="51" t="str">
        <f aca="false">IF(OR($A226="",N$8=""),"",IF($F226="Migré","ROKS",IF($F226="À décommissionner",IF(N$8&lt;$AS226,"IKS","Décom."),IF(OR($AQ226="",$AS226=""),"",IF(N$8&lt;$AQ226,"IKS",IF(N$8&lt;$AS226,IF(N$8=$AR226,"Bascule","Double run"),"ROKS"))))))</f>
        <v/>
      </c>
      <c r="O226" s="51" t="str">
        <f aca="false">IF(OR($A226="",O$8=""),"",IF($F226="Migré","ROKS",IF($F226="À décommissionner",IF(O$8&lt;$AS226,"IKS","Décom."),IF(OR($AQ226="",$AS226=""),"",IF(O$8&lt;$AQ226,"IKS",IF(O$8&lt;$AS226,IF(O$8=$AR226,"Bascule","Double run"),"ROKS"))))))</f>
        <v/>
      </c>
      <c r="P226" s="51" t="str">
        <f aca="false">IF(OR($A226="",P$8=""),"",IF($F226="Migré","ROKS",IF($F226="À décommissionner",IF(P$8&lt;$AS226,"IKS","Décom."),IF(OR($AQ226="",$AS226=""),"",IF(P$8&lt;$AQ226,"IKS",IF(P$8&lt;$AS226,IF(P$8=$AR226,"Bascule","Double run"),"ROKS"))))))</f>
        <v/>
      </c>
      <c r="Q226" s="51" t="str">
        <f aca="false">IF(OR($A226="",Q$8=""),"",IF($F226="Migré","ROKS",IF($F226="À décommissionner",IF(Q$8&lt;$AS226,"IKS","Décom."),IF(OR($AQ226="",$AS226=""),"",IF(Q$8&lt;$AQ226,"IKS",IF(Q$8&lt;$AS226,IF(Q$8=$AR226,"Bascule","Double run"),"ROKS"))))))</f>
        <v/>
      </c>
      <c r="R226" s="51" t="str">
        <f aca="false">IF(OR($A226="",R$8=""),"",IF($F226="Migré","ROKS",IF($F226="À décommissionner",IF(R$8&lt;$AS226,"IKS","Décom."),IF(OR($AQ226="",$AS226=""),"",IF(R$8&lt;$AQ226,"IKS",IF(R$8&lt;$AS226,IF(R$8=$AR226,"Bascule","Double run"),"ROKS"))))))</f>
        <v/>
      </c>
      <c r="S226" s="51" t="str">
        <f aca="false">IF(OR($A226="",S$8=""),"",IF($F226="Migré","ROKS",IF($F226="À décommissionner",IF(S$8&lt;$AS226,"IKS","Décom."),IF(OR($AQ226="",$AS226=""),"",IF(S$8&lt;$AQ226,"IKS",IF(S$8&lt;$AS226,IF(S$8=$AR226,"Bascule","Double run"),"ROKS"))))))</f>
        <v/>
      </c>
      <c r="T226" s="51" t="str">
        <f aca="false">IF(OR($A226="",T$8=""),"",IF($F226="Migré","ROKS",IF($F226="À décommissionner",IF(T$8&lt;$AS226,"IKS","Décom."),IF(OR($AQ226="",$AS226=""),"",IF(T$8&lt;$AQ226,"IKS",IF(T$8&lt;$AS226,IF(T$8=$AR226,"Bascule","Double run"),"ROKS"))))))</f>
        <v/>
      </c>
      <c r="U226" s="51" t="str">
        <f aca="false">IF(OR($A226="",U$8=""),"",IF($F226="Migré","ROKS",IF($F226="À décommissionner",IF(U$8&lt;$AS226,"IKS","Décom."),IF(OR($AQ226="",$AS226=""),"",IF(U$8&lt;$AQ226,"IKS",IF(U$8&lt;$AS226,IF(U$8=$AR226,"Bascule","Double run"),"ROKS"))))))</f>
        <v/>
      </c>
      <c r="V226" s="51" t="str">
        <f aca="false">IF(OR($A226="",V$8=""),"",IF($F226="Migré","ROKS",IF($F226="À décommissionner",IF(V$8&lt;$AS226,"IKS","Décom."),IF(OR($AQ226="",$AS226=""),"",IF(V$8&lt;$AQ226,"IKS",IF(V$8&lt;$AS226,IF(V$8=$AR226,"Bascule","Double run"),"ROKS"))))))</f>
        <v/>
      </c>
      <c r="W226" s="51" t="str">
        <f aca="false">IF(OR($A226="",W$8=""),"",IF($F226="Migré","ROKS",IF($F226="À décommissionner",IF(W$8&lt;$AS226,"IKS","Décom."),IF(OR($AQ226="",$AS226=""),"",IF(W$8&lt;$AQ226,"IKS",IF(W$8&lt;$AS226,IF(W$8=$AR226,"Bascule","Double run"),"ROKS"))))))</f>
        <v/>
      </c>
      <c r="X226" s="51" t="str">
        <f aca="false">IF(OR($A226="",X$8=""),"",IF($F226="Migré","ROKS",IF($F226="À décommissionner",IF(X$8&lt;$AS226,"IKS","Décom."),IF(OR($AQ226="",$AS226=""),"",IF(X$8&lt;$AQ226,"IKS",IF(X$8&lt;$AS226,IF(X$8=$AR226,"Bascule","Double run"),"ROKS"))))))</f>
        <v/>
      </c>
      <c r="Y226" s="51" t="str">
        <f aca="false">IF(OR($A226="",Y$8=""),"",IF($F226="Migré","ROKS",IF($F226="À décommissionner",IF(Y$8&lt;$AS226,"IKS","Décom."),IF(OR($AQ226="",$AS226=""),"",IF(Y$8&lt;$AQ226,"IKS",IF(Y$8&lt;$AS226,IF(Y$8=$AR226,"Bascule","Double run"),"ROKS"))))))</f>
        <v/>
      </c>
      <c r="Z226" s="51" t="str">
        <f aca="false">IF(OR($A226="",Z$8=""),"",IF($F226="Migré","ROKS",IF($F226="À décommissionner",IF(Z$8&lt;$AS226,"IKS","Décom."),IF(OR($AQ226="",$AS226=""),"",IF(Z$8&lt;$AQ226,"IKS",IF(Z$8&lt;$AS226,IF(Z$8=$AR226,"Bascule","Double run"),"ROKS"))))))</f>
        <v/>
      </c>
      <c r="AA226" s="51" t="str">
        <f aca="false">IF(OR($A226="",AA$8=""),"",IF($F226="Migré","ROKS",IF($F226="À décommissionner",IF(AA$8&lt;$AS226,"IKS","Décom."),IF(OR($AQ226="",$AS226=""),"",IF(AA$8&lt;$AQ226,"IKS",IF(AA$8&lt;$AS226,IF(AA$8=$AR226,"Bascule","Double run"),"ROKS"))))))</f>
        <v/>
      </c>
      <c r="AB226" s="51" t="str">
        <f aca="false">IF(OR($A226="",AB$8=""),"",IF($F226="Migré","ROKS",IF($F226="À décommissionner",IF(AB$8&lt;$AS226,"IKS","Décom."),IF(OR($AQ226="",$AS226=""),"",IF(AB$8&lt;$AQ226,"IKS",IF(AB$8&lt;$AS226,IF(AB$8=$AR226,"Bascule","Double run"),"ROKS"))))))</f>
        <v/>
      </c>
      <c r="AC226" s="51" t="str">
        <f aca="false">IF(OR($A226="",AC$8=""),"",IF($F226="Migré","ROKS",IF($F226="À décommissionner",IF(AC$8&lt;$AS226,"IKS","Décom."),IF(OR($AQ226="",$AS226=""),"",IF(AC$8&lt;$AQ226,"IKS",IF(AC$8&lt;$AS226,IF(AC$8=$AR226,"Bascule","Double run"),"ROKS"))))))</f>
        <v/>
      </c>
      <c r="AD226" s="51" t="str">
        <f aca="false">IF(OR($A226="",AD$8=""),"",IF($F226="Migré","ROKS",IF($F226="À décommissionner",IF(AD$8&lt;$AS226,"IKS","Décom."),IF(OR($AQ226="",$AS226=""),"",IF(AD$8&lt;$AQ226,"IKS",IF(AD$8&lt;$AS226,IF(AD$8=$AR226,"Bascule","Double run"),"ROKS"))))))</f>
        <v/>
      </c>
      <c r="AE226" s="51" t="str">
        <f aca="false">IF(OR($A226="",AE$8=""),"",IF($F226="Migré","ROKS",IF($F226="À décommissionner",IF(AE$8&lt;$AS226,"IKS","Décom."),IF(OR($AQ226="",$AS226=""),"",IF(AE$8&lt;$AQ226,"IKS",IF(AE$8&lt;$AS226,IF(AE$8=$AR226,"Bascule","Double run"),"ROKS"))))))</f>
        <v/>
      </c>
      <c r="AF226" s="51" t="str">
        <f aca="false">IF(OR($A226="",AF$8=""),"",IF($F226="Migré","ROKS",IF($F226="À décommissionner",IF(AF$8&lt;$AS226,"IKS","Décom."),IF(OR($AQ226="",$AS226=""),"",IF(AF$8&lt;$AQ226,"IKS",IF(AF$8&lt;$AS226,IF(AF$8=$AR226,"Bascule","Double run"),"ROKS"))))))</f>
        <v/>
      </c>
      <c r="AG226" s="51" t="str">
        <f aca="false">IF(OR($A226="",AG$8=""),"",IF($F226="Migré","ROKS",IF($F226="À décommissionner",IF(AG$8&lt;$AS226,"IKS","Décom."),IF(OR($AQ226="",$AS226=""),"",IF(AG$8&lt;$AQ226,"IKS",IF(AG$8&lt;$AS226,IF(AG$8=$AR226,"Bascule","Double run"),"ROKS"))))))</f>
        <v/>
      </c>
      <c r="AH226" s="51" t="str">
        <f aca="false">IF(OR($A226="",AH$8=""),"",IF($F226="Migré","ROKS",IF($F226="À décommissionner",IF(AH$8&lt;$AS226,"IKS","Décom."),IF(OR($AQ226="",$AS226=""),"",IF(AH$8&lt;$AQ226,"IKS",IF(AH$8&lt;$AS226,IF(AH$8=$AR226,"Bascule","Double run"),"ROKS"))))))</f>
        <v/>
      </c>
      <c r="AI226" s="51" t="str">
        <f aca="false">IF(OR($A226="",AI$8=""),"",IF($F226="Migré","ROKS",IF($F226="À décommissionner",IF(AI$8&lt;$AS226,"IKS","Décom."),IF(OR($AQ226="",$AS226=""),"",IF(AI$8&lt;$AQ226,"IKS",IF(AI$8&lt;$AS226,IF(AI$8=$AR226,"Bascule","Double run"),"ROKS"))))))</f>
        <v/>
      </c>
      <c r="AJ226" s="51" t="str">
        <f aca="false">IF(OR($A226="",AJ$8=""),"",IF($F226="Migré","ROKS",IF($F226="À décommissionner",IF(AJ$8&lt;$AS226,"IKS","Décom."),IF(OR($AQ226="",$AS226=""),"",IF(AJ$8&lt;$AQ226,"IKS",IF(AJ$8&lt;$AS226,IF(AJ$8=$AR226,"Bascule","Double run"),"ROKS"))))))</f>
        <v/>
      </c>
      <c r="AK226" s="51" t="str">
        <f aca="false">IF(OR($A226="",AK$8=""),"",IF($F226="Migré","ROKS",IF($F226="À décommissionner",IF(AK$8&lt;$AS226,"IKS","Décom."),IF(OR($AQ226="",$AS226=""),"",IF(AK$8&lt;$AQ226,"IKS",IF(AK$8&lt;$AS226,IF(AK$8=$AR226,"Bascule","Double run"),"ROKS"))))))</f>
        <v/>
      </c>
      <c r="AL226" s="51" t="str">
        <f aca="false">IF(OR($A226="",AL$8=""),"",IF($F226="Migré","ROKS",IF($F226="À décommissionner",IF(AL$8&lt;$AS226,"IKS","Décom."),IF(OR($AQ226="",$AS226=""),"",IF(AL$8&lt;$AQ226,"IKS",IF(AL$8&lt;$AS226,IF(AL$8=$AR226,"Bascule","Double run"),"ROKS"))))))</f>
        <v/>
      </c>
      <c r="AM226" s="51" t="str">
        <f aca="false">IF(OR($A226="",AM$8=""),"",IF($F226="Migré","ROKS",IF($F226="À décommissionner",IF(AM$8&lt;$AS226,"IKS","Décom."),IF(OR($AQ226="",$AS226=""),"",IF(AM$8&lt;$AQ226,"IKS",IF(AM$8&lt;$AS226,IF(AM$8=$AR226,"Bascule","Double run"),"ROKS"))))))</f>
        <v/>
      </c>
      <c r="AN226" s="51" t="str">
        <f aca="false">IF(OR($A226="",AN$8=""),"",IF($F226="Migré","ROKS",IF($F226="À décommissionner",IF(AN$8&lt;$AS226,"IKS","Décom."),IF(OR($AQ226="",$AS226=""),"",IF(AN$8&lt;$AQ226,"IKS",IF(AN$8&lt;$AS226,IF(AN$8=$AR226,"Bascule","Double run"),"ROKS"))))))</f>
        <v/>
      </c>
      <c r="AO226" s="51" t="str">
        <f aca="false">IF(OR($A226="",AO$8=""),"",IF($F226="Migré","ROKS",IF($F226="À décommissionner",IF(AO$8&lt;$AS226,"IKS","Décom."),IF(OR($AQ226="",$AS226=""),"",IF(AO$8&lt;$AQ226,"IKS",IF(AO$8&lt;$AS226,IF(AO$8=$AR226,"Bascule","Double run"),"ROKS"))))))</f>
        <v/>
      </c>
      <c r="AP226" s="51" t="str">
        <f aca="false">IF(OR($A226="",AP$8=""),"",IF($F226="Migré","ROKS",IF($F226="À décommissionner",IF(AP$8&lt;$AS226,"IKS","Décom."),IF(OR($AQ226="",$AS226=""),"",IF(AP$8&lt;$AQ226,"IKS",IF(AP$8&lt;$AS226,IF(AP$8=$AR226,"Bascule","Double run"),"ROKS"))))))</f>
        <v/>
      </c>
      <c r="AQ226" s="0" t="str">
        <f aca="false">IF($A226="","",INDEX(TblApplications[Mois prov (calc)],$A226))</f>
        <v/>
      </c>
      <c r="AR226" s="0" t="str">
        <f aca="false">IF($A226="","",IFERROR(DATE(YEAR(INDEX(TblApplications[Mois bascule],$A226)),MONTH(INDEX(TblApplications[Mois bascule],$A226)),1),""))</f>
        <v/>
      </c>
      <c r="AS226" s="0" t="str">
        <f aca="false">IF($A226="","",INDEX(TblApplications[Mois lib (calc)],$A226))</f>
        <v/>
      </c>
    </row>
    <row r="227" customFormat="false" ht="15" hidden="false" customHeight="false" outlineLevel="0" collapsed="false">
      <c r="A227" s="49" t="str">
        <f aca="false">IFERROR(MATCH(219,TblApplications[Rang frise],0),"")</f>
        <v/>
      </c>
      <c r="B227" s="50" t="str">
        <f aca="false">IF($A227="","",INDEX(TblApplications[ID],$A227))</f>
        <v/>
      </c>
      <c r="C227" s="50" t="str">
        <f aca="false">IF($A227="","",INDEX(TblApplications[Application],$A227))</f>
        <v/>
      </c>
      <c r="D227" s="50" t="str">
        <f aca="false">IF($A227="","",INDEX(TblApplications[Environnement],$A227))</f>
        <v/>
      </c>
      <c r="E227" s="50" t="str">
        <f aca="false">IF($A227="","",INDEX(TblApplications[Couloir],$A227))</f>
        <v/>
      </c>
      <c r="F227" s="50" t="str">
        <f aca="false">IF($A227="","",INDEX(TblApplications[Action],$A227))</f>
        <v/>
      </c>
      <c r="G227" s="51" t="str">
        <f aca="false">IF(OR($A227="",G$8=""),"",IF($F227="Migré","ROKS",IF($F227="À décommissionner",IF(G$8&lt;$AS227,"IKS","Décom."),IF(OR($AQ227="",$AS227=""),"",IF(G$8&lt;$AQ227,"IKS",IF(G$8&lt;$AS227,IF(G$8=$AR227,"Bascule","Double run"),"ROKS"))))))</f>
        <v/>
      </c>
      <c r="H227" s="51" t="str">
        <f aca="false">IF(OR($A227="",H$8=""),"",IF($F227="Migré","ROKS",IF($F227="À décommissionner",IF(H$8&lt;$AS227,"IKS","Décom."),IF(OR($AQ227="",$AS227=""),"",IF(H$8&lt;$AQ227,"IKS",IF(H$8&lt;$AS227,IF(H$8=$AR227,"Bascule","Double run"),"ROKS"))))))</f>
        <v/>
      </c>
      <c r="I227" s="51" t="str">
        <f aca="false">IF(OR($A227="",I$8=""),"",IF($F227="Migré","ROKS",IF($F227="À décommissionner",IF(I$8&lt;$AS227,"IKS","Décom."),IF(OR($AQ227="",$AS227=""),"",IF(I$8&lt;$AQ227,"IKS",IF(I$8&lt;$AS227,IF(I$8=$AR227,"Bascule","Double run"),"ROKS"))))))</f>
        <v/>
      </c>
      <c r="J227" s="51" t="str">
        <f aca="false">IF(OR($A227="",J$8=""),"",IF($F227="Migré","ROKS",IF($F227="À décommissionner",IF(J$8&lt;$AS227,"IKS","Décom."),IF(OR($AQ227="",$AS227=""),"",IF(J$8&lt;$AQ227,"IKS",IF(J$8&lt;$AS227,IF(J$8=$AR227,"Bascule","Double run"),"ROKS"))))))</f>
        <v/>
      </c>
      <c r="K227" s="51" t="str">
        <f aca="false">IF(OR($A227="",K$8=""),"",IF($F227="Migré","ROKS",IF($F227="À décommissionner",IF(K$8&lt;$AS227,"IKS","Décom."),IF(OR($AQ227="",$AS227=""),"",IF(K$8&lt;$AQ227,"IKS",IF(K$8&lt;$AS227,IF(K$8=$AR227,"Bascule","Double run"),"ROKS"))))))</f>
        <v/>
      </c>
      <c r="L227" s="51" t="str">
        <f aca="false">IF(OR($A227="",L$8=""),"",IF($F227="Migré","ROKS",IF($F227="À décommissionner",IF(L$8&lt;$AS227,"IKS","Décom."),IF(OR($AQ227="",$AS227=""),"",IF(L$8&lt;$AQ227,"IKS",IF(L$8&lt;$AS227,IF(L$8=$AR227,"Bascule","Double run"),"ROKS"))))))</f>
        <v/>
      </c>
      <c r="M227" s="51" t="str">
        <f aca="false">IF(OR($A227="",M$8=""),"",IF($F227="Migré","ROKS",IF($F227="À décommissionner",IF(M$8&lt;$AS227,"IKS","Décom."),IF(OR($AQ227="",$AS227=""),"",IF(M$8&lt;$AQ227,"IKS",IF(M$8&lt;$AS227,IF(M$8=$AR227,"Bascule","Double run"),"ROKS"))))))</f>
        <v/>
      </c>
      <c r="N227" s="51" t="str">
        <f aca="false">IF(OR($A227="",N$8=""),"",IF($F227="Migré","ROKS",IF($F227="À décommissionner",IF(N$8&lt;$AS227,"IKS","Décom."),IF(OR($AQ227="",$AS227=""),"",IF(N$8&lt;$AQ227,"IKS",IF(N$8&lt;$AS227,IF(N$8=$AR227,"Bascule","Double run"),"ROKS"))))))</f>
        <v/>
      </c>
      <c r="O227" s="51" t="str">
        <f aca="false">IF(OR($A227="",O$8=""),"",IF($F227="Migré","ROKS",IF($F227="À décommissionner",IF(O$8&lt;$AS227,"IKS","Décom."),IF(OR($AQ227="",$AS227=""),"",IF(O$8&lt;$AQ227,"IKS",IF(O$8&lt;$AS227,IF(O$8=$AR227,"Bascule","Double run"),"ROKS"))))))</f>
        <v/>
      </c>
      <c r="P227" s="51" t="str">
        <f aca="false">IF(OR($A227="",P$8=""),"",IF($F227="Migré","ROKS",IF($F227="À décommissionner",IF(P$8&lt;$AS227,"IKS","Décom."),IF(OR($AQ227="",$AS227=""),"",IF(P$8&lt;$AQ227,"IKS",IF(P$8&lt;$AS227,IF(P$8=$AR227,"Bascule","Double run"),"ROKS"))))))</f>
        <v/>
      </c>
      <c r="Q227" s="51" t="str">
        <f aca="false">IF(OR($A227="",Q$8=""),"",IF($F227="Migré","ROKS",IF($F227="À décommissionner",IF(Q$8&lt;$AS227,"IKS","Décom."),IF(OR($AQ227="",$AS227=""),"",IF(Q$8&lt;$AQ227,"IKS",IF(Q$8&lt;$AS227,IF(Q$8=$AR227,"Bascule","Double run"),"ROKS"))))))</f>
        <v/>
      </c>
      <c r="R227" s="51" t="str">
        <f aca="false">IF(OR($A227="",R$8=""),"",IF($F227="Migré","ROKS",IF($F227="À décommissionner",IF(R$8&lt;$AS227,"IKS","Décom."),IF(OR($AQ227="",$AS227=""),"",IF(R$8&lt;$AQ227,"IKS",IF(R$8&lt;$AS227,IF(R$8=$AR227,"Bascule","Double run"),"ROKS"))))))</f>
        <v/>
      </c>
      <c r="S227" s="51" t="str">
        <f aca="false">IF(OR($A227="",S$8=""),"",IF($F227="Migré","ROKS",IF($F227="À décommissionner",IF(S$8&lt;$AS227,"IKS","Décom."),IF(OR($AQ227="",$AS227=""),"",IF(S$8&lt;$AQ227,"IKS",IF(S$8&lt;$AS227,IF(S$8=$AR227,"Bascule","Double run"),"ROKS"))))))</f>
        <v/>
      </c>
      <c r="T227" s="51" t="str">
        <f aca="false">IF(OR($A227="",T$8=""),"",IF($F227="Migré","ROKS",IF($F227="À décommissionner",IF(T$8&lt;$AS227,"IKS","Décom."),IF(OR($AQ227="",$AS227=""),"",IF(T$8&lt;$AQ227,"IKS",IF(T$8&lt;$AS227,IF(T$8=$AR227,"Bascule","Double run"),"ROKS"))))))</f>
        <v/>
      </c>
      <c r="U227" s="51" t="str">
        <f aca="false">IF(OR($A227="",U$8=""),"",IF($F227="Migré","ROKS",IF($F227="À décommissionner",IF(U$8&lt;$AS227,"IKS","Décom."),IF(OR($AQ227="",$AS227=""),"",IF(U$8&lt;$AQ227,"IKS",IF(U$8&lt;$AS227,IF(U$8=$AR227,"Bascule","Double run"),"ROKS"))))))</f>
        <v/>
      </c>
      <c r="V227" s="51" t="str">
        <f aca="false">IF(OR($A227="",V$8=""),"",IF($F227="Migré","ROKS",IF($F227="À décommissionner",IF(V$8&lt;$AS227,"IKS","Décom."),IF(OR($AQ227="",$AS227=""),"",IF(V$8&lt;$AQ227,"IKS",IF(V$8&lt;$AS227,IF(V$8=$AR227,"Bascule","Double run"),"ROKS"))))))</f>
        <v/>
      </c>
      <c r="W227" s="51" t="str">
        <f aca="false">IF(OR($A227="",W$8=""),"",IF($F227="Migré","ROKS",IF($F227="À décommissionner",IF(W$8&lt;$AS227,"IKS","Décom."),IF(OR($AQ227="",$AS227=""),"",IF(W$8&lt;$AQ227,"IKS",IF(W$8&lt;$AS227,IF(W$8=$AR227,"Bascule","Double run"),"ROKS"))))))</f>
        <v/>
      </c>
      <c r="X227" s="51" t="str">
        <f aca="false">IF(OR($A227="",X$8=""),"",IF($F227="Migré","ROKS",IF($F227="À décommissionner",IF(X$8&lt;$AS227,"IKS","Décom."),IF(OR($AQ227="",$AS227=""),"",IF(X$8&lt;$AQ227,"IKS",IF(X$8&lt;$AS227,IF(X$8=$AR227,"Bascule","Double run"),"ROKS"))))))</f>
        <v/>
      </c>
      <c r="Y227" s="51" t="str">
        <f aca="false">IF(OR($A227="",Y$8=""),"",IF($F227="Migré","ROKS",IF($F227="À décommissionner",IF(Y$8&lt;$AS227,"IKS","Décom."),IF(OR($AQ227="",$AS227=""),"",IF(Y$8&lt;$AQ227,"IKS",IF(Y$8&lt;$AS227,IF(Y$8=$AR227,"Bascule","Double run"),"ROKS"))))))</f>
        <v/>
      </c>
      <c r="Z227" s="51" t="str">
        <f aca="false">IF(OR($A227="",Z$8=""),"",IF($F227="Migré","ROKS",IF($F227="À décommissionner",IF(Z$8&lt;$AS227,"IKS","Décom."),IF(OR($AQ227="",$AS227=""),"",IF(Z$8&lt;$AQ227,"IKS",IF(Z$8&lt;$AS227,IF(Z$8=$AR227,"Bascule","Double run"),"ROKS"))))))</f>
        <v/>
      </c>
      <c r="AA227" s="51" t="str">
        <f aca="false">IF(OR($A227="",AA$8=""),"",IF($F227="Migré","ROKS",IF($F227="À décommissionner",IF(AA$8&lt;$AS227,"IKS","Décom."),IF(OR($AQ227="",$AS227=""),"",IF(AA$8&lt;$AQ227,"IKS",IF(AA$8&lt;$AS227,IF(AA$8=$AR227,"Bascule","Double run"),"ROKS"))))))</f>
        <v/>
      </c>
      <c r="AB227" s="51" t="str">
        <f aca="false">IF(OR($A227="",AB$8=""),"",IF($F227="Migré","ROKS",IF($F227="À décommissionner",IF(AB$8&lt;$AS227,"IKS","Décom."),IF(OR($AQ227="",$AS227=""),"",IF(AB$8&lt;$AQ227,"IKS",IF(AB$8&lt;$AS227,IF(AB$8=$AR227,"Bascule","Double run"),"ROKS"))))))</f>
        <v/>
      </c>
      <c r="AC227" s="51" t="str">
        <f aca="false">IF(OR($A227="",AC$8=""),"",IF($F227="Migré","ROKS",IF($F227="À décommissionner",IF(AC$8&lt;$AS227,"IKS","Décom."),IF(OR($AQ227="",$AS227=""),"",IF(AC$8&lt;$AQ227,"IKS",IF(AC$8&lt;$AS227,IF(AC$8=$AR227,"Bascule","Double run"),"ROKS"))))))</f>
        <v/>
      </c>
      <c r="AD227" s="51" t="str">
        <f aca="false">IF(OR($A227="",AD$8=""),"",IF($F227="Migré","ROKS",IF($F227="À décommissionner",IF(AD$8&lt;$AS227,"IKS","Décom."),IF(OR($AQ227="",$AS227=""),"",IF(AD$8&lt;$AQ227,"IKS",IF(AD$8&lt;$AS227,IF(AD$8=$AR227,"Bascule","Double run"),"ROKS"))))))</f>
        <v/>
      </c>
      <c r="AE227" s="51" t="str">
        <f aca="false">IF(OR($A227="",AE$8=""),"",IF($F227="Migré","ROKS",IF($F227="À décommissionner",IF(AE$8&lt;$AS227,"IKS","Décom."),IF(OR($AQ227="",$AS227=""),"",IF(AE$8&lt;$AQ227,"IKS",IF(AE$8&lt;$AS227,IF(AE$8=$AR227,"Bascule","Double run"),"ROKS"))))))</f>
        <v/>
      </c>
      <c r="AF227" s="51" t="str">
        <f aca="false">IF(OR($A227="",AF$8=""),"",IF($F227="Migré","ROKS",IF($F227="À décommissionner",IF(AF$8&lt;$AS227,"IKS","Décom."),IF(OR($AQ227="",$AS227=""),"",IF(AF$8&lt;$AQ227,"IKS",IF(AF$8&lt;$AS227,IF(AF$8=$AR227,"Bascule","Double run"),"ROKS"))))))</f>
        <v/>
      </c>
      <c r="AG227" s="51" t="str">
        <f aca="false">IF(OR($A227="",AG$8=""),"",IF($F227="Migré","ROKS",IF($F227="À décommissionner",IF(AG$8&lt;$AS227,"IKS","Décom."),IF(OR($AQ227="",$AS227=""),"",IF(AG$8&lt;$AQ227,"IKS",IF(AG$8&lt;$AS227,IF(AG$8=$AR227,"Bascule","Double run"),"ROKS"))))))</f>
        <v/>
      </c>
      <c r="AH227" s="51" t="str">
        <f aca="false">IF(OR($A227="",AH$8=""),"",IF($F227="Migré","ROKS",IF($F227="À décommissionner",IF(AH$8&lt;$AS227,"IKS","Décom."),IF(OR($AQ227="",$AS227=""),"",IF(AH$8&lt;$AQ227,"IKS",IF(AH$8&lt;$AS227,IF(AH$8=$AR227,"Bascule","Double run"),"ROKS"))))))</f>
        <v/>
      </c>
      <c r="AI227" s="51" t="str">
        <f aca="false">IF(OR($A227="",AI$8=""),"",IF($F227="Migré","ROKS",IF($F227="À décommissionner",IF(AI$8&lt;$AS227,"IKS","Décom."),IF(OR($AQ227="",$AS227=""),"",IF(AI$8&lt;$AQ227,"IKS",IF(AI$8&lt;$AS227,IF(AI$8=$AR227,"Bascule","Double run"),"ROKS"))))))</f>
        <v/>
      </c>
      <c r="AJ227" s="51" t="str">
        <f aca="false">IF(OR($A227="",AJ$8=""),"",IF($F227="Migré","ROKS",IF($F227="À décommissionner",IF(AJ$8&lt;$AS227,"IKS","Décom."),IF(OR($AQ227="",$AS227=""),"",IF(AJ$8&lt;$AQ227,"IKS",IF(AJ$8&lt;$AS227,IF(AJ$8=$AR227,"Bascule","Double run"),"ROKS"))))))</f>
        <v/>
      </c>
      <c r="AK227" s="51" t="str">
        <f aca="false">IF(OR($A227="",AK$8=""),"",IF($F227="Migré","ROKS",IF($F227="À décommissionner",IF(AK$8&lt;$AS227,"IKS","Décom."),IF(OR($AQ227="",$AS227=""),"",IF(AK$8&lt;$AQ227,"IKS",IF(AK$8&lt;$AS227,IF(AK$8=$AR227,"Bascule","Double run"),"ROKS"))))))</f>
        <v/>
      </c>
      <c r="AL227" s="51" t="str">
        <f aca="false">IF(OR($A227="",AL$8=""),"",IF($F227="Migré","ROKS",IF($F227="À décommissionner",IF(AL$8&lt;$AS227,"IKS","Décom."),IF(OR($AQ227="",$AS227=""),"",IF(AL$8&lt;$AQ227,"IKS",IF(AL$8&lt;$AS227,IF(AL$8=$AR227,"Bascule","Double run"),"ROKS"))))))</f>
        <v/>
      </c>
      <c r="AM227" s="51" t="str">
        <f aca="false">IF(OR($A227="",AM$8=""),"",IF($F227="Migré","ROKS",IF($F227="À décommissionner",IF(AM$8&lt;$AS227,"IKS","Décom."),IF(OR($AQ227="",$AS227=""),"",IF(AM$8&lt;$AQ227,"IKS",IF(AM$8&lt;$AS227,IF(AM$8=$AR227,"Bascule","Double run"),"ROKS"))))))</f>
        <v/>
      </c>
      <c r="AN227" s="51" t="str">
        <f aca="false">IF(OR($A227="",AN$8=""),"",IF($F227="Migré","ROKS",IF($F227="À décommissionner",IF(AN$8&lt;$AS227,"IKS","Décom."),IF(OR($AQ227="",$AS227=""),"",IF(AN$8&lt;$AQ227,"IKS",IF(AN$8&lt;$AS227,IF(AN$8=$AR227,"Bascule","Double run"),"ROKS"))))))</f>
        <v/>
      </c>
      <c r="AO227" s="51" t="str">
        <f aca="false">IF(OR($A227="",AO$8=""),"",IF($F227="Migré","ROKS",IF($F227="À décommissionner",IF(AO$8&lt;$AS227,"IKS","Décom."),IF(OR($AQ227="",$AS227=""),"",IF(AO$8&lt;$AQ227,"IKS",IF(AO$8&lt;$AS227,IF(AO$8=$AR227,"Bascule","Double run"),"ROKS"))))))</f>
        <v/>
      </c>
      <c r="AP227" s="51" t="str">
        <f aca="false">IF(OR($A227="",AP$8=""),"",IF($F227="Migré","ROKS",IF($F227="À décommissionner",IF(AP$8&lt;$AS227,"IKS","Décom."),IF(OR($AQ227="",$AS227=""),"",IF(AP$8&lt;$AQ227,"IKS",IF(AP$8&lt;$AS227,IF(AP$8=$AR227,"Bascule","Double run"),"ROKS"))))))</f>
        <v/>
      </c>
      <c r="AQ227" s="0" t="str">
        <f aca="false">IF($A227="","",INDEX(TblApplications[Mois prov (calc)],$A227))</f>
        <v/>
      </c>
      <c r="AR227" s="0" t="str">
        <f aca="false">IF($A227="","",IFERROR(DATE(YEAR(INDEX(TblApplications[Mois bascule],$A227)),MONTH(INDEX(TblApplications[Mois bascule],$A227)),1),""))</f>
        <v/>
      </c>
      <c r="AS227" s="0" t="str">
        <f aca="false">IF($A227="","",INDEX(TblApplications[Mois lib (calc)],$A227))</f>
        <v/>
      </c>
    </row>
    <row r="228" customFormat="false" ht="15" hidden="false" customHeight="false" outlineLevel="0" collapsed="false">
      <c r="A228" s="49" t="str">
        <f aca="false">IFERROR(MATCH(220,TblApplications[Rang frise],0),"")</f>
        <v/>
      </c>
      <c r="B228" s="50" t="str">
        <f aca="false">IF($A228="","",INDEX(TblApplications[ID],$A228))</f>
        <v/>
      </c>
      <c r="C228" s="50" t="str">
        <f aca="false">IF($A228="","",INDEX(TblApplications[Application],$A228))</f>
        <v/>
      </c>
      <c r="D228" s="50" t="str">
        <f aca="false">IF($A228="","",INDEX(TblApplications[Environnement],$A228))</f>
        <v/>
      </c>
      <c r="E228" s="50" t="str">
        <f aca="false">IF($A228="","",INDEX(TblApplications[Couloir],$A228))</f>
        <v/>
      </c>
      <c r="F228" s="50" t="str">
        <f aca="false">IF($A228="","",INDEX(TblApplications[Action],$A228))</f>
        <v/>
      </c>
      <c r="G228" s="51" t="str">
        <f aca="false">IF(OR($A228="",G$8=""),"",IF($F228="Migré","ROKS",IF($F228="À décommissionner",IF(G$8&lt;$AS228,"IKS","Décom."),IF(OR($AQ228="",$AS228=""),"",IF(G$8&lt;$AQ228,"IKS",IF(G$8&lt;$AS228,IF(G$8=$AR228,"Bascule","Double run"),"ROKS"))))))</f>
        <v/>
      </c>
      <c r="H228" s="51" t="str">
        <f aca="false">IF(OR($A228="",H$8=""),"",IF($F228="Migré","ROKS",IF($F228="À décommissionner",IF(H$8&lt;$AS228,"IKS","Décom."),IF(OR($AQ228="",$AS228=""),"",IF(H$8&lt;$AQ228,"IKS",IF(H$8&lt;$AS228,IF(H$8=$AR228,"Bascule","Double run"),"ROKS"))))))</f>
        <v/>
      </c>
      <c r="I228" s="51" t="str">
        <f aca="false">IF(OR($A228="",I$8=""),"",IF($F228="Migré","ROKS",IF($F228="À décommissionner",IF(I$8&lt;$AS228,"IKS","Décom."),IF(OR($AQ228="",$AS228=""),"",IF(I$8&lt;$AQ228,"IKS",IF(I$8&lt;$AS228,IF(I$8=$AR228,"Bascule","Double run"),"ROKS"))))))</f>
        <v/>
      </c>
      <c r="J228" s="51" t="str">
        <f aca="false">IF(OR($A228="",J$8=""),"",IF($F228="Migré","ROKS",IF($F228="À décommissionner",IF(J$8&lt;$AS228,"IKS","Décom."),IF(OR($AQ228="",$AS228=""),"",IF(J$8&lt;$AQ228,"IKS",IF(J$8&lt;$AS228,IF(J$8=$AR228,"Bascule","Double run"),"ROKS"))))))</f>
        <v/>
      </c>
      <c r="K228" s="51" t="str">
        <f aca="false">IF(OR($A228="",K$8=""),"",IF($F228="Migré","ROKS",IF($F228="À décommissionner",IF(K$8&lt;$AS228,"IKS","Décom."),IF(OR($AQ228="",$AS228=""),"",IF(K$8&lt;$AQ228,"IKS",IF(K$8&lt;$AS228,IF(K$8=$AR228,"Bascule","Double run"),"ROKS"))))))</f>
        <v/>
      </c>
      <c r="L228" s="51" t="str">
        <f aca="false">IF(OR($A228="",L$8=""),"",IF($F228="Migré","ROKS",IF($F228="À décommissionner",IF(L$8&lt;$AS228,"IKS","Décom."),IF(OR($AQ228="",$AS228=""),"",IF(L$8&lt;$AQ228,"IKS",IF(L$8&lt;$AS228,IF(L$8=$AR228,"Bascule","Double run"),"ROKS"))))))</f>
        <v/>
      </c>
      <c r="M228" s="51" t="str">
        <f aca="false">IF(OR($A228="",M$8=""),"",IF($F228="Migré","ROKS",IF($F228="À décommissionner",IF(M$8&lt;$AS228,"IKS","Décom."),IF(OR($AQ228="",$AS228=""),"",IF(M$8&lt;$AQ228,"IKS",IF(M$8&lt;$AS228,IF(M$8=$AR228,"Bascule","Double run"),"ROKS"))))))</f>
        <v/>
      </c>
      <c r="N228" s="51" t="str">
        <f aca="false">IF(OR($A228="",N$8=""),"",IF($F228="Migré","ROKS",IF($F228="À décommissionner",IF(N$8&lt;$AS228,"IKS","Décom."),IF(OR($AQ228="",$AS228=""),"",IF(N$8&lt;$AQ228,"IKS",IF(N$8&lt;$AS228,IF(N$8=$AR228,"Bascule","Double run"),"ROKS"))))))</f>
        <v/>
      </c>
      <c r="O228" s="51" t="str">
        <f aca="false">IF(OR($A228="",O$8=""),"",IF($F228="Migré","ROKS",IF($F228="À décommissionner",IF(O$8&lt;$AS228,"IKS","Décom."),IF(OR($AQ228="",$AS228=""),"",IF(O$8&lt;$AQ228,"IKS",IF(O$8&lt;$AS228,IF(O$8=$AR228,"Bascule","Double run"),"ROKS"))))))</f>
        <v/>
      </c>
      <c r="P228" s="51" t="str">
        <f aca="false">IF(OR($A228="",P$8=""),"",IF($F228="Migré","ROKS",IF($F228="À décommissionner",IF(P$8&lt;$AS228,"IKS","Décom."),IF(OR($AQ228="",$AS228=""),"",IF(P$8&lt;$AQ228,"IKS",IF(P$8&lt;$AS228,IF(P$8=$AR228,"Bascule","Double run"),"ROKS"))))))</f>
        <v/>
      </c>
      <c r="Q228" s="51" t="str">
        <f aca="false">IF(OR($A228="",Q$8=""),"",IF($F228="Migré","ROKS",IF($F228="À décommissionner",IF(Q$8&lt;$AS228,"IKS","Décom."),IF(OR($AQ228="",$AS228=""),"",IF(Q$8&lt;$AQ228,"IKS",IF(Q$8&lt;$AS228,IF(Q$8=$AR228,"Bascule","Double run"),"ROKS"))))))</f>
        <v/>
      </c>
      <c r="R228" s="51" t="str">
        <f aca="false">IF(OR($A228="",R$8=""),"",IF($F228="Migré","ROKS",IF($F228="À décommissionner",IF(R$8&lt;$AS228,"IKS","Décom."),IF(OR($AQ228="",$AS228=""),"",IF(R$8&lt;$AQ228,"IKS",IF(R$8&lt;$AS228,IF(R$8=$AR228,"Bascule","Double run"),"ROKS"))))))</f>
        <v/>
      </c>
      <c r="S228" s="51" t="str">
        <f aca="false">IF(OR($A228="",S$8=""),"",IF($F228="Migré","ROKS",IF($F228="À décommissionner",IF(S$8&lt;$AS228,"IKS","Décom."),IF(OR($AQ228="",$AS228=""),"",IF(S$8&lt;$AQ228,"IKS",IF(S$8&lt;$AS228,IF(S$8=$AR228,"Bascule","Double run"),"ROKS"))))))</f>
        <v/>
      </c>
      <c r="T228" s="51" t="str">
        <f aca="false">IF(OR($A228="",T$8=""),"",IF($F228="Migré","ROKS",IF($F228="À décommissionner",IF(T$8&lt;$AS228,"IKS","Décom."),IF(OR($AQ228="",$AS228=""),"",IF(T$8&lt;$AQ228,"IKS",IF(T$8&lt;$AS228,IF(T$8=$AR228,"Bascule","Double run"),"ROKS"))))))</f>
        <v/>
      </c>
      <c r="U228" s="51" t="str">
        <f aca="false">IF(OR($A228="",U$8=""),"",IF($F228="Migré","ROKS",IF($F228="À décommissionner",IF(U$8&lt;$AS228,"IKS","Décom."),IF(OR($AQ228="",$AS228=""),"",IF(U$8&lt;$AQ228,"IKS",IF(U$8&lt;$AS228,IF(U$8=$AR228,"Bascule","Double run"),"ROKS"))))))</f>
        <v/>
      </c>
      <c r="V228" s="51" t="str">
        <f aca="false">IF(OR($A228="",V$8=""),"",IF($F228="Migré","ROKS",IF($F228="À décommissionner",IF(V$8&lt;$AS228,"IKS","Décom."),IF(OR($AQ228="",$AS228=""),"",IF(V$8&lt;$AQ228,"IKS",IF(V$8&lt;$AS228,IF(V$8=$AR228,"Bascule","Double run"),"ROKS"))))))</f>
        <v/>
      </c>
      <c r="W228" s="51" t="str">
        <f aca="false">IF(OR($A228="",W$8=""),"",IF($F228="Migré","ROKS",IF($F228="À décommissionner",IF(W$8&lt;$AS228,"IKS","Décom."),IF(OR($AQ228="",$AS228=""),"",IF(W$8&lt;$AQ228,"IKS",IF(W$8&lt;$AS228,IF(W$8=$AR228,"Bascule","Double run"),"ROKS"))))))</f>
        <v/>
      </c>
      <c r="X228" s="51" t="str">
        <f aca="false">IF(OR($A228="",X$8=""),"",IF($F228="Migré","ROKS",IF($F228="À décommissionner",IF(X$8&lt;$AS228,"IKS","Décom."),IF(OR($AQ228="",$AS228=""),"",IF(X$8&lt;$AQ228,"IKS",IF(X$8&lt;$AS228,IF(X$8=$AR228,"Bascule","Double run"),"ROKS"))))))</f>
        <v/>
      </c>
      <c r="Y228" s="51" t="str">
        <f aca="false">IF(OR($A228="",Y$8=""),"",IF($F228="Migré","ROKS",IF($F228="À décommissionner",IF(Y$8&lt;$AS228,"IKS","Décom."),IF(OR($AQ228="",$AS228=""),"",IF(Y$8&lt;$AQ228,"IKS",IF(Y$8&lt;$AS228,IF(Y$8=$AR228,"Bascule","Double run"),"ROKS"))))))</f>
        <v/>
      </c>
      <c r="Z228" s="51" t="str">
        <f aca="false">IF(OR($A228="",Z$8=""),"",IF($F228="Migré","ROKS",IF($F228="À décommissionner",IF(Z$8&lt;$AS228,"IKS","Décom."),IF(OR($AQ228="",$AS228=""),"",IF(Z$8&lt;$AQ228,"IKS",IF(Z$8&lt;$AS228,IF(Z$8=$AR228,"Bascule","Double run"),"ROKS"))))))</f>
        <v/>
      </c>
      <c r="AA228" s="51" t="str">
        <f aca="false">IF(OR($A228="",AA$8=""),"",IF($F228="Migré","ROKS",IF($F228="À décommissionner",IF(AA$8&lt;$AS228,"IKS","Décom."),IF(OR($AQ228="",$AS228=""),"",IF(AA$8&lt;$AQ228,"IKS",IF(AA$8&lt;$AS228,IF(AA$8=$AR228,"Bascule","Double run"),"ROKS"))))))</f>
        <v/>
      </c>
      <c r="AB228" s="51" t="str">
        <f aca="false">IF(OR($A228="",AB$8=""),"",IF($F228="Migré","ROKS",IF($F228="À décommissionner",IF(AB$8&lt;$AS228,"IKS","Décom."),IF(OR($AQ228="",$AS228=""),"",IF(AB$8&lt;$AQ228,"IKS",IF(AB$8&lt;$AS228,IF(AB$8=$AR228,"Bascule","Double run"),"ROKS"))))))</f>
        <v/>
      </c>
      <c r="AC228" s="51" t="str">
        <f aca="false">IF(OR($A228="",AC$8=""),"",IF($F228="Migré","ROKS",IF($F228="À décommissionner",IF(AC$8&lt;$AS228,"IKS","Décom."),IF(OR($AQ228="",$AS228=""),"",IF(AC$8&lt;$AQ228,"IKS",IF(AC$8&lt;$AS228,IF(AC$8=$AR228,"Bascule","Double run"),"ROKS"))))))</f>
        <v/>
      </c>
      <c r="AD228" s="51" t="str">
        <f aca="false">IF(OR($A228="",AD$8=""),"",IF($F228="Migré","ROKS",IF($F228="À décommissionner",IF(AD$8&lt;$AS228,"IKS","Décom."),IF(OR($AQ228="",$AS228=""),"",IF(AD$8&lt;$AQ228,"IKS",IF(AD$8&lt;$AS228,IF(AD$8=$AR228,"Bascule","Double run"),"ROKS"))))))</f>
        <v/>
      </c>
      <c r="AE228" s="51" t="str">
        <f aca="false">IF(OR($A228="",AE$8=""),"",IF($F228="Migré","ROKS",IF($F228="À décommissionner",IF(AE$8&lt;$AS228,"IKS","Décom."),IF(OR($AQ228="",$AS228=""),"",IF(AE$8&lt;$AQ228,"IKS",IF(AE$8&lt;$AS228,IF(AE$8=$AR228,"Bascule","Double run"),"ROKS"))))))</f>
        <v/>
      </c>
      <c r="AF228" s="51" t="str">
        <f aca="false">IF(OR($A228="",AF$8=""),"",IF($F228="Migré","ROKS",IF($F228="À décommissionner",IF(AF$8&lt;$AS228,"IKS","Décom."),IF(OR($AQ228="",$AS228=""),"",IF(AF$8&lt;$AQ228,"IKS",IF(AF$8&lt;$AS228,IF(AF$8=$AR228,"Bascule","Double run"),"ROKS"))))))</f>
        <v/>
      </c>
      <c r="AG228" s="51" t="str">
        <f aca="false">IF(OR($A228="",AG$8=""),"",IF($F228="Migré","ROKS",IF($F228="À décommissionner",IF(AG$8&lt;$AS228,"IKS","Décom."),IF(OR($AQ228="",$AS228=""),"",IF(AG$8&lt;$AQ228,"IKS",IF(AG$8&lt;$AS228,IF(AG$8=$AR228,"Bascule","Double run"),"ROKS"))))))</f>
        <v/>
      </c>
      <c r="AH228" s="51" t="str">
        <f aca="false">IF(OR($A228="",AH$8=""),"",IF($F228="Migré","ROKS",IF($F228="À décommissionner",IF(AH$8&lt;$AS228,"IKS","Décom."),IF(OR($AQ228="",$AS228=""),"",IF(AH$8&lt;$AQ228,"IKS",IF(AH$8&lt;$AS228,IF(AH$8=$AR228,"Bascule","Double run"),"ROKS"))))))</f>
        <v/>
      </c>
      <c r="AI228" s="51" t="str">
        <f aca="false">IF(OR($A228="",AI$8=""),"",IF($F228="Migré","ROKS",IF($F228="À décommissionner",IF(AI$8&lt;$AS228,"IKS","Décom."),IF(OR($AQ228="",$AS228=""),"",IF(AI$8&lt;$AQ228,"IKS",IF(AI$8&lt;$AS228,IF(AI$8=$AR228,"Bascule","Double run"),"ROKS"))))))</f>
        <v/>
      </c>
      <c r="AJ228" s="51" t="str">
        <f aca="false">IF(OR($A228="",AJ$8=""),"",IF($F228="Migré","ROKS",IF($F228="À décommissionner",IF(AJ$8&lt;$AS228,"IKS","Décom."),IF(OR($AQ228="",$AS228=""),"",IF(AJ$8&lt;$AQ228,"IKS",IF(AJ$8&lt;$AS228,IF(AJ$8=$AR228,"Bascule","Double run"),"ROKS"))))))</f>
        <v/>
      </c>
      <c r="AK228" s="51" t="str">
        <f aca="false">IF(OR($A228="",AK$8=""),"",IF($F228="Migré","ROKS",IF($F228="À décommissionner",IF(AK$8&lt;$AS228,"IKS","Décom."),IF(OR($AQ228="",$AS228=""),"",IF(AK$8&lt;$AQ228,"IKS",IF(AK$8&lt;$AS228,IF(AK$8=$AR228,"Bascule","Double run"),"ROKS"))))))</f>
        <v/>
      </c>
      <c r="AL228" s="51" t="str">
        <f aca="false">IF(OR($A228="",AL$8=""),"",IF($F228="Migré","ROKS",IF($F228="À décommissionner",IF(AL$8&lt;$AS228,"IKS","Décom."),IF(OR($AQ228="",$AS228=""),"",IF(AL$8&lt;$AQ228,"IKS",IF(AL$8&lt;$AS228,IF(AL$8=$AR228,"Bascule","Double run"),"ROKS"))))))</f>
        <v/>
      </c>
      <c r="AM228" s="51" t="str">
        <f aca="false">IF(OR($A228="",AM$8=""),"",IF($F228="Migré","ROKS",IF($F228="À décommissionner",IF(AM$8&lt;$AS228,"IKS","Décom."),IF(OR($AQ228="",$AS228=""),"",IF(AM$8&lt;$AQ228,"IKS",IF(AM$8&lt;$AS228,IF(AM$8=$AR228,"Bascule","Double run"),"ROKS"))))))</f>
        <v/>
      </c>
      <c r="AN228" s="51" t="str">
        <f aca="false">IF(OR($A228="",AN$8=""),"",IF($F228="Migré","ROKS",IF($F228="À décommissionner",IF(AN$8&lt;$AS228,"IKS","Décom."),IF(OR($AQ228="",$AS228=""),"",IF(AN$8&lt;$AQ228,"IKS",IF(AN$8&lt;$AS228,IF(AN$8=$AR228,"Bascule","Double run"),"ROKS"))))))</f>
        <v/>
      </c>
      <c r="AO228" s="51" t="str">
        <f aca="false">IF(OR($A228="",AO$8=""),"",IF($F228="Migré","ROKS",IF($F228="À décommissionner",IF(AO$8&lt;$AS228,"IKS","Décom."),IF(OR($AQ228="",$AS228=""),"",IF(AO$8&lt;$AQ228,"IKS",IF(AO$8&lt;$AS228,IF(AO$8=$AR228,"Bascule","Double run"),"ROKS"))))))</f>
        <v/>
      </c>
      <c r="AP228" s="51" t="str">
        <f aca="false">IF(OR($A228="",AP$8=""),"",IF($F228="Migré","ROKS",IF($F228="À décommissionner",IF(AP$8&lt;$AS228,"IKS","Décom."),IF(OR($AQ228="",$AS228=""),"",IF(AP$8&lt;$AQ228,"IKS",IF(AP$8&lt;$AS228,IF(AP$8=$AR228,"Bascule","Double run"),"ROKS"))))))</f>
        <v/>
      </c>
      <c r="AQ228" s="0" t="str">
        <f aca="false">IF($A228="","",INDEX(TblApplications[Mois prov (calc)],$A228))</f>
        <v/>
      </c>
      <c r="AR228" s="0" t="str">
        <f aca="false">IF($A228="","",IFERROR(DATE(YEAR(INDEX(TblApplications[Mois bascule],$A228)),MONTH(INDEX(TblApplications[Mois bascule],$A228)),1),""))</f>
        <v/>
      </c>
      <c r="AS228" s="0" t="str">
        <f aca="false">IF($A228="","",INDEX(TblApplications[Mois lib (calc)],$A228))</f>
        <v/>
      </c>
    </row>
    <row r="229" customFormat="false" ht="15" hidden="false" customHeight="false" outlineLevel="0" collapsed="false">
      <c r="A229" s="49" t="str">
        <f aca="false">IFERROR(MATCH(221,TblApplications[Rang frise],0),"")</f>
        <v/>
      </c>
      <c r="B229" s="50" t="str">
        <f aca="false">IF($A229="","",INDEX(TblApplications[ID],$A229))</f>
        <v/>
      </c>
      <c r="C229" s="50" t="str">
        <f aca="false">IF($A229="","",INDEX(TblApplications[Application],$A229))</f>
        <v/>
      </c>
      <c r="D229" s="50" t="str">
        <f aca="false">IF($A229="","",INDEX(TblApplications[Environnement],$A229))</f>
        <v/>
      </c>
      <c r="E229" s="50" t="str">
        <f aca="false">IF($A229="","",INDEX(TblApplications[Couloir],$A229))</f>
        <v/>
      </c>
      <c r="F229" s="50" t="str">
        <f aca="false">IF($A229="","",INDEX(TblApplications[Action],$A229))</f>
        <v/>
      </c>
      <c r="G229" s="51" t="str">
        <f aca="false">IF(OR($A229="",G$8=""),"",IF($F229="Migré","ROKS",IF($F229="À décommissionner",IF(G$8&lt;$AS229,"IKS","Décom."),IF(OR($AQ229="",$AS229=""),"",IF(G$8&lt;$AQ229,"IKS",IF(G$8&lt;$AS229,IF(G$8=$AR229,"Bascule","Double run"),"ROKS"))))))</f>
        <v/>
      </c>
      <c r="H229" s="51" t="str">
        <f aca="false">IF(OR($A229="",H$8=""),"",IF($F229="Migré","ROKS",IF($F229="À décommissionner",IF(H$8&lt;$AS229,"IKS","Décom."),IF(OR($AQ229="",$AS229=""),"",IF(H$8&lt;$AQ229,"IKS",IF(H$8&lt;$AS229,IF(H$8=$AR229,"Bascule","Double run"),"ROKS"))))))</f>
        <v/>
      </c>
      <c r="I229" s="51" t="str">
        <f aca="false">IF(OR($A229="",I$8=""),"",IF($F229="Migré","ROKS",IF($F229="À décommissionner",IF(I$8&lt;$AS229,"IKS","Décom."),IF(OR($AQ229="",$AS229=""),"",IF(I$8&lt;$AQ229,"IKS",IF(I$8&lt;$AS229,IF(I$8=$AR229,"Bascule","Double run"),"ROKS"))))))</f>
        <v/>
      </c>
      <c r="J229" s="51" t="str">
        <f aca="false">IF(OR($A229="",J$8=""),"",IF($F229="Migré","ROKS",IF($F229="À décommissionner",IF(J$8&lt;$AS229,"IKS","Décom."),IF(OR($AQ229="",$AS229=""),"",IF(J$8&lt;$AQ229,"IKS",IF(J$8&lt;$AS229,IF(J$8=$AR229,"Bascule","Double run"),"ROKS"))))))</f>
        <v/>
      </c>
      <c r="K229" s="51" t="str">
        <f aca="false">IF(OR($A229="",K$8=""),"",IF($F229="Migré","ROKS",IF($F229="À décommissionner",IF(K$8&lt;$AS229,"IKS","Décom."),IF(OR($AQ229="",$AS229=""),"",IF(K$8&lt;$AQ229,"IKS",IF(K$8&lt;$AS229,IF(K$8=$AR229,"Bascule","Double run"),"ROKS"))))))</f>
        <v/>
      </c>
      <c r="L229" s="51" t="str">
        <f aca="false">IF(OR($A229="",L$8=""),"",IF($F229="Migré","ROKS",IF($F229="À décommissionner",IF(L$8&lt;$AS229,"IKS","Décom."),IF(OR($AQ229="",$AS229=""),"",IF(L$8&lt;$AQ229,"IKS",IF(L$8&lt;$AS229,IF(L$8=$AR229,"Bascule","Double run"),"ROKS"))))))</f>
        <v/>
      </c>
      <c r="M229" s="51" t="str">
        <f aca="false">IF(OR($A229="",M$8=""),"",IF($F229="Migré","ROKS",IF($F229="À décommissionner",IF(M$8&lt;$AS229,"IKS","Décom."),IF(OR($AQ229="",$AS229=""),"",IF(M$8&lt;$AQ229,"IKS",IF(M$8&lt;$AS229,IF(M$8=$AR229,"Bascule","Double run"),"ROKS"))))))</f>
        <v/>
      </c>
      <c r="N229" s="51" t="str">
        <f aca="false">IF(OR($A229="",N$8=""),"",IF($F229="Migré","ROKS",IF($F229="À décommissionner",IF(N$8&lt;$AS229,"IKS","Décom."),IF(OR($AQ229="",$AS229=""),"",IF(N$8&lt;$AQ229,"IKS",IF(N$8&lt;$AS229,IF(N$8=$AR229,"Bascule","Double run"),"ROKS"))))))</f>
        <v/>
      </c>
      <c r="O229" s="51" t="str">
        <f aca="false">IF(OR($A229="",O$8=""),"",IF($F229="Migré","ROKS",IF($F229="À décommissionner",IF(O$8&lt;$AS229,"IKS","Décom."),IF(OR($AQ229="",$AS229=""),"",IF(O$8&lt;$AQ229,"IKS",IF(O$8&lt;$AS229,IF(O$8=$AR229,"Bascule","Double run"),"ROKS"))))))</f>
        <v/>
      </c>
      <c r="P229" s="51" t="str">
        <f aca="false">IF(OR($A229="",P$8=""),"",IF($F229="Migré","ROKS",IF($F229="À décommissionner",IF(P$8&lt;$AS229,"IKS","Décom."),IF(OR($AQ229="",$AS229=""),"",IF(P$8&lt;$AQ229,"IKS",IF(P$8&lt;$AS229,IF(P$8=$AR229,"Bascule","Double run"),"ROKS"))))))</f>
        <v/>
      </c>
      <c r="Q229" s="51" t="str">
        <f aca="false">IF(OR($A229="",Q$8=""),"",IF($F229="Migré","ROKS",IF($F229="À décommissionner",IF(Q$8&lt;$AS229,"IKS","Décom."),IF(OR($AQ229="",$AS229=""),"",IF(Q$8&lt;$AQ229,"IKS",IF(Q$8&lt;$AS229,IF(Q$8=$AR229,"Bascule","Double run"),"ROKS"))))))</f>
        <v/>
      </c>
      <c r="R229" s="51" t="str">
        <f aca="false">IF(OR($A229="",R$8=""),"",IF($F229="Migré","ROKS",IF($F229="À décommissionner",IF(R$8&lt;$AS229,"IKS","Décom."),IF(OR($AQ229="",$AS229=""),"",IF(R$8&lt;$AQ229,"IKS",IF(R$8&lt;$AS229,IF(R$8=$AR229,"Bascule","Double run"),"ROKS"))))))</f>
        <v/>
      </c>
      <c r="S229" s="51" t="str">
        <f aca="false">IF(OR($A229="",S$8=""),"",IF($F229="Migré","ROKS",IF($F229="À décommissionner",IF(S$8&lt;$AS229,"IKS","Décom."),IF(OR($AQ229="",$AS229=""),"",IF(S$8&lt;$AQ229,"IKS",IF(S$8&lt;$AS229,IF(S$8=$AR229,"Bascule","Double run"),"ROKS"))))))</f>
        <v/>
      </c>
      <c r="T229" s="51" t="str">
        <f aca="false">IF(OR($A229="",T$8=""),"",IF($F229="Migré","ROKS",IF($F229="À décommissionner",IF(T$8&lt;$AS229,"IKS","Décom."),IF(OR($AQ229="",$AS229=""),"",IF(T$8&lt;$AQ229,"IKS",IF(T$8&lt;$AS229,IF(T$8=$AR229,"Bascule","Double run"),"ROKS"))))))</f>
        <v/>
      </c>
      <c r="U229" s="51" t="str">
        <f aca="false">IF(OR($A229="",U$8=""),"",IF($F229="Migré","ROKS",IF($F229="À décommissionner",IF(U$8&lt;$AS229,"IKS","Décom."),IF(OR($AQ229="",$AS229=""),"",IF(U$8&lt;$AQ229,"IKS",IF(U$8&lt;$AS229,IF(U$8=$AR229,"Bascule","Double run"),"ROKS"))))))</f>
        <v/>
      </c>
      <c r="V229" s="51" t="str">
        <f aca="false">IF(OR($A229="",V$8=""),"",IF($F229="Migré","ROKS",IF($F229="À décommissionner",IF(V$8&lt;$AS229,"IKS","Décom."),IF(OR($AQ229="",$AS229=""),"",IF(V$8&lt;$AQ229,"IKS",IF(V$8&lt;$AS229,IF(V$8=$AR229,"Bascule","Double run"),"ROKS"))))))</f>
        <v/>
      </c>
      <c r="W229" s="51" t="str">
        <f aca="false">IF(OR($A229="",W$8=""),"",IF($F229="Migré","ROKS",IF($F229="À décommissionner",IF(W$8&lt;$AS229,"IKS","Décom."),IF(OR($AQ229="",$AS229=""),"",IF(W$8&lt;$AQ229,"IKS",IF(W$8&lt;$AS229,IF(W$8=$AR229,"Bascule","Double run"),"ROKS"))))))</f>
        <v/>
      </c>
      <c r="X229" s="51" t="str">
        <f aca="false">IF(OR($A229="",X$8=""),"",IF($F229="Migré","ROKS",IF($F229="À décommissionner",IF(X$8&lt;$AS229,"IKS","Décom."),IF(OR($AQ229="",$AS229=""),"",IF(X$8&lt;$AQ229,"IKS",IF(X$8&lt;$AS229,IF(X$8=$AR229,"Bascule","Double run"),"ROKS"))))))</f>
        <v/>
      </c>
      <c r="Y229" s="51" t="str">
        <f aca="false">IF(OR($A229="",Y$8=""),"",IF($F229="Migré","ROKS",IF($F229="À décommissionner",IF(Y$8&lt;$AS229,"IKS","Décom."),IF(OR($AQ229="",$AS229=""),"",IF(Y$8&lt;$AQ229,"IKS",IF(Y$8&lt;$AS229,IF(Y$8=$AR229,"Bascule","Double run"),"ROKS"))))))</f>
        <v/>
      </c>
      <c r="Z229" s="51" t="str">
        <f aca="false">IF(OR($A229="",Z$8=""),"",IF($F229="Migré","ROKS",IF($F229="À décommissionner",IF(Z$8&lt;$AS229,"IKS","Décom."),IF(OR($AQ229="",$AS229=""),"",IF(Z$8&lt;$AQ229,"IKS",IF(Z$8&lt;$AS229,IF(Z$8=$AR229,"Bascule","Double run"),"ROKS"))))))</f>
        <v/>
      </c>
      <c r="AA229" s="51" t="str">
        <f aca="false">IF(OR($A229="",AA$8=""),"",IF($F229="Migré","ROKS",IF($F229="À décommissionner",IF(AA$8&lt;$AS229,"IKS","Décom."),IF(OR($AQ229="",$AS229=""),"",IF(AA$8&lt;$AQ229,"IKS",IF(AA$8&lt;$AS229,IF(AA$8=$AR229,"Bascule","Double run"),"ROKS"))))))</f>
        <v/>
      </c>
      <c r="AB229" s="51" t="str">
        <f aca="false">IF(OR($A229="",AB$8=""),"",IF($F229="Migré","ROKS",IF($F229="À décommissionner",IF(AB$8&lt;$AS229,"IKS","Décom."),IF(OR($AQ229="",$AS229=""),"",IF(AB$8&lt;$AQ229,"IKS",IF(AB$8&lt;$AS229,IF(AB$8=$AR229,"Bascule","Double run"),"ROKS"))))))</f>
        <v/>
      </c>
      <c r="AC229" s="51" t="str">
        <f aca="false">IF(OR($A229="",AC$8=""),"",IF($F229="Migré","ROKS",IF($F229="À décommissionner",IF(AC$8&lt;$AS229,"IKS","Décom."),IF(OR($AQ229="",$AS229=""),"",IF(AC$8&lt;$AQ229,"IKS",IF(AC$8&lt;$AS229,IF(AC$8=$AR229,"Bascule","Double run"),"ROKS"))))))</f>
        <v/>
      </c>
      <c r="AD229" s="51" t="str">
        <f aca="false">IF(OR($A229="",AD$8=""),"",IF($F229="Migré","ROKS",IF($F229="À décommissionner",IF(AD$8&lt;$AS229,"IKS","Décom."),IF(OR($AQ229="",$AS229=""),"",IF(AD$8&lt;$AQ229,"IKS",IF(AD$8&lt;$AS229,IF(AD$8=$AR229,"Bascule","Double run"),"ROKS"))))))</f>
        <v/>
      </c>
      <c r="AE229" s="51" t="str">
        <f aca="false">IF(OR($A229="",AE$8=""),"",IF($F229="Migré","ROKS",IF($F229="À décommissionner",IF(AE$8&lt;$AS229,"IKS","Décom."),IF(OR($AQ229="",$AS229=""),"",IF(AE$8&lt;$AQ229,"IKS",IF(AE$8&lt;$AS229,IF(AE$8=$AR229,"Bascule","Double run"),"ROKS"))))))</f>
        <v/>
      </c>
      <c r="AF229" s="51" t="str">
        <f aca="false">IF(OR($A229="",AF$8=""),"",IF($F229="Migré","ROKS",IF($F229="À décommissionner",IF(AF$8&lt;$AS229,"IKS","Décom."),IF(OR($AQ229="",$AS229=""),"",IF(AF$8&lt;$AQ229,"IKS",IF(AF$8&lt;$AS229,IF(AF$8=$AR229,"Bascule","Double run"),"ROKS"))))))</f>
        <v/>
      </c>
      <c r="AG229" s="51" t="str">
        <f aca="false">IF(OR($A229="",AG$8=""),"",IF($F229="Migré","ROKS",IF($F229="À décommissionner",IF(AG$8&lt;$AS229,"IKS","Décom."),IF(OR($AQ229="",$AS229=""),"",IF(AG$8&lt;$AQ229,"IKS",IF(AG$8&lt;$AS229,IF(AG$8=$AR229,"Bascule","Double run"),"ROKS"))))))</f>
        <v/>
      </c>
      <c r="AH229" s="51" t="str">
        <f aca="false">IF(OR($A229="",AH$8=""),"",IF($F229="Migré","ROKS",IF($F229="À décommissionner",IF(AH$8&lt;$AS229,"IKS","Décom."),IF(OR($AQ229="",$AS229=""),"",IF(AH$8&lt;$AQ229,"IKS",IF(AH$8&lt;$AS229,IF(AH$8=$AR229,"Bascule","Double run"),"ROKS"))))))</f>
        <v/>
      </c>
      <c r="AI229" s="51" t="str">
        <f aca="false">IF(OR($A229="",AI$8=""),"",IF($F229="Migré","ROKS",IF($F229="À décommissionner",IF(AI$8&lt;$AS229,"IKS","Décom."),IF(OR($AQ229="",$AS229=""),"",IF(AI$8&lt;$AQ229,"IKS",IF(AI$8&lt;$AS229,IF(AI$8=$AR229,"Bascule","Double run"),"ROKS"))))))</f>
        <v/>
      </c>
      <c r="AJ229" s="51" t="str">
        <f aca="false">IF(OR($A229="",AJ$8=""),"",IF($F229="Migré","ROKS",IF($F229="À décommissionner",IF(AJ$8&lt;$AS229,"IKS","Décom."),IF(OR($AQ229="",$AS229=""),"",IF(AJ$8&lt;$AQ229,"IKS",IF(AJ$8&lt;$AS229,IF(AJ$8=$AR229,"Bascule","Double run"),"ROKS"))))))</f>
        <v/>
      </c>
      <c r="AK229" s="51" t="str">
        <f aca="false">IF(OR($A229="",AK$8=""),"",IF($F229="Migré","ROKS",IF($F229="À décommissionner",IF(AK$8&lt;$AS229,"IKS","Décom."),IF(OR($AQ229="",$AS229=""),"",IF(AK$8&lt;$AQ229,"IKS",IF(AK$8&lt;$AS229,IF(AK$8=$AR229,"Bascule","Double run"),"ROKS"))))))</f>
        <v/>
      </c>
      <c r="AL229" s="51" t="str">
        <f aca="false">IF(OR($A229="",AL$8=""),"",IF($F229="Migré","ROKS",IF($F229="À décommissionner",IF(AL$8&lt;$AS229,"IKS","Décom."),IF(OR($AQ229="",$AS229=""),"",IF(AL$8&lt;$AQ229,"IKS",IF(AL$8&lt;$AS229,IF(AL$8=$AR229,"Bascule","Double run"),"ROKS"))))))</f>
        <v/>
      </c>
      <c r="AM229" s="51" t="str">
        <f aca="false">IF(OR($A229="",AM$8=""),"",IF($F229="Migré","ROKS",IF($F229="À décommissionner",IF(AM$8&lt;$AS229,"IKS","Décom."),IF(OR($AQ229="",$AS229=""),"",IF(AM$8&lt;$AQ229,"IKS",IF(AM$8&lt;$AS229,IF(AM$8=$AR229,"Bascule","Double run"),"ROKS"))))))</f>
        <v/>
      </c>
      <c r="AN229" s="51" t="str">
        <f aca="false">IF(OR($A229="",AN$8=""),"",IF($F229="Migré","ROKS",IF($F229="À décommissionner",IF(AN$8&lt;$AS229,"IKS","Décom."),IF(OR($AQ229="",$AS229=""),"",IF(AN$8&lt;$AQ229,"IKS",IF(AN$8&lt;$AS229,IF(AN$8=$AR229,"Bascule","Double run"),"ROKS"))))))</f>
        <v/>
      </c>
      <c r="AO229" s="51" t="str">
        <f aca="false">IF(OR($A229="",AO$8=""),"",IF($F229="Migré","ROKS",IF($F229="À décommissionner",IF(AO$8&lt;$AS229,"IKS","Décom."),IF(OR($AQ229="",$AS229=""),"",IF(AO$8&lt;$AQ229,"IKS",IF(AO$8&lt;$AS229,IF(AO$8=$AR229,"Bascule","Double run"),"ROKS"))))))</f>
        <v/>
      </c>
      <c r="AP229" s="51" t="str">
        <f aca="false">IF(OR($A229="",AP$8=""),"",IF($F229="Migré","ROKS",IF($F229="À décommissionner",IF(AP$8&lt;$AS229,"IKS","Décom."),IF(OR($AQ229="",$AS229=""),"",IF(AP$8&lt;$AQ229,"IKS",IF(AP$8&lt;$AS229,IF(AP$8=$AR229,"Bascule","Double run"),"ROKS"))))))</f>
        <v/>
      </c>
      <c r="AQ229" s="0" t="str">
        <f aca="false">IF($A229="","",INDEX(TblApplications[Mois prov (calc)],$A229))</f>
        <v/>
      </c>
      <c r="AR229" s="0" t="str">
        <f aca="false">IF($A229="","",IFERROR(DATE(YEAR(INDEX(TblApplications[Mois bascule],$A229)),MONTH(INDEX(TblApplications[Mois bascule],$A229)),1),""))</f>
        <v/>
      </c>
      <c r="AS229" s="0" t="str">
        <f aca="false">IF($A229="","",INDEX(TblApplications[Mois lib (calc)],$A229))</f>
        <v/>
      </c>
    </row>
    <row r="230" customFormat="false" ht="15" hidden="false" customHeight="false" outlineLevel="0" collapsed="false">
      <c r="A230" s="49" t="str">
        <f aca="false">IFERROR(MATCH(222,TblApplications[Rang frise],0),"")</f>
        <v/>
      </c>
      <c r="B230" s="50" t="str">
        <f aca="false">IF($A230="","",INDEX(TblApplications[ID],$A230))</f>
        <v/>
      </c>
      <c r="C230" s="50" t="str">
        <f aca="false">IF($A230="","",INDEX(TblApplications[Application],$A230))</f>
        <v/>
      </c>
      <c r="D230" s="50" t="str">
        <f aca="false">IF($A230="","",INDEX(TblApplications[Environnement],$A230))</f>
        <v/>
      </c>
      <c r="E230" s="50" t="str">
        <f aca="false">IF($A230="","",INDEX(TblApplications[Couloir],$A230))</f>
        <v/>
      </c>
      <c r="F230" s="50" t="str">
        <f aca="false">IF($A230="","",INDEX(TblApplications[Action],$A230))</f>
        <v/>
      </c>
      <c r="G230" s="51" t="str">
        <f aca="false">IF(OR($A230="",G$8=""),"",IF($F230="Migré","ROKS",IF($F230="À décommissionner",IF(G$8&lt;$AS230,"IKS","Décom."),IF(OR($AQ230="",$AS230=""),"",IF(G$8&lt;$AQ230,"IKS",IF(G$8&lt;$AS230,IF(G$8=$AR230,"Bascule","Double run"),"ROKS"))))))</f>
        <v/>
      </c>
      <c r="H230" s="51" t="str">
        <f aca="false">IF(OR($A230="",H$8=""),"",IF($F230="Migré","ROKS",IF($F230="À décommissionner",IF(H$8&lt;$AS230,"IKS","Décom."),IF(OR($AQ230="",$AS230=""),"",IF(H$8&lt;$AQ230,"IKS",IF(H$8&lt;$AS230,IF(H$8=$AR230,"Bascule","Double run"),"ROKS"))))))</f>
        <v/>
      </c>
      <c r="I230" s="51" t="str">
        <f aca="false">IF(OR($A230="",I$8=""),"",IF($F230="Migré","ROKS",IF($F230="À décommissionner",IF(I$8&lt;$AS230,"IKS","Décom."),IF(OR($AQ230="",$AS230=""),"",IF(I$8&lt;$AQ230,"IKS",IF(I$8&lt;$AS230,IF(I$8=$AR230,"Bascule","Double run"),"ROKS"))))))</f>
        <v/>
      </c>
      <c r="J230" s="51" t="str">
        <f aca="false">IF(OR($A230="",J$8=""),"",IF($F230="Migré","ROKS",IF($F230="À décommissionner",IF(J$8&lt;$AS230,"IKS","Décom."),IF(OR($AQ230="",$AS230=""),"",IF(J$8&lt;$AQ230,"IKS",IF(J$8&lt;$AS230,IF(J$8=$AR230,"Bascule","Double run"),"ROKS"))))))</f>
        <v/>
      </c>
      <c r="K230" s="51" t="str">
        <f aca="false">IF(OR($A230="",K$8=""),"",IF($F230="Migré","ROKS",IF($F230="À décommissionner",IF(K$8&lt;$AS230,"IKS","Décom."),IF(OR($AQ230="",$AS230=""),"",IF(K$8&lt;$AQ230,"IKS",IF(K$8&lt;$AS230,IF(K$8=$AR230,"Bascule","Double run"),"ROKS"))))))</f>
        <v/>
      </c>
      <c r="L230" s="51" t="str">
        <f aca="false">IF(OR($A230="",L$8=""),"",IF($F230="Migré","ROKS",IF($F230="À décommissionner",IF(L$8&lt;$AS230,"IKS","Décom."),IF(OR($AQ230="",$AS230=""),"",IF(L$8&lt;$AQ230,"IKS",IF(L$8&lt;$AS230,IF(L$8=$AR230,"Bascule","Double run"),"ROKS"))))))</f>
        <v/>
      </c>
      <c r="M230" s="51" t="str">
        <f aca="false">IF(OR($A230="",M$8=""),"",IF($F230="Migré","ROKS",IF($F230="À décommissionner",IF(M$8&lt;$AS230,"IKS","Décom."),IF(OR($AQ230="",$AS230=""),"",IF(M$8&lt;$AQ230,"IKS",IF(M$8&lt;$AS230,IF(M$8=$AR230,"Bascule","Double run"),"ROKS"))))))</f>
        <v/>
      </c>
      <c r="N230" s="51" t="str">
        <f aca="false">IF(OR($A230="",N$8=""),"",IF($F230="Migré","ROKS",IF($F230="À décommissionner",IF(N$8&lt;$AS230,"IKS","Décom."),IF(OR($AQ230="",$AS230=""),"",IF(N$8&lt;$AQ230,"IKS",IF(N$8&lt;$AS230,IF(N$8=$AR230,"Bascule","Double run"),"ROKS"))))))</f>
        <v/>
      </c>
      <c r="O230" s="51" t="str">
        <f aca="false">IF(OR($A230="",O$8=""),"",IF($F230="Migré","ROKS",IF($F230="À décommissionner",IF(O$8&lt;$AS230,"IKS","Décom."),IF(OR($AQ230="",$AS230=""),"",IF(O$8&lt;$AQ230,"IKS",IF(O$8&lt;$AS230,IF(O$8=$AR230,"Bascule","Double run"),"ROKS"))))))</f>
        <v/>
      </c>
      <c r="P230" s="51" t="str">
        <f aca="false">IF(OR($A230="",P$8=""),"",IF($F230="Migré","ROKS",IF($F230="À décommissionner",IF(P$8&lt;$AS230,"IKS","Décom."),IF(OR($AQ230="",$AS230=""),"",IF(P$8&lt;$AQ230,"IKS",IF(P$8&lt;$AS230,IF(P$8=$AR230,"Bascule","Double run"),"ROKS"))))))</f>
        <v/>
      </c>
      <c r="Q230" s="51" t="str">
        <f aca="false">IF(OR($A230="",Q$8=""),"",IF($F230="Migré","ROKS",IF($F230="À décommissionner",IF(Q$8&lt;$AS230,"IKS","Décom."),IF(OR($AQ230="",$AS230=""),"",IF(Q$8&lt;$AQ230,"IKS",IF(Q$8&lt;$AS230,IF(Q$8=$AR230,"Bascule","Double run"),"ROKS"))))))</f>
        <v/>
      </c>
      <c r="R230" s="51" t="str">
        <f aca="false">IF(OR($A230="",R$8=""),"",IF($F230="Migré","ROKS",IF($F230="À décommissionner",IF(R$8&lt;$AS230,"IKS","Décom."),IF(OR($AQ230="",$AS230=""),"",IF(R$8&lt;$AQ230,"IKS",IF(R$8&lt;$AS230,IF(R$8=$AR230,"Bascule","Double run"),"ROKS"))))))</f>
        <v/>
      </c>
      <c r="S230" s="51" t="str">
        <f aca="false">IF(OR($A230="",S$8=""),"",IF($F230="Migré","ROKS",IF($F230="À décommissionner",IF(S$8&lt;$AS230,"IKS","Décom."),IF(OR($AQ230="",$AS230=""),"",IF(S$8&lt;$AQ230,"IKS",IF(S$8&lt;$AS230,IF(S$8=$AR230,"Bascule","Double run"),"ROKS"))))))</f>
        <v/>
      </c>
      <c r="T230" s="51" t="str">
        <f aca="false">IF(OR($A230="",T$8=""),"",IF($F230="Migré","ROKS",IF($F230="À décommissionner",IF(T$8&lt;$AS230,"IKS","Décom."),IF(OR($AQ230="",$AS230=""),"",IF(T$8&lt;$AQ230,"IKS",IF(T$8&lt;$AS230,IF(T$8=$AR230,"Bascule","Double run"),"ROKS"))))))</f>
        <v/>
      </c>
      <c r="U230" s="51" t="str">
        <f aca="false">IF(OR($A230="",U$8=""),"",IF($F230="Migré","ROKS",IF($F230="À décommissionner",IF(U$8&lt;$AS230,"IKS","Décom."),IF(OR($AQ230="",$AS230=""),"",IF(U$8&lt;$AQ230,"IKS",IF(U$8&lt;$AS230,IF(U$8=$AR230,"Bascule","Double run"),"ROKS"))))))</f>
        <v/>
      </c>
      <c r="V230" s="51" t="str">
        <f aca="false">IF(OR($A230="",V$8=""),"",IF($F230="Migré","ROKS",IF($F230="À décommissionner",IF(V$8&lt;$AS230,"IKS","Décom."),IF(OR($AQ230="",$AS230=""),"",IF(V$8&lt;$AQ230,"IKS",IF(V$8&lt;$AS230,IF(V$8=$AR230,"Bascule","Double run"),"ROKS"))))))</f>
        <v/>
      </c>
      <c r="W230" s="51" t="str">
        <f aca="false">IF(OR($A230="",W$8=""),"",IF($F230="Migré","ROKS",IF($F230="À décommissionner",IF(W$8&lt;$AS230,"IKS","Décom."),IF(OR($AQ230="",$AS230=""),"",IF(W$8&lt;$AQ230,"IKS",IF(W$8&lt;$AS230,IF(W$8=$AR230,"Bascule","Double run"),"ROKS"))))))</f>
        <v/>
      </c>
      <c r="X230" s="51" t="str">
        <f aca="false">IF(OR($A230="",X$8=""),"",IF($F230="Migré","ROKS",IF($F230="À décommissionner",IF(X$8&lt;$AS230,"IKS","Décom."),IF(OR($AQ230="",$AS230=""),"",IF(X$8&lt;$AQ230,"IKS",IF(X$8&lt;$AS230,IF(X$8=$AR230,"Bascule","Double run"),"ROKS"))))))</f>
        <v/>
      </c>
      <c r="Y230" s="51" t="str">
        <f aca="false">IF(OR($A230="",Y$8=""),"",IF($F230="Migré","ROKS",IF($F230="À décommissionner",IF(Y$8&lt;$AS230,"IKS","Décom."),IF(OR($AQ230="",$AS230=""),"",IF(Y$8&lt;$AQ230,"IKS",IF(Y$8&lt;$AS230,IF(Y$8=$AR230,"Bascule","Double run"),"ROKS"))))))</f>
        <v/>
      </c>
      <c r="Z230" s="51" t="str">
        <f aca="false">IF(OR($A230="",Z$8=""),"",IF($F230="Migré","ROKS",IF($F230="À décommissionner",IF(Z$8&lt;$AS230,"IKS","Décom."),IF(OR($AQ230="",$AS230=""),"",IF(Z$8&lt;$AQ230,"IKS",IF(Z$8&lt;$AS230,IF(Z$8=$AR230,"Bascule","Double run"),"ROKS"))))))</f>
        <v/>
      </c>
      <c r="AA230" s="51" t="str">
        <f aca="false">IF(OR($A230="",AA$8=""),"",IF($F230="Migré","ROKS",IF($F230="À décommissionner",IF(AA$8&lt;$AS230,"IKS","Décom."),IF(OR($AQ230="",$AS230=""),"",IF(AA$8&lt;$AQ230,"IKS",IF(AA$8&lt;$AS230,IF(AA$8=$AR230,"Bascule","Double run"),"ROKS"))))))</f>
        <v/>
      </c>
      <c r="AB230" s="51" t="str">
        <f aca="false">IF(OR($A230="",AB$8=""),"",IF($F230="Migré","ROKS",IF($F230="À décommissionner",IF(AB$8&lt;$AS230,"IKS","Décom."),IF(OR($AQ230="",$AS230=""),"",IF(AB$8&lt;$AQ230,"IKS",IF(AB$8&lt;$AS230,IF(AB$8=$AR230,"Bascule","Double run"),"ROKS"))))))</f>
        <v/>
      </c>
      <c r="AC230" s="51" t="str">
        <f aca="false">IF(OR($A230="",AC$8=""),"",IF($F230="Migré","ROKS",IF($F230="À décommissionner",IF(AC$8&lt;$AS230,"IKS","Décom."),IF(OR($AQ230="",$AS230=""),"",IF(AC$8&lt;$AQ230,"IKS",IF(AC$8&lt;$AS230,IF(AC$8=$AR230,"Bascule","Double run"),"ROKS"))))))</f>
        <v/>
      </c>
      <c r="AD230" s="51" t="str">
        <f aca="false">IF(OR($A230="",AD$8=""),"",IF($F230="Migré","ROKS",IF($F230="À décommissionner",IF(AD$8&lt;$AS230,"IKS","Décom."),IF(OR($AQ230="",$AS230=""),"",IF(AD$8&lt;$AQ230,"IKS",IF(AD$8&lt;$AS230,IF(AD$8=$AR230,"Bascule","Double run"),"ROKS"))))))</f>
        <v/>
      </c>
      <c r="AE230" s="51" t="str">
        <f aca="false">IF(OR($A230="",AE$8=""),"",IF($F230="Migré","ROKS",IF($F230="À décommissionner",IF(AE$8&lt;$AS230,"IKS","Décom."),IF(OR($AQ230="",$AS230=""),"",IF(AE$8&lt;$AQ230,"IKS",IF(AE$8&lt;$AS230,IF(AE$8=$AR230,"Bascule","Double run"),"ROKS"))))))</f>
        <v/>
      </c>
      <c r="AF230" s="51" t="str">
        <f aca="false">IF(OR($A230="",AF$8=""),"",IF($F230="Migré","ROKS",IF($F230="À décommissionner",IF(AF$8&lt;$AS230,"IKS","Décom."),IF(OR($AQ230="",$AS230=""),"",IF(AF$8&lt;$AQ230,"IKS",IF(AF$8&lt;$AS230,IF(AF$8=$AR230,"Bascule","Double run"),"ROKS"))))))</f>
        <v/>
      </c>
      <c r="AG230" s="51" t="str">
        <f aca="false">IF(OR($A230="",AG$8=""),"",IF($F230="Migré","ROKS",IF($F230="À décommissionner",IF(AG$8&lt;$AS230,"IKS","Décom."),IF(OR($AQ230="",$AS230=""),"",IF(AG$8&lt;$AQ230,"IKS",IF(AG$8&lt;$AS230,IF(AG$8=$AR230,"Bascule","Double run"),"ROKS"))))))</f>
        <v/>
      </c>
      <c r="AH230" s="51" t="str">
        <f aca="false">IF(OR($A230="",AH$8=""),"",IF($F230="Migré","ROKS",IF($F230="À décommissionner",IF(AH$8&lt;$AS230,"IKS","Décom."),IF(OR($AQ230="",$AS230=""),"",IF(AH$8&lt;$AQ230,"IKS",IF(AH$8&lt;$AS230,IF(AH$8=$AR230,"Bascule","Double run"),"ROKS"))))))</f>
        <v/>
      </c>
      <c r="AI230" s="51" t="str">
        <f aca="false">IF(OR($A230="",AI$8=""),"",IF($F230="Migré","ROKS",IF($F230="À décommissionner",IF(AI$8&lt;$AS230,"IKS","Décom."),IF(OR($AQ230="",$AS230=""),"",IF(AI$8&lt;$AQ230,"IKS",IF(AI$8&lt;$AS230,IF(AI$8=$AR230,"Bascule","Double run"),"ROKS"))))))</f>
        <v/>
      </c>
      <c r="AJ230" s="51" t="str">
        <f aca="false">IF(OR($A230="",AJ$8=""),"",IF($F230="Migré","ROKS",IF($F230="À décommissionner",IF(AJ$8&lt;$AS230,"IKS","Décom."),IF(OR($AQ230="",$AS230=""),"",IF(AJ$8&lt;$AQ230,"IKS",IF(AJ$8&lt;$AS230,IF(AJ$8=$AR230,"Bascule","Double run"),"ROKS"))))))</f>
        <v/>
      </c>
      <c r="AK230" s="51" t="str">
        <f aca="false">IF(OR($A230="",AK$8=""),"",IF($F230="Migré","ROKS",IF($F230="À décommissionner",IF(AK$8&lt;$AS230,"IKS","Décom."),IF(OR($AQ230="",$AS230=""),"",IF(AK$8&lt;$AQ230,"IKS",IF(AK$8&lt;$AS230,IF(AK$8=$AR230,"Bascule","Double run"),"ROKS"))))))</f>
        <v/>
      </c>
      <c r="AL230" s="51" t="str">
        <f aca="false">IF(OR($A230="",AL$8=""),"",IF($F230="Migré","ROKS",IF($F230="À décommissionner",IF(AL$8&lt;$AS230,"IKS","Décom."),IF(OR($AQ230="",$AS230=""),"",IF(AL$8&lt;$AQ230,"IKS",IF(AL$8&lt;$AS230,IF(AL$8=$AR230,"Bascule","Double run"),"ROKS"))))))</f>
        <v/>
      </c>
      <c r="AM230" s="51" t="str">
        <f aca="false">IF(OR($A230="",AM$8=""),"",IF($F230="Migré","ROKS",IF($F230="À décommissionner",IF(AM$8&lt;$AS230,"IKS","Décom."),IF(OR($AQ230="",$AS230=""),"",IF(AM$8&lt;$AQ230,"IKS",IF(AM$8&lt;$AS230,IF(AM$8=$AR230,"Bascule","Double run"),"ROKS"))))))</f>
        <v/>
      </c>
      <c r="AN230" s="51" t="str">
        <f aca="false">IF(OR($A230="",AN$8=""),"",IF($F230="Migré","ROKS",IF($F230="À décommissionner",IF(AN$8&lt;$AS230,"IKS","Décom."),IF(OR($AQ230="",$AS230=""),"",IF(AN$8&lt;$AQ230,"IKS",IF(AN$8&lt;$AS230,IF(AN$8=$AR230,"Bascule","Double run"),"ROKS"))))))</f>
        <v/>
      </c>
      <c r="AO230" s="51" t="str">
        <f aca="false">IF(OR($A230="",AO$8=""),"",IF($F230="Migré","ROKS",IF($F230="À décommissionner",IF(AO$8&lt;$AS230,"IKS","Décom."),IF(OR($AQ230="",$AS230=""),"",IF(AO$8&lt;$AQ230,"IKS",IF(AO$8&lt;$AS230,IF(AO$8=$AR230,"Bascule","Double run"),"ROKS"))))))</f>
        <v/>
      </c>
      <c r="AP230" s="51" t="str">
        <f aca="false">IF(OR($A230="",AP$8=""),"",IF($F230="Migré","ROKS",IF($F230="À décommissionner",IF(AP$8&lt;$AS230,"IKS","Décom."),IF(OR($AQ230="",$AS230=""),"",IF(AP$8&lt;$AQ230,"IKS",IF(AP$8&lt;$AS230,IF(AP$8=$AR230,"Bascule","Double run"),"ROKS"))))))</f>
        <v/>
      </c>
      <c r="AQ230" s="0" t="str">
        <f aca="false">IF($A230="","",INDEX(TblApplications[Mois prov (calc)],$A230))</f>
        <v/>
      </c>
      <c r="AR230" s="0" t="str">
        <f aca="false">IF($A230="","",IFERROR(DATE(YEAR(INDEX(TblApplications[Mois bascule],$A230)),MONTH(INDEX(TblApplications[Mois bascule],$A230)),1),""))</f>
        <v/>
      </c>
      <c r="AS230" s="0" t="str">
        <f aca="false">IF($A230="","",INDEX(TblApplications[Mois lib (calc)],$A230))</f>
        <v/>
      </c>
    </row>
    <row r="231" customFormat="false" ht="15" hidden="false" customHeight="false" outlineLevel="0" collapsed="false">
      <c r="A231" s="49" t="str">
        <f aca="false">IFERROR(MATCH(223,TblApplications[Rang frise],0),"")</f>
        <v/>
      </c>
      <c r="B231" s="50" t="str">
        <f aca="false">IF($A231="","",INDEX(TblApplications[ID],$A231))</f>
        <v/>
      </c>
      <c r="C231" s="50" t="str">
        <f aca="false">IF($A231="","",INDEX(TblApplications[Application],$A231))</f>
        <v/>
      </c>
      <c r="D231" s="50" t="str">
        <f aca="false">IF($A231="","",INDEX(TblApplications[Environnement],$A231))</f>
        <v/>
      </c>
      <c r="E231" s="50" t="str">
        <f aca="false">IF($A231="","",INDEX(TblApplications[Couloir],$A231))</f>
        <v/>
      </c>
      <c r="F231" s="50" t="str">
        <f aca="false">IF($A231="","",INDEX(TblApplications[Action],$A231))</f>
        <v/>
      </c>
      <c r="G231" s="51" t="str">
        <f aca="false">IF(OR($A231="",G$8=""),"",IF($F231="Migré","ROKS",IF($F231="À décommissionner",IF(G$8&lt;$AS231,"IKS","Décom."),IF(OR($AQ231="",$AS231=""),"",IF(G$8&lt;$AQ231,"IKS",IF(G$8&lt;$AS231,IF(G$8=$AR231,"Bascule","Double run"),"ROKS"))))))</f>
        <v/>
      </c>
      <c r="H231" s="51" t="str">
        <f aca="false">IF(OR($A231="",H$8=""),"",IF($F231="Migré","ROKS",IF($F231="À décommissionner",IF(H$8&lt;$AS231,"IKS","Décom."),IF(OR($AQ231="",$AS231=""),"",IF(H$8&lt;$AQ231,"IKS",IF(H$8&lt;$AS231,IF(H$8=$AR231,"Bascule","Double run"),"ROKS"))))))</f>
        <v/>
      </c>
      <c r="I231" s="51" t="str">
        <f aca="false">IF(OR($A231="",I$8=""),"",IF($F231="Migré","ROKS",IF($F231="À décommissionner",IF(I$8&lt;$AS231,"IKS","Décom."),IF(OR($AQ231="",$AS231=""),"",IF(I$8&lt;$AQ231,"IKS",IF(I$8&lt;$AS231,IF(I$8=$AR231,"Bascule","Double run"),"ROKS"))))))</f>
        <v/>
      </c>
      <c r="J231" s="51" t="str">
        <f aca="false">IF(OR($A231="",J$8=""),"",IF($F231="Migré","ROKS",IF($F231="À décommissionner",IF(J$8&lt;$AS231,"IKS","Décom."),IF(OR($AQ231="",$AS231=""),"",IF(J$8&lt;$AQ231,"IKS",IF(J$8&lt;$AS231,IF(J$8=$AR231,"Bascule","Double run"),"ROKS"))))))</f>
        <v/>
      </c>
      <c r="K231" s="51" t="str">
        <f aca="false">IF(OR($A231="",K$8=""),"",IF($F231="Migré","ROKS",IF($F231="À décommissionner",IF(K$8&lt;$AS231,"IKS","Décom."),IF(OR($AQ231="",$AS231=""),"",IF(K$8&lt;$AQ231,"IKS",IF(K$8&lt;$AS231,IF(K$8=$AR231,"Bascule","Double run"),"ROKS"))))))</f>
        <v/>
      </c>
      <c r="L231" s="51" t="str">
        <f aca="false">IF(OR($A231="",L$8=""),"",IF($F231="Migré","ROKS",IF($F231="À décommissionner",IF(L$8&lt;$AS231,"IKS","Décom."),IF(OR($AQ231="",$AS231=""),"",IF(L$8&lt;$AQ231,"IKS",IF(L$8&lt;$AS231,IF(L$8=$AR231,"Bascule","Double run"),"ROKS"))))))</f>
        <v/>
      </c>
      <c r="M231" s="51" t="str">
        <f aca="false">IF(OR($A231="",M$8=""),"",IF($F231="Migré","ROKS",IF($F231="À décommissionner",IF(M$8&lt;$AS231,"IKS","Décom."),IF(OR($AQ231="",$AS231=""),"",IF(M$8&lt;$AQ231,"IKS",IF(M$8&lt;$AS231,IF(M$8=$AR231,"Bascule","Double run"),"ROKS"))))))</f>
        <v/>
      </c>
      <c r="N231" s="51" t="str">
        <f aca="false">IF(OR($A231="",N$8=""),"",IF($F231="Migré","ROKS",IF($F231="À décommissionner",IF(N$8&lt;$AS231,"IKS","Décom."),IF(OR($AQ231="",$AS231=""),"",IF(N$8&lt;$AQ231,"IKS",IF(N$8&lt;$AS231,IF(N$8=$AR231,"Bascule","Double run"),"ROKS"))))))</f>
        <v/>
      </c>
      <c r="O231" s="51" t="str">
        <f aca="false">IF(OR($A231="",O$8=""),"",IF($F231="Migré","ROKS",IF($F231="À décommissionner",IF(O$8&lt;$AS231,"IKS","Décom."),IF(OR($AQ231="",$AS231=""),"",IF(O$8&lt;$AQ231,"IKS",IF(O$8&lt;$AS231,IF(O$8=$AR231,"Bascule","Double run"),"ROKS"))))))</f>
        <v/>
      </c>
      <c r="P231" s="51" t="str">
        <f aca="false">IF(OR($A231="",P$8=""),"",IF($F231="Migré","ROKS",IF($F231="À décommissionner",IF(P$8&lt;$AS231,"IKS","Décom."),IF(OR($AQ231="",$AS231=""),"",IF(P$8&lt;$AQ231,"IKS",IF(P$8&lt;$AS231,IF(P$8=$AR231,"Bascule","Double run"),"ROKS"))))))</f>
        <v/>
      </c>
      <c r="Q231" s="51" t="str">
        <f aca="false">IF(OR($A231="",Q$8=""),"",IF($F231="Migré","ROKS",IF($F231="À décommissionner",IF(Q$8&lt;$AS231,"IKS","Décom."),IF(OR($AQ231="",$AS231=""),"",IF(Q$8&lt;$AQ231,"IKS",IF(Q$8&lt;$AS231,IF(Q$8=$AR231,"Bascule","Double run"),"ROKS"))))))</f>
        <v/>
      </c>
      <c r="R231" s="51" t="str">
        <f aca="false">IF(OR($A231="",R$8=""),"",IF($F231="Migré","ROKS",IF($F231="À décommissionner",IF(R$8&lt;$AS231,"IKS","Décom."),IF(OR($AQ231="",$AS231=""),"",IF(R$8&lt;$AQ231,"IKS",IF(R$8&lt;$AS231,IF(R$8=$AR231,"Bascule","Double run"),"ROKS"))))))</f>
        <v/>
      </c>
      <c r="S231" s="51" t="str">
        <f aca="false">IF(OR($A231="",S$8=""),"",IF($F231="Migré","ROKS",IF($F231="À décommissionner",IF(S$8&lt;$AS231,"IKS","Décom."),IF(OR($AQ231="",$AS231=""),"",IF(S$8&lt;$AQ231,"IKS",IF(S$8&lt;$AS231,IF(S$8=$AR231,"Bascule","Double run"),"ROKS"))))))</f>
        <v/>
      </c>
      <c r="T231" s="51" t="str">
        <f aca="false">IF(OR($A231="",T$8=""),"",IF($F231="Migré","ROKS",IF($F231="À décommissionner",IF(T$8&lt;$AS231,"IKS","Décom."),IF(OR($AQ231="",$AS231=""),"",IF(T$8&lt;$AQ231,"IKS",IF(T$8&lt;$AS231,IF(T$8=$AR231,"Bascule","Double run"),"ROKS"))))))</f>
        <v/>
      </c>
      <c r="U231" s="51" t="str">
        <f aca="false">IF(OR($A231="",U$8=""),"",IF($F231="Migré","ROKS",IF($F231="À décommissionner",IF(U$8&lt;$AS231,"IKS","Décom."),IF(OR($AQ231="",$AS231=""),"",IF(U$8&lt;$AQ231,"IKS",IF(U$8&lt;$AS231,IF(U$8=$AR231,"Bascule","Double run"),"ROKS"))))))</f>
        <v/>
      </c>
      <c r="V231" s="51" t="str">
        <f aca="false">IF(OR($A231="",V$8=""),"",IF($F231="Migré","ROKS",IF($F231="À décommissionner",IF(V$8&lt;$AS231,"IKS","Décom."),IF(OR($AQ231="",$AS231=""),"",IF(V$8&lt;$AQ231,"IKS",IF(V$8&lt;$AS231,IF(V$8=$AR231,"Bascule","Double run"),"ROKS"))))))</f>
        <v/>
      </c>
      <c r="W231" s="51" t="str">
        <f aca="false">IF(OR($A231="",W$8=""),"",IF($F231="Migré","ROKS",IF($F231="À décommissionner",IF(W$8&lt;$AS231,"IKS","Décom."),IF(OR($AQ231="",$AS231=""),"",IF(W$8&lt;$AQ231,"IKS",IF(W$8&lt;$AS231,IF(W$8=$AR231,"Bascule","Double run"),"ROKS"))))))</f>
        <v/>
      </c>
      <c r="X231" s="51" t="str">
        <f aca="false">IF(OR($A231="",X$8=""),"",IF($F231="Migré","ROKS",IF($F231="À décommissionner",IF(X$8&lt;$AS231,"IKS","Décom."),IF(OR($AQ231="",$AS231=""),"",IF(X$8&lt;$AQ231,"IKS",IF(X$8&lt;$AS231,IF(X$8=$AR231,"Bascule","Double run"),"ROKS"))))))</f>
        <v/>
      </c>
      <c r="Y231" s="51" t="str">
        <f aca="false">IF(OR($A231="",Y$8=""),"",IF($F231="Migré","ROKS",IF($F231="À décommissionner",IF(Y$8&lt;$AS231,"IKS","Décom."),IF(OR($AQ231="",$AS231=""),"",IF(Y$8&lt;$AQ231,"IKS",IF(Y$8&lt;$AS231,IF(Y$8=$AR231,"Bascule","Double run"),"ROKS"))))))</f>
        <v/>
      </c>
      <c r="Z231" s="51" t="str">
        <f aca="false">IF(OR($A231="",Z$8=""),"",IF($F231="Migré","ROKS",IF($F231="À décommissionner",IF(Z$8&lt;$AS231,"IKS","Décom."),IF(OR($AQ231="",$AS231=""),"",IF(Z$8&lt;$AQ231,"IKS",IF(Z$8&lt;$AS231,IF(Z$8=$AR231,"Bascule","Double run"),"ROKS"))))))</f>
        <v/>
      </c>
      <c r="AA231" s="51" t="str">
        <f aca="false">IF(OR($A231="",AA$8=""),"",IF($F231="Migré","ROKS",IF($F231="À décommissionner",IF(AA$8&lt;$AS231,"IKS","Décom."),IF(OR($AQ231="",$AS231=""),"",IF(AA$8&lt;$AQ231,"IKS",IF(AA$8&lt;$AS231,IF(AA$8=$AR231,"Bascule","Double run"),"ROKS"))))))</f>
        <v/>
      </c>
      <c r="AB231" s="51" t="str">
        <f aca="false">IF(OR($A231="",AB$8=""),"",IF($F231="Migré","ROKS",IF($F231="À décommissionner",IF(AB$8&lt;$AS231,"IKS","Décom."),IF(OR($AQ231="",$AS231=""),"",IF(AB$8&lt;$AQ231,"IKS",IF(AB$8&lt;$AS231,IF(AB$8=$AR231,"Bascule","Double run"),"ROKS"))))))</f>
        <v/>
      </c>
      <c r="AC231" s="51" t="str">
        <f aca="false">IF(OR($A231="",AC$8=""),"",IF($F231="Migré","ROKS",IF($F231="À décommissionner",IF(AC$8&lt;$AS231,"IKS","Décom."),IF(OR($AQ231="",$AS231=""),"",IF(AC$8&lt;$AQ231,"IKS",IF(AC$8&lt;$AS231,IF(AC$8=$AR231,"Bascule","Double run"),"ROKS"))))))</f>
        <v/>
      </c>
      <c r="AD231" s="51" t="str">
        <f aca="false">IF(OR($A231="",AD$8=""),"",IF($F231="Migré","ROKS",IF($F231="À décommissionner",IF(AD$8&lt;$AS231,"IKS","Décom."),IF(OR($AQ231="",$AS231=""),"",IF(AD$8&lt;$AQ231,"IKS",IF(AD$8&lt;$AS231,IF(AD$8=$AR231,"Bascule","Double run"),"ROKS"))))))</f>
        <v/>
      </c>
      <c r="AE231" s="51" t="str">
        <f aca="false">IF(OR($A231="",AE$8=""),"",IF($F231="Migré","ROKS",IF($F231="À décommissionner",IF(AE$8&lt;$AS231,"IKS","Décom."),IF(OR($AQ231="",$AS231=""),"",IF(AE$8&lt;$AQ231,"IKS",IF(AE$8&lt;$AS231,IF(AE$8=$AR231,"Bascule","Double run"),"ROKS"))))))</f>
        <v/>
      </c>
      <c r="AF231" s="51" t="str">
        <f aca="false">IF(OR($A231="",AF$8=""),"",IF($F231="Migré","ROKS",IF($F231="À décommissionner",IF(AF$8&lt;$AS231,"IKS","Décom."),IF(OR($AQ231="",$AS231=""),"",IF(AF$8&lt;$AQ231,"IKS",IF(AF$8&lt;$AS231,IF(AF$8=$AR231,"Bascule","Double run"),"ROKS"))))))</f>
        <v/>
      </c>
      <c r="AG231" s="51" t="str">
        <f aca="false">IF(OR($A231="",AG$8=""),"",IF($F231="Migré","ROKS",IF($F231="À décommissionner",IF(AG$8&lt;$AS231,"IKS","Décom."),IF(OR($AQ231="",$AS231=""),"",IF(AG$8&lt;$AQ231,"IKS",IF(AG$8&lt;$AS231,IF(AG$8=$AR231,"Bascule","Double run"),"ROKS"))))))</f>
        <v/>
      </c>
      <c r="AH231" s="51" t="str">
        <f aca="false">IF(OR($A231="",AH$8=""),"",IF($F231="Migré","ROKS",IF($F231="À décommissionner",IF(AH$8&lt;$AS231,"IKS","Décom."),IF(OR($AQ231="",$AS231=""),"",IF(AH$8&lt;$AQ231,"IKS",IF(AH$8&lt;$AS231,IF(AH$8=$AR231,"Bascule","Double run"),"ROKS"))))))</f>
        <v/>
      </c>
      <c r="AI231" s="51" t="str">
        <f aca="false">IF(OR($A231="",AI$8=""),"",IF($F231="Migré","ROKS",IF($F231="À décommissionner",IF(AI$8&lt;$AS231,"IKS","Décom."),IF(OR($AQ231="",$AS231=""),"",IF(AI$8&lt;$AQ231,"IKS",IF(AI$8&lt;$AS231,IF(AI$8=$AR231,"Bascule","Double run"),"ROKS"))))))</f>
        <v/>
      </c>
      <c r="AJ231" s="51" t="str">
        <f aca="false">IF(OR($A231="",AJ$8=""),"",IF($F231="Migré","ROKS",IF($F231="À décommissionner",IF(AJ$8&lt;$AS231,"IKS","Décom."),IF(OR($AQ231="",$AS231=""),"",IF(AJ$8&lt;$AQ231,"IKS",IF(AJ$8&lt;$AS231,IF(AJ$8=$AR231,"Bascule","Double run"),"ROKS"))))))</f>
        <v/>
      </c>
      <c r="AK231" s="51" t="str">
        <f aca="false">IF(OR($A231="",AK$8=""),"",IF($F231="Migré","ROKS",IF($F231="À décommissionner",IF(AK$8&lt;$AS231,"IKS","Décom."),IF(OR($AQ231="",$AS231=""),"",IF(AK$8&lt;$AQ231,"IKS",IF(AK$8&lt;$AS231,IF(AK$8=$AR231,"Bascule","Double run"),"ROKS"))))))</f>
        <v/>
      </c>
      <c r="AL231" s="51" t="str">
        <f aca="false">IF(OR($A231="",AL$8=""),"",IF($F231="Migré","ROKS",IF($F231="À décommissionner",IF(AL$8&lt;$AS231,"IKS","Décom."),IF(OR($AQ231="",$AS231=""),"",IF(AL$8&lt;$AQ231,"IKS",IF(AL$8&lt;$AS231,IF(AL$8=$AR231,"Bascule","Double run"),"ROKS"))))))</f>
        <v/>
      </c>
      <c r="AM231" s="51" t="str">
        <f aca="false">IF(OR($A231="",AM$8=""),"",IF($F231="Migré","ROKS",IF($F231="À décommissionner",IF(AM$8&lt;$AS231,"IKS","Décom."),IF(OR($AQ231="",$AS231=""),"",IF(AM$8&lt;$AQ231,"IKS",IF(AM$8&lt;$AS231,IF(AM$8=$AR231,"Bascule","Double run"),"ROKS"))))))</f>
        <v/>
      </c>
      <c r="AN231" s="51" t="str">
        <f aca="false">IF(OR($A231="",AN$8=""),"",IF($F231="Migré","ROKS",IF($F231="À décommissionner",IF(AN$8&lt;$AS231,"IKS","Décom."),IF(OR($AQ231="",$AS231=""),"",IF(AN$8&lt;$AQ231,"IKS",IF(AN$8&lt;$AS231,IF(AN$8=$AR231,"Bascule","Double run"),"ROKS"))))))</f>
        <v/>
      </c>
      <c r="AO231" s="51" t="str">
        <f aca="false">IF(OR($A231="",AO$8=""),"",IF($F231="Migré","ROKS",IF($F231="À décommissionner",IF(AO$8&lt;$AS231,"IKS","Décom."),IF(OR($AQ231="",$AS231=""),"",IF(AO$8&lt;$AQ231,"IKS",IF(AO$8&lt;$AS231,IF(AO$8=$AR231,"Bascule","Double run"),"ROKS"))))))</f>
        <v/>
      </c>
      <c r="AP231" s="51" t="str">
        <f aca="false">IF(OR($A231="",AP$8=""),"",IF($F231="Migré","ROKS",IF($F231="À décommissionner",IF(AP$8&lt;$AS231,"IKS","Décom."),IF(OR($AQ231="",$AS231=""),"",IF(AP$8&lt;$AQ231,"IKS",IF(AP$8&lt;$AS231,IF(AP$8=$AR231,"Bascule","Double run"),"ROKS"))))))</f>
        <v/>
      </c>
      <c r="AQ231" s="0" t="str">
        <f aca="false">IF($A231="","",INDEX(TblApplications[Mois prov (calc)],$A231))</f>
        <v/>
      </c>
      <c r="AR231" s="0" t="str">
        <f aca="false">IF($A231="","",IFERROR(DATE(YEAR(INDEX(TblApplications[Mois bascule],$A231)),MONTH(INDEX(TblApplications[Mois bascule],$A231)),1),""))</f>
        <v/>
      </c>
      <c r="AS231" s="0" t="str">
        <f aca="false">IF($A231="","",INDEX(TblApplications[Mois lib (calc)],$A231))</f>
        <v/>
      </c>
    </row>
    <row r="232" customFormat="false" ht="15" hidden="false" customHeight="false" outlineLevel="0" collapsed="false">
      <c r="A232" s="49" t="str">
        <f aca="false">IFERROR(MATCH(224,TblApplications[Rang frise],0),"")</f>
        <v/>
      </c>
      <c r="B232" s="50" t="str">
        <f aca="false">IF($A232="","",INDEX(TblApplications[ID],$A232))</f>
        <v/>
      </c>
      <c r="C232" s="50" t="str">
        <f aca="false">IF($A232="","",INDEX(TblApplications[Application],$A232))</f>
        <v/>
      </c>
      <c r="D232" s="50" t="str">
        <f aca="false">IF($A232="","",INDEX(TblApplications[Environnement],$A232))</f>
        <v/>
      </c>
      <c r="E232" s="50" t="str">
        <f aca="false">IF($A232="","",INDEX(TblApplications[Couloir],$A232))</f>
        <v/>
      </c>
      <c r="F232" s="50" t="str">
        <f aca="false">IF($A232="","",INDEX(TblApplications[Action],$A232))</f>
        <v/>
      </c>
      <c r="G232" s="51" t="str">
        <f aca="false">IF(OR($A232="",G$8=""),"",IF($F232="Migré","ROKS",IF($F232="À décommissionner",IF(G$8&lt;$AS232,"IKS","Décom."),IF(OR($AQ232="",$AS232=""),"",IF(G$8&lt;$AQ232,"IKS",IF(G$8&lt;$AS232,IF(G$8=$AR232,"Bascule","Double run"),"ROKS"))))))</f>
        <v/>
      </c>
      <c r="H232" s="51" t="str">
        <f aca="false">IF(OR($A232="",H$8=""),"",IF($F232="Migré","ROKS",IF($F232="À décommissionner",IF(H$8&lt;$AS232,"IKS","Décom."),IF(OR($AQ232="",$AS232=""),"",IF(H$8&lt;$AQ232,"IKS",IF(H$8&lt;$AS232,IF(H$8=$AR232,"Bascule","Double run"),"ROKS"))))))</f>
        <v/>
      </c>
      <c r="I232" s="51" t="str">
        <f aca="false">IF(OR($A232="",I$8=""),"",IF($F232="Migré","ROKS",IF($F232="À décommissionner",IF(I$8&lt;$AS232,"IKS","Décom."),IF(OR($AQ232="",$AS232=""),"",IF(I$8&lt;$AQ232,"IKS",IF(I$8&lt;$AS232,IF(I$8=$AR232,"Bascule","Double run"),"ROKS"))))))</f>
        <v/>
      </c>
      <c r="J232" s="51" t="str">
        <f aca="false">IF(OR($A232="",J$8=""),"",IF($F232="Migré","ROKS",IF($F232="À décommissionner",IF(J$8&lt;$AS232,"IKS","Décom."),IF(OR($AQ232="",$AS232=""),"",IF(J$8&lt;$AQ232,"IKS",IF(J$8&lt;$AS232,IF(J$8=$AR232,"Bascule","Double run"),"ROKS"))))))</f>
        <v/>
      </c>
      <c r="K232" s="51" t="str">
        <f aca="false">IF(OR($A232="",K$8=""),"",IF($F232="Migré","ROKS",IF($F232="À décommissionner",IF(K$8&lt;$AS232,"IKS","Décom."),IF(OR($AQ232="",$AS232=""),"",IF(K$8&lt;$AQ232,"IKS",IF(K$8&lt;$AS232,IF(K$8=$AR232,"Bascule","Double run"),"ROKS"))))))</f>
        <v/>
      </c>
      <c r="L232" s="51" t="str">
        <f aca="false">IF(OR($A232="",L$8=""),"",IF($F232="Migré","ROKS",IF($F232="À décommissionner",IF(L$8&lt;$AS232,"IKS","Décom."),IF(OR($AQ232="",$AS232=""),"",IF(L$8&lt;$AQ232,"IKS",IF(L$8&lt;$AS232,IF(L$8=$AR232,"Bascule","Double run"),"ROKS"))))))</f>
        <v/>
      </c>
      <c r="M232" s="51" t="str">
        <f aca="false">IF(OR($A232="",M$8=""),"",IF($F232="Migré","ROKS",IF($F232="À décommissionner",IF(M$8&lt;$AS232,"IKS","Décom."),IF(OR($AQ232="",$AS232=""),"",IF(M$8&lt;$AQ232,"IKS",IF(M$8&lt;$AS232,IF(M$8=$AR232,"Bascule","Double run"),"ROKS"))))))</f>
        <v/>
      </c>
      <c r="N232" s="51" t="str">
        <f aca="false">IF(OR($A232="",N$8=""),"",IF($F232="Migré","ROKS",IF($F232="À décommissionner",IF(N$8&lt;$AS232,"IKS","Décom."),IF(OR($AQ232="",$AS232=""),"",IF(N$8&lt;$AQ232,"IKS",IF(N$8&lt;$AS232,IF(N$8=$AR232,"Bascule","Double run"),"ROKS"))))))</f>
        <v/>
      </c>
      <c r="O232" s="51" t="str">
        <f aca="false">IF(OR($A232="",O$8=""),"",IF($F232="Migré","ROKS",IF($F232="À décommissionner",IF(O$8&lt;$AS232,"IKS","Décom."),IF(OR($AQ232="",$AS232=""),"",IF(O$8&lt;$AQ232,"IKS",IF(O$8&lt;$AS232,IF(O$8=$AR232,"Bascule","Double run"),"ROKS"))))))</f>
        <v/>
      </c>
      <c r="P232" s="51" t="str">
        <f aca="false">IF(OR($A232="",P$8=""),"",IF($F232="Migré","ROKS",IF($F232="À décommissionner",IF(P$8&lt;$AS232,"IKS","Décom."),IF(OR($AQ232="",$AS232=""),"",IF(P$8&lt;$AQ232,"IKS",IF(P$8&lt;$AS232,IF(P$8=$AR232,"Bascule","Double run"),"ROKS"))))))</f>
        <v/>
      </c>
      <c r="Q232" s="51" t="str">
        <f aca="false">IF(OR($A232="",Q$8=""),"",IF($F232="Migré","ROKS",IF($F232="À décommissionner",IF(Q$8&lt;$AS232,"IKS","Décom."),IF(OR($AQ232="",$AS232=""),"",IF(Q$8&lt;$AQ232,"IKS",IF(Q$8&lt;$AS232,IF(Q$8=$AR232,"Bascule","Double run"),"ROKS"))))))</f>
        <v/>
      </c>
      <c r="R232" s="51" t="str">
        <f aca="false">IF(OR($A232="",R$8=""),"",IF($F232="Migré","ROKS",IF($F232="À décommissionner",IF(R$8&lt;$AS232,"IKS","Décom."),IF(OR($AQ232="",$AS232=""),"",IF(R$8&lt;$AQ232,"IKS",IF(R$8&lt;$AS232,IF(R$8=$AR232,"Bascule","Double run"),"ROKS"))))))</f>
        <v/>
      </c>
      <c r="S232" s="51" t="str">
        <f aca="false">IF(OR($A232="",S$8=""),"",IF($F232="Migré","ROKS",IF($F232="À décommissionner",IF(S$8&lt;$AS232,"IKS","Décom."),IF(OR($AQ232="",$AS232=""),"",IF(S$8&lt;$AQ232,"IKS",IF(S$8&lt;$AS232,IF(S$8=$AR232,"Bascule","Double run"),"ROKS"))))))</f>
        <v/>
      </c>
      <c r="T232" s="51" t="str">
        <f aca="false">IF(OR($A232="",T$8=""),"",IF($F232="Migré","ROKS",IF($F232="À décommissionner",IF(T$8&lt;$AS232,"IKS","Décom."),IF(OR($AQ232="",$AS232=""),"",IF(T$8&lt;$AQ232,"IKS",IF(T$8&lt;$AS232,IF(T$8=$AR232,"Bascule","Double run"),"ROKS"))))))</f>
        <v/>
      </c>
      <c r="U232" s="51" t="str">
        <f aca="false">IF(OR($A232="",U$8=""),"",IF($F232="Migré","ROKS",IF($F232="À décommissionner",IF(U$8&lt;$AS232,"IKS","Décom."),IF(OR($AQ232="",$AS232=""),"",IF(U$8&lt;$AQ232,"IKS",IF(U$8&lt;$AS232,IF(U$8=$AR232,"Bascule","Double run"),"ROKS"))))))</f>
        <v/>
      </c>
      <c r="V232" s="51" t="str">
        <f aca="false">IF(OR($A232="",V$8=""),"",IF($F232="Migré","ROKS",IF($F232="À décommissionner",IF(V$8&lt;$AS232,"IKS","Décom."),IF(OR($AQ232="",$AS232=""),"",IF(V$8&lt;$AQ232,"IKS",IF(V$8&lt;$AS232,IF(V$8=$AR232,"Bascule","Double run"),"ROKS"))))))</f>
        <v/>
      </c>
      <c r="W232" s="51" t="str">
        <f aca="false">IF(OR($A232="",W$8=""),"",IF($F232="Migré","ROKS",IF($F232="À décommissionner",IF(W$8&lt;$AS232,"IKS","Décom."),IF(OR($AQ232="",$AS232=""),"",IF(W$8&lt;$AQ232,"IKS",IF(W$8&lt;$AS232,IF(W$8=$AR232,"Bascule","Double run"),"ROKS"))))))</f>
        <v/>
      </c>
      <c r="X232" s="51" t="str">
        <f aca="false">IF(OR($A232="",X$8=""),"",IF($F232="Migré","ROKS",IF($F232="À décommissionner",IF(X$8&lt;$AS232,"IKS","Décom."),IF(OR($AQ232="",$AS232=""),"",IF(X$8&lt;$AQ232,"IKS",IF(X$8&lt;$AS232,IF(X$8=$AR232,"Bascule","Double run"),"ROKS"))))))</f>
        <v/>
      </c>
      <c r="Y232" s="51" t="str">
        <f aca="false">IF(OR($A232="",Y$8=""),"",IF($F232="Migré","ROKS",IF($F232="À décommissionner",IF(Y$8&lt;$AS232,"IKS","Décom."),IF(OR($AQ232="",$AS232=""),"",IF(Y$8&lt;$AQ232,"IKS",IF(Y$8&lt;$AS232,IF(Y$8=$AR232,"Bascule","Double run"),"ROKS"))))))</f>
        <v/>
      </c>
      <c r="Z232" s="51" t="str">
        <f aca="false">IF(OR($A232="",Z$8=""),"",IF($F232="Migré","ROKS",IF($F232="À décommissionner",IF(Z$8&lt;$AS232,"IKS","Décom."),IF(OR($AQ232="",$AS232=""),"",IF(Z$8&lt;$AQ232,"IKS",IF(Z$8&lt;$AS232,IF(Z$8=$AR232,"Bascule","Double run"),"ROKS"))))))</f>
        <v/>
      </c>
      <c r="AA232" s="51" t="str">
        <f aca="false">IF(OR($A232="",AA$8=""),"",IF($F232="Migré","ROKS",IF($F232="À décommissionner",IF(AA$8&lt;$AS232,"IKS","Décom."),IF(OR($AQ232="",$AS232=""),"",IF(AA$8&lt;$AQ232,"IKS",IF(AA$8&lt;$AS232,IF(AA$8=$AR232,"Bascule","Double run"),"ROKS"))))))</f>
        <v/>
      </c>
      <c r="AB232" s="51" t="str">
        <f aca="false">IF(OR($A232="",AB$8=""),"",IF($F232="Migré","ROKS",IF($F232="À décommissionner",IF(AB$8&lt;$AS232,"IKS","Décom."),IF(OR($AQ232="",$AS232=""),"",IF(AB$8&lt;$AQ232,"IKS",IF(AB$8&lt;$AS232,IF(AB$8=$AR232,"Bascule","Double run"),"ROKS"))))))</f>
        <v/>
      </c>
      <c r="AC232" s="51" t="str">
        <f aca="false">IF(OR($A232="",AC$8=""),"",IF($F232="Migré","ROKS",IF($F232="À décommissionner",IF(AC$8&lt;$AS232,"IKS","Décom."),IF(OR($AQ232="",$AS232=""),"",IF(AC$8&lt;$AQ232,"IKS",IF(AC$8&lt;$AS232,IF(AC$8=$AR232,"Bascule","Double run"),"ROKS"))))))</f>
        <v/>
      </c>
      <c r="AD232" s="51" t="str">
        <f aca="false">IF(OR($A232="",AD$8=""),"",IF($F232="Migré","ROKS",IF($F232="À décommissionner",IF(AD$8&lt;$AS232,"IKS","Décom."),IF(OR($AQ232="",$AS232=""),"",IF(AD$8&lt;$AQ232,"IKS",IF(AD$8&lt;$AS232,IF(AD$8=$AR232,"Bascule","Double run"),"ROKS"))))))</f>
        <v/>
      </c>
      <c r="AE232" s="51" t="str">
        <f aca="false">IF(OR($A232="",AE$8=""),"",IF($F232="Migré","ROKS",IF($F232="À décommissionner",IF(AE$8&lt;$AS232,"IKS","Décom."),IF(OR($AQ232="",$AS232=""),"",IF(AE$8&lt;$AQ232,"IKS",IF(AE$8&lt;$AS232,IF(AE$8=$AR232,"Bascule","Double run"),"ROKS"))))))</f>
        <v/>
      </c>
      <c r="AF232" s="51" t="str">
        <f aca="false">IF(OR($A232="",AF$8=""),"",IF($F232="Migré","ROKS",IF($F232="À décommissionner",IF(AF$8&lt;$AS232,"IKS","Décom."),IF(OR($AQ232="",$AS232=""),"",IF(AF$8&lt;$AQ232,"IKS",IF(AF$8&lt;$AS232,IF(AF$8=$AR232,"Bascule","Double run"),"ROKS"))))))</f>
        <v/>
      </c>
      <c r="AG232" s="51" t="str">
        <f aca="false">IF(OR($A232="",AG$8=""),"",IF($F232="Migré","ROKS",IF($F232="À décommissionner",IF(AG$8&lt;$AS232,"IKS","Décom."),IF(OR($AQ232="",$AS232=""),"",IF(AG$8&lt;$AQ232,"IKS",IF(AG$8&lt;$AS232,IF(AG$8=$AR232,"Bascule","Double run"),"ROKS"))))))</f>
        <v/>
      </c>
      <c r="AH232" s="51" t="str">
        <f aca="false">IF(OR($A232="",AH$8=""),"",IF($F232="Migré","ROKS",IF($F232="À décommissionner",IF(AH$8&lt;$AS232,"IKS","Décom."),IF(OR($AQ232="",$AS232=""),"",IF(AH$8&lt;$AQ232,"IKS",IF(AH$8&lt;$AS232,IF(AH$8=$AR232,"Bascule","Double run"),"ROKS"))))))</f>
        <v/>
      </c>
      <c r="AI232" s="51" t="str">
        <f aca="false">IF(OR($A232="",AI$8=""),"",IF($F232="Migré","ROKS",IF($F232="À décommissionner",IF(AI$8&lt;$AS232,"IKS","Décom."),IF(OR($AQ232="",$AS232=""),"",IF(AI$8&lt;$AQ232,"IKS",IF(AI$8&lt;$AS232,IF(AI$8=$AR232,"Bascule","Double run"),"ROKS"))))))</f>
        <v/>
      </c>
      <c r="AJ232" s="51" t="str">
        <f aca="false">IF(OR($A232="",AJ$8=""),"",IF($F232="Migré","ROKS",IF($F232="À décommissionner",IF(AJ$8&lt;$AS232,"IKS","Décom."),IF(OR($AQ232="",$AS232=""),"",IF(AJ$8&lt;$AQ232,"IKS",IF(AJ$8&lt;$AS232,IF(AJ$8=$AR232,"Bascule","Double run"),"ROKS"))))))</f>
        <v/>
      </c>
      <c r="AK232" s="51" t="str">
        <f aca="false">IF(OR($A232="",AK$8=""),"",IF($F232="Migré","ROKS",IF($F232="À décommissionner",IF(AK$8&lt;$AS232,"IKS","Décom."),IF(OR($AQ232="",$AS232=""),"",IF(AK$8&lt;$AQ232,"IKS",IF(AK$8&lt;$AS232,IF(AK$8=$AR232,"Bascule","Double run"),"ROKS"))))))</f>
        <v/>
      </c>
      <c r="AL232" s="51" t="str">
        <f aca="false">IF(OR($A232="",AL$8=""),"",IF($F232="Migré","ROKS",IF($F232="À décommissionner",IF(AL$8&lt;$AS232,"IKS","Décom."),IF(OR($AQ232="",$AS232=""),"",IF(AL$8&lt;$AQ232,"IKS",IF(AL$8&lt;$AS232,IF(AL$8=$AR232,"Bascule","Double run"),"ROKS"))))))</f>
        <v/>
      </c>
      <c r="AM232" s="51" t="str">
        <f aca="false">IF(OR($A232="",AM$8=""),"",IF($F232="Migré","ROKS",IF($F232="À décommissionner",IF(AM$8&lt;$AS232,"IKS","Décom."),IF(OR($AQ232="",$AS232=""),"",IF(AM$8&lt;$AQ232,"IKS",IF(AM$8&lt;$AS232,IF(AM$8=$AR232,"Bascule","Double run"),"ROKS"))))))</f>
        <v/>
      </c>
      <c r="AN232" s="51" t="str">
        <f aca="false">IF(OR($A232="",AN$8=""),"",IF($F232="Migré","ROKS",IF($F232="À décommissionner",IF(AN$8&lt;$AS232,"IKS","Décom."),IF(OR($AQ232="",$AS232=""),"",IF(AN$8&lt;$AQ232,"IKS",IF(AN$8&lt;$AS232,IF(AN$8=$AR232,"Bascule","Double run"),"ROKS"))))))</f>
        <v/>
      </c>
      <c r="AO232" s="51" t="str">
        <f aca="false">IF(OR($A232="",AO$8=""),"",IF($F232="Migré","ROKS",IF($F232="À décommissionner",IF(AO$8&lt;$AS232,"IKS","Décom."),IF(OR($AQ232="",$AS232=""),"",IF(AO$8&lt;$AQ232,"IKS",IF(AO$8&lt;$AS232,IF(AO$8=$AR232,"Bascule","Double run"),"ROKS"))))))</f>
        <v/>
      </c>
      <c r="AP232" s="51" t="str">
        <f aca="false">IF(OR($A232="",AP$8=""),"",IF($F232="Migré","ROKS",IF($F232="À décommissionner",IF(AP$8&lt;$AS232,"IKS","Décom."),IF(OR($AQ232="",$AS232=""),"",IF(AP$8&lt;$AQ232,"IKS",IF(AP$8&lt;$AS232,IF(AP$8=$AR232,"Bascule","Double run"),"ROKS"))))))</f>
        <v/>
      </c>
      <c r="AQ232" s="0" t="str">
        <f aca="false">IF($A232="","",INDEX(TblApplications[Mois prov (calc)],$A232))</f>
        <v/>
      </c>
      <c r="AR232" s="0" t="str">
        <f aca="false">IF($A232="","",IFERROR(DATE(YEAR(INDEX(TblApplications[Mois bascule],$A232)),MONTH(INDEX(TblApplications[Mois bascule],$A232)),1),""))</f>
        <v/>
      </c>
      <c r="AS232" s="0" t="str">
        <f aca="false">IF($A232="","",INDEX(TblApplications[Mois lib (calc)],$A232))</f>
        <v/>
      </c>
    </row>
    <row r="233" customFormat="false" ht="15" hidden="false" customHeight="false" outlineLevel="0" collapsed="false">
      <c r="A233" s="49" t="str">
        <f aca="false">IFERROR(MATCH(225,TblApplications[Rang frise],0),"")</f>
        <v/>
      </c>
      <c r="B233" s="50" t="str">
        <f aca="false">IF($A233="","",INDEX(TblApplications[ID],$A233))</f>
        <v/>
      </c>
      <c r="C233" s="50" t="str">
        <f aca="false">IF($A233="","",INDEX(TblApplications[Application],$A233))</f>
        <v/>
      </c>
      <c r="D233" s="50" t="str">
        <f aca="false">IF($A233="","",INDEX(TblApplications[Environnement],$A233))</f>
        <v/>
      </c>
      <c r="E233" s="50" t="str">
        <f aca="false">IF($A233="","",INDEX(TblApplications[Couloir],$A233))</f>
        <v/>
      </c>
      <c r="F233" s="50" t="str">
        <f aca="false">IF($A233="","",INDEX(TblApplications[Action],$A233))</f>
        <v/>
      </c>
      <c r="G233" s="51" t="str">
        <f aca="false">IF(OR($A233="",G$8=""),"",IF($F233="Migré","ROKS",IF($F233="À décommissionner",IF(G$8&lt;$AS233,"IKS","Décom."),IF(OR($AQ233="",$AS233=""),"",IF(G$8&lt;$AQ233,"IKS",IF(G$8&lt;$AS233,IF(G$8=$AR233,"Bascule","Double run"),"ROKS"))))))</f>
        <v/>
      </c>
      <c r="H233" s="51" t="str">
        <f aca="false">IF(OR($A233="",H$8=""),"",IF($F233="Migré","ROKS",IF($F233="À décommissionner",IF(H$8&lt;$AS233,"IKS","Décom."),IF(OR($AQ233="",$AS233=""),"",IF(H$8&lt;$AQ233,"IKS",IF(H$8&lt;$AS233,IF(H$8=$AR233,"Bascule","Double run"),"ROKS"))))))</f>
        <v/>
      </c>
      <c r="I233" s="51" t="str">
        <f aca="false">IF(OR($A233="",I$8=""),"",IF($F233="Migré","ROKS",IF($F233="À décommissionner",IF(I$8&lt;$AS233,"IKS","Décom."),IF(OR($AQ233="",$AS233=""),"",IF(I$8&lt;$AQ233,"IKS",IF(I$8&lt;$AS233,IF(I$8=$AR233,"Bascule","Double run"),"ROKS"))))))</f>
        <v/>
      </c>
      <c r="J233" s="51" t="str">
        <f aca="false">IF(OR($A233="",J$8=""),"",IF($F233="Migré","ROKS",IF($F233="À décommissionner",IF(J$8&lt;$AS233,"IKS","Décom."),IF(OR($AQ233="",$AS233=""),"",IF(J$8&lt;$AQ233,"IKS",IF(J$8&lt;$AS233,IF(J$8=$AR233,"Bascule","Double run"),"ROKS"))))))</f>
        <v/>
      </c>
      <c r="K233" s="51" t="str">
        <f aca="false">IF(OR($A233="",K$8=""),"",IF($F233="Migré","ROKS",IF($F233="À décommissionner",IF(K$8&lt;$AS233,"IKS","Décom."),IF(OR($AQ233="",$AS233=""),"",IF(K$8&lt;$AQ233,"IKS",IF(K$8&lt;$AS233,IF(K$8=$AR233,"Bascule","Double run"),"ROKS"))))))</f>
        <v/>
      </c>
      <c r="L233" s="51" t="str">
        <f aca="false">IF(OR($A233="",L$8=""),"",IF($F233="Migré","ROKS",IF($F233="À décommissionner",IF(L$8&lt;$AS233,"IKS","Décom."),IF(OR($AQ233="",$AS233=""),"",IF(L$8&lt;$AQ233,"IKS",IF(L$8&lt;$AS233,IF(L$8=$AR233,"Bascule","Double run"),"ROKS"))))))</f>
        <v/>
      </c>
      <c r="M233" s="51" t="str">
        <f aca="false">IF(OR($A233="",M$8=""),"",IF($F233="Migré","ROKS",IF($F233="À décommissionner",IF(M$8&lt;$AS233,"IKS","Décom."),IF(OR($AQ233="",$AS233=""),"",IF(M$8&lt;$AQ233,"IKS",IF(M$8&lt;$AS233,IF(M$8=$AR233,"Bascule","Double run"),"ROKS"))))))</f>
        <v/>
      </c>
      <c r="N233" s="51" t="str">
        <f aca="false">IF(OR($A233="",N$8=""),"",IF($F233="Migré","ROKS",IF($F233="À décommissionner",IF(N$8&lt;$AS233,"IKS","Décom."),IF(OR($AQ233="",$AS233=""),"",IF(N$8&lt;$AQ233,"IKS",IF(N$8&lt;$AS233,IF(N$8=$AR233,"Bascule","Double run"),"ROKS"))))))</f>
        <v/>
      </c>
      <c r="O233" s="51" t="str">
        <f aca="false">IF(OR($A233="",O$8=""),"",IF($F233="Migré","ROKS",IF($F233="À décommissionner",IF(O$8&lt;$AS233,"IKS","Décom."),IF(OR($AQ233="",$AS233=""),"",IF(O$8&lt;$AQ233,"IKS",IF(O$8&lt;$AS233,IF(O$8=$AR233,"Bascule","Double run"),"ROKS"))))))</f>
        <v/>
      </c>
      <c r="P233" s="51" t="str">
        <f aca="false">IF(OR($A233="",P$8=""),"",IF($F233="Migré","ROKS",IF($F233="À décommissionner",IF(P$8&lt;$AS233,"IKS","Décom."),IF(OR($AQ233="",$AS233=""),"",IF(P$8&lt;$AQ233,"IKS",IF(P$8&lt;$AS233,IF(P$8=$AR233,"Bascule","Double run"),"ROKS"))))))</f>
        <v/>
      </c>
      <c r="Q233" s="51" t="str">
        <f aca="false">IF(OR($A233="",Q$8=""),"",IF($F233="Migré","ROKS",IF($F233="À décommissionner",IF(Q$8&lt;$AS233,"IKS","Décom."),IF(OR($AQ233="",$AS233=""),"",IF(Q$8&lt;$AQ233,"IKS",IF(Q$8&lt;$AS233,IF(Q$8=$AR233,"Bascule","Double run"),"ROKS"))))))</f>
        <v/>
      </c>
      <c r="R233" s="51" t="str">
        <f aca="false">IF(OR($A233="",R$8=""),"",IF($F233="Migré","ROKS",IF($F233="À décommissionner",IF(R$8&lt;$AS233,"IKS","Décom."),IF(OR($AQ233="",$AS233=""),"",IF(R$8&lt;$AQ233,"IKS",IF(R$8&lt;$AS233,IF(R$8=$AR233,"Bascule","Double run"),"ROKS"))))))</f>
        <v/>
      </c>
      <c r="S233" s="51" t="str">
        <f aca="false">IF(OR($A233="",S$8=""),"",IF($F233="Migré","ROKS",IF($F233="À décommissionner",IF(S$8&lt;$AS233,"IKS","Décom."),IF(OR($AQ233="",$AS233=""),"",IF(S$8&lt;$AQ233,"IKS",IF(S$8&lt;$AS233,IF(S$8=$AR233,"Bascule","Double run"),"ROKS"))))))</f>
        <v/>
      </c>
      <c r="T233" s="51" t="str">
        <f aca="false">IF(OR($A233="",T$8=""),"",IF($F233="Migré","ROKS",IF($F233="À décommissionner",IF(T$8&lt;$AS233,"IKS","Décom."),IF(OR($AQ233="",$AS233=""),"",IF(T$8&lt;$AQ233,"IKS",IF(T$8&lt;$AS233,IF(T$8=$AR233,"Bascule","Double run"),"ROKS"))))))</f>
        <v/>
      </c>
      <c r="U233" s="51" t="str">
        <f aca="false">IF(OR($A233="",U$8=""),"",IF($F233="Migré","ROKS",IF($F233="À décommissionner",IF(U$8&lt;$AS233,"IKS","Décom."),IF(OR($AQ233="",$AS233=""),"",IF(U$8&lt;$AQ233,"IKS",IF(U$8&lt;$AS233,IF(U$8=$AR233,"Bascule","Double run"),"ROKS"))))))</f>
        <v/>
      </c>
      <c r="V233" s="51" t="str">
        <f aca="false">IF(OR($A233="",V$8=""),"",IF($F233="Migré","ROKS",IF($F233="À décommissionner",IF(V$8&lt;$AS233,"IKS","Décom."),IF(OR($AQ233="",$AS233=""),"",IF(V$8&lt;$AQ233,"IKS",IF(V$8&lt;$AS233,IF(V$8=$AR233,"Bascule","Double run"),"ROKS"))))))</f>
        <v/>
      </c>
      <c r="W233" s="51" t="str">
        <f aca="false">IF(OR($A233="",W$8=""),"",IF($F233="Migré","ROKS",IF($F233="À décommissionner",IF(W$8&lt;$AS233,"IKS","Décom."),IF(OR($AQ233="",$AS233=""),"",IF(W$8&lt;$AQ233,"IKS",IF(W$8&lt;$AS233,IF(W$8=$AR233,"Bascule","Double run"),"ROKS"))))))</f>
        <v/>
      </c>
      <c r="X233" s="51" t="str">
        <f aca="false">IF(OR($A233="",X$8=""),"",IF($F233="Migré","ROKS",IF($F233="À décommissionner",IF(X$8&lt;$AS233,"IKS","Décom."),IF(OR($AQ233="",$AS233=""),"",IF(X$8&lt;$AQ233,"IKS",IF(X$8&lt;$AS233,IF(X$8=$AR233,"Bascule","Double run"),"ROKS"))))))</f>
        <v/>
      </c>
      <c r="Y233" s="51" t="str">
        <f aca="false">IF(OR($A233="",Y$8=""),"",IF($F233="Migré","ROKS",IF($F233="À décommissionner",IF(Y$8&lt;$AS233,"IKS","Décom."),IF(OR($AQ233="",$AS233=""),"",IF(Y$8&lt;$AQ233,"IKS",IF(Y$8&lt;$AS233,IF(Y$8=$AR233,"Bascule","Double run"),"ROKS"))))))</f>
        <v/>
      </c>
      <c r="Z233" s="51" t="str">
        <f aca="false">IF(OR($A233="",Z$8=""),"",IF($F233="Migré","ROKS",IF($F233="À décommissionner",IF(Z$8&lt;$AS233,"IKS","Décom."),IF(OR($AQ233="",$AS233=""),"",IF(Z$8&lt;$AQ233,"IKS",IF(Z$8&lt;$AS233,IF(Z$8=$AR233,"Bascule","Double run"),"ROKS"))))))</f>
        <v/>
      </c>
      <c r="AA233" s="51" t="str">
        <f aca="false">IF(OR($A233="",AA$8=""),"",IF($F233="Migré","ROKS",IF($F233="À décommissionner",IF(AA$8&lt;$AS233,"IKS","Décom."),IF(OR($AQ233="",$AS233=""),"",IF(AA$8&lt;$AQ233,"IKS",IF(AA$8&lt;$AS233,IF(AA$8=$AR233,"Bascule","Double run"),"ROKS"))))))</f>
        <v/>
      </c>
      <c r="AB233" s="51" t="str">
        <f aca="false">IF(OR($A233="",AB$8=""),"",IF($F233="Migré","ROKS",IF($F233="À décommissionner",IF(AB$8&lt;$AS233,"IKS","Décom."),IF(OR($AQ233="",$AS233=""),"",IF(AB$8&lt;$AQ233,"IKS",IF(AB$8&lt;$AS233,IF(AB$8=$AR233,"Bascule","Double run"),"ROKS"))))))</f>
        <v/>
      </c>
      <c r="AC233" s="51" t="str">
        <f aca="false">IF(OR($A233="",AC$8=""),"",IF($F233="Migré","ROKS",IF($F233="À décommissionner",IF(AC$8&lt;$AS233,"IKS","Décom."),IF(OR($AQ233="",$AS233=""),"",IF(AC$8&lt;$AQ233,"IKS",IF(AC$8&lt;$AS233,IF(AC$8=$AR233,"Bascule","Double run"),"ROKS"))))))</f>
        <v/>
      </c>
      <c r="AD233" s="51" t="str">
        <f aca="false">IF(OR($A233="",AD$8=""),"",IF($F233="Migré","ROKS",IF($F233="À décommissionner",IF(AD$8&lt;$AS233,"IKS","Décom."),IF(OR($AQ233="",$AS233=""),"",IF(AD$8&lt;$AQ233,"IKS",IF(AD$8&lt;$AS233,IF(AD$8=$AR233,"Bascule","Double run"),"ROKS"))))))</f>
        <v/>
      </c>
      <c r="AE233" s="51" t="str">
        <f aca="false">IF(OR($A233="",AE$8=""),"",IF($F233="Migré","ROKS",IF($F233="À décommissionner",IF(AE$8&lt;$AS233,"IKS","Décom."),IF(OR($AQ233="",$AS233=""),"",IF(AE$8&lt;$AQ233,"IKS",IF(AE$8&lt;$AS233,IF(AE$8=$AR233,"Bascule","Double run"),"ROKS"))))))</f>
        <v/>
      </c>
      <c r="AF233" s="51" t="str">
        <f aca="false">IF(OR($A233="",AF$8=""),"",IF($F233="Migré","ROKS",IF($F233="À décommissionner",IF(AF$8&lt;$AS233,"IKS","Décom."),IF(OR($AQ233="",$AS233=""),"",IF(AF$8&lt;$AQ233,"IKS",IF(AF$8&lt;$AS233,IF(AF$8=$AR233,"Bascule","Double run"),"ROKS"))))))</f>
        <v/>
      </c>
      <c r="AG233" s="51" t="str">
        <f aca="false">IF(OR($A233="",AG$8=""),"",IF($F233="Migré","ROKS",IF($F233="À décommissionner",IF(AG$8&lt;$AS233,"IKS","Décom."),IF(OR($AQ233="",$AS233=""),"",IF(AG$8&lt;$AQ233,"IKS",IF(AG$8&lt;$AS233,IF(AG$8=$AR233,"Bascule","Double run"),"ROKS"))))))</f>
        <v/>
      </c>
      <c r="AH233" s="51" t="str">
        <f aca="false">IF(OR($A233="",AH$8=""),"",IF($F233="Migré","ROKS",IF($F233="À décommissionner",IF(AH$8&lt;$AS233,"IKS","Décom."),IF(OR($AQ233="",$AS233=""),"",IF(AH$8&lt;$AQ233,"IKS",IF(AH$8&lt;$AS233,IF(AH$8=$AR233,"Bascule","Double run"),"ROKS"))))))</f>
        <v/>
      </c>
      <c r="AI233" s="51" t="str">
        <f aca="false">IF(OR($A233="",AI$8=""),"",IF($F233="Migré","ROKS",IF($F233="À décommissionner",IF(AI$8&lt;$AS233,"IKS","Décom."),IF(OR($AQ233="",$AS233=""),"",IF(AI$8&lt;$AQ233,"IKS",IF(AI$8&lt;$AS233,IF(AI$8=$AR233,"Bascule","Double run"),"ROKS"))))))</f>
        <v/>
      </c>
      <c r="AJ233" s="51" t="str">
        <f aca="false">IF(OR($A233="",AJ$8=""),"",IF($F233="Migré","ROKS",IF($F233="À décommissionner",IF(AJ$8&lt;$AS233,"IKS","Décom."),IF(OR($AQ233="",$AS233=""),"",IF(AJ$8&lt;$AQ233,"IKS",IF(AJ$8&lt;$AS233,IF(AJ$8=$AR233,"Bascule","Double run"),"ROKS"))))))</f>
        <v/>
      </c>
      <c r="AK233" s="51" t="str">
        <f aca="false">IF(OR($A233="",AK$8=""),"",IF($F233="Migré","ROKS",IF($F233="À décommissionner",IF(AK$8&lt;$AS233,"IKS","Décom."),IF(OR($AQ233="",$AS233=""),"",IF(AK$8&lt;$AQ233,"IKS",IF(AK$8&lt;$AS233,IF(AK$8=$AR233,"Bascule","Double run"),"ROKS"))))))</f>
        <v/>
      </c>
      <c r="AL233" s="51" t="str">
        <f aca="false">IF(OR($A233="",AL$8=""),"",IF($F233="Migré","ROKS",IF($F233="À décommissionner",IF(AL$8&lt;$AS233,"IKS","Décom."),IF(OR($AQ233="",$AS233=""),"",IF(AL$8&lt;$AQ233,"IKS",IF(AL$8&lt;$AS233,IF(AL$8=$AR233,"Bascule","Double run"),"ROKS"))))))</f>
        <v/>
      </c>
      <c r="AM233" s="51" t="str">
        <f aca="false">IF(OR($A233="",AM$8=""),"",IF($F233="Migré","ROKS",IF($F233="À décommissionner",IF(AM$8&lt;$AS233,"IKS","Décom."),IF(OR($AQ233="",$AS233=""),"",IF(AM$8&lt;$AQ233,"IKS",IF(AM$8&lt;$AS233,IF(AM$8=$AR233,"Bascule","Double run"),"ROKS"))))))</f>
        <v/>
      </c>
      <c r="AN233" s="51" t="str">
        <f aca="false">IF(OR($A233="",AN$8=""),"",IF($F233="Migré","ROKS",IF($F233="À décommissionner",IF(AN$8&lt;$AS233,"IKS","Décom."),IF(OR($AQ233="",$AS233=""),"",IF(AN$8&lt;$AQ233,"IKS",IF(AN$8&lt;$AS233,IF(AN$8=$AR233,"Bascule","Double run"),"ROKS"))))))</f>
        <v/>
      </c>
      <c r="AO233" s="51" t="str">
        <f aca="false">IF(OR($A233="",AO$8=""),"",IF($F233="Migré","ROKS",IF($F233="À décommissionner",IF(AO$8&lt;$AS233,"IKS","Décom."),IF(OR($AQ233="",$AS233=""),"",IF(AO$8&lt;$AQ233,"IKS",IF(AO$8&lt;$AS233,IF(AO$8=$AR233,"Bascule","Double run"),"ROKS"))))))</f>
        <v/>
      </c>
      <c r="AP233" s="51" t="str">
        <f aca="false">IF(OR($A233="",AP$8=""),"",IF($F233="Migré","ROKS",IF($F233="À décommissionner",IF(AP$8&lt;$AS233,"IKS","Décom."),IF(OR($AQ233="",$AS233=""),"",IF(AP$8&lt;$AQ233,"IKS",IF(AP$8&lt;$AS233,IF(AP$8=$AR233,"Bascule","Double run"),"ROKS"))))))</f>
        <v/>
      </c>
      <c r="AQ233" s="0" t="str">
        <f aca="false">IF($A233="","",INDEX(TblApplications[Mois prov (calc)],$A233))</f>
        <v/>
      </c>
      <c r="AR233" s="0" t="str">
        <f aca="false">IF($A233="","",IFERROR(DATE(YEAR(INDEX(TblApplications[Mois bascule],$A233)),MONTH(INDEX(TblApplications[Mois bascule],$A233)),1),""))</f>
        <v/>
      </c>
      <c r="AS233" s="0" t="str">
        <f aca="false">IF($A233="","",INDEX(TblApplications[Mois lib (calc)],$A233))</f>
        <v/>
      </c>
    </row>
    <row r="234" customFormat="false" ht="15" hidden="false" customHeight="false" outlineLevel="0" collapsed="false">
      <c r="A234" s="49" t="str">
        <f aca="false">IFERROR(MATCH(226,TblApplications[Rang frise],0),"")</f>
        <v/>
      </c>
      <c r="B234" s="50" t="str">
        <f aca="false">IF($A234="","",INDEX(TblApplications[ID],$A234))</f>
        <v/>
      </c>
      <c r="C234" s="50" t="str">
        <f aca="false">IF($A234="","",INDEX(TblApplications[Application],$A234))</f>
        <v/>
      </c>
      <c r="D234" s="50" t="str">
        <f aca="false">IF($A234="","",INDEX(TblApplications[Environnement],$A234))</f>
        <v/>
      </c>
      <c r="E234" s="50" t="str">
        <f aca="false">IF($A234="","",INDEX(TblApplications[Couloir],$A234))</f>
        <v/>
      </c>
      <c r="F234" s="50" t="str">
        <f aca="false">IF($A234="","",INDEX(TblApplications[Action],$A234))</f>
        <v/>
      </c>
      <c r="G234" s="51" t="str">
        <f aca="false">IF(OR($A234="",G$8=""),"",IF($F234="Migré","ROKS",IF($F234="À décommissionner",IF(G$8&lt;$AS234,"IKS","Décom."),IF(OR($AQ234="",$AS234=""),"",IF(G$8&lt;$AQ234,"IKS",IF(G$8&lt;$AS234,IF(G$8=$AR234,"Bascule","Double run"),"ROKS"))))))</f>
        <v/>
      </c>
      <c r="H234" s="51" t="str">
        <f aca="false">IF(OR($A234="",H$8=""),"",IF($F234="Migré","ROKS",IF($F234="À décommissionner",IF(H$8&lt;$AS234,"IKS","Décom."),IF(OR($AQ234="",$AS234=""),"",IF(H$8&lt;$AQ234,"IKS",IF(H$8&lt;$AS234,IF(H$8=$AR234,"Bascule","Double run"),"ROKS"))))))</f>
        <v/>
      </c>
      <c r="I234" s="51" t="str">
        <f aca="false">IF(OR($A234="",I$8=""),"",IF($F234="Migré","ROKS",IF($F234="À décommissionner",IF(I$8&lt;$AS234,"IKS","Décom."),IF(OR($AQ234="",$AS234=""),"",IF(I$8&lt;$AQ234,"IKS",IF(I$8&lt;$AS234,IF(I$8=$AR234,"Bascule","Double run"),"ROKS"))))))</f>
        <v/>
      </c>
      <c r="J234" s="51" t="str">
        <f aca="false">IF(OR($A234="",J$8=""),"",IF($F234="Migré","ROKS",IF($F234="À décommissionner",IF(J$8&lt;$AS234,"IKS","Décom."),IF(OR($AQ234="",$AS234=""),"",IF(J$8&lt;$AQ234,"IKS",IF(J$8&lt;$AS234,IF(J$8=$AR234,"Bascule","Double run"),"ROKS"))))))</f>
        <v/>
      </c>
      <c r="K234" s="51" t="str">
        <f aca="false">IF(OR($A234="",K$8=""),"",IF($F234="Migré","ROKS",IF($F234="À décommissionner",IF(K$8&lt;$AS234,"IKS","Décom."),IF(OR($AQ234="",$AS234=""),"",IF(K$8&lt;$AQ234,"IKS",IF(K$8&lt;$AS234,IF(K$8=$AR234,"Bascule","Double run"),"ROKS"))))))</f>
        <v/>
      </c>
      <c r="L234" s="51" t="str">
        <f aca="false">IF(OR($A234="",L$8=""),"",IF($F234="Migré","ROKS",IF($F234="À décommissionner",IF(L$8&lt;$AS234,"IKS","Décom."),IF(OR($AQ234="",$AS234=""),"",IF(L$8&lt;$AQ234,"IKS",IF(L$8&lt;$AS234,IF(L$8=$AR234,"Bascule","Double run"),"ROKS"))))))</f>
        <v/>
      </c>
      <c r="M234" s="51" t="str">
        <f aca="false">IF(OR($A234="",M$8=""),"",IF($F234="Migré","ROKS",IF($F234="À décommissionner",IF(M$8&lt;$AS234,"IKS","Décom."),IF(OR($AQ234="",$AS234=""),"",IF(M$8&lt;$AQ234,"IKS",IF(M$8&lt;$AS234,IF(M$8=$AR234,"Bascule","Double run"),"ROKS"))))))</f>
        <v/>
      </c>
      <c r="N234" s="51" t="str">
        <f aca="false">IF(OR($A234="",N$8=""),"",IF($F234="Migré","ROKS",IF($F234="À décommissionner",IF(N$8&lt;$AS234,"IKS","Décom."),IF(OR($AQ234="",$AS234=""),"",IF(N$8&lt;$AQ234,"IKS",IF(N$8&lt;$AS234,IF(N$8=$AR234,"Bascule","Double run"),"ROKS"))))))</f>
        <v/>
      </c>
      <c r="O234" s="51" t="str">
        <f aca="false">IF(OR($A234="",O$8=""),"",IF($F234="Migré","ROKS",IF($F234="À décommissionner",IF(O$8&lt;$AS234,"IKS","Décom."),IF(OR($AQ234="",$AS234=""),"",IF(O$8&lt;$AQ234,"IKS",IF(O$8&lt;$AS234,IF(O$8=$AR234,"Bascule","Double run"),"ROKS"))))))</f>
        <v/>
      </c>
      <c r="P234" s="51" t="str">
        <f aca="false">IF(OR($A234="",P$8=""),"",IF($F234="Migré","ROKS",IF($F234="À décommissionner",IF(P$8&lt;$AS234,"IKS","Décom."),IF(OR($AQ234="",$AS234=""),"",IF(P$8&lt;$AQ234,"IKS",IF(P$8&lt;$AS234,IF(P$8=$AR234,"Bascule","Double run"),"ROKS"))))))</f>
        <v/>
      </c>
      <c r="Q234" s="51" t="str">
        <f aca="false">IF(OR($A234="",Q$8=""),"",IF($F234="Migré","ROKS",IF($F234="À décommissionner",IF(Q$8&lt;$AS234,"IKS","Décom."),IF(OR($AQ234="",$AS234=""),"",IF(Q$8&lt;$AQ234,"IKS",IF(Q$8&lt;$AS234,IF(Q$8=$AR234,"Bascule","Double run"),"ROKS"))))))</f>
        <v/>
      </c>
      <c r="R234" s="51" t="str">
        <f aca="false">IF(OR($A234="",R$8=""),"",IF($F234="Migré","ROKS",IF($F234="À décommissionner",IF(R$8&lt;$AS234,"IKS","Décom."),IF(OR($AQ234="",$AS234=""),"",IF(R$8&lt;$AQ234,"IKS",IF(R$8&lt;$AS234,IF(R$8=$AR234,"Bascule","Double run"),"ROKS"))))))</f>
        <v/>
      </c>
      <c r="S234" s="51" t="str">
        <f aca="false">IF(OR($A234="",S$8=""),"",IF($F234="Migré","ROKS",IF($F234="À décommissionner",IF(S$8&lt;$AS234,"IKS","Décom."),IF(OR($AQ234="",$AS234=""),"",IF(S$8&lt;$AQ234,"IKS",IF(S$8&lt;$AS234,IF(S$8=$AR234,"Bascule","Double run"),"ROKS"))))))</f>
        <v/>
      </c>
      <c r="T234" s="51" t="str">
        <f aca="false">IF(OR($A234="",T$8=""),"",IF($F234="Migré","ROKS",IF($F234="À décommissionner",IF(T$8&lt;$AS234,"IKS","Décom."),IF(OR($AQ234="",$AS234=""),"",IF(T$8&lt;$AQ234,"IKS",IF(T$8&lt;$AS234,IF(T$8=$AR234,"Bascule","Double run"),"ROKS"))))))</f>
        <v/>
      </c>
      <c r="U234" s="51" t="str">
        <f aca="false">IF(OR($A234="",U$8=""),"",IF($F234="Migré","ROKS",IF($F234="À décommissionner",IF(U$8&lt;$AS234,"IKS","Décom."),IF(OR($AQ234="",$AS234=""),"",IF(U$8&lt;$AQ234,"IKS",IF(U$8&lt;$AS234,IF(U$8=$AR234,"Bascule","Double run"),"ROKS"))))))</f>
        <v/>
      </c>
      <c r="V234" s="51" t="str">
        <f aca="false">IF(OR($A234="",V$8=""),"",IF($F234="Migré","ROKS",IF($F234="À décommissionner",IF(V$8&lt;$AS234,"IKS","Décom."),IF(OR($AQ234="",$AS234=""),"",IF(V$8&lt;$AQ234,"IKS",IF(V$8&lt;$AS234,IF(V$8=$AR234,"Bascule","Double run"),"ROKS"))))))</f>
        <v/>
      </c>
      <c r="W234" s="51" t="str">
        <f aca="false">IF(OR($A234="",W$8=""),"",IF($F234="Migré","ROKS",IF($F234="À décommissionner",IF(W$8&lt;$AS234,"IKS","Décom."),IF(OR($AQ234="",$AS234=""),"",IF(W$8&lt;$AQ234,"IKS",IF(W$8&lt;$AS234,IF(W$8=$AR234,"Bascule","Double run"),"ROKS"))))))</f>
        <v/>
      </c>
      <c r="X234" s="51" t="str">
        <f aca="false">IF(OR($A234="",X$8=""),"",IF($F234="Migré","ROKS",IF($F234="À décommissionner",IF(X$8&lt;$AS234,"IKS","Décom."),IF(OR($AQ234="",$AS234=""),"",IF(X$8&lt;$AQ234,"IKS",IF(X$8&lt;$AS234,IF(X$8=$AR234,"Bascule","Double run"),"ROKS"))))))</f>
        <v/>
      </c>
      <c r="Y234" s="51" t="str">
        <f aca="false">IF(OR($A234="",Y$8=""),"",IF($F234="Migré","ROKS",IF($F234="À décommissionner",IF(Y$8&lt;$AS234,"IKS","Décom."),IF(OR($AQ234="",$AS234=""),"",IF(Y$8&lt;$AQ234,"IKS",IF(Y$8&lt;$AS234,IF(Y$8=$AR234,"Bascule","Double run"),"ROKS"))))))</f>
        <v/>
      </c>
      <c r="Z234" s="51" t="str">
        <f aca="false">IF(OR($A234="",Z$8=""),"",IF($F234="Migré","ROKS",IF($F234="À décommissionner",IF(Z$8&lt;$AS234,"IKS","Décom."),IF(OR($AQ234="",$AS234=""),"",IF(Z$8&lt;$AQ234,"IKS",IF(Z$8&lt;$AS234,IF(Z$8=$AR234,"Bascule","Double run"),"ROKS"))))))</f>
        <v/>
      </c>
      <c r="AA234" s="51" t="str">
        <f aca="false">IF(OR($A234="",AA$8=""),"",IF($F234="Migré","ROKS",IF($F234="À décommissionner",IF(AA$8&lt;$AS234,"IKS","Décom."),IF(OR($AQ234="",$AS234=""),"",IF(AA$8&lt;$AQ234,"IKS",IF(AA$8&lt;$AS234,IF(AA$8=$AR234,"Bascule","Double run"),"ROKS"))))))</f>
        <v/>
      </c>
      <c r="AB234" s="51" t="str">
        <f aca="false">IF(OR($A234="",AB$8=""),"",IF($F234="Migré","ROKS",IF($F234="À décommissionner",IF(AB$8&lt;$AS234,"IKS","Décom."),IF(OR($AQ234="",$AS234=""),"",IF(AB$8&lt;$AQ234,"IKS",IF(AB$8&lt;$AS234,IF(AB$8=$AR234,"Bascule","Double run"),"ROKS"))))))</f>
        <v/>
      </c>
      <c r="AC234" s="51" t="str">
        <f aca="false">IF(OR($A234="",AC$8=""),"",IF($F234="Migré","ROKS",IF($F234="À décommissionner",IF(AC$8&lt;$AS234,"IKS","Décom."),IF(OR($AQ234="",$AS234=""),"",IF(AC$8&lt;$AQ234,"IKS",IF(AC$8&lt;$AS234,IF(AC$8=$AR234,"Bascule","Double run"),"ROKS"))))))</f>
        <v/>
      </c>
      <c r="AD234" s="51" t="str">
        <f aca="false">IF(OR($A234="",AD$8=""),"",IF($F234="Migré","ROKS",IF($F234="À décommissionner",IF(AD$8&lt;$AS234,"IKS","Décom."),IF(OR($AQ234="",$AS234=""),"",IF(AD$8&lt;$AQ234,"IKS",IF(AD$8&lt;$AS234,IF(AD$8=$AR234,"Bascule","Double run"),"ROKS"))))))</f>
        <v/>
      </c>
      <c r="AE234" s="51" t="str">
        <f aca="false">IF(OR($A234="",AE$8=""),"",IF($F234="Migré","ROKS",IF($F234="À décommissionner",IF(AE$8&lt;$AS234,"IKS","Décom."),IF(OR($AQ234="",$AS234=""),"",IF(AE$8&lt;$AQ234,"IKS",IF(AE$8&lt;$AS234,IF(AE$8=$AR234,"Bascule","Double run"),"ROKS"))))))</f>
        <v/>
      </c>
      <c r="AF234" s="51" t="str">
        <f aca="false">IF(OR($A234="",AF$8=""),"",IF($F234="Migré","ROKS",IF($F234="À décommissionner",IF(AF$8&lt;$AS234,"IKS","Décom."),IF(OR($AQ234="",$AS234=""),"",IF(AF$8&lt;$AQ234,"IKS",IF(AF$8&lt;$AS234,IF(AF$8=$AR234,"Bascule","Double run"),"ROKS"))))))</f>
        <v/>
      </c>
      <c r="AG234" s="51" t="str">
        <f aca="false">IF(OR($A234="",AG$8=""),"",IF($F234="Migré","ROKS",IF($F234="À décommissionner",IF(AG$8&lt;$AS234,"IKS","Décom."),IF(OR($AQ234="",$AS234=""),"",IF(AG$8&lt;$AQ234,"IKS",IF(AG$8&lt;$AS234,IF(AG$8=$AR234,"Bascule","Double run"),"ROKS"))))))</f>
        <v/>
      </c>
      <c r="AH234" s="51" t="str">
        <f aca="false">IF(OR($A234="",AH$8=""),"",IF($F234="Migré","ROKS",IF($F234="À décommissionner",IF(AH$8&lt;$AS234,"IKS","Décom."),IF(OR($AQ234="",$AS234=""),"",IF(AH$8&lt;$AQ234,"IKS",IF(AH$8&lt;$AS234,IF(AH$8=$AR234,"Bascule","Double run"),"ROKS"))))))</f>
        <v/>
      </c>
      <c r="AI234" s="51" t="str">
        <f aca="false">IF(OR($A234="",AI$8=""),"",IF($F234="Migré","ROKS",IF($F234="À décommissionner",IF(AI$8&lt;$AS234,"IKS","Décom."),IF(OR($AQ234="",$AS234=""),"",IF(AI$8&lt;$AQ234,"IKS",IF(AI$8&lt;$AS234,IF(AI$8=$AR234,"Bascule","Double run"),"ROKS"))))))</f>
        <v/>
      </c>
      <c r="AJ234" s="51" t="str">
        <f aca="false">IF(OR($A234="",AJ$8=""),"",IF($F234="Migré","ROKS",IF($F234="À décommissionner",IF(AJ$8&lt;$AS234,"IKS","Décom."),IF(OR($AQ234="",$AS234=""),"",IF(AJ$8&lt;$AQ234,"IKS",IF(AJ$8&lt;$AS234,IF(AJ$8=$AR234,"Bascule","Double run"),"ROKS"))))))</f>
        <v/>
      </c>
      <c r="AK234" s="51" t="str">
        <f aca="false">IF(OR($A234="",AK$8=""),"",IF($F234="Migré","ROKS",IF($F234="À décommissionner",IF(AK$8&lt;$AS234,"IKS","Décom."),IF(OR($AQ234="",$AS234=""),"",IF(AK$8&lt;$AQ234,"IKS",IF(AK$8&lt;$AS234,IF(AK$8=$AR234,"Bascule","Double run"),"ROKS"))))))</f>
        <v/>
      </c>
      <c r="AL234" s="51" t="str">
        <f aca="false">IF(OR($A234="",AL$8=""),"",IF($F234="Migré","ROKS",IF($F234="À décommissionner",IF(AL$8&lt;$AS234,"IKS","Décom."),IF(OR($AQ234="",$AS234=""),"",IF(AL$8&lt;$AQ234,"IKS",IF(AL$8&lt;$AS234,IF(AL$8=$AR234,"Bascule","Double run"),"ROKS"))))))</f>
        <v/>
      </c>
      <c r="AM234" s="51" t="str">
        <f aca="false">IF(OR($A234="",AM$8=""),"",IF($F234="Migré","ROKS",IF($F234="À décommissionner",IF(AM$8&lt;$AS234,"IKS","Décom."),IF(OR($AQ234="",$AS234=""),"",IF(AM$8&lt;$AQ234,"IKS",IF(AM$8&lt;$AS234,IF(AM$8=$AR234,"Bascule","Double run"),"ROKS"))))))</f>
        <v/>
      </c>
      <c r="AN234" s="51" t="str">
        <f aca="false">IF(OR($A234="",AN$8=""),"",IF($F234="Migré","ROKS",IF($F234="À décommissionner",IF(AN$8&lt;$AS234,"IKS","Décom."),IF(OR($AQ234="",$AS234=""),"",IF(AN$8&lt;$AQ234,"IKS",IF(AN$8&lt;$AS234,IF(AN$8=$AR234,"Bascule","Double run"),"ROKS"))))))</f>
        <v/>
      </c>
      <c r="AO234" s="51" t="str">
        <f aca="false">IF(OR($A234="",AO$8=""),"",IF($F234="Migré","ROKS",IF($F234="À décommissionner",IF(AO$8&lt;$AS234,"IKS","Décom."),IF(OR($AQ234="",$AS234=""),"",IF(AO$8&lt;$AQ234,"IKS",IF(AO$8&lt;$AS234,IF(AO$8=$AR234,"Bascule","Double run"),"ROKS"))))))</f>
        <v/>
      </c>
      <c r="AP234" s="51" t="str">
        <f aca="false">IF(OR($A234="",AP$8=""),"",IF($F234="Migré","ROKS",IF($F234="À décommissionner",IF(AP$8&lt;$AS234,"IKS","Décom."),IF(OR($AQ234="",$AS234=""),"",IF(AP$8&lt;$AQ234,"IKS",IF(AP$8&lt;$AS234,IF(AP$8=$AR234,"Bascule","Double run"),"ROKS"))))))</f>
        <v/>
      </c>
      <c r="AQ234" s="0" t="str">
        <f aca="false">IF($A234="","",INDEX(TblApplications[Mois prov (calc)],$A234))</f>
        <v/>
      </c>
      <c r="AR234" s="0" t="str">
        <f aca="false">IF($A234="","",IFERROR(DATE(YEAR(INDEX(TblApplications[Mois bascule],$A234)),MONTH(INDEX(TblApplications[Mois bascule],$A234)),1),""))</f>
        <v/>
      </c>
      <c r="AS234" s="0" t="str">
        <f aca="false">IF($A234="","",INDEX(TblApplications[Mois lib (calc)],$A234))</f>
        <v/>
      </c>
    </row>
    <row r="235" customFormat="false" ht="15" hidden="false" customHeight="false" outlineLevel="0" collapsed="false">
      <c r="A235" s="49" t="str">
        <f aca="false">IFERROR(MATCH(227,TblApplications[Rang frise],0),"")</f>
        <v/>
      </c>
      <c r="B235" s="50" t="str">
        <f aca="false">IF($A235="","",INDEX(TblApplications[ID],$A235))</f>
        <v/>
      </c>
      <c r="C235" s="50" t="str">
        <f aca="false">IF($A235="","",INDEX(TblApplications[Application],$A235))</f>
        <v/>
      </c>
      <c r="D235" s="50" t="str">
        <f aca="false">IF($A235="","",INDEX(TblApplications[Environnement],$A235))</f>
        <v/>
      </c>
      <c r="E235" s="50" t="str">
        <f aca="false">IF($A235="","",INDEX(TblApplications[Couloir],$A235))</f>
        <v/>
      </c>
      <c r="F235" s="50" t="str">
        <f aca="false">IF($A235="","",INDEX(TblApplications[Action],$A235))</f>
        <v/>
      </c>
      <c r="G235" s="51" t="str">
        <f aca="false">IF(OR($A235="",G$8=""),"",IF($F235="Migré","ROKS",IF($F235="À décommissionner",IF(G$8&lt;$AS235,"IKS","Décom."),IF(OR($AQ235="",$AS235=""),"",IF(G$8&lt;$AQ235,"IKS",IF(G$8&lt;$AS235,IF(G$8=$AR235,"Bascule","Double run"),"ROKS"))))))</f>
        <v/>
      </c>
      <c r="H235" s="51" t="str">
        <f aca="false">IF(OR($A235="",H$8=""),"",IF($F235="Migré","ROKS",IF($F235="À décommissionner",IF(H$8&lt;$AS235,"IKS","Décom."),IF(OR($AQ235="",$AS235=""),"",IF(H$8&lt;$AQ235,"IKS",IF(H$8&lt;$AS235,IF(H$8=$AR235,"Bascule","Double run"),"ROKS"))))))</f>
        <v/>
      </c>
      <c r="I235" s="51" t="str">
        <f aca="false">IF(OR($A235="",I$8=""),"",IF($F235="Migré","ROKS",IF($F235="À décommissionner",IF(I$8&lt;$AS235,"IKS","Décom."),IF(OR($AQ235="",$AS235=""),"",IF(I$8&lt;$AQ235,"IKS",IF(I$8&lt;$AS235,IF(I$8=$AR235,"Bascule","Double run"),"ROKS"))))))</f>
        <v/>
      </c>
      <c r="J235" s="51" t="str">
        <f aca="false">IF(OR($A235="",J$8=""),"",IF($F235="Migré","ROKS",IF($F235="À décommissionner",IF(J$8&lt;$AS235,"IKS","Décom."),IF(OR($AQ235="",$AS235=""),"",IF(J$8&lt;$AQ235,"IKS",IF(J$8&lt;$AS235,IF(J$8=$AR235,"Bascule","Double run"),"ROKS"))))))</f>
        <v/>
      </c>
      <c r="K235" s="51" t="str">
        <f aca="false">IF(OR($A235="",K$8=""),"",IF($F235="Migré","ROKS",IF($F235="À décommissionner",IF(K$8&lt;$AS235,"IKS","Décom."),IF(OR($AQ235="",$AS235=""),"",IF(K$8&lt;$AQ235,"IKS",IF(K$8&lt;$AS235,IF(K$8=$AR235,"Bascule","Double run"),"ROKS"))))))</f>
        <v/>
      </c>
      <c r="L235" s="51" t="str">
        <f aca="false">IF(OR($A235="",L$8=""),"",IF($F235="Migré","ROKS",IF($F235="À décommissionner",IF(L$8&lt;$AS235,"IKS","Décom."),IF(OR($AQ235="",$AS235=""),"",IF(L$8&lt;$AQ235,"IKS",IF(L$8&lt;$AS235,IF(L$8=$AR235,"Bascule","Double run"),"ROKS"))))))</f>
        <v/>
      </c>
      <c r="M235" s="51" t="str">
        <f aca="false">IF(OR($A235="",M$8=""),"",IF($F235="Migré","ROKS",IF($F235="À décommissionner",IF(M$8&lt;$AS235,"IKS","Décom."),IF(OR($AQ235="",$AS235=""),"",IF(M$8&lt;$AQ235,"IKS",IF(M$8&lt;$AS235,IF(M$8=$AR235,"Bascule","Double run"),"ROKS"))))))</f>
        <v/>
      </c>
      <c r="N235" s="51" t="str">
        <f aca="false">IF(OR($A235="",N$8=""),"",IF($F235="Migré","ROKS",IF($F235="À décommissionner",IF(N$8&lt;$AS235,"IKS","Décom."),IF(OR($AQ235="",$AS235=""),"",IF(N$8&lt;$AQ235,"IKS",IF(N$8&lt;$AS235,IF(N$8=$AR235,"Bascule","Double run"),"ROKS"))))))</f>
        <v/>
      </c>
      <c r="O235" s="51" t="str">
        <f aca="false">IF(OR($A235="",O$8=""),"",IF($F235="Migré","ROKS",IF($F235="À décommissionner",IF(O$8&lt;$AS235,"IKS","Décom."),IF(OR($AQ235="",$AS235=""),"",IF(O$8&lt;$AQ235,"IKS",IF(O$8&lt;$AS235,IF(O$8=$AR235,"Bascule","Double run"),"ROKS"))))))</f>
        <v/>
      </c>
      <c r="P235" s="51" t="str">
        <f aca="false">IF(OR($A235="",P$8=""),"",IF($F235="Migré","ROKS",IF($F235="À décommissionner",IF(P$8&lt;$AS235,"IKS","Décom."),IF(OR($AQ235="",$AS235=""),"",IF(P$8&lt;$AQ235,"IKS",IF(P$8&lt;$AS235,IF(P$8=$AR235,"Bascule","Double run"),"ROKS"))))))</f>
        <v/>
      </c>
      <c r="Q235" s="51" t="str">
        <f aca="false">IF(OR($A235="",Q$8=""),"",IF($F235="Migré","ROKS",IF($F235="À décommissionner",IF(Q$8&lt;$AS235,"IKS","Décom."),IF(OR($AQ235="",$AS235=""),"",IF(Q$8&lt;$AQ235,"IKS",IF(Q$8&lt;$AS235,IF(Q$8=$AR235,"Bascule","Double run"),"ROKS"))))))</f>
        <v/>
      </c>
      <c r="R235" s="51" t="str">
        <f aca="false">IF(OR($A235="",R$8=""),"",IF($F235="Migré","ROKS",IF($F235="À décommissionner",IF(R$8&lt;$AS235,"IKS","Décom."),IF(OR($AQ235="",$AS235=""),"",IF(R$8&lt;$AQ235,"IKS",IF(R$8&lt;$AS235,IF(R$8=$AR235,"Bascule","Double run"),"ROKS"))))))</f>
        <v/>
      </c>
      <c r="S235" s="51" t="str">
        <f aca="false">IF(OR($A235="",S$8=""),"",IF($F235="Migré","ROKS",IF($F235="À décommissionner",IF(S$8&lt;$AS235,"IKS","Décom."),IF(OR($AQ235="",$AS235=""),"",IF(S$8&lt;$AQ235,"IKS",IF(S$8&lt;$AS235,IF(S$8=$AR235,"Bascule","Double run"),"ROKS"))))))</f>
        <v/>
      </c>
      <c r="T235" s="51" t="str">
        <f aca="false">IF(OR($A235="",T$8=""),"",IF($F235="Migré","ROKS",IF($F235="À décommissionner",IF(T$8&lt;$AS235,"IKS","Décom."),IF(OR($AQ235="",$AS235=""),"",IF(T$8&lt;$AQ235,"IKS",IF(T$8&lt;$AS235,IF(T$8=$AR235,"Bascule","Double run"),"ROKS"))))))</f>
        <v/>
      </c>
      <c r="U235" s="51" t="str">
        <f aca="false">IF(OR($A235="",U$8=""),"",IF($F235="Migré","ROKS",IF($F235="À décommissionner",IF(U$8&lt;$AS235,"IKS","Décom."),IF(OR($AQ235="",$AS235=""),"",IF(U$8&lt;$AQ235,"IKS",IF(U$8&lt;$AS235,IF(U$8=$AR235,"Bascule","Double run"),"ROKS"))))))</f>
        <v/>
      </c>
      <c r="V235" s="51" t="str">
        <f aca="false">IF(OR($A235="",V$8=""),"",IF($F235="Migré","ROKS",IF($F235="À décommissionner",IF(V$8&lt;$AS235,"IKS","Décom."),IF(OR($AQ235="",$AS235=""),"",IF(V$8&lt;$AQ235,"IKS",IF(V$8&lt;$AS235,IF(V$8=$AR235,"Bascule","Double run"),"ROKS"))))))</f>
        <v/>
      </c>
      <c r="W235" s="51" t="str">
        <f aca="false">IF(OR($A235="",W$8=""),"",IF($F235="Migré","ROKS",IF($F235="À décommissionner",IF(W$8&lt;$AS235,"IKS","Décom."),IF(OR($AQ235="",$AS235=""),"",IF(W$8&lt;$AQ235,"IKS",IF(W$8&lt;$AS235,IF(W$8=$AR235,"Bascule","Double run"),"ROKS"))))))</f>
        <v/>
      </c>
      <c r="X235" s="51" t="str">
        <f aca="false">IF(OR($A235="",X$8=""),"",IF($F235="Migré","ROKS",IF($F235="À décommissionner",IF(X$8&lt;$AS235,"IKS","Décom."),IF(OR($AQ235="",$AS235=""),"",IF(X$8&lt;$AQ235,"IKS",IF(X$8&lt;$AS235,IF(X$8=$AR235,"Bascule","Double run"),"ROKS"))))))</f>
        <v/>
      </c>
      <c r="Y235" s="51" t="str">
        <f aca="false">IF(OR($A235="",Y$8=""),"",IF($F235="Migré","ROKS",IF($F235="À décommissionner",IF(Y$8&lt;$AS235,"IKS","Décom."),IF(OR($AQ235="",$AS235=""),"",IF(Y$8&lt;$AQ235,"IKS",IF(Y$8&lt;$AS235,IF(Y$8=$AR235,"Bascule","Double run"),"ROKS"))))))</f>
        <v/>
      </c>
      <c r="Z235" s="51" t="str">
        <f aca="false">IF(OR($A235="",Z$8=""),"",IF($F235="Migré","ROKS",IF($F235="À décommissionner",IF(Z$8&lt;$AS235,"IKS","Décom."),IF(OR($AQ235="",$AS235=""),"",IF(Z$8&lt;$AQ235,"IKS",IF(Z$8&lt;$AS235,IF(Z$8=$AR235,"Bascule","Double run"),"ROKS"))))))</f>
        <v/>
      </c>
      <c r="AA235" s="51" t="str">
        <f aca="false">IF(OR($A235="",AA$8=""),"",IF($F235="Migré","ROKS",IF($F235="À décommissionner",IF(AA$8&lt;$AS235,"IKS","Décom."),IF(OR($AQ235="",$AS235=""),"",IF(AA$8&lt;$AQ235,"IKS",IF(AA$8&lt;$AS235,IF(AA$8=$AR235,"Bascule","Double run"),"ROKS"))))))</f>
        <v/>
      </c>
      <c r="AB235" s="51" t="str">
        <f aca="false">IF(OR($A235="",AB$8=""),"",IF($F235="Migré","ROKS",IF($F235="À décommissionner",IF(AB$8&lt;$AS235,"IKS","Décom."),IF(OR($AQ235="",$AS235=""),"",IF(AB$8&lt;$AQ235,"IKS",IF(AB$8&lt;$AS235,IF(AB$8=$AR235,"Bascule","Double run"),"ROKS"))))))</f>
        <v/>
      </c>
      <c r="AC235" s="51" t="str">
        <f aca="false">IF(OR($A235="",AC$8=""),"",IF($F235="Migré","ROKS",IF($F235="À décommissionner",IF(AC$8&lt;$AS235,"IKS","Décom."),IF(OR($AQ235="",$AS235=""),"",IF(AC$8&lt;$AQ235,"IKS",IF(AC$8&lt;$AS235,IF(AC$8=$AR235,"Bascule","Double run"),"ROKS"))))))</f>
        <v/>
      </c>
      <c r="AD235" s="51" t="str">
        <f aca="false">IF(OR($A235="",AD$8=""),"",IF($F235="Migré","ROKS",IF($F235="À décommissionner",IF(AD$8&lt;$AS235,"IKS","Décom."),IF(OR($AQ235="",$AS235=""),"",IF(AD$8&lt;$AQ235,"IKS",IF(AD$8&lt;$AS235,IF(AD$8=$AR235,"Bascule","Double run"),"ROKS"))))))</f>
        <v/>
      </c>
      <c r="AE235" s="51" t="str">
        <f aca="false">IF(OR($A235="",AE$8=""),"",IF($F235="Migré","ROKS",IF($F235="À décommissionner",IF(AE$8&lt;$AS235,"IKS","Décom."),IF(OR($AQ235="",$AS235=""),"",IF(AE$8&lt;$AQ235,"IKS",IF(AE$8&lt;$AS235,IF(AE$8=$AR235,"Bascule","Double run"),"ROKS"))))))</f>
        <v/>
      </c>
      <c r="AF235" s="51" t="str">
        <f aca="false">IF(OR($A235="",AF$8=""),"",IF($F235="Migré","ROKS",IF($F235="À décommissionner",IF(AF$8&lt;$AS235,"IKS","Décom."),IF(OR($AQ235="",$AS235=""),"",IF(AF$8&lt;$AQ235,"IKS",IF(AF$8&lt;$AS235,IF(AF$8=$AR235,"Bascule","Double run"),"ROKS"))))))</f>
        <v/>
      </c>
      <c r="AG235" s="51" t="str">
        <f aca="false">IF(OR($A235="",AG$8=""),"",IF($F235="Migré","ROKS",IF($F235="À décommissionner",IF(AG$8&lt;$AS235,"IKS","Décom."),IF(OR($AQ235="",$AS235=""),"",IF(AG$8&lt;$AQ235,"IKS",IF(AG$8&lt;$AS235,IF(AG$8=$AR235,"Bascule","Double run"),"ROKS"))))))</f>
        <v/>
      </c>
      <c r="AH235" s="51" t="str">
        <f aca="false">IF(OR($A235="",AH$8=""),"",IF($F235="Migré","ROKS",IF($F235="À décommissionner",IF(AH$8&lt;$AS235,"IKS","Décom."),IF(OR($AQ235="",$AS235=""),"",IF(AH$8&lt;$AQ235,"IKS",IF(AH$8&lt;$AS235,IF(AH$8=$AR235,"Bascule","Double run"),"ROKS"))))))</f>
        <v/>
      </c>
      <c r="AI235" s="51" t="str">
        <f aca="false">IF(OR($A235="",AI$8=""),"",IF($F235="Migré","ROKS",IF($F235="À décommissionner",IF(AI$8&lt;$AS235,"IKS","Décom."),IF(OR($AQ235="",$AS235=""),"",IF(AI$8&lt;$AQ235,"IKS",IF(AI$8&lt;$AS235,IF(AI$8=$AR235,"Bascule","Double run"),"ROKS"))))))</f>
        <v/>
      </c>
      <c r="AJ235" s="51" t="str">
        <f aca="false">IF(OR($A235="",AJ$8=""),"",IF($F235="Migré","ROKS",IF($F235="À décommissionner",IF(AJ$8&lt;$AS235,"IKS","Décom."),IF(OR($AQ235="",$AS235=""),"",IF(AJ$8&lt;$AQ235,"IKS",IF(AJ$8&lt;$AS235,IF(AJ$8=$AR235,"Bascule","Double run"),"ROKS"))))))</f>
        <v/>
      </c>
      <c r="AK235" s="51" t="str">
        <f aca="false">IF(OR($A235="",AK$8=""),"",IF($F235="Migré","ROKS",IF($F235="À décommissionner",IF(AK$8&lt;$AS235,"IKS","Décom."),IF(OR($AQ235="",$AS235=""),"",IF(AK$8&lt;$AQ235,"IKS",IF(AK$8&lt;$AS235,IF(AK$8=$AR235,"Bascule","Double run"),"ROKS"))))))</f>
        <v/>
      </c>
      <c r="AL235" s="51" t="str">
        <f aca="false">IF(OR($A235="",AL$8=""),"",IF($F235="Migré","ROKS",IF($F235="À décommissionner",IF(AL$8&lt;$AS235,"IKS","Décom."),IF(OR($AQ235="",$AS235=""),"",IF(AL$8&lt;$AQ235,"IKS",IF(AL$8&lt;$AS235,IF(AL$8=$AR235,"Bascule","Double run"),"ROKS"))))))</f>
        <v/>
      </c>
      <c r="AM235" s="51" t="str">
        <f aca="false">IF(OR($A235="",AM$8=""),"",IF($F235="Migré","ROKS",IF($F235="À décommissionner",IF(AM$8&lt;$AS235,"IKS","Décom."),IF(OR($AQ235="",$AS235=""),"",IF(AM$8&lt;$AQ235,"IKS",IF(AM$8&lt;$AS235,IF(AM$8=$AR235,"Bascule","Double run"),"ROKS"))))))</f>
        <v/>
      </c>
      <c r="AN235" s="51" t="str">
        <f aca="false">IF(OR($A235="",AN$8=""),"",IF($F235="Migré","ROKS",IF($F235="À décommissionner",IF(AN$8&lt;$AS235,"IKS","Décom."),IF(OR($AQ235="",$AS235=""),"",IF(AN$8&lt;$AQ235,"IKS",IF(AN$8&lt;$AS235,IF(AN$8=$AR235,"Bascule","Double run"),"ROKS"))))))</f>
        <v/>
      </c>
      <c r="AO235" s="51" t="str">
        <f aca="false">IF(OR($A235="",AO$8=""),"",IF($F235="Migré","ROKS",IF($F235="À décommissionner",IF(AO$8&lt;$AS235,"IKS","Décom."),IF(OR($AQ235="",$AS235=""),"",IF(AO$8&lt;$AQ235,"IKS",IF(AO$8&lt;$AS235,IF(AO$8=$AR235,"Bascule","Double run"),"ROKS"))))))</f>
        <v/>
      </c>
      <c r="AP235" s="51" t="str">
        <f aca="false">IF(OR($A235="",AP$8=""),"",IF($F235="Migré","ROKS",IF($F235="À décommissionner",IF(AP$8&lt;$AS235,"IKS","Décom."),IF(OR($AQ235="",$AS235=""),"",IF(AP$8&lt;$AQ235,"IKS",IF(AP$8&lt;$AS235,IF(AP$8=$AR235,"Bascule","Double run"),"ROKS"))))))</f>
        <v/>
      </c>
      <c r="AQ235" s="0" t="str">
        <f aca="false">IF($A235="","",INDEX(TblApplications[Mois prov (calc)],$A235))</f>
        <v/>
      </c>
      <c r="AR235" s="0" t="str">
        <f aca="false">IF($A235="","",IFERROR(DATE(YEAR(INDEX(TblApplications[Mois bascule],$A235)),MONTH(INDEX(TblApplications[Mois bascule],$A235)),1),""))</f>
        <v/>
      </c>
      <c r="AS235" s="0" t="str">
        <f aca="false">IF($A235="","",INDEX(TblApplications[Mois lib (calc)],$A235))</f>
        <v/>
      </c>
    </row>
    <row r="236" customFormat="false" ht="15" hidden="false" customHeight="false" outlineLevel="0" collapsed="false">
      <c r="A236" s="49" t="str">
        <f aca="false">IFERROR(MATCH(228,TblApplications[Rang frise],0),"")</f>
        <v/>
      </c>
      <c r="B236" s="50" t="str">
        <f aca="false">IF($A236="","",INDEX(TblApplications[ID],$A236))</f>
        <v/>
      </c>
      <c r="C236" s="50" t="str">
        <f aca="false">IF($A236="","",INDEX(TblApplications[Application],$A236))</f>
        <v/>
      </c>
      <c r="D236" s="50" t="str">
        <f aca="false">IF($A236="","",INDEX(TblApplications[Environnement],$A236))</f>
        <v/>
      </c>
      <c r="E236" s="50" t="str">
        <f aca="false">IF($A236="","",INDEX(TblApplications[Couloir],$A236))</f>
        <v/>
      </c>
      <c r="F236" s="50" t="str">
        <f aca="false">IF($A236="","",INDEX(TblApplications[Action],$A236))</f>
        <v/>
      </c>
      <c r="G236" s="51" t="str">
        <f aca="false">IF(OR($A236="",G$8=""),"",IF($F236="Migré","ROKS",IF($F236="À décommissionner",IF(G$8&lt;$AS236,"IKS","Décom."),IF(OR($AQ236="",$AS236=""),"",IF(G$8&lt;$AQ236,"IKS",IF(G$8&lt;$AS236,IF(G$8=$AR236,"Bascule","Double run"),"ROKS"))))))</f>
        <v/>
      </c>
      <c r="H236" s="51" t="str">
        <f aca="false">IF(OR($A236="",H$8=""),"",IF($F236="Migré","ROKS",IF($F236="À décommissionner",IF(H$8&lt;$AS236,"IKS","Décom."),IF(OR($AQ236="",$AS236=""),"",IF(H$8&lt;$AQ236,"IKS",IF(H$8&lt;$AS236,IF(H$8=$AR236,"Bascule","Double run"),"ROKS"))))))</f>
        <v/>
      </c>
      <c r="I236" s="51" t="str">
        <f aca="false">IF(OR($A236="",I$8=""),"",IF($F236="Migré","ROKS",IF($F236="À décommissionner",IF(I$8&lt;$AS236,"IKS","Décom."),IF(OR($AQ236="",$AS236=""),"",IF(I$8&lt;$AQ236,"IKS",IF(I$8&lt;$AS236,IF(I$8=$AR236,"Bascule","Double run"),"ROKS"))))))</f>
        <v/>
      </c>
      <c r="J236" s="51" t="str">
        <f aca="false">IF(OR($A236="",J$8=""),"",IF($F236="Migré","ROKS",IF($F236="À décommissionner",IF(J$8&lt;$AS236,"IKS","Décom."),IF(OR($AQ236="",$AS236=""),"",IF(J$8&lt;$AQ236,"IKS",IF(J$8&lt;$AS236,IF(J$8=$AR236,"Bascule","Double run"),"ROKS"))))))</f>
        <v/>
      </c>
      <c r="K236" s="51" t="str">
        <f aca="false">IF(OR($A236="",K$8=""),"",IF($F236="Migré","ROKS",IF($F236="À décommissionner",IF(K$8&lt;$AS236,"IKS","Décom."),IF(OR($AQ236="",$AS236=""),"",IF(K$8&lt;$AQ236,"IKS",IF(K$8&lt;$AS236,IF(K$8=$AR236,"Bascule","Double run"),"ROKS"))))))</f>
        <v/>
      </c>
      <c r="L236" s="51" t="str">
        <f aca="false">IF(OR($A236="",L$8=""),"",IF($F236="Migré","ROKS",IF($F236="À décommissionner",IF(L$8&lt;$AS236,"IKS","Décom."),IF(OR($AQ236="",$AS236=""),"",IF(L$8&lt;$AQ236,"IKS",IF(L$8&lt;$AS236,IF(L$8=$AR236,"Bascule","Double run"),"ROKS"))))))</f>
        <v/>
      </c>
      <c r="M236" s="51" t="str">
        <f aca="false">IF(OR($A236="",M$8=""),"",IF($F236="Migré","ROKS",IF($F236="À décommissionner",IF(M$8&lt;$AS236,"IKS","Décom."),IF(OR($AQ236="",$AS236=""),"",IF(M$8&lt;$AQ236,"IKS",IF(M$8&lt;$AS236,IF(M$8=$AR236,"Bascule","Double run"),"ROKS"))))))</f>
        <v/>
      </c>
      <c r="N236" s="51" t="str">
        <f aca="false">IF(OR($A236="",N$8=""),"",IF($F236="Migré","ROKS",IF($F236="À décommissionner",IF(N$8&lt;$AS236,"IKS","Décom."),IF(OR($AQ236="",$AS236=""),"",IF(N$8&lt;$AQ236,"IKS",IF(N$8&lt;$AS236,IF(N$8=$AR236,"Bascule","Double run"),"ROKS"))))))</f>
        <v/>
      </c>
      <c r="O236" s="51" t="str">
        <f aca="false">IF(OR($A236="",O$8=""),"",IF($F236="Migré","ROKS",IF($F236="À décommissionner",IF(O$8&lt;$AS236,"IKS","Décom."),IF(OR($AQ236="",$AS236=""),"",IF(O$8&lt;$AQ236,"IKS",IF(O$8&lt;$AS236,IF(O$8=$AR236,"Bascule","Double run"),"ROKS"))))))</f>
        <v/>
      </c>
      <c r="P236" s="51" t="str">
        <f aca="false">IF(OR($A236="",P$8=""),"",IF($F236="Migré","ROKS",IF($F236="À décommissionner",IF(P$8&lt;$AS236,"IKS","Décom."),IF(OR($AQ236="",$AS236=""),"",IF(P$8&lt;$AQ236,"IKS",IF(P$8&lt;$AS236,IF(P$8=$AR236,"Bascule","Double run"),"ROKS"))))))</f>
        <v/>
      </c>
      <c r="Q236" s="51" t="str">
        <f aca="false">IF(OR($A236="",Q$8=""),"",IF($F236="Migré","ROKS",IF($F236="À décommissionner",IF(Q$8&lt;$AS236,"IKS","Décom."),IF(OR($AQ236="",$AS236=""),"",IF(Q$8&lt;$AQ236,"IKS",IF(Q$8&lt;$AS236,IF(Q$8=$AR236,"Bascule","Double run"),"ROKS"))))))</f>
        <v/>
      </c>
      <c r="R236" s="51" t="str">
        <f aca="false">IF(OR($A236="",R$8=""),"",IF($F236="Migré","ROKS",IF($F236="À décommissionner",IF(R$8&lt;$AS236,"IKS","Décom."),IF(OR($AQ236="",$AS236=""),"",IF(R$8&lt;$AQ236,"IKS",IF(R$8&lt;$AS236,IF(R$8=$AR236,"Bascule","Double run"),"ROKS"))))))</f>
        <v/>
      </c>
      <c r="S236" s="51" t="str">
        <f aca="false">IF(OR($A236="",S$8=""),"",IF($F236="Migré","ROKS",IF($F236="À décommissionner",IF(S$8&lt;$AS236,"IKS","Décom."),IF(OR($AQ236="",$AS236=""),"",IF(S$8&lt;$AQ236,"IKS",IF(S$8&lt;$AS236,IF(S$8=$AR236,"Bascule","Double run"),"ROKS"))))))</f>
        <v/>
      </c>
      <c r="T236" s="51" t="str">
        <f aca="false">IF(OR($A236="",T$8=""),"",IF($F236="Migré","ROKS",IF($F236="À décommissionner",IF(T$8&lt;$AS236,"IKS","Décom."),IF(OR($AQ236="",$AS236=""),"",IF(T$8&lt;$AQ236,"IKS",IF(T$8&lt;$AS236,IF(T$8=$AR236,"Bascule","Double run"),"ROKS"))))))</f>
        <v/>
      </c>
      <c r="U236" s="51" t="str">
        <f aca="false">IF(OR($A236="",U$8=""),"",IF($F236="Migré","ROKS",IF($F236="À décommissionner",IF(U$8&lt;$AS236,"IKS","Décom."),IF(OR($AQ236="",$AS236=""),"",IF(U$8&lt;$AQ236,"IKS",IF(U$8&lt;$AS236,IF(U$8=$AR236,"Bascule","Double run"),"ROKS"))))))</f>
        <v/>
      </c>
      <c r="V236" s="51" t="str">
        <f aca="false">IF(OR($A236="",V$8=""),"",IF($F236="Migré","ROKS",IF($F236="À décommissionner",IF(V$8&lt;$AS236,"IKS","Décom."),IF(OR($AQ236="",$AS236=""),"",IF(V$8&lt;$AQ236,"IKS",IF(V$8&lt;$AS236,IF(V$8=$AR236,"Bascule","Double run"),"ROKS"))))))</f>
        <v/>
      </c>
      <c r="W236" s="51" t="str">
        <f aca="false">IF(OR($A236="",W$8=""),"",IF($F236="Migré","ROKS",IF($F236="À décommissionner",IF(W$8&lt;$AS236,"IKS","Décom."),IF(OR($AQ236="",$AS236=""),"",IF(W$8&lt;$AQ236,"IKS",IF(W$8&lt;$AS236,IF(W$8=$AR236,"Bascule","Double run"),"ROKS"))))))</f>
        <v/>
      </c>
      <c r="X236" s="51" t="str">
        <f aca="false">IF(OR($A236="",X$8=""),"",IF($F236="Migré","ROKS",IF($F236="À décommissionner",IF(X$8&lt;$AS236,"IKS","Décom."),IF(OR($AQ236="",$AS236=""),"",IF(X$8&lt;$AQ236,"IKS",IF(X$8&lt;$AS236,IF(X$8=$AR236,"Bascule","Double run"),"ROKS"))))))</f>
        <v/>
      </c>
      <c r="Y236" s="51" t="str">
        <f aca="false">IF(OR($A236="",Y$8=""),"",IF($F236="Migré","ROKS",IF($F236="À décommissionner",IF(Y$8&lt;$AS236,"IKS","Décom."),IF(OR($AQ236="",$AS236=""),"",IF(Y$8&lt;$AQ236,"IKS",IF(Y$8&lt;$AS236,IF(Y$8=$AR236,"Bascule","Double run"),"ROKS"))))))</f>
        <v/>
      </c>
      <c r="Z236" s="51" t="str">
        <f aca="false">IF(OR($A236="",Z$8=""),"",IF($F236="Migré","ROKS",IF($F236="À décommissionner",IF(Z$8&lt;$AS236,"IKS","Décom."),IF(OR($AQ236="",$AS236=""),"",IF(Z$8&lt;$AQ236,"IKS",IF(Z$8&lt;$AS236,IF(Z$8=$AR236,"Bascule","Double run"),"ROKS"))))))</f>
        <v/>
      </c>
      <c r="AA236" s="51" t="str">
        <f aca="false">IF(OR($A236="",AA$8=""),"",IF($F236="Migré","ROKS",IF($F236="À décommissionner",IF(AA$8&lt;$AS236,"IKS","Décom."),IF(OR($AQ236="",$AS236=""),"",IF(AA$8&lt;$AQ236,"IKS",IF(AA$8&lt;$AS236,IF(AA$8=$AR236,"Bascule","Double run"),"ROKS"))))))</f>
        <v/>
      </c>
      <c r="AB236" s="51" t="str">
        <f aca="false">IF(OR($A236="",AB$8=""),"",IF($F236="Migré","ROKS",IF($F236="À décommissionner",IF(AB$8&lt;$AS236,"IKS","Décom."),IF(OR($AQ236="",$AS236=""),"",IF(AB$8&lt;$AQ236,"IKS",IF(AB$8&lt;$AS236,IF(AB$8=$AR236,"Bascule","Double run"),"ROKS"))))))</f>
        <v/>
      </c>
      <c r="AC236" s="51" t="str">
        <f aca="false">IF(OR($A236="",AC$8=""),"",IF($F236="Migré","ROKS",IF($F236="À décommissionner",IF(AC$8&lt;$AS236,"IKS","Décom."),IF(OR($AQ236="",$AS236=""),"",IF(AC$8&lt;$AQ236,"IKS",IF(AC$8&lt;$AS236,IF(AC$8=$AR236,"Bascule","Double run"),"ROKS"))))))</f>
        <v/>
      </c>
      <c r="AD236" s="51" t="str">
        <f aca="false">IF(OR($A236="",AD$8=""),"",IF($F236="Migré","ROKS",IF($F236="À décommissionner",IF(AD$8&lt;$AS236,"IKS","Décom."),IF(OR($AQ236="",$AS236=""),"",IF(AD$8&lt;$AQ236,"IKS",IF(AD$8&lt;$AS236,IF(AD$8=$AR236,"Bascule","Double run"),"ROKS"))))))</f>
        <v/>
      </c>
      <c r="AE236" s="51" t="str">
        <f aca="false">IF(OR($A236="",AE$8=""),"",IF($F236="Migré","ROKS",IF($F236="À décommissionner",IF(AE$8&lt;$AS236,"IKS","Décom."),IF(OR($AQ236="",$AS236=""),"",IF(AE$8&lt;$AQ236,"IKS",IF(AE$8&lt;$AS236,IF(AE$8=$AR236,"Bascule","Double run"),"ROKS"))))))</f>
        <v/>
      </c>
      <c r="AF236" s="51" t="str">
        <f aca="false">IF(OR($A236="",AF$8=""),"",IF($F236="Migré","ROKS",IF($F236="À décommissionner",IF(AF$8&lt;$AS236,"IKS","Décom."),IF(OR($AQ236="",$AS236=""),"",IF(AF$8&lt;$AQ236,"IKS",IF(AF$8&lt;$AS236,IF(AF$8=$AR236,"Bascule","Double run"),"ROKS"))))))</f>
        <v/>
      </c>
      <c r="AG236" s="51" t="str">
        <f aca="false">IF(OR($A236="",AG$8=""),"",IF($F236="Migré","ROKS",IF($F236="À décommissionner",IF(AG$8&lt;$AS236,"IKS","Décom."),IF(OR($AQ236="",$AS236=""),"",IF(AG$8&lt;$AQ236,"IKS",IF(AG$8&lt;$AS236,IF(AG$8=$AR236,"Bascule","Double run"),"ROKS"))))))</f>
        <v/>
      </c>
      <c r="AH236" s="51" t="str">
        <f aca="false">IF(OR($A236="",AH$8=""),"",IF($F236="Migré","ROKS",IF($F236="À décommissionner",IF(AH$8&lt;$AS236,"IKS","Décom."),IF(OR($AQ236="",$AS236=""),"",IF(AH$8&lt;$AQ236,"IKS",IF(AH$8&lt;$AS236,IF(AH$8=$AR236,"Bascule","Double run"),"ROKS"))))))</f>
        <v/>
      </c>
      <c r="AI236" s="51" t="str">
        <f aca="false">IF(OR($A236="",AI$8=""),"",IF($F236="Migré","ROKS",IF($F236="À décommissionner",IF(AI$8&lt;$AS236,"IKS","Décom."),IF(OR($AQ236="",$AS236=""),"",IF(AI$8&lt;$AQ236,"IKS",IF(AI$8&lt;$AS236,IF(AI$8=$AR236,"Bascule","Double run"),"ROKS"))))))</f>
        <v/>
      </c>
      <c r="AJ236" s="51" t="str">
        <f aca="false">IF(OR($A236="",AJ$8=""),"",IF($F236="Migré","ROKS",IF($F236="À décommissionner",IF(AJ$8&lt;$AS236,"IKS","Décom."),IF(OR($AQ236="",$AS236=""),"",IF(AJ$8&lt;$AQ236,"IKS",IF(AJ$8&lt;$AS236,IF(AJ$8=$AR236,"Bascule","Double run"),"ROKS"))))))</f>
        <v/>
      </c>
      <c r="AK236" s="51" t="str">
        <f aca="false">IF(OR($A236="",AK$8=""),"",IF($F236="Migré","ROKS",IF($F236="À décommissionner",IF(AK$8&lt;$AS236,"IKS","Décom."),IF(OR($AQ236="",$AS236=""),"",IF(AK$8&lt;$AQ236,"IKS",IF(AK$8&lt;$AS236,IF(AK$8=$AR236,"Bascule","Double run"),"ROKS"))))))</f>
        <v/>
      </c>
      <c r="AL236" s="51" t="str">
        <f aca="false">IF(OR($A236="",AL$8=""),"",IF($F236="Migré","ROKS",IF($F236="À décommissionner",IF(AL$8&lt;$AS236,"IKS","Décom."),IF(OR($AQ236="",$AS236=""),"",IF(AL$8&lt;$AQ236,"IKS",IF(AL$8&lt;$AS236,IF(AL$8=$AR236,"Bascule","Double run"),"ROKS"))))))</f>
        <v/>
      </c>
      <c r="AM236" s="51" t="str">
        <f aca="false">IF(OR($A236="",AM$8=""),"",IF($F236="Migré","ROKS",IF($F236="À décommissionner",IF(AM$8&lt;$AS236,"IKS","Décom."),IF(OR($AQ236="",$AS236=""),"",IF(AM$8&lt;$AQ236,"IKS",IF(AM$8&lt;$AS236,IF(AM$8=$AR236,"Bascule","Double run"),"ROKS"))))))</f>
        <v/>
      </c>
      <c r="AN236" s="51" t="str">
        <f aca="false">IF(OR($A236="",AN$8=""),"",IF($F236="Migré","ROKS",IF($F236="À décommissionner",IF(AN$8&lt;$AS236,"IKS","Décom."),IF(OR($AQ236="",$AS236=""),"",IF(AN$8&lt;$AQ236,"IKS",IF(AN$8&lt;$AS236,IF(AN$8=$AR236,"Bascule","Double run"),"ROKS"))))))</f>
        <v/>
      </c>
      <c r="AO236" s="51" t="str">
        <f aca="false">IF(OR($A236="",AO$8=""),"",IF($F236="Migré","ROKS",IF($F236="À décommissionner",IF(AO$8&lt;$AS236,"IKS","Décom."),IF(OR($AQ236="",$AS236=""),"",IF(AO$8&lt;$AQ236,"IKS",IF(AO$8&lt;$AS236,IF(AO$8=$AR236,"Bascule","Double run"),"ROKS"))))))</f>
        <v/>
      </c>
      <c r="AP236" s="51" t="str">
        <f aca="false">IF(OR($A236="",AP$8=""),"",IF($F236="Migré","ROKS",IF($F236="À décommissionner",IF(AP$8&lt;$AS236,"IKS","Décom."),IF(OR($AQ236="",$AS236=""),"",IF(AP$8&lt;$AQ236,"IKS",IF(AP$8&lt;$AS236,IF(AP$8=$AR236,"Bascule","Double run"),"ROKS"))))))</f>
        <v/>
      </c>
      <c r="AQ236" s="0" t="str">
        <f aca="false">IF($A236="","",INDEX(TblApplications[Mois prov (calc)],$A236))</f>
        <v/>
      </c>
      <c r="AR236" s="0" t="str">
        <f aca="false">IF($A236="","",IFERROR(DATE(YEAR(INDEX(TblApplications[Mois bascule],$A236)),MONTH(INDEX(TblApplications[Mois bascule],$A236)),1),""))</f>
        <v/>
      </c>
      <c r="AS236" s="0" t="str">
        <f aca="false">IF($A236="","",INDEX(TblApplications[Mois lib (calc)],$A236))</f>
        <v/>
      </c>
    </row>
    <row r="237" customFormat="false" ht="15" hidden="false" customHeight="false" outlineLevel="0" collapsed="false">
      <c r="A237" s="49" t="str">
        <f aca="false">IFERROR(MATCH(229,TblApplications[Rang frise],0),"")</f>
        <v/>
      </c>
      <c r="B237" s="50" t="str">
        <f aca="false">IF($A237="","",INDEX(TblApplications[ID],$A237))</f>
        <v/>
      </c>
      <c r="C237" s="50" t="str">
        <f aca="false">IF($A237="","",INDEX(TblApplications[Application],$A237))</f>
        <v/>
      </c>
      <c r="D237" s="50" t="str">
        <f aca="false">IF($A237="","",INDEX(TblApplications[Environnement],$A237))</f>
        <v/>
      </c>
      <c r="E237" s="50" t="str">
        <f aca="false">IF($A237="","",INDEX(TblApplications[Couloir],$A237))</f>
        <v/>
      </c>
      <c r="F237" s="50" t="str">
        <f aca="false">IF($A237="","",INDEX(TblApplications[Action],$A237))</f>
        <v/>
      </c>
      <c r="G237" s="51" t="str">
        <f aca="false">IF(OR($A237="",G$8=""),"",IF($F237="Migré","ROKS",IF($F237="À décommissionner",IF(G$8&lt;$AS237,"IKS","Décom."),IF(OR($AQ237="",$AS237=""),"",IF(G$8&lt;$AQ237,"IKS",IF(G$8&lt;$AS237,IF(G$8=$AR237,"Bascule","Double run"),"ROKS"))))))</f>
        <v/>
      </c>
      <c r="H237" s="51" t="str">
        <f aca="false">IF(OR($A237="",H$8=""),"",IF($F237="Migré","ROKS",IF($F237="À décommissionner",IF(H$8&lt;$AS237,"IKS","Décom."),IF(OR($AQ237="",$AS237=""),"",IF(H$8&lt;$AQ237,"IKS",IF(H$8&lt;$AS237,IF(H$8=$AR237,"Bascule","Double run"),"ROKS"))))))</f>
        <v/>
      </c>
      <c r="I237" s="51" t="str">
        <f aca="false">IF(OR($A237="",I$8=""),"",IF($F237="Migré","ROKS",IF($F237="À décommissionner",IF(I$8&lt;$AS237,"IKS","Décom."),IF(OR($AQ237="",$AS237=""),"",IF(I$8&lt;$AQ237,"IKS",IF(I$8&lt;$AS237,IF(I$8=$AR237,"Bascule","Double run"),"ROKS"))))))</f>
        <v/>
      </c>
      <c r="J237" s="51" t="str">
        <f aca="false">IF(OR($A237="",J$8=""),"",IF($F237="Migré","ROKS",IF($F237="À décommissionner",IF(J$8&lt;$AS237,"IKS","Décom."),IF(OR($AQ237="",$AS237=""),"",IF(J$8&lt;$AQ237,"IKS",IF(J$8&lt;$AS237,IF(J$8=$AR237,"Bascule","Double run"),"ROKS"))))))</f>
        <v/>
      </c>
      <c r="K237" s="51" t="str">
        <f aca="false">IF(OR($A237="",K$8=""),"",IF($F237="Migré","ROKS",IF($F237="À décommissionner",IF(K$8&lt;$AS237,"IKS","Décom."),IF(OR($AQ237="",$AS237=""),"",IF(K$8&lt;$AQ237,"IKS",IF(K$8&lt;$AS237,IF(K$8=$AR237,"Bascule","Double run"),"ROKS"))))))</f>
        <v/>
      </c>
      <c r="L237" s="51" t="str">
        <f aca="false">IF(OR($A237="",L$8=""),"",IF($F237="Migré","ROKS",IF($F237="À décommissionner",IF(L$8&lt;$AS237,"IKS","Décom."),IF(OR($AQ237="",$AS237=""),"",IF(L$8&lt;$AQ237,"IKS",IF(L$8&lt;$AS237,IF(L$8=$AR237,"Bascule","Double run"),"ROKS"))))))</f>
        <v/>
      </c>
      <c r="M237" s="51" t="str">
        <f aca="false">IF(OR($A237="",M$8=""),"",IF($F237="Migré","ROKS",IF($F237="À décommissionner",IF(M$8&lt;$AS237,"IKS","Décom."),IF(OR($AQ237="",$AS237=""),"",IF(M$8&lt;$AQ237,"IKS",IF(M$8&lt;$AS237,IF(M$8=$AR237,"Bascule","Double run"),"ROKS"))))))</f>
        <v/>
      </c>
      <c r="N237" s="51" t="str">
        <f aca="false">IF(OR($A237="",N$8=""),"",IF($F237="Migré","ROKS",IF($F237="À décommissionner",IF(N$8&lt;$AS237,"IKS","Décom."),IF(OR($AQ237="",$AS237=""),"",IF(N$8&lt;$AQ237,"IKS",IF(N$8&lt;$AS237,IF(N$8=$AR237,"Bascule","Double run"),"ROKS"))))))</f>
        <v/>
      </c>
      <c r="O237" s="51" t="str">
        <f aca="false">IF(OR($A237="",O$8=""),"",IF($F237="Migré","ROKS",IF($F237="À décommissionner",IF(O$8&lt;$AS237,"IKS","Décom."),IF(OR($AQ237="",$AS237=""),"",IF(O$8&lt;$AQ237,"IKS",IF(O$8&lt;$AS237,IF(O$8=$AR237,"Bascule","Double run"),"ROKS"))))))</f>
        <v/>
      </c>
      <c r="P237" s="51" t="str">
        <f aca="false">IF(OR($A237="",P$8=""),"",IF($F237="Migré","ROKS",IF($F237="À décommissionner",IF(P$8&lt;$AS237,"IKS","Décom."),IF(OR($AQ237="",$AS237=""),"",IF(P$8&lt;$AQ237,"IKS",IF(P$8&lt;$AS237,IF(P$8=$AR237,"Bascule","Double run"),"ROKS"))))))</f>
        <v/>
      </c>
      <c r="Q237" s="51" t="str">
        <f aca="false">IF(OR($A237="",Q$8=""),"",IF($F237="Migré","ROKS",IF($F237="À décommissionner",IF(Q$8&lt;$AS237,"IKS","Décom."),IF(OR($AQ237="",$AS237=""),"",IF(Q$8&lt;$AQ237,"IKS",IF(Q$8&lt;$AS237,IF(Q$8=$AR237,"Bascule","Double run"),"ROKS"))))))</f>
        <v/>
      </c>
      <c r="R237" s="51" t="str">
        <f aca="false">IF(OR($A237="",R$8=""),"",IF($F237="Migré","ROKS",IF($F237="À décommissionner",IF(R$8&lt;$AS237,"IKS","Décom."),IF(OR($AQ237="",$AS237=""),"",IF(R$8&lt;$AQ237,"IKS",IF(R$8&lt;$AS237,IF(R$8=$AR237,"Bascule","Double run"),"ROKS"))))))</f>
        <v/>
      </c>
      <c r="S237" s="51" t="str">
        <f aca="false">IF(OR($A237="",S$8=""),"",IF($F237="Migré","ROKS",IF($F237="À décommissionner",IF(S$8&lt;$AS237,"IKS","Décom."),IF(OR($AQ237="",$AS237=""),"",IF(S$8&lt;$AQ237,"IKS",IF(S$8&lt;$AS237,IF(S$8=$AR237,"Bascule","Double run"),"ROKS"))))))</f>
        <v/>
      </c>
      <c r="T237" s="51" t="str">
        <f aca="false">IF(OR($A237="",T$8=""),"",IF($F237="Migré","ROKS",IF($F237="À décommissionner",IF(T$8&lt;$AS237,"IKS","Décom."),IF(OR($AQ237="",$AS237=""),"",IF(T$8&lt;$AQ237,"IKS",IF(T$8&lt;$AS237,IF(T$8=$AR237,"Bascule","Double run"),"ROKS"))))))</f>
        <v/>
      </c>
      <c r="U237" s="51" t="str">
        <f aca="false">IF(OR($A237="",U$8=""),"",IF($F237="Migré","ROKS",IF($F237="À décommissionner",IF(U$8&lt;$AS237,"IKS","Décom."),IF(OR($AQ237="",$AS237=""),"",IF(U$8&lt;$AQ237,"IKS",IF(U$8&lt;$AS237,IF(U$8=$AR237,"Bascule","Double run"),"ROKS"))))))</f>
        <v/>
      </c>
      <c r="V237" s="51" t="str">
        <f aca="false">IF(OR($A237="",V$8=""),"",IF($F237="Migré","ROKS",IF($F237="À décommissionner",IF(V$8&lt;$AS237,"IKS","Décom."),IF(OR($AQ237="",$AS237=""),"",IF(V$8&lt;$AQ237,"IKS",IF(V$8&lt;$AS237,IF(V$8=$AR237,"Bascule","Double run"),"ROKS"))))))</f>
        <v/>
      </c>
      <c r="W237" s="51" t="str">
        <f aca="false">IF(OR($A237="",W$8=""),"",IF($F237="Migré","ROKS",IF($F237="À décommissionner",IF(W$8&lt;$AS237,"IKS","Décom."),IF(OR($AQ237="",$AS237=""),"",IF(W$8&lt;$AQ237,"IKS",IF(W$8&lt;$AS237,IF(W$8=$AR237,"Bascule","Double run"),"ROKS"))))))</f>
        <v/>
      </c>
      <c r="X237" s="51" t="str">
        <f aca="false">IF(OR($A237="",X$8=""),"",IF($F237="Migré","ROKS",IF($F237="À décommissionner",IF(X$8&lt;$AS237,"IKS","Décom."),IF(OR($AQ237="",$AS237=""),"",IF(X$8&lt;$AQ237,"IKS",IF(X$8&lt;$AS237,IF(X$8=$AR237,"Bascule","Double run"),"ROKS"))))))</f>
        <v/>
      </c>
      <c r="Y237" s="51" t="str">
        <f aca="false">IF(OR($A237="",Y$8=""),"",IF($F237="Migré","ROKS",IF($F237="À décommissionner",IF(Y$8&lt;$AS237,"IKS","Décom."),IF(OR($AQ237="",$AS237=""),"",IF(Y$8&lt;$AQ237,"IKS",IF(Y$8&lt;$AS237,IF(Y$8=$AR237,"Bascule","Double run"),"ROKS"))))))</f>
        <v/>
      </c>
      <c r="Z237" s="51" t="str">
        <f aca="false">IF(OR($A237="",Z$8=""),"",IF($F237="Migré","ROKS",IF($F237="À décommissionner",IF(Z$8&lt;$AS237,"IKS","Décom."),IF(OR($AQ237="",$AS237=""),"",IF(Z$8&lt;$AQ237,"IKS",IF(Z$8&lt;$AS237,IF(Z$8=$AR237,"Bascule","Double run"),"ROKS"))))))</f>
        <v/>
      </c>
      <c r="AA237" s="51" t="str">
        <f aca="false">IF(OR($A237="",AA$8=""),"",IF($F237="Migré","ROKS",IF($F237="À décommissionner",IF(AA$8&lt;$AS237,"IKS","Décom."),IF(OR($AQ237="",$AS237=""),"",IF(AA$8&lt;$AQ237,"IKS",IF(AA$8&lt;$AS237,IF(AA$8=$AR237,"Bascule","Double run"),"ROKS"))))))</f>
        <v/>
      </c>
      <c r="AB237" s="51" t="str">
        <f aca="false">IF(OR($A237="",AB$8=""),"",IF($F237="Migré","ROKS",IF($F237="À décommissionner",IF(AB$8&lt;$AS237,"IKS","Décom."),IF(OR($AQ237="",$AS237=""),"",IF(AB$8&lt;$AQ237,"IKS",IF(AB$8&lt;$AS237,IF(AB$8=$AR237,"Bascule","Double run"),"ROKS"))))))</f>
        <v/>
      </c>
      <c r="AC237" s="51" t="str">
        <f aca="false">IF(OR($A237="",AC$8=""),"",IF($F237="Migré","ROKS",IF($F237="À décommissionner",IF(AC$8&lt;$AS237,"IKS","Décom."),IF(OR($AQ237="",$AS237=""),"",IF(AC$8&lt;$AQ237,"IKS",IF(AC$8&lt;$AS237,IF(AC$8=$AR237,"Bascule","Double run"),"ROKS"))))))</f>
        <v/>
      </c>
      <c r="AD237" s="51" t="str">
        <f aca="false">IF(OR($A237="",AD$8=""),"",IF($F237="Migré","ROKS",IF($F237="À décommissionner",IF(AD$8&lt;$AS237,"IKS","Décom."),IF(OR($AQ237="",$AS237=""),"",IF(AD$8&lt;$AQ237,"IKS",IF(AD$8&lt;$AS237,IF(AD$8=$AR237,"Bascule","Double run"),"ROKS"))))))</f>
        <v/>
      </c>
      <c r="AE237" s="51" t="str">
        <f aca="false">IF(OR($A237="",AE$8=""),"",IF($F237="Migré","ROKS",IF($F237="À décommissionner",IF(AE$8&lt;$AS237,"IKS","Décom."),IF(OR($AQ237="",$AS237=""),"",IF(AE$8&lt;$AQ237,"IKS",IF(AE$8&lt;$AS237,IF(AE$8=$AR237,"Bascule","Double run"),"ROKS"))))))</f>
        <v/>
      </c>
      <c r="AF237" s="51" t="str">
        <f aca="false">IF(OR($A237="",AF$8=""),"",IF($F237="Migré","ROKS",IF($F237="À décommissionner",IF(AF$8&lt;$AS237,"IKS","Décom."),IF(OR($AQ237="",$AS237=""),"",IF(AF$8&lt;$AQ237,"IKS",IF(AF$8&lt;$AS237,IF(AF$8=$AR237,"Bascule","Double run"),"ROKS"))))))</f>
        <v/>
      </c>
      <c r="AG237" s="51" t="str">
        <f aca="false">IF(OR($A237="",AG$8=""),"",IF($F237="Migré","ROKS",IF($F237="À décommissionner",IF(AG$8&lt;$AS237,"IKS","Décom."),IF(OR($AQ237="",$AS237=""),"",IF(AG$8&lt;$AQ237,"IKS",IF(AG$8&lt;$AS237,IF(AG$8=$AR237,"Bascule","Double run"),"ROKS"))))))</f>
        <v/>
      </c>
      <c r="AH237" s="51" t="str">
        <f aca="false">IF(OR($A237="",AH$8=""),"",IF($F237="Migré","ROKS",IF($F237="À décommissionner",IF(AH$8&lt;$AS237,"IKS","Décom."),IF(OR($AQ237="",$AS237=""),"",IF(AH$8&lt;$AQ237,"IKS",IF(AH$8&lt;$AS237,IF(AH$8=$AR237,"Bascule","Double run"),"ROKS"))))))</f>
        <v/>
      </c>
      <c r="AI237" s="51" t="str">
        <f aca="false">IF(OR($A237="",AI$8=""),"",IF($F237="Migré","ROKS",IF($F237="À décommissionner",IF(AI$8&lt;$AS237,"IKS","Décom."),IF(OR($AQ237="",$AS237=""),"",IF(AI$8&lt;$AQ237,"IKS",IF(AI$8&lt;$AS237,IF(AI$8=$AR237,"Bascule","Double run"),"ROKS"))))))</f>
        <v/>
      </c>
      <c r="AJ237" s="51" t="str">
        <f aca="false">IF(OR($A237="",AJ$8=""),"",IF($F237="Migré","ROKS",IF($F237="À décommissionner",IF(AJ$8&lt;$AS237,"IKS","Décom."),IF(OR($AQ237="",$AS237=""),"",IF(AJ$8&lt;$AQ237,"IKS",IF(AJ$8&lt;$AS237,IF(AJ$8=$AR237,"Bascule","Double run"),"ROKS"))))))</f>
        <v/>
      </c>
      <c r="AK237" s="51" t="str">
        <f aca="false">IF(OR($A237="",AK$8=""),"",IF($F237="Migré","ROKS",IF($F237="À décommissionner",IF(AK$8&lt;$AS237,"IKS","Décom."),IF(OR($AQ237="",$AS237=""),"",IF(AK$8&lt;$AQ237,"IKS",IF(AK$8&lt;$AS237,IF(AK$8=$AR237,"Bascule","Double run"),"ROKS"))))))</f>
        <v/>
      </c>
      <c r="AL237" s="51" t="str">
        <f aca="false">IF(OR($A237="",AL$8=""),"",IF($F237="Migré","ROKS",IF($F237="À décommissionner",IF(AL$8&lt;$AS237,"IKS","Décom."),IF(OR($AQ237="",$AS237=""),"",IF(AL$8&lt;$AQ237,"IKS",IF(AL$8&lt;$AS237,IF(AL$8=$AR237,"Bascule","Double run"),"ROKS"))))))</f>
        <v/>
      </c>
      <c r="AM237" s="51" t="str">
        <f aca="false">IF(OR($A237="",AM$8=""),"",IF($F237="Migré","ROKS",IF($F237="À décommissionner",IF(AM$8&lt;$AS237,"IKS","Décom."),IF(OR($AQ237="",$AS237=""),"",IF(AM$8&lt;$AQ237,"IKS",IF(AM$8&lt;$AS237,IF(AM$8=$AR237,"Bascule","Double run"),"ROKS"))))))</f>
        <v/>
      </c>
      <c r="AN237" s="51" t="str">
        <f aca="false">IF(OR($A237="",AN$8=""),"",IF($F237="Migré","ROKS",IF($F237="À décommissionner",IF(AN$8&lt;$AS237,"IKS","Décom."),IF(OR($AQ237="",$AS237=""),"",IF(AN$8&lt;$AQ237,"IKS",IF(AN$8&lt;$AS237,IF(AN$8=$AR237,"Bascule","Double run"),"ROKS"))))))</f>
        <v/>
      </c>
      <c r="AO237" s="51" t="str">
        <f aca="false">IF(OR($A237="",AO$8=""),"",IF($F237="Migré","ROKS",IF($F237="À décommissionner",IF(AO$8&lt;$AS237,"IKS","Décom."),IF(OR($AQ237="",$AS237=""),"",IF(AO$8&lt;$AQ237,"IKS",IF(AO$8&lt;$AS237,IF(AO$8=$AR237,"Bascule","Double run"),"ROKS"))))))</f>
        <v/>
      </c>
      <c r="AP237" s="51" t="str">
        <f aca="false">IF(OR($A237="",AP$8=""),"",IF($F237="Migré","ROKS",IF($F237="À décommissionner",IF(AP$8&lt;$AS237,"IKS","Décom."),IF(OR($AQ237="",$AS237=""),"",IF(AP$8&lt;$AQ237,"IKS",IF(AP$8&lt;$AS237,IF(AP$8=$AR237,"Bascule","Double run"),"ROKS"))))))</f>
        <v/>
      </c>
      <c r="AQ237" s="0" t="str">
        <f aca="false">IF($A237="","",INDEX(TblApplications[Mois prov (calc)],$A237))</f>
        <v/>
      </c>
      <c r="AR237" s="0" t="str">
        <f aca="false">IF($A237="","",IFERROR(DATE(YEAR(INDEX(TblApplications[Mois bascule],$A237)),MONTH(INDEX(TblApplications[Mois bascule],$A237)),1),""))</f>
        <v/>
      </c>
      <c r="AS237" s="0" t="str">
        <f aca="false">IF($A237="","",INDEX(TblApplications[Mois lib (calc)],$A237))</f>
        <v/>
      </c>
    </row>
    <row r="238" customFormat="false" ht="15" hidden="false" customHeight="false" outlineLevel="0" collapsed="false">
      <c r="A238" s="49" t="str">
        <f aca="false">IFERROR(MATCH(230,TblApplications[Rang frise],0),"")</f>
        <v/>
      </c>
      <c r="B238" s="50" t="str">
        <f aca="false">IF($A238="","",INDEX(TblApplications[ID],$A238))</f>
        <v/>
      </c>
      <c r="C238" s="50" t="str">
        <f aca="false">IF($A238="","",INDEX(TblApplications[Application],$A238))</f>
        <v/>
      </c>
      <c r="D238" s="50" t="str">
        <f aca="false">IF($A238="","",INDEX(TblApplications[Environnement],$A238))</f>
        <v/>
      </c>
      <c r="E238" s="50" t="str">
        <f aca="false">IF($A238="","",INDEX(TblApplications[Couloir],$A238))</f>
        <v/>
      </c>
      <c r="F238" s="50" t="str">
        <f aca="false">IF($A238="","",INDEX(TblApplications[Action],$A238))</f>
        <v/>
      </c>
      <c r="G238" s="51" t="str">
        <f aca="false">IF(OR($A238="",G$8=""),"",IF($F238="Migré","ROKS",IF($F238="À décommissionner",IF(G$8&lt;$AS238,"IKS","Décom."),IF(OR($AQ238="",$AS238=""),"",IF(G$8&lt;$AQ238,"IKS",IF(G$8&lt;$AS238,IF(G$8=$AR238,"Bascule","Double run"),"ROKS"))))))</f>
        <v/>
      </c>
      <c r="H238" s="51" t="str">
        <f aca="false">IF(OR($A238="",H$8=""),"",IF($F238="Migré","ROKS",IF($F238="À décommissionner",IF(H$8&lt;$AS238,"IKS","Décom."),IF(OR($AQ238="",$AS238=""),"",IF(H$8&lt;$AQ238,"IKS",IF(H$8&lt;$AS238,IF(H$8=$AR238,"Bascule","Double run"),"ROKS"))))))</f>
        <v/>
      </c>
      <c r="I238" s="51" t="str">
        <f aca="false">IF(OR($A238="",I$8=""),"",IF($F238="Migré","ROKS",IF($F238="À décommissionner",IF(I$8&lt;$AS238,"IKS","Décom."),IF(OR($AQ238="",$AS238=""),"",IF(I$8&lt;$AQ238,"IKS",IF(I$8&lt;$AS238,IF(I$8=$AR238,"Bascule","Double run"),"ROKS"))))))</f>
        <v/>
      </c>
      <c r="J238" s="51" t="str">
        <f aca="false">IF(OR($A238="",J$8=""),"",IF($F238="Migré","ROKS",IF($F238="À décommissionner",IF(J$8&lt;$AS238,"IKS","Décom."),IF(OR($AQ238="",$AS238=""),"",IF(J$8&lt;$AQ238,"IKS",IF(J$8&lt;$AS238,IF(J$8=$AR238,"Bascule","Double run"),"ROKS"))))))</f>
        <v/>
      </c>
      <c r="K238" s="51" t="str">
        <f aca="false">IF(OR($A238="",K$8=""),"",IF($F238="Migré","ROKS",IF($F238="À décommissionner",IF(K$8&lt;$AS238,"IKS","Décom."),IF(OR($AQ238="",$AS238=""),"",IF(K$8&lt;$AQ238,"IKS",IF(K$8&lt;$AS238,IF(K$8=$AR238,"Bascule","Double run"),"ROKS"))))))</f>
        <v/>
      </c>
      <c r="L238" s="51" t="str">
        <f aca="false">IF(OR($A238="",L$8=""),"",IF($F238="Migré","ROKS",IF($F238="À décommissionner",IF(L$8&lt;$AS238,"IKS","Décom."),IF(OR($AQ238="",$AS238=""),"",IF(L$8&lt;$AQ238,"IKS",IF(L$8&lt;$AS238,IF(L$8=$AR238,"Bascule","Double run"),"ROKS"))))))</f>
        <v/>
      </c>
      <c r="M238" s="51" t="str">
        <f aca="false">IF(OR($A238="",M$8=""),"",IF($F238="Migré","ROKS",IF($F238="À décommissionner",IF(M$8&lt;$AS238,"IKS","Décom."),IF(OR($AQ238="",$AS238=""),"",IF(M$8&lt;$AQ238,"IKS",IF(M$8&lt;$AS238,IF(M$8=$AR238,"Bascule","Double run"),"ROKS"))))))</f>
        <v/>
      </c>
      <c r="N238" s="51" t="str">
        <f aca="false">IF(OR($A238="",N$8=""),"",IF($F238="Migré","ROKS",IF($F238="À décommissionner",IF(N$8&lt;$AS238,"IKS","Décom."),IF(OR($AQ238="",$AS238=""),"",IF(N$8&lt;$AQ238,"IKS",IF(N$8&lt;$AS238,IF(N$8=$AR238,"Bascule","Double run"),"ROKS"))))))</f>
        <v/>
      </c>
      <c r="O238" s="51" t="str">
        <f aca="false">IF(OR($A238="",O$8=""),"",IF($F238="Migré","ROKS",IF($F238="À décommissionner",IF(O$8&lt;$AS238,"IKS","Décom."),IF(OR($AQ238="",$AS238=""),"",IF(O$8&lt;$AQ238,"IKS",IF(O$8&lt;$AS238,IF(O$8=$AR238,"Bascule","Double run"),"ROKS"))))))</f>
        <v/>
      </c>
      <c r="P238" s="51" t="str">
        <f aca="false">IF(OR($A238="",P$8=""),"",IF($F238="Migré","ROKS",IF($F238="À décommissionner",IF(P$8&lt;$AS238,"IKS","Décom."),IF(OR($AQ238="",$AS238=""),"",IF(P$8&lt;$AQ238,"IKS",IF(P$8&lt;$AS238,IF(P$8=$AR238,"Bascule","Double run"),"ROKS"))))))</f>
        <v/>
      </c>
      <c r="Q238" s="51" t="str">
        <f aca="false">IF(OR($A238="",Q$8=""),"",IF($F238="Migré","ROKS",IF($F238="À décommissionner",IF(Q$8&lt;$AS238,"IKS","Décom."),IF(OR($AQ238="",$AS238=""),"",IF(Q$8&lt;$AQ238,"IKS",IF(Q$8&lt;$AS238,IF(Q$8=$AR238,"Bascule","Double run"),"ROKS"))))))</f>
        <v/>
      </c>
      <c r="R238" s="51" t="str">
        <f aca="false">IF(OR($A238="",R$8=""),"",IF($F238="Migré","ROKS",IF($F238="À décommissionner",IF(R$8&lt;$AS238,"IKS","Décom."),IF(OR($AQ238="",$AS238=""),"",IF(R$8&lt;$AQ238,"IKS",IF(R$8&lt;$AS238,IF(R$8=$AR238,"Bascule","Double run"),"ROKS"))))))</f>
        <v/>
      </c>
      <c r="S238" s="51" t="str">
        <f aca="false">IF(OR($A238="",S$8=""),"",IF($F238="Migré","ROKS",IF($F238="À décommissionner",IF(S$8&lt;$AS238,"IKS","Décom."),IF(OR($AQ238="",$AS238=""),"",IF(S$8&lt;$AQ238,"IKS",IF(S$8&lt;$AS238,IF(S$8=$AR238,"Bascule","Double run"),"ROKS"))))))</f>
        <v/>
      </c>
      <c r="T238" s="51" t="str">
        <f aca="false">IF(OR($A238="",T$8=""),"",IF($F238="Migré","ROKS",IF($F238="À décommissionner",IF(T$8&lt;$AS238,"IKS","Décom."),IF(OR($AQ238="",$AS238=""),"",IF(T$8&lt;$AQ238,"IKS",IF(T$8&lt;$AS238,IF(T$8=$AR238,"Bascule","Double run"),"ROKS"))))))</f>
        <v/>
      </c>
      <c r="U238" s="51" t="str">
        <f aca="false">IF(OR($A238="",U$8=""),"",IF($F238="Migré","ROKS",IF($F238="À décommissionner",IF(U$8&lt;$AS238,"IKS","Décom."),IF(OR($AQ238="",$AS238=""),"",IF(U$8&lt;$AQ238,"IKS",IF(U$8&lt;$AS238,IF(U$8=$AR238,"Bascule","Double run"),"ROKS"))))))</f>
        <v/>
      </c>
      <c r="V238" s="51" t="str">
        <f aca="false">IF(OR($A238="",V$8=""),"",IF($F238="Migré","ROKS",IF($F238="À décommissionner",IF(V$8&lt;$AS238,"IKS","Décom."),IF(OR($AQ238="",$AS238=""),"",IF(V$8&lt;$AQ238,"IKS",IF(V$8&lt;$AS238,IF(V$8=$AR238,"Bascule","Double run"),"ROKS"))))))</f>
        <v/>
      </c>
      <c r="W238" s="51" t="str">
        <f aca="false">IF(OR($A238="",W$8=""),"",IF($F238="Migré","ROKS",IF($F238="À décommissionner",IF(W$8&lt;$AS238,"IKS","Décom."),IF(OR($AQ238="",$AS238=""),"",IF(W$8&lt;$AQ238,"IKS",IF(W$8&lt;$AS238,IF(W$8=$AR238,"Bascule","Double run"),"ROKS"))))))</f>
        <v/>
      </c>
      <c r="X238" s="51" t="str">
        <f aca="false">IF(OR($A238="",X$8=""),"",IF($F238="Migré","ROKS",IF($F238="À décommissionner",IF(X$8&lt;$AS238,"IKS","Décom."),IF(OR($AQ238="",$AS238=""),"",IF(X$8&lt;$AQ238,"IKS",IF(X$8&lt;$AS238,IF(X$8=$AR238,"Bascule","Double run"),"ROKS"))))))</f>
        <v/>
      </c>
      <c r="Y238" s="51" t="str">
        <f aca="false">IF(OR($A238="",Y$8=""),"",IF($F238="Migré","ROKS",IF($F238="À décommissionner",IF(Y$8&lt;$AS238,"IKS","Décom."),IF(OR($AQ238="",$AS238=""),"",IF(Y$8&lt;$AQ238,"IKS",IF(Y$8&lt;$AS238,IF(Y$8=$AR238,"Bascule","Double run"),"ROKS"))))))</f>
        <v/>
      </c>
      <c r="Z238" s="51" t="str">
        <f aca="false">IF(OR($A238="",Z$8=""),"",IF($F238="Migré","ROKS",IF($F238="À décommissionner",IF(Z$8&lt;$AS238,"IKS","Décom."),IF(OR($AQ238="",$AS238=""),"",IF(Z$8&lt;$AQ238,"IKS",IF(Z$8&lt;$AS238,IF(Z$8=$AR238,"Bascule","Double run"),"ROKS"))))))</f>
        <v/>
      </c>
      <c r="AA238" s="51" t="str">
        <f aca="false">IF(OR($A238="",AA$8=""),"",IF($F238="Migré","ROKS",IF($F238="À décommissionner",IF(AA$8&lt;$AS238,"IKS","Décom."),IF(OR($AQ238="",$AS238=""),"",IF(AA$8&lt;$AQ238,"IKS",IF(AA$8&lt;$AS238,IF(AA$8=$AR238,"Bascule","Double run"),"ROKS"))))))</f>
        <v/>
      </c>
      <c r="AB238" s="51" t="str">
        <f aca="false">IF(OR($A238="",AB$8=""),"",IF($F238="Migré","ROKS",IF($F238="À décommissionner",IF(AB$8&lt;$AS238,"IKS","Décom."),IF(OR($AQ238="",$AS238=""),"",IF(AB$8&lt;$AQ238,"IKS",IF(AB$8&lt;$AS238,IF(AB$8=$AR238,"Bascule","Double run"),"ROKS"))))))</f>
        <v/>
      </c>
      <c r="AC238" s="51" t="str">
        <f aca="false">IF(OR($A238="",AC$8=""),"",IF($F238="Migré","ROKS",IF($F238="À décommissionner",IF(AC$8&lt;$AS238,"IKS","Décom."),IF(OR($AQ238="",$AS238=""),"",IF(AC$8&lt;$AQ238,"IKS",IF(AC$8&lt;$AS238,IF(AC$8=$AR238,"Bascule","Double run"),"ROKS"))))))</f>
        <v/>
      </c>
      <c r="AD238" s="51" t="str">
        <f aca="false">IF(OR($A238="",AD$8=""),"",IF($F238="Migré","ROKS",IF($F238="À décommissionner",IF(AD$8&lt;$AS238,"IKS","Décom."),IF(OR($AQ238="",$AS238=""),"",IF(AD$8&lt;$AQ238,"IKS",IF(AD$8&lt;$AS238,IF(AD$8=$AR238,"Bascule","Double run"),"ROKS"))))))</f>
        <v/>
      </c>
      <c r="AE238" s="51" t="str">
        <f aca="false">IF(OR($A238="",AE$8=""),"",IF($F238="Migré","ROKS",IF($F238="À décommissionner",IF(AE$8&lt;$AS238,"IKS","Décom."),IF(OR($AQ238="",$AS238=""),"",IF(AE$8&lt;$AQ238,"IKS",IF(AE$8&lt;$AS238,IF(AE$8=$AR238,"Bascule","Double run"),"ROKS"))))))</f>
        <v/>
      </c>
      <c r="AF238" s="51" t="str">
        <f aca="false">IF(OR($A238="",AF$8=""),"",IF($F238="Migré","ROKS",IF($F238="À décommissionner",IF(AF$8&lt;$AS238,"IKS","Décom."),IF(OR($AQ238="",$AS238=""),"",IF(AF$8&lt;$AQ238,"IKS",IF(AF$8&lt;$AS238,IF(AF$8=$AR238,"Bascule","Double run"),"ROKS"))))))</f>
        <v/>
      </c>
      <c r="AG238" s="51" t="str">
        <f aca="false">IF(OR($A238="",AG$8=""),"",IF($F238="Migré","ROKS",IF($F238="À décommissionner",IF(AG$8&lt;$AS238,"IKS","Décom."),IF(OR($AQ238="",$AS238=""),"",IF(AG$8&lt;$AQ238,"IKS",IF(AG$8&lt;$AS238,IF(AG$8=$AR238,"Bascule","Double run"),"ROKS"))))))</f>
        <v/>
      </c>
      <c r="AH238" s="51" t="str">
        <f aca="false">IF(OR($A238="",AH$8=""),"",IF($F238="Migré","ROKS",IF($F238="À décommissionner",IF(AH$8&lt;$AS238,"IKS","Décom."),IF(OR($AQ238="",$AS238=""),"",IF(AH$8&lt;$AQ238,"IKS",IF(AH$8&lt;$AS238,IF(AH$8=$AR238,"Bascule","Double run"),"ROKS"))))))</f>
        <v/>
      </c>
      <c r="AI238" s="51" t="str">
        <f aca="false">IF(OR($A238="",AI$8=""),"",IF($F238="Migré","ROKS",IF($F238="À décommissionner",IF(AI$8&lt;$AS238,"IKS","Décom."),IF(OR($AQ238="",$AS238=""),"",IF(AI$8&lt;$AQ238,"IKS",IF(AI$8&lt;$AS238,IF(AI$8=$AR238,"Bascule","Double run"),"ROKS"))))))</f>
        <v/>
      </c>
      <c r="AJ238" s="51" t="str">
        <f aca="false">IF(OR($A238="",AJ$8=""),"",IF($F238="Migré","ROKS",IF($F238="À décommissionner",IF(AJ$8&lt;$AS238,"IKS","Décom."),IF(OR($AQ238="",$AS238=""),"",IF(AJ$8&lt;$AQ238,"IKS",IF(AJ$8&lt;$AS238,IF(AJ$8=$AR238,"Bascule","Double run"),"ROKS"))))))</f>
        <v/>
      </c>
      <c r="AK238" s="51" t="str">
        <f aca="false">IF(OR($A238="",AK$8=""),"",IF($F238="Migré","ROKS",IF($F238="À décommissionner",IF(AK$8&lt;$AS238,"IKS","Décom."),IF(OR($AQ238="",$AS238=""),"",IF(AK$8&lt;$AQ238,"IKS",IF(AK$8&lt;$AS238,IF(AK$8=$AR238,"Bascule","Double run"),"ROKS"))))))</f>
        <v/>
      </c>
      <c r="AL238" s="51" t="str">
        <f aca="false">IF(OR($A238="",AL$8=""),"",IF($F238="Migré","ROKS",IF($F238="À décommissionner",IF(AL$8&lt;$AS238,"IKS","Décom."),IF(OR($AQ238="",$AS238=""),"",IF(AL$8&lt;$AQ238,"IKS",IF(AL$8&lt;$AS238,IF(AL$8=$AR238,"Bascule","Double run"),"ROKS"))))))</f>
        <v/>
      </c>
      <c r="AM238" s="51" t="str">
        <f aca="false">IF(OR($A238="",AM$8=""),"",IF($F238="Migré","ROKS",IF($F238="À décommissionner",IF(AM$8&lt;$AS238,"IKS","Décom."),IF(OR($AQ238="",$AS238=""),"",IF(AM$8&lt;$AQ238,"IKS",IF(AM$8&lt;$AS238,IF(AM$8=$AR238,"Bascule","Double run"),"ROKS"))))))</f>
        <v/>
      </c>
      <c r="AN238" s="51" t="str">
        <f aca="false">IF(OR($A238="",AN$8=""),"",IF($F238="Migré","ROKS",IF($F238="À décommissionner",IF(AN$8&lt;$AS238,"IKS","Décom."),IF(OR($AQ238="",$AS238=""),"",IF(AN$8&lt;$AQ238,"IKS",IF(AN$8&lt;$AS238,IF(AN$8=$AR238,"Bascule","Double run"),"ROKS"))))))</f>
        <v/>
      </c>
      <c r="AO238" s="51" t="str">
        <f aca="false">IF(OR($A238="",AO$8=""),"",IF($F238="Migré","ROKS",IF($F238="À décommissionner",IF(AO$8&lt;$AS238,"IKS","Décom."),IF(OR($AQ238="",$AS238=""),"",IF(AO$8&lt;$AQ238,"IKS",IF(AO$8&lt;$AS238,IF(AO$8=$AR238,"Bascule","Double run"),"ROKS"))))))</f>
        <v/>
      </c>
      <c r="AP238" s="51" t="str">
        <f aca="false">IF(OR($A238="",AP$8=""),"",IF($F238="Migré","ROKS",IF($F238="À décommissionner",IF(AP$8&lt;$AS238,"IKS","Décom."),IF(OR($AQ238="",$AS238=""),"",IF(AP$8&lt;$AQ238,"IKS",IF(AP$8&lt;$AS238,IF(AP$8=$AR238,"Bascule","Double run"),"ROKS"))))))</f>
        <v/>
      </c>
      <c r="AQ238" s="0" t="str">
        <f aca="false">IF($A238="","",INDEX(TblApplications[Mois prov (calc)],$A238))</f>
        <v/>
      </c>
      <c r="AR238" s="0" t="str">
        <f aca="false">IF($A238="","",IFERROR(DATE(YEAR(INDEX(TblApplications[Mois bascule],$A238)),MONTH(INDEX(TblApplications[Mois bascule],$A238)),1),""))</f>
        <v/>
      </c>
      <c r="AS238" s="0" t="str">
        <f aca="false">IF($A238="","",INDEX(TblApplications[Mois lib (calc)],$A238))</f>
        <v/>
      </c>
    </row>
    <row r="239" customFormat="false" ht="15" hidden="false" customHeight="false" outlineLevel="0" collapsed="false">
      <c r="A239" s="49" t="str">
        <f aca="false">IFERROR(MATCH(231,TblApplications[Rang frise],0),"")</f>
        <v/>
      </c>
      <c r="B239" s="50" t="str">
        <f aca="false">IF($A239="","",INDEX(TblApplications[ID],$A239))</f>
        <v/>
      </c>
      <c r="C239" s="50" t="str">
        <f aca="false">IF($A239="","",INDEX(TblApplications[Application],$A239))</f>
        <v/>
      </c>
      <c r="D239" s="50" t="str">
        <f aca="false">IF($A239="","",INDEX(TblApplications[Environnement],$A239))</f>
        <v/>
      </c>
      <c r="E239" s="50" t="str">
        <f aca="false">IF($A239="","",INDEX(TblApplications[Couloir],$A239))</f>
        <v/>
      </c>
      <c r="F239" s="50" t="str">
        <f aca="false">IF($A239="","",INDEX(TblApplications[Action],$A239))</f>
        <v/>
      </c>
      <c r="G239" s="51" t="str">
        <f aca="false">IF(OR($A239="",G$8=""),"",IF($F239="Migré","ROKS",IF($F239="À décommissionner",IF(G$8&lt;$AS239,"IKS","Décom."),IF(OR($AQ239="",$AS239=""),"",IF(G$8&lt;$AQ239,"IKS",IF(G$8&lt;$AS239,IF(G$8=$AR239,"Bascule","Double run"),"ROKS"))))))</f>
        <v/>
      </c>
      <c r="H239" s="51" t="str">
        <f aca="false">IF(OR($A239="",H$8=""),"",IF($F239="Migré","ROKS",IF($F239="À décommissionner",IF(H$8&lt;$AS239,"IKS","Décom."),IF(OR($AQ239="",$AS239=""),"",IF(H$8&lt;$AQ239,"IKS",IF(H$8&lt;$AS239,IF(H$8=$AR239,"Bascule","Double run"),"ROKS"))))))</f>
        <v/>
      </c>
      <c r="I239" s="51" t="str">
        <f aca="false">IF(OR($A239="",I$8=""),"",IF($F239="Migré","ROKS",IF($F239="À décommissionner",IF(I$8&lt;$AS239,"IKS","Décom."),IF(OR($AQ239="",$AS239=""),"",IF(I$8&lt;$AQ239,"IKS",IF(I$8&lt;$AS239,IF(I$8=$AR239,"Bascule","Double run"),"ROKS"))))))</f>
        <v/>
      </c>
      <c r="J239" s="51" t="str">
        <f aca="false">IF(OR($A239="",J$8=""),"",IF($F239="Migré","ROKS",IF($F239="À décommissionner",IF(J$8&lt;$AS239,"IKS","Décom."),IF(OR($AQ239="",$AS239=""),"",IF(J$8&lt;$AQ239,"IKS",IF(J$8&lt;$AS239,IF(J$8=$AR239,"Bascule","Double run"),"ROKS"))))))</f>
        <v/>
      </c>
      <c r="K239" s="51" t="str">
        <f aca="false">IF(OR($A239="",K$8=""),"",IF($F239="Migré","ROKS",IF($F239="À décommissionner",IF(K$8&lt;$AS239,"IKS","Décom."),IF(OR($AQ239="",$AS239=""),"",IF(K$8&lt;$AQ239,"IKS",IF(K$8&lt;$AS239,IF(K$8=$AR239,"Bascule","Double run"),"ROKS"))))))</f>
        <v/>
      </c>
      <c r="L239" s="51" t="str">
        <f aca="false">IF(OR($A239="",L$8=""),"",IF($F239="Migré","ROKS",IF($F239="À décommissionner",IF(L$8&lt;$AS239,"IKS","Décom."),IF(OR($AQ239="",$AS239=""),"",IF(L$8&lt;$AQ239,"IKS",IF(L$8&lt;$AS239,IF(L$8=$AR239,"Bascule","Double run"),"ROKS"))))))</f>
        <v/>
      </c>
      <c r="M239" s="51" t="str">
        <f aca="false">IF(OR($A239="",M$8=""),"",IF($F239="Migré","ROKS",IF($F239="À décommissionner",IF(M$8&lt;$AS239,"IKS","Décom."),IF(OR($AQ239="",$AS239=""),"",IF(M$8&lt;$AQ239,"IKS",IF(M$8&lt;$AS239,IF(M$8=$AR239,"Bascule","Double run"),"ROKS"))))))</f>
        <v/>
      </c>
      <c r="N239" s="51" t="str">
        <f aca="false">IF(OR($A239="",N$8=""),"",IF($F239="Migré","ROKS",IF($F239="À décommissionner",IF(N$8&lt;$AS239,"IKS","Décom."),IF(OR($AQ239="",$AS239=""),"",IF(N$8&lt;$AQ239,"IKS",IF(N$8&lt;$AS239,IF(N$8=$AR239,"Bascule","Double run"),"ROKS"))))))</f>
        <v/>
      </c>
      <c r="O239" s="51" t="str">
        <f aca="false">IF(OR($A239="",O$8=""),"",IF($F239="Migré","ROKS",IF($F239="À décommissionner",IF(O$8&lt;$AS239,"IKS","Décom."),IF(OR($AQ239="",$AS239=""),"",IF(O$8&lt;$AQ239,"IKS",IF(O$8&lt;$AS239,IF(O$8=$AR239,"Bascule","Double run"),"ROKS"))))))</f>
        <v/>
      </c>
      <c r="P239" s="51" t="str">
        <f aca="false">IF(OR($A239="",P$8=""),"",IF($F239="Migré","ROKS",IF($F239="À décommissionner",IF(P$8&lt;$AS239,"IKS","Décom."),IF(OR($AQ239="",$AS239=""),"",IF(P$8&lt;$AQ239,"IKS",IF(P$8&lt;$AS239,IF(P$8=$AR239,"Bascule","Double run"),"ROKS"))))))</f>
        <v/>
      </c>
      <c r="Q239" s="51" t="str">
        <f aca="false">IF(OR($A239="",Q$8=""),"",IF($F239="Migré","ROKS",IF($F239="À décommissionner",IF(Q$8&lt;$AS239,"IKS","Décom."),IF(OR($AQ239="",$AS239=""),"",IF(Q$8&lt;$AQ239,"IKS",IF(Q$8&lt;$AS239,IF(Q$8=$AR239,"Bascule","Double run"),"ROKS"))))))</f>
        <v/>
      </c>
      <c r="R239" s="51" t="str">
        <f aca="false">IF(OR($A239="",R$8=""),"",IF($F239="Migré","ROKS",IF($F239="À décommissionner",IF(R$8&lt;$AS239,"IKS","Décom."),IF(OR($AQ239="",$AS239=""),"",IF(R$8&lt;$AQ239,"IKS",IF(R$8&lt;$AS239,IF(R$8=$AR239,"Bascule","Double run"),"ROKS"))))))</f>
        <v/>
      </c>
      <c r="S239" s="51" t="str">
        <f aca="false">IF(OR($A239="",S$8=""),"",IF($F239="Migré","ROKS",IF($F239="À décommissionner",IF(S$8&lt;$AS239,"IKS","Décom."),IF(OR($AQ239="",$AS239=""),"",IF(S$8&lt;$AQ239,"IKS",IF(S$8&lt;$AS239,IF(S$8=$AR239,"Bascule","Double run"),"ROKS"))))))</f>
        <v/>
      </c>
      <c r="T239" s="51" t="str">
        <f aca="false">IF(OR($A239="",T$8=""),"",IF($F239="Migré","ROKS",IF($F239="À décommissionner",IF(T$8&lt;$AS239,"IKS","Décom."),IF(OR($AQ239="",$AS239=""),"",IF(T$8&lt;$AQ239,"IKS",IF(T$8&lt;$AS239,IF(T$8=$AR239,"Bascule","Double run"),"ROKS"))))))</f>
        <v/>
      </c>
      <c r="U239" s="51" t="str">
        <f aca="false">IF(OR($A239="",U$8=""),"",IF($F239="Migré","ROKS",IF($F239="À décommissionner",IF(U$8&lt;$AS239,"IKS","Décom."),IF(OR($AQ239="",$AS239=""),"",IF(U$8&lt;$AQ239,"IKS",IF(U$8&lt;$AS239,IF(U$8=$AR239,"Bascule","Double run"),"ROKS"))))))</f>
        <v/>
      </c>
      <c r="V239" s="51" t="str">
        <f aca="false">IF(OR($A239="",V$8=""),"",IF($F239="Migré","ROKS",IF($F239="À décommissionner",IF(V$8&lt;$AS239,"IKS","Décom."),IF(OR($AQ239="",$AS239=""),"",IF(V$8&lt;$AQ239,"IKS",IF(V$8&lt;$AS239,IF(V$8=$AR239,"Bascule","Double run"),"ROKS"))))))</f>
        <v/>
      </c>
      <c r="W239" s="51" t="str">
        <f aca="false">IF(OR($A239="",W$8=""),"",IF($F239="Migré","ROKS",IF($F239="À décommissionner",IF(W$8&lt;$AS239,"IKS","Décom."),IF(OR($AQ239="",$AS239=""),"",IF(W$8&lt;$AQ239,"IKS",IF(W$8&lt;$AS239,IF(W$8=$AR239,"Bascule","Double run"),"ROKS"))))))</f>
        <v/>
      </c>
      <c r="X239" s="51" t="str">
        <f aca="false">IF(OR($A239="",X$8=""),"",IF($F239="Migré","ROKS",IF($F239="À décommissionner",IF(X$8&lt;$AS239,"IKS","Décom."),IF(OR($AQ239="",$AS239=""),"",IF(X$8&lt;$AQ239,"IKS",IF(X$8&lt;$AS239,IF(X$8=$AR239,"Bascule","Double run"),"ROKS"))))))</f>
        <v/>
      </c>
      <c r="Y239" s="51" t="str">
        <f aca="false">IF(OR($A239="",Y$8=""),"",IF($F239="Migré","ROKS",IF($F239="À décommissionner",IF(Y$8&lt;$AS239,"IKS","Décom."),IF(OR($AQ239="",$AS239=""),"",IF(Y$8&lt;$AQ239,"IKS",IF(Y$8&lt;$AS239,IF(Y$8=$AR239,"Bascule","Double run"),"ROKS"))))))</f>
        <v/>
      </c>
      <c r="Z239" s="51" t="str">
        <f aca="false">IF(OR($A239="",Z$8=""),"",IF($F239="Migré","ROKS",IF($F239="À décommissionner",IF(Z$8&lt;$AS239,"IKS","Décom."),IF(OR($AQ239="",$AS239=""),"",IF(Z$8&lt;$AQ239,"IKS",IF(Z$8&lt;$AS239,IF(Z$8=$AR239,"Bascule","Double run"),"ROKS"))))))</f>
        <v/>
      </c>
      <c r="AA239" s="51" t="str">
        <f aca="false">IF(OR($A239="",AA$8=""),"",IF($F239="Migré","ROKS",IF($F239="À décommissionner",IF(AA$8&lt;$AS239,"IKS","Décom."),IF(OR($AQ239="",$AS239=""),"",IF(AA$8&lt;$AQ239,"IKS",IF(AA$8&lt;$AS239,IF(AA$8=$AR239,"Bascule","Double run"),"ROKS"))))))</f>
        <v/>
      </c>
      <c r="AB239" s="51" t="str">
        <f aca="false">IF(OR($A239="",AB$8=""),"",IF($F239="Migré","ROKS",IF($F239="À décommissionner",IF(AB$8&lt;$AS239,"IKS","Décom."),IF(OR($AQ239="",$AS239=""),"",IF(AB$8&lt;$AQ239,"IKS",IF(AB$8&lt;$AS239,IF(AB$8=$AR239,"Bascule","Double run"),"ROKS"))))))</f>
        <v/>
      </c>
      <c r="AC239" s="51" t="str">
        <f aca="false">IF(OR($A239="",AC$8=""),"",IF($F239="Migré","ROKS",IF($F239="À décommissionner",IF(AC$8&lt;$AS239,"IKS","Décom."),IF(OR($AQ239="",$AS239=""),"",IF(AC$8&lt;$AQ239,"IKS",IF(AC$8&lt;$AS239,IF(AC$8=$AR239,"Bascule","Double run"),"ROKS"))))))</f>
        <v/>
      </c>
      <c r="AD239" s="51" t="str">
        <f aca="false">IF(OR($A239="",AD$8=""),"",IF($F239="Migré","ROKS",IF($F239="À décommissionner",IF(AD$8&lt;$AS239,"IKS","Décom."),IF(OR($AQ239="",$AS239=""),"",IF(AD$8&lt;$AQ239,"IKS",IF(AD$8&lt;$AS239,IF(AD$8=$AR239,"Bascule","Double run"),"ROKS"))))))</f>
        <v/>
      </c>
      <c r="AE239" s="51" t="str">
        <f aca="false">IF(OR($A239="",AE$8=""),"",IF($F239="Migré","ROKS",IF($F239="À décommissionner",IF(AE$8&lt;$AS239,"IKS","Décom."),IF(OR($AQ239="",$AS239=""),"",IF(AE$8&lt;$AQ239,"IKS",IF(AE$8&lt;$AS239,IF(AE$8=$AR239,"Bascule","Double run"),"ROKS"))))))</f>
        <v/>
      </c>
      <c r="AF239" s="51" t="str">
        <f aca="false">IF(OR($A239="",AF$8=""),"",IF($F239="Migré","ROKS",IF($F239="À décommissionner",IF(AF$8&lt;$AS239,"IKS","Décom."),IF(OR($AQ239="",$AS239=""),"",IF(AF$8&lt;$AQ239,"IKS",IF(AF$8&lt;$AS239,IF(AF$8=$AR239,"Bascule","Double run"),"ROKS"))))))</f>
        <v/>
      </c>
      <c r="AG239" s="51" t="str">
        <f aca="false">IF(OR($A239="",AG$8=""),"",IF($F239="Migré","ROKS",IF($F239="À décommissionner",IF(AG$8&lt;$AS239,"IKS","Décom."),IF(OR($AQ239="",$AS239=""),"",IF(AG$8&lt;$AQ239,"IKS",IF(AG$8&lt;$AS239,IF(AG$8=$AR239,"Bascule","Double run"),"ROKS"))))))</f>
        <v/>
      </c>
      <c r="AH239" s="51" t="str">
        <f aca="false">IF(OR($A239="",AH$8=""),"",IF($F239="Migré","ROKS",IF($F239="À décommissionner",IF(AH$8&lt;$AS239,"IKS","Décom."),IF(OR($AQ239="",$AS239=""),"",IF(AH$8&lt;$AQ239,"IKS",IF(AH$8&lt;$AS239,IF(AH$8=$AR239,"Bascule","Double run"),"ROKS"))))))</f>
        <v/>
      </c>
      <c r="AI239" s="51" t="str">
        <f aca="false">IF(OR($A239="",AI$8=""),"",IF($F239="Migré","ROKS",IF($F239="À décommissionner",IF(AI$8&lt;$AS239,"IKS","Décom."),IF(OR($AQ239="",$AS239=""),"",IF(AI$8&lt;$AQ239,"IKS",IF(AI$8&lt;$AS239,IF(AI$8=$AR239,"Bascule","Double run"),"ROKS"))))))</f>
        <v/>
      </c>
      <c r="AJ239" s="51" t="str">
        <f aca="false">IF(OR($A239="",AJ$8=""),"",IF($F239="Migré","ROKS",IF($F239="À décommissionner",IF(AJ$8&lt;$AS239,"IKS","Décom."),IF(OR($AQ239="",$AS239=""),"",IF(AJ$8&lt;$AQ239,"IKS",IF(AJ$8&lt;$AS239,IF(AJ$8=$AR239,"Bascule","Double run"),"ROKS"))))))</f>
        <v/>
      </c>
      <c r="AK239" s="51" t="str">
        <f aca="false">IF(OR($A239="",AK$8=""),"",IF($F239="Migré","ROKS",IF($F239="À décommissionner",IF(AK$8&lt;$AS239,"IKS","Décom."),IF(OR($AQ239="",$AS239=""),"",IF(AK$8&lt;$AQ239,"IKS",IF(AK$8&lt;$AS239,IF(AK$8=$AR239,"Bascule","Double run"),"ROKS"))))))</f>
        <v/>
      </c>
      <c r="AL239" s="51" t="str">
        <f aca="false">IF(OR($A239="",AL$8=""),"",IF($F239="Migré","ROKS",IF($F239="À décommissionner",IF(AL$8&lt;$AS239,"IKS","Décom."),IF(OR($AQ239="",$AS239=""),"",IF(AL$8&lt;$AQ239,"IKS",IF(AL$8&lt;$AS239,IF(AL$8=$AR239,"Bascule","Double run"),"ROKS"))))))</f>
        <v/>
      </c>
      <c r="AM239" s="51" t="str">
        <f aca="false">IF(OR($A239="",AM$8=""),"",IF($F239="Migré","ROKS",IF($F239="À décommissionner",IF(AM$8&lt;$AS239,"IKS","Décom."),IF(OR($AQ239="",$AS239=""),"",IF(AM$8&lt;$AQ239,"IKS",IF(AM$8&lt;$AS239,IF(AM$8=$AR239,"Bascule","Double run"),"ROKS"))))))</f>
        <v/>
      </c>
      <c r="AN239" s="51" t="str">
        <f aca="false">IF(OR($A239="",AN$8=""),"",IF($F239="Migré","ROKS",IF($F239="À décommissionner",IF(AN$8&lt;$AS239,"IKS","Décom."),IF(OR($AQ239="",$AS239=""),"",IF(AN$8&lt;$AQ239,"IKS",IF(AN$8&lt;$AS239,IF(AN$8=$AR239,"Bascule","Double run"),"ROKS"))))))</f>
        <v/>
      </c>
      <c r="AO239" s="51" t="str">
        <f aca="false">IF(OR($A239="",AO$8=""),"",IF($F239="Migré","ROKS",IF($F239="À décommissionner",IF(AO$8&lt;$AS239,"IKS","Décom."),IF(OR($AQ239="",$AS239=""),"",IF(AO$8&lt;$AQ239,"IKS",IF(AO$8&lt;$AS239,IF(AO$8=$AR239,"Bascule","Double run"),"ROKS"))))))</f>
        <v/>
      </c>
      <c r="AP239" s="51" t="str">
        <f aca="false">IF(OR($A239="",AP$8=""),"",IF($F239="Migré","ROKS",IF($F239="À décommissionner",IF(AP$8&lt;$AS239,"IKS","Décom."),IF(OR($AQ239="",$AS239=""),"",IF(AP$8&lt;$AQ239,"IKS",IF(AP$8&lt;$AS239,IF(AP$8=$AR239,"Bascule","Double run"),"ROKS"))))))</f>
        <v/>
      </c>
      <c r="AQ239" s="0" t="str">
        <f aca="false">IF($A239="","",INDEX(TblApplications[Mois prov (calc)],$A239))</f>
        <v/>
      </c>
      <c r="AR239" s="0" t="str">
        <f aca="false">IF($A239="","",IFERROR(DATE(YEAR(INDEX(TblApplications[Mois bascule],$A239)),MONTH(INDEX(TblApplications[Mois bascule],$A239)),1),""))</f>
        <v/>
      </c>
      <c r="AS239" s="0" t="str">
        <f aca="false">IF($A239="","",INDEX(TblApplications[Mois lib (calc)],$A239))</f>
        <v/>
      </c>
    </row>
    <row r="240" customFormat="false" ht="15" hidden="false" customHeight="false" outlineLevel="0" collapsed="false">
      <c r="A240" s="49" t="str">
        <f aca="false">IFERROR(MATCH(232,TblApplications[Rang frise],0),"")</f>
        <v/>
      </c>
      <c r="B240" s="50" t="str">
        <f aca="false">IF($A240="","",INDEX(TblApplications[ID],$A240))</f>
        <v/>
      </c>
      <c r="C240" s="50" t="str">
        <f aca="false">IF($A240="","",INDEX(TblApplications[Application],$A240))</f>
        <v/>
      </c>
      <c r="D240" s="50" t="str">
        <f aca="false">IF($A240="","",INDEX(TblApplications[Environnement],$A240))</f>
        <v/>
      </c>
      <c r="E240" s="50" t="str">
        <f aca="false">IF($A240="","",INDEX(TblApplications[Couloir],$A240))</f>
        <v/>
      </c>
      <c r="F240" s="50" t="str">
        <f aca="false">IF($A240="","",INDEX(TblApplications[Action],$A240))</f>
        <v/>
      </c>
      <c r="G240" s="51" t="str">
        <f aca="false">IF(OR($A240="",G$8=""),"",IF($F240="Migré","ROKS",IF($F240="À décommissionner",IF(G$8&lt;$AS240,"IKS","Décom."),IF(OR($AQ240="",$AS240=""),"",IF(G$8&lt;$AQ240,"IKS",IF(G$8&lt;$AS240,IF(G$8=$AR240,"Bascule","Double run"),"ROKS"))))))</f>
        <v/>
      </c>
      <c r="H240" s="51" t="str">
        <f aca="false">IF(OR($A240="",H$8=""),"",IF($F240="Migré","ROKS",IF($F240="À décommissionner",IF(H$8&lt;$AS240,"IKS","Décom."),IF(OR($AQ240="",$AS240=""),"",IF(H$8&lt;$AQ240,"IKS",IF(H$8&lt;$AS240,IF(H$8=$AR240,"Bascule","Double run"),"ROKS"))))))</f>
        <v/>
      </c>
      <c r="I240" s="51" t="str">
        <f aca="false">IF(OR($A240="",I$8=""),"",IF($F240="Migré","ROKS",IF($F240="À décommissionner",IF(I$8&lt;$AS240,"IKS","Décom."),IF(OR($AQ240="",$AS240=""),"",IF(I$8&lt;$AQ240,"IKS",IF(I$8&lt;$AS240,IF(I$8=$AR240,"Bascule","Double run"),"ROKS"))))))</f>
        <v/>
      </c>
      <c r="J240" s="51" t="str">
        <f aca="false">IF(OR($A240="",J$8=""),"",IF($F240="Migré","ROKS",IF($F240="À décommissionner",IF(J$8&lt;$AS240,"IKS","Décom."),IF(OR($AQ240="",$AS240=""),"",IF(J$8&lt;$AQ240,"IKS",IF(J$8&lt;$AS240,IF(J$8=$AR240,"Bascule","Double run"),"ROKS"))))))</f>
        <v/>
      </c>
      <c r="K240" s="51" t="str">
        <f aca="false">IF(OR($A240="",K$8=""),"",IF($F240="Migré","ROKS",IF($F240="À décommissionner",IF(K$8&lt;$AS240,"IKS","Décom."),IF(OR($AQ240="",$AS240=""),"",IF(K$8&lt;$AQ240,"IKS",IF(K$8&lt;$AS240,IF(K$8=$AR240,"Bascule","Double run"),"ROKS"))))))</f>
        <v/>
      </c>
      <c r="L240" s="51" t="str">
        <f aca="false">IF(OR($A240="",L$8=""),"",IF($F240="Migré","ROKS",IF($F240="À décommissionner",IF(L$8&lt;$AS240,"IKS","Décom."),IF(OR($AQ240="",$AS240=""),"",IF(L$8&lt;$AQ240,"IKS",IF(L$8&lt;$AS240,IF(L$8=$AR240,"Bascule","Double run"),"ROKS"))))))</f>
        <v/>
      </c>
      <c r="M240" s="51" t="str">
        <f aca="false">IF(OR($A240="",M$8=""),"",IF($F240="Migré","ROKS",IF($F240="À décommissionner",IF(M$8&lt;$AS240,"IKS","Décom."),IF(OR($AQ240="",$AS240=""),"",IF(M$8&lt;$AQ240,"IKS",IF(M$8&lt;$AS240,IF(M$8=$AR240,"Bascule","Double run"),"ROKS"))))))</f>
        <v/>
      </c>
      <c r="N240" s="51" t="str">
        <f aca="false">IF(OR($A240="",N$8=""),"",IF($F240="Migré","ROKS",IF($F240="À décommissionner",IF(N$8&lt;$AS240,"IKS","Décom."),IF(OR($AQ240="",$AS240=""),"",IF(N$8&lt;$AQ240,"IKS",IF(N$8&lt;$AS240,IF(N$8=$AR240,"Bascule","Double run"),"ROKS"))))))</f>
        <v/>
      </c>
      <c r="O240" s="51" t="str">
        <f aca="false">IF(OR($A240="",O$8=""),"",IF($F240="Migré","ROKS",IF($F240="À décommissionner",IF(O$8&lt;$AS240,"IKS","Décom."),IF(OR($AQ240="",$AS240=""),"",IF(O$8&lt;$AQ240,"IKS",IF(O$8&lt;$AS240,IF(O$8=$AR240,"Bascule","Double run"),"ROKS"))))))</f>
        <v/>
      </c>
      <c r="P240" s="51" t="str">
        <f aca="false">IF(OR($A240="",P$8=""),"",IF($F240="Migré","ROKS",IF($F240="À décommissionner",IF(P$8&lt;$AS240,"IKS","Décom."),IF(OR($AQ240="",$AS240=""),"",IF(P$8&lt;$AQ240,"IKS",IF(P$8&lt;$AS240,IF(P$8=$AR240,"Bascule","Double run"),"ROKS"))))))</f>
        <v/>
      </c>
      <c r="Q240" s="51" t="str">
        <f aca="false">IF(OR($A240="",Q$8=""),"",IF($F240="Migré","ROKS",IF($F240="À décommissionner",IF(Q$8&lt;$AS240,"IKS","Décom."),IF(OR($AQ240="",$AS240=""),"",IF(Q$8&lt;$AQ240,"IKS",IF(Q$8&lt;$AS240,IF(Q$8=$AR240,"Bascule","Double run"),"ROKS"))))))</f>
        <v/>
      </c>
      <c r="R240" s="51" t="str">
        <f aca="false">IF(OR($A240="",R$8=""),"",IF($F240="Migré","ROKS",IF($F240="À décommissionner",IF(R$8&lt;$AS240,"IKS","Décom."),IF(OR($AQ240="",$AS240=""),"",IF(R$8&lt;$AQ240,"IKS",IF(R$8&lt;$AS240,IF(R$8=$AR240,"Bascule","Double run"),"ROKS"))))))</f>
        <v/>
      </c>
      <c r="S240" s="51" t="str">
        <f aca="false">IF(OR($A240="",S$8=""),"",IF($F240="Migré","ROKS",IF($F240="À décommissionner",IF(S$8&lt;$AS240,"IKS","Décom."),IF(OR($AQ240="",$AS240=""),"",IF(S$8&lt;$AQ240,"IKS",IF(S$8&lt;$AS240,IF(S$8=$AR240,"Bascule","Double run"),"ROKS"))))))</f>
        <v/>
      </c>
      <c r="T240" s="51" t="str">
        <f aca="false">IF(OR($A240="",T$8=""),"",IF($F240="Migré","ROKS",IF($F240="À décommissionner",IF(T$8&lt;$AS240,"IKS","Décom."),IF(OR($AQ240="",$AS240=""),"",IF(T$8&lt;$AQ240,"IKS",IF(T$8&lt;$AS240,IF(T$8=$AR240,"Bascule","Double run"),"ROKS"))))))</f>
        <v/>
      </c>
      <c r="U240" s="51" t="str">
        <f aca="false">IF(OR($A240="",U$8=""),"",IF($F240="Migré","ROKS",IF($F240="À décommissionner",IF(U$8&lt;$AS240,"IKS","Décom."),IF(OR($AQ240="",$AS240=""),"",IF(U$8&lt;$AQ240,"IKS",IF(U$8&lt;$AS240,IF(U$8=$AR240,"Bascule","Double run"),"ROKS"))))))</f>
        <v/>
      </c>
      <c r="V240" s="51" t="str">
        <f aca="false">IF(OR($A240="",V$8=""),"",IF($F240="Migré","ROKS",IF($F240="À décommissionner",IF(V$8&lt;$AS240,"IKS","Décom."),IF(OR($AQ240="",$AS240=""),"",IF(V$8&lt;$AQ240,"IKS",IF(V$8&lt;$AS240,IF(V$8=$AR240,"Bascule","Double run"),"ROKS"))))))</f>
        <v/>
      </c>
      <c r="W240" s="51" t="str">
        <f aca="false">IF(OR($A240="",W$8=""),"",IF($F240="Migré","ROKS",IF($F240="À décommissionner",IF(W$8&lt;$AS240,"IKS","Décom."),IF(OR($AQ240="",$AS240=""),"",IF(W$8&lt;$AQ240,"IKS",IF(W$8&lt;$AS240,IF(W$8=$AR240,"Bascule","Double run"),"ROKS"))))))</f>
        <v/>
      </c>
      <c r="X240" s="51" t="str">
        <f aca="false">IF(OR($A240="",X$8=""),"",IF($F240="Migré","ROKS",IF($F240="À décommissionner",IF(X$8&lt;$AS240,"IKS","Décom."),IF(OR($AQ240="",$AS240=""),"",IF(X$8&lt;$AQ240,"IKS",IF(X$8&lt;$AS240,IF(X$8=$AR240,"Bascule","Double run"),"ROKS"))))))</f>
        <v/>
      </c>
      <c r="Y240" s="51" t="str">
        <f aca="false">IF(OR($A240="",Y$8=""),"",IF($F240="Migré","ROKS",IF($F240="À décommissionner",IF(Y$8&lt;$AS240,"IKS","Décom."),IF(OR($AQ240="",$AS240=""),"",IF(Y$8&lt;$AQ240,"IKS",IF(Y$8&lt;$AS240,IF(Y$8=$AR240,"Bascule","Double run"),"ROKS"))))))</f>
        <v/>
      </c>
      <c r="Z240" s="51" t="str">
        <f aca="false">IF(OR($A240="",Z$8=""),"",IF($F240="Migré","ROKS",IF($F240="À décommissionner",IF(Z$8&lt;$AS240,"IKS","Décom."),IF(OR($AQ240="",$AS240=""),"",IF(Z$8&lt;$AQ240,"IKS",IF(Z$8&lt;$AS240,IF(Z$8=$AR240,"Bascule","Double run"),"ROKS"))))))</f>
        <v/>
      </c>
      <c r="AA240" s="51" t="str">
        <f aca="false">IF(OR($A240="",AA$8=""),"",IF($F240="Migré","ROKS",IF($F240="À décommissionner",IF(AA$8&lt;$AS240,"IKS","Décom."),IF(OR($AQ240="",$AS240=""),"",IF(AA$8&lt;$AQ240,"IKS",IF(AA$8&lt;$AS240,IF(AA$8=$AR240,"Bascule","Double run"),"ROKS"))))))</f>
        <v/>
      </c>
      <c r="AB240" s="51" t="str">
        <f aca="false">IF(OR($A240="",AB$8=""),"",IF($F240="Migré","ROKS",IF($F240="À décommissionner",IF(AB$8&lt;$AS240,"IKS","Décom."),IF(OR($AQ240="",$AS240=""),"",IF(AB$8&lt;$AQ240,"IKS",IF(AB$8&lt;$AS240,IF(AB$8=$AR240,"Bascule","Double run"),"ROKS"))))))</f>
        <v/>
      </c>
      <c r="AC240" s="51" t="str">
        <f aca="false">IF(OR($A240="",AC$8=""),"",IF($F240="Migré","ROKS",IF($F240="À décommissionner",IF(AC$8&lt;$AS240,"IKS","Décom."),IF(OR($AQ240="",$AS240=""),"",IF(AC$8&lt;$AQ240,"IKS",IF(AC$8&lt;$AS240,IF(AC$8=$AR240,"Bascule","Double run"),"ROKS"))))))</f>
        <v/>
      </c>
      <c r="AD240" s="51" t="str">
        <f aca="false">IF(OR($A240="",AD$8=""),"",IF($F240="Migré","ROKS",IF($F240="À décommissionner",IF(AD$8&lt;$AS240,"IKS","Décom."),IF(OR($AQ240="",$AS240=""),"",IF(AD$8&lt;$AQ240,"IKS",IF(AD$8&lt;$AS240,IF(AD$8=$AR240,"Bascule","Double run"),"ROKS"))))))</f>
        <v/>
      </c>
      <c r="AE240" s="51" t="str">
        <f aca="false">IF(OR($A240="",AE$8=""),"",IF($F240="Migré","ROKS",IF($F240="À décommissionner",IF(AE$8&lt;$AS240,"IKS","Décom."),IF(OR($AQ240="",$AS240=""),"",IF(AE$8&lt;$AQ240,"IKS",IF(AE$8&lt;$AS240,IF(AE$8=$AR240,"Bascule","Double run"),"ROKS"))))))</f>
        <v/>
      </c>
      <c r="AF240" s="51" t="str">
        <f aca="false">IF(OR($A240="",AF$8=""),"",IF($F240="Migré","ROKS",IF($F240="À décommissionner",IF(AF$8&lt;$AS240,"IKS","Décom."),IF(OR($AQ240="",$AS240=""),"",IF(AF$8&lt;$AQ240,"IKS",IF(AF$8&lt;$AS240,IF(AF$8=$AR240,"Bascule","Double run"),"ROKS"))))))</f>
        <v/>
      </c>
      <c r="AG240" s="51" t="str">
        <f aca="false">IF(OR($A240="",AG$8=""),"",IF($F240="Migré","ROKS",IF($F240="À décommissionner",IF(AG$8&lt;$AS240,"IKS","Décom."),IF(OR($AQ240="",$AS240=""),"",IF(AG$8&lt;$AQ240,"IKS",IF(AG$8&lt;$AS240,IF(AG$8=$AR240,"Bascule","Double run"),"ROKS"))))))</f>
        <v/>
      </c>
      <c r="AH240" s="51" t="str">
        <f aca="false">IF(OR($A240="",AH$8=""),"",IF($F240="Migré","ROKS",IF($F240="À décommissionner",IF(AH$8&lt;$AS240,"IKS","Décom."),IF(OR($AQ240="",$AS240=""),"",IF(AH$8&lt;$AQ240,"IKS",IF(AH$8&lt;$AS240,IF(AH$8=$AR240,"Bascule","Double run"),"ROKS"))))))</f>
        <v/>
      </c>
      <c r="AI240" s="51" t="str">
        <f aca="false">IF(OR($A240="",AI$8=""),"",IF($F240="Migré","ROKS",IF($F240="À décommissionner",IF(AI$8&lt;$AS240,"IKS","Décom."),IF(OR($AQ240="",$AS240=""),"",IF(AI$8&lt;$AQ240,"IKS",IF(AI$8&lt;$AS240,IF(AI$8=$AR240,"Bascule","Double run"),"ROKS"))))))</f>
        <v/>
      </c>
      <c r="AJ240" s="51" t="str">
        <f aca="false">IF(OR($A240="",AJ$8=""),"",IF($F240="Migré","ROKS",IF($F240="À décommissionner",IF(AJ$8&lt;$AS240,"IKS","Décom."),IF(OR($AQ240="",$AS240=""),"",IF(AJ$8&lt;$AQ240,"IKS",IF(AJ$8&lt;$AS240,IF(AJ$8=$AR240,"Bascule","Double run"),"ROKS"))))))</f>
        <v/>
      </c>
      <c r="AK240" s="51" t="str">
        <f aca="false">IF(OR($A240="",AK$8=""),"",IF($F240="Migré","ROKS",IF($F240="À décommissionner",IF(AK$8&lt;$AS240,"IKS","Décom."),IF(OR($AQ240="",$AS240=""),"",IF(AK$8&lt;$AQ240,"IKS",IF(AK$8&lt;$AS240,IF(AK$8=$AR240,"Bascule","Double run"),"ROKS"))))))</f>
        <v/>
      </c>
      <c r="AL240" s="51" t="str">
        <f aca="false">IF(OR($A240="",AL$8=""),"",IF($F240="Migré","ROKS",IF($F240="À décommissionner",IF(AL$8&lt;$AS240,"IKS","Décom."),IF(OR($AQ240="",$AS240=""),"",IF(AL$8&lt;$AQ240,"IKS",IF(AL$8&lt;$AS240,IF(AL$8=$AR240,"Bascule","Double run"),"ROKS"))))))</f>
        <v/>
      </c>
      <c r="AM240" s="51" t="str">
        <f aca="false">IF(OR($A240="",AM$8=""),"",IF($F240="Migré","ROKS",IF($F240="À décommissionner",IF(AM$8&lt;$AS240,"IKS","Décom."),IF(OR($AQ240="",$AS240=""),"",IF(AM$8&lt;$AQ240,"IKS",IF(AM$8&lt;$AS240,IF(AM$8=$AR240,"Bascule","Double run"),"ROKS"))))))</f>
        <v/>
      </c>
      <c r="AN240" s="51" t="str">
        <f aca="false">IF(OR($A240="",AN$8=""),"",IF($F240="Migré","ROKS",IF($F240="À décommissionner",IF(AN$8&lt;$AS240,"IKS","Décom."),IF(OR($AQ240="",$AS240=""),"",IF(AN$8&lt;$AQ240,"IKS",IF(AN$8&lt;$AS240,IF(AN$8=$AR240,"Bascule","Double run"),"ROKS"))))))</f>
        <v/>
      </c>
      <c r="AO240" s="51" t="str">
        <f aca="false">IF(OR($A240="",AO$8=""),"",IF($F240="Migré","ROKS",IF($F240="À décommissionner",IF(AO$8&lt;$AS240,"IKS","Décom."),IF(OR($AQ240="",$AS240=""),"",IF(AO$8&lt;$AQ240,"IKS",IF(AO$8&lt;$AS240,IF(AO$8=$AR240,"Bascule","Double run"),"ROKS"))))))</f>
        <v/>
      </c>
      <c r="AP240" s="51" t="str">
        <f aca="false">IF(OR($A240="",AP$8=""),"",IF($F240="Migré","ROKS",IF($F240="À décommissionner",IF(AP$8&lt;$AS240,"IKS","Décom."),IF(OR($AQ240="",$AS240=""),"",IF(AP$8&lt;$AQ240,"IKS",IF(AP$8&lt;$AS240,IF(AP$8=$AR240,"Bascule","Double run"),"ROKS"))))))</f>
        <v/>
      </c>
      <c r="AQ240" s="0" t="str">
        <f aca="false">IF($A240="","",INDEX(TblApplications[Mois prov (calc)],$A240))</f>
        <v/>
      </c>
      <c r="AR240" s="0" t="str">
        <f aca="false">IF($A240="","",IFERROR(DATE(YEAR(INDEX(TblApplications[Mois bascule],$A240)),MONTH(INDEX(TblApplications[Mois bascule],$A240)),1),""))</f>
        <v/>
      </c>
      <c r="AS240" s="0" t="str">
        <f aca="false">IF($A240="","",INDEX(TblApplications[Mois lib (calc)],$A240))</f>
        <v/>
      </c>
    </row>
    <row r="241" customFormat="false" ht="15" hidden="false" customHeight="false" outlineLevel="0" collapsed="false">
      <c r="A241" s="49" t="str">
        <f aca="false">IFERROR(MATCH(233,TblApplications[Rang frise],0),"")</f>
        <v/>
      </c>
      <c r="B241" s="50" t="str">
        <f aca="false">IF($A241="","",INDEX(TblApplications[ID],$A241))</f>
        <v/>
      </c>
      <c r="C241" s="50" t="str">
        <f aca="false">IF($A241="","",INDEX(TblApplications[Application],$A241))</f>
        <v/>
      </c>
      <c r="D241" s="50" t="str">
        <f aca="false">IF($A241="","",INDEX(TblApplications[Environnement],$A241))</f>
        <v/>
      </c>
      <c r="E241" s="50" t="str">
        <f aca="false">IF($A241="","",INDEX(TblApplications[Couloir],$A241))</f>
        <v/>
      </c>
      <c r="F241" s="50" t="str">
        <f aca="false">IF($A241="","",INDEX(TblApplications[Action],$A241))</f>
        <v/>
      </c>
      <c r="G241" s="51" t="str">
        <f aca="false">IF(OR($A241="",G$8=""),"",IF($F241="Migré","ROKS",IF($F241="À décommissionner",IF(G$8&lt;$AS241,"IKS","Décom."),IF(OR($AQ241="",$AS241=""),"",IF(G$8&lt;$AQ241,"IKS",IF(G$8&lt;$AS241,IF(G$8=$AR241,"Bascule","Double run"),"ROKS"))))))</f>
        <v/>
      </c>
      <c r="H241" s="51" t="str">
        <f aca="false">IF(OR($A241="",H$8=""),"",IF($F241="Migré","ROKS",IF($F241="À décommissionner",IF(H$8&lt;$AS241,"IKS","Décom."),IF(OR($AQ241="",$AS241=""),"",IF(H$8&lt;$AQ241,"IKS",IF(H$8&lt;$AS241,IF(H$8=$AR241,"Bascule","Double run"),"ROKS"))))))</f>
        <v/>
      </c>
      <c r="I241" s="51" t="str">
        <f aca="false">IF(OR($A241="",I$8=""),"",IF($F241="Migré","ROKS",IF($F241="À décommissionner",IF(I$8&lt;$AS241,"IKS","Décom."),IF(OR($AQ241="",$AS241=""),"",IF(I$8&lt;$AQ241,"IKS",IF(I$8&lt;$AS241,IF(I$8=$AR241,"Bascule","Double run"),"ROKS"))))))</f>
        <v/>
      </c>
      <c r="J241" s="51" t="str">
        <f aca="false">IF(OR($A241="",J$8=""),"",IF($F241="Migré","ROKS",IF($F241="À décommissionner",IF(J$8&lt;$AS241,"IKS","Décom."),IF(OR($AQ241="",$AS241=""),"",IF(J$8&lt;$AQ241,"IKS",IF(J$8&lt;$AS241,IF(J$8=$AR241,"Bascule","Double run"),"ROKS"))))))</f>
        <v/>
      </c>
      <c r="K241" s="51" t="str">
        <f aca="false">IF(OR($A241="",K$8=""),"",IF($F241="Migré","ROKS",IF($F241="À décommissionner",IF(K$8&lt;$AS241,"IKS","Décom."),IF(OR($AQ241="",$AS241=""),"",IF(K$8&lt;$AQ241,"IKS",IF(K$8&lt;$AS241,IF(K$8=$AR241,"Bascule","Double run"),"ROKS"))))))</f>
        <v/>
      </c>
      <c r="L241" s="51" t="str">
        <f aca="false">IF(OR($A241="",L$8=""),"",IF($F241="Migré","ROKS",IF($F241="À décommissionner",IF(L$8&lt;$AS241,"IKS","Décom."),IF(OR($AQ241="",$AS241=""),"",IF(L$8&lt;$AQ241,"IKS",IF(L$8&lt;$AS241,IF(L$8=$AR241,"Bascule","Double run"),"ROKS"))))))</f>
        <v/>
      </c>
      <c r="M241" s="51" t="str">
        <f aca="false">IF(OR($A241="",M$8=""),"",IF($F241="Migré","ROKS",IF($F241="À décommissionner",IF(M$8&lt;$AS241,"IKS","Décom."),IF(OR($AQ241="",$AS241=""),"",IF(M$8&lt;$AQ241,"IKS",IF(M$8&lt;$AS241,IF(M$8=$AR241,"Bascule","Double run"),"ROKS"))))))</f>
        <v/>
      </c>
      <c r="N241" s="51" t="str">
        <f aca="false">IF(OR($A241="",N$8=""),"",IF($F241="Migré","ROKS",IF($F241="À décommissionner",IF(N$8&lt;$AS241,"IKS","Décom."),IF(OR($AQ241="",$AS241=""),"",IF(N$8&lt;$AQ241,"IKS",IF(N$8&lt;$AS241,IF(N$8=$AR241,"Bascule","Double run"),"ROKS"))))))</f>
        <v/>
      </c>
      <c r="O241" s="51" t="str">
        <f aca="false">IF(OR($A241="",O$8=""),"",IF($F241="Migré","ROKS",IF($F241="À décommissionner",IF(O$8&lt;$AS241,"IKS","Décom."),IF(OR($AQ241="",$AS241=""),"",IF(O$8&lt;$AQ241,"IKS",IF(O$8&lt;$AS241,IF(O$8=$AR241,"Bascule","Double run"),"ROKS"))))))</f>
        <v/>
      </c>
      <c r="P241" s="51" t="str">
        <f aca="false">IF(OR($A241="",P$8=""),"",IF($F241="Migré","ROKS",IF($F241="À décommissionner",IF(P$8&lt;$AS241,"IKS","Décom."),IF(OR($AQ241="",$AS241=""),"",IF(P$8&lt;$AQ241,"IKS",IF(P$8&lt;$AS241,IF(P$8=$AR241,"Bascule","Double run"),"ROKS"))))))</f>
        <v/>
      </c>
      <c r="Q241" s="51" t="str">
        <f aca="false">IF(OR($A241="",Q$8=""),"",IF($F241="Migré","ROKS",IF($F241="À décommissionner",IF(Q$8&lt;$AS241,"IKS","Décom."),IF(OR($AQ241="",$AS241=""),"",IF(Q$8&lt;$AQ241,"IKS",IF(Q$8&lt;$AS241,IF(Q$8=$AR241,"Bascule","Double run"),"ROKS"))))))</f>
        <v/>
      </c>
      <c r="R241" s="51" t="str">
        <f aca="false">IF(OR($A241="",R$8=""),"",IF($F241="Migré","ROKS",IF($F241="À décommissionner",IF(R$8&lt;$AS241,"IKS","Décom."),IF(OR($AQ241="",$AS241=""),"",IF(R$8&lt;$AQ241,"IKS",IF(R$8&lt;$AS241,IF(R$8=$AR241,"Bascule","Double run"),"ROKS"))))))</f>
        <v/>
      </c>
      <c r="S241" s="51" t="str">
        <f aca="false">IF(OR($A241="",S$8=""),"",IF($F241="Migré","ROKS",IF($F241="À décommissionner",IF(S$8&lt;$AS241,"IKS","Décom."),IF(OR($AQ241="",$AS241=""),"",IF(S$8&lt;$AQ241,"IKS",IF(S$8&lt;$AS241,IF(S$8=$AR241,"Bascule","Double run"),"ROKS"))))))</f>
        <v/>
      </c>
      <c r="T241" s="51" t="str">
        <f aca="false">IF(OR($A241="",T$8=""),"",IF($F241="Migré","ROKS",IF($F241="À décommissionner",IF(T$8&lt;$AS241,"IKS","Décom."),IF(OR($AQ241="",$AS241=""),"",IF(T$8&lt;$AQ241,"IKS",IF(T$8&lt;$AS241,IF(T$8=$AR241,"Bascule","Double run"),"ROKS"))))))</f>
        <v/>
      </c>
      <c r="U241" s="51" t="str">
        <f aca="false">IF(OR($A241="",U$8=""),"",IF($F241="Migré","ROKS",IF($F241="À décommissionner",IF(U$8&lt;$AS241,"IKS","Décom."),IF(OR($AQ241="",$AS241=""),"",IF(U$8&lt;$AQ241,"IKS",IF(U$8&lt;$AS241,IF(U$8=$AR241,"Bascule","Double run"),"ROKS"))))))</f>
        <v/>
      </c>
      <c r="V241" s="51" t="str">
        <f aca="false">IF(OR($A241="",V$8=""),"",IF($F241="Migré","ROKS",IF($F241="À décommissionner",IF(V$8&lt;$AS241,"IKS","Décom."),IF(OR($AQ241="",$AS241=""),"",IF(V$8&lt;$AQ241,"IKS",IF(V$8&lt;$AS241,IF(V$8=$AR241,"Bascule","Double run"),"ROKS"))))))</f>
        <v/>
      </c>
      <c r="W241" s="51" t="str">
        <f aca="false">IF(OR($A241="",W$8=""),"",IF($F241="Migré","ROKS",IF($F241="À décommissionner",IF(W$8&lt;$AS241,"IKS","Décom."),IF(OR($AQ241="",$AS241=""),"",IF(W$8&lt;$AQ241,"IKS",IF(W$8&lt;$AS241,IF(W$8=$AR241,"Bascule","Double run"),"ROKS"))))))</f>
        <v/>
      </c>
      <c r="X241" s="51" t="str">
        <f aca="false">IF(OR($A241="",X$8=""),"",IF($F241="Migré","ROKS",IF($F241="À décommissionner",IF(X$8&lt;$AS241,"IKS","Décom."),IF(OR($AQ241="",$AS241=""),"",IF(X$8&lt;$AQ241,"IKS",IF(X$8&lt;$AS241,IF(X$8=$AR241,"Bascule","Double run"),"ROKS"))))))</f>
        <v/>
      </c>
      <c r="Y241" s="51" t="str">
        <f aca="false">IF(OR($A241="",Y$8=""),"",IF($F241="Migré","ROKS",IF($F241="À décommissionner",IF(Y$8&lt;$AS241,"IKS","Décom."),IF(OR($AQ241="",$AS241=""),"",IF(Y$8&lt;$AQ241,"IKS",IF(Y$8&lt;$AS241,IF(Y$8=$AR241,"Bascule","Double run"),"ROKS"))))))</f>
        <v/>
      </c>
      <c r="Z241" s="51" t="str">
        <f aca="false">IF(OR($A241="",Z$8=""),"",IF($F241="Migré","ROKS",IF($F241="À décommissionner",IF(Z$8&lt;$AS241,"IKS","Décom."),IF(OR($AQ241="",$AS241=""),"",IF(Z$8&lt;$AQ241,"IKS",IF(Z$8&lt;$AS241,IF(Z$8=$AR241,"Bascule","Double run"),"ROKS"))))))</f>
        <v/>
      </c>
      <c r="AA241" s="51" t="str">
        <f aca="false">IF(OR($A241="",AA$8=""),"",IF($F241="Migré","ROKS",IF($F241="À décommissionner",IF(AA$8&lt;$AS241,"IKS","Décom."),IF(OR($AQ241="",$AS241=""),"",IF(AA$8&lt;$AQ241,"IKS",IF(AA$8&lt;$AS241,IF(AA$8=$AR241,"Bascule","Double run"),"ROKS"))))))</f>
        <v/>
      </c>
      <c r="AB241" s="51" t="str">
        <f aca="false">IF(OR($A241="",AB$8=""),"",IF($F241="Migré","ROKS",IF($F241="À décommissionner",IF(AB$8&lt;$AS241,"IKS","Décom."),IF(OR($AQ241="",$AS241=""),"",IF(AB$8&lt;$AQ241,"IKS",IF(AB$8&lt;$AS241,IF(AB$8=$AR241,"Bascule","Double run"),"ROKS"))))))</f>
        <v/>
      </c>
      <c r="AC241" s="51" t="str">
        <f aca="false">IF(OR($A241="",AC$8=""),"",IF($F241="Migré","ROKS",IF($F241="À décommissionner",IF(AC$8&lt;$AS241,"IKS","Décom."),IF(OR($AQ241="",$AS241=""),"",IF(AC$8&lt;$AQ241,"IKS",IF(AC$8&lt;$AS241,IF(AC$8=$AR241,"Bascule","Double run"),"ROKS"))))))</f>
        <v/>
      </c>
      <c r="AD241" s="51" t="str">
        <f aca="false">IF(OR($A241="",AD$8=""),"",IF($F241="Migré","ROKS",IF($F241="À décommissionner",IF(AD$8&lt;$AS241,"IKS","Décom."),IF(OR($AQ241="",$AS241=""),"",IF(AD$8&lt;$AQ241,"IKS",IF(AD$8&lt;$AS241,IF(AD$8=$AR241,"Bascule","Double run"),"ROKS"))))))</f>
        <v/>
      </c>
      <c r="AE241" s="51" t="str">
        <f aca="false">IF(OR($A241="",AE$8=""),"",IF($F241="Migré","ROKS",IF($F241="À décommissionner",IF(AE$8&lt;$AS241,"IKS","Décom."),IF(OR($AQ241="",$AS241=""),"",IF(AE$8&lt;$AQ241,"IKS",IF(AE$8&lt;$AS241,IF(AE$8=$AR241,"Bascule","Double run"),"ROKS"))))))</f>
        <v/>
      </c>
      <c r="AF241" s="51" t="str">
        <f aca="false">IF(OR($A241="",AF$8=""),"",IF($F241="Migré","ROKS",IF($F241="À décommissionner",IF(AF$8&lt;$AS241,"IKS","Décom."),IF(OR($AQ241="",$AS241=""),"",IF(AF$8&lt;$AQ241,"IKS",IF(AF$8&lt;$AS241,IF(AF$8=$AR241,"Bascule","Double run"),"ROKS"))))))</f>
        <v/>
      </c>
      <c r="AG241" s="51" t="str">
        <f aca="false">IF(OR($A241="",AG$8=""),"",IF($F241="Migré","ROKS",IF($F241="À décommissionner",IF(AG$8&lt;$AS241,"IKS","Décom."),IF(OR($AQ241="",$AS241=""),"",IF(AG$8&lt;$AQ241,"IKS",IF(AG$8&lt;$AS241,IF(AG$8=$AR241,"Bascule","Double run"),"ROKS"))))))</f>
        <v/>
      </c>
      <c r="AH241" s="51" t="str">
        <f aca="false">IF(OR($A241="",AH$8=""),"",IF($F241="Migré","ROKS",IF($F241="À décommissionner",IF(AH$8&lt;$AS241,"IKS","Décom."),IF(OR($AQ241="",$AS241=""),"",IF(AH$8&lt;$AQ241,"IKS",IF(AH$8&lt;$AS241,IF(AH$8=$AR241,"Bascule","Double run"),"ROKS"))))))</f>
        <v/>
      </c>
      <c r="AI241" s="51" t="str">
        <f aca="false">IF(OR($A241="",AI$8=""),"",IF($F241="Migré","ROKS",IF($F241="À décommissionner",IF(AI$8&lt;$AS241,"IKS","Décom."),IF(OR($AQ241="",$AS241=""),"",IF(AI$8&lt;$AQ241,"IKS",IF(AI$8&lt;$AS241,IF(AI$8=$AR241,"Bascule","Double run"),"ROKS"))))))</f>
        <v/>
      </c>
      <c r="AJ241" s="51" t="str">
        <f aca="false">IF(OR($A241="",AJ$8=""),"",IF($F241="Migré","ROKS",IF($F241="À décommissionner",IF(AJ$8&lt;$AS241,"IKS","Décom."),IF(OR($AQ241="",$AS241=""),"",IF(AJ$8&lt;$AQ241,"IKS",IF(AJ$8&lt;$AS241,IF(AJ$8=$AR241,"Bascule","Double run"),"ROKS"))))))</f>
        <v/>
      </c>
      <c r="AK241" s="51" t="str">
        <f aca="false">IF(OR($A241="",AK$8=""),"",IF($F241="Migré","ROKS",IF($F241="À décommissionner",IF(AK$8&lt;$AS241,"IKS","Décom."),IF(OR($AQ241="",$AS241=""),"",IF(AK$8&lt;$AQ241,"IKS",IF(AK$8&lt;$AS241,IF(AK$8=$AR241,"Bascule","Double run"),"ROKS"))))))</f>
        <v/>
      </c>
      <c r="AL241" s="51" t="str">
        <f aca="false">IF(OR($A241="",AL$8=""),"",IF($F241="Migré","ROKS",IF($F241="À décommissionner",IF(AL$8&lt;$AS241,"IKS","Décom."),IF(OR($AQ241="",$AS241=""),"",IF(AL$8&lt;$AQ241,"IKS",IF(AL$8&lt;$AS241,IF(AL$8=$AR241,"Bascule","Double run"),"ROKS"))))))</f>
        <v/>
      </c>
      <c r="AM241" s="51" t="str">
        <f aca="false">IF(OR($A241="",AM$8=""),"",IF($F241="Migré","ROKS",IF($F241="À décommissionner",IF(AM$8&lt;$AS241,"IKS","Décom."),IF(OR($AQ241="",$AS241=""),"",IF(AM$8&lt;$AQ241,"IKS",IF(AM$8&lt;$AS241,IF(AM$8=$AR241,"Bascule","Double run"),"ROKS"))))))</f>
        <v/>
      </c>
      <c r="AN241" s="51" t="str">
        <f aca="false">IF(OR($A241="",AN$8=""),"",IF($F241="Migré","ROKS",IF($F241="À décommissionner",IF(AN$8&lt;$AS241,"IKS","Décom."),IF(OR($AQ241="",$AS241=""),"",IF(AN$8&lt;$AQ241,"IKS",IF(AN$8&lt;$AS241,IF(AN$8=$AR241,"Bascule","Double run"),"ROKS"))))))</f>
        <v/>
      </c>
      <c r="AO241" s="51" t="str">
        <f aca="false">IF(OR($A241="",AO$8=""),"",IF($F241="Migré","ROKS",IF($F241="À décommissionner",IF(AO$8&lt;$AS241,"IKS","Décom."),IF(OR($AQ241="",$AS241=""),"",IF(AO$8&lt;$AQ241,"IKS",IF(AO$8&lt;$AS241,IF(AO$8=$AR241,"Bascule","Double run"),"ROKS"))))))</f>
        <v/>
      </c>
      <c r="AP241" s="51" t="str">
        <f aca="false">IF(OR($A241="",AP$8=""),"",IF($F241="Migré","ROKS",IF($F241="À décommissionner",IF(AP$8&lt;$AS241,"IKS","Décom."),IF(OR($AQ241="",$AS241=""),"",IF(AP$8&lt;$AQ241,"IKS",IF(AP$8&lt;$AS241,IF(AP$8=$AR241,"Bascule","Double run"),"ROKS"))))))</f>
        <v/>
      </c>
      <c r="AQ241" s="0" t="str">
        <f aca="false">IF($A241="","",INDEX(TblApplications[Mois prov (calc)],$A241))</f>
        <v/>
      </c>
      <c r="AR241" s="0" t="str">
        <f aca="false">IF($A241="","",IFERROR(DATE(YEAR(INDEX(TblApplications[Mois bascule],$A241)),MONTH(INDEX(TblApplications[Mois bascule],$A241)),1),""))</f>
        <v/>
      </c>
      <c r="AS241" s="0" t="str">
        <f aca="false">IF($A241="","",INDEX(TblApplications[Mois lib (calc)],$A241))</f>
        <v/>
      </c>
    </row>
    <row r="242" customFormat="false" ht="15" hidden="false" customHeight="false" outlineLevel="0" collapsed="false">
      <c r="A242" s="49" t="str">
        <f aca="false">IFERROR(MATCH(234,TblApplications[Rang frise],0),"")</f>
        <v/>
      </c>
      <c r="B242" s="50" t="str">
        <f aca="false">IF($A242="","",INDEX(TblApplications[ID],$A242))</f>
        <v/>
      </c>
      <c r="C242" s="50" t="str">
        <f aca="false">IF($A242="","",INDEX(TblApplications[Application],$A242))</f>
        <v/>
      </c>
      <c r="D242" s="50" t="str">
        <f aca="false">IF($A242="","",INDEX(TblApplications[Environnement],$A242))</f>
        <v/>
      </c>
      <c r="E242" s="50" t="str">
        <f aca="false">IF($A242="","",INDEX(TblApplications[Couloir],$A242))</f>
        <v/>
      </c>
      <c r="F242" s="50" t="str">
        <f aca="false">IF($A242="","",INDEX(TblApplications[Action],$A242))</f>
        <v/>
      </c>
      <c r="G242" s="51" t="str">
        <f aca="false">IF(OR($A242="",G$8=""),"",IF($F242="Migré","ROKS",IF($F242="À décommissionner",IF(G$8&lt;$AS242,"IKS","Décom."),IF(OR($AQ242="",$AS242=""),"",IF(G$8&lt;$AQ242,"IKS",IF(G$8&lt;$AS242,IF(G$8=$AR242,"Bascule","Double run"),"ROKS"))))))</f>
        <v/>
      </c>
      <c r="H242" s="51" t="str">
        <f aca="false">IF(OR($A242="",H$8=""),"",IF($F242="Migré","ROKS",IF($F242="À décommissionner",IF(H$8&lt;$AS242,"IKS","Décom."),IF(OR($AQ242="",$AS242=""),"",IF(H$8&lt;$AQ242,"IKS",IF(H$8&lt;$AS242,IF(H$8=$AR242,"Bascule","Double run"),"ROKS"))))))</f>
        <v/>
      </c>
      <c r="I242" s="51" t="str">
        <f aca="false">IF(OR($A242="",I$8=""),"",IF($F242="Migré","ROKS",IF($F242="À décommissionner",IF(I$8&lt;$AS242,"IKS","Décom."),IF(OR($AQ242="",$AS242=""),"",IF(I$8&lt;$AQ242,"IKS",IF(I$8&lt;$AS242,IF(I$8=$AR242,"Bascule","Double run"),"ROKS"))))))</f>
        <v/>
      </c>
      <c r="J242" s="51" t="str">
        <f aca="false">IF(OR($A242="",J$8=""),"",IF($F242="Migré","ROKS",IF($F242="À décommissionner",IF(J$8&lt;$AS242,"IKS","Décom."),IF(OR($AQ242="",$AS242=""),"",IF(J$8&lt;$AQ242,"IKS",IF(J$8&lt;$AS242,IF(J$8=$AR242,"Bascule","Double run"),"ROKS"))))))</f>
        <v/>
      </c>
      <c r="K242" s="51" t="str">
        <f aca="false">IF(OR($A242="",K$8=""),"",IF($F242="Migré","ROKS",IF($F242="À décommissionner",IF(K$8&lt;$AS242,"IKS","Décom."),IF(OR($AQ242="",$AS242=""),"",IF(K$8&lt;$AQ242,"IKS",IF(K$8&lt;$AS242,IF(K$8=$AR242,"Bascule","Double run"),"ROKS"))))))</f>
        <v/>
      </c>
      <c r="L242" s="51" t="str">
        <f aca="false">IF(OR($A242="",L$8=""),"",IF($F242="Migré","ROKS",IF($F242="À décommissionner",IF(L$8&lt;$AS242,"IKS","Décom."),IF(OR($AQ242="",$AS242=""),"",IF(L$8&lt;$AQ242,"IKS",IF(L$8&lt;$AS242,IF(L$8=$AR242,"Bascule","Double run"),"ROKS"))))))</f>
        <v/>
      </c>
      <c r="M242" s="51" t="str">
        <f aca="false">IF(OR($A242="",M$8=""),"",IF($F242="Migré","ROKS",IF($F242="À décommissionner",IF(M$8&lt;$AS242,"IKS","Décom."),IF(OR($AQ242="",$AS242=""),"",IF(M$8&lt;$AQ242,"IKS",IF(M$8&lt;$AS242,IF(M$8=$AR242,"Bascule","Double run"),"ROKS"))))))</f>
        <v/>
      </c>
      <c r="N242" s="51" t="str">
        <f aca="false">IF(OR($A242="",N$8=""),"",IF($F242="Migré","ROKS",IF($F242="À décommissionner",IF(N$8&lt;$AS242,"IKS","Décom."),IF(OR($AQ242="",$AS242=""),"",IF(N$8&lt;$AQ242,"IKS",IF(N$8&lt;$AS242,IF(N$8=$AR242,"Bascule","Double run"),"ROKS"))))))</f>
        <v/>
      </c>
      <c r="O242" s="51" t="str">
        <f aca="false">IF(OR($A242="",O$8=""),"",IF($F242="Migré","ROKS",IF($F242="À décommissionner",IF(O$8&lt;$AS242,"IKS","Décom."),IF(OR($AQ242="",$AS242=""),"",IF(O$8&lt;$AQ242,"IKS",IF(O$8&lt;$AS242,IF(O$8=$AR242,"Bascule","Double run"),"ROKS"))))))</f>
        <v/>
      </c>
      <c r="P242" s="51" t="str">
        <f aca="false">IF(OR($A242="",P$8=""),"",IF($F242="Migré","ROKS",IF($F242="À décommissionner",IF(P$8&lt;$AS242,"IKS","Décom."),IF(OR($AQ242="",$AS242=""),"",IF(P$8&lt;$AQ242,"IKS",IF(P$8&lt;$AS242,IF(P$8=$AR242,"Bascule","Double run"),"ROKS"))))))</f>
        <v/>
      </c>
      <c r="Q242" s="51" t="str">
        <f aca="false">IF(OR($A242="",Q$8=""),"",IF($F242="Migré","ROKS",IF($F242="À décommissionner",IF(Q$8&lt;$AS242,"IKS","Décom."),IF(OR($AQ242="",$AS242=""),"",IF(Q$8&lt;$AQ242,"IKS",IF(Q$8&lt;$AS242,IF(Q$8=$AR242,"Bascule","Double run"),"ROKS"))))))</f>
        <v/>
      </c>
      <c r="R242" s="51" t="str">
        <f aca="false">IF(OR($A242="",R$8=""),"",IF($F242="Migré","ROKS",IF($F242="À décommissionner",IF(R$8&lt;$AS242,"IKS","Décom."),IF(OR($AQ242="",$AS242=""),"",IF(R$8&lt;$AQ242,"IKS",IF(R$8&lt;$AS242,IF(R$8=$AR242,"Bascule","Double run"),"ROKS"))))))</f>
        <v/>
      </c>
      <c r="S242" s="51" t="str">
        <f aca="false">IF(OR($A242="",S$8=""),"",IF($F242="Migré","ROKS",IF($F242="À décommissionner",IF(S$8&lt;$AS242,"IKS","Décom."),IF(OR($AQ242="",$AS242=""),"",IF(S$8&lt;$AQ242,"IKS",IF(S$8&lt;$AS242,IF(S$8=$AR242,"Bascule","Double run"),"ROKS"))))))</f>
        <v/>
      </c>
      <c r="T242" s="51" t="str">
        <f aca="false">IF(OR($A242="",T$8=""),"",IF($F242="Migré","ROKS",IF($F242="À décommissionner",IF(T$8&lt;$AS242,"IKS","Décom."),IF(OR($AQ242="",$AS242=""),"",IF(T$8&lt;$AQ242,"IKS",IF(T$8&lt;$AS242,IF(T$8=$AR242,"Bascule","Double run"),"ROKS"))))))</f>
        <v/>
      </c>
      <c r="U242" s="51" t="str">
        <f aca="false">IF(OR($A242="",U$8=""),"",IF($F242="Migré","ROKS",IF($F242="À décommissionner",IF(U$8&lt;$AS242,"IKS","Décom."),IF(OR($AQ242="",$AS242=""),"",IF(U$8&lt;$AQ242,"IKS",IF(U$8&lt;$AS242,IF(U$8=$AR242,"Bascule","Double run"),"ROKS"))))))</f>
        <v/>
      </c>
      <c r="V242" s="51" t="str">
        <f aca="false">IF(OR($A242="",V$8=""),"",IF($F242="Migré","ROKS",IF($F242="À décommissionner",IF(V$8&lt;$AS242,"IKS","Décom."),IF(OR($AQ242="",$AS242=""),"",IF(V$8&lt;$AQ242,"IKS",IF(V$8&lt;$AS242,IF(V$8=$AR242,"Bascule","Double run"),"ROKS"))))))</f>
        <v/>
      </c>
      <c r="W242" s="51" t="str">
        <f aca="false">IF(OR($A242="",W$8=""),"",IF($F242="Migré","ROKS",IF($F242="À décommissionner",IF(W$8&lt;$AS242,"IKS","Décom."),IF(OR($AQ242="",$AS242=""),"",IF(W$8&lt;$AQ242,"IKS",IF(W$8&lt;$AS242,IF(W$8=$AR242,"Bascule","Double run"),"ROKS"))))))</f>
        <v/>
      </c>
      <c r="X242" s="51" t="str">
        <f aca="false">IF(OR($A242="",X$8=""),"",IF($F242="Migré","ROKS",IF($F242="À décommissionner",IF(X$8&lt;$AS242,"IKS","Décom."),IF(OR($AQ242="",$AS242=""),"",IF(X$8&lt;$AQ242,"IKS",IF(X$8&lt;$AS242,IF(X$8=$AR242,"Bascule","Double run"),"ROKS"))))))</f>
        <v/>
      </c>
      <c r="Y242" s="51" t="str">
        <f aca="false">IF(OR($A242="",Y$8=""),"",IF($F242="Migré","ROKS",IF($F242="À décommissionner",IF(Y$8&lt;$AS242,"IKS","Décom."),IF(OR($AQ242="",$AS242=""),"",IF(Y$8&lt;$AQ242,"IKS",IF(Y$8&lt;$AS242,IF(Y$8=$AR242,"Bascule","Double run"),"ROKS"))))))</f>
        <v/>
      </c>
      <c r="Z242" s="51" t="str">
        <f aca="false">IF(OR($A242="",Z$8=""),"",IF($F242="Migré","ROKS",IF($F242="À décommissionner",IF(Z$8&lt;$AS242,"IKS","Décom."),IF(OR($AQ242="",$AS242=""),"",IF(Z$8&lt;$AQ242,"IKS",IF(Z$8&lt;$AS242,IF(Z$8=$AR242,"Bascule","Double run"),"ROKS"))))))</f>
        <v/>
      </c>
      <c r="AA242" s="51" t="str">
        <f aca="false">IF(OR($A242="",AA$8=""),"",IF($F242="Migré","ROKS",IF($F242="À décommissionner",IF(AA$8&lt;$AS242,"IKS","Décom."),IF(OR($AQ242="",$AS242=""),"",IF(AA$8&lt;$AQ242,"IKS",IF(AA$8&lt;$AS242,IF(AA$8=$AR242,"Bascule","Double run"),"ROKS"))))))</f>
        <v/>
      </c>
      <c r="AB242" s="51" t="str">
        <f aca="false">IF(OR($A242="",AB$8=""),"",IF($F242="Migré","ROKS",IF($F242="À décommissionner",IF(AB$8&lt;$AS242,"IKS","Décom."),IF(OR($AQ242="",$AS242=""),"",IF(AB$8&lt;$AQ242,"IKS",IF(AB$8&lt;$AS242,IF(AB$8=$AR242,"Bascule","Double run"),"ROKS"))))))</f>
        <v/>
      </c>
      <c r="AC242" s="51" t="str">
        <f aca="false">IF(OR($A242="",AC$8=""),"",IF($F242="Migré","ROKS",IF($F242="À décommissionner",IF(AC$8&lt;$AS242,"IKS","Décom."),IF(OR($AQ242="",$AS242=""),"",IF(AC$8&lt;$AQ242,"IKS",IF(AC$8&lt;$AS242,IF(AC$8=$AR242,"Bascule","Double run"),"ROKS"))))))</f>
        <v/>
      </c>
      <c r="AD242" s="51" t="str">
        <f aca="false">IF(OR($A242="",AD$8=""),"",IF($F242="Migré","ROKS",IF($F242="À décommissionner",IF(AD$8&lt;$AS242,"IKS","Décom."),IF(OR($AQ242="",$AS242=""),"",IF(AD$8&lt;$AQ242,"IKS",IF(AD$8&lt;$AS242,IF(AD$8=$AR242,"Bascule","Double run"),"ROKS"))))))</f>
        <v/>
      </c>
      <c r="AE242" s="51" t="str">
        <f aca="false">IF(OR($A242="",AE$8=""),"",IF($F242="Migré","ROKS",IF($F242="À décommissionner",IF(AE$8&lt;$AS242,"IKS","Décom."),IF(OR($AQ242="",$AS242=""),"",IF(AE$8&lt;$AQ242,"IKS",IF(AE$8&lt;$AS242,IF(AE$8=$AR242,"Bascule","Double run"),"ROKS"))))))</f>
        <v/>
      </c>
      <c r="AF242" s="51" t="str">
        <f aca="false">IF(OR($A242="",AF$8=""),"",IF($F242="Migré","ROKS",IF($F242="À décommissionner",IF(AF$8&lt;$AS242,"IKS","Décom."),IF(OR($AQ242="",$AS242=""),"",IF(AF$8&lt;$AQ242,"IKS",IF(AF$8&lt;$AS242,IF(AF$8=$AR242,"Bascule","Double run"),"ROKS"))))))</f>
        <v/>
      </c>
      <c r="AG242" s="51" t="str">
        <f aca="false">IF(OR($A242="",AG$8=""),"",IF($F242="Migré","ROKS",IF($F242="À décommissionner",IF(AG$8&lt;$AS242,"IKS","Décom."),IF(OR($AQ242="",$AS242=""),"",IF(AG$8&lt;$AQ242,"IKS",IF(AG$8&lt;$AS242,IF(AG$8=$AR242,"Bascule","Double run"),"ROKS"))))))</f>
        <v/>
      </c>
      <c r="AH242" s="51" t="str">
        <f aca="false">IF(OR($A242="",AH$8=""),"",IF($F242="Migré","ROKS",IF($F242="À décommissionner",IF(AH$8&lt;$AS242,"IKS","Décom."),IF(OR($AQ242="",$AS242=""),"",IF(AH$8&lt;$AQ242,"IKS",IF(AH$8&lt;$AS242,IF(AH$8=$AR242,"Bascule","Double run"),"ROKS"))))))</f>
        <v/>
      </c>
      <c r="AI242" s="51" t="str">
        <f aca="false">IF(OR($A242="",AI$8=""),"",IF($F242="Migré","ROKS",IF($F242="À décommissionner",IF(AI$8&lt;$AS242,"IKS","Décom."),IF(OR($AQ242="",$AS242=""),"",IF(AI$8&lt;$AQ242,"IKS",IF(AI$8&lt;$AS242,IF(AI$8=$AR242,"Bascule","Double run"),"ROKS"))))))</f>
        <v/>
      </c>
      <c r="AJ242" s="51" t="str">
        <f aca="false">IF(OR($A242="",AJ$8=""),"",IF($F242="Migré","ROKS",IF($F242="À décommissionner",IF(AJ$8&lt;$AS242,"IKS","Décom."),IF(OR($AQ242="",$AS242=""),"",IF(AJ$8&lt;$AQ242,"IKS",IF(AJ$8&lt;$AS242,IF(AJ$8=$AR242,"Bascule","Double run"),"ROKS"))))))</f>
        <v/>
      </c>
      <c r="AK242" s="51" t="str">
        <f aca="false">IF(OR($A242="",AK$8=""),"",IF($F242="Migré","ROKS",IF($F242="À décommissionner",IF(AK$8&lt;$AS242,"IKS","Décom."),IF(OR($AQ242="",$AS242=""),"",IF(AK$8&lt;$AQ242,"IKS",IF(AK$8&lt;$AS242,IF(AK$8=$AR242,"Bascule","Double run"),"ROKS"))))))</f>
        <v/>
      </c>
      <c r="AL242" s="51" t="str">
        <f aca="false">IF(OR($A242="",AL$8=""),"",IF($F242="Migré","ROKS",IF($F242="À décommissionner",IF(AL$8&lt;$AS242,"IKS","Décom."),IF(OR($AQ242="",$AS242=""),"",IF(AL$8&lt;$AQ242,"IKS",IF(AL$8&lt;$AS242,IF(AL$8=$AR242,"Bascule","Double run"),"ROKS"))))))</f>
        <v/>
      </c>
      <c r="AM242" s="51" t="str">
        <f aca="false">IF(OR($A242="",AM$8=""),"",IF($F242="Migré","ROKS",IF($F242="À décommissionner",IF(AM$8&lt;$AS242,"IKS","Décom."),IF(OR($AQ242="",$AS242=""),"",IF(AM$8&lt;$AQ242,"IKS",IF(AM$8&lt;$AS242,IF(AM$8=$AR242,"Bascule","Double run"),"ROKS"))))))</f>
        <v/>
      </c>
      <c r="AN242" s="51" t="str">
        <f aca="false">IF(OR($A242="",AN$8=""),"",IF($F242="Migré","ROKS",IF($F242="À décommissionner",IF(AN$8&lt;$AS242,"IKS","Décom."),IF(OR($AQ242="",$AS242=""),"",IF(AN$8&lt;$AQ242,"IKS",IF(AN$8&lt;$AS242,IF(AN$8=$AR242,"Bascule","Double run"),"ROKS"))))))</f>
        <v/>
      </c>
      <c r="AO242" s="51" t="str">
        <f aca="false">IF(OR($A242="",AO$8=""),"",IF($F242="Migré","ROKS",IF($F242="À décommissionner",IF(AO$8&lt;$AS242,"IKS","Décom."),IF(OR($AQ242="",$AS242=""),"",IF(AO$8&lt;$AQ242,"IKS",IF(AO$8&lt;$AS242,IF(AO$8=$AR242,"Bascule","Double run"),"ROKS"))))))</f>
        <v/>
      </c>
      <c r="AP242" s="51" t="str">
        <f aca="false">IF(OR($A242="",AP$8=""),"",IF($F242="Migré","ROKS",IF($F242="À décommissionner",IF(AP$8&lt;$AS242,"IKS","Décom."),IF(OR($AQ242="",$AS242=""),"",IF(AP$8&lt;$AQ242,"IKS",IF(AP$8&lt;$AS242,IF(AP$8=$AR242,"Bascule","Double run"),"ROKS"))))))</f>
        <v/>
      </c>
      <c r="AQ242" s="0" t="str">
        <f aca="false">IF($A242="","",INDEX(TblApplications[Mois prov (calc)],$A242))</f>
        <v/>
      </c>
      <c r="AR242" s="0" t="str">
        <f aca="false">IF($A242="","",IFERROR(DATE(YEAR(INDEX(TblApplications[Mois bascule],$A242)),MONTH(INDEX(TblApplications[Mois bascule],$A242)),1),""))</f>
        <v/>
      </c>
      <c r="AS242" s="0" t="str">
        <f aca="false">IF($A242="","",INDEX(TblApplications[Mois lib (calc)],$A242))</f>
        <v/>
      </c>
    </row>
    <row r="243" customFormat="false" ht="15" hidden="false" customHeight="false" outlineLevel="0" collapsed="false">
      <c r="A243" s="49" t="str">
        <f aca="false">IFERROR(MATCH(235,TblApplications[Rang frise],0),"")</f>
        <v/>
      </c>
      <c r="B243" s="50" t="str">
        <f aca="false">IF($A243="","",INDEX(TblApplications[ID],$A243))</f>
        <v/>
      </c>
      <c r="C243" s="50" t="str">
        <f aca="false">IF($A243="","",INDEX(TblApplications[Application],$A243))</f>
        <v/>
      </c>
      <c r="D243" s="50" t="str">
        <f aca="false">IF($A243="","",INDEX(TblApplications[Environnement],$A243))</f>
        <v/>
      </c>
      <c r="E243" s="50" t="str">
        <f aca="false">IF($A243="","",INDEX(TblApplications[Couloir],$A243))</f>
        <v/>
      </c>
      <c r="F243" s="50" t="str">
        <f aca="false">IF($A243="","",INDEX(TblApplications[Action],$A243))</f>
        <v/>
      </c>
      <c r="G243" s="51" t="str">
        <f aca="false">IF(OR($A243="",G$8=""),"",IF($F243="Migré","ROKS",IF($F243="À décommissionner",IF(G$8&lt;$AS243,"IKS","Décom."),IF(OR($AQ243="",$AS243=""),"",IF(G$8&lt;$AQ243,"IKS",IF(G$8&lt;$AS243,IF(G$8=$AR243,"Bascule","Double run"),"ROKS"))))))</f>
        <v/>
      </c>
      <c r="H243" s="51" t="str">
        <f aca="false">IF(OR($A243="",H$8=""),"",IF($F243="Migré","ROKS",IF($F243="À décommissionner",IF(H$8&lt;$AS243,"IKS","Décom."),IF(OR($AQ243="",$AS243=""),"",IF(H$8&lt;$AQ243,"IKS",IF(H$8&lt;$AS243,IF(H$8=$AR243,"Bascule","Double run"),"ROKS"))))))</f>
        <v/>
      </c>
      <c r="I243" s="51" t="str">
        <f aca="false">IF(OR($A243="",I$8=""),"",IF($F243="Migré","ROKS",IF($F243="À décommissionner",IF(I$8&lt;$AS243,"IKS","Décom."),IF(OR($AQ243="",$AS243=""),"",IF(I$8&lt;$AQ243,"IKS",IF(I$8&lt;$AS243,IF(I$8=$AR243,"Bascule","Double run"),"ROKS"))))))</f>
        <v/>
      </c>
      <c r="J243" s="51" t="str">
        <f aca="false">IF(OR($A243="",J$8=""),"",IF($F243="Migré","ROKS",IF($F243="À décommissionner",IF(J$8&lt;$AS243,"IKS","Décom."),IF(OR($AQ243="",$AS243=""),"",IF(J$8&lt;$AQ243,"IKS",IF(J$8&lt;$AS243,IF(J$8=$AR243,"Bascule","Double run"),"ROKS"))))))</f>
        <v/>
      </c>
      <c r="K243" s="51" t="str">
        <f aca="false">IF(OR($A243="",K$8=""),"",IF($F243="Migré","ROKS",IF($F243="À décommissionner",IF(K$8&lt;$AS243,"IKS","Décom."),IF(OR($AQ243="",$AS243=""),"",IF(K$8&lt;$AQ243,"IKS",IF(K$8&lt;$AS243,IF(K$8=$AR243,"Bascule","Double run"),"ROKS"))))))</f>
        <v/>
      </c>
      <c r="L243" s="51" t="str">
        <f aca="false">IF(OR($A243="",L$8=""),"",IF($F243="Migré","ROKS",IF($F243="À décommissionner",IF(L$8&lt;$AS243,"IKS","Décom."),IF(OR($AQ243="",$AS243=""),"",IF(L$8&lt;$AQ243,"IKS",IF(L$8&lt;$AS243,IF(L$8=$AR243,"Bascule","Double run"),"ROKS"))))))</f>
        <v/>
      </c>
      <c r="M243" s="51" t="str">
        <f aca="false">IF(OR($A243="",M$8=""),"",IF($F243="Migré","ROKS",IF($F243="À décommissionner",IF(M$8&lt;$AS243,"IKS","Décom."),IF(OR($AQ243="",$AS243=""),"",IF(M$8&lt;$AQ243,"IKS",IF(M$8&lt;$AS243,IF(M$8=$AR243,"Bascule","Double run"),"ROKS"))))))</f>
        <v/>
      </c>
      <c r="N243" s="51" t="str">
        <f aca="false">IF(OR($A243="",N$8=""),"",IF($F243="Migré","ROKS",IF($F243="À décommissionner",IF(N$8&lt;$AS243,"IKS","Décom."),IF(OR($AQ243="",$AS243=""),"",IF(N$8&lt;$AQ243,"IKS",IF(N$8&lt;$AS243,IF(N$8=$AR243,"Bascule","Double run"),"ROKS"))))))</f>
        <v/>
      </c>
      <c r="O243" s="51" t="str">
        <f aca="false">IF(OR($A243="",O$8=""),"",IF($F243="Migré","ROKS",IF($F243="À décommissionner",IF(O$8&lt;$AS243,"IKS","Décom."),IF(OR($AQ243="",$AS243=""),"",IF(O$8&lt;$AQ243,"IKS",IF(O$8&lt;$AS243,IF(O$8=$AR243,"Bascule","Double run"),"ROKS"))))))</f>
        <v/>
      </c>
      <c r="P243" s="51" t="str">
        <f aca="false">IF(OR($A243="",P$8=""),"",IF($F243="Migré","ROKS",IF($F243="À décommissionner",IF(P$8&lt;$AS243,"IKS","Décom."),IF(OR($AQ243="",$AS243=""),"",IF(P$8&lt;$AQ243,"IKS",IF(P$8&lt;$AS243,IF(P$8=$AR243,"Bascule","Double run"),"ROKS"))))))</f>
        <v/>
      </c>
      <c r="Q243" s="51" t="str">
        <f aca="false">IF(OR($A243="",Q$8=""),"",IF($F243="Migré","ROKS",IF($F243="À décommissionner",IF(Q$8&lt;$AS243,"IKS","Décom."),IF(OR($AQ243="",$AS243=""),"",IF(Q$8&lt;$AQ243,"IKS",IF(Q$8&lt;$AS243,IF(Q$8=$AR243,"Bascule","Double run"),"ROKS"))))))</f>
        <v/>
      </c>
      <c r="R243" s="51" t="str">
        <f aca="false">IF(OR($A243="",R$8=""),"",IF($F243="Migré","ROKS",IF($F243="À décommissionner",IF(R$8&lt;$AS243,"IKS","Décom."),IF(OR($AQ243="",$AS243=""),"",IF(R$8&lt;$AQ243,"IKS",IF(R$8&lt;$AS243,IF(R$8=$AR243,"Bascule","Double run"),"ROKS"))))))</f>
        <v/>
      </c>
      <c r="S243" s="51" t="str">
        <f aca="false">IF(OR($A243="",S$8=""),"",IF($F243="Migré","ROKS",IF($F243="À décommissionner",IF(S$8&lt;$AS243,"IKS","Décom."),IF(OR($AQ243="",$AS243=""),"",IF(S$8&lt;$AQ243,"IKS",IF(S$8&lt;$AS243,IF(S$8=$AR243,"Bascule","Double run"),"ROKS"))))))</f>
        <v/>
      </c>
      <c r="T243" s="51" t="str">
        <f aca="false">IF(OR($A243="",T$8=""),"",IF($F243="Migré","ROKS",IF($F243="À décommissionner",IF(T$8&lt;$AS243,"IKS","Décom."),IF(OR($AQ243="",$AS243=""),"",IF(T$8&lt;$AQ243,"IKS",IF(T$8&lt;$AS243,IF(T$8=$AR243,"Bascule","Double run"),"ROKS"))))))</f>
        <v/>
      </c>
      <c r="U243" s="51" t="str">
        <f aca="false">IF(OR($A243="",U$8=""),"",IF($F243="Migré","ROKS",IF($F243="À décommissionner",IF(U$8&lt;$AS243,"IKS","Décom."),IF(OR($AQ243="",$AS243=""),"",IF(U$8&lt;$AQ243,"IKS",IF(U$8&lt;$AS243,IF(U$8=$AR243,"Bascule","Double run"),"ROKS"))))))</f>
        <v/>
      </c>
      <c r="V243" s="51" t="str">
        <f aca="false">IF(OR($A243="",V$8=""),"",IF($F243="Migré","ROKS",IF($F243="À décommissionner",IF(V$8&lt;$AS243,"IKS","Décom."),IF(OR($AQ243="",$AS243=""),"",IF(V$8&lt;$AQ243,"IKS",IF(V$8&lt;$AS243,IF(V$8=$AR243,"Bascule","Double run"),"ROKS"))))))</f>
        <v/>
      </c>
      <c r="W243" s="51" t="str">
        <f aca="false">IF(OR($A243="",W$8=""),"",IF($F243="Migré","ROKS",IF($F243="À décommissionner",IF(W$8&lt;$AS243,"IKS","Décom."),IF(OR($AQ243="",$AS243=""),"",IF(W$8&lt;$AQ243,"IKS",IF(W$8&lt;$AS243,IF(W$8=$AR243,"Bascule","Double run"),"ROKS"))))))</f>
        <v/>
      </c>
      <c r="X243" s="51" t="str">
        <f aca="false">IF(OR($A243="",X$8=""),"",IF($F243="Migré","ROKS",IF($F243="À décommissionner",IF(X$8&lt;$AS243,"IKS","Décom."),IF(OR($AQ243="",$AS243=""),"",IF(X$8&lt;$AQ243,"IKS",IF(X$8&lt;$AS243,IF(X$8=$AR243,"Bascule","Double run"),"ROKS"))))))</f>
        <v/>
      </c>
      <c r="Y243" s="51" t="str">
        <f aca="false">IF(OR($A243="",Y$8=""),"",IF($F243="Migré","ROKS",IF($F243="À décommissionner",IF(Y$8&lt;$AS243,"IKS","Décom."),IF(OR($AQ243="",$AS243=""),"",IF(Y$8&lt;$AQ243,"IKS",IF(Y$8&lt;$AS243,IF(Y$8=$AR243,"Bascule","Double run"),"ROKS"))))))</f>
        <v/>
      </c>
      <c r="Z243" s="51" t="str">
        <f aca="false">IF(OR($A243="",Z$8=""),"",IF($F243="Migré","ROKS",IF($F243="À décommissionner",IF(Z$8&lt;$AS243,"IKS","Décom."),IF(OR($AQ243="",$AS243=""),"",IF(Z$8&lt;$AQ243,"IKS",IF(Z$8&lt;$AS243,IF(Z$8=$AR243,"Bascule","Double run"),"ROKS"))))))</f>
        <v/>
      </c>
      <c r="AA243" s="51" t="str">
        <f aca="false">IF(OR($A243="",AA$8=""),"",IF($F243="Migré","ROKS",IF($F243="À décommissionner",IF(AA$8&lt;$AS243,"IKS","Décom."),IF(OR($AQ243="",$AS243=""),"",IF(AA$8&lt;$AQ243,"IKS",IF(AA$8&lt;$AS243,IF(AA$8=$AR243,"Bascule","Double run"),"ROKS"))))))</f>
        <v/>
      </c>
      <c r="AB243" s="51" t="str">
        <f aca="false">IF(OR($A243="",AB$8=""),"",IF($F243="Migré","ROKS",IF($F243="À décommissionner",IF(AB$8&lt;$AS243,"IKS","Décom."),IF(OR($AQ243="",$AS243=""),"",IF(AB$8&lt;$AQ243,"IKS",IF(AB$8&lt;$AS243,IF(AB$8=$AR243,"Bascule","Double run"),"ROKS"))))))</f>
        <v/>
      </c>
      <c r="AC243" s="51" t="str">
        <f aca="false">IF(OR($A243="",AC$8=""),"",IF($F243="Migré","ROKS",IF($F243="À décommissionner",IF(AC$8&lt;$AS243,"IKS","Décom."),IF(OR($AQ243="",$AS243=""),"",IF(AC$8&lt;$AQ243,"IKS",IF(AC$8&lt;$AS243,IF(AC$8=$AR243,"Bascule","Double run"),"ROKS"))))))</f>
        <v/>
      </c>
      <c r="AD243" s="51" t="str">
        <f aca="false">IF(OR($A243="",AD$8=""),"",IF($F243="Migré","ROKS",IF($F243="À décommissionner",IF(AD$8&lt;$AS243,"IKS","Décom."),IF(OR($AQ243="",$AS243=""),"",IF(AD$8&lt;$AQ243,"IKS",IF(AD$8&lt;$AS243,IF(AD$8=$AR243,"Bascule","Double run"),"ROKS"))))))</f>
        <v/>
      </c>
      <c r="AE243" s="51" t="str">
        <f aca="false">IF(OR($A243="",AE$8=""),"",IF($F243="Migré","ROKS",IF($F243="À décommissionner",IF(AE$8&lt;$AS243,"IKS","Décom."),IF(OR($AQ243="",$AS243=""),"",IF(AE$8&lt;$AQ243,"IKS",IF(AE$8&lt;$AS243,IF(AE$8=$AR243,"Bascule","Double run"),"ROKS"))))))</f>
        <v/>
      </c>
      <c r="AF243" s="51" t="str">
        <f aca="false">IF(OR($A243="",AF$8=""),"",IF($F243="Migré","ROKS",IF($F243="À décommissionner",IF(AF$8&lt;$AS243,"IKS","Décom."),IF(OR($AQ243="",$AS243=""),"",IF(AF$8&lt;$AQ243,"IKS",IF(AF$8&lt;$AS243,IF(AF$8=$AR243,"Bascule","Double run"),"ROKS"))))))</f>
        <v/>
      </c>
      <c r="AG243" s="51" t="str">
        <f aca="false">IF(OR($A243="",AG$8=""),"",IF($F243="Migré","ROKS",IF($F243="À décommissionner",IF(AG$8&lt;$AS243,"IKS","Décom."),IF(OR($AQ243="",$AS243=""),"",IF(AG$8&lt;$AQ243,"IKS",IF(AG$8&lt;$AS243,IF(AG$8=$AR243,"Bascule","Double run"),"ROKS"))))))</f>
        <v/>
      </c>
      <c r="AH243" s="51" t="str">
        <f aca="false">IF(OR($A243="",AH$8=""),"",IF($F243="Migré","ROKS",IF($F243="À décommissionner",IF(AH$8&lt;$AS243,"IKS","Décom."),IF(OR($AQ243="",$AS243=""),"",IF(AH$8&lt;$AQ243,"IKS",IF(AH$8&lt;$AS243,IF(AH$8=$AR243,"Bascule","Double run"),"ROKS"))))))</f>
        <v/>
      </c>
      <c r="AI243" s="51" t="str">
        <f aca="false">IF(OR($A243="",AI$8=""),"",IF($F243="Migré","ROKS",IF($F243="À décommissionner",IF(AI$8&lt;$AS243,"IKS","Décom."),IF(OR($AQ243="",$AS243=""),"",IF(AI$8&lt;$AQ243,"IKS",IF(AI$8&lt;$AS243,IF(AI$8=$AR243,"Bascule","Double run"),"ROKS"))))))</f>
        <v/>
      </c>
      <c r="AJ243" s="51" t="str">
        <f aca="false">IF(OR($A243="",AJ$8=""),"",IF($F243="Migré","ROKS",IF($F243="À décommissionner",IF(AJ$8&lt;$AS243,"IKS","Décom."),IF(OR($AQ243="",$AS243=""),"",IF(AJ$8&lt;$AQ243,"IKS",IF(AJ$8&lt;$AS243,IF(AJ$8=$AR243,"Bascule","Double run"),"ROKS"))))))</f>
        <v/>
      </c>
      <c r="AK243" s="51" t="str">
        <f aca="false">IF(OR($A243="",AK$8=""),"",IF($F243="Migré","ROKS",IF($F243="À décommissionner",IF(AK$8&lt;$AS243,"IKS","Décom."),IF(OR($AQ243="",$AS243=""),"",IF(AK$8&lt;$AQ243,"IKS",IF(AK$8&lt;$AS243,IF(AK$8=$AR243,"Bascule","Double run"),"ROKS"))))))</f>
        <v/>
      </c>
      <c r="AL243" s="51" t="str">
        <f aca="false">IF(OR($A243="",AL$8=""),"",IF($F243="Migré","ROKS",IF($F243="À décommissionner",IF(AL$8&lt;$AS243,"IKS","Décom."),IF(OR($AQ243="",$AS243=""),"",IF(AL$8&lt;$AQ243,"IKS",IF(AL$8&lt;$AS243,IF(AL$8=$AR243,"Bascule","Double run"),"ROKS"))))))</f>
        <v/>
      </c>
      <c r="AM243" s="51" t="str">
        <f aca="false">IF(OR($A243="",AM$8=""),"",IF($F243="Migré","ROKS",IF($F243="À décommissionner",IF(AM$8&lt;$AS243,"IKS","Décom."),IF(OR($AQ243="",$AS243=""),"",IF(AM$8&lt;$AQ243,"IKS",IF(AM$8&lt;$AS243,IF(AM$8=$AR243,"Bascule","Double run"),"ROKS"))))))</f>
        <v/>
      </c>
      <c r="AN243" s="51" t="str">
        <f aca="false">IF(OR($A243="",AN$8=""),"",IF($F243="Migré","ROKS",IF($F243="À décommissionner",IF(AN$8&lt;$AS243,"IKS","Décom."),IF(OR($AQ243="",$AS243=""),"",IF(AN$8&lt;$AQ243,"IKS",IF(AN$8&lt;$AS243,IF(AN$8=$AR243,"Bascule","Double run"),"ROKS"))))))</f>
        <v/>
      </c>
      <c r="AO243" s="51" t="str">
        <f aca="false">IF(OR($A243="",AO$8=""),"",IF($F243="Migré","ROKS",IF($F243="À décommissionner",IF(AO$8&lt;$AS243,"IKS","Décom."),IF(OR($AQ243="",$AS243=""),"",IF(AO$8&lt;$AQ243,"IKS",IF(AO$8&lt;$AS243,IF(AO$8=$AR243,"Bascule","Double run"),"ROKS"))))))</f>
        <v/>
      </c>
      <c r="AP243" s="51" t="str">
        <f aca="false">IF(OR($A243="",AP$8=""),"",IF($F243="Migré","ROKS",IF($F243="À décommissionner",IF(AP$8&lt;$AS243,"IKS","Décom."),IF(OR($AQ243="",$AS243=""),"",IF(AP$8&lt;$AQ243,"IKS",IF(AP$8&lt;$AS243,IF(AP$8=$AR243,"Bascule","Double run"),"ROKS"))))))</f>
        <v/>
      </c>
      <c r="AQ243" s="0" t="str">
        <f aca="false">IF($A243="","",INDEX(TblApplications[Mois prov (calc)],$A243))</f>
        <v/>
      </c>
      <c r="AR243" s="0" t="str">
        <f aca="false">IF($A243="","",IFERROR(DATE(YEAR(INDEX(TblApplications[Mois bascule],$A243)),MONTH(INDEX(TblApplications[Mois bascule],$A243)),1),""))</f>
        <v/>
      </c>
      <c r="AS243" s="0" t="str">
        <f aca="false">IF($A243="","",INDEX(TblApplications[Mois lib (calc)],$A243))</f>
        <v/>
      </c>
    </row>
    <row r="244" customFormat="false" ht="15" hidden="false" customHeight="false" outlineLevel="0" collapsed="false">
      <c r="A244" s="49" t="str">
        <f aca="false">IFERROR(MATCH(236,TblApplications[Rang frise],0),"")</f>
        <v/>
      </c>
      <c r="B244" s="50" t="str">
        <f aca="false">IF($A244="","",INDEX(TblApplications[ID],$A244))</f>
        <v/>
      </c>
      <c r="C244" s="50" t="str">
        <f aca="false">IF($A244="","",INDEX(TblApplications[Application],$A244))</f>
        <v/>
      </c>
      <c r="D244" s="50" t="str">
        <f aca="false">IF($A244="","",INDEX(TblApplications[Environnement],$A244))</f>
        <v/>
      </c>
      <c r="E244" s="50" t="str">
        <f aca="false">IF($A244="","",INDEX(TblApplications[Couloir],$A244))</f>
        <v/>
      </c>
      <c r="F244" s="50" t="str">
        <f aca="false">IF($A244="","",INDEX(TblApplications[Action],$A244))</f>
        <v/>
      </c>
      <c r="G244" s="51" t="str">
        <f aca="false">IF(OR($A244="",G$8=""),"",IF($F244="Migré","ROKS",IF($F244="À décommissionner",IF(G$8&lt;$AS244,"IKS","Décom."),IF(OR($AQ244="",$AS244=""),"",IF(G$8&lt;$AQ244,"IKS",IF(G$8&lt;$AS244,IF(G$8=$AR244,"Bascule","Double run"),"ROKS"))))))</f>
        <v/>
      </c>
      <c r="H244" s="51" t="str">
        <f aca="false">IF(OR($A244="",H$8=""),"",IF($F244="Migré","ROKS",IF($F244="À décommissionner",IF(H$8&lt;$AS244,"IKS","Décom."),IF(OR($AQ244="",$AS244=""),"",IF(H$8&lt;$AQ244,"IKS",IF(H$8&lt;$AS244,IF(H$8=$AR244,"Bascule","Double run"),"ROKS"))))))</f>
        <v/>
      </c>
      <c r="I244" s="51" t="str">
        <f aca="false">IF(OR($A244="",I$8=""),"",IF($F244="Migré","ROKS",IF($F244="À décommissionner",IF(I$8&lt;$AS244,"IKS","Décom."),IF(OR($AQ244="",$AS244=""),"",IF(I$8&lt;$AQ244,"IKS",IF(I$8&lt;$AS244,IF(I$8=$AR244,"Bascule","Double run"),"ROKS"))))))</f>
        <v/>
      </c>
      <c r="J244" s="51" t="str">
        <f aca="false">IF(OR($A244="",J$8=""),"",IF($F244="Migré","ROKS",IF($F244="À décommissionner",IF(J$8&lt;$AS244,"IKS","Décom."),IF(OR($AQ244="",$AS244=""),"",IF(J$8&lt;$AQ244,"IKS",IF(J$8&lt;$AS244,IF(J$8=$AR244,"Bascule","Double run"),"ROKS"))))))</f>
        <v/>
      </c>
      <c r="K244" s="51" t="str">
        <f aca="false">IF(OR($A244="",K$8=""),"",IF($F244="Migré","ROKS",IF($F244="À décommissionner",IF(K$8&lt;$AS244,"IKS","Décom."),IF(OR($AQ244="",$AS244=""),"",IF(K$8&lt;$AQ244,"IKS",IF(K$8&lt;$AS244,IF(K$8=$AR244,"Bascule","Double run"),"ROKS"))))))</f>
        <v/>
      </c>
      <c r="L244" s="51" t="str">
        <f aca="false">IF(OR($A244="",L$8=""),"",IF($F244="Migré","ROKS",IF($F244="À décommissionner",IF(L$8&lt;$AS244,"IKS","Décom."),IF(OR($AQ244="",$AS244=""),"",IF(L$8&lt;$AQ244,"IKS",IF(L$8&lt;$AS244,IF(L$8=$AR244,"Bascule","Double run"),"ROKS"))))))</f>
        <v/>
      </c>
      <c r="M244" s="51" t="str">
        <f aca="false">IF(OR($A244="",M$8=""),"",IF($F244="Migré","ROKS",IF($F244="À décommissionner",IF(M$8&lt;$AS244,"IKS","Décom."),IF(OR($AQ244="",$AS244=""),"",IF(M$8&lt;$AQ244,"IKS",IF(M$8&lt;$AS244,IF(M$8=$AR244,"Bascule","Double run"),"ROKS"))))))</f>
        <v/>
      </c>
      <c r="N244" s="51" t="str">
        <f aca="false">IF(OR($A244="",N$8=""),"",IF($F244="Migré","ROKS",IF($F244="À décommissionner",IF(N$8&lt;$AS244,"IKS","Décom."),IF(OR($AQ244="",$AS244=""),"",IF(N$8&lt;$AQ244,"IKS",IF(N$8&lt;$AS244,IF(N$8=$AR244,"Bascule","Double run"),"ROKS"))))))</f>
        <v/>
      </c>
      <c r="O244" s="51" t="str">
        <f aca="false">IF(OR($A244="",O$8=""),"",IF($F244="Migré","ROKS",IF($F244="À décommissionner",IF(O$8&lt;$AS244,"IKS","Décom."),IF(OR($AQ244="",$AS244=""),"",IF(O$8&lt;$AQ244,"IKS",IF(O$8&lt;$AS244,IF(O$8=$AR244,"Bascule","Double run"),"ROKS"))))))</f>
        <v/>
      </c>
      <c r="P244" s="51" t="str">
        <f aca="false">IF(OR($A244="",P$8=""),"",IF($F244="Migré","ROKS",IF($F244="À décommissionner",IF(P$8&lt;$AS244,"IKS","Décom."),IF(OR($AQ244="",$AS244=""),"",IF(P$8&lt;$AQ244,"IKS",IF(P$8&lt;$AS244,IF(P$8=$AR244,"Bascule","Double run"),"ROKS"))))))</f>
        <v/>
      </c>
      <c r="Q244" s="51" t="str">
        <f aca="false">IF(OR($A244="",Q$8=""),"",IF($F244="Migré","ROKS",IF($F244="À décommissionner",IF(Q$8&lt;$AS244,"IKS","Décom."),IF(OR($AQ244="",$AS244=""),"",IF(Q$8&lt;$AQ244,"IKS",IF(Q$8&lt;$AS244,IF(Q$8=$AR244,"Bascule","Double run"),"ROKS"))))))</f>
        <v/>
      </c>
      <c r="R244" s="51" t="str">
        <f aca="false">IF(OR($A244="",R$8=""),"",IF($F244="Migré","ROKS",IF($F244="À décommissionner",IF(R$8&lt;$AS244,"IKS","Décom."),IF(OR($AQ244="",$AS244=""),"",IF(R$8&lt;$AQ244,"IKS",IF(R$8&lt;$AS244,IF(R$8=$AR244,"Bascule","Double run"),"ROKS"))))))</f>
        <v/>
      </c>
      <c r="S244" s="51" t="str">
        <f aca="false">IF(OR($A244="",S$8=""),"",IF($F244="Migré","ROKS",IF($F244="À décommissionner",IF(S$8&lt;$AS244,"IKS","Décom."),IF(OR($AQ244="",$AS244=""),"",IF(S$8&lt;$AQ244,"IKS",IF(S$8&lt;$AS244,IF(S$8=$AR244,"Bascule","Double run"),"ROKS"))))))</f>
        <v/>
      </c>
      <c r="T244" s="51" t="str">
        <f aca="false">IF(OR($A244="",T$8=""),"",IF($F244="Migré","ROKS",IF($F244="À décommissionner",IF(T$8&lt;$AS244,"IKS","Décom."),IF(OR($AQ244="",$AS244=""),"",IF(T$8&lt;$AQ244,"IKS",IF(T$8&lt;$AS244,IF(T$8=$AR244,"Bascule","Double run"),"ROKS"))))))</f>
        <v/>
      </c>
      <c r="U244" s="51" t="str">
        <f aca="false">IF(OR($A244="",U$8=""),"",IF($F244="Migré","ROKS",IF($F244="À décommissionner",IF(U$8&lt;$AS244,"IKS","Décom."),IF(OR($AQ244="",$AS244=""),"",IF(U$8&lt;$AQ244,"IKS",IF(U$8&lt;$AS244,IF(U$8=$AR244,"Bascule","Double run"),"ROKS"))))))</f>
        <v/>
      </c>
      <c r="V244" s="51" t="str">
        <f aca="false">IF(OR($A244="",V$8=""),"",IF($F244="Migré","ROKS",IF($F244="À décommissionner",IF(V$8&lt;$AS244,"IKS","Décom."),IF(OR($AQ244="",$AS244=""),"",IF(V$8&lt;$AQ244,"IKS",IF(V$8&lt;$AS244,IF(V$8=$AR244,"Bascule","Double run"),"ROKS"))))))</f>
        <v/>
      </c>
      <c r="W244" s="51" t="str">
        <f aca="false">IF(OR($A244="",W$8=""),"",IF($F244="Migré","ROKS",IF($F244="À décommissionner",IF(W$8&lt;$AS244,"IKS","Décom."),IF(OR($AQ244="",$AS244=""),"",IF(W$8&lt;$AQ244,"IKS",IF(W$8&lt;$AS244,IF(W$8=$AR244,"Bascule","Double run"),"ROKS"))))))</f>
        <v/>
      </c>
      <c r="X244" s="51" t="str">
        <f aca="false">IF(OR($A244="",X$8=""),"",IF($F244="Migré","ROKS",IF($F244="À décommissionner",IF(X$8&lt;$AS244,"IKS","Décom."),IF(OR($AQ244="",$AS244=""),"",IF(X$8&lt;$AQ244,"IKS",IF(X$8&lt;$AS244,IF(X$8=$AR244,"Bascule","Double run"),"ROKS"))))))</f>
        <v/>
      </c>
      <c r="Y244" s="51" t="str">
        <f aca="false">IF(OR($A244="",Y$8=""),"",IF($F244="Migré","ROKS",IF($F244="À décommissionner",IF(Y$8&lt;$AS244,"IKS","Décom."),IF(OR($AQ244="",$AS244=""),"",IF(Y$8&lt;$AQ244,"IKS",IF(Y$8&lt;$AS244,IF(Y$8=$AR244,"Bascule","Double run"),"ROKS"))))))</f>
        <v/>
      </c>
      <c r="Z244" s="51" t="str">
        <f aca="false">IF(OR($A244="",Z$8=""),"",IF($F244="Migré","ROKS",IF($F244="À décommissionner",IF(Z$8&lt;$AS244,"IKS","Décom."),IF(OR($AQ244="",$AS244=""),"",IF(Z$8&lt;$AQ244,"IKS",IF(Z$8&lt;$AS244,IF(Z$8=$AR244,"Bascule","Double run"),"ROKS"))))))</f>
        <v/>
      </c>
      <c r="AA244" s="51" t="str">
        <f aca="false">IF(OR($A244="",AA$8=""),"",IF($F244="Migré","ROKS",IF($F244="À décommissionner",IF(AA$8&lt;$AS244,"IKS","Décom."),IF(OR($AQ244="",$AS244=""),"",IF(AA$8&lt;$AQ244,"IKS",IF(AA$8&lt;$AS244,IF(AA$8=$AR244,"Bascule","Double run"),"ROKS"))))))</f>
        <v/>
      </c>
      <c r="AB244" s="51" t="str">
        <f aca="false">IF(OR($A244="",AB$8=""),"",IF($F244="Migré","ROKS",IF($F244="À décommissionner",IF(AB$8&lt;$AS244,"IKS","Décom."),IF(OR($AQ244="",$AS244=""),"",IF(AB$8&lt;$AQ244,"IKS",IF(AB$8&lt;$AS244,IF(AB$8=$AR244,"Bascule","Double run"),"ROKS"))))))</f>
        <v/>
      </c>
      <c r="AC244" s="51" t="str">
        <f aca="false">IF(OR($A244="",AC$8=""),"",IF($F244="Migré","ROKS",IF($F244="À décommissionner",IF(AC$8&lt;$AS244,"IKS","Décom."),IF(OR($AQ244="",$AS244=""),"",IF(AC$8&lt;$AQ244,"IKS",IF(AC$8&lt;$AS244,IF(AC$8=$AR244,"Bascule","Double run"),"ROKS"))))))</f>
        <v/>
      </c>
      <c r="AD244" s="51" t="str">
        <f aca="false">IF(OR($A244="",AD$8=""),"",IF($F244="Migré","ROKS",IF($F244="À décommissionner",IF(AD$8&lt;$AS244,"IKS","Décom."),IF(OR($AQ244="",$AS244=""),"",IF(AD$8&lt;$AQ244,"IKS",IF(AD$8&lt;$AS244,IF(AD$8=$AR244,"Bascule","Double run"),"ROKS"))))))</f>
        <v/>
      </c>
      <c r="AE244" s="51" t="str">
        <f aca="false">IF(OR($A244="",AE$8=""),"",IF($F244="Migré","ROKS",IF($F244="À décommissionner",IF(AE$8&lt;$AS244,"IKS","Décom."),IF(OR($AQ244="",$AS244=""),"",IF(AE$8&lt;$AQ244,"IKS",IF(AE$8&lt;$AS244,IF(AE$8=$AR244,"Bascule","Double run"),"ROKS"))))))</f>
        <v/>
      </c>
      <c r="AF244" s="51" t="str">
        <f aca="false">IF(OR($A244="",AF$8=""),"",IF($F244="Migré","ROKS",IF($F244="À décommissionner",IF(AF$8&lt;$AS244,"IKS","Décom."),IF(OR($AQ244="",$AS244=""),"",IF(AF$8&lt;$AQ244,"IKS",IF(AF$8&lt;$AS244,IF(AF$8=$AR244,"Bascule","Double run"),"ROKS"))))))</f>
        <v/>
      </c>
      <c r="AG244" s="51" t="str">
        <f aca="false">IF(OR($A244="",AG$8=""),"",IF($F244="Migré","ROKS",IF($F244="À décommissionner",IF(AG$8&lt;$AS244,"IKS","Décom."),IF(OR($AQ244="",$AS244=""),"",IF(AG$8&lt;$AQ244,"IKS",IF(AG$8&lt;$AS244,IF(AG$8=$AR244,"Bascule","Double run"),"ROKS"))))))</f>
        <v/>
      </c>
      <c r="AH244" s="51" t="str">
        <f aca="false">IF(OR($A244="",AH$8=""),"",IF($F244="Migré","ROKS",IF($F244="À décommissionner",IF(AH$8&lt;$AS244,"IKS","Décom."),IF(OR($AQ244="",$AS244=""),"",IF(AH$8&lt;$AQ244,"IKS",IF(AH$8&lt;$AS244,IF(AH$8=$AR244,"Bascule","Double run"),"ROKS"))))))</f>
        <v/>
      </c>
      <c r="AI244" s="51" t="str">
        <f aca="false">IF(OR($A244="",AI$8=""),"",IF($F244="Migré","ROKS",IF($F244="À décommissionner",IF(AI$8&lt;$AS244,"IKS","Décom."),IF(OR($AQ244="",$AS244=""),"",IF(AI$8&lt;$AQ244,"IKS",IF(AI$8&lt;$AS244,IF(AI$8=$AR244,"Bascule","Double run"),"ROKS"))))))</f>
        <v/>
      </c>
      <c r="AJ244" s="51" t="str">
        <f aca="false">IF(OR($A244="",AJ$8=""),"",IF($F244="Migré","ROKS",IF($F244="À décommissionner",IF(AJ$8&lt;$AS244,"IKS","Décom."),IF(OR($AQ244="",$AS244=""),"",IF(AJ$8&lt;$AQ244,"IKS",IF(AJ$8&lt;$AS244,IF(AJ$8=$AR244,"Bascule","Double run"),"ROKS"))))))</f>
        <v/>
      </c>
      <c r="AK244" s="51" t="str">
        <f aca="false">IF(OR($A244="",AK$8=""),"",IF($F244="Migré","ROKS",IF($F244="À décommissionner",IF(AK$8&lt;$AS244,"IKS","Décom."),IF(OR($AQ244="",$AS244=""),"",IF(AK$8&lt;$AQ244,"IKS",IF(AK$8&lt;$AS244,IF(AK$8=$AR244,"Bascule","Double run"),"ROKS"))))))</f>
        <v/>
      </c>
      <c r="AL244" s="51" t="str">
        <f aca="false">IF(OR($A244="",AL$8=""),"",IF($F244="Migré","ROKS",IF($F244="À décommissionner",IF(AL$8&lt;$AS244,"IKS","Décom."),IF(OR($AQ244="",$AS244=""),"",IF(AL$8&lt;$AQ244,"IKS",IF(AL$8&lt;$AS244,IF(AL$8=$AR244,"Bascule","Double run"),"ROKS"))))))</f>
        <v/>
      </c>
      <c r="AM244" s="51" t="str">
        <f aca="false">IF(OR($A244="",AM$8=""),"",IF($F244="Migré","ROKS",IF($F244="À décommissionner",IF(AM$8&lt;$AS244,"IKS","Décom."),IF(OR($AQ244="",$AS244=""),"",IF(AM$8&lt;$AQ244,"IKS",IF(AM$8&lt;$AS244,IF(AM$8=$AR244,"Bascule","Double run"),"ROKS"))))))</f>
        <v/>
      </c>
      <c r="AN244" s="51" t="str">
        <f aca="false">IF(OR($A244="",AN$8=""),"",IF($F244="Migré","ROKS",IF($F244="À décommissionner",IF(AN$8&lt;$AS244,"IKS","Décom."),IF(OR($AQ244="",$AS244=""),"",IF(AN$8&lt;$AQ244,"IKS",IF(AN$8&lt;$AS244,IF(AN$8=$AR244,"Bascule","Double run"),"ROKS"))))))</f>
        <v/>
      </c>
      <c r="AO244" s="51" t="str">
        <f aca="false">IF(OR($A244="",AO$8=""),"",IF($F244="Migré","ROKS",IF($F244="À décommissionner",IF(AO$8&lt;$AS244,"IKS","Décom."),IF(OR($AQ244="",$AS244=""),"",IF(AO$8&lt;$AQ244,"IKS",IF(AO$8&lt;$AS244,IF(AO$8=$AR244,"Bascule","Double run"),"ROKS"))))))</f>
        <v/>
      </c>
      <c r="AP244" s="51" t="str">
        <f aca="false">IF(OR($A244="",AP$8=""),"",IF($F244="Migré","ROKS",IF($F244="À décommissionner",IF(AP$8&lt;$AS244,"IKS","Décom."),IF(OR($AQ244="",$AS244=""),"",IF(AP$8&lt;$AQ244,"IKS",IF(AP$8&lt;$AS244,IF(AP$8=$AR244,"Bascule","Double run"),"ROKS"))))))</f>
        <v/>
      </c>
      <c r="AQ244" s="0" t="str">
        <f aca="false">IF($A244="","",INDEX(TblApplications[Mois prov (calc)],$A244))</f>
        <v/>
      </c>
      <c r="AR244" s="0" t="str">
        <f aca="false">IF($A244="","",IFERROR(DATE(YEAR(INDEX(TblApplications[Mois bascule],$A244)),MONTH(INDEX(TblApplications[Mois bascule],$A244)),1),""))</f>
        <v/>
      </c>
      <c r="AS244" s="0" t="str">
        <f aca="false">IF($A244="","",INDEX(TblApplications[Mois lib (calc)],$A244))</f>
        <v/>
      </c>
    </row>
    <row r="245" customFormat="false" ht="15" hidden="false" customHeight="false" outlineLevel="0" collapsed="false">
      <c r="A245" s="49" t="str">
        <f aca="false">IFERROR(MATCH(237,TblApplications[Rang frise],0),"")</f>
        <v/>
      </c>
      <c r="B245" s="50" t="str">
        <f aca="false">IF($A245="","",INDEX(TblApplications[ID],$A245))</f>
        <v/>
      </c>
      <c r="C245" s="50" t="str">
        <f aca="false">IF($A245="","",INDEX(TblApplications[Application],$A245))</f>
        <v/>
      </c>
      <c r="D245" s="50" t="str">
        <f aca="false">IF($A245="","",INDEX(TblApplications[Environnement],$A245))</f>
        <v/>
      </c>
      <c r="E245" s="50" t="str">
        <f aca="false">IF($A245="","",INDEX(TblApplications[Couloir],$A245))</f>
        <v/>
      </c>
      <c r="F245" s="50" t="str">
        <f aca="false">IF($A245="","",INDEX(TblApplications[Action],$A245))</f>
        <v/>
      </c>
      <c r="G245" s="51" t="str">
        <f aca="false">IF(OR($A245="",G$8=""),"",IF($F245="Migré","ROKS",IF($F245="À décommissionner",IF(G$8&lt;$AS245,"IKS","Décom."),IF(OR($AQ245="",$AS245=""),"",IF(G$8&lt;$AQ245,"IKS",IF(G$8&lt;$AS245,IF(G$8=$AR245,"Bascule","Double run"),"ROKS"))))))</f>
        <v/>
      </c>
      <c r="H245" s="51" t="str">
        <f aca="false">IF(OR($A245="",H$8=""),"",IF($F245="Migré","ROKS",IF($F245="À décommissionner",IF(H$8&lt;$AS245,"IKS","Décom."),IF(OR($AQ245="",$AS245=""),"",IF(H$8&lt;$AQ245,"IKS",IF(H$8&lt;$AS245,IF(H$8=$AR245,"Bascule","Double run"),"ROKS"))))))</f>
        <v/>
      </c>
      <c r="I245" s="51" t="str">
        <f aca="false">IF(OR($A245="",I$8=""),"",IF($F245="Migré","ROKS",IF($F245="À décommissionner",IF(I$8&lt;$AS245,"IKS","Décom."),IF(OR($AQ245="",$AS245=""),"",IF(I$8&lt;$AQ245,"IKS",IF(I$8&lt;$AS245,IF(I$8=$AR245,"Bascule","Double run"),"ROKS"))))))</f>
        <v/>
      </c>
      <c r="J245" s="51" t="str">
        <f aca="false">IF(OR($A245="",J$8=""),"",IF($F245="Migré","ROKS",IF($F245="À décommissionner",IF(J$8&lt;$AS245,"IKS","Décom."),IF(OR($AQ245="",$AS245=""),"",IF(J$8&lt;$AQ245,"IKS",IF(J$8&lt;$AS245,IF(J$8=$AR245,"Bascule","Double run"),"ROKS"))))))</f>
        <v/>
      </c>
      <c r="K245" s="51" t="str">
        <f aca="false">IF(OR($A245="",K$8=""),"",IF($F245="Migré","ROKS",IF($F245="À décommissionner",IF(K$8&lt;$AS245,"IKS","Décom."),IF(OR($AQ245="",$AS245=""),"",IF(K$8&lt;$AQ245,"IKS",IF(K$8&lt;$AS245,IF(K$8=$AR245,"Bascule","Double run"),"ROKS"))))))</f>
        <v/>
      </c>
      <c r="L245" s="51" t="str">
        <f aca="false">IF(OR($A245="",L$8=""),"",IF($F245="Migré","ROKS",IF($F245="À décommissionner",IF(L$8&lt;$AS245,"IKS","Décom."),IF(OR($AQ245="",$AS245=""),"",IF(L$8&lt;$AQ245,"IKS",IF(L$8&lt;$AS245,IF(L$8=$AR245,"Bascule","Double run"),"ROKS"))))))</f>
        <v/>
      </c>
      <c r="M245" s="51" t="str">
        <f aca="false">IF(OR($A245="",M$8=""),"",IF($F245="Migré","ROKS",IF($F245="À décommissionner",IF(M$8&lt;$AS245,"IKS","Décom."),IF(OR($AQ245="",$AS245=""),"",IF(M$8&lt;$AQ245,"IKS",IF(M$8&lt;$AS245,IF(M$8=$AR245,"Bascule","Double run"),"ROKS"))))))</f>
        <v/>
      </c>
      <c r="N245" s="51" t="str">
        <f aca="false">IF(OR($A245="",N$8=""),"",IF($F245="Migré","ROKS",IF($F245="À décommissionner",IF(N$8&lt;$AS245,"IKS","Décom."),IF(OR($AQ245="",$AS245=""),"",IF(N$8&lt;$AQ245,"IKS",IF(N$8&lt;$AS245,IF(N$8=$AR245,"Bascule","Double run"),"ROKS"))))))</f>
        <v/>
      </c>
      <c r="O245" s="51" t="str">
        <f aca="false">IF(OR($A245="",O$8=""),"",IF($F245="Migré","ROKS",IF($F245="À décommissionner",IF(O$8&lt;$AS245,"IKS","Décom."),IF(OR($AQ245="",$AS245=""),"",IF(O$8&lt;$AQ245,"IKS",IF(O$8&lt;$AS245,IF(O$8=$AR245,"Bascule","Double run"),"ROKS"))))))</f>
        <v/>
      </c>
      <c r="P245" s="51" t="str">
        <f aca="false">IF(OR($A245="",P$8=""),"",IF($F245="Migré","ROKS",IF($F245="À décommissionner",IF(P$8&lt;$AS245,"IKS","Décom."),IF(OR($AQ245="",$AS245=""),"",IF(P$8&lt;$AQ245,"IKS",IF(P$8&lt;$AS245,IF(P$8=$AR245,"Bascule","Double run"),"ROKS"))))))</f>
        <v/>
      </c>
      <c r="Q245" s="51" t="str">
        <f aca="false">IF(OR($A245="",Q$8=""),"",IF($F245="Migré","ROKS",IF($F245="À décommissionner",IF(Q$8&lt;$AS245,"IKS","Décom."),IF(OR($AQ245="",$AS245=""),"",IF(Q$8&lt;$AQ245,"IKS",IF(Q$8&lt;$AS245,IF(Q$8=$AR245,"Bascule","Double run"),"ROKS"))))))</f>
        <v/>
      </c>
      <c r="R245" s="51" t="str">
        <f aca="false">IF(OR($A245="",R$8=""),"",IF($F245="Migré","ROKS",IF($F245="À décommissionner",IF(R$8&lt;$AS245,"IKS","Décom."),IF(OR($AQ245="",$AS245=""),"",IF(R$8&lt;$AQ245,"IKS",IF(R$8&lt;$AS245,IF(R$8=$AR245,"Bascule","Double run"),"ROKS"))))))</f>
        <v/>
      </c>
      <c r="S245" s="51" t="str">
        <f aca="false">IF(OR($A245="",S$8=""),"",IF($F245="Migré","ROKS",IF($F245="À décommissionner",IF(S$8&lt;$AS245,"IKS","Décom."),IF(OR($AQ245="",$AS245=""),"",IF(S$8&lt;$AQ245,"IKS",IF(S$8&lt;$AS245,IF(S$8=$AR245,"Bascule","Double run"),"ROKS"))))))</f>
        <v/>
      </c>
      <c r="T245" s="51" t="str">
        <f aca="false">IF(OR($A245="",T$8=""),"",IF($F245="Migré","ROKS",IF($F245="À décommissionner",IF(T$8&lt;$AS245,"IKS","Décom."),IF(OR($AQ245="",$AS245=""),"",IF(T$8&lt;$AQ245,"IKS",IF(T$8&lt;$AS245,IF(T$8=$AR245,"Bascule","Double run"),"ROKS"))))))</f>
        <v/>
      </c>
      <c r="U245" s="51" t="str">
        <f aca="false">IF(OR($A245="",U$8=""),"",IF($F245="Migré","ROKS",IF($F245="À décommissionner",IF(U$8&lt;$AS245,"IKS","Décom."),IF(OR($AQ245="",$AS245=""),"",IF(U$8&lt;$AQ245,"IKS",IF(U$8&lt;$AS245,IF(U$8=$AR245,"Bascule","Double run"),"ROKS"))))))</f>
        <v/>
      </c>
      <c r="V245" s="51" t="str">
        <f aca="false">IF(OR($A245="",V$8=""),"",IF($F245="Migré","ROKS",IF($F245="À décommissionner",IF(V$8&lt;$AS245,"IKS","Décom."),IF(OR($AQ245="",$AS245=""),"",IF(V$8&lt;$AQ245,"IKS",IF(V$8&lt;$AS245,IF(V$8=$AR245,"Bascule","Double run"),"ROKS"))))))</f>
        <v/>
      </c>
      <c r="W245" s="51" t="str">
        <f aca="false">IF(OR($A245="",W$8=""),"",IF($F245="Migré","ROKS",IF($F245="À décommissionner",IF(W$8&lt;$AS245,"IKS","Décom."),IF(OR($AQ245="",$AS245=""),"",IF(W$8&lt;$AQ245,"IKS",IF(W$8&lt;$AS245,IF(W$8=$AR245,"Bascule","Double run"),"ROKS"))))))</f>
        <v/>
      </c>
      <c r="X245" s="51" t="str">
        <f aca="false">IF(OR($A245="",X$8=""),"",IF($F245="Migré","ROKS",IF($F245="À décommissionner",IF(X$8&lt;$AS245,"IKS","Décom."),IF(OR($AQ245="",$AS245=""),"",IF(X$8&lt;$AQ245,"IKS",IF(X$8&lt;$AS245,IF(X$8=$AR245,"Bascule","Double run"),"ROKS"))))))</f>
        <v/>
      </c>
      <c r="Y245" s="51" t="str">
        <f aca="false">IF(OR($A245="",Y$8=""),"",IF($F245="Migré","ROKS",IF($F245="À décommissionner",IF(Y$8&lt;$AS245,"IKS","Décom."),IF(OR($AQ245="",$AS245=""),"",IF(Y$8&lt;$AQ245,"IKS",IF(Y$8&lt;$AS245,IF(Y$8=$AR245,"Bascule","Double run"),"ROKS"))))))</f>
        <v/>
      </c>
      <c r="Z245" s="51" t="str">
        <f aca="false">IF(OR($A245="",Z$8=""),"",IF($F245="Migré","ROKS",IF($F245="À décommissionner",IF(Z$8&lt;$AS245,"IKS","Décom."),IF(OR($AQ245="",$AS245=""),"",IF(Z$8&lt;$AQ245,"IKS",IF(Z$8&lt;$AS245,IF(Z$8=$AR245,"Bascule","Double run"),"ROKS"))))))</f>
        <v/>
      </c>
      <c r="AA245" s="51" t="str">
        <f aca="false">IF(OR($A245="",AA$8=""),"",IF($F245="Migré","ROKS",IF($F245="À décommissionner",IF(AA$8&lt;$AS245,"IKS","Décom."),IF(OR($AQ245="",$AS245=""),"",IF(AA$8&lt;$AQ245,"IKS",IF(AA$8&lt;$AS245,IF(AA$8=$AR245,"Bascule","Double run"),"ROKS"))))))</f>
        <v/>
      </c>
      <c r="AB245" s="51" t="str">
        <f aca="false">IF(OR($A245="",AB$8=""),"",IF($F245="Migré","ROKS",IF($F245="À décommissionner",IF(AB$8&lt;$AS245,"IKS","Décom."),IF(OR($AQ245="",$AS245=""),"",IF(AB$8&lt;$AQ245,"IKS",IF(AB$8&lt;$AS245,IF(AB$8=$AR245,"Bascule","Double run"),"ROKS"))))))</f>
        <v/>
      </c>
      <c r="AC245" s="51" t="str">
        <f aca="false">IF(OR($A245="",AC$8=""),"",IF($F245="Migré","ROKS",IF($F245="À décommissionner",IF(AC$8&lt;$AS245,"IKS","Décom."),IF(OR($AQ245="",$AS245=""),"",IF(AC$8&lt;$AQ245,"IKS",IF(AC$8&lt;$AS245,IF(AC$8=$AR245,"Bascule","Double run"),"ROKS"))))))</f>
        <v/>
      </c>
      <c r="AD245" s="51" t="str">
        <f aca="false">IF(OR($A245="",AD$8=""),"",IF($F245="Migré","ROKS",IF($F245="À décommissionner",IF(AD$8&lt;$AS245,"IKS","Décom."),IF(OR($AQ245="",$AS245=""),"",IF(AD$8&lt;$AQ245,"IKS",IF(AD$8&lt;$AS245,IF(AD$8=$AR245,"Bascule","Double run"),"ROKS"))))))</f>
        <v/>
      </c>
      <c r="AE245" s="51" t="str">
        <f aca="false">IF(OR($A245="",AE$8=""),"",IF($F245="Migré","ROKS",IF($F245="À décommissionner",IF(AE$8&lt;$AS245,"IKS","Décom."),IF(OR($AQ245="",$AS245=""),"",IF(AE$8&lt;$AQ245,"IKS",IF(AE$8&lt;$AS245,IF(AE$8=$AR245,"Bascule","Double run"),"ROKS"))))))</f>
        <v/>
      </c>
      <c r="AF245" s="51" t="str">
        <f aca="false">IF(OR($A245="",AF$8=""),"",IF($F245="Migré","ROKS",IF($F245="À décommissionner",IF(AF$8&lt;$AS245,"IKS","Décom."),IF(OR($AQ245="",$AS245=""),"",IF(AF$8&lt;$AQ245,"IKS",IF(AF$8&lt;$AS245,IF(AF$8=$AR245,"Bascule","Double run"),"ROKS"))))))</f>
        <v/>
      </c>
      <c r="AG245" s="51" t="str">
        <f aca="false">IF(OR($A245="",AG$8=""),"",IF($F245="Migré","ROKS",IF($F245="À décommissionner",IF(AG$8&lt;$AS245,"IKS","Décom."),IF(OR($AQ245="",$AS245=""),"",IF(AG$8&lt;$AQ245,"IKS",IF(AG$8&lt;$AS245,IF(AG$8=$AR245,"Bascule","Double run"),"ROKS"))))))</f>
        <v/>
      </c>
      <c r="AH245" s="51" t="str">
        <f aca="false">IF(OR($A245="",AH$8=""),"",IF($F245="Migré","ROKS",IF($F245="À décommissionner",IF(AH$8&lt;$AS245,"IKS","Décom."),IF(OR($AQ245="",$AS245=""),"",IF(AH$8&lt;$AQ245,"IKS",IF(AH$8&lt;$AS245,IF(AH$8=$AR245,"Bascule","Double run"),"ROKS"))))))</f>
        <v/>
      </c>
      <c r="AI245" s="51" t="str">
        <f aca="false">IF(OR($A245="",AI$8=""),"",IF($F245="Migré","ROKS",IF($F245="À décommissionner",IF(AI$8&lt;$AS245,"IKS","Décom."),IF(OR($AQ245="",$AS245=""),"",IF(AI$8&lt;$AQ245,"IKS",IF(AI$8&lt;$AS245,IF(AI$8=$AR245,"Bascule","Double run"),"ROKS"))))))</f>
        <v/>
      </c>
      <c r="AJ245" s="51" t="str">
        <f aca="false">IF(OR($A245="",AJ$8=""),"",IF($F245="Migré","ROKS",IF($F245="À décommissionner",IF(AJ$8&lt;$AS245,"IKS","Décom."),IF(OR($AQ245="",$AS245=""),"",IF(AJ$8&lt;$AQ245,"IKS",IF(AJ$8&lt;$AS245,IF(AJ$8=$AR245,"Bascule","Double run"),"ROKS"))))))</f>
        <v/>
      </c>
      <c r="AK245" s="51" t="str">
        <f aca="false">IF(OR($A245="",AK$8=""),"",IF($F245="Migré","ROKS",IF($F245="À décommissionner",IF(AK$8&lt;$AS245,"IKS","Décom."),IF(OR($AQ245="",$AS245=""),"",IF(AK$8&lt;$AQ245,"IKS",IF(AK$8&lt;$AS245,IF(AK$8=$AR245,"Bascule","Double run"),"ROKS"))))))</f>
        <v/>
      </c>
      <c r="AL245" s="51" t="str">
        <f aca="false">IF(OR($A245="",AL$8=""),"",IF($F245="Migré","ROKS",IF($F245="À décommissionner",IF(AL$8&lt;$AS245,"IKS","Décom."),IF(OR($AQ245="",$AS245=""),"",IF(AL$8&lt;$AQ245,"IKS",IF(AL$8&lt;$AS245,IF(AL$8=$AR245,"Bascule","Double run"),"ROKS"))))))</f>
        <v/>
      </c>
      <c r="AM245" s="51" t="str">
        <f aca="false">IF(OR($A245="",AM$8=""),"",IF($F245="Migré","ROKS",IF($F245="À décommissionner",IF(AM$8&lt;$AS245,"IKS","Décom."),IF(OR($AQ245="",$AS245=""),"",IF(AM$8&lt;$AQ245,"IKS",IF(AM$8&lt;$AS245,IF(AM$8=$AR245,"Bascule","Double run"),"ROKS"))))))</f>
        <v/>
      </c>
      <c r="AN245" s="51" t="str">
        <f aca="false">IF(OR($A245="",AN$8=""),"",IF($F245="Migré","ROKS",IF($F245="À décommissionner",IF(AN$8&lt;$AS245,"IKS","Décom."),IF(OR($AQ245="",$AS245=""),"",IF(AN$8&lt;$AQ245,"IKS",IF(AN$8&lt;$AS245,IF(AN$8=$AR245,"Bascule","Double run"),"ROKS"))))))</f>
        <v/>
      </c>
      <c r="AO245" s="51" t="str">
        <f aca="false">IF(OR($A245="",AO$8=""),"",IF($F245="Migré","ROKS",IF($F245="À décommissionner",IF(AO$8&lt;$AS245,"IKS","Décom."),IF(OR($AQ245="",$AS245=""),"",IF(AO$8&lt;$AQ245,"IKS",IF(AO$8&lt;$AS245,IF(AO$8=$AR245,"Bascule","Double run"),"ROKS"))))))</f>
        <v/>
      </c>
      <c r="AP245" s="51" t="str">
        <f aca="false">IF(OR($A245="",AP$8=""),"",IF($F245="Migré","ROKS",IF($F245="À décommissionner",IF(AP$8&lt;$AS245,"IKS","Décom."),IF(OR($AQ245="",$AS245=""),"",IF(AP$8&lt;$AQ245,"IKS",IF(AP$8&lt;$AS245,IF(AP$8=$AR245,"Bascule","Double run"),"ROKS"))))))</f>
        <v/>
      </c>
      <c r="AQ245" s="0" t="str">
        <f aca="false">IF($A245="","",INDEX(TblApplications[Mois prov (calc)],$A245))</f>
        <v/>
      </c>
      <c r="AR245" s="0" t="str">
        <f aca="false">IF($A245="","",IFERROR(DATE(YEAR(INDEX(TblApplications[Mois bascule],$A245)),MONTH(INDEX(TblApplications[Mois bascule],$A245)),1),""))</f>
        <v/>
      </c>
      <c r="AS245" s="0" t="str">
        <f aca="false">IF($A245="","",INDEX(TblApplications[Mois lib (calc)],$A245))</f>
        <v/>
      </c>
    </row>
    <row r="246" customFormat="false" ht="15" hidden="false" customHeight="false" outlineLevel="0" collapsed="false">
      <c r="A246" s="49" t="str">
        <f aca="false">IFERROR(MATCH(238,TblApplications[Rang frise],0),"")</f>
        <v/>
      </c>
      <c r="B246" s="50" t="str">
        <f aca="false">IF($A246="","",INDEX(TblApplications[ID],$A246))</f>
        <v/>
      </c>
      <c r="C246" s="50" t="str">
        <f aca="false">IF($A246="","",INDEX(TblApplications[Application],$A246))</f>
        <v/>
      </c>
      <c r="D246" s="50" t="str">
        <f aca="false">IF($A246="","",INDEX(TblApplications[Environnement],$A246))</f>
        <v/>
      </c>
      <c r="E246" s="50" t="str">
        <f aca="false">IF($A246="","",INDEX(TblApplications[Couloir],$A246))</f>
        <v/>
      </c>
      <c r="F246" s="50" t="str">
        <f aca="false">IF($A246="","",INDEX(TblApplications[Action],$A246))</f>
        <v/>
      </c>
      <c r="G246" s="51" t="str">
        <f aca="false">IF(OR($A246="",G$8=""),"",IF($F246="Migré","ROKS",IF($F246="À décommissionner",IF(G$8&lt;$AS246,"IKS","Décom."),IF(OR($AQ246="",$AS246=""),"",IF(G$8&lt;$AQ246,"IKS",IF(G$8&lt;$AS246,IF(G$8=$AR246,"Bascule","Double run"),"ROKS"))))))</f>
        <v/>
      </c>
      <c r="H246" s="51" t="str">
        <f aca="false">IF(OR($A246="",H$8=""),"",IF($F246="Migré","ROKS",IF($F246="À décommissionner",IF(H$8&lt;$AS246,"IKS","Décom."),IF(OR($AQ246="",$AS246=""),"",IF(H$8&lt;$AQ246,"IKS",IF(H$8&lt;$AS246,IF(H$8=$AR246,"Bascule","Double run"),"ROKS"))))))</f>
        <v/>
      </c>
      <c r="I246" s="51" t="str">
        <f aca="false">IF(OR($A246="",I$8=""),"",IF($F246="Migré","ROKS",IF($F246="À décommissionner",IF(I$8&lt;$AS246,"IKS","Décom."),IF(OR($AQ246="",$AS246=""),"",IF(I$8&lt;$AQ246,"IKS",IF(I$8&lt;$AS246,IF(I$8=$AR246,"Bascule","Double run"),"ROKS"))))))</f>
        <v/>
      </c>
      <c r="J246" s="51" t="str">
        <f aca="false">IF(OR($A246="",J$8=""),"",IF($F246="Migré","ROKS",IF($F246="À décommissionner",IF(J$8&lt;$AS246,"IKS","Décom."),IF(OR($AQ246="",$AS246=""),"",IF(J$8&lt;$AQ246,"IKS",IF(J$8&lt;$AS246,IF(J$8=$AR246,"Bascule","Double run"),"ROKS"))))))</f>
        <v/>
      </c>
      <c r="K246" s="51" t="str">
        <f aca="false">IF(OR($A246="",K$8=""),"",IF($F246="Migré","ROKS",IF($F246="À décommissionner",IF(K$8&lt;$AS246,"IKS","Décom."),IF(OR($AQ246="",$AS246=""),"",IF(K$8&lt;$AQ246,"IKS",IF(K$8&lt;$AS246,IF(K$8=$AR246,"Bascule","Double run"),"ROKS"))))))</f>
        <v/>
      </c>
      <c r="L246" s="51" t="str">
        <f aca="false">IF(OR($A246="",L$8=""),"",IF($F246="Migré","ROKS",IF($F246="À décommissionner",IF(L$8&lt;$AS246,"IKS","Décom."),IF(OR($AQ246="",$AS246=""),"",IF(L$8&lt;$AQ246,"IKS",IF(L$8&lt;$AS246,IF(L$8=$AR246,"Bascule","Double run"),"ROKS"))))))</f>
        <v/>
      </c>
      <c r="M246" s="51" t="str">
        <f aca="false">IF(OR($A246="",M$8=""),"",IF($F246="Migré","ROKS",IF($F246="À décommissionner",IF(M$8&lt;$AS246,"IKS","Décom."),IF(OR($AQ246="",$AS246=""),"",IF(M$8&lt;$AQ246,"IKS",IF(M$8&lt;$AS246,IF(M$8=$AR246,"Bascule","Double run"),"ROKS"))))))</f>
        <v/>
      </c>
      <c r="N246" s="51" t="str">
        <f aca="false">IF(OR($A246="",N$8=""),"",IF($F246="Migré","ROKS",IF($F246="À décommissionner",IF(N$8&lt;$AS246,"IKS","Décom."),IF(OR($AQ246="",$AS246=""),"",IF(N$8&lt;$AQ246,"IKS",IF(N$8&lt;$AS246,IF(N$8=$AR246,"Bascule","Double run"),"ROKS"))))))</f>
        <v/>
      </c>
      <c r="O246" s="51" t="str">
        <f aca="false">IF(OR($A246="",O$8=""),"",IF($F246="Migré","ROKS",IF($F246="À décommissionner",IF(O$8&lt;$AS246,"IKS","Décom."),IF(OR($AQ246="",$AS246=""),"",IF(O$8&lt;$AQ246,"IKS",IF(O$8&lt;$AS246,IF(O$8=$AR246,"Bascule","Double run"),"ROKS"))))))</f>
        <v/>
      </c>
      <c r="P246" s="51" t="str">
        <f aca="false">IF(OR($A246="",P$8=""),"",IF($F246="Migré","ROKS",IF($F246="À décommissionner",IF(P$8&lt;$AS246,"IKS","Décom."),IF(OR($AQ246="",$AS246=""),"",IF(P$8&lt;$AQ246,"IKS",IF(P$8&lt;$AS246,IF(P$8=$AR246,"Bascule","Double run"),"ROKS"))))))</f>
        <v/>
      </c>
      <c r="Q246" s="51" t="str">
        <f aca="false">IF(OR($A246="",Q$8=""),"",IF($F246="Migré","ROKS",IF($F246="À décommissionner",IF(Q$8&lt;$AS246,"IKS","Décom."),IF(OR($AQ246="",$AS246=""),"",IF(Q$8&lt;$AQ246,"IKS",IF(Q$8&lt;$AS246,IF(Q$8=$AR246,"Bascule","Double run"),"ROKS"))))))</f>
        <v/>
      </c>
      <c r="R246" s="51" t="str">
        <f aca="false">IF(OR($A246="",R$8=""),"",IF($F246="Migré","ROKS",IF($F246="À décommissionner",IF(R$8&lt;$AS246,"IKS","Décom."),IF(OR($AQ246="",$AS246=""),"",IF(R$8&lt;$AQ246,"IKS",IF(R$8&lt;$AS246,IF(R$8=$AR246,"Bascule","Double run"),"ROKS"))))))</f>
        <v/>
      </c>
      <c r="S246" s="51" t="str">
        <f aca="false">IF(OR($A246="",S$8=""),"",IF($F246="Migré","ROKS",IF($F246="À décommissionner",IF(S$8&lt;$AS246,"IKS","Décom."),IF(OR($AQ246="",$AS246=""),"",IF(S$8&lt;$AQ246,"IKS",IF(S$8&lt;$AS246,IF(S$8=$AR246,"Bascule","Double run"),"ROKS"))))))</f>
        <v/>
      </c>
      <c r="T246" s="51" t="str">
        <f aca="false">IF(OR($A246="",T$8=""),"",IF($F246="Migré","ROKS",IF($F246="À décommissionner",IF(T$8&lt;$AS246,"IKS","Décom."),IF(OR($AQ246="",$AS246=""),"",IF(T$8&lt;$AQ246,"IKS",IF(T$8&lt;$AS246,IF(T$8=$AR246,"Bascule","Double run"),"ROKS"))))))</f>
        <v/>
      </c>
      <c r="U246" s="51" t="str">
        <f aca="false">IF(OR($A246="",U$8=""),"",IF($F246="Migré","ROKS",IF($F246="À décommissionner",IF(U$8&lt;$AS246,"IKS","Décom."),IF(OR($AQ246="",$AS246=""),"",IF(U$8&lt;$AQ246,"IKS",IF(U$8&lt;$AS246,IF(U$8=$AR246,"Bascule","Double run"),"ROKS"))))))</f>
        <v/>
      </c>
      <c r="V246" s="51" t="str">
        <f aca="false">IF(OR($A246="",V$8=""),"",IF($F246="Migré","ROKS",IF($F246="À décommissionner",IF(V$8&lt;$AS246,"IKS","Décom."),IF(OR($AQ246="",$AS246=""),"",IF(V$8&lt;$AQ246,"IKS",IF(V$8&lt;$AS246,IF(V$8=$AR246,"Bascule","Double run"),"ROKS"))))))</f>
        <v/>
      </c>
      <c r="W246" s="51" t="str">
        <f aca="false">IF(OR($A246="",W$8=""),"",IF($F246="Migré","ROKS",IF($F246="À décommissionner",IF(W$8&lt;$AS246,"IKS","Décom."),IF(OR($AQ246="",$AS246=""),"",IF(W$8&lt;$AQ246,"IKS",IF(W$8&lt;$AS246,IF(W$8=$AR246,"Bascule","Double run"),"ROKS"))))))</f>
        <v/>
      </c>
      <c r="X246" s="51" t="str">
        <f aca="false">IF(OR($A246="",X$8=""),"",IF($F246="Migré","ROKS",IF($F246="À décommissionner",IF(X$8&lt;$AS246,"IKS","Décom."),IF(OR($AQ246="",$AS246=""),"",IF(X$8&lt;$AQ246,"IKS",IF(X$8&lt;$AS246,IF(X$8=$AR246,"Bascule","Double run"),"ROKS"))))))</f>
        <v/>
      </c>
      <c r="Y246" s="51" t="str">
        <f aca="false">IF(OR($A246="",Y$8=""),"",IF($F246="Migré","ROKS",IF($F246="À décommissionner",IF(Y$8&lt;$AS246,"IKS","Décom."),IF(OR($AQ246="",$AS246=""),"",IF(Y$8&lt;$AQ246,"IKS",IF(Y$8&lt;$AS246,IF(Y$8=$AR246,"Bascule","Double run"),"ROKS"))))))</f>
        <v/>
      </c>
      <c r="Z246" s="51" t="str">
        <f aca="false">IF(OR($A246="",Z$8=""),"",IF($F246="Migré","ROKS",IF($F246="À décommissionner",IF(Z$8&lt;$AS246,"IKS","Décom."),IF(OR($AQ246="",$AS246=""),"",IF(Z$8&lt;$AQ246,"IKS",IF(Z$8&lt;$AS246,IF(Z$8=$AR246,"Bascule","Double run"),"ROKS"))))))</f>
        <v/>
      </c>
      <c r="AA246" s="51" t="str">
        <f aca="false">IF(OR($A246="",AA$8=""),"",IF($F246="Migré","ROKS",IF($F246="À décommissionner",IF(AA$8&lt;$AS246,"IKS","Décom."),IF(OR($AQ246="",$AS246=""),"",IF(AA$8&lt;$AQ246,"IKS",IF(AA$8&lt;$AS246,IF(AA$8=$AR246,"Bascule","Double run"),"ROKS"))))))</f>
        <v/>
      </c>
      <c r="AB246" s="51" t="str">
        <f aca="false">IF(OR($A246="",AB$8=""),"",IF($F246="Migré","ROKS",IF($F246="À décommissionner",IF(AB$8&lt;$AS246,"IKS","Décom."),IF(OR($AQ246="",$AS246=""),"",IF(AB$8&lt;$AQ246,"IKS",IF(AB$8&lt;$AS246,IF(AB$8=$AR246,"Bascule","Double run"),"ROKS"))))))</f>
        <v/>
      </c>
      <c r="AC246" s="51" t="str">
        <f aca="false">IF(OR($A246="",AC$8=""),"",IF($F246="Migré","ROKS",IF($F246="À décommissionner",IF(AC$8&lt;$AS246,"IKS","Décom."),IF(OR($AQ246="",$AS246=""),"",IF(AC$8&lt;$AQ246,"IKS",IF(AC$8&lt;$AS246,IF(AC$8=$AR246,"Bascule","Double run"),"ROKS"))))))</f>
        <v/>
      </c>
      <c r="AD246" s="51" t="str">
        <f aca="false">IF(OR($A246="",AD$8=""),"",IF($F246="Migré","ROKS",IF($F246="À décommissionner",IF(AD$8&lt;$AS246,"IKS","Décom."),IF(OR($AQ246="",$AS246=""),"",IF(AD$8&lt;$AQ246,"IKS",IF(AD$8&lt;$AS246,IF(AD$8=$AR246,"Bascule","Double run"),"ROKS"))))))</f>
        <v/>
      </c>
      <c r="AE246" s="51" t="str">
        <f aca="false">IF(OR($A246="",AE$8=""),"",IF($F246="Migré","ROKS",IF($F246="À décommissionner",IF(AE$8&lt;$AS246,"IKS","Décom."),IF(OR($AQ246="",$AS246=""),"",IF(AE$8&lt;$AQ246,"IKS",IF(AE$8&lt;$AS246,IF(AE$8=$AR246,"Bascule","Double run"),"ROKS"))))))</f>
        <v/>
      </c>
      <c r="AF246" s="51" t="str">
        <f aca="false">IF(OR($A246="",AF$8=""),"",IF($F246="Migré","ROKS",IF($F246="À décommissionner",IF(AF$8&lt;$AS246,"IKS","Décom."),IF(OR($AQ246="",$AS246=""),"",IF(AF$8&lt;$AQ246,"IKS",IF(AF$8&lt;$AS246,IF(AF$8=$AR246,"Bascule","Double run"),"ROKS"))))))</f>
        <v/>
      </c>
      <c r="AG246" s="51" t="str">
        <f aca="false">IF(OR($A246="",AG$8=""),"",IF($F246="Migré","ROKS",IF($F246="À décommissionner",IF(AG$8&lt;$AS246,"IKS","Décom."),IF(OR($AQ246="",$AS246=""),"",IF(AG$8&lt;$AQ246,"IKS",IF(AG$8&lt;$AS246,IF(AG$8=$AR246,"Bascule","Double run"),"ROKS"))))))</f>
        <v/>
      </c>
      <c r="AH246" s="51" t="str">
        <f aca="false">IF(OR($A246="",AH$8=""),"",IF($F246="Migré","ROKS",IF($F246="À décommissionner",IF(AH$8&lt;$AS246,"IKS","Décom."),IF(OR($AQ246="",$AS246=""),"",IF(AH$8&lt;$AQ246,"IKS",IF(AH$8&lt;$AS246,IF(AH$8=$AR246,"Bascule","Double run"),"ROKS"))))))</f>
        <v/>
      </c>
      <c r="AI246" s="51" t="str">
        <f aca="false">IF(OR($A246="",AI$8=""),"",IF($F246="Migré","ROKS",IF($F246="À décommissionner",IF(AI$8&lt;$AS246,"IKS","Décom."),IF(OR($AQ246="",$AS246=""),"",IF(AI$8&lt;$AQ246,"IKS",IF(AI$8&lt;$AS246,IF(AI$8=$AR246,"Bascule","Double run"),"ROKS"))))))</f>
        <v/>
      </c>
      <c r="AJ246" s="51" t="str">
        <f aca="false">IF(OR($A246="",AJ$8=""),"",IF($F246="Migré","ROKS",IF($F246="À décommissionner",IF(AJ$8&lt;$AS246,"IKS","Décom."),IF(OR($AQ246="",$AS246=""),"",IF(AJ$8&lt;$AQ246,"IKS",IF(AJ$8&lt;$AS246,IF(AJ$8=$AR246,"Bascule","Double run"),"ROKS"))))))</f>
        <v/>
      </c>
      <c r="AK246" s="51" t="str">
        <f aca="false">IF(OR($A246="",AK$8=""),"",IF($F246="Migré","ROKS",IF($F246="À décommissionner",IF(AK$8&lt;$AS246,"IKS","Décom."),IF(OR($AQ246="",$AS246=""),"",IF(AK$8&lt;$AQ246,"IKS",IF(AK$8&lt;$AS246,IF(AK$8=$AR246,"Bascule","Double run"),"ROKS"))))))</f>
        <v/>
      </c>
      <c r="AL246" s="51" t="str">
        <f aca="false">IF(OR($A246="",AL$8=""),"",IF($F246="Migré","ROKS",IF($F246="À décommissionner",IF(AL$8&lt;$AS246,"IKS","Décom."),IF(OR($AQ246="",$AS246=""),"",IF(AL$8&lt;$AQ246,"IKS",IF(AL$8&lt;$AS246,IF(AL$8=$AR246,"Bascule","Double run"),"ROKS"))))))</f>
        <v/>
      </c>
      <c r="AM246" s="51" t="str">
        <f aca="false">IF(OR($A246="",AM$8=""),"",IF($F246="Migré","ROKS",IF($F246="À décommissionner",IF(AM$8&lt;$AS246,"IKS","Décom."),IF(OR($AQ246="",$AS246=""),"",IF(AM$8&lt;$AQ246,"IKS",IF(AM$8&lt;$AS246,IF(AM$8=$AR246,"Bascule","Double run"),"ROKS"))))))</f>
        <v/>
      </c>
      <c r="AN246" s="51" t="str">
        <f aca="false">IF(OR($A246="",AN$8=""),"",IF($F246="Migré","ROKS",IF($F246="À décommissionner",IF(AN$8&lt;$AS246,"IKS","Décom."),IF(OR($AQ246="",$AS246=""),"",IF(AN$8&lt;$AQ246,"IKS",IF(AN$8&lt;$AS246,IF(AN$8=$AR246,"Bascule","Double run"),"ROKS"))))))</f>
        <v/>
      </c>
      <c r="AO246" s="51" t="str">
        <f aca="false">IF(OR($A246="",AO$8=""),"",IF($F246="Migré","ROKS",IF($F246="À décommissionner",IF(AO$8&lt;$AS246,"IKS","Décom."),IF(OR($AQ246="",$AS246=""),"",IF(AO$8&lt;$AQ246,"IKS",IF(AO$8&lt;$AS246,IF(AO$8=$AR246,"Bascule","Double run"),"ROKS"))))))</f>
        <v/>
      </c>
      <c r="AP246" s="51" t="str">
        <f aca="false">IF(OR($A246="",AP$8=""),"",IF($F246="Migré","ROKS",IF($F246="À décommissionner",IF(AP$8&lt;$AS246,"IKS","Décom."),IF(OR($AQ246="",$AS246=""),"",IF(AP$8&lt;$AQ246,"IKS",IF(AP$8&lt;$AS246,IF(AP$8=$AR246,"Bascule","Double run"),"ROKS"))))))</f>
        <v/>
      </c>
      <c r="AQ246" s="0" t="str">
        <f aca="false">IF($A246="","",INDEX(TblApplications[Mois prov (calc)],$A246))</f>
        <v/>
      </c>
      <c r="AR246" s="0" t="str">
        <f aca="false">IF($A246="","",IFERROR(DATE(YEAR(INDEX(TblApplications[Mois bascule],$A246)),MONTH(INDEX(TblApplications[Mois bascule],$A246)),1),""))</f>
        <v/>
      </c>
      <c r="AS246" s="0" t="str">
        <f aca="false">IF($A246="","",INDEX(TblApplications[Mois lib (calc)],$A246))</f>
        <v/>
      </c>
    </row>
    <row r="247" customFormat="false" ht="15" hidden="false" customHeight="false" outlineLevel="0" collapsed="false">
      <c r="A247" s="49" t="str">
        <f aca="false">IFERROR(MATCH(239,TblApplications[Rang frise],0),"")</f>
        <v/>
      </c>
      <c r="B247" s="50" t="str">
        <f aca="false">IF($A247="","",INDEX(TblApplications[ID],$A247))</f>
        <v/>
      </c>
      <c r="C247" s="50" t="str">
        <f aca="false">IF($A247="","",INDEX(TblApplications[Application],$A247))</f>
        <v/>
      </c>
      <c r="D247" s="50" t="str">
        <f aca="false">IF($A247="","",INDEX(TblApplications[Environnement],$A247))</f>
        <v/>
      </c>
      <c r="E247" s="50" t="str">
        <f aca="false">IF($A247="","",INDEX(TblApplications[Couloir],$A247))</f>
        <v/>
      </c>
      <c r="F247" s="50" t="str">
        <f aca="false">IF($A247="","",INDEX(TblApplications[Action],$A247))</f>
        <v/>
      </c>
      <c r="G247" s="51" t="str">
        <f aca="false">IF(OR($A247="",G$8=""),"",IF($F247="Migré","ROKS",IF($F247="À décommissionner",IF(G$8&lt;$AS247,"IKS","Décom."),IF(OR($AQ247="",$AS247=""),"",IF(G$8&lt;$AQ247,"IKS",IF(G$8&lt;$AS247,IF(G$8=$AR247,"Bascule","Double run"),"ROKS"))))))</f>
        <v/>
      </c>
      <c r="H247" s="51" t="str">
        <f aca="false">IF(OR($A247="",H$8=""),"",IF($F247="Migré","ROKS",IF($F247="À décommissionner",IF(H$8&lt;$AS247,"IKS","Décom."),IF(OR($AQ247="",$AS247=""),"",IF(H$8&lt;$AQ247,"IKS",IF(H$8&lt;$AS247,IF(H$8=$AR247,"Bascule","Double run"),"ROKS"))))))</f>
        <v/>
      </c>
      <c r="I247" s="51" t="str">
        <f aca="false">IF(OR($A247="",I$8=""),"",IF($F247="Migré","ROKS",IF($F247="À décommissionner",IF(I$8&lt;$AS247,"IKS","Décom."),IF(OR($AQ247="",$AS247=""),"",IF(I$8&lt;$AQ247,"IKS",IF(I$8&lt;$AS247,IF(I$8=$AR247,"Bascule","Double run"),"ROKS"))))))</f>
        <v/>
      </c>
      <c r="J247" s="51" t="str">
        <f aca="false">IF(OR($A247="",J$8=""),"",IF($F247="Migré","ROKS",IF($F247="À décommissionner",IF(J$8&lt;$AS247,"IKS","Décom."),IF(OR($AQ247="",$AS247=""),"",IF(J$8&lt;$AQ247,"IKS",IF(J$8&lt;$AS247,IF(J$8=$AR247,"Bascule","Double run"),"ROKS"))))))</f>
        <v/>
      </c>
      <c r="K247" s="51" t="str">
        <f aca="false">IF(OR($A247="",K$8=""),"",IF($F247="Migré","ROKS",IF($F247="À décommissionner",IF(K$8&lt;$AS247,"IKS","Décom."),IF(OR($AQ247="",$AS247=""),"",IF(K$8&lt;$AQ247,"IKS",IF(K$8&lt;$AS247,IF(K$8=$AR247,"Bascule","Double run"),"ROKS"))))))</f>
        <v/>
      </c>
      <c r="L247" s="51" t="str">
        <f aca="false">IF(OR($A247="",L$8=""),"",IF($F247="Migré","ROKS",IF($F247="À décommissionner",IF(L$8&lt;$AS247,"IKS","Décom."),IF(OR($AQ247="",$AS247=""),"",IF(L$8&lt;$AQ247,"IKS",IF(L$8&lt;$AS247,IF(L$8=$AR247,"Bascule","Double run"),"ROKS"))))))</f>
        <v/>
      </c>
      <c r="M247" s="51" t="str">
        <f aca="false">IF(OR($A247="",M$8=""),"",IF($F247="Migré","ROKS",IF($F247="À décommissionner",IF(M$8&lt;$AS247,"IKS","Décom."),IF(OR($AQ247="",$AS247=""),"",IF(M$8&lt;$AQ247,"IKS",IF(M$8&lt;$AS247,IF(M$8=$AR247,"Bascule","Double run"),"ROKS"))))))</f>
        <v/>
      </c>
      <c r="N247" s="51" t="str">
        <f aca="false">IF(OR($A247="",N$8=""),"",IF($F247="Migré","ROKS",IF($F247="À décommissionner",IF(N$8&lt;$AS247,"IKS","Décom."),IF(OR($AQ247="",$AS247=""),"",IF(N$8&lt;$AQ247,"IKS",IF(N$8&lt;$AS247,IF(N$8=$AR247,"Bascule","Double run"),"ROKS"))))))</f>
        <v/>
      </c>
      <c r="O247" s="51" t="str">
        <f aca="false">IF(OR($A247="",O$8=""),"",IF($F247="Migré","ROKS",IF($F247="À décommissionner",IF(O$8&lt;$AS247,"IKS","Décom."),IF(OR($AQ247="",$AS247=""),"",IF(O$8&lt;$AQ247,"IKS",IF(O$8&lt;$AS247,IF(O$8=$AR247,"Bascule","Double run"),"ROKS"))))))</f>
        <v/>
      </c>
      <c r="P247" s="51" t="str">
        <f aca="false">IF(OR($A247="",P$8=""),"",IF($F247="Migré","ROKS",IF($F247="À décommissionner",IF(P$8&lt;$AS247,"IKS","Décom."),IF(OR($AQ247="",$AS247=""),"",IF(P$8&lt;$AQ247,"IKS",IF(P$8&lt;$AS247,IF(P$8=$AR247,"Bascule","Double run"),"ROKS"))))))</f>
        <v/>
      </c>
      <c r="Q247" s="51" t="str">
        <f aca="false">IF(OR($A247="",Q$8=""),"",IF($F247="Migré","ROKS",IF($F247="À décommissionner",IF(Q$8&lt;$AS247,"IKS","Décom."),IF(OR($AQ247="",$AS247=""),"",IF(Q$8&lt;$AQ247,"IKS",IF(Q$8&lt;$AS247,IF(Q$8=$AR247,"Bascule","Double run"),"ROKS"))))))</f>
        <v/>
      </c>
      <c r="R247" s="51" t="str">
        <f aca="false">IF(OR($A247="",R$8=""),"",IF($F247="Migré","ROKS",IF($F247="À décommissionner",IF(R$8&lt;$AS247,"IKS","Décom."),IF(OR($AQ247="",$AS247=""),"",IF(R$8&lt;$AQ247,"IKS",IF(R$8&lt;$AS247,IF(R$8=$AR247,"Bascule","Double run"),"ROKS"))))))</f>
        <v/>
      </c>
      <c r="S247" s="51" t="str">
        <f aca="false">IF(OR($A247="",S$8=""),"",IF($F247="Migré","ROKS",IF($F247="À décommissionner",IF(S$8&lt;$AS247,"IKS","Décom."),IF(OR($AQ247="",$AS247=""),"",IF(S$8&lt;$AQ247,"IKS",IF(S$8&lt;$AS247,IF(S$8=$AR247,"Bascule","Double run"),"ROKS"))))))</f>
        <v/>
      </c>
      <c r="T247" s="51" t="str">
        <f aca="false">IF(OR($A247="",T$8=""),"",IF($F247="Migré","ROKS",IF($F247="À décommissionner",IF(T$8&lt;$AS247,"IKS","Décom."),IF(OR($AQ247="",$AS247=""),"",IF(T$8&lt;$AQ247,"IKS",IF(T$8&lt;$AS247,IF(T$8=$AR247,"Bascule","Double run"),"ROKS"))))))</f>
        <v/>
      </c>
      <c r="U247" s="51" t="str">
        <f aca="false">IF(OR($A247="",U$8=""),"",IF($F247="Migré","ROKS",IF($F247="À décommissionner",IF(U$8&lt;$AS247,"IKS","Décom."),IF(OR($AQ247="",$AS247=""),"",IF(U$8&lt;$AQ247,"IKS",IF(U$8&lt;$AS247,IF(U$8=$AR247,"Bascule","Double run"),"ROKS"))))))</f>
        <v/>
      </c>
      <c r="V247" s="51" t="str">
        <f aca="false">IF(OR($A247="",V$8=""),"",IF($F247="Migré","ROKS",IF($F247="À décommissionner",IF(V$8&lt;$AS247,"IKS","Décom."),IF(OR($AQ247="",$AS247=""),"",IF(V$8&lt;$AQ247,"IKS",IF(V$8&lt;$AS247,IF(V$8=$AR247,"Bascule","Double run"),"ROKS"))))))</f>
        <v/>
      </c>
      <c r="W247" s="51" t="str">
        <f aca="false">IF(OR($A247="",W$8=""),"",IF($F247="Migré","ROKS",IF($F247="À décommissionner",IF(W$8&lt;$AS247,"IKS","Décom."),IF(OR($AQ247="",$AS247=""),"",IF(W$8&lt;$AQ247,"IKS",IF(W$8&lt;$AS247,IF(W$8=$AR247,"Bascule","Double run"),"ROKS"))))))</f>
        <v/>
      </c>
      <c r="X247" s="51" t="str">
        <f aca="false">IF(OR($A247="",X$8=""),"",IF($F247="Migré","ROKS",IF($F247="À décommissionner",IF(X$8&lt;$AS247,"IKS","Décom."),IF(OR($AQ247="",$AS247=""),"",IF(X$8&lt;$AQ247,"IKS",IF(X$8&lt;$AS247,IF(X$8=$AR247,"Bascule","Double run"),"ROKS"))))))</f>
        <v/>
      </c>
      <c r="Y247" s="51" t="str">
        <f aca="false">IF(OR($A247="",Y$8=""),"",IF($F247="Migré","ROKS",IF($F247="À décommissionner",IF(Y$8&lt;$AS247,"IKS","Décom."),IF(OR($AQ247="",$AS247=""),"",IF(Y$8&lt;$AQ247,"IKS",IF(Y$8&lt;$AS247,IF(Y$8=$AR247,"Bascule","Double run"),"ROKS"))))))</f>
        <v/>
      </c>
      <c r="Z247" s="51" t="str">
        <f aca="false">IF(OR($A247="",Z$8=""),"",IF($F247="Migré","ROKS",IF($F247="À décommissionner",IF(Z$8&lt;$AS247,"IKS","Décom."),IF(OR($AQ247="",$AS247=""),"",IF(Z$8&lt;$AQ247,"IKS",IF(Z$8&lt;$AS247,IF(Z$8=$AR247,"Bascule","Double run"),"ROKS"))))))</f>
        <v/>
      </c>
      <c r="AA247" s="51" t="str">
        <f aca="false">IF(OR($A247="",AA$8=""),"",IF($F247="Migré","ROKS",IF($F247="À décommissionner",IF(AA$8&lt;$AS247,"IKS","Décom."),IF(OR($AQ247="",$AS247=""),"",IF(AA$8&lt;$AQ247,"IKS",IF(AA$8&lt;$AS247,IF(AA$8=$AR247,"Bascule","Double run"),"ROKS"))))))</f>
        <v/>
      </c>
      <c r="AB247" s="51" t="str">
        <f aca="false">IF(OR($A247="",AB$8=""),"",IF($F247="Migré","ROKS",IF($F247="À décommissionner",IF(AB$8&lt;$AS247,"IKS","Décom."),IF(OR($AQ247="",$AS247=""),"",IF(AB$8&lt;$AQ247,"IKS",IF(AB$8&lt;$AS247,IF(AB$8=$AR247,"Bascule","Double run"),"ROKS"))))))</f>
        <v/>
      </c>
      <c r="AC247" s="51" t="str">
        <f aca="false">IF(OR($A247="",AC$8=""),"",IF($F247="Migré","ROKS",IF($F247="À décommissionner",IF(AC$8&lt;$AS247,"IKS","Décom."),IF(OR($AQ247="",$AS247=""),"",IF(AC$8&lt;$AQ247,"IKS",IF(AC$8&lt;$AS247,IF(AC$8=$AR247,"Bascule","Double run"),"ROKS"))))))</f>
        <v/>
      </c>
      <c r="AD247" s="51" t="str">
        <f aca="false">IF(OR($A247="",AD$8=""),"",IF($F247="Migré","ROKS",IF($F247="À décommissionner",IF(AD$8&lt;$AS247,"IKS","Décom."),IF(OR($AQ247="",$AS247=""),"",IF(AD$8&lt;$AQ247,"IKS",IF(AD$8&lt;$AS247,IF(AD$8=$AR247,"Bascule","Double run"),"ROKS"))))))</f>
        <v/>
      </c>
      <c r="AE247" s="51" t="str">
        <f aca="false">IF(OR($A247="",AE$8=""),"",IF($F247="Migré","ROKS",IF($F247="À décommissionner",IF(AE$8&lt;$AS247,"IKS","Décom."),IF(OR($AQ247="",$AS247=""),"",IF(AE$8&lt;$AQ247,"IKS",IF(AE$8&lt;$AS247,IF(AE$8=$AR247,"Bascule","Double run"),"ROKS"))))))</f>
        <v/>
      </c>
      <c r="AF247" s="51" t="str">
        <f aca="false">IF(OR($A247="",AF$8=""),"",IF($F247="Migré","ROKS",IF($F247="À décommissionner",IF(AF$8&lt;$AS247,"IKS","Décom."),IF(OR($AQ247="",$AS247=""),"",IF(AF$8&lt;$AQ247,"IKS",IF(AF$8&lt;$AS247,IF(AF$8=$AR247,"Bascule","Double run"),"ROKS"))))))</f>
        <v/>
      </c>
      <c r="AG247" s="51" t="str">
        <f aca="false">IF(OR($A247="",AG$8=""),"",IF($F247="Migré","ROKS",IF($F247="À décommissionner",IF(AG$8&lt;$AS247,"IKS","Décom."),IF(OR($AQ247="",$AS247=""),"",IF(AG$8&lt;$AQ247,"IKS",IF(AG$8&lt;$AS247,IF(AG$8=$AR247,"Bascule","Double run"),"ROKS"))))))</f>
        <v/>
      </c>
      <c r="AH247" s="51" t="str">
        <f aca="false">IF(OR($A247="",AH$8=""),"",IF($F247="Migré","ROKS",IF($F247="À décommissionner",IF(AH$8&lt;$AS247,"IKS","Décom."),IF(OR($AQ247="",$AS247=""),"",IF(AH$8&lt;$AQ247,"IKS",IF(AH$8&lt;$AS247,IF(AH$8=$AR247,"Bascule","Double run"),"ROKS"))))))</f>
        <v/>
      </c>
      <c r="AI247" s="51" t="str">
        <f aca="false">IF(OR($A247="",AI$8=""),"",IF($F247="Migré","ROKS",IF($F247="À décommissionner",IF(AI$8&lt;$AS247,"IKS","Décom."),IF(OR($AQ247="",$AS247=""),"",IF(AI$8&lt;$AQ247,"IKS",IF(AI$8&lt;$AS247,IF(AI$8=$AR247,"Bascule","Double run"),"ROKS"))))))</f>
        <v/>
      </c>
      <c r="AJ247" s="51" t="str">
        <f aca="false">IF(OR($A247="",AJ$8=""),"",IF($F247="Migré","ROKS",IF($F247="À décommissionner",IF(AJ$8&lt;$AS247,"IKS","Décom."),IF(OR($AQ247="",$AS247=""),"",IF(AJ$8&lt;$AQ247,"IKS",IF(AJ$8&lt;$AS247,IF(AJ$8=$AR247,"Bascule","Double run"),"ROKS"))))))</f>
        <v/>
      </c>
      <c r="AK247" s="51" t="str">
        <f aca="false">IF(OR($A247="",AK$8=""),"",IF($F247="Migré","ROKS",IF($F247="À décommissionner",IF(AK$8&lt;$AS247,"IKS","Décom."),IF(OR($AQ247="",$AS247=""),"",IF(AK$8&lt;$AQ247,"IKS",IF(AK$8&lt;$AS247,IF(AK$8=$AR247,"Bascule","Double run"),"ROKS"))))))</f>
        <v/>
      </c>
      <c r="AL247" s="51" t="str">
        <f aca="false">IF(OR($A247="",AL$8=""),"",IF($F247="Migré","ROKS",IF($F247="À décommissionner",IF(AL$8&lt;$AS247,"IKS","Décom."),IF(OR($AQ247="",$AS247=""),"",IF(AL$8&lt;$AQ247,"IKS",IF(AL$8&lt;$AS247,IF(AL$8=$AR247,"Bascule","Double run"),"ROKS"))))))</f>
        <v/>
      </c>
      <c r="AM247" s="51" t="str">
        <f aca="false">IF(OR($A247="",AM$8=""),"",IF($F247="Migré","ROKS",IF($F247="À décommissionner",IF(AM$8&lt;$AS247,"IKS","Décom."),IF(OR($AQ247="",$AS247=""),"",IF(AM$8&lt;$AQ247,"IKS",IF(AM$8&lt;$AS247,IF(AM$8=$AR247,"Bascule","Double run"),"ROKS"))))))</f>
        <v/>
      </c>
      <c r="AN247" s="51" t="str">
        <f aca="false">IF(OR($A247="",AN$8=""),"",IF($F247="Migré","ROKS",IF($F247="À décommissionner",IF(AN$8&lt;$AS247,"IKS","Décom."),IF(OR($AQ247="",$AS247=""),"",IF(AN$8&lt;$AQ247,"IKS",IF(AN$8&lt;$AS247,IF(AN$8=$AR247,"Bascule","Double run"),"ROKS"))))))</f>
        <v/>
      </c>
      <c r="AO247" s="51" t="str">
        <f aca="false">IF(OR($A247="",AO$8=""),"",IF($F247="Migré","ROKS",IF($F247="À décommissionner",IF(AO$8&lt;$AS247,"IKS","Décom."),IF(OR($AQ247="",$AS247=""),"",IF(AO$8&lt;$AQ247,"IKS",IF(AO$8&lt;$AS247,IF(AO$8=$AR247,"Bascule","Double run"),"ROKS"))))))</f>
        <v/>
      </c>
      <c r="AP247" s="51" t="str">
        <f aca="false">IF(OR($A247="",AP$8=""),"",IF($F247="Migré","ROKS",IF($F247="À décommissionner",IF(AP$8&lt;$AS247,"IKS","Décom."),IF(OR($AQ247="",$AS247=""),"",IF(AP$8&lt;$AQ247,"IKS",IF(AP$8&lt;$AS247,IF(AP$8=$AR247,"Bascule","Double run"),"ROKS"))))))</f>
        <v/>
      </c>
      <c r="AQ247" s="0" t="str">
        <f aca="false">IF($A247="","",INDEX(TblApplications[Mois prov (calc)],$A247))</f>
        <v/>
      </c>
      <c r="AR247" s="0" t="str">
        <f aca="false">IF($A247="","",IFERROR(DATE(YEAR(INDEX(TblApplications[Mois bascule],$A247)),MONTH(INDEX(TblApplications[Mois bascule],$A247)),1),""))</f>
        <v/>
      </c>
      <c r="AS247" s="0" t="str">
        <f aca="false">IF($A247="","",INDEX(TblApplications[Mois lib (calc)],$A247))</f>
        <v/>
      </c>
    </row>
    <row r="248" customFormat="false" ht="15" hidden="false" customHeight="false" outlineLevel="0" collapsed="false">
      <c r="A248" s="49" t="str">
        <f aca="false">IFERROR(MATCH(240,TblApplications[Rang frise],0),"")</f>
        <v/>
      </c>
      <c r="B248" s="50" t="str">
        <f aca="false">IF($A248="","",INDEX(TblApplications[ID],$A248))</f>
        <v/>
      </c>
      <c r="C248" s="50" t="str">
        <f aca="false">IF($A248="","",INDEX(TblApplications[Application],$A248))</f>
        <v/>
      </c>
      <c r="D248" s="50" t="str">
        <f aca="false">IF($A248="","",INDEX(TblApplications[Environnement],$A248))</f>
        <v/>
      </c>
      <c r="E248" s="50" t="str">
        <f aca="false">IF($A248="","",INDEX(TblApplications[Couloir],$A248))</f>
        <v/>
      </c>
      <c r="F248" s="50" t="str">
        <f aca="false">IF($A248="","",INDEX(TblApplications[Action],$A248))</f>
        <v/>
      </c>
      <c r="G248" s="51" t="str">
        <f aca="false">IF(OR($A248="",G$8=""),"",IF($F248="Migré","ROKS",IF($F248="À décommissionner",IF(G$8&lt;$AS248,"IKS","Décom."),IF(OR($AQ248="",$AS248=""),"",IF(G$8&lt;$AQ248,"IKS",IF(G$8&lt;$AS248,IF(G$8=$AR248,"Bascule","Double run"),"ROKS"))))))</f>
        <v/>
      </c>
      <c r="H248" s="51" t="str">
        <f aca="false">IF(OR($A248="",H$8=""),"",IF($F248="Migré","ROKS",IF($F248="À décommissionner",IF(H$8&lt;$AS248,"IKS","Décom."),IF(OR($AQ248="",$AS248=""),"",IF(H$8&lt;$AQ248,"IKS",IF(H$8&lt;$AS248,IF(H$8=$AR248,"Bascule","Double run"),"ROKS"))))))</f>
        <v/>
      </c>
      <c r="I248" s="51" t="str">
        <f aca="false">IF(OR($A248="",I$8=""),"",IF($F248="Migré","ROKS",IF($F248="À décommissionner",IF(I$8&lt;$AS248,"IKS","Décom."),IF(OR($AQ248="",$AS248=""),"",IF(I$8&lt;$AQ248,"IKS",IF(I$8&lt;$AS248,IF(I$8=$AR248,"Bascule","Double run"),"ROKS"))))))</f>
        <v/>
      </c>
      <c r="J248" s="51" t="str">
        <f aca="false">IF(OR($A248="",J$8=""),"",IF($F248="Migré","ROKS",IF($F248="À décommissionner",IF(J$8&lt;$AS248,"IKS","Décom."),IF(OR($AQ248="",$AS248=""),"",IF(J$8&lt;$AQ248,"IKS",IF(J$8&lt;$AS248,IF(J$8=$AR248,"Bascule","Double run"),"ROKS"))))))</f>
        <v/>
      </c>
      <c r="K248" s="51" t="str">
        <f aca="false">IF(OR($A248="",K$8=""),"",IF($F248="Migré","ROKS",IF($F248="À décommissionner",IF(K$8&lt;$AS248,"IKS","Décom."),IF(OR($AQ248="",$AS248=""),"",IF(K$8&lt;$AQ248,"IKS",IF(K$8&lt;$AS248,IF(K$8=$AR248,"Bascule","Double run"),"ROKS"))))))</f>
        <v/>
      </c>
      <c r="L248" s="51" t="str">
        <f aca="false">IF(OR($A248="",L$8=""),"",IF($F248="Migré","ROKS",IF($F248="À décommissionner",IF(L$8&lt;$AS248,"IKS","Décom."),IF(OR($AQ248="",$AS248=""),"",IF(L$8&lt;$AQ248,"IKS",IF(L$8&lt;$AS248,IF(L$8=$AR248,"Bascule","Double run"),"ROKS"))))))</f>
        <v/>
      </c>
      <c r="M248" s="51" t="str">
        <f aca="false">IF(OR($A248="",M$8=""),"",IF($F248="Migré","ROKS",IF($F248="À décommissionner",IF(M$8&lt;$AS248,"IKS","Décom."),IF(OR($AQ248="",$AS248=""),"",IF(M$8&lt;$AQ248,"IKS",IF(M$8&lt;$AS248,IF(M$8=$AR248,"Bascule","Double run"),"ROKS"))))))</f>
        <v/>
      </c>
      <c r="N248" s="51" t="str">
        <f aca="false">IF(OR($A248="",N$8=""),"",IF($F248="Migré","ROKS",IF($F248="À décommissionner",IF(N$8&lt;$AS248,"IKS","Décom."),IF(OR($AQ248="",$AS248=""),"",IF(N$8&lt;$AQ248,"IKS",IF(N$8&lt;$AS248,IF(N$8=$AR248,"Bascule","Double run"),"ROKS"))))))</f>
        <v/>
      </c>
      <c r="O248" s="51" t="str">
        <f aca="false">IF(OR($A248="",O$8=""),"",IF($F248="Migré","ROKS",IF($F248="À décommissionner",IF(O$8&lt;$AS248,"IKS","Décom."),IF(OR($AQ248="",$AS248=""),"",IF(O$8&lt;$AQ248,"IKS",IF(O$8&lt;$AS248,IF(O$8=$AR248,"Bascule","Double run"),"ROKS"))))))</f>
        <v/>
      </c>
      <c r="P248" s="51" t="str">
        <f aca="false">IF(OR($A248="",P$8=""),"",IF($F248="Migré","ROKS",IF($F248="À décommissionner",IF(P$8&lt;$AS248,"IKS","Décom."),IF(OR($AQ248="",$AS248=""),"",IF(P$8&lt;$AQ248,"IKS",IF(P$8&lt;$AS248,IF(P$8=$AR248,"Bascule","Double run"),"ROKS"))))))</f>
        <v/>
      </c>
      <c r="Q248" s="51" t="str">
        <f aca="false">IF(OR($A248="",Q$8=""),"",IF($F248="Migré","ROKS",IF($F248="À décommissionner",IF(Q$8&lt;$AS248,"IKS","Décom."),IF(OR($AQ248="",$AS248=""),"",IF(Q$8&lt;$AQ248,"IKS",IF(Q$8&lt;$AS248,IF(Q$8=$AR248,"Bascule","Double run"),"ROKS"))))))</f>
        <v/>
      </c>
      <c r="R248" s="51" t="str">
        <f aca="false">IF(OR($A248="",R$8=""),"",IF($F248="Migré","ROKS",IF($F248="À décommissionner",IF(R$8&lt;$AS248,"IKS","Décom."),IF(OR($AQ248="",$AS248=""),"",IF(R$8&lt;$AQ248,"IKS",IF(R$8&lt;$AS248,IF(R$8=$AR248,"Bascule","Double run"),"ROKS"))))))</f>
        <v/>
      </c>
      <c r="S248" s="51" t="str">
        <f aca="false">IF(OR($A248="",S$8=""),"",IF($F248="Migré","ROKS",IF($F248="À décommissionner",IF(S$8&lt;$AS248,"IKS","Décom."),IF(OR($AQ248="",$AS248=""),"",IF(S$8&lt;$AQ248,"IKS",IF(S$8&lt;$AS248,IF(S$8=$AR248,"Bascule","Double run"),"ROKS"))))))</f>
        <v/>
      </c>
      <c r="T248" s="51" t="str">
        <f aca="false">IF(OR($A248="",T$8=""),"",IF($F248="Migré","ROKS",IF($F248="À décommissionner",IF(T$8&lt;$AS248,"IKS","Décom."),IF(OR($AQ248="",$AS248=""),"",IF(T$8&lt;$AQ248,"IKS",IF(T$8&lt;$AS248,IF(T$8=$AR248,"Bascule","Double run"),"ROKS"))))))</f>
        <v/>
      </c>
      <c r="U248" s="51" t="str">
        <f aca="false">IF(OR($A248="",U$8=""),"",IF($F248="Migré","ROKS",IF($F248="À décommissionner",IF(U$8&lt;$AS248,"IKS","Décom."),IF(OR($AQ248="",$AS248=""),"",IF(U$8&lt;$AQ248,"IKS",IF(U$8&lt;$AS248,IF(U$8=$AR248,"Bascule","Double run"),"ROKS"))))))</f>
        <v/>
      </c>
      <c r="V248" s="51" t="str">
        <f aca="false">IF(OR($A248="",V$8=""),"",IF($F248="Migré","ROKS",IF($F248="À décommissionner",IF(V$8&lt;$AS248,"IKS","Décom."),IF(OR($AQ248="",$AS248=""),"",IF(V$8&lt;$AQ248,"IKS",IF(V$8&lt;$AS248,IF(V$8=$AR248,"Bascule","Double run"),"ROKS"))))))</f>
        <v/>
      </c>
      <c r="W248" s="51" t="str">
        <f aca="false">IF(OR($A248="",W$8=""),"",IF($F248="Migré","ROKS",IF($F248="À décommissionner",IF(W$8&lt;$AS248,"IKS","Décom."),IF(OR($AQ248="",$AS248=""),"",IF(W$8&lt;$AQ248,"IKS",IF(W$8&lt;$AS248,IF(W$8=$AR248,"Bascule","Double run"),"ROKS"))))))</f>
        <v/>
      </c>
      <c r="X248" s="51" t="str">
        <f aca="false">IF(OR($A248="",X$8=""),"",IF($F248="Migré","ROKS",IF($F248="À décommissionner",IF(X$8&lt;$AS248,"IKS","Décom."),IF(OR($AQ248="",$AS248=""),"",IF(X$8&lt;$AQ248,"IKS",IF(X$8&lt;$AS248,IF(X$8=$AR248,"Bascule","Double run"),"ROKS"))))))</f>
        <v/>
      </c>
      <c r="Y248" s="51" t="str">
        <f aca="false">IF(OR($A248="",Y$8=""),"",IF($F248="Migré","ROKS",IF($F248="À décommissionner",IF(Y$8&lt;$AS248,"IKS","Décom."),IF(OR($AQ248="",$AS248=""),"",IF(Y$8&lt;$AQ248,"IKS",IF(Y$8&lt;$AS248,IF(Y$8=$AR248,"Bascule","Double run"),"ROKS"))))))</f>
        <v/>
      </c>
      <c r="Z248" s="51" t="str">
        <f aca="false">IF(OR($A248="",Z$8=""),"",IF($F248="Migré","ROKS",IF($F248="À décommissionner",IF(Z$8&lt;$AS248,"IKS","Décom."),IF(OR($AQ248="",$AS248=""),"",IF(Z$8&lt;$AQ248,"IKS",IF(Z$8&lt;$AS248,IF(Z$8=$AR248,"Bascule","Double run"),"ROKS"))))))</f>
        <v/>
      </c>
      <c r="AA248" s="51" t="str">
        <f aca="false">IF(OR($A248="",AA$8=""),"",IF($F248="Migré","ROKS",IF($F248="À décommissionner",IF(AA$8&lt;$AS248,"IKS","Décom."),IF(OR($AQ248="",$AS248=""),"",IF(AA$8&lt;$AQ248,"IKS",IF(AA$8&lt;$AS248,IF(AA$8=$AR248,"Bascule","Double run"),"ROKS"))))))</f>
        <v/>
      </c>
      <c r="AB248" s="51" t="str">
        <f aca="false">IF(OR($A248="",AB$8=""),"",IF($F248="Migré","ROKS",IF($F248="À décommissionner",IF(AB$8&lt;$AS248,"IKS","Décom."),IF(OR($AQ248="",$AS248=""),"",IF(AB$8&lt;$AQ248,"IKS",IF(AB$8&lt;$AS248,IF(AB$8=$AR248,"Bascule","Double run"),"ROKS"))))))</f>
        <v/>
      </c>
      <c r="AC248" s="51" t="str">
        <f aca="false">IF(OR($A248="",AC$8=""),"",IF($F248="Migré","ROKS",IF($F248="À décommissionner",IF(AC$8&lt;$AS248,"IKS","Décom."),IF(OR($AQ248="",$AS248=""),"",IF(AC$8&lt;$AQ248,"IKS",IF(AC$8&lt;$AS248,IF(AC$8=$AR248,"Bascule","Double run"),"ROKS"))))))</f>
        <v/>
      </c>
      <c r="AD248" s="51" t="str">
        <f aca="false">IF(OR($A248="",AD$8=""),"",IF($F248="Migré","ROKS",IF($F248="À décommissionner",IF(AD$8&lt;$AS248,"IKS","Décom."),IF(OR($AQ248="",$AS248=""),"",IF(AD$8&lt;$AQ248,"IKS",IF(AD$8&lt;$AS248,IF(AD$8=$AR248,"Bascule","Double run"),"ROKS"))))))</f>
        <v/>
      </c>
      <c r="AE248" s="51" t="str">
        <f aca="false">IF(OR($A248="",AE$8=""),"",IF($F248="Migré","ROKS",IF($F248="À décommissionner",IF(AE$8&lt;$AS248,"IKS","Décom."),IF(OR($AQ248="",$AS248=""),"",IF(AE$8&lt;$AQ248,"IKS",IF(AE$8&lt;$AS248,IF(AE$8=$AR248,"Bascule","Double run"),"ROKS"))))))</f>
        <v/>
      </c>
      <c r="AF248" s="51" t="str">
        <f aca="false">IF(OR($A248="",AF$8=""),"",IF($F248="Migré","ROKS",IF($F248="À décommissionner",IF(AF$8&lt;$AS248,"IKS","Décom."),IF(OR($AQ248="",$AS248=""),"",IF(AF$8&lt;$AQ248,"IKS",IF(AF$8&lt;$AS248,IF(AF$8=$AR248,"Bascule","Double run"),"ROKS"))))))</f>
        <v/>
      </c>
      <c r="AG248" s="51" t="str">
        <f aca="false">IF(OR($A248="",AG$8=""),"",IF($F248="Migré","ROKS",IF($F248="À décommissionner",IF(AG$8&lt;$AS248,"IKS","Décom."),IF(OR($AQ248="",$AS248=""),"",IF(AG$8&lt;$AQ248,"IKS",IF(AG$8&lt;$AS248,IF(AG$8=$AR248,"Bascule","Double run"),"ROKS"))))))</f>
        <v/>
      </c>
      <c r="AH248" s="51" t="str">
        <f aca="false">IF(OR($A248="",AH$8=""),"",IF($F248="Migré","ROKS",IF($F248="À décommissionner",IF(AH$8&lt;$AS248,"IKS","Décom."),IF(OR($AQ248="",$AS248=""),"",IF(AH$8&lt;$AQ248,"IKS",IF(AH$8&lt;$AS248,IF(AH$8=$AR248,"Bascule","Double run"),"ROKS"))))))</f>
        <v/>
      </c>
      <c r="AI248" s="51" t="str">
        <f aca="false">IF(OR($A248="",AI$8=""),"",IF($F248="Migré","ROKS",IF($F248="À décommissionner",IF(AI$8&lt;$AS248,"IKS","Décom."),IF(OR($AQ248="",$AS248=""),"",IF(AI$8&lt;$AQ248,"IKS",IF(AI$8&lt;$AS248,IF(AI$8=$AR248,"Bascule","Double run"),"ROKS"))))))</f>
        <v/>
      </c>
      <c r="AJ248" s="51" t="str">
        <f aca="false">IF(OR($A248="",AJ$8=""),"",IF($F248="Migré","ROKS",IF($F248="À décommissionner",IF(AJ$8&lt;$AS248,"IKS","Décom."),IF(OR($AQ248="",$AS248=""),"",IF(AJ$8&lt;$AQ248,"IKS",IF(AJ$8&lt;$AS248,IF(AJ$8=$AR248,"Bascule","Double run"),"ROKS"))))))</f>
        <v/>
      </c>
      <c r="AK248" s="51" t="str">
        <f aca="false">IF(OR($A248="",AK$8=""),"",IF($F248="Migré","ROKS",IF($F248="À décommissionner",IF(AK$8&lt;$AS248,"IKS","Décom."),IF(OR($AQ248="",$AS248=""),"",IF(AK$8&lt;$AQ248,"IKS",IF(AK$8&lt;$AS248,IF(AK$8=$AR248,"Bascule","Double run"),"ROKS"))))))</f>
        <v/>
      </c>
      <c r="AL248" s="51" t="str">
        <f aca="false">IF(OR($A248="",AL$8=""),"",IF($F248="Migré","ROKS",IF($F248="À décommissionner",IF(AL$8&lt;$AS248,"IKS","Décom."),IF(OR($AQ248="",$AS248=""),"",IF(AL$8&lt;$AQ248,"IKS",IF(AL$8&lt;$AS248,IF(AL$8=$AR248,"Bascule","Double run"),"ROKS"))))))</f>
        <v/>
      </c>
      <c r="AM248" s="51" t="str">
        <f aca="false">IF(OR($A248="",AM$8=""),"",IF($F248="Migré","ROKS",IF($F248="À décommissionner",IF(AM$8&lt;$AS248,"IKS","Décom."),IF(OR($AQ248="",$AS248=""),"",IF(AM$8&lt;$AQ248,"IKS",IF(AM$8&lt;$AS248,IF(AM$8=$AR248,"Bascule","Double run"),"ROKS"))))))</f>
        <v/>
      </c>
      <c r="AN248" s="51" t="str">
        <f aca="false">IF(OR($A248="",AN$8=""),"",IF($F248="Migré","ROKS",IF($F248="À décommissionner",IF(AN$8&lt;$AS248,"IKS","Décom."),IF(OR($AQ248="",$AS248=""),"",IF(AN$8&lt;$AQ248,"IKS",IF(AN$8&lt;$AS248,IF(AN$8=$AR248,"Bascule","Double run"),"ROKS"))))))</f>
        <v/>
      </c>
      <c r="AO248" s="51" t="str">
        <f aca="false">IF(OR($A248="",AO$8=""),"",IF($F248="Migré","ROKS",IF($F248="À décommissionner",IF(AO$8&lt;$AS248,"IKS","Décom."),IF(OR($AQ248="",$AS248=""),"",IF(AO$8&lt;$AQ248,"IKS",IF(AO$8&lt;$AS248,IF(AO$8=$AR248,"Bascule","Double run"),"ROKS"))))))</f>
        <v/>
      </c>
      <c r="AP248" s="51" t="str">
        <f aca="false">IF(OR($A248="",AP$8=""),"",IF($F248="Migré","ROKS",IF($F248="À décommissionner",IF(AP$8&lt;$AS248,"IKS","Décom."),IF(OR($AQ248="",$AS248=""),"",IF(AP$8&lt;$AQ248,"IKS",IF(AP$8&lt;$AS248,IF(AP$8=$AR248,"Bascule","Double run"),"ROKS"))))))</f>
        <v/>
      </c>
      <c r="AQ248" s="0" t="str">
        <f aca="false">IF($A248="","",INDEX(TblApplications[Mois prov (calc)],$A248))</f>
        <v/>
      </c>
      <c r="AR248" s="0" t="str">
        <f aca="false">IF($A248="","",IFERROR(DATE(YEAR(INDEX(TblApplications[Mois bascule],$A248)),MONTH(INDEX(TblApplications[Mois bascule],$A248)),1),""))</f>
        <v/>
      </c>
      <c r="AS248" s="0" t="str">
        <f aca="false">IF($A248="","",INDEX(TblApplications[Mois lib (calc)],$A248))</f>
        <v/>
      </c>
    </row>
    <row r="249" customFormat="false" ht="15" hidden="false" customHeight="false" outlineLevel="0" collapsed="false">
      <c r="A249" s="49" t="str">
        <f aca="false">IFERROR(MATCH(241,TblApplications[Rang frise],0),"")</f>
        <v/>
      </c>
      <c r="B249" s="50" t="str">
        <f aca="false">IF($A249="","",INDEX(TblApplications[ID],$A249))</f>
        <v/>
      </c>
      <c r="C249" s="50" t="str">
        <f aca="false">IF($A249="","",INDEX(TblApplications[Application],$A249))</f>
        <v/>
      </c>
      <c r="D249" s="50" t="str">
        <f aca="false">IF($A249="","",INDEX(TblApplications[Environnement],$A249))</f>
        <v/>
      </c>
      <c r="E249" s="50" t="str">
        <f aca="false">IF($A249="","",INDEX(TblApplications[Couloir],$A249))</f>
        <v/>
      </c>
      <c r="F249" s="50" t="str">
        <f aca="false">IF($A249="","",INDEX(TblApplications[Action],$A249))</f>
        <v/>
      </c>
      <c r="G249" s="51" t="str">
        <f aca="false">IF(OR($A249="",G$8=""),"",IF($F249="Migré","ROKS",IF($F249="À décommissionner",IF(G$8&lt;$AS249,"IKS","Décom."),IF(OR($AQ249="",$AS249=""),"",IF(G$8&lt;$AQ249,"IKS",IF(G$8&lt;$AS249,IF(G$8=$AR249,"Bascule","Double run"),"ROKS"))))))</f>
        <v/>
      </c>
      <c r="H249" s="51" t="str">
        <f aca="false">IF(OR($A249="",H$8=""),"",IF($F249="Migré","ROKS",IF($F249="À décommissionner",IF(H$8&lt;$AS249,"IKS","Décom."),IF(OR($AQ249="",$AS249=""),"",IF(H$8&lt;$AQ249,"IKS",IF(H$8&lt;$AS249,IF(H$8=$AR249,"Bascule","Double run"),"ROKS"))))))</f>
        <v/>
      </c>
      <c r="I249" s="51" t="str">
        <f aca="false">IF(OR($A249="",I$8=""),"",IF($F249="Migré","ROKS",IF($F249="À décommissionner",IF(I$8&lt;$AS249,"IKS","Décom."),IF(OR($AQ249="",$AS249=""),"",IF(I$8&lt;$AQ249,"IKS",IF(I$8&lt;$AS249,IF(I$8=$AR249,"Bascule","Double run"),"ROKS"))))))</f>
        <v/>
      </c>
      <c r="J249" s="51" t="str">
        <f aca="false">IF(OR($A249="",J$8=""),"",IF($F249="Migré","ROKS",IF($F249="À décommissionner",IF(J$8&lt;$AS249,"IKS","Décom."),IF(OR($AQ249="",$AS249=""),"",IF(J$8&lt;$AQ249,"IKS",IF(J$8&lt;$AS249,IF(J$8=$AR249,"Bascule","Double run"),"ROKS"))))))</f>
        <v/>
      </c>
      <c r="K249" s="51" t="str">
        <f aca="false">IF(OR($A249="",K$8=""),"",IF($F249="Migré","ROKS",IF($F249="À décommissionner",IF(K$8&lt;$AS249,"IKS","Décom."),IF(OR($AQ249="",$AS249=""),"",IF(K$8&lt;$AQ249,"IKS",IF(K$8&lt;$AS249,IF(K$8=$AR249,"Bascule","Double run"),"ROKS"))))))</f>
        <v/>
      </c>
      <c r="L249" s="51" t="str">
        <f aca="false">IF(OR($A249="",L$8=""),"",IF($F249="Migré","ROKS",IF($F249="À décommissionner",IF(L$8&lt;$AS249,"IKS","Décom."),IF(OR($AQ249="",$AS249=""),"",IF(L$8&lt;$AQ249,"IKS",IF(L$8&lt;$AS249,IF(L$8=$AR249,"Bascule","Double run"),"ROKS"))))))</f>
        <v/>
      </c>
      <c r="M249" s="51" t="str">
        <f aca="false">IF(OR($A249="",M$8=""),"",IF($F249="Migré","ROKS",IF($F249="À décommissionner",IF(M$8&lt;$AS249,"IKS","Décom."),IF(OR($AQ249="",$AS249=""),"",IF(M$8&lt;$AQ249,"IKS",IF(M$8&lt;$AS249,IF(M$8=$AR249,"Bascule","Double run"),"ROKS"))))))</f>
        <v/>
      </c>
      <c r="N249" s="51" t="str">
        <f aca="false">IF(OR($A249="",N$8=""),"",IF($F249="Migré","ROKS",IF($F249="À décommissionner",IF(N$8&lt;$AS249,"IKS","Décom."),IF(OR($AQ249="",$AS249=""),"",IF(N$8&lt;$AQ249,"IKS",IF(N$8&lt;$AS249,IF(N$8=$AR249,"Bascule","Double run"),"ROKS"))))))</f>
        <v/>
      </c>
      <c r="O249" s="51" t="str">
        <f aca="false">IF(OR($A249="",O$8=""),"",IF($F249="Migré","ROKS",IF($F249="À décommissionner",IF(O$8&lt;$AS249,"IKS","Décom."),IF(OR($AQ249="",$AS249=""),"",IF(O$8&lt;$AQ249,"IKS",IF(O$8&lt;$AS249,IF(O$8=$AR249,"Bascule","Double run"),"ROKS"))))))</f>
        <v/>
      </c>
      <c r="P249" s="51" t="str">
        <f aca="false">IF(OR($A249="",P$8=""),"",IF($F249="Migré","ROKS",IF($F249="À décommissionner",IF(P$8&lt;$AS249,"IKS","Décom."),IF(OR($AQ249="",$AS249=""),"",IF(P$8&lt;$AQ249,"IKS",IF(P$8&lt;$AS249,IF(P$8=$AR249,"Bascule","Double run"),"ROKS"))))))</f>
        <v/>
      </c>
      <c r="Q249" s="51" t="str">
        <f aca="false">IF(OR($A249="",Q$8=""),"",IF($F249="Migré","ROKS",IF($F249="À décommissionner",IF(Q$8&lt;$AS249,"IKS","Décom."),IF(OR($AQ249="",$AS249=""),"",IF(Q$8&lt;$AQ249,"IKS",IF(Q$8&lt;$AS249,IF(Q$8=$AR249,"Bascule","Double run"),"ROKS"))))))</f>
        <v/>
      </c>
      <c r="R249" s="51" t="str">
        <f aca="false">IF(OR($A249="",R$8=""),"",IF($F249="Migré","ROKS",IF($F249="À décommissionner",IF(R$8&lt;$AS249,"IKS","Décom."),IF(OR($AQ249="",$AS249=""),"",IF(R$8&lt;$AQ249,"IKS",IF(R$8&lt;$AS249,IF(R$8=$AR249,"Bascule","Double run"),"ROKS"))))))</f>
        <v/>
      </c>
      <c r="S249" s="51" t="str">
        <f aca="false">IF(OR($A249="",S$8=""),"",IF($F249="Migré","ROKS",IF($F249="À décommissionner",IF(S$8&lt;$AS249,"IKS","Décom."),IF(OR($AQ249="",$AS249=""),"",IF(S$8&lt;$AQ249,"IKS",IF(S$8&lt;$AS249,IF(S$8=$AR249,"Bascule","Double run"),"ROKS"))))))</f>
        <v/>
      </c>
      <c r="T249" s="51" t="str">
        <f aca="false">IF(OR($A249="",T$8=""),"",IF($F249="Migré","ROKS",IF($F249="À décommissionner",IF(T$8&lt;$AS249,"IKS","Décom."),IF(OR($AQ249="",$AS249=""),"",IF(T$8&lt;$AQ249,"IKS",IF(T$8&lt;$AS249,IF(T$8=$AR249,"Bascule","Double run"),"ROKS"))))))</f>
        <v/>
      </c>
      <c r="U249" s="51" t="str">
        <f aca="false">IF(OR($A249="",U$8=""),"",IF($F249="Migré","ROKS",IF($F249="À décommissionner",IF(U$8&lt;$AS249,"IKS","Décom."),IF(OR($AQ249="",$AS249=""),"",IF(U$8&lt;$AQ249,"IKS",IF(U$8&lt;$AS249,IF(U$8=$AR249,"Bascule","Double run"),"ROKS"))))))</f>
        <v/>
      </c>
      <c r="V249" s="51" t="str">
        <f aca="false">IF(OR($A249="",V$8=""),"",IF($F249="Migré","ROKS",IF($F249="À décommissionner",IF(V$8&lt;$AS249,"IKS","Décom."),IF(OR($AQ249="",$AS249=""),"",IF(V$8&lt;$AQ249,"IKS",IF(V$8&lt;$AS249,IF(V$8=$AR249,"Bascule","Double run"),"ROKS"))))))</f>
        <v/>
      </c>
      <c r="W249" s="51" t="str">
        <f aca="false">IF(OR($A249="",W$8=""),"",IF($F249="Migré","ROKS",IF($F249="À décommissionner",IF(W$8&lt;$AS249,"IKS","Décom."),IF(OR($AQ249="",$AS249=""),"",IF(W$8&lt;$AQ249,"IKS",IF(W$8&lt;$AS249,IF(W$8=$AR249,"Bascule","Double run"),"ROKS"))))))</f>
        <v/>
      </c>
      <c r="X249" s="51" t="str">
        <f aca="false">IF(OR($A249="",X$8=""),"",IF($F249="Migré","ROKS",IF($F249="À décommissionner",IF(X$8&lt;$AS249,"IKS","Décom."),IF(OR($AQ249="",$AS249=""),"",IF(X$8&lt;$AQ249,"IKS",IF(X$8&lt;$AS249,IF(X$8=$AR249,"Bascule","Double run"),"ROKS"))))))</f>
        <v/>
      </c>
      <c r="Y249" s="51" t="str">
        <f aca="false">IF(OR($A249="",Y$8=""),"",IF($F249="Migré","ROKS",IF($F249="À décommissionner",IF(Y$8&lt;$AS249,"IKS","Décom."),IF(OR($AQ249="",$AS249=""),"",IF(Y$8&lt;$AQ249,"IKS",IF(Y$8&lt;$AS249,IF(Y$8=$AR249,"Bascule","Double run"),"ROKS"))))))</f>
        <v/>
      </c>
      <c r="Z249" s="51" t="str">
        <f aca="false">IF(OR($A249="",Z$8=""),"",IF($F249="Migré","ROKS",IF($F249="À décommissionner",IF(Z$8&lt;$AS249,"IKS","Décom."),IF(OR($AQ249="",$AS249=""),"",IF(Z$8&lt;$AQ249,"IKS",IF(Z$8&lt;$AS249,IF(Z$8=$AR249,"Bascule","Double run"),"ROKS"))))))</f>
        <v/>
      </c>
      <c r="AA249" s="51" t="str">
        <f aca="false">IF(OR($A249="",AA$8=""),"",IF($F249="Migré","ROKS",IF($F249="À décommissionner",IF(AA$8&lt;$AS249,"IKS","Décom."),IF(OR($AQ249="",$AS249=""),"",IF(AA$8&lt;$AQ249,"IKS",IF(AA$8&lt;$AS249,IF(AA$8=$AR249,"Bascule","Double run"),"ROKS"))))))</f>
        <v/>
      </c>
      <c r="AB249" s="51" t="str">
        <f aca="false">IF(OR($A249="",AB$8=""),"",IF($F249="Migré","ROKS",IF($F249="À décommissionner",IF(AB$8&lt;$AS249,"IKS","Décom."),IF(OR($AQ249="",$AS249=""),"",IF(AB$8&lt;$AQ249,"IKS",IF(AB$8&lt;$AS249,IF(AB$8=$AR249,"Bascule","Double run"),"ROKS"))))))</f>
        <v/>
      </c>
      <c r="AC249" s="51" t="str">
        <f aca="false">IF(OR($A249="",AC$8=""),"",IF($F249="Migré","ROKS",IF($F249="À décommissionner",IF(AC$8&lt;$AS249,"IKS","Décom."),IF(OR($AQ249="",$AS249=""),"",IF(AC$8&lt;$AQ249,"IKS",IF(AC$8&lt;$AS249,IF(AC$8=$AR249,"Bascule","Double run"),"ROKS"))))))</f>
        <v/>
      </c>
      <c r="AD249" s="51" t="str">
        <f aca="false">IF(OR($A249="",AD$8=""),"",IF($F249="Migré","ROKS",IF($F249="À décommissionner",IF(AD$8&lt;$AS249,"IKS","Décom."),IF(OR($AQ249="",$AS249=""),"",IF(AD$8&lt;$AQ249,"IKS",IF(AD$8&lt;$AS249,IF(AD$8=$AR249,"Bascule","Double run"),"ROKS"))))))</f>
        <v/>
      </c>
      <c r="AE249" s="51" t="str">
        <f aca="false">IF(OR($A249="",AE$8=""),"",IF($F249="Migré","ROKS",IF($F249="À décommissionner",IF(AE$8&lt;$AS249,"IKS","Décom."),IF(OR($AQ249="",$AS249=""),"",IF(AE$8&lt;$AQ249,"IKS",IF(AE$8&lt;$AS249,IF(AE$8=$AR249,"Bascule","Double run"),"ROKS"))))))</f>
        <v/>
      </c>
      <c r="AF249" s="51" t="str">
        <f aca="false">IF(OR($A249="",AF$8=""),"",IF($F249="Migré","ROKS",IF($F249="À décommissionner",IF(AF$8&lt;$AS249,"IKS","Décom."),IF(OR($AQ249="",$AS249=""),"",IF(AF$8&lt;$AQ249,"IKS",IF(AF$8&lt;$AS249,IF(AF$8=$AR249,"Bascule","Double run"),"ROKS"))))))</f>
        <v/>
      </c>
      <c r="AG249" s="51" t="str">
        <f aca="false">IF(OR($A249="",AG$8=""),"",IF($F249="Migré","ROKS",IF($F249="À décommissionner",IF(AG$8&lt;$AS249,"IKS","Décom."),IF(OR($AQ249="",$AS249=""),"",IF(AG$8&lt;$AQ249,"IKS",IF(AG$8&lt;$AS249,IF(AG$8=$AR249,"Bascule","Double run"),"ROKS"))))))</f>
        <v/>
      </c>
      <c r="AH249" s="51" t="str">
        <f aca="false">IF(OR($A249="",AH$8=""),"",IF($F249="Migré","ROKS",IF($F249="À décommissionner",IF(AH$8&lt;$AS249,"IKS","Décom."),IF(OR($AQ249="",$AS249=""),"",IF(AH$8&lt;$AQ249,"IKS",IF(AH$8&lt;$AS249,IF(AH$8=$AR249,"Bascule","Double run"),"ROKS"))))))</f>
        <v/>
      </c>
      <c r="AI249" s="51" t="str">
        <f aca="false">IF(OR($A249="",AI$8=""),"",IF($F249="Migré","ROKS",IF($F249="À décommissionner",IF(AI$8&lt;$AS249,"IKS","Décom."),IF(OR($AQ249="",$AS249=""),"",IF(AI$8&lt;$AQ249,"IKS",IF(AI$8&lt;$AS249,IF(AI$8=$AR249,"Bascule","Double run"),"ROKS"))))))</f>
        <v/>
      </c>
      <c r="AJ249" s="51" t="str">
        <f aca="false">IF(OR($A249="",AJ$8=""),"",IF($F249="Migré","ROKS",IF($F249="À décommissionner",IF(AJ$8&lt;$AS249,"IKS","Décom."),IF(OR($AQ249="",$AS249=""),"",IF(AJ$8&lt;$AQ249,"IKS",IF(AJ$8&lt;$AS249,IF(AJ$8=$AR249,"Bascule","Double run"),"ROKS"))))))</f>
        <v/>
      </c>
      <c r="AK249" s="51" t="str">
        <f aca="false">IF(OR($A249="",AK$8=""),"",IF($F249="Migré","ROKS",IF($F249="À décommissionner",IF(AK$8&lt;$AS249,"IKS","Décom."),IF(OR($AQ249="",$AS249=""),"",IF(AK$8&lt;$AQ249,"IKS",IF(AK$8&lt;$AS249,IF(AK$8=$AR249,"Bascule","Double run"),"ROKS"))))))</f>
        <v/>
      </c>
      <c r="AL249" s="51" t="str">
        <f aca="false">IF(OR($A249="",AL$8=""),"",IF($F249="Migré","ROKS",IF($F249="À décommissionner",IF(AL$8&lt;$AS249,"IKS","Décom."),IF(OR($AQ249="",$AS249=""),"",IF(AL$8&lt;$AQ249,"IKS",IF(AL$8&lt;$AS249,IF(AL$8=$AR249,"Bascule","Double run"),"ROKS"))))))</f>
        <v/>
      </c>
      <c r="AM249" s="51" t="str">
        <f aca="false">IF(OR($A249="",AM$8=""),"",IF($F249="Migré","ROKS",IF($F249="À décommissionner",IF(AM$8&lt;$AS249,"IKS","Décom."),IF(OR($AQ249="",$AS249=""),"",IF(AM$8&lt;$AQ249,"IKS",IF(AM$8&lt;$AS249,IF(AM$8=$AR249,"Bascule","Double run"),"ROKS"))))))</f>
        <v/>
      </c>
      <c r="AN249" s="51" t="str">
        <f aca="false">IF(OR($A249="",AN$8=""),"",IF($F249="Migré","ROKS",IF($F249="À décommissionner",IF(AN$8&lt;$AS249,"IKS","Décom."),IF(OR($AQ249="",$AS249=""),"",IF(AN$8&lt;$AQ249,"IKS",IF(AN$8&lt;$AS249,IF(AN$8=$AR249,"Bascule","Double run"),"ROKS"))))))</f>
        <v/>
      </c>
      <c r="AO249" s="51" t="str">
        <f aca="false">IF(OR($A249="",AO$8=""),"",IF($F249="Migré","ROKS",IF($F249="À décommissionner",IF(AO$8&lt;$AS249,"IKS","Décom."),IF(OR($AQ249="",$AS249=""),"",IF(AO$8&lt;$AQ249,"IKS",IF(AO$8&lt;$AS249,IF(AO$8=$AR249,"Bascule","Double run"),"ROKS"))))))</f>
        <v/>
      </c>
      <c r="AP249" s="51" t="str">
        <f aca="false">IF(OR($A249="",AP$8=""),"",IF($F249="Migré","ROKS",IF($F249="À décommissionner",IF(AP$8&lt;$AS249,"IKS","Décom."),IF(OR($AQ249="",$AS249=""),"",IF(AP$8&lt;$AQ249,"IKS",IF(AP$8&lt;$AS249,IF(AP$8=$AR249,"Bascule","Double run"),"ROKS"))))))</f>
        <v/>
      </c>
      <c r="AQ249" s="0" t="str">
        <f aca="false">IF($A249="","",INDEX(TblApplications[Mois prov (calc)],$A249))</f>
        <v/>
      </c>
      <c r="AR249" s="0" t="str">
        <f aca="false">IF($A249="","",IFERROR(DATE(YEAR(INDEX(TblApplications[Mois bascule],$A249)),MONTH(INDEX(TblApplications[Mois bascule],$A249)),1),""))</f>
        <v/>
      </c>
      <c r="AS249" s="0" t="str">
        <f aca="false">IF($A249="","",INDEX(TblApplications[Mois lib (calc)],$A249))</f>
        <v/>
      </c>
    </row>
    <row r="250" customFormat="false" ht="15" hidden="false" customHeight="false" outlineLevel="0" collapsed="false">
      <c r="A250" s="49" t="str">
        <f aca="false">IFERROR(MATCH(242,TblApplications[Rang frise],0),"")</f>
        <v/>
      </c>
      <c r="B250" s="50" t="str">
        <f aca="false">IF($A250="","",INDEX(TblApplications[ID],$A250))</f>
        <v/>
      </c>
      <c r="C250" s="50" t="str">
        <f aca="false">IF($A250="","",INDEX(TblApplications[Application],$A250))</f>
        <v/>
      </c>
      <c r="D250" s="50" t="str">
        <f aca="false">IF($A250="","",INDEX(TblApplications[Environnement],$A250))</f>
        <v/>
      </c>
      <c r="E250" s="50" t="str">
        <f aca="false">IF($A250="","",INDEX(TblApplications[Couloir],$A250))</f>
        <v/>
      </c>
      <c r="F250" s="50" t="str">
        <f aca="false">IF($A250="","",INDEX(TblApplications[Action],$A250))</f>
        <v/>
      </c>
      <c r="G250" s="51" t="str">
        <f aca="false">IF(OR($A250="",G$8=""),"",IF($F250="Migré","ROKS",IF($F250="À décommissionner",IF(G$8&lt;$AS250,"IKS","Décom."),IF(OR($AQ250="",$AS250=""),"",IF(G$8&lt;$AQ250,"IKS",IF(G$8&lt;$AS250,IF(G$8=$AR250,"Bascule","Double run"),"ROKS"))))))</f>
        <v/>
      </c>
      <c r="H250" s="51" t="str">
        <f aca="false">IF(OR($A250="",H$8=""),"",IF($F250="Migré","ROKS",IF($F250="À décommissionner",IF(H$8&lt;$AS250,"IKS","Décom."),IF(OR($AQ250="",$AS250=""),"",IF(H$8&lt;$AQ250,"IKS",IF(H$8&lt;$AS250,IF(H$8=$AR250,"Bascule","Double run"),"ROKS"))))))</f>
        <v/>
      </c>
      <c r="I250" s="51" t="str">
        <f aca="false">IF(OR($A250="",I$8=""),"",IF($F250="Migré","ROKS",IF($F250="À décommissionner",IF(I$8&lt;$AS250,"IKS","Décom."),IF(OR($AQ250="",$AS250=""),"",IF(I$8&lt;$AQ250,"IKS",IF(I$8&lt;$AS250,IF(I$8=$AR250,"Bascule","Double run"),"ROKS"))))))</f>
        <v/>
      </c>
      <c r="J250" s="51" t="str">
        <f aca="false">IF(OR($A250="",J$8=""),"",IF($F250="Migré","ROKS",IF($F250="À décommissionner",IF(J$8&lt;$AS250,"IKS","Décom."),IF(OR($AQ250="",$AS250=""),"",IF(J$8&lt;$AQ250,"IKS",IF(J$8&lt;$AS250,IF(J$8=$AR250,"Bascule","Double run"),"ROKS"))))))</f>
        <v/>
      </c>
      <c r="K250" s="51" t="str">
        <f aca="false">IF(OR($A250="",K$8=""),"",IF($F250="Migré","ROKS",IF($F250="À décommissionner",IF(K$8&lt;$AS250,"IKS","Décom."),IF(OR($AQ250="",$AS250=""),"",IF(K$8&lt;$AQ250,"IKS",IF(K$8&lt;$AS250,IF(K$8=$AR250,"Bascule","Double run"),"ROKS"))))))</f>
        <v/>
      </c>
      <c r="L250" s="51" t="str">
        <f aca="false">IF(OR($A250="",L$8=""),"",IF($F250="Migré","ROKS",IF($F250="À décommissionner",IF(L$8&lt;$AS250,"IKS","Décom."),IF(OR($AQ250="",$AS250=""),"",IF(L$8&lt;$AQ250,"IKS",IF(L$8&lt;$AS250,IF(L$8=$AR250,"Bascule","Double run"),"ROKS"))))))</f>
        <v/>
      </c>
      <c r="M250" s="51" t="str">
        <f aca="false">IF(OR($A250="",M$8=""),"",IF($F250="Migré","ROKS",IF($F250="À décommissionner",IF(M$8&lt;$AS250,"IKS","Décom."),IF(OR($AQ250="",$AS250=""),"",IF(M$8&lt;$AQ250,"IKS",IF(M$8&lt;$AS250,IF(M$8=$AR250,"Bascule","Double run"),"ROKS"))))))</f>
        <v/>
      </c>
      <c r="N250" s="51" t="str">
        <f aca="false">IF(OR($A250="",N$8=""),"",IF($F250="Migré","ROKS",IF($F250="À décommissionner",IF(N$8&lt;$AS250,"IKS","Décom."),IF(OR($AQ250="",$AS250=""),"",IF(N$8&lt;$AQ250,"IKS",IF(N$8&lt;$AS250,IF(N$8=$AR250,"Bascule","Double run"),"ROKS"))))))</f>
        <v/>
      </c>
      <c r="O250" s="51" t="str">
        <f aca="false">IF(OR($A250="",O$8=""),"",IF($F250="Migré","ROKS",IF($F250="À décommissionner",IF(O$8&lt;$AS250,"IKS","Décom."),IF(OR($AQ250="",$AS250=""),"",IF(O$8&lt;$AQ250,"IKS",IF(O$8&lt;$AS250,IF(O$8=$AR250,"Bascule","Double run"),"ROKS"))))))</f>
        <v/>
      </c>
      <c r="P250" s="51" t="str">
        <f aca="false">IF(OR($A250="",P$8=""),"",IF($F250="Migré","ROKS",IF($F250="À décommissionner",IF(P$8&lt;$AS250,"IKS","Décom."),IF(OR($AQ250="",$AS250=""),"",IF(P$8&lt;$AQ250,"IKS",IF(P$8&lt;$AS250,IF(P$8=$AR250,"Bascule","Double run"),"ROKS"))))))</f>
        <v/>
      </c>
      <c r="Q250" s="51" t="str">
        <f aca="false">IF(OR($A250="",Q$8=""),"",IF($F250="Migré","ROKS",IF($F250="À décommissionner",IF(Q$8&lt;$AS250,"IKS","Décom."),IF(OR($AQ250="",$AS250=""),"",IF(Q$8&lt;$AQ250,"IKS",IF(Q$8&lt;$AS250,IF(Q$8=$AR250,"Bascule","Double run"),"ROKS"))))))</f>
        <v/>
      </c>
      <c r="R250" s="51" t="str">
        <f aca="false">IF(OR($A250="",R$8=""),"",IF($F250="Migré","ROKS",IF($F250="À décommissionner",IF(R$8&lt;$AS250,"IKS","Décom."),IF(OR($AQ250="",$AS250=""),"",IF(R$8&lt;$AQ250,"IKS",IF(R$8&lt;$AS250,IF(R$8=$AR250,"Bascule","Double run"),"ROKS"))))))</f>
        <v/>
      </c>
      <c r="S250" s="51" t="str">
        <f aca="false">IF(OR($A250="",S$8=""),"",IF($F250="Migré","ROKS",IF($F250="À décommissionner",IF(S$8&lt;$AS250,"IKS","Décom."),IF(OR($AQ250="",$AS250=""),"",IF(S$8&lt;$AQ250,"IKS",IF(S$8&lt;$AS250,IF(S$8=$AR250,"Bascule","Double run"),"ROKS"))))))</f>
        <v/>
      </c>
      <c r="T250" s="51" t="str">
        <f aca="false">IF(OR($A250="",T$8=""),"",IF($F250="Migré","ROKS",IF($F250="À décommissionner",IF(T$8&lt;$AS250,"IKS","Décom."),IF(OR($AQ250="",$AS250=""),"",IF(T$8&lt;$AQ250,"IKS",IF(T$8&lt;$AS250,IF(T$8=$AR250,"Bascule","Double run"),"ROKS"))))))</f>
        <v/>
      </c>
      <c r="U250" s="51" t="str">
        <f aca="false">IF(OR($A250="",U$8=""),"",IF($F250="Migré","ROKS",IF($F250="À décommissionner",IF(U$8&lt;$AS250,"IKS","Décom."),IF(OR($AQ250="",$AS250=""),"",IF(U$8&lt;$AQ250,"IKS",IF(U$8&lt;$AS250,IF(U$8=$AR250,"Bascule","Double run"),"ROKS"))))))</f>
        <v/>
      </c>
      <c r="V250" s="51" t="str">
        <f aca="false">IF(OR($A250="",V$8=""),"",IF($F250="Migré","ROKS",IF($F250="À décommissionner",IF(V$8&lt;$AS250,"IKS","Décom."),IF(OR($AQ250="",$AS250=""),"",IF(V$8&lt;$AQ250,"IKS",IF(V$8&lt;$AS250,IF(V$8=$AR250,"Bascule","Double run"),"ROKS"))))))</f>
        <v/>
      </c>
      <c r="W250" s="51" t="str">
        <f aca="false">IF(OR($A250="",W$8=""),"",IF($F250="Migré","ROKS",IF($F250="À décommissionner",IF(W$8&lt;$AS250,"IKS","Décom."),IF(OR($AQ250="",$AS250=""),"",IF(W$8&lt;$AQ250,"IKS",IF(W$8&lt;$AS250,IF(W$8=$AR250,"Bascule","Double run"),"ROKS"))))))</f>
        <v/>
      </c>
      <c r="X250" s="51" t="str">
        <f aca="false">IF(OR($A250="",X$8=""),"",IF($F250="Migré","ROKS",IF($F250="À décommissionner",IF(X$8&lt;$AS250,"IKS","Décom."),IF(OR($AQ250="",$AS250=""),"",IF(X$8&lt;$AQ250,"IKS",IF(X$8&lt;$AS250,IF(X$8=$AR250,"Bascule","Double run"),"ROKS"))))))</f>
        <v/>
      </c>
      <c r="Y250" s="51" t="str">
        <f aca="false">IF(OR($A250="",Y$8=""),"",IF($F250="Migré","ROKS",IF($F250="À décommissionner",IF(Y$8&lt;$AS250,"IKS","Décom."),IF(OR($AQ250="",$AS250=""),"",IF(Y$8&lt;$AQ250,"IKS",IF(Y$8&lt;$AS250,IF(Y$8=$AR250,"Bascule","Double run"),"ROKS"))))))</f>
        <v/>
      </c>
      <c r="Z250" s="51" t="str">
        <f aca="false">IF(OR($A250="",Z$8=""),"",IF($F250="Migré","ROKS",IF($F250="À décommissionner",IF(Z$8&lt;$AS250,"IKS","Décom."),IF(OR($AQ250="",$AS250=""),"",IF(Z$8&lt;$AQ250,"IKS",IF(Z$8&lt;$AS250,IF(Z$8=$AR250,"Bascule","Double run"),"ROKS"))))))</f>
        <v/>
      </c>
      <c r="AA250" s="51" t="str">
        <f aca="false">IF(OR($A250="",AA$8=""),"",IF($F250="Migré","ROKS",IF($F250="À décommissionner",IF(AA$8&lt;$AS250,"IKS","Décom."),IF(OR($AQ250="",$AS250=""),"",IF(AA$8&lt;$AQ250,"IKS",IF(AA$8&lt;$AS250,IF(AA$8=$AR250,"Bascule","Double run"),"ROKS"))))))</f>
        <v/>
      </c>
      <c r="AB250" s="51" t="str">
        <f aca="false">IF(OR($A250="",AB$8=""),"",IF($F250="Migré","ROKS",IF($F250="À décommissionner",IF(AB$8&lt;$AS250,"IKS","Décom."),IF(OR($AQ250="",$AS250=""),"",IF(AB$8&lt;$AQ250,"IKS",IF(AB$8&lt;$AS250,IF(AB$8=$AR250,"Bascule","Double run"),"ROKS"))))))</f>
        <v/>
      </c>
      <c r="AC250" s="51" t="str">
        <f aca="false">IF(OR($A250="",AC$8=""),"",IF($F250="Migré","ROKS",IF($F250="À décommissionner",IF(AC$8&lt;$AS250,"IKS","Décom."),IF(OR($AQ250="",$AS250=""),"",IF(AC$8&lt;$AQ250,"IKS",IF(AC$8&lt;$AS250,IF(AC$8=$AR250,"Bascule","Double run"),"ROKS"))))))</f>
        <v/>
      </c>
      <c r="AD250" s="51" t="str">
        <f aca="false">IF(OR($A250="",AD$8=""),"",IF($F250="Migré","ROKS",IF($F250="À décommissionner",IF(AD$8&lt;$AS250,"IKS","Décom."),IF(OR($AQ250="",$AS250=""),"",IF(AD$8&lt;$AQ250,"IKS",IF(AD$8&lt;$AS250,IF(AD$8=$AR250,"Bascule","Double run"),"ROKS"))))))</f>
        <v/>
      </c>
      <c r="AE250" s="51" t="str">
        <f aca="false">IF(OR($A250="",AE$8=""),"",IF($F250="Migré","ROKS",IF($F250="À décommissionner",IF(AE$8&lt;$AS250,"IKS","Décom."),IF(OR($AQ250="",$AS250=""),"",IF(AE$8&lt;$AQ250,"IKS",IF(AE$8&lt;$AS250,IF(AE$8=$AR250,"Bascule","Double run"),"ROKS"))))))</f>
        <v/>
      </c>
      <c r="AF250" s="51" t="str">
        <f aca="false">IF(OR($A250="",AF$8=""),"",IF($F250="Migré","ROKS",IF($F250="À décommissionner",IF(AF$8&lt;$AS250,"IKS","Décom."),IF(OR($AQ250="",$AS250=""),"",IF(AF$8&lt;$AQ250,"IKS",IF(AF$8&lt;$AS250,IF(AF$8=$AR250,"Bascule","Double run"),"ROKS"))))))</f>
        <v/>
      </c>
      <c r="AG250" s="51" t="str">
        <f aca="false">IF(OR($A250="",AG$8=""),"",IF($F250="Migré","ROKS",IF($F250="À décommissionner",IF(AG$8&lt;$AS250,"IKS","Décom."),IF(OR($AQ250="",$AS250=""),"",IF(AG$8&lt;$AQ250,"IKS",IF(AG$8&lt;$AS250,IF(AG$8=$AR250,"Bascule","Double run"),"ROKS"))))))</f>
        <v/>
      </c>
      <c r="AH250" s="51" t="str">
        <f aca="false">IF(OR($A250="",AH$8=""),"",IF($F250="Migré","ROKS",IF($F250="À décommissionner",IF(AH$8&lt;$AS250,"IKS","Décom."),IF(OR($AQ250="",$AS250=""),"",IF(AH$8&lt;$AQ250,"IKS",IF(AH$8&lt;$AS250,IF(AH$8=$AR250,"Bascule","Double run"),"ROKS"))))))</f>
        <v/>
      </c>
      <c r="AI250" s="51" t="str">
        <f aca="false">IF(OR($A250="",AI$8=""),"",IF($F250="Migré","ROKS",IF($F250="À décommissionner",IF(AI$8&lt;$AS250,"IKS","Décom."),IF(OR($AQ250="",$AS250=""),"",IF(AI$8&lt;$AQ250,"IKS",IF(AI$8&lt;$AS250,IF(AI$8=$AR250,"Bascule","Double run"),"ROKS"))))))</f>
        <v/>
      </c>
      <c r="AJ250" s="51" t="str">
        <f aca="false">IF(OR($A250="",AJ$8=""),"",IF($F250="Migré","ROKS",IF($F250="À décommissionner",IF(AJ$8&lt;$AS250,"IKS","Décom."),IF(OR($AQ250="",$AS250=""),"",IF(AJ$8&lt;$AQ250,"IKS",IF(AJ$8&lt;$AS250,IF(AJ$8=$AR250,"Bascule","Double run"),"ROKS"))))))</f>
        <v/>
      </c>
      <c r="AK250" s="51" t="str">
        <f aca="false">IF(OR($A250="",AK$8=""),"",IF($F250="Migré","ROKS",IF($F250="À décommissionner",IF(AK$8&lt;$AS250,"IKS","Décom."),IF(OR($AQ250="",$AS250=""),"",IF(AK$8&lt;$AQ250,"IKS",IF(AK$8&lt;$AS250,IF(AK$8=$AR250,"Bascule","Double run"),"ROKS"))))))</f>
        <v/>
      </c>
      <c r="AL250" s="51" t="str">
        <f aca="false">IF(OR($A250="",AL$8=""),"",IF($F250="Migré","ROKS",IF($F250="À décommissionner",IF(AL$8&lt;$AS250,"IKS","Décom."),IF(OR($AQ250="",$AS250=""),"",IF(AL$8&lt;$AQ250,"IKS",IF(AL$8&lt;$AS250,IF(AL$8=$AR250,"Bascule","Double run"),"ROKS"))))))</f>
        <v/>
      </c>
      <c r="AM250" s="51" t="str">
        <f aca="false">IF(OR($A250="",AM$8=""),"",IF($F250="Migré","ROKS",IF($F250="À décommissionner",IF(AM$8&lt;$AS250,"IKS","Décom."),IF(OR($AQ250="",$AS250=""),"",IF(AM$8&lt;$AQ250,"IKS",IF(AM$8&lt;$AS250,IF(AM$8=$AR250,"Bascule","Double run"),"ROKS"))))))</f>
        <v/>
      </c>
      <c r="AN250" s="51" t="str">
        <f aca="false">IF(OR($A250="",AN$8=""),"",IF($F250="Migré","ROKS",IF($F250="À décommissionner",IF(AN$8&lt;$AS250,"IKS","Décom."),IF(OR($AQ250="",$AS250=""),"",IF(AN$8&lt;$AQ250,"IKS",IF(AN$8&lt;$AS250,IF(AN$8=$AR250,"Bascule","Double run"),"ROKS"))))))</f>
        <v/>
      </c>
      <c r="AO250" s="51" t="str">
        <f aca="false">IF(OR($A250="",AO$8=""),"",IF($F250="Migré","ROKS",IF($F250="À décommissionner",IF(AO$8&lt;$AS250,"IKS","Décom."),IF(OR($AQ250="",$AS250=""),"",IF(AO$8&lt;$AQ250,"IKS",IF(AO$8&lt;$AS250,IF(AO$8=$AR250,"Bascule","Double run"),"ROKS"))))))</f>
        <v/>
      </c>
      <c r="AP250" s="51" t="str">
        <f aca="false">IF(OR($A250="",AP$8=""),"",IF($F250="Migré","ROKS",IF($F250="À décommissionner",IF(AP$8&lt;$AS250,"IKS","Décom."),IF(OR($AQ250="",$AS250=""),"",IF(AP$8&lt;$AQ250,"IKS",IF(AP$8&lt;$AS250,IF(AP$8=$AR250,"Bascule","Double run"),"ROKS"))))))</f>
        <v/>
      </c>
      <c r="AQ250" s="0" t="str">
        <f aca="false">IF($A250="","",INDEX(TblApplications[Mois prov (calc)],$A250))</f>
        <v/>
      </c>
      <c r="AR250" s="0" t="str">
        <f aca="false">IF($A250="","",IFERROR(DATE(YEAR(INDEX(TblApplications[Mois bascule],$A250)),MONTH(INDEX(TblApplications[Mois bascule],$A250)),1),""))</f>
        <v/>
      </c>
      <c r="AS250" s="0" t="str">
        <f aca="false">IF($A250="","",INDEX(TblApplications[Mois lib (calc)],$A250))</f>
        <v/>
      </c>
    </row>
    <row r="251" customFormat="false" ht="15" hidden="false" customHeight="false" outlineLevel="0" collapsed="false">
      <c r="A251" s="49" t="str">
        <f aca="false">IFERROR(MATCH(243,TblApplications[Rang frise],0),"")</f>
        <v/>
      </c>
      <c r="B251" s="50" t="str">
        <f aca="false">IF($A251="","",INDEX(TblApplications[ID],$A251))</f>
        <v/>
      </c>
      <c r="C251" s="50" t="str">
        <f aca="false">IF($A251="","",INDEX(TblApplications[Application],$A251))</f>
        <v/>
      </c>
      <c r="D251" s="50" t="str">
        <f aca="false">IF($A251="","",INDEX(TblApplications[Environnement],$A251))</f>
        <v/>
      </c>
      <c r="E251" s="50" t="str">
        <f aca="false">IF($A251="","",INDEX(TblApplications[Couloir],$A251))</f>
        <v/>
      </c>
      <c r="F251" s="50" t="str">
        <f aca="false">IF($A251="","",INDEX(TblApplications[Action],$A251))</f>
        <v/>
      </c>
      <c r="G251" s="51" t="str">
        <f aca="false">IF(OR($A251="",G$8=""),"",IF($F251="Migré","ROKS",IF($F251="À décommissionner",IF(G$8&lt;$AS251,"IKS","Décom."),IF(OR($AQ251="",$AS251=""),"",IF(G$8&lt;$AQ251,"IKS",IF(G$8&lt;$AS251,IF(G$8=$AR251,"Bascule","Double run"),"ROKS"))))))</f>
        <v/>
      </c>
      <c r="H251" s="51" t="str">
        <f aca="false">IF(OR($A251="",H$8=""),"",IF($F251="Migré","ROKS",IF($F251="À décommissionner",IF(H$8&lt;$AS251,"IKS","Décom."),IF(OR($AQ251="",$AS251=""),"",IF(H$8&lt;$AQ251,"IKS",IF(H$8&lt;$AS251,IF(H$8=$AR251,"Bascule","Double run"),"ROKS"))))))</f>
        <v/>
      </c>
      <c r="I251" s="51" t="str">
        <f aca="false">IF(OR($A251="",I$8=""),"",IF($F251="Migré","ROKS",IF($F251="À décommissionner",IF(I$8&lt;$AS251,"IKS","Décom."),IF(OR($AQ251="",$AS251=""),"",IF(I$8&lt;$AQ251,"IKS",IF(I$8&lt;$AS251,IF(I$8=$AR251,"Bascule","Double run"),"ROKS"))))))</f>
        <v/>
      </c>
      <c r="J251" s="51" t="str">
        <f aca="false">IF(OR($A251="",J$8=""),"",IF($F251="Migré","ROKS",IF($F251="À décommissionner",IF(J$8&lt;$AS251,"IKS","Décom."),IF(OR($AQ251="",$AS251=""),"",IF(J$8&lt;$AQ251,"IKS",IF(J$8&lt;$AS251,IF(J$8=$AR251,"Bascule","Double run"),"ROKS"))))))</f>
        <v/>
      </c>
      <c r="K251" s="51" t="str">
        <f aca="false">IF(OR($A251="",K$8=""),"",IF($F251="Migré","ROKS",IF($F251="À décommissionner",IF(K$8&lt;$AS251,"IKS","Décom."),IF(OR($AQ251="",$AS251=""),"",IF(K$8&lt;$AQ251,"IKS",IF(K$8&lt;$AS251,IF(K$8=$AR251,"Bascule","Double run"),"ROKS"))))))</f>
        <v/>
      </c>
      <c r="L251" s="51" t="str">
        <f aca="false">IF(OR($A251="",L$8=""),"",IF($F251="Migré","ROKS",IF($F251="À décommissionner",IF(L$8&lt;$AS251,"IKS","Décom."),IF(OR($AQ251="",$AS251=""),"",IF(L$8&lt;$AQ251,"IKS",IF(L$8&lt;$AS251,IF(L$8=$AR251,"Bascule","Double run"),"ROKS"))))))</f>
        <v/>
      </c>
      <c r="M251" s="51" t="str">
        <f aca="false">IF(OR($A251="",M$8=""),"",IF($F251="Migré","ROKS",IF($F251="À décommissionner",IF(M$8&lt;$AS251,"IKS","Décom."),IF(OR($AQ251="",$AS251=""),"",IF(M$8&lt;$AQ251,"IKS",IF(M$8&lt;$AS251,IF(M$8=$AR251,"Bascule","Double run"),"ROKS"))))))</f>
        <v/>
      </c>
      <c r="N251" s="51" t="str">
        <f aca="false">IF(OR($A251="",N$8=""),"",IF($F251="Migré","ROKS",IF($F251="À décommissionner",IF(N$8&lt;$AS251,"IKS","Décom."),IF(OR($AQ251="",$AS251=""),"",IF(N$8&lt;$AQ251,"IKS",IF(N$8&lt;$AS251,IF(N$8=$AR251,"Bascule","Double run"),"ROKS"))))))</f>
        <v/>
      </c>
      <c r="O251" s="51" t="str">
        <f aca="false">IF(OR($A251="",O$8=""),"",IF($F251="Migré","ROKS",IF($F251="À décommissionner",IF(O$8&lt;$AS251,"IKS","Décom."),IF(OR($AQ251="",$AS251=""),"",IF(O$8&lt;$AQ251,"IKS",IF(O$8&lt;$AS251,IF(O$8=$AR251,"Bascule","Double run"),"ROKS"))))))</f>
        <v/>
      </c>
      <c r="P251" s="51" t="str">
        <f aca="false">IF(OR($A251="",P$8=""),"",IF($F251="Migré","ROKS",IF($F251="À décommissionner",IF(P$8&lt;$AS251,"IKS","Décom."),IF(OR($AQ251="",$AS251=""),"",IF(P$8&lt;$AQ251,"IKS",IF(P$8&lt;$AS251,IF(P$8=$AR251,"Bascule","Double run"),"ROKS"))))))</f>
        <v/>
      </c>
      <c r="Q251" s="51" t="str">
        <f aca="false">IF(OR($A251="",Q$8=""),"",IF($F251="Migré","ROKS",IF($F251="À décommissionner",IF(Q$8&lt;$AS251,"IKS","Décom."),IF(OR($AQ251="",$AS251=""),"",IF(Q$8&lt;$AQ251,"IKS",IF(Q$8&lt;$AS251,IF(Q$8=$AR251,"Bascule","Double run"),"ROKS"))))))</f>
        <v/>
      </c>
      <c r="R251" s="51" t="str">
        <f aca="false">IF(OR($A251="",R$8=""),"",IF($F251="Migré","ROKS",IF($F251="À décommissionner",IF(R$8&lt;$AS251,"IKS","Décom."),IF(OR($AQ251="",$AS251=""),"",IF(R$8&lt;$AQ251,"IKS",IF(R$8&lt;$AS251,IF(R$8=$AR251,"Bascule","Double run"),"ROKS"))))))</f>
        <v/>
      </c>
      <c r="S251" s="51" t="str">
        <f aca="false">IF(OR($A251="",S$8=""),"",IF($F251="Migré","ROKS",IF($F251="À décommissionner",IF(S$8&lt;$AS251,"IKS","Décom."),IF(OR($AQ251="",$AS251=""),"",IF(S$8&lt;$AQ251,"IKS",IF(S$8&lt;$AS251,IF(S$8=$AR251,"Bascule","Double run"),"ROKS"))))))</f>
        <v/>
      </c>
      <c r="T251" s="51" t="str">
        <f aca="false">IF(OR($A251="",T$8=""),"",IF($F251="Migré","ROKS",IF($F251="À décommissionner",IF(T$8&lt;$AS251,"IKS","Décom."),IF(OR($AQ251="",$AS251=""),"",IF(T$8&lt;$AQ251,"IKS",IF(T$8&lt;$AS251,IF(T$8=$AR251,"Bascule","Double run"),"ROKS"))))))</f>
        <v/>
      </c>
      <c r="U251" s="51" t="str">
        <f aca="false">IF(OR($A251="",U$8=""),"",IF($F251="Migré","ROKS",IF($F251="À décommissionner",IF(U$8&lt;$AS251,"IKS","Décom."),IF(OR($AQ251="",$AS251=""),"",IF(U$8&lt;$AQ251,"IKS",IF(U$8&lt;$AS251,IF(U$8=$AR251,"Bascule","Double run"),"ROKS"))))))</f>
        <v/>
      </c>
      <c r="V251" s="51" t="str">
        <f aca="false">IF(OR($A251="",V$8=""),"",IF($F251="Migré","ROKS",IF($F251="À décommissionner",IF(V$8&lt;$AS251,"IKS","Décom."),IF(OR($AQ251="",$AS251=""),"",IF(V$8&lt;$AQ251,"IKS",IF(V$8&lt;$AS251,IF(V$8=$AR251,"Bascule","Double run"),"ROKS"))))))</f>
        <v/>
      </c>
      <c r="W251" s="51" t="str">
        <f aca="false">IF(OR($A251="",W$8=""),"",IF($F251="Migré","ROKS",IF($F251="À décommissionner",IF(W$8&lt;$AS251,"IKS","Décom."),IF(OR($AQ251="",$AS251=""),"",IF(W$8&lt;$AQ251,"IKS",IF(W$8&lt;$AS251,IF(W$8=$AR251,"Bascule","Double run"),"ROKS"))))))</f>
        <v/>
      </c>
      <c r="X251" s="51" t="str">
        <f aca="false">IF(OR($A251="",X$8=""),"",IF($F251="Migré","ROKS",IF($F251="À décommissionner",IF(X$8&lt;$AS251,"IKS","Décom."),IF(OR($AQ251="",$AS251=""),"",IF(X$8&lt;$AQ251,"IKS",IF(X$8&lt;$AS251,IF(X$8=$AR251,"Bascule","Double run"),"ROKS"))))))</f>
        <v/>
      </c>
      <c r="Y251" s="51" t="str">
        <f aca="false">IF(OR($A251="",Y$8=""),"",IF($F251="Migré","ROKS",IF($F251="À décommissionner",IF(Y$8&lt;$AS251,"IKS","Décom."),IF(OR($AQ251="",$AS251=""),"",IF(Y$8&lt;$AQ251,"IKS",IF(Y$8&lt;$AS251,IF(Y$8=$AR251,"Bascule","Double run"),"ROKS"))))))</f>
        <v/>
      </c>
      <c r="Z251" s="51" t="str">
        <f aca="false">IF(OR($A251="",Z$8=""),"",IF($F251="Migré","ROKS",IF($F251="À décommissionner",IF(Z$8&lt;$AS251,"IKS","Décom."),IF(OR($AQ251="",$AS251=""),"",IF(Z$8&lt;$AQ251,"IKS",IF(Z$8&lt;$AS251,IF(Z$8=$AR251,"Bascule","Double run"),"ROKS"))))))</f>
        <v/>
      </c>
      <c r="AA251" s="51" t="str">
        <f aca="false">IF(OR($A251="",AA$8=""),"",IF($F251="Migré","ROKS",IF($F251="À décommissionner",IF(AA$8&lt;$AS251,"IKS","Décom."),IF(OR($AQ251="",$AS251=""),"",IF(AA$8&lt;$AQ251,"IKS",IF(AA$8&lt;$AS251,IF(AA$8=$AR251,"Bascule","Double run"),"ROKS"))))))</f>
        <v/>
      </c>
      <c r="AB251" s="51" t="str">
        <f aca="false">IF(OR($A251="",AB$8=""),"",IF($F251="Migré","ROKS",IF($F251="À décommissionner",IF(AB$8&lt;$AS251,"IKS","Décom."),IF(OR($AQ251="",$AS251=""),"",IF(AB$8&lt;$AQ251,"IKS",IF(AB$8&lt;$AS251,IF(AB$8=$AR251,"Bascule","Double run"),"ROKS"))))))</f>
        <v/>
      </c>
      <c r="AC251" s="51" t="str">
        <f aca="false">IF(OR($A251="",AC$8=""),"",IF($F251="Migré","ROKS",IF($F251="À décommissionner",IF(AC$8&lt;$AS251,"IKS","Décom."),IF(OR($AQ251="",$AS251=""),"",IF(AC$8&lt;$AQ251,"IKS",IF(AC$8&lt;$AS251,IF(AC$8=$AR251,"Bascule","Double run"),"ROKS"))))))</f>
        <v/>
      </c>
      <c r="AD251" s="51" t="str">
        <f aca="false">IF(OR($A251="",AD$8=""),"",IF($F251="Migré","ROKS",IF($F251="À décommissionner",IF(AD$8&lt;$AS251,"IKS","Décom."),IF(OR($AQ251="",$AS251=""),"",IF(AD$8&lt;$AQ251,"IKS",IF(AD$8&lt;$AS251,IF(AD$8=$AR251,"Bascule","Double run"),"ROKS"))))))</f>
        <v/>
      </c>
      <c r="AE251" s="51" t="str">
        <f aca="false">IF(OR($A251="",AE$8=""),"",IF($F251="Migré","ROKS",IF($F251="À décommissionner",IF(AE$8&lt;$AS251,"IKS","Décom."),IF(OR($AQ251="",$AS251=""),"",IF(AE$8&lt;$AQ251,"IKS",IF(AE$8&lt;$AS251,IF(AE$8=$AR251,"Bascule","Double run"),"ROKS"))))))</f>
        <v/>
      </c>
      <c r="AF251" s="51" t="str">
        <f aca="false">IF(OR($A251="",AF$8=""),"",IF($F251="Migré","ROKS",IF($F251="À décommissionner",IF(AF$8&lt;$AS251,"IKS","Décom."),IF(OR($AQ251="",$AS251=""),"",IF(AF$8&lt;$AQ251,"IKS",IF(AF$8&lt;$AS251,IF(AF$8=$AR251,"Bascule","Double run"),"ROKS"))))))</f>
        <v/>
      </c>
      <c r="AG251" s="51" t="str">
        <f aca="false">IF(OR($A251="",AG$8=""),"",IF($F251="Migré","ROKS",IF($F251="À décommissionner",IF(AG$8&lt;$AS251,"IKS","Décom."),IF(OR($AQ251="",$AS251=""),"",IF(AG$8&lt;$AQ251,"IKS",IF(AG$8&lt;$AS251,IF(AG$8=$AR251,"Bascule","Double run"),"ROKS"))))))</f>
        <v/>
      </c>
      <c r="AH251" s="51" t="str">
        <f aca="false">IF(OR($A251="",AH$8=""),"",IF($F251="Migré","ROKS",IF($F251="À décommissionner",IF(AH$8&lt;$AS251,"IKS","Décom."),IF(OR($AQ251="",$AS251=""),"",IF(AH$8&lt;$AQ251,"IKS",IF(AH$8&lt;$AS251,IF(AH$8=$AR251,"Bascule","Double run"),"ROKS"))))))</f>
        <v/>
      </c>
      <c r="AI251" s="51" t="str">
        <f aca="false">IF(OR($A251="",AI$8=""),"",IF($F251="Migré","ROKS",IF($F251="À décommissionner",IF(AI$8&lt;$AS251,"IKS","Décom."),IF(OR($AQ251="",$AS251=""),"",IF(AI$8&lt;$AQ251,"IKS",IF(AI$8&lt;$AS251,IF(AI$8=$AR251,"Bascule","Double run"),"ROKS"))))))</f>
        <v/>
      </c>
      <c r="AJ251" s="51" t="str">
        <f aca="false">IF(OR($A251="",AJ$8=""),"",IF($F251="Migré","ROKS",IF($F251="À décommissionner",IF(AJ$8&lt;$AS251,"IKS","Décom."),IF(OR($AQ251="",$AS251=""),"",IF(AJ$8&lt;$AQ251,"IKS",IF(AJ$8&lt;$AS251,IF(AJ$8=$AR251,"Bascule","Double run"),"ROKS"))))))</f>
        <v/>
      </c>
      <c r="AK251" s="51" t="str">
        <f aca="false">IF(OR($A251="",AK$8=""),"",IF($F251="Migré","ROKS",IF($F251="À décommissionner",IF(AK$8&lt;$AS251,"IKS","Décom."),IF(OR($AQ251="",$AS251=""),"",IF(AK$8&lt;$AQ251,"IKS",IF(AK$8&lt;$AS251,IF(AK$8=$AR251,"Bascule","Double run"),"ROKS"))))))</f>
        <v/>
      </c>
      <c r="AL251" s="51" t="str">
        <f aca="false">IF(OR($A251="",AL$8=""),"",IF($F251="Migré","ROKS",IF($F251="À décommissionner",IF(AL$8&lt;$AS251,"IKS","Décom."),IF(OR($AQ251="",$AS251=""),"",IF(AL$8&lt;$AQ251,"IKS",IF(AL$8&lt;$AS251,IF(AL$8=$AR251,"Bascule","Double run"),"ROKS"))))))</f>
        <v/>
      </c>
      <c r="AM251" s="51" t="str">
        <f aca="false">IF(OR($A251="",AM$8=""),"",IF($F251="Migré","ROKS",IF($F251="À décommissionner",IF(AM$8&lt;$AS251,"IKS","Décom."),IF(OR($AQ251="",$AS251=""),"",IF(AM$8&lt;$AQ251,"IKS",IF(AM$8&lt;$AS251,IF(AM$8=$AR251,"Bascule","Double run"),"ROKS"))))))</f>
        <v/>
      </c>
      <c r="AN251" s="51" t="str">
        <f aca="false">IF(OR($A251="",AN$8=""),"",IF($F251="Migré","ROKS",IF($F251="À décommissionner",IF(AN$8&lt;$AS251,"IKS","Décom."),IF(OR($AQ251="",$AS251=""),"",IF(AN$8&lt;$AQ251,"IKS",IF(AN$8&lt;$AS251,IF(AN$8=$AR251,"Bascule","Double run"),"ROKS"))))))</f>
        <v/>
      </c>
      <c r="AO251" s="51" t="str">
        <f aca="false">IF(OR($A251="",AO$8=""),"",IF($F251="Migré","ROKS",IF($F251="À décommissionner",IF(AO$8&lt;$AS251,"IKS","Décom."),IF(OR($AQ251="",$AS251=""),"",IF(AO$8&lt;$AQ251,"IKS",IF(AO$8&lt;$AS251,IF(AO$8=$AR251,"Bascule","Double run"),"ROKS"))))))</f>
        <v/>
      </c>
      <c r="AP251" s="51" t="str">
        <f aca="false">IF(OR($A251="",AP$8=""),"",IF($F251="Migré","ROKS",IF($F251="À décommissionner",IF(AP$8&lt;$AS251,"IKS","Décom."),IF(OR($AQ251="",$AS251=""),"",IF(AP$8&lt;$AQ251,"IKS",IF(AP$8&lt;$AS251,IF(AP$8=$AR251,"Bascule","Double run"),"ROKS"))))))</f>
        <v/>
      </c>
      <c r="AQ251" s="0" t="str">
        <f aca="false">IF($A251="","",INDEX(TblApplications[Mois prov (calc)],$A251))</f>
        <v/>
      </c>
      <c r="AR251" s="0" t="str">
        <f aca="false">IF($A251="","",IFERROR(DATE(YEAR(INDEX(TblApplications[Mois bascule],$A251)),MONTH(INDEX(TblApplications[Mois bascule],$A251)),1),""))</f>
        <v/>
      </c>
      <c r="AS251" s="0" t="str">
        <f aca="false">IF($A251="","",INDEX(TblApplications[Mois lib (calc)],$A251))</f>
        <v/>
      </c>
    </row>
    <row r="252" customFormat="false" ht="15" hidden="false" customHeight="false" outlineLevel="0" collapsed="false">
      <c r="A252" s="49" t="str">
        <f aca="false">IFERROR(MATCH(244,TblApplications[Rang frise],0),"")</f>
        <v/>
      </c>
      <c r="B252" s="50" t="str">
        <f aca="false">IF($A252="","",INDEX(TblApplications[ID],$A252))</f>
        <v/>
      </c>
      <c r="C252" s="50" t="str">
        <f aca="false">IF($A252="","",INDEX(TblApplications[Application],$A252))</f>
        <v/>
      </c>
      <c r="D252" s="50" t="str">
        <f aca="false">IF($A252="","",INDEX(TblApplications[Environnement],$A252))</f>
        <v/>
      </c>
      <c r="E252" s="50" t="str">
        <f aca="false">IF($A252="","",INDEX(TblApplications[Couloir],$A252))</f>
        <v/>
      </c>
      <c r="F252" s="50" t="str">
        <f aca="false">IF($A252="","",INDEX(TblApplications[Action],$A252))</f>
        <v/>
      </c>
      <c r="G252" s="51" t="str">
        <f aca="false">IF(OR($A252="",G$8=""),"",IF($F252="Migré","ROKS",IF($F252="À décommissionner",IF(G$8&lt;$AS252,"IKS","Décom."),IF(OR($AQ252="",$AS252=""),"",IF(G$8&lt;$AQ252,"IKS",IF(G$8&lt;$AS252,IF(G$8=$AR252,"Bascule","Double run"),"ROKS"))))))</f>
        <v/>
      </c>
      <c r="H252" s="51" t="str">
        <f aca="false">IF(OR($A252="",H$8=""),"",IF($F252="Migré","ROKS",IF($F252="À décommissionner",IF(H$8&lt;$AS252,"IKS","Décom."),IF(OR($AQ252="",$AS252=""),"",IF(H$8&lt;$AQ252,"IKS",IF(H$8&lt;$AS252,IF(H$8=$AR252,"Bascule","Double run"),"ROKS"))))))</f>
        <v/>
      </c>
      <c r="I252" s="51" t="str">
        <f aca="false">IF(OR($A252="",I$8=""),"",IF($F252="Migré","ROKS",IF($F252="À décommissionner",IF(I$8&lt;$AS252,"IKS","Décom."),IF(OR($AQ252="",$AS252=""),"",IF(I$8&lt;$AQ252,"IKS",IF(I$8&lt;$AS252,IF(I$8=$AR252,"Bascule","Double run"),"ROKS"))))))</f>
        <v/>
      </c>
      <c r="J252" s="51" t="str">
        <f aca="false">IF(OR($A252="",J$8=""),"",IF($F252="Migré","ROKS",IF($F252="À décommissionner",IF(J$8&lt;$AS252,"IKS","Décom."),IF(OR($AQ252="",$AS252=""),"",IF(J$8&lt;$AQ252,"IKS",IF(J$8&lt;$AS252,IF(J$8=$AR252,"Bascule","Double run"),"ROKS"))))))</f>
        <v/>
      </c>
      <c r="K252" s="51" t="str">
        <f aca="false">IF(OR($A252="",K$8=""),"",IF($F252="Migré","ROKS",IF($F252="À décommissionner",IF(K$8&lt;$AS252,"IKS","Décom."),IF(OR($AQ252="",$AS252=""),"",IF(K$8&lt;$AQ252,"IKS",IF(K$8&lt;$AS252,IF(K$8=$AR252,"Bascule","Double run"),"ROKS"))))))</f>
        <v/>
      </c>
      <c r="L252" s="51" t="str">
        <f aca="false">IF(OR($A252="",L$8=""),"",IF($F252="Migré","ROKS",IF($F252="À décommissionner",IF(L$8&lt;$AS252,"IKS","Décom."),IF(OR($AQ252="",$AS252=""),"",IF(L$8&lt;$AQ252,"IKS",IF(L$8&lt;$AS252,IF(L$8=$AR252,"Bascule","Double run"),"ROKS"))))))</f>
        <v/>
      </c>
      <c r="M252" s="51" t="str">
        <f aca="false">IF(OR($A252="",M$8=""),"",IF($F252="Migré","ROKS",IF($F252="À décommissionner",IF(M$8&lt;$AS252,"IKS","Décom."),IF(OR($AQ252="",$AS252=""),"",IF(M$8&lt;$AQ252,"IKS",IF(M$8&lt;$AS252,IF(M$8=$AR252,"Bascule","Double run"),"ROKS"))))))</f>
        <v/>
      </c>
      <c r="N252" s="51" t="str">
        <f aca="false">IF(OR($A252="",N$8=""),"",IF($F252="Migré","ROKS",IF($F252="À décommissionner",IF(N$8&lt;$AS252,"IKS","Décom."),IF(OR($AQ252="",$AS252=""),"",IF(N$8&lt;$AQ252,"IKS",IF(N$8&lt;$AS252,IF(N$8=$AR252,"Bascule","Double run"),"ROKS"))))))</f>
        <v/>
      </c>
      <c r="O252" s="51" t="str">
        <f aca="false">IF(OR($A252="",O$8=""),"",IF($F252="Migré","ROKS",IF($F252="À décommissionner",IF(O$8&lt;$AS252,"IKS","Décom."),IF(OR($AQ252="",$AS252=""),"",IF(O$8&lt;$AQ252,"IKS",IF(O$8&lt;$AS252,IF(O$8=$AR252,"Bascule","Double run"),"ROKS"))))))</f>
        <v/>
      </c>
      <c r="P252" s="51" t="str">
        <f aca="false">IF(OR($A252="",P$8=""),"",IF($F252="Migré","ROKS",IF($F252="À décommissionner",IF(P$8&lt;$AS252,"IKS","Décom."),IF(OR($AQ252="",$AS252=""),"",IF(P$8&lt;$AQ252,"IKS",IF(P$8&lt;$AS252,IF(P$8=$AR252,"Bascule","Double run"),"ROKS"))))))</f>
        <v/>
      </c>
      <c r="Q252" s="51" t="str">
        <f aca="false">IF(OR($A252="",Q$8=""),"",IF($F252="Migré","ROKS",IF($F252="À décommissionner",IF(Q$8&lt;$AS252,"IKS","Décom."),IF(OR($AQ252="",$AS252=""),"",IF(Q$8&lt;$AQ252,"IKS",IF(Q$8&lt;$AS252,IF(Q$8=$AR252,"Bascule","Double run"),"ROKS"))))))</f>
        <v/>
      </c>
      <c r="R252" s="51" t="str">
        <f aca="false">IF(OR($A252="",R$8=""),"",IF($F252="Migré","ROKS",IF($F252="À décommissionner",IF(R$8&lt;$AS252,"IKS","Décom."),IF(OR($AQ252="",$AS252=""),"",IF(R$8&lt;$AQ252,"IKS",IF(R$8&lt;$AS252,IF(R$8=$AR252,"Bascule","Double run"),"ROKS"))))))</f>
        <v/>
      </c>
      <c r="S252" s="51" t="str">
        <f aca="false">IF(OR($A252="",S$8=""),"",IF($F252="Migré","ROKS",IF($F252="À décommissionner",IF(S$8&lt;$AS252,"IKS","Décom."),IF(OR($AQ252="",$AS252=""),"",IF(S$8&lt;$AQ252,"IKS",IF(S$8&lt;$AS252,IF(S$8=$AR252,"Bascule","Double run"),"ROKS"))))))</f>
        <v/>
      </c>
      <c r="T252" s="51" t="str">
        <f aca="false">IF(OR($A252="",T$8=""),"",IF($F252="Migré","ROKS",IF($F252="À décommissionner",IF(T$8&lt;$AS252,"IKS","Décom."),IF(OR($AQ252="",$AS252=""),"",IF(T$8&lt;$AQ252,"IKS",IF(T$8&lt;$AS252,IF(T$8=$AR252,"Bascule","Double run"),"ROKS"))))))</f>
        <v/>
      </c>
      <c r="U252" s="51" t="str">
        <f aca="false">IF(OR($A252="",U$8=""),"",IF($F252="Migré","ROKS",IF($F252="À décommissionner",IF(U$8&lt;$AS252,"IKS","Décom."),IF(OR($AQ252="",$AS252=""),"",IF(U$8&lt;$AQ252,"IKS",IF(U$8&lt;$AS252,IF(U$8=$AR252,"Bascule","Double run"),"ROKS"))))))</f>
        <v/>
      </c>
      <c r="V252" s="51" t="str">
        <f aca="false">IF(OR($A252="",V$8=""),"",IF($F252="Migré","ROKS",IF($F252="À décommissionner",IF(V$8&lt;$AS252,"IKS","Décom."),IF(OR($AQ252="",$AS252=""),"",IF(V$8&lt;$AQ252,"IKS",IF(V$8&lt;$AS252,IF(V$8=$AR252,"Bascule","Double run"),"ROKS"))))))</f>
        <v/>
      </c>
      <c r="W252" s="51" t="str">
        <f aca="false">IF(OR($A252="",W$8=""),"",IF($F252="Migré","ROKS",IF($F252="À décommissionner",IF(W$8&lt;$AS252,"IKS","Décom."),IF(OR($AQ252="",$AS252=""),"",IF(W$8&lt;$AQ252,"IKS",IF(W$8&lt;$AS252,IF(W$8=$AR252,"Bascule","Double run"),"ROKS"))))))</f>
        <v/>
      </c>
      <c r="X252" s="51" t="str">
        <f aca="false">IF(OR($A252="",X$8=""),"",IF($F252="Migré","ROKS",IF($F252="À décommissionner",IF(X$8&lt;$AS252,"IKS","Décom."),IF(OR($AQ252="",$AS252=""),"",IF(X$8&lt;$AQ252,"IKS",IF(X$8&lt;$AS252,IF(X$8=$AR252,"Bascule","Double run"),"ROKS"))))))</f>
        <v/>
      </c>
      <c r="Y252" s="51" t="str">
        <f aca="false">IF(OR($A252="",Y$8=""),"",IF($F252="Migré","ROKS",IF($F252="À décommissionner",IF(Y$8&lt;$AS252,"IKS","Décom."),IF(OR($AQ252="",$AS252=""),"",IF(Y$8&lt;$AQ252,"IKS",IF(Y$8&lt;$AS252,IF(Y$8=$AR252,"Bascule","Double run"),"ROKS"))))))</f>
        <v/>
      </c>
      <c r="Z252" s="51" t="str">
        <f aca="false">IF(OR($A252="",Z$8=""),"",IF($F252="Migré","ROKS",IF($F252="À décommissionner",IF(Z$8&lt;$AS252,"IKS","Décom."),IF(OR($AQ252="",$AS252=""),"",IF(Z$8&lt;$AQ252,"IKS",IF(Z$8&lt;$AS252,IF(Z$8=$AR252,"Bascule","Double run"),"ROKS"))))))</f>
        <v/>
      </c>
      <c r="AA252" s="51" t="str">
        <f aca="false">IF(OR($A252="",AA$8=""),"",IF($F252="Migré","ROKS",IF($F252="À décommissionner",IF(AA$8&lt;$AS252,"IKS","Décom."),IF(OR($AQ252="",$AS252=""),"",IF(AA$8&lt;$AQ252,"IKS",IF(AA$8&lt;$AS252,IF(AA$8=$AR252,"Bascule","Double run"),"ROKS"))))))</f>
        <v/>
      </c>
      <c r="AB252" s="51" t="str">
        <f aca="false">IF(OR($A252="",AB$8=""),"",IF($F252="Migré","ROKS",IF($F252="À décommissionner",IF(AB$8&lt;$AS252,"IKS","Décom."),IF(OR($AQ252="",$AS252=""),"",IF(AB$8&lt;$AQ252,"IKS",IF(AB$8&lt;$AS252,IF(AB$8=$AR252,"Bascule","Double run"),"ROKS"))))))</f>
        <v/>
      </c>
      <c r="AC252" s="51" t="str">
        <f aca="false">IF(OR($A252="",AC$8=""),"",IF($F252="Migré","ROKS",IF($F252="À décommissionner",IF(AC$8&lt;$AS252,"IKS","Décom."),IF(OR($AQ252="",$AS252=""),"",IF(AC$8&lt;$AQ252,"IKS",IF(AC$8&lt;$AS252,IF(AC$8=$AR252,"Bascule","Double run"),"ROKS"))))))</f>
        <v/>
      </c>
      <c r="AD252" s="51" t="str">
        <f aca="false">IF(OR($A252="",AD$8=""),"",IF($F252="Migré","ROKS",IF($F252="À décommissionner",IF(AD$8&lt;$AS252,"IKS","Décom."),IF(OR($AQ252="",$AS252=""),"",IF(AD$8&lt;$AQ252,"IKS",IF(AD$8&lt;$AS252,IF(AD$8=$AR252,"Bascule","Double run"),"ROKS"))))))</f>
        <v/>
      </c>
      <c r="AE252" s="51" t="str">
        <f aca="false">IF(OR($A252="",AE$8=""),"",IF($F252="Migré","ROKS",IF($F252="À décommissionner",IF(AE$8&lt;$AS252,"IKS","Décom."),IF(OR($AQ252="",$AS252=""),"",IF(AE$8&lt;$AQ252,"IKS",IF(AE$8&lt;$AS252,IF(AE$8=$AR252,"Bascule","Double run"),"ROKS"))))))</f>
        <v/>
      </c>
      <c r="AF252" s="51" t="str">
        <f aca="false">IF(OR($A252="",AF$8=""),"",IF($F252="Migré","ROKS",IF($F252="À décommissionner",IF(AF$8&lt;$AS252,"IKS","Décom."),IF(OR($AQ252="",$AS252=""),"",IF(AF$8&lt;$AQ252,"IKS",IF(AF$8&lt;$AS252,IF(AF$8=$AR252,"Bascule","Double run"),"ROKS"))))))</f>
        <v/>
      </c>
      <c r="AG252" s="51" t="str">
        <f aca="false">IF(OR($A252="",AG$8=""),"",IF($F252="Migré","ROKS",IF($F252="À décommissionner",IF(AG$8&lt;$AS252,"IKS","Décom."),IF(OR($AQ252="",$AS252=""),"",IF(AG$8&lt;$AQ252,"IKS",IF(AG$8&lt;$AS252,IF(AG$8=$AR252,"Bascule","Double run"),"ROKS"))))))</f>
        <v/>
      </c>
      <c r="AH252" s="51" t="str">
        <f aca="false">IF(OR($A252="",AH$8=""),"",IF($F252="Migré","ROKS",IF($F252="À décommissionner",IF(AH$8&lt;$AS252,"IKS","Décom."),IF(OR($AQ252="",$AS252=""),"",IF(AH$8&lt;$AQ252,"IKS",IF(AH$8&lt;$AS252,IF(AH$8=$AR252,"Bascule","Double run"),"ROKS"))))))</f>
        <v/>
      </c>
      <c r="AI252" s="51" t="str">
        <f aca="false">IF(OR($A252="",AI$8=""),"",IF($F252="Migré","ROKS",IF($F252="À décommissionner",IF(AI$8&lt;$AS252,"IKS","Décom."),IF(OR($AQ252="",$AS252=""),"",IF(AI$8&lt;$AQ252,"IKS",IF(AI$8&lt;$AS252,IF(AI$8=$AR252,"Bascule","Double run"),"ROKS"))))))</f>
        <v/>
      </c>
      <c r="AJ252" s="51" t="str">
        <f aca="false">IF(OR($A252="",AJ$8=""),"",IF($F252="Migré","ROKS",IF($F252="À décommissionner",IF(AJ$8&lt;$AS252,"IKS","Décom."),IF(OR($AQ252="",$AS252=""),"",IF(AJ$8&lt;$AQ252,"IKS",IF(AJ$8&lt;$AS252,IF(AJ$8=$AR252,"Bascule","Double run"),"ROKS"))))))</f>
        <v/>
      </c>
      <c r="AK252" s="51" t="str">
        <f aca="false">IF(OR($A252="",AK$8=""),"",IF($F252="Migré","ROKS",IF($F252="À décommissionner",IF(AK$8&lt;$AS252,"IKS","Décom."),IF(OR($AQ252="",$AS252=""),"",IF(AK$8&lt;$AQ252,"IKS",IF(AK$8&lt;$AS252,IF(AK$8=$AR252,"Bascule","Double run"),"ROKS"))))))</f>
        <v/>
      </c>
      <c r="AL252" s="51" t="str">
        <f aca="false">IF(OR($A252="",AL$8=""),"",IF($F252="Migré","ROKS",IF($F252="À décommissionner",IF(AL$8&lt;$AS252,"IKS","Décom."),IF(OR($AQ252="",$AS252=""),"",IF(AL$8&lt;$AQ252,"IKS",IF(AL$8&lt;$AS252,IF(AL$8=$AR252,"Bascule","Double run"),"ROKS"))))))</f>
        <v/>
      </c>
      <c r="AM252" s="51" t="str">
        <f aca="false">IF(OR($A252="",AM$8=""),"",IF($F252="Migré","ROKS",IF($F252="À décommissionner",IF(AM$8&lt;$AS252,"IKS","Décom."),IF(OR($AQ252="",$AS252=""),"",IF(AM$8&lt;$AQ252,"IKS",IF(AM$8&lt;$AS252,IF(AM$8=$AR252,"Bascule","Double run"),"ROKS"))))))</f>
        <v/>
      </c>
      <c r="AN252" s="51" t="str">
        <f aca="false">IF(OR($A252="",AN$8=""),"",IF($F252="Migré","ROKS",IF($F252="À décommissionner",IF(AN$8&lt;$AS252,"IKS","Décom."),IF(OR($AQ252="",$AS252=""),"",IF(AN$8&lt;$AQ252,"IKS",IF(AN$8&lt;$AS252,IF(AN$8=$AR252,"Bascule","Double run"),"ROKS"))))))</f>
        <v/>
      </c>
      <c r="AO252" s="51" t="str">
        <f aca="false">IF(OR($A252="",AO$8=""),"",IF($F252="Migré","ROKS",IF($F252="À décommissionner",IF(AO$8&lt;$AS252,"IKS","Décom."),IF(OR($AQ252="",$AS252=""),"",IF(AO$8&lt;$AQ252,"IKS",IF(AO$8&lt;$AS252,IF(AO$8=$AR252,"Bascule","Double run"),"ROKS"))))))</f>
        <v/>
      </c>
      <c r="AP252" s="51" t="str">
        <f aca="false">IF(OR($A252="",AP$8=""),"",IF($F252="Migré","ROKS",IF($F252="À décommissionner",IF(AP$8&lt;$AS252,"IKS","Décom."),IF(OR($AQ252="",$AS252=""),"",IF(AP$8&lt;$AQ252,"IKS",IF(AP$8&lt;$AS252,IF(AP$8=$AR252,"Bascule","Double run"),"ROKS"))))))</f>
        <v/>
      </c>
      <c r="AQ252" s="0" t="str">
        <f aca="false">IF($A252="","",INDEX(TblApplications[Mois prov (calc)],$A252))</f>
        <v/>
      </c>
      <c r="AR252" s="0" t="str">
        <f aca="false">IF($A252="","",IFERROR(DATE(YEAR(INDEX(TblApplications[Mois bascule],$A252)),MONTH(INDEX(TblApplications[Mois bascule],$A252)),1),""))</f>
        <v/>
      </c>
      <c r="AS252" s="0" t="str">
        <f aca="false">IF($A252="","",INDEX(TblApplications[Mois lib (calc)],$A252))</f>
        <v/>
      </c>
    </row>
    <row r="253" customFormat="false" ht="15" hidden="false" customHeight="false" outlineLevel="0" collapsed="false">
      <c r="A253" s="49" t="str">
        <f aca="false">IFERROR(MATCH(245,TblApplications[Rang frise],0),"")</f>
        <v/>
      </c>
      <c r="B253" s="50" t="str">
        <f aca="false">IF($A253="","",INDEX(TblApplications[ID],$A253))</f>
        <v/>
      </c>
      <c r="C253" s="50" t="str">
        <f aca="false">IF($A253="","",INDEX(TblApplications[Application],$A253))</f>
        <v/>
      </c>
      <c r="D253" s="50" t="str">
        <f aca="false">IF($A253="","",INDEX(TblApplications[Environnement],$A253))</f>
        <v/>
      </c>
      <c r="E253" s="50" t="str">
        <f aca="false">IF($A253="","",INDEX(TblApplications[Couloir],$A253))</f>
        <v/>
      </c>
      <c r="F253" s="50" t="str">
        <f aca="false">IF($A253="","",INDEX(TblApplications[Action],$A253))</f>
        <v/>
      </c>
      <c r="G253" s="51" t="str">
        <f aca="false">IF(OR($A253="",G$8=""),"",IF($F253="Migré","ROKS",IF($F253="À décommissionner",IF(G$8&lt;$AS253,"IKS","Décom."),IF(OR($AQ253="",$AS253=""),"",IF(G$8&lt;$AQ253,"IKS",IF(G$8&lt;$AS253,IF(G$8=$AR253,"Bascule","Double run"),"ROKS"))))))</f>
        <v/>
      </c>
      <c r="H253" s="51" t="str">
        <f aca="false">IF(OR($A253="",H$8=""),"",IF($F253="Migré","ROKS",IF($F253="À décommissionner",IF(H$8&lt;$AS253,"IKS","Décom."),IF(OR($AQ253="",$AS253=""),"",IF(H$8&lt;$AQ253,"IKS",IF(H$8&lt;$AS253,IF(H$8=$AR253,"Bascule","Double run"),"ROKS"))))))</f>
        <v/>
      </c>
      <c r="I253" s="51" t="str">
        <f aca="false">IF(OR($A253="",I$8=""),"",IF($F253="Migré","ROKS",IF($F253="À décommissionner",IF(I$8&lt;$AS253,"IKS","Décom."),IF(OR($AQ253="",$AS253=""),"",IF(I$8&lt;$AQ253,"IKS",IF(I$8&lt;$AS253,IF(I$8=$AR253,"Bascule","Double run"),"ROKS"))))))</f>
        <v/>
      </c>
      <c r="J253" s="51" t="str">
        <f aca="false">IF(OR($A253="",J$8=""),"",IF($F253="Migré","ROKS",IF($F253="À décommissionner",IF(J$8&lt;$AS253,"IKS","Décom."),IF(OR($AQ253="",$AS253=""),"",IF(J$8&lt;$AQ253,"IKS",IF(J$8&lt;$AS253,IF(J$8=$AR253,"Bascule","Double run"),"ROKS"))))))</f>
        <v/>
      </c>
      <c r="K253" s="51" t="str">
        <f aca="false">IF(OR($A253="",K$8=""),"",IF($F253="Migré","ROKS",IF($F253="À décommissionner",IF(K$8&lt;$AS253,"IKS","Décom."),IF(OR($AQ253="",$AS253=""),"",IF(K$8&lt;$AQ253,"IKS",IF(K$8&lt;$AS253,IF(K$8=$AR253,"Bascule","Double run"),"ROKS"))))))</f>
        <v/>
      </c>
      <c r="L253" s="51" t="str">
        <f aca="false">IF(OR($A253="",L$8=""),"",IF($F253="Migré","ROKS",IF($F253="À décommissionner",IF(L$8&lt;$AS253,"IKS","Décom."),IF(OR($AQ253="",$AS253=""),"",IF(L$8&lt;$AQ253,"IKS",IF(L$8&lt;$AS253,IF(L$8=$AR253,"Bascule","Double run"),"ROKS"))))))</f>
        <v/>
      </c>
      <c r="M253" s="51" t="str">
        <f aca="false">IF(OR($A253="",M$8=""),"",IF($F253="Migré","ROKS",IF($F253="À décommissionner",IF(M$8&lt;$AS253,"IKS","Décom."),IF(OR($AQ253="",$AS253=""),"",IF(M$8&lt;$AQ253,"IKS",IF(M$8&lt;$AS253,IF(M$8=$AR253,"Bascule","Double run"),"ROKS"))))))</f>
        <v/>
      </c>
      <c r="N253" s="51" t="str">
        <f aca="false">IF(OR($A253="",N$8=""),"",IF($F253="Migré","ROKS",IF($F253="À décommissionner",IF(N$8&lt;$AS253,"IKS","Décom."),IF(OR($AQ253="",$AS253=""),"",IF(N$8&lt;$AQ253,"IKS",IF(N$8&lt;$AS253,IF(N$8=$AR253,"Bascule","Double run"),"ROKS"))))))</f>
        <v/>
      </c>
      <c r="O253" s="51" t="str">
        <f aca="false">IF(OR($A253="",O$8=""),"",IF($F253="Migré","ROKS",IF($F253="À décommissionner",IF(O$8&lt;$AS253,"IKS","Décom."),IF(OR($AQ253="",$AS253=""),"",IF(O$8&lt;$AQ253,"IKS",IF(O$8&lt;$AS253,IF(O$8=$AR253,"Bascule","Double run"),"ROKS"))))))</f>
        <v/>
      </c>
      <c r="P253" s="51" t="str">
        <f aca="false">IF(OR($A253="",P$8=""),"",IF($F253="Migré","ROKS",IF($F253="À décommissionner",IF(P$8&lt;$AS253,"IKS","Décom."),IF(OR($AQ253="",$AS253=""),"",IF(P$8&lt;$AQ253,"IKS",IF(P$8&lt;$AS253,IF(P$8=$AR253,"Bascule","Double run"),"ROKS"))))))</f>
        <v/>
      </c>
      <c r="Q253" s="51" t="str">
        <f aca="false">IF(OR($A253="",Q$8=""),"",IF($F253="Migré","ROKS",IF($F253="À décommissionner",IF(Q$8&lt;$AS253,"IKS","Décom."),IF(OR($AQ253="",$AS253=""),"",IF(Q$8&lt;$AQ253,"IKS",IF(Q$8&lt;$AS253,IF(Q$8=$AR253,"Bascule","Double run"),"ROKS"))))))</f>
        <v/>
      </c>
      <c r="R253" s="51" t="str">
        <f aca="false">IF(OR($A253="",R$8=""),"",IF($F253="Migré","ROKS",IF($F253="À décommissionner",IF(R$8&lt;$AS253,"IKS","Décom."),IF(OR($AQ253="",$AS253=""),"",IF(R$8&lt;$AQ253,"IKS",IF(R$8&lt;$AS253,IF(R$8=$AR253,"Bascule","Double run"),"ROKS"))))))</f>
        <v/>
      </c>
      <c r="S253" s="51" t="str">
        <f aca="false">IF(OR($A253="",S$8=""),"",IF($F253="Migré","ROKS",IF($F253="À décommissionner",IF(S$8&lt;$AS253,"IKS","Décom."),IF(OR($AQ253="",$AS253=""),"",IF(S$8&lt;$AQ253,"IKS",IF(S$8&lt;$AS253,IF(S$8=$AR253,"Bascule","Double run"),"ROKS"))))))</f>
        <v/>
      </c>
      <c r="T253" s="51" t="str">
        <f aca="false">IF(OR($A253="",T$8=""),"",IF($F253="Migré","ROKS",IF($F253="À décommissionner",IF(T$8&lt;$AS253,"IKS","Décom."),IF(OR($AQ253="",$AS253=""),"",IF(T$8&lt;$AQ253,"IKS",IF(T$8&lt;$AS253,IF(T$8=$AR253,"Bascule","Double run"),"ROKS"))))))</f>
        <v/>
      </c>
      <c r="U253" s="51" t="str">
        <f aca="false">IF(OR($A253="",U$8=""),"",IF($F253="Migré","ROKS",IF($F253="À décommissionner",IF(U$8&lt;$AS253,"IKS","Décom."),IF(OR($AQ253="",$AS253=""),"",IF(U$8&lt;$AQ253,"IKS",IF(U$8&lt;$AS253,IF(U$8=$AR253,"Bascule","Double run"),"ROKS"))))))</f>
        <v/>
      </c>
      <c r="V253" s="51" t="str">
        <f aca="false">IF(OR($A253="",V$8=""),"",IF($F253="Migré","ROKS",IF($F253="À décommissionner",IF(V$8&lt;$AS253,"IKS","Décom."),IF(OR($AQ253="",$AS253=""),"",IF(V$8&lt;$AQ253,"IKS",IF(V$8&lt;$AS253,IF(V$8=$AR253,"Bascule","Double run"),"ROKS"))))))</f>
        <v/>
      </c>
      <c r="W253" s="51" t="str">
        <f aca="false">IF(OR($A253="",W$8=""),"",IF($F253="Migré","ROKS",IF($F253="À décommissionner",IF(W$8&lt;$AS253,"IKS","Décom."),IF(OR($AQ253="",$AS253=""),"",IF(W$8&lt;$AQ253,"IKS",IF(W$8&lt;$AS253,IF(W$8=$AR253,"Bascule","Double run"),"ROKS"))))))</f>
        <v/>
      </c>
      <c r="X253" s="51" t="str">
        <f aca="false">IF(OR($A253="",X$8=""),"",IF($F253="Migré","ROKS",IF($F253="À décommissionner",IF(X$8&lt;$AS253,"IKS","Décom."),IF(OR($AQ253="",$AS253=""),"",IF(X$8&lt;$AQ253,"IKS",IF(X$8&lt;$AS253,IF(X$8=$AR253,"Bascule","Double run"),"ROKS"))))))</f>
        <v/>
      </c>
      <c r="Y253" s="51" t="str">
        <f aca="false">IF(OR($A253="",Y$8=""),"",IF($F253="Migré","ROKS",IF($F253="À décommissionner",IF(Y$8&lt;$AS253,"IKS","Décom."),IF(OR($AQ253="",$AS253=""),"",IF(Y$8&lt;$AQ253,"IKS",IF(Y$8&lt;$AS253,IF(Y$8=$AR253,"Bascule","Double run"),"ROKS"))))))</f>
        <v/>
      </c>
      <c r="Z253" s="51" t="str">
        <f aca="false">IF(OR($A253="",Z$8=""),"",IF($F253="Migré","ROKS",IF($F253="À décommissionner",IF(Z$8&lt;$AS253,"IKS","Décom."),IF(OR($AQ253="",$AS253=""),"",IF(Z$8&lt;$AQ253,"IKS",IF(Z$8&lt;$AS253,IF(Z$8=$AR253,"Bascule","Double run"),"ROKS"))))))</f>
        <v/>
      </c>
      <c r="AA253" s="51" t="str">
        <f aca="false">IF(OR($A253="",AA$8=""),"",IF($F253="Migré","ROKS",IF($F253="À décommissionner",IF(AA$8&lt;$AS253,"IKS","Décom."),IF(OR($AQ253="",$AS253=""),"",IF(AA$8&lt;$AQ253,"IKS",IF(AA$8&lt;$AS253,IF(AA$8=$AR253,"Bascule","Double run"),"ROKS"))))))</f>
        <v/>
      </c>
      <c r="AB253" s="51" t="str">
        <f aca="false">IF(OR($A253="",AB$8=""),"",IF($F253="Migré","ROKS",IF($F253="À décommissionner",IF(AB$8&lt;$AS253,"IKS","Décom."),IF(OR($AQ253="",$AS253=""),"",IF(AB$8&lt;$AQ253,"IKS",IF(AB$8&lt;$AS253,IF(AB$8=$AR253,"Bascule","Double run"),"ROKS"))))))</f>
        <v/>
      </c>
      <c r="AC253" s="51" t="str">
        <f aca="false">IF(OR($A253="",AC$8=""),"",IF($F253="Migré","ROKS",IF($F253="À décommissionner",IF(AC$8&lt;$AS253,"IKS","Décom."),IF(OR($AQ253="",$AS253=""),"",IF(AC$8&lt;$AQ253,"IKS",IF(AC$8&lt;$AS253,IF(AC$8=$AR253,"Bascule","Double run"),"ROKS"))))))</f>
        <v/>
      </c>
      <c r="AD253" s="51" t="str">
        <f aca="false">IF(OR($A253="",AD$8=""),"",IF($F253="Migré","ROKS",IF($F253="À décommissionner",IF(AD$8&lt;$AS253,"IKS","Décom."),IF(OR($AQ253="",$AS253=""),"",IF(AD$8&lt;$AQ253,"IKS",IF(AD$8&lt;$AS253,IF(AD$8=$AR253,"Bascule","Double run"),"ROKS"))))))</f>
        <v/>
      </c>
      <c r="AE253" s="51" t="str">
        <f aca="false">IF(OR($A253="",AE$8=""),"",IF($F253="Migré","ROKS",IF($F253="À décommissionner",IF(AE$8&lt;$AS253,"IKS","Décom."),IF(OR($AQ253="",$AS253=""),"",IF(AE$8&lt;$AQ253,"IKS",IF(AE$8&lt;$AS253,IF(AE$8=$AR253,"Bascule","Double run"),"ROKS"))))))</f>
        <v/>
      </c>
      <c r="AF253" s="51" t="str">
        <f aca="false">IF(OR($A253="",AF$8=""),"",IF($F253="Migré","ROKS",IF($F253="À décommissionner",IF(AF$8&lt;$AS253,"IKS","Décom."),IF(OR($AQ253="",$AS253=""),"",IF(AF$8&lt;$AQ253,"IKS",IF(AF$8&lt;$AS253,IF(AF$8=$AR253,"Bascule","Double run"),"ROKS"))))))</f>
        <v/>
      </c>
      <c r="AG253" s="51" t="str">
        <f aca="false">IF(OR($A253="",AG$8=""),"",IF($F253="Migré","ROKS",IF($F253="À décommissionner",IF(AG$8&lt;$AS253,"IKS","Décom."),IF(OR($AQ253="",$AS253=""),"",IF(AG$8&lt;$AQ253,"IKS",IF(AG$8&lt;$AS253,IF(AG$8=$AR253,"Bascule","Double run"),"ROKS"))))))</f>
        <v/>
      </c>
      <c r="AH253" s="51" t="str">
        <f aca="false">IF(OR($A253="",AH$8=""),"",IF($F253="Migré","ROKS",IF($F253="À décommissionner",IF(AH$8&lt;$AS253,"IKS","Décom."),IF(OR($AQ253="",$AS253=""),"",IF(AH$8&lt;$AQ253,"IKS",IF(AH$8&lt;$AS253,IF(AH$8=$AR253,"Bascule","Double run"),"ROKS"))))))</f>
        <v/>
      </c>
      <c r="AI253" s="51" t="str">
        <f aca="false">IF(OR($A253="",AI$8=""),"",IF($F253="Migré","ROKS",IF($F253="À décommissionner",IF(AI$8&lt;$AS253,"IKS","Décom."),IF(OR($AQ253="",$AS253=""),"",IF(AI$8&lt;$AQ253,"IKS",IF(AI$8&lt;$AS253,IF(AI$8=$AR253,"Bascule","Double run"),"ROKS"))))))</f>
        <v/>
      </c>
      <c r="AJ253" s="51" t="str">
        <f aca="false">IF(OR($A253="",AJ$8=""),"",IF($F253="Migré","ROKS",IF($F253="À décommissionner",IF(AJ$8&lt;$AS253,"IKS","Décom."),IF(OR($AQ253="",$AS253=""),"",IF(AJ$8&lt;$AQ253,"IKS",IF(AJ$8&lt;$AS253,IF(AJ$8=$AR253,"Bascule","Double run"),"ROKS"))))))</f>
        <v/>
      </c>
      <c r="AK253" s="51" t="str">
        <f aca="false">IF(OR($A253="",AK$8=""),"",IF($F253="Migré","ROKS",IF($F253="À décommissionner",IF(AK$8&lt;$AS253,"IKS","Décom."),IF(OR($AQ253="",$AS253=""),"",IF(AK$8&lt;$AQ253,"IKS",IF(AK$8&lt;$AS253,IF(AK$8=$AR253,"Bascule","Double run"),"ROKS"))))))</f>
        <v/>
      </c>
      <c r="AL253" s="51" t="str">
        <f aca="false">IF(OR($A253="",AL$8=""),"",IF($F253="Migré","ROKS",IF($F253="À décommissionner",IF(AL$8&lt;$AS253,"IKS","Décom."),IF(OR($AQ253="",$AS253=""),"",IF(AL$8&lt;$AQ253,"IKS",IF(AL$8&lt;$AS253,IF(AL$8=$AR253,"Bascule","Double run"),"ROKS"))))))</f>
        <v/>
      </c>
      <c r="AM253" s="51" t="str">
        <f aca="false">IF(OR($A253="",AM$8=""),"",IF($F253="Migré","ROKS",IF($F253="À décommissionner",IF(AM$8&lt;$AS253,"IKS","Décom."),IF(OR($AQ253="",$AS253=""),"",IF(AM$8&lt;$AQ253,"IKS",IF(AM$8&lt;$AS253,IF(AM$8=$AR253,"Bascule","Double run"),"ROKS"))))))</f>
        <v/>
      </c>
      <c r="AN253" s="51" t="str">
        <f aca="false">IF(OR($A253="",AN$8=""),"",IF($F253="Migré","ROKS",IF($F253="À décommissionner",IF(AN$8&lt;$AS253,"IKS","Décom."),IF(OR($AQ253="",$AS253=""),"",IF(AN$8&lt;$AQ253,"IKS",IF(AN$8&lt;$AS253,IF(AN$8=$AR253,"Bascule","Double run"),"ROKS"))))))</f>
        <v/>
      </c>
      <c r="AO253" s="51" t="str">
        <f aca="false">IF(OR($A253="",AO$8=""),"",IF($F253="Migré","ROKS",IF($F253="À décommissionner",IF(AO$8&lt;$AS253,"IKS","Décom."),IF(OR($AQ253="",$AS253=""),"",IF(AO$8&lt;$AQ253,"IKS",IF(AO$8&lt;$AS253,IF(AO$8=$AR253,"Bascule","Double run"),"ROKS"))))))</f>
        <v/>
      </c>
      <c r="AP253" s="51" t="str">
        <f aca="false">IF(OR($A253="",AP$8=""),"",IF($F253="Migré","ROKS",IF($F253="À décommissionner",IF(AP$8&lt;$AS253,"IKS","Décom."),IF(OR($AQ253="",$AS253=""),"",IF(AP$8&lt;$AQ253,"IKS",IF(AP$8&lt;$AS253,IF(AP$8=$AR253,"Bascule","Double run"),"ROKS"))))))</f>
        <v/>
      </c>
      <c r="AQ253" s="0" t="str">
        <f aca="false">IF($A253="","",INDEX(TblApplications[Mois prov (calc)],$A253))</f>
        <v/>
      </c>
      <c r="AR253" s="0" t="str">
        <f aca="false">IF($A253="","",IFERROR(DATE(YEAR(INDEX(TblApplications[Mois bascule],$A253)),MONTH(INDEX(TblApplications[Mois bascule],$A253)),1),""))</f>
        <v/>
      </c>
      <c r="AS253" s="0" t="str">
        <f aca="false">IF($A253="","",INDEX(TblApplications[Mois lib (calc)],$A253))</f>
        <v/>
      </c>
    </row>
    <row r="254" customFormat="false" ht="15" hidden="false" customHeight="false" outlineLevel="0" collapsed="false">
      <c r="A254" s="49" t="str">
        <f aca="false">IFERROR(MATCH(246,TblApplications[Rang frise],0),"")</f>
        <v/>
      </c>
      <c r="B254" s="50" t="str">
        <f aca="false">IF($A254="","",INDEX(TblApplications[ID],$A254))</f>
        <v/>
      </c>
      <c r="C254" s="50" t="str">
        <f aca="false">IF($A254="","",INDEX(TblApplications[Application],$A254))</f>
        <v/>
      </c>
      <c r="D254" s="50" t="str">
        <f aca="false">IF($A254="","",INDEX(TblApplications[Environnement],$A254))</f>
        <v/>
      </c>
      <c r="E254" s="50" t="str">
        <f aca="false">IF($A254="","",INDEX(TblApplications[Couloir],$A254))</f>
        <v/>
      </c>
      <c r="F254" s="50" t="str">
        <f aca="false">IF($A254="","",INDEX(TblApplications[Action],$A254))</f>
        <v/>
      </c>
      <c r="G254" s="51" t="str">
        <f aca="false">IF(OR($A254="",G$8=""),"",IF($F254="Migré","ROKS",IF($F254="À décommissionner",IF(G$8&lt;$AS254,"IKS","Décom."),IF(OR($AQ254="",$AS254=""),"",IF(G$8&lt;$AQ254,"IKS",IF(G$8&lt;$AS254,IF(G$8=$AR254,"Bascule","Double run"),"ROKS"))))))</f>
        <v/>
      </c>
      <c r="H254" s="51" t="str">
        <f aca="false">IF(OR($A254="",H$8=""),"",IF($F254="Migré","ROKS",IF($F254="À décommissionner",IF(H$8&lt;$AS254,"IKS","Décom."),IF(OR($AQ254="",$AS254=""),"",IF(H$8&lt;$AQ254,"IKS",IF(H$8&lt;$AS254,IF(H$8=$AR254,"Bascule","Double run"),"ROKS"))))))</f>
        <v/>
      </c>
      <c r="I254" s="51" t="str">
        <f aca="false">IF(OR($A254="",I$8=""),"",IF($F254="Migré","ROKS",IF($F254="À décommissionner",IF(I$8&lt;$AS254,"IKS","Décom."),IF(OR($AQ254="",$AS254=""),"",IF(I$8&lt;$AQ254,"IKS",IF(I$8&lt;$AS254,IF(I$8=$AR254,"Bascule","Double run"),"ROKS"))))))</f>
        <v/>
      </c>
      <c r="J254" s="51" t="str">
        <f aca="false">IF(OR($A254="",J$8=""),"",IF($F254="Migré","ROKS",IF($F254="À décommissionner",IF(J$8&lt;$AS254,"IKS","Décom."),IF(OR($AQ254="",$AS254=""),"",IF(J$8&lt;$AQ254,"IKS",IF(J$8&lt;$AS254,IF(J$8=$AR254,"Bascule","Double run"),"ROKS"))))))</f>
        <v/>
      </c>
      <c r="K254" s="51" t="str">
        <f aca="false">IF(OR($A254="",K$8=""),"",IF($F254="Migré","ROKS",IF($F254="À décommissionner",IF(K$8&lt;$AS254,"IKS","Décom."),IF(OR($AQ254="",$AS254=""),"",IF(K$8&lt;$AQ254,"IKS",IF(K$8&lt;$AS254,IF(K$8=$AR254,"Bascule","Double run"),"ROKS"))))))</f>
        <v/>
      </c>
      <c r="L254" s="51" t="str">
        <f aca="false">IF(OR($A254="",L$8=""),"",IF($F254="Migré","ROKS",IF($F254="À décommissionner",IF(L$8&lt;$AS254,"IKS","Décom."),IF(OR($AQ254="",$AS254=""),"",IF(L$8&lt;$AQ254,"IKS",IF(L$8&lt;$AS254,IF(L$8=$AR254,"Bascule","Double run"),"ROKS"))))))</f>
        <v/>
      </c>
      <c r="M254" s="51" t="str">
        <f aca="false">IF(OR($A254="",M$8=""),"",IF($F254="Migré","ROKS",IF($F254="À décommissionner",IF(M$8&lt;$AS254,"IKS","Décom."),IF(OR($AQ254="",$AS254=""),"",IF(M$8&lt;$AQ254,"IKS",IF(M$8&lt;$AS254,IF(M$8=$AR254,"Bascule","Double run"),"ROKS"))))))</f>
        <v/>
      </c>
      <c r="N254" s="51" t="str">
        <f aca="false">IF(OR($A254="",N$8=""),"",IF($F254="Migré","ROKS",IF($F254="À décommissionner",IF(N$8&lt;$AS254,"IKS","Décom."),IF(OR($AQ254="",$AS254=""),"",IF(N$8&lt;$AQ254,"IKS",IF(N$8&lt;$AS254,IF(N$8=$AR254,"Bascule","Double run"),"ROKS"))))))</f>
        <v/>
      </c>
      <c r="O254" s="51" t="str">
        <f aca="false">IF(OR($A254="",O$8=""),"",IF($F254="Migré","ROKS",IF($F254="À décommissionner",IF(O$8&lt;$AS254,"IKS","Décom."),IF(OR($AQ254="",$AS254=""),"",IF(O$8&lt;$AQ254,"IKS",IF(O$8&lt;$AS254,IF(O$8=$AR254,"Bascule","Double run"),"ROKS"))))))</f>
        <v/>
      </c>
      <c r="P254" s="51" t="str">
        <f aca="false">IF(OR($A254="",P$8=""),"",IF($F254="Migré","ROKS",IF($F254="À décommissionner",IF(P$8&lt;$AS254,"IKS","Décom."),IF(OR($AQ254="",$AS254=""),"",IF(P$8&lt;$AQ254,"IKS",IF(P$8&lt;$AS254,IF(P$8=$AR254,"Bascule","Double run"),"ROKS"))))))</f>
        <v/>
      </c>
      <c r="Q254" s="51" t="str">
        <f aca="false">IF(OR($A254="",Q$8=""),"",IF($F254="Migré","ROKS",IF($F254="À décommissionner",IF(Q$8&lt;$AS254,"IKS","Décom."),IF(OR($AQ254="",$AS254=""),"",IF(Q$8&lt;$AQ254,"IKS",IF(Q$8&lt;$AS254,IF(Q$8=$AR254,"Bascule","Double run"),"ROKS"))))))</f>
        <v/>
      </c>
      <c r="R254" s="51" t="str">
        <f aca="false">IF(OR($A254="",R$8=""),"",IF($F254="Migré","ROKS",IF($F254="À décommissionner",IF(R$8&lt;$AS254,"IKS","Décom."),IF(OR($AQ254="",$AS254=""),"",IF(R$8&lt;$AQ254,"IKS",IF(R$8&lt;$AS254,IF(R$8=$AR254,"Bascule","Double run"),"ROKS"))))))</f>
        <v/>
      </c>
      <c r="S254" s="51" t="str">
        <f aca="false">IF(OR($A254="",S$8=""),"",IF($F254="Migré","ROKS",IF($F254="À décommissionner",IF(S$8&lt;$AS254,"IKS","Décom."),IF(OR($AQ254="",$AS254=""),"",IF(S$8&lt;$AQ254,"IKS",IF(S$8&lt;$AS254,IF(S$8=$AR254,"Bascule","Double run"),"ROKS"))))))</f>
        <v/>
      </c>
      <c r="T254" s="51" t="str">
        <f aca="false">IF(OR($A254="",T$8=""),"",IF($F254="Migré","ROKS",IF($F254="À décommissionner",IF(T$8&lt;$AS254,"IKS","Décom."),IF(OR($AQ254="",$AS254=""),"",IF(T$8&lt;$AQ254,"IKS",IF(T$8&lt;$AS254,IF(T$8=$AR254,"Bascule","Double run"),"ROKS"))))))</f>
        <v/>
      </c>
      <c r="U254" s="51" t="str">
        <f aca="false">IF(OR($A254="",U$8=""),"",IF($F254="Migré","ROKS",IF($F254="À décommissionner",IF(U$8&lt;$AS254,"IKS","Décom."),IF(OR($AQ254="",$AS254=""),"",IF(U$8&lt;$AQ254,"IKS",IF(U$8&lt;$AS254,IF(U$8=$AR254,"Bascule","Double run"),"ROKS"))))))</f>
        <v/>
      </c>
      <c r="V254" s="51" t="str">
        <f aca="false">IF(OR($A254="",V$8=""),"",IF($F254="Migré","ROKS",IF($F254="À décommissionner",IF(V$8&lt;$AS254,"IKS","Décom."),IF(OR($AQ254="",$AS254=""),"",IF(V$8&lt;$AQ254,"IKS",IF(V$8&lt;$AS254,IF(V$8=$AR254,"Bascule","Double run"),"ROKS"))))))</f>
        <v/>
      </c>
      <c r="W254" s="51" t="str">
        <f aca="false">IF(OR($A254="",W$8=""),"",IF($F254="Migré","ROKS",IF($F254="À décommissionner",IF(W$8&lt;$AS254,"IKS","Décom."),IF(OR($AQ254="",$AS254=""),"",IF(W$8&lt;$AQ254,"IKS",IF(W$8&lt;$AS254,IF(W$8=$AR254,"Bascule","Double run"),"ROKS"))))))</f>
        <v/>
      </c>
      <c r="X254" s="51" t="str">
        <f aca="false">IF(OR($A254="",X$8=""),"",IF($F254="Migré","ROKS",IF($F254="À décommissionner",IF(X$8&lt;$AS254,"IKS","Décom."),IF(OR($AQ254="",$AS254=""),"",IF(X$8&lt;$AQ254,"IKS",IF(X$8&lt;$AS254,IF(X$8=$AR254,"Bascule","Double run"),"ROKS"))))))</f>
        <v/>
      </c>
      <c r="Y254" s="51" t="str">
        <f aca="false">IF(OR($A254="",Y$8=""),"",IF($F254="Migré","ROKS",IF($F254="À décommissionner",IF(Y$8&lt;$AS254,"IKS","Décom."),IF(OR($AQ254="",$AS254=""),"",IF(Y$8&lt;$AQ254,"IKS",IF(Y$8&lt;$AS254,IF(Y$8=$AR254,"Bascule","Double run"),"ROKS"))))))</f>
        <v/>
      </c>
      <c r="Z254" s="51" t="str">
        <f aca="false">IF(OR($A254="",Z$8=""),"",IF($F254="Migré","ROKS",IF($F254="À décommissionner",IF(Z$8&lt;$AS254,"IKS","Décom."),IF(OR($AQ254="",$AS254=""),"",IF(Z$8&lt;$AQ254,"IKS",IF(Z$8&lt;$AS254,IF(Z$8=$AR254,"Bascule","Double run"),"ROKS"))))))</f>
        <v/>
      </c>
      <c r="AA254" s="51" t="str">
        <f aca="false">IF(OR($A254="",AA$8=""),"",IF($F254="Migré","ROKS",IF($F254="À décommissionner",IF(AA$8&lt;$AS254,"IKS","Décom."),IF(OR($AQ254="",$AS254=""),"",IF(AA$8&lt;$AQ254,"IKS",IF(AA$8&lt;$AS254,IF(AA$8=$AR254,"Bascule","Double run"),"ROKS"))))))</f>
        <v/>
      </c>
      <c r="AB254" s="51" t="str">
        <f aca="false">IF(OR($A254="",AB$8=""),"",IF($F254="Migré","ROKS",IF($F254="À décommissionner",IF(AB$8&lt;$AS254,"IKS","Décom."),IF(OR($AQ254="",$AS254=""),"",IF(AB$8&lt;$AQ254,"IKS",IF(AB$8&lt;$AS254,IF(AB$8=$AR254,"Bascule","Double run"),"ROKS"))))))</f>
        <v/>
      </c>
      <c r="AC254" s="51" t="str">
        <f aca="false">IF(OR($A254="",AC$8=""),"",IF($F254="Migré","ROKS",IF($F254="À décommissionner",IF(AC$8&lt;$AS254,"IKS","Décom."),IF(OR($AQ254="",$AS254=""),"",IF(AC$8&lt;$AQ254,"IKS",IF(AC$8&lt;$AS254,IF(AC$8=$AR254,"Bascule","Double run"),"ROKS"))))))</f>
        <v/>
      </c>
      <c r="AD254" s="51" t="str">
        <f aca="false">IF(OR($A254="",AD$8=""),"",IF($F254="Migré","ROKS",IF($F254="À décommissionner",IF(AD$8&lt;$AS254,"IKS","Décom."),IF(OR($AQ254="",$AS254=""),"",IF(AD$8&lt;$AQ254,"IKS",IF(AD$8&lt;$AS254,IF(AD$8=$AR254,"Bascule","Double run"),"ROKS"))))))</f>
        <v/>
      </c>
      <c r="AE254" s="51" t="str">
        <f aca="false">IF(OR($A254="",AE$8=""),"",IF($F254="Migré","ROKS",IF($F254="À décommissionner",IF(AE$8&lt;$AS254,"IKS","Décom."),IF(OR($AQ254="",$AS254=""),"",IF(AE$8&lt;$AQ254,"IKS",IF(AE$8&lt;$AS254,IF(AE$8=$AR254,"Bascule","Double run"),"ROKS"))))))</f>
        <v/>
      </c>
      <c r="AF254" s="51" t="str">
        <f aca="false">IF(OR($A254="",AF$8=""),"",IF($F254="Migré","ROKS",IF($F254="À décommissionner",IF(AF$8&lt;$AS254,"IKS","Décom."),IF(OR($AQ254="",$AS254=""),"",IF(AF$8&lt;$AQ254,"IKS",IF(AF$8&lt;$AS254,IF(AF$8=$AR254,"Bascule","Double run"),"ROKS"))))))</f>
        <v/>
      </c>
      <c r="AG254" s="51" t="str">
        <f aca="false">IF(OR($A254="",AG$8=""),"",IF($F254="Migré","ROKS",IF($F254="À décommissionner",IF(AG$8&lt;$AS254,"IKS","Décom."),IF(OR($AQ254="",$AS254=""),"",IF(AG$8&lt;$AQ254,"IKS",IF(AG$8&lt;$AS254,IF(AG$8=$AR254,"Bascule","Double run"),"ROKS"))))))</f>
        <v/>
      </c>
      <c r="AH254" s="51" t="str">
        <f aca="false">IF(OR($A254="",AH$8=""),"",IF($F254="Migré","ROKS",IF($F254="À décommissionner",IF(AH$8&lt;$AS254,"IKS","Décom."),IF(OR($AQ254="",$AS254=""),"",IF(AH$8&lt;$AQ254,"IKS",IF(AH$8&lt;$AS254,IF(AH$8=$AR254,"Bascule","Double run"),"ROKS"))))))</f>
        <v/>
      </c>
      <c r="AI254" s="51" t="str">
        <f aca="false">IF(OR($A254="",AI$8=""),"",IF($F254="Migré","ROKS",IF($F254="À décommissionner",IF(AI$8&lt;$AS254,"IKS","Décom."),IF(OR($AQ254="",$AS254=""),"",IF(AI$8&lt;$AQ254,"IKS",IF(AI$8&lt;$AS254,IF(AI$8=$AR254,"Bascule","Double run"),"ROKS"))))))</f>
        <v/>
      </c>
      <c r="AJ254" s="51" t="str">
        <f aca="false">IF(OR($A254="",AJ$8=""),"",IF($F254="Migré","ROKS",IF($F254="À décommissionner",IF(AJ$8&lt;$AS254,"IKS","Décom."),IF(OR($AQ254="",$AS254=""),"",IF(AJ$8&lt;$AQ254,"IKS",IF(AJ$8&lt;$AS254,IF(AJ$8=$AR254,"Bascule","Double run"),"ROKS"))))))</f>
        <v/>
      </c>
      <c r="AK254" s="51" t="str">
        <f aca="false">IF(OR($A254="",AK$8=""),"",IF($F254="Migré","ROKS",IF($F254="À décommissionner",IF(AK$8&lt;$AS254,"IKS","Décom."),IF(OR($AQ254="",$AS254=""),"",IF(AK$8&lt;$AQ254,"IKS",IF(AK$8&lt;$AS254,IF(AK$8=$AR254,"Bascule","Double run"),"ROKS"))))))</f>
        <v/>
      </c>
      <c r="AL254" s="51" t="str">
        <f aca="false">IF(OR($A254="",AL$8=""),"",IF($F254="Migré","ROKS",IF($F254="À décommissionner",IF(AL$8&lt;$AS254,"IKS","Décom."),IF(OR($AQ254="",$AS254=""),"",IF(AL$8&lt;$AQ254,"IKS",IF(AL$8&lt;$AS254,IF(AL$8=$AR254,"Bascule","Double run"),"ROKS"))))))</f>
        <v/>
      </c>
      <c r="AM254" s="51" t="str">
        <f aca="false">IF(OR($A254="",AM$8=""),"",IF($F254="Migré","ROKS",IF($F254="À décommissionner",IF(AM$8&lt;$AS254,"IKS","Décom."),IF(OR($AQ254="",$AS254=""),"",IF(AM$8&lt;$AQ254,"IKS",IF(AM$8&lt;$AS254,IF(AM$8=$AR254,"Bascule","Double run"),"ROKS"))))))</f>
        <v/>
      </c>
      <c r="AN254" s="51" t="str">
        <f aca="false">IF(OR($A254="",AN$8=""),"",IF($F254="Migré","ROKS",IF($F254="À décommissionner",IF(AN$8&lt;$AS254,"IKS","Décom."),IF(OR($AQ254="",$AS254=""),"",IF(AN$8&lt;$AQ254,"IKS",IF(AN$8&lt;$AS254,IF(AN$8=$AR254,"Bascule","Double run"),"ROKS"))))))</f>
        <v/>
      </c>
      <c r="AO254" s="51" t="str">
        <f aca="false">IF(OR($A254="",AO$8=""),"",IF($F254="Migré","ROKS",IF($F254="À décommissionner",IF(AO$8&lt;$AS254,"IKS","Décom."),IF(OR($AQ254="",$AS254=""),"",IF(AO$8&lt;$AQ254,"IKS",IF(AO$8&lt;$AS254,IF(AO$8=$AR254,"Bascule","Double run"),"ROKS"))))))</f>
        <v/>
      </c>
      <c r="AP254" s="51" t="str">
        <f aca="false">IF(OR($A254="",AP$8=""),"",IF($F254="Migré","ROKS",IF($F254="À décommissionner",IF(AP$8&lt;$AS254,"IKS","Décom."),IF(OR($AQ254="",$AS254=""),"",IF(AP$8&lt;$AQ254,"IKS",IF(AP$8&lt;$AS254,IF(AP$8=$AR254,"Bascule","Double run"),"ROKS"))))))</f>
        <v/>
      </c>
      <c r="AQ254" s="0" t="str">
        <f aca="false">IF($A254="","",INDEX(TblApplications[Mois prov (calc)],$A254))</f>
        <v/>
      </c>
      <c r="AR254" s="0" t="str">
        <f aca="false">IF($A254="","",IFERROR(DATE(YEAR(INDEX(TblApplications[Mois bascule],$A254)),MONTH(INDEX(TblApplications[Mois bascule],$A254)),1),""))</f>
        <v/>
      </c>
      <c r="AS254" s="0" t="str">
        <f aca="false">IF($A254="","",INDEX(TblApplications[Mois lib (calc)],$A254))</f>
        <v/>
      </c>
    </row>
    <row r="255" customFormat="false" ht="15" hidden="false" customHeight="false" outlineLevel="0" collapsed="false">
      <c r="A255" s="49" t="str">
        <f aca="false">IFERROR(MATCH(247,TblApplications[Rang frise],0),"")</f>
        <v/>
      </c>
      <c r="B255" s="50" t="str">
        <f aca="false">IF($A255="","",INDEX(TblApplications[ID],$A255))</f>
        <v/>
      </c>
      <c r="C255" s="50" t="str">
        <f aca="false">IF($A255="","",INDEX(TblApplications[Application],$A255))</f>
        <v/>
      </c>
      <c r="D255" s="50" t="str">
        <f aca="false">IF($A255="","",INDEX(TblApplications[Environnement],$A255))</f>
        <v/>
      </c>
      <c r="E255" s="50" t="str">
        <f aca="false">IF($A255="","",INDEX(TblApplications[Couloir],$A255))</f>
        <v/>
      </c>
      <c r="F255" s="50" t="str">
        <f aca="false">IF($A255="","",INDEX(TblApplications[Action],$A255))</f>
        <v/>
      </c>
      <c r="G255" s="51" t="str">
        <f aca="false">IF(OR($A255="",G$8=""),"",IF($F255="Migré","ROKS",IF($F255="À décommissionner",IF(G$8&lt;$AS255,"IKS","Décom."),IF(OR($AQ255="",$AS255=""),"",IF(G$8&lt;$AQ255,"IKS",IF(G$8&lt;$AS255,IF(G$8=$AR255,"Bascule","Double run"),"ROKS"))))))</f>
        <v/>
      </c>
      <c r="H255" s="51" t="str">
        <f aca="false">IF(OR($A255="",H$8=""),"",IF($F255="Migré","ROKS",IF($F255="À décommissionner",IF(H$8&lt;$AS255,"IKS","Décom."),IF(OR($AQ255="",$AS255=""),"",IF(H$8&lt;$AQ255,"IKS",IF(H$8&lt;$AS255,IF(H$8=$AR255,"Bascule","Double run"),"ROKS"))))))</f>
        <v/>
      </c>
      <c r="I255" s="51" t="str">
        <f aca="false">IF(OR($A255="",I$8=""),"",IF($F255="Migré","ROKS",IF($F255="À décommissionner",IF(I$8&lt;$AS255,"IKS","Décom."),IF(OR($AQ255="",$AS255=""),"",IF(I$8&lt;$AQ255,"IKS",IF(I$8&lt;$AS255,IF(I$8=$AR255,"Bascule","Double run"),"ROKS"))))))</f>
        <v/>
      </c>
      <c r="J255" s="51" t="str">
        <f aca="false">IF(OR($A255="",J$8=""),"",IF($F255="Migré","ROKS",IF($F255="À décommissionner",IF(J$8&lt;$AS255,"IKS","Décom."),IF(OR($AQ255="",$AS255=""),"",IF(J$8&lt;$AQ255,"IKS",IF(J$8&lt;$AS255,IF(J$8=$AR255,"Bascule","Double run"),"ROKS"))))))</f>
        <v/>
      </c>
      <c r="K255" s="51" t="str">
        <f aca="false">IF(OR($A255="",K$8=""),"",IF($F255="Migré","ROKS",IF($F255="À décommissionner",IF(K$8&lt;$AS255,"IKS","Décom."),IF(OR($AQ255="",$AS255=""),"",IF(K$8&lt;$AQ255,"IKS",IF(K$8&lt;$AS255,IF(K$8=$AR255,"Bascule","Double run"),"ROKS"))))))</f>
        <v/>
      </c>
      <c r="L255" s="51" t="str">
        <f aca="false">IF(OR($A255="",L$8=""),"",IF($F255="Migré","ROKS",IF($F255="À décommissionner",IF(L$8&lt;$AS255,"IKS","Décom."),IF(OR($AQ255="",$AS255=""),"",IF(L$8&lt;$AQ255,"IKS",IF(L$8&lt;$AS255,IF(L$8=$AR255,"Bascule","Double run"),"ROKS"))))))</f>
        <v/>
      </c>
      <c r="M255" s="51" t="str">
        <f aca="false">IF(OR($A255="",M$8=""),"",IF($F255="Migré","ROKS",IF($F255="À décommissionner",IF(M$8&lt;$AS255,"IKS","Décom."),IF(OR($AQ255="",$AS255=""),"",IF(M$8&lt;$AQ255,"IKS",IF(M$8&lt;$AS255,IF(M$8=$AR255,"Bascule","Double run"),"ROKS"))))))</f>
        <v/>
      </c>
      <c r="N255" s="51" t="str">
        <f aca="false">IF(OR($A255="",N$8=""),"",IF($F255="Migré","ROKS",IF($F255="À décommissionner",IF(N$8&lt;$AS255,"IKS","Décom."),IF(OR($AQ255="",$AS255=""),"",IF(N$8&lt;$AQ255,"IKS",IF(N$8&lt;$AS255,IF(N$8=$AR255,"Bascule","Double run"),"ROKS"))))))</f>
        <v/>
      </c>
      <c r="O255" s="51" t="str">
        <f aca="false">IF(OR($A255="",O$8=""),"",IF($F255="Migré","ROKS",IF($F255="À décommissionner",IF(O$8&lt;$AS255,"IKS","Décom."),IF(OR($AQ255="",$AS255=""),"",IF(O$8&lt;$AQ255,"IKS",IF(O$8&lt;$AS255,IF(O$8=$AR255,"Bascule","Double run"),"ROKS"))))))</f>
        <v/>
      </c>
      <c r="P255" s="51" t="str">
        <f aca="false">IF(OR($A255="",P$8=""),"",IF($F255="Migré","ROKS",IF($F255="À décommissionner",IF(P$8&lt;$AS255,"IKS","Décom."),IF(OR($AQ255="",$AS255=""),"",IF(P$8&lt;$AQ255,"IKS",IF(P$8&lt;$AS255,IF(P$8=$AR255,"Bascule","Double run"),"ROKS"))))))</f>
        <v/>
      </c>
      <c r="Q255" s="51" t="str">
        <f aca="false">IF(OR($A255="",Q$8=""),"",IF($F255="Migré","ROKS",IF($F255="À décommissionner",IF(Q$8&lt;$AS255,"IKS","Décom."),IF(OR($AQ255="",$AS255=""),"",IF(Q$8&lt;$AQ255,"IKS",IF(Q$8&lt;$AS255,IF(Q$8=$AR255,"Bascule","Double run"),"ROKS"))))))</f>
        <v/>
      </c>
      <c r="R255" s="51" t="str">
        <f aca="false">IF(OR($A255="",R$8=""),"",IF($F255="Migré","ROKS",IF($F255="À décommissionner",IF(R$8&lt;$AS255,"IKS","Décom."),IF(OR($AQ255="",$AS255=""),"",IF(R$8&lt;$AQ255,"IKS",IF(R$8&lt;$AS255,IF(R$8=$AR255,"Bascule","Double run"),"ROKS"))))))</f>
        <v/>
      </c>
      <c r="S255" s="51" t="str">
        <f aca="false">IF(OR($A255="",S$8=""),"",IF($F255="Migré","ROKS",IF($F255="À décommissionner",IF(S$8&lt;$AS255,"IKS","Décom."),IF(OR($AQ255="",$AS255=""),"",IF(S$8&lt;$AQ255,"IKS",IF(S$8&lt;$AS255,IF(S$8=$AR255,"Bascule","Double run"),"ROKS"))))))</f>
        <v/>
      </c>
      <c r="T255" s="51" t="str">
        <f aca="false">IF(OR($A255="",T$8=""),"",IF($F255="Migré","ROKS",IF($F255="À décommissionner",IF(T$8&lt;$AS255,"IKS","Décom."),IF(OR($AQ255="",$AS255=""),"",IF(T$8&lt;$AQ255,"IKS",IF(T$8&lt;$AS255,IF(T$8=$AR255,"Bascule","Double run"),"ROKS"))))))</f>
        <v/>
      </c>
      <c r="U255" s="51" t="str">
        <f aca="false">IF(OR($A255="",U$8=""),"",IF($F255="Migré","ROKS",IF($F255="À décommissionner",IF(U$8&lt;$AS255,"IKS","Décom."),IF(OR($AQ255="",$AS255=""),"",IF(U$8&lt;$AQ255,"IKS",IF(U$8&lt;$AS255,IF(U$8=$AR255,"Bascule","Double run"),"ROKS"))))))</f>
        <v/>
      </c>
      <c r="V255" s="51" t="str">
        <f aca="false">IF(OR($A255="",V$8=""),"",IF($F255="Migré","ROKS",IF($F255="À décommissionner",IF(V$8&lt;$AS255,"IKS","Décom."),IF(OR($AQ255="",$AS255=""),"",IF(V$8&lt;$AQ255,"IKS",IF(V$8&lt;$AS255,IF(V$8=$AR255,"Bascule","Double run"),"ROKS"))))))</f>
        <v/>
      </c>
      <c r="W255" s="51" t="str">
        <f aca="false">IF(OR($A255="",W$8=""),"",IF($F255="Migré","ROKS",IF($F255="À décommissionner",IF(W$8&lt;$AS255,"IKS","Décom."),IF(OR($AQ255="",$AS255=""),"",IF(W$8&lt;$AQ255,"IKS",IF(W$8&lt;$AS255,IF(W$8=$AR255,"Bascule","Double run"),"ROKS"))))))</f>
        <v/>
      </c>
      <c r="X255" s="51" t="str">
        <f aca="false">IF(OR($A255="",X$8=""),"",IF($F255="Migré","ROKS",IF($F255="À décommissionner",IF(X$8&lt;$AS255,"IKS","Décom."),IF(OR($AQ255="",$AS255=""),"",IF(X$8&lt;$AQ255,"IKS",IF(X$8&lt;$AS255,IF(X$8=$AR255,"Bascule","Double run"),"ROKS"))))))</f>
        <v/>
      </c>
      <c r="Y255" s="51" t="str">
        <f aca="false">IF(OR($A255="",Y$8=""),"",IF($F255="Migré","ROKS",IF($F255="À décommissionner",IF(Y$8&lt;$AS255,"IKS","Décom."),IF(OR($AQ255="",$AS255=""),"",IF(Y$8&lt;$AQ255,"IKS",IF(Y$8&lt;$AS255,IF(Y$8=$AR255,"Bascule","Double run"),"ROKS"))))))</f>
        <v/>
      </c>
      <c r="Z255" s="51" t="str">
        <f aca="false">IF(OR($A255="",Z$8=""),"",IF($F255="Migré","ROKS",IF($F255="À décommissionner",IF(Z$8&lt;$AS255,"IKS","Décom."),IF(OR($AQ255="",$AS255=""),"",IF(Z$8&lt;$AQ255,"IKS",IF(Z$8&lt;$AS255,IF(Z$8=$AR255,"Bascule","Double run"),"ROKS"))))))</f>
        <v/>
      </c>
      <c r="AA255" s="51" t="str">
        <f aca="false">IF(OR($A255="",AA$8=""),"",IF($F255="Migré","ROKS",IF($F255="À décommissionner",IF(AA$8&lt;$AS255,"IKS","Décom."),IF(OR($AQ255="",$AS255=""),"",IF(AA$8&lt;$AQ255,"IKS",IF(AA$8&lt;$AS255,IF(AA$8=$AR255,"Bascule","Double run"),"ROKS"))))))</f>
        <v/>
      </c>
      <c r="AB255" s="51" t="str">
        <f aca="false">IF(OR($A255="",AB$8=""),"",IF($F255="Migré","ROKS",IF($F255="À décommissionner",IF(AB$8&lt;$AS255,"IKS","Décom."),IF(OR($AQ255="",$AS255=""),"",IF(AB$8&lt;$AQ255,"IKS",IF(AB$8&lt;$AS255,IF(AB$8=$AR255,"Bascule","Double run"),"ROKS"))))))</f>
        <v/>
      </c>
      <c r="AC255" s="51" t="str">
        <f aca="false">IF(OR($A255="",AC$8=""),"",IF($F255="Migré","ROKS",IF($F255="À décommissionner",IF(AC$8&lt;$AS255,"IKS","Décom."),IF(OR($AQ255="",$AS255=""),"",IF(AC$8&lt;$AQ255,"IKS",IF(AC$8&lt;$AS255,IF(AC$8=$AR255,"Bascule","Double run"),"ROKS"))))))</f>
        <v/>
      </c>
      <c r="AD255" s="51" t="str">
        <f aca="false">IF(OR($A255="",AD$8=""),"",IF($F255="Migré","ROKS",IF($F255="À décommissionner",IF(AD$8&lt;$AS255,"IKS","Décom."),IF(OR($AQ255="",$AS255=""),"",IF(AD$8&lt;$AQ255,"IKS",IF(AD$8&lt;$AS255,IF(AD$8=$AR255,"Bascule","Double run"),"ROKS"))))))</f>
        <v/>
      </c>
      <c r="AE255" s="51" t="str">
        <f aca="false">IF(OR($A255="",AE$8=""),"",IF($F255="Migré","ROKS",IF($F255="À décommissionner",IF(AE$8&lt;$AS255,"IKS","Décom."),IF(OR($AQ255="",$AS255=""),"",IF(AE$8&lt;$AQ255,"IKS",IF(AE$8&lt;$AS255,IF(AE$8=$AR255,"Bascule","Double run"),"ROKS"))))))</f>
        <v/>
      </c>
      <c r="AF255" s="51" t="str">
        <f aca="false">IF(OR($A255="",AF$8=""),"",IF($F255="Migré","ROKS",IF($F255="À décommissionner",IF(AF$8&lt;$AS255,"IKS","Décom."),IF(OR($AQ255="",$AS255=""),"",IF(AF$8&lt;$AQ255,"IKS",IF(AF$8&lt;$AS255,IF(AF$8=$AR255,"Bascule","Double run"),"ROKS"))))))</f>
        <v/>
      </c>
      <c r="AG255" s="51" t="str">
        <f aca="false">IF(OR($A255="",AG$8=""),"",IF($F255="Migré","ROKS",IF($F255="À décommissionner",IF(AG$8&lt;$AS255,"IKS","Décom."),IF(OR($AQ255="",$AS255=""),"",IF(AG$8&lt;$AQ255,"IKS",IF(AG$8&lt;$AS255,IF(AG$8=$AR255,"Bascule","Double run"),"ROKS"))))))</f>
        <v/>
      </c>
      <c r="AH255" s="51" t="str">
        <f aca="false">IF(OR($A255="",AH$8=""),"",IF($F255="Migré","ROKS",IF($F255="À décommissionner",IF(AH$8&lt;$AS255,"IKS","Décom."),IF(OR($AQ255="",$AS255=""),"",IF(AH$8&lt;$AQ255,"IKS",IF(AH$8&lt;$AS255,IF(AH$8=$AR255,"Bascule","Double run"),"ROKS"))))))</f>
        <v/>
      </c>
      <c r="AI255" s="51" t="str">
        <f aca="false">IF(OR($A255="",AI$8=""),"",IF($F255="Migré","ROKS",IF($F255="À décommissionner",IF(AI$8&lt;$AS255,"IKS","Décom."),IF(OR($AQ255="",$AS255=""),"",IF(AI$8&lt;$AQ255,"IKS",IF(AI$8&lt;$AS255,IF(AI$8=$AR255,"Bascule","Double run"),"ROKS"))))))</f>
        <v/>
      </c>
      <c r="AJ255" s="51" t="str">
        <f aca="false">IF(OR($A255="",AJ$8=""),"",IF($F255="Migré","ROKS",IF($F255="À décommissionner",IF(AJ$8&lt;$AS255,"IKS","Décom."),IF(OR($AQ255="",$AS255=""),"",IF(AJ$8&lt;$AQ255,"IKS",IF(AJ$8&lt;$AS255,IF(AJ$8=$AR255,"Bascule","Double run"),"ROKS"))))))</f>
        <v/>
      </c>
      <c r="AK255" s="51" t="str">
        <f aca="false">IF(OR($A255="",AK$8=""),"",IF($F255="Migré","ROKS",IF($F255="À décommissionner",IF(AK$8&lt;$AS255,"IKS","Décom."),IF(OR($AQ255="",$AS255=""),"",IF(AK$8&lt;$AQ255,"IKS",IF(AK$8&lt;$AS255,IF(AK$8=$AR255,"Bascule","Double run"),"ROKS"))))))</f>
        <v/>
      </c>
      <c r="AL255" s="51" t="str">
        <f aca="false">IF(OR($A255="",AL$8=""),"",IF($F255="Migré","ROKS",IF($F255="À décommissionner",IF(AL$8&lt;$AS255,"IKS","Décom."),IF(OR($AQ255="",$AS255=""),"",IF(AL$8&lt;$AQ255,"IKS",IF(AL$8&lt;$AS255,IF(AL$8=$AR255,"Bascule","Double run"),"ROKS"))))))</f>
        <v/>
      </c>
      <c r="AM255" s="51" t="str">
        <f aca="false">IF(OR($A255="",AM$8=""),"",IF($F255="Migré","ROKS",IF($F255="À décommissionner",IF(AM$8&lt;$AS255,"IKS","Décom."),IF(OR($AQ255="",$AS255=""),"",IF(AM$8&lt;$AQ255,"IKS",IF(AM$8&lt;$AS255,IF(AM$8=$AR255,"Bascule","Double run"),"ROKS"))))))</f>
        <v/>
      </c>
      <c r="AN255" s="51" t="str">
        <f aca="false">IF(OR($A255="",AN$8=""),"",IF($F255="Migré","ROKS",IF($F255="À décommissionner",IF(AN$8&lt;$AS255,"IKS","Décom."),IF(OR($AQ255="",$AS255=""),"",IF(AN$8&lt;$AQ255,"IKS",IF(AN$8&lt;$AS255,IF(AN$8=$AR255,"Bascule","Double run"),"ROKS"))))))</f>
        <v/>
      </c>
      <c r="AO255" s="51" t="str">
        <f aca="false">IF(OR($A255="",AO$8=""),"",IF($F255="Migré","ROKS",IF($F255="À décommissionner",IF(AO$8&lt;$AS255,"IKS","Décom."),IF(OR($AQ255="",$AS255=""),"",IF(AO$8&lt;$AQ255,"IKS",IF(AO$8&lt;$AS255,IF(AO$8=$AR255,"Bascule","Double run"),"ROKS"))))))</f>
        <v/>
      </c>
      <c r="AP255" s="51" t="str">
        <f aca="false">IF(OR($A255="",AP$8=""),"",IF($F255="Migré","ROKS",IF($F255="À décommissionner",IF(AP$8&lt;$AS255,"IKS","Décom."),IF(OR($AQ255="",$AS255=""),"",IF(AP$8&lt;$AQ255,"IKS",IF(AP$8&lt;$AS255,IF(AP$8=$AR255,"Bascule","Double run"),"ROKS"))))))</f>
        <v/>
      </c>
      <c r="AQ255" s="0" t="str">
        <f aca="false">IF($A255="","",INDEX(TblApplications[Mois prov (calc)],$A255))</f>
        <v/>
      </c>
      <c r="AR255" s="0" t="str">
        <f aca="false">IF($A255="","",IFERROR(DATE(YEAR(INDEX(TblApplications[Mois bascule],$A255)),MONTH(INDEX(TblApplications[Mois bascule],$A255)),1),""))</f>
        <v/>
      </c>
      <c r="AS255" s="0" t="str">
        <f aca="false">IF($A255="","",INDEX(TblApplications[Mois lib (calc)],$A255))</f>
        <v/>
      </c>
    </row>
    <row r="256" customFormat="false" ht="15" hidden="false" customHeight="false" outlineLevel="0" collapsed="false">
      <c r="A256" s="49" t="str">
        <f aca="false">IFERROR(MATCH(248,TblApplications[Rang frise],0),"")</f>
        <v/>
      </c>
      <c r="B256" s="50" t="str">
        <f aca="false">IF($A256="","",INDEX(TblApplications[ID],$A256))</f>
        <v/>
      </c>
      <c r="C256" s="50" t="str">
        <f aca="false">IF($A256="","",INDEX(TblApplications[Application],$A256))</f>
        <v/>
      </c>
      <c r="D256" s="50" t="str">
        <f aca="false">IF($A256="","",INDEX(TblApplications[Environnement],$A256))</f>
        <v/>
      </c>
      <c r="E256" s="50" t="str">
        <f aca="false">IF($A256="","",INDEX(TblApplications[Couloir],$A256))</f>
        <v/>
      </c>
      <c r="F256" s="50" t="str">
        <f aca="false">IF($A256="","",INDEX(TblApplications[Action],$A256))</f>
        <v/>
      </c>
      <c r="G256" s="51" t="str">
        <f aca="false">IF(OR($A256="",G$8=""),"",IF($F256="Migré","ROKS",IF($F256="À décommissionner",IF(G$8&lt;$AS256,"IKS","Décom."),IF(OR($AQ256="",$AS256=""),"",IF(G$8&lt;$AQ256,"IKS",IF(G$8&lt;$AS256,IF(G$8=$AR256,"Bascule","Double run"),"ROKS"))))))</f>
        <v/>
      </c>
      <c r="H256" s="51" t="str">
        <f aca="false">IF(OR($A256="",H$8=""),"",IF($F256="Migré","ROKS",IF($F256="À décommissionner",IF(H$8&lt;$AS256,"IKS","Décom."),IF(OR($AQ256="",$AS256=""),"",IF(H$8&lt;$AQ256,"IKS",IF(H$8&lt;$AS256,IF(H$8=$AR256,"Bascule","Double run"),"ROKS"))))))</f>
        <v/>
      </c>
      <c r="I256" s="51" t="str">
        <f aca="false">IF(OR($A256="",I$8=""),"",IF($F256="Migré","ROKS",IF($F256="À décommissionner",IF(I$8&lt;$AS256,"IKS","Décom."),IF(OR($AQ256="",$AS256=""),"",IF(I$8&lt;$AQ256,"IKS",IF(I$8&lt;$AS256,IF(I$8=$AR256,"Bascule","Double run"),"ROKS"))))))</f>
        <v/>
      </c>
      <c r="J256" s="51" t="str">
        <f aca="false">IF(OR($A256="",J$8=""),"",IF($F256="Migré","ROKS",IF($F256="À décommissionner",IF(J$8&lt;$AS256,"IKS","Décom."),IF(OR($AQ256="",$AS256=""),"",IF(J$8&lt;$AQ256,"IKS",IF(J$8&lt;$AS256,IF(J$8=$AR256,"Bascule","Double run"),"ROKS"))))))</f>
        <v/>
      </c>
      <c r="K256" s="51" t="str">
        <f aca="false">IF(OR($A256="",K$8=""),"",IF($F256="Migré","ROKS",IF($F256="À décommissionner",IF(K$8&lt;$AS256,"IKS","Décom."),IF(OR($AQ256="",$AS256=""),"",IF(K$8&lt;$AQ256,"IKS",IF(K$8&lt;$AS256,IF(K$8=$AR256,"Bascule","Double run"),"ROKS"))))))</f>
        <v/>
      </c>
      <c r="L256" s="51" t="str">
        <f aca="false">IF(OR($A256="",L$8=""),"",IF($F256="Migré","ROKS",IF($F256="À décommissionner",IF(L$8&lt;$AS256,"IKS","Décom."),IF(OR($AQ256="",$AS256=""),"",IF(L$8&lt;$AQ256,"IKS",IF(L$8&lt;$AS256,IF(L$8=$AR256,"Bascule","Double run"),"ROKS"))))))</f>
        <v/>
      </c>
      <c r="M256" s="51" t="str">
        <f aca="false">IF(OR($A256="",M$8=""),"",IF($F256="Migré","ROKS",IF($F256="À décommissionner",IF(M$8&lt;$AS256,"IKS","Décom."),IF(OR($AQ256="",$AS256=""),"",IF(M$8&lt;$AQ256,"IKS",IF(M$8&lt;$AS256,IF(M$8=$AR256,"Bascule","Double run"),"ROKS"))))))</f>
        <v/>
      </c>
      <c r="N256" s="51" t="str">
        <f aca="false">IF(OR($A256="",N$8=""),"",IF($F256="Migré","ROKS",IF($F256="À décommissionner",IF(N$8&lt;$AS256,"IKS","Décom."),IF(OR($AQ256="",$AS256=""),"",IF(N$8&lt;$AQ256,"IKS",IF(N$8&lt;$AS256,IF(N$8=$AR256,"Bascule","Double run"),"ROKS"))))))</f>
        <v/>
      </c>
      <c r="O256" s="51" t="str">
        <f aca="false">IF(OR($A256="",O$8=""),"",IF($F256="Migré","ROKS",IF($F256="À décommissionner",IF(O$8&lt;$AS256,"IKS","Décom."),IF(OR($AQ256="",$AS256=""),"",IF(O$8&lt;$AQ256,"IKS",IF(O$8&lt;$AS256,IF(O$8=$AR256,"Bascule","Double run"),"ROKS"))))))</f>
        <v/>
      </c>
      <c r="P256" s="51" t="str">
        <f aca="false">IF(OR($A256="",P$8=""),"",IF($F256="Migré","ROKS",IF($F256="À décommissionner",IF(P$8&lt;$AS256,"IKS","Décom."),IF(OR($AQ256="",$AS256=""),"",IF(P$8&lt;$AQ256,"IKS",IF(P$8&lt;$AS256,IF(P$8=$AR256,"Bascule","Double run"),"ROKS"))))))</f>
        <v/>
      </c>
      <c r="Q256" s="51" t="str">
        <f aca="false">IF(OR($A256="",Q$8=""),"",IF($F256="Migré","ROKS",IF($F256="À décommissionner",IF(Q$8&lt;$AS256,"IKS","Décom."),IF(OR($AQ256="",$AS256=""),"",IF(Q$8&lt;$AQ256,"IKS",IF(Q$8&lt;$AS256,IF(Q$8=$AR256,"Bascule","Double run"),"ROKS"))))))</f>
        <v/>
      </c>
      <c r="R256" s="51" t="str">
        <f aca="false">IF(OR($A256="",R$8=""),"",IF($F256="Migré","ROKS",IF($F256="À décommissionner",IF(R$8&lt;$AS256,"IKS","Décom."),IF(OR($AQ256="",$AS256=""),"",IF(R$8&lt;$AQ256,"IKS",IF(R$8&lt;$AS256,IF(R$8=$AR256,"Bascule","Double run"),"ROKS"))))))</f>
        <v/>
      </c>
      <c r="S256" s="51" t="str">
        <f aca="false">IF(OR($A256="",S$8=""),"",IF($F256="Migré","ROKS",IF($F256="À décommissionner",IF(S$8&lt;$AS256,"IKS","Décom."),IF(OR($AQ256="",$AS256=""),"",IF(S$8&lt;$AQ256,"IKS",IF(S$8&lt;$AS256,IF(S$8=$AR256,"Bascule","Double run"),"ROKS"))))))</f>
        <v/>
      </c>
      <c r="T256" s="51" t="str">
        <f aca="false">IF(OR($A256="",T$8=""),"",IF($F256="Migré","ROKS",IF($F256="À décommissionner",IF(T$8&lt;$AS256,"IKS","Décom."),IF(OR($AQ256="",$AS256=""),"",IF(T$8&lt;$AQ256,"IKS",IF(T$8&lt;$AS256,IF(T$8=$AR256,"Bascule","Double run"),"ROKS"))))))</f>
        <v/>
      </c>
      <c r="U256" s="51" t="str">
        <f aca="false">IF(OR($A256="",U$8=""),"",IF($F256="Migré","ROKS",IF($F256="À décommissionner",IF(U$8&lt;$AS256,"IKS","Décom."),IF(OR($AQ256="",$AS256=""),"",IF(U$8&lt;$AQ256,"IKS",IF(U$8&lt;$AS256,IF(U$8=$AR256,"Bascule","Double run"),"ROKS"))))))</f>
        <v/>
      </c>
      <c r="V256" s="51" t="str">
        <f aca="false">IF(OR($A256="",V$8=""),"",IF($F256="Migré","ROKS",IF($F256="À décommissionner",IF(V$8&lt;$AS256,"IKS","Décom."),IF(OR($AQ256="",$AS256=""),"",IF(V$8&lt;$AQ256,"IKS",IF(V$8&lt;$AS256,IF(V$8=$AR256,"Bascule","Double run"),"ROKS"))))))</f>
        <v/>
      </c>
      <c r="W256" s="51" t="str">
        <f aca="false">IF(OR($A256="",W$8=""),"",IF($F256="Migré","ROKS",IF($F256="À décommissionner",IF(W$8&lt;$AS256,"IKS","Décom."),IF(OR($AQ256="",$AS256=""),"",IF(W$8&lt;$AQ256,"IKS",IF(W$8&lt;$AS256,IF(W$8=$AR256,"Bascule","Double run"),"ROKS"))))))</f>
        <v/>
      </c>
      <c r="X256" s="51" t="str">
        <f aca="false">IF(OR($A256="",X$8=""),"",IF($F256="Migré","ROKS",IF($F256="À décommissionner",IF(X$8&lt;$AS256,"IKS","Décom."),IF(OR($AQ256="",$AS256=""),"",IF(X$8&lt;$AQ256,"IKS",IF(X$8&lt;$AS256,IF(X$8=$AR256,"Bascule","Double run"),"ROKS"))))))</f>
        <v/>
      </c>
      <c r="Y256" s="51" t="str">
        <f aca="false">IF(OR($A256="",Y$8=""),"",IF($F256="Migré","ROKS",IF($F256="À décommissionner",IF(Y$8&lt;$AS256,"IKS","Décom."),IF(OR($AQ256="",$AS256=""),"",IF(Y$8&lt;$AQ256,"IKS",IF(Y$8&lt;$AS256,IF(Y$8=$AR256,"Bascule","Double run"),"ROKS"))))))</f>
        <v/>
      </c>
      <c r="Z256" s="51" t="str">
        <f aca="false">IF(OR($A256="",Z$8=""),"",IF($F256="Migré","ROKS",IF($F256="À décommissionner",IF(Z$8&lt;$AS256,"IKS","Décom."),IF(OR($AQ256="",$AS256=""),"",IF(Z$8&lt;$AQ256,"IKS",IF(Z$8&lt;$AS256,IF(Z$8=$AR256,"Bascule","Double run"),"ROKS"))))))</f>
        <v/>
      </c>
      <c r="AA256" s="51" t="str">
        <f aca="false">IF(OR($A256="",AA$8=""),"",IF($F256="Migré","ROKS",IF($F256="À décommissionner",IF(AA$8&lt;$AS256,"IKS","Décom."),IF(OR($AQ256="",$AS256=""),"",IF(AA$8&lt;$AQ256,"IKS",IF(AA$8&lt;$AS256,IF(AA$8=$AR256,"Bascule","Double run"),"ROKS"))))))</f>
        <v/>
      </c>
      <c r="AB256" s="51" t="str">
        <f aca="false">IF(OR($A256="",AB$8=""),"",IF($F256="Migré","ROKS",IF($F256="À décommissionner",IF(AB$8&lt;$AS256,"IKS","Décom."),IF(OR($AQ256="",$AS256=""),"",IF(AB$8&lt;$AQ256,"IKS",IF(AB$8&lt;$AS256,IF(AB$8=$AR256,"Bascule","Double run"),"ROKS"))))))</f>
        <v/>
      </c>
      <c r="AC256" s="51" t="str">
        <f aca="false">IF(OR($A256="",AC$8=""),"",IF($F256="Migré","ROKS",IF($F256="À décommissionner",IF(AC$8&lt;$AS256,"IKS","Décom."),IF(OR($AQ256="",$AS256=""),"",IF(AC$8&lt;$AQ256,"IKS",IF(AC$8&lt;$AS256,IF(AC$8=$AR256,"Bascule","Double run"),"ROKS"))))))</f>
        <v/>
      </c>
      <c r="AD256" s="51" t="str">
        <f aca="false">IF(OR($A256="",AD$8=""),"",IF($F256="Migré","ROKS",IF($F256="À décommissionner",IF(AD$8&lt;$AS256,"IKS","Décom."),IF(OR($AQ256="",$AS256=""),"",IF(AD$8&lt;$AQ256,"IKS",IF(AD$8&lt;$AS256,IF(AD$8=$AR256,"Bascule","Double run"),"ROKS"))))))</f>
        <v/>
      </c>
      <c r="AE256" s="51" t="str">
        <f aca="false">IF(OR($A256="",AE$8=""),"",IF($F256="Migré","ROKS",IF($F256="À décommissionner",IF(AE$8&lt;$AS256,"IKS","Décom."),IF(OR($AQ256="",$AS256=""),"",IF(AE$8&lt;$AQ256,"IKS",IF(AE$8&lt;$AS256,IF(AE$8=$AR256,"Bascule","Double run"),"ROKS"))))))</f>
        <v/>
      </c>
      <c r="AF256" s="51" t="str">
        <f aca="false">IF(OR($A256="",AF$8=""),"",IF($F256="Migré","ROKS",IF($F256="À décommissionner",IF(AF$8&lt;$AS256,"IKS","Décom."),IF(OR($AQ256="",$AS256=""),"",IF(AF$8&lt;$AQ256,"IKS",IF(AF$8&lt;$AS256,IF(AF$8=$AR256,"Bascule","Double run"),"ROKS"))))))</f>
        <v/>
      </c>
      <c r="AG256" s="51" t="str">
        <f aca="false">IF(OR($A256="",AG$8=""),"",IF($F256="Migré","ROKS",IF($F256="À décommissionner",IF(AG$8&lt;$AS256,"IKS","Décom."),IF(OR($AQ256="",$AS256=""),"",IF(AG$8&lt;$AQ256,"IKS",IF(AG$8&lt;$AS256,IF(AG$8=$AR256,"Bascule","Double run"),"ROKS"))))))</f>
        <v/>
      </c>
      <c r="AH256" s="51" t="str">
        <f aca="false">IF(OR($A256="",AH$8=""),"",IF($F256="Migré","ROKS",IF($F256="À décommissionner",IF(AH$8&lt;$AS256,"IKS","Décom."),IF(OR($AQ256="",$AS256=""),"",IF(AH$8&lt;$AQ256,"IKS",IF(AH$8&lt;$AS256,IF(AH$8=$AR256,"Bascule","Double run"),"ROKS"))))))</f>
        <v/>
      </c>
      <c r="AI256" s="51" t="str">
        <f aca="false">IF(OR($A256="",AI$8=""),"",IF($F256="Migré","ROKS",IF($F256="À décommissionner",IF(AI$8&lt;$AS256,"IKS","Décom."),IF(OR($AQ256="",$AS256=""),"",IF(AI$8&lt;$AQ256,"IKS",IF(AI$8&lt;$AS256,IF(AI$8=$AR256,"Bascule","Double run"),"ROKS"))))))</f>
        <v/>
      </c>
      <c r="AJ256" s="51" t="str">
        <f aca="false">IF(OR($A256="",AJ$8=""),"",IF($F256="Migré","ROKS",IF($F256="À décommissionner",IF(AJ$8&lt;$AS256,"IKS","Décom."),IF(OR($AQ256="",$AS256=""),"",IF(AJ$8&lt;$AQ256,"IKS",IF(AJ$8&lt;$AS256,IF(AJ$8=$AR256,"Bascule","Double run"),"ROKS"))))))</f>
        <v/>
      </c>
      <c r="AK256" s="51" t="str">
        <f aca="false">IF(OR($A256="",AK$8=""),"",IF($F256="Migré","ROKS",IF($F256="À décommissionner",IF(AK$8&lt;$AS256,"IKS","Décom."),IF(OR($AQ256="",$AS256=""),"",IF(AK$8&lt;$AQ256,"IKS",IF(AK$8&lt;$AS256,IF(AK$8=$AR256,"Bascule","Double run"),"ROKS"))))))</f>
        <v/>
      </c>
      <c r="AL256" s="51" t="str">
        <f aca="false">IF(OR($A256="",AL$8=""),"",IF($F256="Migré","ROKS",IF($F256="À décommissionner",IF(AL$8&lt;$AS256,"IKS","Décom."),IF(OR($AQ256="",$AS256=""),"",IF(AL$8&lt;$AQ256,"IKS",IF(AL$8&lt;$AS256,IF(AL$8=$AR256,"Bascule","Double run"),"ROKS"))))))</f>
        <v/>
      </c>
      <c r="AM256" s="51" t="str">
        <f aca="false">IF(OR($A256="",AM$8=""),"",IF($F256="Migré","ROKS",IF($F256="À décommissionner",IF(AM$8&lt;$AS256,"IKS","Décom."),IF(OR($AQ256="",$AS256=""),"",IF(AM$8&lt;$AQ256,"IKS",IF(AM$8&lt;$AS256,IF(AM$8=$AR256,"Bascule","Double run"),"ROKS"))))))</f>
        <v/>
      </c>
      <c r="AN256" s="51" t="str">
        <f aca="false">IF(OR($A256="",AN$8=""),"",IF($F256="Migré","ROKS",IF($F256="À décommissionner",IF(AN$8&lt;$AS256,"IKS","Décom."),IF(OR($AQ256="",$AS256=""),"",IF(AN$8&lt;$AQ256,"IKS",IF(AN$8&lt;$AS256,IF(AN$8=$AR256,"Bascule","Double run"),"ROKS"))))))</f>
        <v/>
      </c>
      <c r="AO256" s="51" t="str">
        <f aca="false">IF(OR($A256="",AO$8=""),"",IF($F256="Migré","ROKS",IF($F256="À décommissionner",IF(AO$8&lt;$AS256,"IKS","Décom."),IF(OR($AQ256="",$AS256=""),"",IF(AO$8&lt;$AQ256,"IKS",IF(AO$8&lt;$AS256,IF(AO$8=$AR256,"Bascule","Double run"),"ROKS"))))))</f>
        <v/>
      </c>
      <c r="AP256" s="51" t="str">
        <f aca="false">IF(OR($A256="",AP$8=""),"",IF($F256="Migré","ROKS",IF($F256="À décommissionner",IF(AP$8&lt;$AS256,"IKS","Décom."),IF(OR($AQ256="",$AS256=""),"",IF(AP$8&lt;$AQ256,"IKS",IF(AP$8&lt;$AS256,IF(AP$8=$AR256,"Bascule","Double run"),"ROKS"))))))</f>
        <v/>
      </c>
      <c r="AQ256" s="0" t="str">
        <f aca="false">IF($A256="","",INDEX(TblApplications[Mois prov (calc)],$A256))</f>
        <v/>
      </c>
      <c r="AR256" s="0" t="str">
        <f aca="false">IF($A256="","",IFERROR(DATE(YEAR(INDEX(TblApplications[Mois bascule],$A256)),MONTH(INDEX(TblApplications[Mois bascule],$A256)),1),""))</f>
        <v/>
      </c>
      <c r="AS256" s="0" t="str">
        <f aca="false">IF($A256="","",INDEX(TblApplications[Mois lib (calc)],$A256))</f>
        <v/>
      </c>
    </row>
    <row r="257" customFormat="false" ht="15" hidden="false" customHeight="false" outlineLevel="0" collapsed="false">
      <c r="A257" s="49" t="str">
        <f aca="false">IFERROR(MATCH(249,TblApplications[Rang frise],0),"")</f>
        <v/>
      </c>
      <c r="B257" s="50" t="str">
        <f aca="false">IF($A257="","",INDEX(TblApplications[ID],$A257))</f>
        <v/>
      </c>
      <c r="C257" s="50" t="str">
        <f aca="false">IF($A257="","",INDEX(TblApplications[Application],$A257))</f>
        <v/>
      </c>
      <c r="D257" s="50" t="str">
        <f aca="false">IF($A257="","",INDEX(TblApplications[Environnement],$A257))</f>
        <v/>
      </c>
      <c r="E257" s="50" t="str">
        <f aca="false">IF($A257="","",INDEX(TblApplications[Couloir],$A257))</f>
        <v/>
      </c>
      <c r="F257" s="50" t="str">
        <f aca="false">IF($A257="","",INDEX(TblApplications[Action],$A257))</f>
        <v/>
      </c>
      <c r="G257" s="51" t="str">
        <f aca="false">IF(OR($A257="",G$8=""),"",IF($F257="Migré","ROKS",IF($F257="À décommissionner",IF(G$8&lt;$AS257,"IKS","Décom."),IF(OR($AQ257="",$AS257=""),"",IF(G$8&lt;$AQ257,"IKS",IF(G$8&lt;$AS257,IF(G$8=$AR257,"Bascule","Double run"),"ROKS"))))))</f>
        <v/>
      </c>
      <c r="H257" s="51" t="str">
        <f aca="false">IF(OR($A257="",H$8=""),"",IF($F257="Migré","ROKS",IF($F257="À décommissionner",IF(H$8&lt;$AS257,"IKS","Décom."),IF(OR($AQ257="",$AS257=""),"",IF(H$8&lt;$AQ257,"IKS",IF(H$8&lt;$AS257,IF(H$8=$AR257,"Bascule","Double run"),"ROKS"))))))</f>
        <v/>
      </c>
      <c r="I257" s="51" t="str">
        <f aca="false">IF(OR($A257="",I$8=""),"",IF($F257="Migré","ROKS",IF($F257="À décommissionner",IF(I$8&lt;$AS257,"IKS","Décom."),IF(OR($AQ257="",$AS257=""),"",IF(I$8&lt;$AQ257,"IKS",IF(I$8&lt;$AS257,IF(I$8=$AR257,"Bascule","Double run"),"ROKS"))))))</f>
        <v/>
      </c>
      <c r="J257" s="51" t="str">
        <f aca="false">IF(OR($A257="",J$8=""),"",IF($F257="Migré","ROKS",IF($F257="À décommissionner",IF(J$8&lt;$AS257,"IKS","Décom."),IF(OR($AQ257="",$AS257=""),"",IF(J$8&lt;$AQ257,"IKS",IF(J$8&lt;$AS257,IF(J$8=$AR257,"Bascule","Double run"),"ROKS"))))))</f>
        <v/>
      </c>
      <c r="K257" s="51" t="str">
        <f aca="false">IF(OR($A257="",K$8=""),"",IF($F257="Migré","ROKS",IF($F257="À décommissionner",IF(K$8&lt;$AS257,"IKS","Décom."),IF(OR($AQ257="",$AS257=""),"",IF(K$8&lt;$AQ257,"IKS",IF(K$8&lt;$AS257,IF(K$8=$AR257,"Bascule","Double run"),"ROKS"))))))</f>
        <v/>
      </c>
      <c r="L257" s="51" t="str">
        <f aca="false">IF(OR($A257="",L$8=""),"",IF($F257="Migré","ROKS",IF($F257="À décommissionner",IF(L$8&lt;$AS257,"IKS","Décom."),IF(OR($AQ257="",$AS257=""),"",IF(L$8&lt;$AQ257,"IKS",IF(L$8&lt;$AS257,IF(L$8=$AR257,"Bascule","Double run"),"ROKS"))))))</f>
        <v/>
      </c>
      <c r="M257" s="51" t="str">
        <f aca="false">IF(OR($A257="",M$8=""),"",IF($F257="Migré","ROKS",IF($F257="À décommissionner",IF(M$8&lt;$AS257,"IKS","Décom."),IF(OR($AQ257="",$AS257=""),"",IF(M$8&lt;$AQ257,"IKS",IF(M$8&lt;$AS257,IF(M$8=$AR257,"Bascule","Double run"),"ROKS"))))))</f>
        <v/>
      </c>
      <c r="N257" s="51" t="str">
        <f aca="false">IF(OR($A257="",N$8=""),"",IF($F257="Migré","ROKS",IF($F257="À décommissionner",IF(N$8&lt;$AS257,"IKS","Décom."),IF(OR($AQ257="",$AS257=""),"",IF(N$8&lt;$AQ257,"IKS",IF(N$8&lt;$AS257,IF(N$8=$AR257,"Bascule","Double run"),"ROKS"))))))</f>
        <v/>
      </c>
      <c r="O257" s="51" t="str">
        <f aca="false">IF(OR($A257="",O$8=""),"",IF($F257="Migré","ROKS",IF($F257="À décommissionner",IF(O$8&lt;$AS257,"IKS","Décom."),IF(OR($AQ257="",$AS257=""),"",IF(O$8&lt;$AQ257,"IKS",IF(O$8&lt;$AS257,IF(O$8=$AR257,"Bascule","Double run"),"ROKS"))))))</f>
        <v/>
      </c>
      <c r="P257" s="51" t="str">
        <f aca="false">IF(OR($A257="",P$8=""),"",IF($F257="Migré","ROKS",IF($F257="À décommissionner",IF(P$8&lt;$AS257,"IKS","Décom."),IF(OR($AQ257="",$AS257=""),"",IF(P$8&lt;$AQ257,"IKS",IF(P$8&lt;$AS257,IF(P$8=$AR257,"Bascule","Double run"),"ROKS"))))))</f>
        <v/>
      </c>
      <c r="Q257" s="51" t="str">
        <f aca="false">IF(OR($A257="",Q$8=""),"",IF($F257="Migré","ROKS",IF($F257="À décommissionner",IF(Q$8&lt;$AS257,"IKS","Décom."),IF(OR($AQ257="",$AS257=""),"",IF(Q$8&lt;$AQ257,"IKS",IF(Q$8&lt;$AS257,IF(Q$8=$AR257,"Bascule","Double run"),"ROKS"))))))</f>
        <v/>
      </c>
      <c r="R257" s="51" t="str">
        <f aca="false">IF(OR($A257="",R$8=""),"",IF($F257="Migré","ROKS",IF($F257="À décommissionner",IF(R$8&lt;$AS257,"IKS","Décom."),IF(OR($AQ257="",$AS257=""),"",IF(R$8&lt;$AQ257,"IKS",IF(R$8&lt;$AS257,IF(R$8=$AR257,"Bascule","Double run"),"ROKS"))))))</f>
        <v/>
      </c>
      <c r="S257" s="51" t="str">
        <f aca="false">IF(OR($A257="",S$8=""),"",IF($F257="Migré","ROKS",IF($F257="À décommissionner",IF(S$8&lt;$AS257,"IKS","Décom."),IF(OR($AQ257="",$AS257=""),"",IF(S$8&lt;$AQ257,"IKS",IF(S$8&lt;$AS257,IF(S$8=$AR257,"Bascule","Double run"),"ROKS"))))))</f>
        <v/>
      </c>
      <c r="T257" s="51" t="str">
        <f aca="false">IF(OR($A257="",T$8=""),"",IF($F257="Migré","ROKS",IF($F257="À décommissionner",IF(T$8&lt;$AS257,"IKS","Décom."),IF(OR($AQ257="",$AS257=""),"",IF(T$8&lt;$AQ257,"IKS",IF(T$8&lt;$AS257,IF(T$8=$AR257,"Bascule","Double run"),"ROKS"))))))</f>
        <v/>
      </c>
      <c r="U257" s="51" t="str">
        <f aca="false">IF(OR($A257="",U$8=""),"",IF($F257="Migré","ROKS",IF($F257="À décommissionner",IF(U$8&lt;$AS257,"IKS","Décom."),IF(OR($AQ257="",$AS257=""),"",IF(U$8&lt;$AQ257,"IKS",IF(U$8&lt;$AS257,IF(U$8=$AR257,"Bascule","Double run"),"ROKS"))))))</f>
        <v/>
      </c>
      <c r="V257" s="51" t="str">
        <f aca="false">IF(OR($A257="",V$8=""),"",IF($F257="Migré","ROKS",IF($F257="À décommissionner",IF(V$8&lt;$AS257,"IKS","Décom."),IF(OR($AQ257="",$AS257=""),"",IF(V$8&lt;$AQ257,"IKS",IF(V$8&lt;$AS257,IF(V$8=$AR257,"Bascule","Double run"),"ROKS"))))))</f>
        <v/>
      </c>
      <c r="W257" s="51" t="str">
        <f aca="false">IF(OR($A257="",W$8=""),"",IF($F257="Migré","ROKS",IF($F257="À décommissionner",IF(W$8&lt;$AS257,"IKS","Décom."),IF(OR($AQ257="",$AS257=""),"",IF(W$8&lt;$AQ257,"IKS",IF(W$8&lt;$AS257,IF(W$8=$AR257,"Bascule","Double run"),"ROKS"))))))</f>
        <v/>
      </c>
      <c r="X257" s="51" t="str">
        <f aca="false">IF(OR($A257="",X$8=""),"",IF($F257="Migré","ROKS",IF($F257="À décommissionner",IF(X$8&lt;$AS257,"IKS","Décom."),IF(OR($AQ257="",$AS257=""),"",IF(X$8&lt;$AQ257,"IKS",IF(X$8&lt;$AS257,IF(X$8=$AR257,"Bascule","Double run"),"ROKS"))))))</f>
        <v/>
      </c>
      <c r="Y257" s="51" t="str">
        <f aca="false">IF(OR($A257="",Y$8=""),"",IF($F257="Migré","ROKS",IF($F257="À décommissionner",IF(Y$8&lt;$AS257,"IKS","Décom."),IF(OR($AQ257="",$AS257=""),"",IF(Y$8&lt;$AQ257,"IKS",IF(Y$8&lt;$AS257,IF(Y$8=$AR257,"Bascule","Double run"),"ROKS"))))))</f>
        <v/>
      </c>
      <c r="Z257" s="51" t="str">
        <f aca="false">IF(OR($A257="",Z$8=""),"",IF($F257="Migré","ROKS",IF($F257="À décommissionner",IF(Z$8&lt;$AS257,"IKS","Décom."),IF(OR($AQ257="",$AS257=""),"",IF(Z$8&lt;$AQ257,"IKS",IF(Z$8&lt;$AS257,IF(Z$8=$AR257,"Bascule","Double run"),"ROKS"))))))</f>
        <v/>
      </c>
      <c r="AA257" s="51" t="str">
        <f aca="false">IF(OR($A257="",AA$8=""),"",IF($F257="Migré","ROKS",IF($F257="À décommissionner",IF(AA$8&lt;$AS257,"IKS","Décom."),IF(OR($AQ257="",$AS257=""),"",IF(AA$8&lt;$AQ257,"IKS",IF(AA$8&lt;$AS257,IF(AA$8=$AR257,"Bascule","Double run"),"ROKS"))))))</f>
        <v/>
      </c>
      <c r="AB257" s="51" t="str">
        <f aca="false">IF(OR($A257="",AB$8=""),"",IF($F257="Migré","ROKS",IF($F257="À décommissionner",IF(AB$8&lt;$AS257,"IKS","Décom."),IF(OR($AQ257="",$AS257=""),"",IF(AB$8&lt;$AQ257,"IKS",IF(AB$8&lt;$AS257,IF(AB$8=$AR257,"Bascule","Double run"),"ROKS"))))))</f>
        <v/>
      </c>
      <c r="AC257" s="51" t="str">
        <f aca="false">IF(OR($A257="",AC$8=""),"",IF($F257="Migré","ROKS",IF($F257="À décommissionner",IF(AC$8&lt;$AS257,"IKS","Décom."),IF(OR($AQ257="",$AS257=""),"",IF(AC$8&lt;$AQ257,"IKS",IF(AC$8&lt;$AS257,IF(AC$8=$AR257,"Bascule","Double run"),"ROKS"))))))</f>
        <v/>
      </c>
      <c r="AD257" s="51" t="str">
        <f aca="false">IF(OR($A257="",AD$8=""),"",IF($F257="Migré","ROKS",IF($F257="À décommissionner",IF(AD$8&lt;$AS257,"IKS","Décom."),IF(OR($AQ257="",$AS257=""),"",IF(AD$8&lt;$AQ257,"IKS",IF(AD$8&lt;$AS257,IF(AD$8=$AR257,"Bascule","Double run"),"ROKS"))))))</f>
        <v/>
      </c>
      <c r="AE257" s="51" t="str">
        <f aca="false">IF(OR($A257="",AE$8=""),"",IF($F257="Migré","ROKS",IF($F257="À décommissionner",IF(AE$8&lt;$AS257,"IKS","Décom."),IF(OR($AQ257="",$AS257=""),"",IF(AE$8&lt;$AQ257,"IKS",IF(AE$8&lt;$AS257,IF(AE$8=$AR257,"Bascule","Double run"),"ROKS"))))))</f>
        <v/>
      </c>
      <c r="AF257" s="51" t="str">
        <f aca="false">IF(OR($A257="",AF$8=""),"",IF($F257="Migré","ROKS",IF($F257="À décommissionner",IF(AF$8&lt;$AS257,"IKS","Décom."),IF(OR($AQ257="",$AS257=""),"",IF(AF$8&lt;$AQ257,"IKS",IF(AF$8&lt;$AS257,IF(AF$8=$AR257,"Bascule","Double run"),"ROKS"))))))</f>
        <v/>
      </c>
      <c r="AG257" s="51" t="str">
        <f aca="false">IF(OR($A257="",AG$8=""),"",IF($F257="Migré","ROKS",IF($F257="À décommissionner",IF(AG$8&lt;$AS257,"IKS","Décom."),IF(OR($AQ257="",$AS257=""),"",IF(AG$8&lt;$AQ257,"IKS",IF(AG$8&lt;$AS257,IF(AG$8=$AR257,"Bascule","Double run"),"ROKS"))))))</f>
        <v/>
      </c>
      <c r="AH257" s="51" t="str">
        <f aca="false">IF(OR($A257="",AH$8=""),"",IF($F257="Migré","ROKS",IF($F257="À décommissionner",IF(AH$8&lt;$AS257,"IKS","Décom."),IF(OR($AQ257="",$AS257=""),"",IF(AH$8&lt;$AQ257,"IKS",IF(AH$8&lt;$AS257,IF(AH$8=$AR257,"Bascule","Double run"),"ROKS"))))))</f>
        <v/>
      </c>
      <c r="AI257" s="51" t="str">
        <f aca="false">IF(OR($A257="",AI$8=""),"",IF($F257="Migré","ROKS",IF($F257="À décommissionner",IF(AI$8&lt;$AS257,"IKS","Décom."),IF(OR($AQ257="",$AS257=""),"",IF(AI$8&lt;$AQ257,"IKS",IF(AI$8&lt;$AS257,IF(AI$8=$AR257,"Bascule","Double run"),"ROKS"))))))</f>
        <v/>
      </c>
      <c r="AJ257" s="51" t="str">
        <f aca="false">IF(OR($A257="",AJ$8=""),"",IF($F257="Migré","ROKS",IF($F257="À décommissionner",IF(AJ$8&lt;$AS257,"IKS","Décom."),IF(OR($AQ257="",$AS257=""),"",IF(AJ$8&lt;$AQ257,"IKS",IF(AJ$8&lt;$AS257,IF(AJ$8=$AR257,"Bascule","Double run"),"ROKS"))))))</f>
        <v/>
      </c>
      <c r="AK257" s="51" t="str">
        <f aca="false">IF(OR($A257="",AK$8=""),"",IF($F257="Migré","ROKS",IF($F257="À décommissionner",IF(AK$8&lt;$AS257,"IKS","Décom."),IF(OR($AQ257="",$AS257=""),"",IF(AK$8&lt;$AQ257,"IKS",IF(AK$8&lt;$AS257,IF(AK$8=$AR257,"Bascule","Double run"),"ROKS"))))))</f>
        <v/>
      </c>
      <c r="AL257" s="51" t="str">
        <f aca="false">IF(OR($A257="",AL$8=""),"",IF($F257="Migré","ROKS",IF($F257="À décommissionner",IF(AL$8&lt;$AS257,"IKS","Décom."),IF(OR($AQ257="",$AS257=""),"",IF(AL$8&lt;$AQ257,"IKS",IF(AL$8&lt;$AS257,IF(AL$8=$AR257,"Bascule","Double run"),"ROKS"))))))</f>
        <v/>
      </c>
      <c r="AM257" s="51" t="str">
        <f aca="false">IF(OR($A257="",AM$8=""),"",IF($F257="Migré","ROKS",IF($F257="À décommissionner",IF(AM$8&lt;$AS257,"IKS","Décom."),IF(OR($AQ257="",$AS257=""),"",IF(AM$8&lt;$AQ257,"IKS",IF(AM$8&lt;$AS257,IF(AM$8=$AR257,"Bascule","Double run"),"ROKS"))))))</f>
        <v/>
      </c>
      <c r="AN257" s="51" t="str">
        <f aca="false">IF(OR($A257="",AN$8=""),"",IF($F257="Migré","ROKS",IF($F257="À décommissionner",IF(AN$8&lt;$AS257,"IKS","Décom."),IF(OR($AQ257="",$AS257=""),"",IF(AN$8&lt;$AQ257,"IKS",IF(AN$8&lt;$AS257,IF(AN$8=$AR257,"Bascule","Double run"),"ROKS"))))))</f>
        <v/>
      </c>
      <c r="AO257" s="51" t="str">
        <f aca="false">IF(OR($A257="",AO$8=""),"",IF($F257="Migré","ROKS",IF($F257="À décommissionner",IF(AO$8&lt;$AS257,"IKS","Décom."),IF(OR($AQ257="",$AS257=""),"",IF(AO$8&lt;$AQ257,"IKS",IF(AO$8&lt;$AS257,IF(AO$8=$AR257,"Bascule","Double run"),"ROKS"))))))</f>
        <v/>
      </c>
      <c r="AP257" s="51" t="str">
        <f aca="false">IF(OR($A257="",AP$8=""),"",IF($F257="Migré","ROKS",IF($F257="À décommissionner",IF(AP$8&lt;$AS257,"IKS","Décom."),IF(OR($AQ257="",$AS257=""),"",IF(AP$8&lt;$AQ257,"IKS",IF(AP$8&lt;$AS257,IF(AP$8=$AR257,"Bascule","Double run"),"ROKS"))))))</f>
        <v/>
      </c>
      <c r="AQ257" s="0" t="str">
        <f aca="false">IF($A257="","",INDEX(TblApplications[Mois prov (calc)],$A257))</f>
        <v/>
      </c>
      <c r="AR257" s="0" t="str">
        <f aca="false">IF($A257="","",IFERROR(DATE(YEAR(INDEX(TblApplications[Mois bascule],$A257)),MONTH(INDEX(TblApplications[Mois bascule],$A257)),1),""))</f>
        <v/>
      </c>
      <c r="AS257" s="0" t="str">
        <f aca="false">IF($A257="","",INDEX(TblApplications[Mois lib (calc)],$A257))</f>
        <v/>
      </c>
    </row>
    <row r="258" customFormat="false" ht="15" hidden="false" customHeight="false" outlineLevel="0" collapsed="false">
      <c r="A258" s="49" t="str">
        <f aca="false">IFERROR(MATCH(250,TblApplications[Rang frise],0),"")</f>
        <v/>
      </c>
      <c r="B258" s="50" t="str">
        <f aca="false">IF($A258="","",INDEX(TblApplications[ID],$A258))</f>
        <v/>
      </c>
      <c r="C258" s="50" t="str">
        <f aca="false">IF($A258="","",INDEX(TblApplications[Application],$A258))</f>
        <v/>
      </c>
      <c r="D258" s="50" t="str">
        <f aca="false">IF($A258="","",INDEX(TblApplications[Environnement],$A258))</f>
        <v/>
      </c>
      <c r="E258" s="50" t="str">
        <f aca="false">IF($A258="","",INDEX(TblApplications[Couloir],$A258))</f>
        <v/>
      </c>
      <c r="F258" s="50" t="str">
        <f aca="false">IF($A258="","",INDEX(TblApplications[Action],$A258))</f>
        <v/>
      </c>
      <c r="G258" s="51" t="str">
        <f aca="false">IF(OR($A258="",G$8=""),"",IF($F258="Migré","ROKS",IF($F258="À décommissionner",IF(G$8&lt;$AS258,"IKS","Décom."),IF(OR($AQ258="",$AS258=""),"",IF(G$8&lt;$AQ258,"IKS",IF(G$8&lt;$AS258,IF(G$8=$AR258,"Bascule","Double run"),"ROKS"))))))</f>
        <v/>
      </c>
      <c r="H258" s="51" t="str">
        <f aca="false">IF(OR($A258="",H$8=""),"",IF($F258="Migré","ROKS",IF($F258="À décommissionner",IF(H$8&lt;$AS258,"IKS","Décom."),IF(OR($AQ258="",$AS258=""),"",IF(H$8&lt;$AQ258,"IKS",IF(H$8&lt;$AS258,IF(H$8=$AR258,"Bascule","Double run"),"ROKS"))))))</f>
        <v/>
      </c>
      <c r="I258" s="51" t="str">
        <f aca="false">IF(OR($A258="",I$8=""),"",IF($F258="Migré","ROKS",IF($F258="À décommissionner",IF(I$8&lt;$AS258,"IKS","Décom."),IF(OR($AQ258="",$AS258=""),"",IF(I$8&lt;$AQ258,"IKS",IF(I$8&lt;$AS258,IF(I$8=$AR258,"Bascule","Double run"),"ROKS"))))))</f>
        <v/>
      </c>
      <c r="J258" s="51" t="str">
        <f aca="false">IF(OR($A258="",J$8=""),"",IF($F258="Migré","ROKS",IF($F258="À décommissionner",IF(J$8&lt;$AS258,"IKS","Décom."),IF(OR($AQ258="",$AS258=""),"",IF(J$8&lt;$AQ258,"IKS",IF(J$8&lt;$AS258,IF(J$8=$AR258,"Bascule","Double run"),"ROKS"))))))</f>
        <v/>
      </c>
      <c r="K258" s="51" t="str">
        <f aca="false">IF(OR($A258="",K$8=""),"",IF($F258="Migré","ROKS",IF($F258="À décommissionner",IF(K$8&lt;$AS258,"IKS","Décom."),IF(OR($AQ258="",$AS258=""),"",IF(K$8&lt;$AQ258,"IKS",IF(K$8&lt;$AS258,IF(K$8=$AR258,"Bascule","Double run"),"ROKS"))))))</f>
        <v/>
      </c>
      <c r="L258" s="51" t="str">
        <f aca="false">IF(OR($A258="",L$8=""),"",IF($F258="Migré","ROKS",IF($F258="À décommissionner",IF(L$8&lt;$AS258,"IKS","Décom."),IF(OR($AQ258="",$AS258=""),"",IF(L$8&lt;$AQ258,"IKS",IF(L$8&lt;$AS258,IF(L$8=$AR258,"Bascule","Double run"),"ROKS"))))))</f>
        <v/>
      </c>
      <c r="M258" s="51" t="str">
        <f aca="false">IF(OR($A258="",M$8=""),"",IF($F258="Migré","ROKS",IF($F258="À décommissionner",IF(M$8&lt;$AS258,"IKS","Décom."),IF(OR($AQ258="",$AS258=""),"",IF(M$8&lt;$AQ258,"IKS",IF(M$8&lt;$AS258,IF(M$8=$AR258,"Bascule","Double run"),"ROKS"))))))</f>
        <v/>
      </c>
      <c r="N258" s="51" t="str">
        <f aca="false">IF(OR($A258="",N$8=""),"",IF($F258="Migré","ROKS",IF($F258="À décommissionner",IF(N$8&lt;$AS258,"IKS","Décom."),IF(OR($AQ258="",$AS258=""),"",IF(N$8&lt;$AQ258,"IKS",IF(N$8&lt;$AS258,IF(N$8=$AR258,"Bascule","Double run"),"ROKS"))))))</f>
        <v/>
      </c>
      <c r="O258" s="51" t="str">
        <f aca="false">IF(OR($A258="",O$8=""),"",IF($F258="Migré","ROKS",IF($F258="À décommissionner",IF(O$8&lt;$AS258,"IKS","Décom."),IF(OR($AQ258="",$AS258=""),"",IF(O$8&lt;$AQ258,"IKS",IF(O$8&lt;$AS258,IF(O$8=$AR258,"Bascule","Double run"),"ROKS"))))))</f>
        <v/>
      </c>
      <c r="P258" s="51" t="str">
        <f aca="false">IF(OR($A258="",P$8=""),"",IF($F258="Migré","ROKS",IF($F258="À décommissionner",IF(P$8&lt;$AS258,"IKS","Décom."),IF(OR($AQ258="",$AS258=""),"",IF(P$8&lt;$AQ258,"IKS",IF(P$8&lt;$AS258,IF(P$8=$AR258,"Bascule","Double run"),"ROKS"))))))</f>
        <v/>
      </c>
      <c r="Q258" s="51" t="str">
        <f aca="false">IF(OR($A258="",Q$8=""),"",IF($F258="Migré","ROKS",IF($F258="À décommissionner",IF(Q$8&lt;$AS258,"IKS","Décom."),IF(OR($AQ258="",$AS258=""),"",IF(Q$8&lt;$AQ258,"IKS",IF(Q$8&lt;$AS258,IF(Q$8=$AR258,"Bascule","Double run"),"ROKS"))))))</f>
        <v/>
      </c>
      <c r="R258" s="51" t="str">
        <f aca="false">IF(OR($A258="",R$8=""),"",IF($F258="Migré","ROKS",IF($F258="À décommissionner",IF(R$8&lt;$AS258,"IKS","Décom."),IF(OR($AQ258="",$AS258=""),"",IF(R$8&lt;$AQ258,"IKS",IF(R$8&lt;$AS258,IF(R$8=$AR258,"Bascule","Double run"),"ROKS"))))))</f>
        <v/>
      </c>
      <c r="S258" s="51" t="str">
        <f aca="false">IF(OR($A258="",S$8=""),"",IF($F258="Migré","ROKS",IF($F258="À décommissionner",IF(S$8&lt;$AS258,"IKS","Décom."),IF(OR($AQ258="",$AS258=""),"",IF(S$8&lt;$AQ258,"IKS",IF(S$8&lt;$AS258,IF(S$8=$AR258,"Bascule","Double run"),"ROKS"))))))</f>
        <v/>
      </c>
      <c r="T258" s="51" t="str">
        <f aca="false">IF(OR($A258="",T$8=""),"",IF($F258="Migré","ROKS",IF($F258="À décommissionner",IF(T$8&lt;$AS258,"IKS","Décom."),IF(OR($AQ258="",$AS258=""),"",IF(T$8&lt;$AQ258,"IKS",IF(T$8&lt;$AS258,IF(T$8=$AR258,"Bascule","Double run"),"ROKS"))))))</f>
        <v/>
      </c>
      <c r="U258" s="51" t="str">
        <f aca="false">IF(OR($A258="",U$8=""),"",IF($F258="Migré","ROKS",IF($F258="À décommissionner",IF(U$8&lt;$AS258,"IKS","Décom."),IF(OR($AQ258="",$AS258=""),"",IF(U$8&lt;$AQ258,"IKS",IF(U$8&lt;$AS258,IF(U$8=$AR258,"Bascule","Double run"),"ROKS"))))))</f>
        <v/>
      </c>
      <c r="V258" s="51" t="str">
        <f aca="false">IF(OR($A258="",V$8=""),"",IF($F258="Migré","ROKS",IF($F258="À décommissionner",IF(V$8&lt;$AS258,"IKS","Décom."),IF(OR($AQ258="",$AS258=""),"",IF(V$8&lt;$AQ258,"IKS",IF(V$8&lt;$AS258,IF(V$8=$AR258,"Bascule","Double run"),"ROKS"))))))</f>
        <v/>
      </c>
      <c r="W258" s="51" t="str">
        <f aca="false">IF(OR($A258="",W$8=""),"",IF($F258="Migré","ROKS",IF($F258="À décommissionner",IF(W$8&lt;$AS258,"IKS","Décom."),IF(OR($AQ258="",$AS258=""),"",IF(W$8&lt;$AQ258,"IKS",IF(W$8&lt;$AS258,IF(W$8=$AR258,"Bascule","Double run"),"ROKS"))))))</f>
        <v/>
      </c>
      <c r="X258" s="51" t="str">
        <f aca="false">IF(OR($A258="",X$8=""),"",IF($F258="Migré","ROKS",IF($F258="À décommissionner",IF(X$8&lt;$AS258,"IKS","Décom."),IF(OR($AQ258="",$AS258=""),"",IF(X$8&lt;$AQ258,"IKS",IF(X$8&lt;$AS258,IF(X$8=$AR258,"Bascule","Double run"),"ROKS"))))))</f>
        <v/>
      </c>
      <c r="Y258" s="51" t="str">
        <f aca="false">IF(OR($A258="",Y$8=""),"",IF($F258="Migré","ROKS",IF($F258="À décommissionner",IF(Y$8&lt;$AS258,"IKS","Décom."),IF(OR($AQ258="",$AS258=""),"",IF(Y$8&lt;$AQ258,"IKS",IF(Y$8&lt;$AS258,IF(Y$8=$AR258,"Bascule","Double run"),"ROKS"))))))</f>
        <v/>
      </c>
      <c r="Z258" s="51" t="str">
        <f aca="false">IF(OR($A258="",Z$8=""),"",IF($F258="Migré","ROKS",IF($F258="À décommissionner",IF(Z$8&lt;$AS258,"IKS","Décom."),IF(OR($AQ258="",$AS258=""),"",IF(Z$8&lt;$AQ258,"IKS",IF(Z$8&lt;$AS258,IF(Z$8=$AR258,"Bascule","Double run"),"ROKS"))))))</f>
        <v/>
      </c>
      <c r="AA258" s="51" t="str">
        <f aca="false">IF(OR($A258="",AA$8=""),"",IF($F258="Migré","ROKS",IF($F258="À décommissionner",IF(AA$8&lt;$AS258,"IKS","Décom."),IF(OR($AQ258="",$AS258=""),"",IF(AA$8&lt;$AQ258,"IKS",IF(AA$8&lt;$AS258,IF(AA$8=$AR258,"Bascule","Double run"),"ROKS"))))))</f>
        <v/>
      </c>
      <c r="AB258" s="51" t="str">
        <f aca="false">IF(OR($A258="",AB$8=""),"",IF($F258="Migré","ROKS",IF($F258="À décommissionner",IF(AB$8&lt;$AS258,"IKS","Décom."),IF(OR($AQ258="",$AS258=""),"",IF(AB$8&lt;$AQ258,"IKS",IF(AB$8&lt;$AS258,IF(AB$8=$AR258,"Bascule","Double run"),"ROKS"))))))</f>
        <v/>
      </c>
      <c r="AC258" s="51" t="str">
        <f aca="false">IF(OR($A258="",AC$8=""),"",IF($F258="Migré","ROKS",IF($F258="À décommissionner",IF(AC$8&lt;$AS258,"IKS","Décom."),IF(OR($AQ258="",$AS258=""),"",IF(AC$8&lt;$AQ258,"IKS",IF(AC$8&lt;$AS258,IF(AC$8=$AR258,"Bascule","Double run"),"ROKS"))))))</f>
        <v/>
      </c>
      <c r="AD258" s="51" t="str">
        <f aca="false">IF(OR($A258="",AD$8=""),"",IF($F258="Migré","ROKS",IF($F258="À décommissionner",IF(AD$8&lt;$AS258,"IKS","Décom."),IF(OR($AQ258="",$AS258=""),"",IF(AD$8&lt;$AQ258,"IKS",IF(AD$8&lt;$AS258,IF(AD$8=$AR258,"Bascule","Double run"),"ROKS"))))))</f>
        <v/>
      </c>
      <c r="AE258" s="51" t="str">
        <f aca="false">IF(OR($A258="",AE$8=""),"",IF($F258="Migré","ROKS",IF($F258="À décommissionner",IF(AE$8&lt;$AS258,"IKS","Décom."),IF(OR($AQ258="",$AS258=""),"",IF(AE$8&lt;$AQ258,"IKS",IF(AE$8&lt;$AS258,IF(AE$8=$AR258,"Bascule","Double run"),"ROKS"))))))</f>
        <v/>
      </c>
      <c r="AF258" s="51" t="str">
        <f aca="false">IF(OR($A258="",AF$8=""),"",IF($F258="Migré","ROKS",IF($F258="À décommissionner",IF(AF$8&lt;$AS258,"IKS","Décom."),IF(OR($AQ258="",$AS258=""),"",IF(AF$8&lt;$AQ258,"IKS",IF(AF$8&lt;$AS258,IF(AF$8=$AR258,"Bascule","Double run"),"ROKS"))))))</f>
        <v/>
      </c>
      <c r="AG258" s="51" t="str">
        <f aca="false">IF(OR($A258="",AG$8=""),"",IF($F258="Migré","ROKS",IF($F258="À décommissionner",IF(AG$8&lt;$AS258,"IKS","Décom."),IF(OR($AQ258="",$AS258=""),"",IF(AG$8&lt;$AQ258,"IKS",IF(AG$8&lt;$AS258,IF(AG$8=$AR258,"Bascule","Double run"),"ROKS"))))))</f>
        <v/>
      </c>
      <c r="AH258" s="51" t="str">
        <f aca="false">IF(OR($A258="",AH$8=""),"",IF($F258="Migré","ROKS",IF($F258="À décommissionner",IF(AH$8&lt;$AS258,"IKS","Décom."),IF(OR($AQ258="",$AS258=""),"",IF(AH$8&lt;$AQ258,"IKS",IF(AH$8&lt;$AS258,IF(AH$8=$AR258,"Bascule","Double run"),"ROKS"))))))</f>
        <v/>
      </c>
      <c r="AI258" s="51" t="str">
        <f aca="false">IF(OR($A258="",AI$8=""),"",IF($F258="Migré","ROKS",IF($F258="À décommissionner",IF(AI$8&lt;$AS258,"IKS","Décom."),IF(OR($AQ258="",$AS258=""),"",IF(AI$8&lt;$AQ258,"IKS",IF(AI$8&lt;$AS258,IF(AI$8=$AR258,"Bascule","Double run"),"ROKS"))))))</f>
        <v/>
      </c>
      <c r="AJ258" s="51" t="str">
        <f aca="false">IF(OR($A258="",AJ$8=""),"",IF($F258="Migré","ROKS",IF($F258="À décommissionner",IF(AJ$8&lt;$AS258,"IKS","Décom."),IF(OR($AQ258="",$AS258=""),"",IF(AJ$8&lt;$AQ258,"IKS",IF(AJ$8&lt;$AS258,IF(AJ$8=$AR258,"Bascule","Double run"),"ROKS"))))))</f>
        <v/>
      </c>
      <c r="AK258" s="51" t="str">
        <f aca="false">IF(OR($A258="",AK$8=""),"",IF($F258="Migré","ROKS",IF($F258="À décommissionner",IF(AK$8&lt;$AS258,"IKS","Décom."),IF(OR($AQ258="",$AS258=""),"",IF(AK$8&lt;$AQ258,"IKS",IF(AK$8&lt;$AS258,IF(AK$8=$AR258,"Bascule","Double run"),"ROKS"))))))</f>
        <v/>
      </c>
      <c r="AL258" s="51" t="str">
        <f aca="false">IF(OR($A258="",AL$8=""),"",IF($F258="Migré","ROKS",IF($F258="À décommissionner",IF(AL$8&lt;$AS258,"IKS","Décom."),IF(OR($AQ258="",$AS258=""),"",IF(AL$8&lt;$AQ258,"IKS",IF(AL$8&lt;$AS258,IF(AL$8=$AR258,"Bascule","Double run"),"ROKS"))))))</f>
        <v/>
      </c>
      <c r="AM258" s="51" t="str">
        <f aca="false">IF(OR($A258="",AM$8=""),"",IF($F258="Migré","ROKS",IF($F258="À décommissionner",IF(AM$8&lt;$AS258,"IKS","Décom."),IF(OR($AQ258="",$AS258=""),"",IF(AM$8&lt;$AQ258,"IKS",IF(AM$8&lt;$AS258,IF(AM$8=$AR258,"Bascule","Double run"),"ROKS"))))))</f>
        <v/>
      </c>
      <c r="AN258" s="51" t="str">
        <f aca="false">IF(OR($A258="",AN$8=""),"",IF($F258="Migré","ROKS",IF($F258="À décommissionner",IF(AN$8&lt;$AS258,"IKS","Décom."),IF(OR($AQ258="",$AS258=""),"",IF(AN$8&lt;$AQ258,"IKS",IF(AN$8&lt;$AS258,IF(AN$8=$AR258,"Bascule","Double run"),"ROKS"))))))</f>
        <v/>
      </c>
      <c r="AO258" s="51" t="str">
        <f aca="false">IF(OR($A258="",AO$8=""),"",IF($F258="Migré","ROKS",IF($F258="À décommissionner",IF(AO$8&lt;$AS258,"IKS","Décom."),IF(OR($AQ258="",$AS258=""),"",IF(AO$8&lt;$AQ258,"IKS",IF(AO$8&lt;$AS258,IF(AO$8=$AR258,"Bascule","Double run"),"ROKS"))))))</f>
        <v/>
      </c>
      <c r="AP258" s="51" t="str">
        <f aca="false">IF(OR($A258="",AP$8=""),"",IF($F258="Migré","ROKS",IF($F258="À décommissionner",IF(AP$8&lt;$AS258,"IKS","Décom."),IF(OR($AQ258="",$AS258=""),"",IF(AP$8&lt;$AQ258,"IKS",IF(AP$8&lt;$AS258,IF(AP$8=$AR258,"Bascule","Double run"),"ROKS"))))))</f>
        <v/>
      </c>
      <c r="AQ258" s="0" t="str">
        <f aca="false">IF($A258="","",INDEX(TblApplications[Mois prov (calc)],$A258))</f>
        <v/>
      </c>
      <c r="AR258" s="0" t="str">
        <f aca="false">IF($A258="","",IFERROR(DATE(YEAR(INDEX(TblApplications[Mois bascule],$A258)),MONTH(INDEX(TblApplications[Mois bascule],$A258)),1),""))</f>
        <v/>
      </c>
      <c r="AS258" s="0" t="str">
        <f aca="false">IF($A258="","",INDEX(TblApplications[Mois lib (calc)],$A258))</f>
        <v/>
      </c>
    </row>
    <row r="259" customFormat="false" ht="15" hidden="false" customHeight="false" outlineLevel="0" collapsed="false">
      <c r="A259" s="49" t="str">
        <f aca="false">IFERROR(MATCH(251,TblApplications[Rang frise],0),"")</f>
        <v/>
      </c>
      <c r="B259" s="50" t="str">
        <f aca="false">IF($A259="","",INDEX(TblApplications[ID],$A259))</f>
        <v/>
      </c>
      <c r="C259" s="50" t="str">
        <f aca="false">IF($A259="","",INDEX(TblApplications[Application],$A259))</f>
        <v/>
      </c>
      <c r="D259" s="50" t="str">
        <f aca="false">IF($A259="","",INDEX(TblApplications[Environnement],$A259))</f>
        <v/>
      </c>
      <c r="E259" s="50" t="str">
        <f aca="false">IF($A259="","",INDEX(TblApplications[Couloir],$A259))</f>
        <v/>
      </c>
      <c r="F259" s="50" t="str">
        <f aca="false">IF($A259="","",INDEX(TblApplications[Action],$A259))</f>
        <v/>
      </c>
      <c r="G259" s="51" t="str">
        <f aca="false">IF(OR($A259="",G$8=""),"",IF($F259="Migré","ROKS",IF($F259="À décommissionner",IF(G$8&lt;$AS259,"IKS","Décom."),IF(OR($AQ259="",$AS259=""),"",IF(G$8&lt;$AQ259,"IKS",IF(G$8&lt;$AS259,IF(G$8=$AR259,"Bascule","Double run"),"ROKS"))))))</f>
        <v/>
      </c>
      <c r="H259" s="51" t="str">
        <f aca="false">IF(OR($A259="",H$8=""),"",IF($F259="Migré","ROKS",IF($F259="À décommissionner",IF(H$8&lt;$AS259,"IKS","Décom."),IF(OR($AQ259="",$AS259=""),"",IF(H$8&lt;$AQ259,"IKS",IF(H$8&lt;$AS259,IF(H$8=$AR259,"Bascule","Double run"),"ROKS"))))))</f>
        <v/>
      </c>
      <c r="I259" s="51" t="str">
        <f aca="false">IF(OR($A259="",I$8=""),"",IF($F259="Migré","ROKS",IF($F259="À décommissionner",IF(I$8&lt;$AS259,"IKS","Décom."),IF(OR($AQ259="",$AS259=""),"",IF(I$8&lt;$AQ259,"IKS",IF(I$8&lt;$AS259,IF(I$8=$AR259,"Bascule","Double run"),"ROKS"))))))</f>
        <v/>
      </c>
      <c r="J259" s="51" t="str">
        <f aca="false">IF(OR($A259="",J$8=""),"",IF($F259="Migré","ROKS",IF($F259="À décommissionner",IF(J$8&lt;$AS259,"IKS","Décom."),IF(OR($AQ259="",$AS259=""),"",IF(J$8&lt;$AQ259,"IKS",IF(J$8&lt;$AS259,IF(J$8=$AR259,"Bascule","Double run"),"ROKS"))))))</f>
        <v/>
      </c>
      <c r="K259" s="51" t="str">
        <f aca="false">IF(OR($A259="",K$8=""),"",IF($F259="Migré","ROKS",IF($F259="À décommissionner",IF(K$8&lt;$AS259,"IKS","Décom."),IF(OR($AQ259="",$AS259=""),"",IF(K$8&lt;$AQ259,"IKS",IF(K$8&lt;$AS259,IF(K$8=$AR259,"Bascule","Double run"),"ROKS"))))))</f>
        <v/>
      </c>
      <c r="L259" s="51" t="str">
        <f aca="false">IF(OR($A259="",L$8=""),"",IF($F259="Migré","ROKS",IF($F259="À décommissionner",IF(L$8&lt;$AS259,"IKS","Décom."),IF(OR($AQ259="",$AS259=""),"",IF(L$8&lt;$AQ259,"IKS",IF(L$8&lt;$AS259,IF(L$8=$AR259,"Bascule","Double run"),"ROKS"))))))</f>
        <v/>
      </c>
      <c r="M259" s="51" t="str">
        <f aca="false">IF(OR($A259="",M$8=""),"",IF($F259="Migré","ROKS",IF($F259="À décommissionner",IF(M$8&lt;$AS259,"IKS","Décom."),IF(OR($AQ259="",$AS259=""),"",IF(M$8&lt;$AQ259,"IKS",IF(M$8&lt;$AS259,IF(M$8=$AR259,"Bascule","Double run"),"ROKS"))))))</f>
        <v/>
      </c>
      <c r="N259" s="51" t="str">
        <f aca="false">IF(OR($A259="",N$8=""),"",IF($F259="Migré","ROKS",IF($F259="À décommissionner",IF(N$8&lt;$AS259,"IKS","Décom."),IF(OR($AQ259="",$AS259=""),"",IF(N$8&lt;$AQ259,"IKS",IF(N$8&lt;$AS259,IF(N$8=$AR259,"Bascule","Double run"),"ROKS"))))))</f>
        <v/>
      </c>
      <c r="O259" s="51" t="str">
        <f aca="false">IF(OR($A259="",O$8=""),"",IF($F259="Migré","ROKS",IF($F259="À décommissionner",IF(O$8&lt;$AS259,"IKS","Décom."),IF(OR($AQ259="",$AS259=""),"",IF(O$8&lt;$AQ259,"IKS",IF(O$8&lt;$AS259,IF(O$8=$AR259,"Bascule","Double run"),"ROKS"))))))</f>
        <v/>
      </c>
      <c r="P259" s="51" t="str">
        <f aca="false">IF(OR($A259="",P$8=""),"",IF($F259="Migré","ROKS",IF($F259="À décommissionner",IF(P$8&lt;$AS259,"IKS","Décom."),IF(OR($AQ259="",$AS259=""),"",IF(P$8&lt;$AQ259,"IKS",IF(P$8&lt;$AS259,IF(P$8=$AR259,"Bascule","Double run"),"ROKS"))))))</f>
        <v/>
      </c>
      <c r="Q259" s="51" t="str">
        <f aca="false">IF(OR($A259="",Q$8=""),"",IF($F259="Migré","ROKS",IF($F259="À décommissionner",IF(Q$8&lt;$AS259,"IKS","Décom."),IF(OR($AQ259="",$AS259=""),"",IF(Q$8&lt;$AQ259,"IKS",IF(Q$8&lt;$AS259,IF(Q$8=$AR259,"Bascule","Double run"),"ROKS"))))))</f>
        <v/>
      </c>
      <c r="R259" s="51" t="str">
        <f aca="false">IF(OR($A259="",R$8=""),"",IF($F259="Migré","ROKS",IF($F259="À décommissionner",IF(R$8&lt;$AS259,"IKS","Décom."),IF(OR($AQ259="",$AS259=""),"",IF(R$8&lt;$AQ259,"IKS",IF(R$8&lt;$AS259,IF(R$8=$AR259,"Bascule","Double run"),"ROKS"))))))</f>
        <v/>
      </c>
      <c r="S259" s="51" t="str">
        <f aca="false">IF(OR($A259="",S$8=""),"",IF($F259="Migré","ROKS",IF($F259="À décommissionner",IF(S$8&lt;$AS259,"IKS","Décom."),IF(OR($AQ259="",$AS259=""),"",IF(S$8&lt;$AQ259,"IKS",IF(S$8&lt;$AS259,IF(S$8=$AR259,"Bascule","Double run"),"ROKS"))))))</f>
        <v/>
      </c>
      <c r="T259" s="51" t="str">
        <f aca="false">IF(OR($A259="",T$8=""),"",IF($F259="Migré","ROKS",IF($F259="À décommissionner",IF(T$8&lt;$AS259,"IKS","Décom."),IF(OR($AQ259="",$AS259=""),"",IF(T$8&lt;$AQ259,"IKS",IF(T$8&lt;$AS259,IF(T$8=$AR259,"Bascule","Double run"),"ROKS"))))))</f>
        <v/>
      </c>
      <c r="U259" s="51" t="str">
        <f aca="false">IF(OR($A259="",U$8=""),"",IF($F259="Migré","ROKS",IF($F259="À décommissionner",IF(U$8&lt;$AS259,"IKS","Décom."),IF(OR($AQ259="",$AS259=""),"",IF(U$8&lt;$AQ259,"IKS",IF(U$8&lt;$AS259,IF(U$8=$AR259,"Bascule","Double run"),"ROKS"))))))</f>
        <v/>
      </c>
      <c r="V259" s="51" t="str">
        <f aca="false">IF(OR($A259="",V$8=""),"",IF($F259="Migré","ROKS",IF($F259="À décommissionner",IF(V$8&lt;$AS259,"IKS","Décom."),IF(OR($AQ259="",$AS259=""),"",IF(V$8&lt;$AQ259,"IKS",IF(V$8&lt;$AS259,IF(V$8=$AR259,"Bascule","Double run"),"ROKS"))))))</f>
        <v/>
      </c>
      <c r="W259" s="51" t="str">
        <f aca="false">IF(OR($A259="",W$8=""),"",IF($F259="Migré","ROKS",IF($F259="À décommissionner",IF(W$8&lt;$AS259,"IKS","Décom."),IF(OR($AQ259="",$AS259=""),"",IF(W$8&lt;$AQ259,"IKS",IF(W$8&lt;$AS259,IF(W$8=$AR259,"Bascule","Double run"),"ROKS"))))))</f>
        <v/>
      </c>
      <c r="X259" s="51" t="str">
        <f aca="false">IF(OR($A259="",X$8=""),"",IF($F259="Migré","ROKS",IF($F259="À décommissionner",IF(X$8&lt;$AS259,"IKS","Décom."),IF(OR($AQ259="",$AS259=""),"",IF(X$8&lt;$AQ259,"IKS",IF(X$8&lt;$AS259,IF(X$8=$AR259,"Bascule","Double run"),"ROKS"))))))</f>
        <v/>
      </c>
      <c r="Y259" s="51" t="str">
        <f aca="false">IF(OR($A259="",Y$8=""),"",IF($F259="Migré","ROKS",IF($F259="À décommissionner",IF(Y$8&lt;$AS259,"IKS","Décom."),IF(OR($AQ259="",$AS259=""),"",IF(Y$8&lt;$AQ259,"IKS",IF(Y$8&lt;$AS259,IF(Y$8=$AR259,"Bascule","Double run"),"ROKS"))))))</f>
        <v/>
      </c>
      <c r="Z259" s="51" t="str">
        <f aca="false">IF(OR($A259="",Z$8=""),"",IF($F259="Migré","ROKS",IF($F259="À décommissionner",IF(Z$8&lt;$AS259,"IKS","Décom."),IF(OR($AQ259="",$AS259=""),"",IF(Z$8&lt;$AQ259,"IKS",IF(Z$8&lt;$AS259,IF(Z$8=$AR259,"Bascule","Double run"),"ROKS"))))))</f>
        <v/>
      </c>
      <c r="AA259" s="51" t="str">
        <f aca="false">IF(OR($A259="",AA$8=""),"",IF($F259="Migré","ROKS",IF($F259="À décommissionner",IF(AA$8&lt;$AS259,"IKS","Décom."),IF(OR($AQ259="",$AS259=""),"",IF(AA$8&lt;$AQ259,"IKS",IF(AA$8&lt;$AS259,IF(AA$8=$AR259,"Bascule","Double run"),"ROKS"))))))</f>
        <v/>
      </c>
      <c r="AB259" s="51" t="str">
        <f aca="false">IF(OR($A259="",AB$8=""),"",IF($F259="Migré","ROKS",IF($F259="À décommissionner",IF(AB$8&lt;$AS259,"IKS","Décom."),IF(OR($AQ259="",$AS259=""),"",IF(AB$8&lt;$AQ259,"IKS",IF(AB$8&lt;$AS259,IF(AB$8=$AR259,"Bascule","Double run"),"ROKS"))))))</f>
        <v/>
      </c>
      <c r="AC259" s="51" t="str">
        <f aca="false">IF(OR($A259="",AC$8=""),"",IF($F259="Migré","ROKS",IF($F259="À décommissionner",IF(AC$8&lt;$AS259,"IKS","Décom."),IF(OR($AQ259="",$AS259=""),"",IF(AC$8&lt;$AQ259,"IKS",IF(AC$8&lt;$AS259,IF(AC$8=$AR259,"Bascule","Double run"),"ROKS"))))))</f>
        <v/>
      </c>
      <c r="AD259" s="51" t="str">
        <f aca="false">IF(OR($A259="",AD$8=""),"",IF($F259="Migré","ROKS",IF($F259="À décommissionner",IF(AD$8&lt;$AS259,"IKS","Décom."),IF(OR($AQ259="",$AS259=""),"",IF(AD$8&lt;$AQ259,"IKS",IF(AD$8&lt;$AS259,IF(AD$8=$AR259,"Bascule","Double run"),"ROKS"))))))</f>
        <v/>
      </c>
      <c r="AE259" s="51" t="str">
        <f aca="false">IF(OR($A259="",AE$8=""),"",IF($F259="Migré","ROKS",IF($F259="À décommissionner",IF(AE$8&lt;$AS259,"IKS","Décom."),IF(OR($AQ259="",$AS259=""),"",IF(AE$8&lt;$AQ259,"IKS",IF(AE$8&lt;$AS259,IF(AE$8=$AR259,"Bascule","Double run"),"ROKS"))))))</f>
        <v/>
      </c>
      <c r="AF259" s="51" t="str">
        <f aca="false">IF(OR($A259="",AF$8=""),"",IF($F259="Migré","ROKS",IF($F259="À décommissionner",IF(AF$8&lt;$AS259,"IKS","Décom."),IF(OR($AQ259="",$AS259=""),"",IF(AF$8&lt;$AQ259,"IKS",IF(AF$8&lt;$AS259,IF(AF$8=$AR259,"Bascule","Double run"),"ROKS"))))))</f>
        <v/>
      </c>
      <c r="AG259" s="51" t="str">
        <f aca="false">IF(OR($A259="",AG$8=""),"",IF($F259="Migré","ROKS",IF($F259="À décommissionner",IF(AG$8&lt;$AS259,"IKS","Décom."),IF(OR($AQ259="",$AS259=""),"",IF(AG$8&lt;$AQ259,"IKS",IF(AG$8&lt;$AS259,IF(AG$8=$AR259,"Bascule","Double run"),"ROKS"))))))</f>
        <v/>
      </c>
      <c r="AH259" s="51" t="str">
        <f aca="false">IF(OR($A259="",AH$8=""),"",IF($F259="Migré","ROKS",IF($F259="À décommissionner",IF(AH$8&lt;$AS259,"IKS","Décom."),IF(OR($AQ259="",$AS259=""),"",IF(AH$8&lt;$AQ259,"IKS",IF(AH$8&lt;$AS259,IF(AH$8=$AR259,"Bascule","Double run"),"ROKS"))))))</f>
        <v/>
      </c>
      <c r="AI259" s="51" t="str">
        <f aca="false">IF(OR($A259="",AI$8=""),"",IF($F259="Migré","ROKS",IF($F259="À décommissionner",IF(AI$8&lt;$AS259,"IKS","Décom."),IF(OR($AQ259="",$AS259=""),"",IF(AI$8&lt;$AQ259,"IKS",IF(AI$8&lt;$AS259,IF(AI$8=$AR259,"Bascule","Double run"),"ROKS"))))))</f>
        <v/>
      </c>
      <c r="AJ259" s="51" t="str">
        <f aca="false">IF(OR($A259="",AJ$8=""),"",IF($F259="Migré","ROKS",IF($F259="À décommissionner",IF(AJ$8&lt;$AS259,"IKS","Décom."),IF(OR($AQ259="",$AS259=""),"",IF(AJ$8&lt;$AQ259,"IKS",IF(AJ$8&lt;$AS259,IF(AJ$8=$AR259,"Bascule","Double run"),"ROKS"))))))</f>
        <v/>
      </c>
      <c r="AK259" s="51" t="str">
        <f aca="false">IF(OR($A259="",AK$8=""),"",IF($F259="Migré","ROKS",IF($F259="À décommissionner",IF(AK$8&lt;$AS259,"IKS","Décom."),IF(OR($AQ259="",$AS259=""),"",IF(AK$8&lt;$AQ259,"IKS",IF(AK$8&lt;$AS259,IF(AK$8=$AR259,"Bascule","Double run"),"ROKS"))))))</f>
        <v/>
      </c>
      <c r="AL259" s="51" t="str">
        <f aca="false">IF(OR($A259="",AL$8=""),"",IF($F259="Migré","ROKS",IF($F259="À décommissionner",IF(AL$8&lt;$AS259,"IKS","Décom."),IF(OR($AQ259="",$AS259=""),"",IF(AL$8&lt;$AQ259,"IKS",IF(AL$8&lt;$AS259,IF(AL$8=$AR259,"Bascule","Double run"),"ROKS"))))))</f>
        <v/>
      </c>
      <c r="AM259" s="51" t="str">
        <f aca="false">IF(OR($A259="",AM$8=""),"",IF($F259="Migré","ROKS",IF($F259="À décommissionner",IF(AM$8&lt;$AS259,"IKS","Décom."),IF(OR($AQ259="",$AS259=""),"",IF(AM$8&lt;$AQ259,"IKS",IF(AM$8&lt;$AS259,IF(AM$8=$AR259,"Bascule","Double run"),"ROKS"))))))</f>
        <v/>
      </c>
      <c r="AN259" s="51" t="str">
        <f aca="false">IF(OR($A259="",AN$8=""),"",IF($F259="Migré","ROKS",IF($F259="À décommissionner",IF(AN$8&lt;$AS259,"IKS","Décom."),IF(OR($AQ259="",$AS259=""),"",IF(AN$8&lt;$AQ259,"IKS",IF(AN$8&lt;$AS259,IF(AN$8=$AR259,"Bascule","Double run"),"ROKS"))))))</f>
        <v/>
      </c>
      <c r="AO259" s="51" t="str">
        <f aca="false">IF(OR($A259="",AO$8=""),"",IF($F259="Migré","ROKS",IF($F259="À décommissionner",IF(AO$8&lt;$AS259,"IKS","Décom."),IF(OR($AQ259="",$AS259=""),"",IF(AO$8&lt;$AQ259,"IKS",IF(AO$8&lt;$AS259,IF(AO$8=$AR259,"Bascule","Double run"),"ROKS"))))))</f>
        <v/>
      </c>
      <c r="AP259" s="51" t="str">
        <f aca="false">IF(OR($A259="",AP$8=""),"",IF($F259="Migré","ROKS",IF($F259="À décommissionner",IF(AP$8&lt;$AS259,"IKS","Décom."),IF(OR($AQ259="",$AS259=""),"",IF(AP$8&lt;$AQ259,"IKS",IF(AP$8&lt;$AS259,IF(AP$8=$AR259,"Bascule","Double run"),"ROKS"))))))</f>
        <v/>
      </c>
      <c r="AQ259" s="0" t="str">
        <f aca="false">IF($A259="","",INDEX(TblApplications[Mois prov (calc)],$A259))</f>
        <v/>
      </c>
      <c r="AR259" s="0" t="str">
        <f aca="false">IF($A259="","",IFERROR(DATE(YEAR(INDEX(TblApplications[Mois bascule],$A259)),MONTH(INDEX(TblApplications[Mois bascule],$A259)),1),""))</f>
        <v/>
      </c>
      <c r="AS259" s="0" t="str">
        <f aca="false">IF($A259="","",INDEX(TblApplications[Mois lib (calc)],$A259))</f>
        <v/>
      </c>
    </row>
    <row r="260" customFormat="false" ht="15" hidden="false" customHeight="false" outlineLevel="0" collapsed="false">
      <c r="A260" s="49" t="str">
        <f aca="false">IFERROR(MATCH(252,TblApplications[Rang frise],0),"")</f>
        <v/>
      </c>
      <c r="B260" s="50" t="str">
        <f aca="false">IF($A260="","",INDEX(TblApplications[ID],$A260))</f>
        <v/>
      </c>
      <c r="C260" s="50" t="str">
        <f aca="false">IF($A260="","",INDEX(TblApplications[Application],$A260))</f>
        <v/>
      </c>
      <c r="D260" s="50" t="str">
        <f aca="false">IF($A260="","",INDEX(TblApplications[Environnement],$A260))</f>
        <v/>
      </c>
      <c r="E260" s="50" t="str">
        <f aca="false">IF($A260="","",INDEX(TblApplications[Couloir],$A260))</f>
        <v/>
      </c>
      <c r="F260" s="50" t="str">
        <f aca="false">IF($A260="","",INDEX(TblApplications[Action],$A260))</f>
        <v/>
      </c>
      <c r="G260" s="51" t="str">
        <f aca="false">IF(OR($A260="",G$8=""),"",IF($F260="Migré","ROKS",IF($F260="À décommissionner",IF(G$8&lt;$AS260,"IKS","Décom."),IF(OR($AQ260="",$AS260=""),"",IF(G$8&lt;$AQ260,"IKS",IF(G$8&lt;$AS260,IF(G$8=$AR260,"Bascule","Double run"),"ROKS"))))))</f>
        <v/>
      </c>
      <c r="H260" s="51" t="str">
        <f aca="false">IF(OR($A260="",H$8=""),"",IF($F260="Migré","ROKS",IF($F260="À décommissionner",IF(H$8&lt;$AS260,"IKS","Décom."),IF(OR($AQ260="",$AS260=""),"",IF(H$8&lt;$AQ260,"IKS",IF(H$8&lt;$AS260,IF(H$8=$AR260,"Bascule","Double run"),"ROKS"))))))</f>
        <v/>
      </c>
      <c r="I260" s="51" t="str">
        <f aca="false">IF(OR($A260="",I$8=""),"",IF($F260="Migré","ROKS",IF($F260="À décommissionner",IF(I$8&lt;$AS260,"IKS","Décom."),IF(OR($AQ260="",$AS260=""),"",IF(I$8&lt;$AQ260,"IKS",IF(I$8&lt;$AS260,IF(I$8=$AR260,"Bascule","Double run"),"ROKS"))))))</f>
        <v/>
      </c>
      <c r="J260" s="51" t="str">
        <f aca="false">IF(OR($A260="",J$8=""),"",IF($F260="Migré","ROKS",IF($F260="À décommissionner",IF(J$8&lt;$AS260,"IKS","Décom."),IF(OR($AQ260="",$AS260=""),"",IF(J$8&lt;$AQ260,"IKS",IF(J$8&lt;$AS260,IF(J$8=$AR260,"Bascule","Double run"),"ROKS"))))))</f>
        <v/>
      </c>
      <c r="K260" s="51" t="str">
        <f aca="false">IF(OR($A260="",K$8=""),"",IF($F260="Migré","ROKS",IF($F260="À décommissionner",IF(K$8&lt;$AS260,"IKS","Décom."),IF(OR($AQ260="",$AS260=""),"",IF(K$8&lt;$AQ260,"IKS",IF(K$8&lt;$AS260,IF(K$8=$AR260,"Bascule","Double run"),"ROKS"))))))</f>
        <v/>
      </c>
      <c r="L260" s="51" t="str">
        <f aca="false">IF(OR($A260="",L$8=""),"",IF($F260="Migré","ROKS",IF($F260="À décommissionner",IF(L$8&lt;$AS260,"IKS","Décom."),IF(OR($AQ260="",$AS260=""),"",IF(L$8&lt;$AQ260,"IKS",IF(L$8&lt;$AS260,IF(L$8=$AR260,"Bascule","Double run"),"ROKS"))))))</f>
        <v/>
      </c>
      <c r="M260" s="51" t="str">
        <f aca="false">IF(OR($A260="",M$8=""),"",IF($F260="Migré","ROKS",IF($F260="À décommissionner",IF(M$8&lt;$AS260,"IKS","Décom."),IF(OR($AQ260="",$AS260=""),"",IF(M$8&lt;$AQ260,"IKS",IF(M$8&lt;$AS260,IF(M$8=$AR260,"Bascule","Double run"),"ROKS"))))))</f>
        <v/>
      </c>
      <c r="N260" s="51" t="str">
        <f aca="false">IF(OR($A260="",N$8=""),"",IF($F260="Migré","ROKS",IF($F260="À décommissionner",IF(N$8&lt;$AS260,"IKS","Décom."),IF(OR($AQ260="",$AS260=""),"",IF(N$8&lt;$AQ260,"IKS",IF(N$8&lt;$AS260,IF(N$8=$AR260,"Bascule","Double run"),"ROKS"))))))</f>
        <v/>
      </c>
      <c r="O260" s="51" t="str">
        <f aca="false">IF(OR($A260="",O$8=""),"",IF($F260="Migré","ROKS",IF($F260="À décommissionner",IF(O$8&lt;$AS260,"IKS","Décom."),IF(OR($AQ260="",$AS260=""),"",IF(O$8&lt;$AQ260,"IKS",IF(O$8&lt;$AS260,IF(O$8=$AR260,"Bascule","Double run"),"ROKS"))))))</f>
        <v/>
      </c>
      <c r="P260" s="51" t="str">
        <f aca="false">IF(OR($A260="",P$8=""),"",IF($F260="Migré","ROKS",IF($F260="À décommissionner",IF(P$8&lt;$AS260,"IKS","Décom."),IF(OR($AQ260="",$AS260=""),"",IF(P$8&lt;$AQ260,"IKS",IF(P$8&lt;$AS260,IF(P$8=$AR260,"Bascule","Double run"),"ROKS"))))))</f>
        <v/>
      </c>
      <c r="Q260" s="51" t="str">
        <f aca="false">IF(OR($A260="",Q$8=""),"",IF($F260="Migré","ROKS",IF($F260="À décommissionner",IF(Q$8&lt;$AS260,"IKS","Décom."),IF(OR($AQ260="",$AS260=""),"",IF(Q$8&lt;$AQ260,"IKS",IF(Q$8&lt;$AS260,IF(Q$8=$AR260,"Bascule","Double run"),"ROKS"))))))</f>
        <v/>
      </c>
      <c r="R260" s="51" t="str">
        <f aca="false">IF(OR($A260="",R$8=""),"",IF($F260="Migré","ROKS",IF($F260="À décommissionner",IF(R$8&lt;$AS260,"IKS","Décom."),IF(OR($AQ260="",$AS260=""),"",IF(R$8&lt;$AQ260,"IKS",IF(R$8&lt;$AS260,IF(R$8=$AR260,"Bascule","Double run"),"ROKS"))))))</f>
        <v/>
      </c>
      <c r="S260" s="51" t="str">
        <f aca="false">IF(OR($A260="",S$8=""),"",IF($F260="Migré","ROKS",IF($F260="À décommissionner",IF(S$8&lt;$AS260,"IKS","Décom."),IF(OR($AQ260="",$AS260=""),"",IF(S$8&lt;$AQ260,"IKS",IF(S$8&lt;$AS260,IF(S$8=$AR260,"Bascule","Double run"),"ROKS"))))))</f>
        <v/>
      </c>
      <c r="T260" s="51" t="str">
        <f aca="false">IF(OR($A260="",T$8=""),"",IF($F260="Migré","ROKS",IF($F260="À décommissionner",IF(T$8&lt;$AS260,"IKS","Décom."),IF(OR($AQ260="",$AS260=""),"",IF(T$8&lt;$AQ260,"IKS",IF(T$8&lt;$AS260,IF(T$8=$AR260,"Bascule","Double run"),"ROKS"))))))</f>
        <v/>
      </c>
      <c r="U260" s="51" t="str">
        <f aca="false">IF(OR($A260="",U$8=""),"",IF($F260="Migré","ROKS",IF($F260="À décommissionner",IF(U$8&lt;$AS260,"IKS","Décom."),IF(OR($AQ260="",$AS260=""),"",IF(U$8&lt;$AQ260,"IKS",IF(U$8&lt;$AS260,IF(U$8=$AR260,"Bascule","Double run"),"ROKS"))))))</f>
        <v/>
      </c>
      <c r="V260" s="51" t="str">
        <f aca="false">IF(OR($A260="",V$8=""),"",IF($F260="Migré","ROKS",IF($F260="À décommissionner",IF(V$8&lt;$AS260,"IKS","Décom."),IF(OR($AQ260="",$AS260=""),"",IF(V$8&lt;$AQ260,"IKS",IF(V$8&lt;$AS260,IF(V$8=$AR260,"Bascule","Double run"),"ROKS"))))))</f>
        <v/>
      </c>
      <c r="W260" s="51" t="str">
        <f aca="false">IF(OR($A260="",W$8=""),"",IF($F260="Migré","ROKS",IF($F260="À décommissionner",IF(W$8&lt;$AS260,"IKS","Décom."),IF(OR($AQ260="",$AS260=""),"",IF(W$8&lt;$AQ260,"IKS",IF(W$8&lt;$AS260,IF(W$8=$AR260,"Bascule","Double run"),"ROKS"))))))</f>
        <v/>
      </c>
      <c r="X260" s="51" t="str">
        <f aca="false">IF(OR($A260="",X$8=""),"",IF($F260="Migré","ROKS",IF($F260="À décommissionner",IF(X$8&lt;$AS260,"IKS","Décom."),IF(OR($AQ260="",$AS260=""),"",IF(X$8&lt;$AQ260,"IKS",IF(X$8&lt;$AS260,IF(X$8=$AR260,"Bascule","Double run"),"ROKS"))))))</f>
        <v/>
      </c>
      <c r="Y260" s="51" t="str">
        <f aca="false">IF(OR($A260="",Y$8=""),"",IF($F260="Migré","ROKS",IF($F260="À décommissionner",IF(Y$8&lt;$AS260,"IKS","Décom."),IF(OR($AQ260="",$AS260=""),"",IF(Y$8&lt;$AQ260,"IKS",IF(Y$8&lt;$AS260,IF(Y$8=$AR260,"Bascule","Double run"),"ROKS"))))))</f>
        <v/>
      </c>
      <c r="Z260" s="51" t="str">
        <f aca="false">IF(OR($A260="",Z$8=""),"",IF($F260="Migré","ROKS",IF($F260="À décommissionner",IF(Z$8&lt;$AS260,"IKS","Décom."),IF(OR($AQ260="",$AS260=""),"",IF(Z$8&lt;$AQ260,"IKS",IF(Z$8&lt;$AS260,IF(Z$8=$AR260,"Bascule","Double run"),"ROKS"))))))</f>
        <v/>
      </c>
      <c r="AA260" s="51" t="str">
        <f aca="false">IF(OR($A260="",AA$8=""),"",IF($F260="Migré","ROKS",IF($F260="À décommissionner",IF(AA$8&lt;$AS260,"IKS","Décom."),IF(OR($AQ260="",$AS260=""),"",IF(AA$8&lt;$AQ260,"IKS",IF(AA$8&lt;$AS260,IF(AA$8=$AR260,"Bascule","Double run"),"ROKS"))))))</f>
        <v/>
      </c>
      <c r="AB260" s="51" t="str">
        <f aca="false">IF(OR($A260="",AB$8=""),"",IF($F260="Migré","ROKS",IF($F260="À décommissionner",IF(AB$8&lt;$AS260,"IKS","Décom."),IF(OR($AQ260="",$AS260=""),"",IF(AB$8&lt;$AQ260,"IKS",IF(AB$8&lt;$AS260,IF(AB$8=$AR260,"Bascule","Double run"),"ROKS"))))))</f>
        <v/>
      </c>
      <c r="AC260" s="51" t="str">
        <f aca="false">IF(OR($A260="",AC$8=""),"",IF($F260="Migré","ROKS",IF($F260="À décommissionner",IF(AC$8&lt;$AS260,"IKS","Décom."),IF(OR($AQ260="",$AS260=""),"",IF(AC$8&lt;$AQ260,"IKS",IF(AC$8&lt;$AS260,IF(AC$8=$AR260,"Bascule","Double run"),"ROKS"))))))</f>
        <v/>
      </c>
      <c r="AD260" s="51" t="str">
        <f aca="false">IF(OR($A260="",AD$8=""),"",IF($F260="Migré","ROKS",IF($F260="À décommissionner",IF(AD$8&lt;$AS260,"IKS","Décom."),IF(OR($AQ260="",$AS260=""),"",IF(AD$8&lt;$AQ260,"IKS",IF(AD$8&lt;$AS260,IF(AD$8=$AR260,"Bascule","Double run"),"ROKS"))))))</f>
        <v/>
      </c>
      <c r="AE260" s="51" t="str">
        <f aca="false">IF(OR($A260="",AE$8=""),"",IF($F260="Migré","ROKS",IF($F260="À décommissionner",IF(AE$8&lt;$AS260,"IKS","Décom."),IF(OR($AQ260="",$AS260=""),"",IF(AE$8&lt;$AQ260,"IKS",IF(AE$8&lt;$AS260,IF(AE$8=$AR260,"Bascule","Double run"),"ROKS"))))))</f>
        <v/>
      </c>
      <c r="AF260" s="51" t="str">
        <f aca="false">IF(OR($A260="",AF$8=""),"",IF($F260="Migré","ROKS",IF($F260="À décommissionner",IF(AF$8&lt;$AS260,"IKS","Décom."),IF(OR($AQ260="",$AS260=""),"",IF(AF$8&lt;$AQ260,"IKS",IF(AF$8&lt;$AS260,IF(AF$8=$AR260,"Bascule","Double run"),"ROKS"))))))</f>
        <v/>
      </c>
      <c r="AG260" s="51" t="str">
        <f aca="false">IF(OR($A260="",AG$8=""),"",IF($F260="Migré","ROKS",IF($F260="À décommissionner",IF(AG$8&lt;$AS260,"IKS","Décom."),IF(OR($AQ260="",$AS260=""),"",IF(AG$8&lt;$AQ260,"IKS",IF(AG$8&lt;$AS260,IF(AG$8=$AR260,"Bascule","Double run"),"ROKS"))))))</f>
        <v/>
      </c>
      <c r="AH260" s="51" t="str">
        <f aca="false">IF(OR($A260="",AH$8=""),"",IF($F260="Migré","ROKS",IF($F260="À décommissionner",IF(AH$8&lt;$AS260,"IKS","Décom."),IF(OR($AQ260="",$AS260=""),"",IF(AH$8&lt;$AQ260,"IKS",IF(AH$8&lt;$AS260,IF(AH$8=$AR260,"Bascule","Double run"),"ROKS"))))))</f>
        <v/>
      </c>
      <c r="AI260" s="51" t="str">
        <f aca="false">IF(OR($A260="",AI$8=""),"",IF($F260="Migré","ROKS",IF($F260="À décommissionner",IF(AI$8&lt;$AS260,"IKS","Décom."),IF(OR($AQ260="",$AS260=""),"",IF(AI$8&lt;$AQ260,"IKS",IF(AI$8&lt;$AS260,IF(AI$8=$AR260,"Bascule","Double run"),"ROKS"))))))</f>
        <v/>
      </c>
      <c r="AJ260" s="51" t="str">
        <f aca="false">IF(OR($A260="",AJ$8=""),"",IF($F260="Migré","ROKS",IF($F260="À décommissionner",IF(AJ$8&lt;$AS260,"IKS","Décom."),IF(OR($AQ260="",$AS260=""),"",IF(AJ$8&lt;$AQ260,"IKS",IF(AJ$8&lt;$AS260,IF(AJ$8=$AR260,"Bascule","Double run"),"ROKS"))))))</f>
        <v/>
      </c>
      <c r="AK260" s="51" t="str">
        <f aca="false">IF(OR($A260="",AK$8=""),"",IF($F260="Migré","ROKS",IF($F260="À décommissionner",IF(AK$8&lt;$AS260,"IKS","Décom."),IF(OR($AQ260="",$AS260=""),"",IF(AK$8&lt;$AQ260,"IKS",IF(AK$8&lt;$AS260,IF(AK$8=$AR260,"Bascule","Double run"),"ROKS"))))))</f>
        <v/>
      </c>
      <c r="AL260" s="51" t="str">
        <f aca="false">IF(OR($A260="",AL$8=""),"",IF($F260="Migré","ROKS",IF($F260="À décommissionner",IF(AL$8&lt;$AS260,"IKS","Décom."),IF(OR($AQ260="",$AS260=""),"",IF(AL$8&lt;$AQ260,"IKS",IF(AL$8&lt;$AS260,IF(AL$8=$AR260,"Bascule","Double run"),"ROKS"))))))</f>
        <v/>
      </c>
      <c r="AM260" s="51" t="str">
        <f aca="false">IF(OR($A260="",AM$8=""),"",IF($F260="Migré","ROKS",IF($F260="À décommissionner",IF(AM$8&lt;$AS260,"IKS","Décom."),IF(OR($AQ260="",$AS260=""),"",IF(AM$8&lt;$AQ260,"IKS",IF(AM$8&lt;$AS260,IF(AM$8=$AR260,"Bascule","Double run"),"ROKS"))))))</f>
        <v/>
      </c>
      <c r="AN260" s="51" t="str">
        <f aca="false">IF(OR($A260="",AN$8=""),"",IF($F260="Migré","ROKS",IF($F260="À décommissionner",IF(AN$8&lt;$AS260,"IKS","Décom."),IF(OR($AQ260="",$AS260=""),"",IF(AN$8&lt;$AQ260,"IKS",IF(AN$8&lt;$AS260,IF(AN$8=$AR260,"Bascule","Double run"),"ROKS"))))))</f>
        <v/>
      </c>
      <c r="AO260" s="51" t="str">
        <f aca="false">IF(OR($A260="",AO$8=""),"",IF($F260="Migré","ROKS",IF($F260="À décommissionner",IF(AO$8&lt;$AS260,"IKS","Décom."),IF(OR($AQ260="",$AS260=""),"",IF(AO$8&lt;$AQ260,"IKS",IF(AO$8&lt;$AS260,IF(AO$8=$AR260,"Bascule","Double run"),"ROKS"))))))</f>
        <v/>
      </c>
      <c r="AP260" s="51" t="str">
        <f aca="false">IF(OR($A260="",AP$8=""),"",IF($F260="Migré","ROKS",IF($F260="À décommissionner",IF(AP$8&lt;$AS260,"IKS","Décom."),IF(OR($AQ260="",$AS260=""),"",IF(AP$8&lt;$AQ260,"IKS",IF(AP$8&lt;$AS260,IF(AP$8=$AR260,"Bascule","Double run"),"ROKS"))))))</f>
        <v/>
      </c>
      <c r="AQ260" s="0" t="str">
        <f aca="false">IF($A260="","",INDEX(TblApplications[Mois prov (calc)],$A260))</f>
        <v/>
      </c>
      <c r="AR260" s="0" t="str">
        <f aca="false">IF($A260="","",IFERROR(DATE(YEAR(INDEX(TblApplications[Mois bascule],$A260)),MONTH(INDEX(TblApplications[Mois bascule],$A260)),1),""))</f>
        <v/>
      </c>
      <c r="AS260" s="0" t="str">
        <f aca="false">IF($A260="","",INDEX(TblApplications[Mois lib (calc)],$A260))</f>
        <v/>
      </c>
    </row>
    <row r="261" customFormat="false" ht="15" hidden="false" customHeight="false" outlineLevel="0" collapsed="false">
      <c r="A261" s="49" t="str">
        <f aca="false">IFERROR(MATCH(253,TblApplications[Rang frise],0),"")</f>
        <v/>
      </c>
      <c r="B261" s="50" t="str">
        <f aca="false">IF($A261="","",INDEX(TblApplications[ID],$A261))</f>
        <v/>
      </c>
      <c r="C261" s="50" t="str">
        <f aca="false">IF($A261="","",INDEX(TblApplications[Application],$A261))</f>
        <v/>
      </c>
      <c r="D261" s="50" t="str">
        <f aca="false">IF($A261="","",INDEX(TblApplications[Environnement],$A261))</f>
        <v/>
      </c>
      <c r="E261" s="50" t="str">
        <f aca="false">IF($A261="","",INDEX(TblApplications[Couloir],$A261))</f>
        <v/>
      </c>
      <c r="F261" s="50" t="str">
        <f aca="false">IF($A261="","",INDEX(TblApplications[Action],$A261))</f>
        <v/>
      </c>
      <c r="G261" s="51" t="str">
        <f aca="false">IF(OR($A261="",G$8=""),"",IF($F261="Migré","ROKS",IF($F261="À décommissionner",IF(G$8&lt;$AS261,"IKS","Décom."),IF(OR($AQ261="",$AS261=""),"",IF(G$8&lt;$AQ261,"IKS",IF(G$8&lt;$AS261,IF(G$8=$AR261,"Bascule","Double run"),"ROKS"))))))</f>
        <v/>
      </c>
      <c r="H261" s="51" t="str">
        <f aca="false">IF(OR($A261="",H$8=""),"",IF($F261="Migré","ROKS",IF($F261="À décommissionner",IF(H$8&lt;$AS261,"IKS","Décom."),IF(OR($AQ261="",$AS261=""),"",IF(H$8&lt;$AQ261,"IKS",IF(H$8&lt;$AS261,IF(H$8=$AR261,"Bascule","Double run"),"ROKS"))))))</f>
        <v/>
      </c>
      <c r="I261" s="51" t="str">
        <f aca="false">IF(OR($A261="",I$8=""),"",IF($F261="Migré","ROKS",IF($F261="À décommissionner",IF(I$8&lt;$AS261,"IKS","Décom."),IF(OR($AQ261="",$AS261=""),"",IF(I$8&lt;$AQ261,"IKS",IF(I$8&lt;$AS261,IF(I$8=$AR261,"Bascule","Double run"),"ROKS"))))))</f>
        <v/>
      </c>
      <c r="J261" s="51" t="str">
        <f aca="false">IF(OR($A261="",J$8=""),"",IF($F261="Migré","ROKS",IF($F261="À décommissionner",IF(J$8&lt;$AS261,"IKS","Décom."),IF(OR($AQ261="",$AS261=""),"",IF(J$8&lt;$AQ261,"IKS",IF(J$8&lt;$AS261,IF(J$8=$AR261,"Bascule","Double run"),"ROKS"))))))</f>
        <v/>
      </c>
      <c r="K261" s="51" t="str">
        <f aca="false">IF(OR($A261="",K$8=""),"",IF($F261="Migré","ROKS",IF($F261="À décommissionner",IF(K$8&lt;$AS261,"IKS","Décom."),IF(OR($AQ261="",$AS261=""),"",IF(K$8&lt;$AQ261,"IKS",IF(K$8&lt;$AS261,IF(K$8=$AR261,"Bascule","Double run"),"ROKS"))))))</f>
        <v/>
      </c>
      <c r="L261" s="51" t="str">
        <f aca="false">IF(OR($A261="",L$8=""),"",IF($F261="Migré","ROKS",IF($F261="À décommissionner",IF(L$8&lt;$AS261,"IKS","Décom."),IF(OR($AQ261="",$AS261=""),"",IF(L$8&lt;$AQ261,"IKS",IF(L$8&lt;$AS261,IF(L$8=$AR261,"Bascule","Double run"),"ROKS"))))))</f>
        <v/>
      </c>
      <c r="M261" s="51" t="str">
        <f aca="false">IF(OR($A261="",M$8=""),"",IF($F261="Migré","ROKS",IF($F261="À décommissionner",IF(M$8&lt;$AS261,"IKS","Décom."),IF(OR($AQ261="",$AS261=""),"",IF(M$8&lt;$AQ261,"IKS",IF(M$8&lt;$AS261,IF(M$8=$AR261,"Bascule","Double run"),"ROKS"))))))</f>
        <v/>
      </c>
      <c r="N261" s="51" t="str">
        <f aca="false">IF(OR($A261="",N$8=""),"",IF($F261="Migré","ROKS",IF($F261="À décommissionner",IF(N$8&lt;$AS261,"IKS","Décom."),IF(OR($AQ261="",$AS261=""),"",IF(N$8&lt;$AQ261,"IKS",IF(N$8&lt;$AS261,IF(N$8=$AR261,"Bascule","Double run"),"ROKS"))))))</f>
        <v/>
      </c>
      <c r="O261" s="51" t="str">
        <f aca="false">IF(OR($A261="",O$8=""),"",IF($F261="Migré","ROKS",IF($F261="À décommissionner",IF(O$8&lt;$AS261,"IKS","Décom."),IF(OR($AQ261="",$AS261=""),"",IF(O$8&lt;$AQ261,"IKS",IF(O$8&lt;$AS261,IF(O$8=$AR261,"Bascule","Double run"),"ROKS"))))))</f>
        <v/>
      </c>
      <c r="P261" s="51" t="str">
        <f aca="false">IF(OR($A261="",P$8=""),"",IF($F261="Migré","ROKS",IF($F261="À décommissionner",IF(P$8&lt;$AS261,"IKS","Décom."),IF(OR($AQ261="",$AS261=""),"",IF(P$8&lt;$AQ261,"IKS",IF(P$8&lt;$AS261,IF(P$8=$AR261,"Bascule","Double run"),"ROKS"))))))</f>
        <v/>
      </c>
      <c r="Q261" s="51" t="str">
        <f aca="false">IF(OR($A261="",Q$8=""),"",IF($F261="Migré","ROKS",IF($F261="À décommissionner",IF(Q$8&lt;$AS261,"IKS","Décom."),IF(OR($AQ261="",$AS261=""),"",IF(Q$8&lt;$AQ261,"IKS",IF(Q$8&lt;$AS261,IF(Q$8=$AR261,"Bascule","Double run"),"ROKS"))))))</f>
        <v/>
      </c>
      <c r="R261" s="51" t="str">
        <f aca="false">IF(OR($A261="",R$8=""),"",IF($F261="Migré","ROKS",IF($F261="À décommissionner",IF(R$8&lt;$AS261,"IKS","Décom."),IF(OR($AQ261="",$AS261=""),"",IF(R$8&lt;$AQ261,"IKS",IF(R$8&lt;$AS261,IF(R$8=$AR261,"Bascule","Double run"),"ROKS"))))))</f>
        <v/>
      </c>
      <c r="S261" s="51" t="str">
        <f aca="false">IF(OR($A261="",S$8=""),"",IF($F261="Migré","ROKS",IF($F261="À décommissionner",IF(S$8&lt;$AS261,"IKS","Décom."),IF(OR($AQ261="",$AS261=""),"",IF(S$8&lt;$AQ261,"IKS",IF(S$8&lt;$AS261,IF(S$8=$AR261,"Bascule","Double run"),"ROKS"))))))</f>
        <v/>
      </c>
      <c r="T261" s="51" t="str">
        <f aca="false">IF(OR($A261="",T$8=""),"",IF($F261="Migré","ROKS",IF($F261="À décommissionner",IF(T$8&lt;$AS261,"IKS","Décom."),IF(OR($AQ261="",$AS261=""),"",IF(T$8&lt;$AQ261,"IKS",IF(T$8&lt;$AS261,IF(T$8=$AR261,"Bascule","Double run"),"ROKS"))))))</f>
        <v/>
      </c>
      <c r="U261" s="51" t="str">
        <f aca="false">IF(OR($A261="",U$8=""),"",IF($F261="Migré","ROKS",IF($F261="À décommissionner",IF(U$8&lt;$AS261,"IKS","Décom."),IF(OR($AQ261="",$AS261=""),"",IF(U$8&lt;$AQ261,"IKS",IF(U$8&lt;$AS261,IF(U$8=$AR261,"Bascule","Double run"),"ROKS"))))))</f>
        <v/>
      </c>
      <c r="V261" s="51" t="str">
        <f aca="false">IF(OR($A261="",V$8=""),"",IF($F261="Migré","ROKS",IF($F261="À décommissionner",IF(V$8&lt;$AS261,"IKS","Décom."),IF(OR($AQ261="",$AS261=""),"",IF(V$8&lt;$AQ261,"IKS",IF(V$8&lt;$AS261,IF(V$8=$AR261,"Bascule","Double run"),"ROKS"))))))</f>
        <v/>
      </c>
      <c r="W261" s="51" t="str">
        <f aca="false">IF(OR($A261="",W$8=""),"",IF($F261="Migré","ROKS",IF($F261="À décommissionner",IF(W$8&lt;$AS261,"IKS","Décom."),IF(OR($AQ261="",$AS261=""),"",IF(W$8&lt;$AQ261,"IKS",IF(W$8&lt;$AS261,IF(W$8=$AR261,"Bascule","Double run"),"ROKS"))))))</f>
        <v/>
      </c>
      <c r="X261" s="51" t="str">
        <f aca="false">IF(OR($A261="",X$8=""),"",IF($F261="Migré","ROKS",IF($F261="À décommissionner",IF(X$8&lt;$AS261,"IKS","Décom."),IF(OR($AQ261="",$AS261=""),"",IF(X$8&lt;$AQ261,"IKS",IF(X$8&lt;$AS261,IF(X$8=$AR261,"Bascule","Double run"),"ROKS"))))))</f>
        <v/>
      </c>
      <c r="Y261" s="51" t="str">
        <f aca="false">IF(OR($A261="",Y$8=""),"",IF($F261="Migré","ROKS",IF($F261="À décommissionner",IF(Y$8&lt;$AS261,"IKS","Décom."),IF(OR($AQ261="",$AS261=""),"",IF(Y$8&lt;$AQ261,"IKS",IF(Y$8&lt;$AS261,IF(Y$8=$AR261,"Bascule","Double run"),"ROKS"))))))</f>
        <v/>
      </c>
      <c r="Z261" s="51" t="str">
        <f aca="false">IF(OR($A261="",Z$8=""),"",IF($F261="Migré","ROKS",IF($F261="À décommissionner",IF(Z$8&lt;$AS261,"IKS","Décom."),IF(OR($AQ261="",$AS261=""),"",IF(Z$8&lt;$AQ261,"IKS",IF(Z$8&lt;$AS261,IF(Z$8=$AR261,"Bascule","Double run"),"ROKS"))))))</f>
        <v/>
      </c>
      <c r="AA261" s="51" t="str">
        <f aca="false">IF(OR($A261="",AA$8=""),"",IF($F261="Migré","ROKS",IF($F261="À décommissionner",IF(AA$8&lt;$AS261,"IKS","Décom."),IF(OR($AQ261="",$AS261=""),"",IF(AA$8&lt;$AQ261,"IKS",IF(AA$8&lt;$AS261,IF(AA$8=$AR261,"Bascule","Double run"),"ROKS"))))))</f>
        <v/>
      </c>
      <c r="AB261" s="51" t="str">
        <f aca="false">IF(OR($A261="",AB$8=""),"",IF($F261="Migré","ROKS",IF($F261="À décommissionner",IF(AB$8&lt;$AS261,"IKS","Décom."),IF(OR($AQ261="",$AS261=""),"",IF(AB$8&lt;$AQ261,"IKS",IF(AB$8&lt;$AS261,IF(AB$8=$AR261,"Bascule","Double run"),"ROKS"))))))</f>
        <v/>
      </c>
      <c r="AC261" s="51" t="str">
        <f aca="false">IF(OR($A261="",AC$8=""),"",IF($F261="Migré","ROKS",IF($F261="À décommissionner",IF(AC$8&lt;$AS261,"IKS","Décom."),IF(OR($AQ261="",$AS261=""),"",IF(AC$8&lt;$AQ261,"IKS",IF(AC$8&lt;$AS261,IF(AC$8=$AR261,"Bascule","Double run"),"ROKS"))))))</f>
        <v/>
      </c>
      <c r="AD261" s="51" t="str">
        <f aca="false">IF(OR($A261="",AD$8=""),"",IF($F261="Migré","ROKS",IF($F261="À décommissionner",IF(AD$8&lt;$AS261,"IKS","Décom."),IF(OR($AQ261="",$AS261=""),"",IF(AD$8&lt;$AQ261,"IKS",IF(AD$8&lt;$AS261,IF(AD$8=$AR261,"Bascule","Double run"),"ROKS"))))))</f>
        <v/>
      </c>
      <c r="AE261" s="51" t="str">
        <f aca="false">IF(OR($A261="",AE$8=""),"",IF($F261="Migré","ROKS",IF($F261="À décommissionner",IF(AE$8&lt;$AS261,"IKS","Décom."),IF(OR($AQ261="",$AS261=""),"",IF(AE$8&lt;$AQ261,"IKS",IF(AE$8&lt;$AS261,IF(AE$8=$AR261,"Bascule","Double run"),"ROKS"))))))</f>
        <v/>
      </c>
      <c r="AF261" s="51" t="str">
        <f aca="false">IF(OR($A261="",AF$8=""),"",IF($F261="Migré","ROKS",IF($F261="À décommissionner",IF(AF$8&lt;$AS261,"IKS","Décom."),IF(OR($AQ261="",$AS261=""),"",IF(AF$8&lt;$AQ261,"IKS",IF(AF$8&lt;$AS261,IF(AF$8=$AR261,"Bascule","Double run"),"ROKS"))))))</f>
        <v/>
      </c>
      <c r="AG261" s="51" t="str">
        <f aca="false">IF(OR($A261="",AG$8=""),"",IF($F261="Migré","ROKS",IF($F261="À décommissionner",IF(AG$8&lt;$AS261,"IKS","Décom."),IF(OR($AQ261="",$AS261=""),"",IF(AG$8&lt;$AQ261,"IKS",IF(AG$8&lt;$AS261,IF(AG$8=$AR261,"Bascule","Double run"),"ROKS"))))))</f>
        <v/>
      </c>
      <c r="AH261" s="51" t="str">
        <f aca="false">IF(OR($A261="",AH$8=""),"",IF($F261="Migré","ROKS",IF($F261="À décommissionner",IF(AH$8&lt;$AS261,"IKS","Décom."),IF(OR($AQ261="",$AS261=""),"",IF(AH$8&lt;$AQ261,"IKS",IF(AH$8&lt;$AS261,IF(AH$8=$AR261,"Bascule","Double run"),"ROKS"))))))</f>
        <v/>
      </c>
      <c r="AI261" s="51" t="str">
        <f aca="false">IF(OR($A261="",AI$8=""),"",IF($F261="Migré","ROKS",IF($F261="À décommissionner",IF(AI$8&lt;$AS261,"IKS","Décom."),IF(OR($AQ261="",$AS261=""),"",IF(AI$8&lt;$AQ261,"IKS",IF(AI$8&lt;$AS261,IF(AI$8=$AR261,"Bascule","Double run"),"ROKS"))))))</f>
        <v/>
      </c>
      <c r="AJ261" s="51" t="str">
        <f aca="false">IF(OR($A261="",AJ$8=""),"",IF($F261="Migré","ROKS",IF($F261="À décommissionner",IF(AJ$8&lt;$AS261,"IKS","Décom."),IF(OR($AQ261="",$AS261=""),"",IF(AJ$8&lt;$AQ261,"IKS",IF(AJ$8&lt;$AS261,IF(AJ$8=$AR261,"Bascule","Double run"),"ROKS"))))))</f>
        <v/>
      </c>
      <c r="AK261" s="51" t="str">
        <f aca="false">IF(OR($A261="",AK$8=""),"",IF($F261="Migré","ROKS",IF($F261="À décommissionner",IF(AK$8&lt;$AS261,"IKS","Décom."),IF(OR($AQ261="",$AS261=""),"",IF(AK$8&lt;$AQ261,"IKS",IF(AK$8&lt;$AS261,IF(AK$8=$AR261,"Bascule","Double run"),"ROKS"))))))</f>
        <v/>
      </c>
      <c r="AL261" s="51" t="str">
        <f aca="false">IF(OR($A261="",AL$8=""),"",IF($F261="Migré","ROKS",IF($F261="À décommissionner",IF(AL$8&lt;$AS261,"IKS","Décom."),IF(OR($AQ261="",$AS261=""),"",IF(AL$8&lt;$AQ261,"IKS",IF(AL$8&lt;$AS261,IF(AL$8=$AR261,"Bascule","Double run"),"ROKS"))))))</f>
        <v/>
      </c>
      <c r="AM261" s="51" t="str">
        <f aca="false">IF(OR($A261="",AM$8=""),"",IF($F261="Migré","ROKS",IF($F261="À décommissionner",IF(AM$8&lt;$AS261,"IKS","Décom."),IF(OR($AQ261="",$AS261=""),"",IF(AM$8&lt;$AQ261,"IKS",IF(AM$8&lt;$AS261,IF(AM$8=$AR261,"Bascule","Double run"),"ROKS"))))))</f>
        <v/>
      </c>
      <c r="AN261" s="51" t="str">
        <f aca="false">IF(OR($A261="",AN$8=""),"",IF($F261="Migré","ROKS",IF($F261="À décommissionner",IF(AN$8&lt;$AS261,"IKS","Décom."),IF(OR($AQ261="",$AS261=""),"",IF(AN$8&lt;$AQ261,"IKS",IF(AN$8&lt;$AS261,IF(AN$8=$AR261,"Bascule","Double run"),"ROKS"))))))</f>
        <v/>
      </c>
      <c r="AO261" s="51" t="str">
        <f aca="false">IF(OR($A261="",AO$8=""),"",IF($F261="Migré","ROKS",IF($F261="À décommissionner",IF(AO$8&lt;$AS261,"IKS","Décom."),IF(OR($AQ261="",$AS261=""),"",IF(AO$8&lt;$AQ261,"IKS",IF(AO$8&lt;$AS261,IF(AO$8=$AR261,"Bascule","Double run"),"ROKS"))))))</f>
        <v/>
      </c>
      <c r="AP261" s="51" t="str">
        <f aca="false">IF(OR($A261="",AP$8=""),"",IF($F261="Migré","ROKS",IF($F261="À décommissionner",IF(AP$8&lt;$AS261,"IKS","Décom."),IF(OR($AQ261="",$AS261=""),"",IF(AP$8&lt;$AQ261,"IKS",IF(AP$8&lt;$AS261,IF(AP$8=$AR261,"Bascule","Double run"),"ROKS"))))))</f>
        <v/>
      </c>
      <c r="AQ261" s="0" t="str">
        <f aca="false">IF($A261="","",INDEX(TblApplications[Mois prov (calc)],$A261))</f>
        <v/>
      </c>
      <c r="AR261" s="0" t="str">
        <f aca="false">IF($A261="","",IFERROR(DATE(YEAR(INDEX(TblApplications[Mois bascule],$A261)),MONTH(INDEX(TblApplications[Mois bascule],$A261)),1),""))</f>
        <v/>
      </c>
      <c r="AS261" s="0" t="str">
        <f aca="false">IF($A261="","",INDEX(TblApplications[Mois lib (calc)],$A261))</f>
        <v/>
      </c>
    </row>
    <row r="262" customFormat="false" ht="15" hidden="false" customHeight="false" outlineLevel="0" collapsed="false">
      <c r="A262" s="49" t="str">
        <f aca="false">IFERROR(MATCH(254,TblApplications[Rang frise],0),"")</f>
        <v/>
      </c>
      <c r="B262" s="50" t="str">
        <f aca="false">IF($A262="","",INDEX(TblApplications[ID],$A262))</f>
        <v/>
      </c>
      <c r="C262" s="50" t="str">
        <f aca="false">IF($A262="","",INDEX(TblApplications[Application],$A262))</f>
        <v/>
      </c>
      <c r="D262" s="50" t="str">
        <f aca="false">IF($A262="","",INDEX(TblApplications[Environnement],$A262))</f>
        <v/>
      </c>
      <c r="E262" s="50" t="str">
        <f aca="false">IF($A262="","",INDEX(TblApplications[Couloir],$A262))</f>
        <v/>
      </c>
      <c r="F262" s="50" t="str">
        <f aca="false">IF($A262="","",INDEX(TblApplications[Action],$A262))</f>
        <v/>
      </c>
      <c r="G262" s="51" t="str">
        <f aca="false">IF(OR($A262="",G$8=""),"",IF($F262="Migré","ROKS",IF($F262="À décommissionner",IF(G$8&lt;$AS262,"IKS","Décom."),IF(OR($AQ262="",$AS262=""),"",IF(G$8&lt;$AQ262,"IKS",IF(G$8&lt;$AS262,IF(G$8=$AR262,"Bascule","Double run"),"ROKS"))))))</f>
        <v/>
      </c>
      <c r="H262" s="51" t="str">
        <f aca="false">IF(OR($A262="",H$8=""),"",IF($F262="Migré","ROKS",IF($F262="À décommissionner",IF(H$8&lt;$AS262,"IKS","Décom."),IF(OR($AQ262="",$AS262=""),"",IF(H$8&lt;$AQ262,"IKS",IF(H$8&lt;$AS262,IF(H$8=$AR262,"Bascule","Double run"),"ROKS"))))))</f>
        <v/>
      </c>
      <c r="I262" s="51" t="str">
        <f aca="false">IF(OR($A262="",I$8=""),"",IF($F262="Migré","ROKS",IF($F262="À décommissionner",IF(I$8&lt;$AS262,"IKS","Décom."),IF(OR($AQ262="",$AS262=""),"",IF(I$8&lt;$AQ262,"IKS",IF(I$8&lt;$AS262,IF(I$8=$AR262,"Bascule","Double run"),"ROKS"))))))</f>
        <v/>
      </c>
      <c r="J262" s="51" t="str">
        <f aca="false">IF(OR($A262="",J$8=""),"",IF($F262="Migré","ROKS",IF($F262="À décommissionner",IF(J$8&lt;$AS262,"IKS","Décom."),IF(OR($AQ262="",$AS262=""),"",IF(J$8&lt;$AQ262,"IKS",IF(J$8&lt;$AS262,IF(J$8=$AR262,"Bascule","Double run"),"ROKS"))))))</f>
        <v/>
      </c>
      <c r="K262" s="51" t="str">
        <f aca="false">IF(OR($A262="",K$8=""),"",IF($F262="Migré","ROKS",IF($F262="À décommissionner",IF(K$8&lt;$AS262,"IKS","Décom."),IF(OR($AQ262="",$AS262=""),"",IF(K$8&lt;$AQ262,"IKS",IF(K$8&lt;$AS262,IF(K$8=$AR262,"Bascule","Double run"),"ROKS"))))))</f>
        <v/>
      </c>
      <c r="L262" s="51" t="str">
        <f aca="false">IF(OR($A262="",L$8=""),"",IF($F262="Migré","ROKS",IF($F262="À décommissionner",IF(L$8&lt;$AS262,"IKS","Décom."),IF(OR($AQ262="",$AS262=""),"",IF(L$8&lt;$AQ262,"IKS",IF(L$8&lt;$AS262,IF(L$8=$AR262,"Bascule","Double run"),"ROKS"))))))</f>
        <v/>
      </c>
      <c r="M262" s="51" t="str">
        <f aca="false">IF(OR($A262="",M$8=""),"",IF($F262="Migré","ROKS",IF($F262="À décommissionner",IF(M$8&lt;$AS262,"IKS","Décom."),IF(OR($AQ262="",$AS262=""),"",IF(M$8&lt;$AQ262,"IKS",IF(M$8&lt;$AS262,IF(M$8=$AR262,"Bascule","Double run"),"ROKS"))))))</f>
        <v/>
      </c>
      <c r="N262" s="51" t="str">
        <f aca="false">IF(OR($A262="",N$8=""),"",IF($F262="Migré","ROKS",IF($F262="À décommissionner",IF(N$8&lt;$AS262,"IKS","Décom."),IF(OR($AQ262="",$AS262=""),"",IF(N$8&lt;$AQ262,"IKS",IF(N$8&lt;$AS262,IF(N$8=$AR262,"Bascule","Double run"),"ROKS"))))))</f>
        <v/>
      </c>
      <c r="O262" s="51" t="str">
        <f aca="false">IF(OR($A262="",O$8=""),"",IF($F262="Migré","ROKS",IF($F262="À décommissionner",IF(O$8&lt;$AS262,"IKS","Décom."),IF(OR($AQ262="",$AS262=""),"",IF(O$8&lt;$AQ262,"IKS",IF(O$8&lt;$AS262,IF(O$8=$AR262,"Bascule","Double run"),"ROKS"))))))</f>
        <v/>
      </c>
      <c r="P262" s="51" t="str">
        <f aca="false">IF(OR($A262="",P$8=""),"",IF($F262="Migré","ROKS",IF($F262="À décommissionner",IF(P$8&lt;$AS262,"IKS","Décom."),IF(OR($AQ262="",$AS262=""),"",IF(P$8&lt;$AQ262,"IKS",IF(P$8&lt;$AS262,IF(P$8=$AR262,"Bascule","Double run"),"ROKS"))))))</f>
        <v/>
      </c>
      <c r="Q262" s="51" t="str">
        <f aca="false">IF(OR($A262="",Q$8=""),"",IF($F262="Migré","ROKS",IF($F262="À décommissionner",IF(Q$8&lt;$AS262,"IKS","Décom."),IF(OR($AQ262="",$AS262=""),"",IF(Q$8&lt;$AQ262,"IKS",IF(Q$8&lt;$AS262,IF(Q$8=$AR262,"Bascule","Double run"),"ROKS"))))))</f>
        <v/>
      </c>
      <c r="R262" s="51" t="str">
        <f aca="false">IF(OR($A262="",R$8=""),"",IF($F262="Migré","ROKS",IF($F262="À décommissionner",IF(R$8&lt;$AS262,"IKS","Décom."),IF(OR($AQ262="",$AS262=""),"",IF(R$8&lt;$AQ262,"IKS",IF(R$8&lt;$AS262,IF(R$8=$AR262,"Bascule","Double run"),"ROKS"))))))</f>
        <v/>
      </c>
      <c r="S262" s="51" t="str">
        <f aca="false">IF(OR($A262="",S$8=""),"",IF($F262="Migré","ROKS",IF($F262="À décommissionner",IF(S$8&lt;$AS262,"IKS","Décom."),IF(OR($AQ262="",$AS262=""),"",IF(S$8&lt;$AQ262,"IKS",IF(S$8&lt;$AS262,IF(S$8=$AR262,"Bascule","Double run"),"ROKS"))))))</f>
        <v/>
      </c>
      <c r="T262" s="51" t="str">
        <f aca="false">IF(OR($A262="",T$8=""),"",IF($F262="Migré","ROKS",IF($F262="À décommissionner",IF(T$8&lt;$AS262,"IKS","Décom."),IF(OR($AQ262="",$AS262=""),"",IF(T$8&lt;$AQ262,"IKS",IF(T$8&lt;$AS262,IF(T$8=$AR262,"Bascule","Double run"),"ROKS"))))))</f>
        <v/>
      </c>
      <c r="U262" s="51" t="str">
        <f aca="false">IF(OR($A262="",U$8=""),"",IF($F262="Migré","ROKS",IF($F262="À décommissionner",IF(U$8&lt;$AS262,"IKS","Décom."),IF(OR($AQ262="",$AS262=""),"",IF(U$8&lt;$AQ262,"IKS",IF(U$8&lt;$AS262,IF(U$8=$AR262,"Bascule","Double run"),"ROKS"))))))</f>
        <v/>
      </c>
      <c r="V262" s="51" t="str">
        <f aca="false">IF(OR($A262="",V$8=""),"",IF($F262="Migré","ROKS",IF($F262="À décommissionner",IF(V$8&lt;$AS262,"IKS","Décom."),IF(OR($AQ262="",$AS262=""),"",IF(V$8&lt;$AQ262,"IKS",IF(V$8&lt;$AS262,IF(V$8=$AR262,"Bascule","Double run"),"ROKS"))))))</f>
        <v/>
      </c>
      <c r="W262" s="51" t="str">
        <f aca="false">IF(OR($A262="",W$8=""),"",IF($F262="Migré","ROKS",IF($F262="À décommissionner",IF(W$8&lt;$AS262,"IKS","Décom."),IF(OR($AQ262="",$AS262=""),"",IF(W$8&lt;$AQ262,"IKS",IF(W$8&lt;$AS262,IF(W$8=$AR262,"Bascule","Double run"),"ROKS"))))))</f>
        <v/>
      </c>
      <c r="X262" s="51" t="str">
        <f aca="false">IF(OR($A262="",X$8=""),"",IF($F262="Migré","ROKS",IF($F262="À décommissionner",IF(X$8&lt;$AS262,"IKS","Décom."),IF(OR($AQ262="",$AS262=""),"",IF(X$8&lt;$AQ262,"IKS",IF(X$8&lt;$AS262,IF(X$8=$AR262,"Bascule","Double run"),"ROKS"))))))</f>
        <v/>
      </c>
      <c r="Y262" s="51" t="str">
        <f aca="false">IF(OR($A262="",Y$8=""),"",IF($F262="Migré","ROKS",IF($F262="À décommissionner",IF(Y$8&lt;$AS262,"IKS","Décom."),IF(OR($AQ262="",$AS262=""),"",IF(Y$8&lt;$AQ262,"IKS",IF(Y$8&lt;$AS262,IF(Y$8=$AR262,"Bascule","Double run"),"ROKS"))))))</f>
        <v/>
      </c>
      <c r="Z262" s="51" t="str">
        <f aca="false">IF(OR($A262="",Z$8=""),"",IF($F262="Migré","ROKS",IF($F262="À décommissionner",IF(Z$8&lt;$AS262,"IKS","Décom."),IF(OR($AQ262="",$AS262=""),"",IF(Z$8&lt;$AQ262,"IKS",IF(Z$8&lt;$AS262,IF(Z$8=$AR262,"Bascule","Double run"),"ROKS"))))))</f>
        <v/>
      </c>
      <c r="AA262" s="51" t="str">
        <f aca="false">IF(OR($A262="",AA$8=""),"",IF($F262="Migré","ROKS",IF($F262="À décommissionner",IF(AA$8&lt;$AS262,"IKS","Décom."),IF(OR($AQ262="",$AS262=""),"",IF(AA$8&lt;$AQ262,"IKS",IF(AA$8&lt;$AS262,IF(AA$8=$AR262,"Bascule","Double run"),"ROKS"))))))</f>
        <v/>
      </c>
      <c r="AB262" s="51" t="str">
        <f aca="false">IF(OR($A262="",AB$8=""),"",IF($F262="Migré","ROKS",IF($F262="À décommissionner",IF(AB$8&lt;$AS262,"IKS","Décom."),IF(OR($AQ262="",$AS262=""),"",IF(AB$8&lt;$AQ262,"IKS",IF(AB$8&lt;$AS262,IF(AB$8=$AR262,"Bascule","Double run"),"ROKS"))))))</f>
        <v/>
      </c>
      <c r="AC262" s="51" t="str">
        <f aca="false">IF(OR($A262="",AC$8=""),"",IF($F262="Migré","ROKS",IF($F262="À décommissionner",IF(AC$8&lt;$AS262,"IKS","Décom."),IF(OR($AQ262="",$AS262=""),"",IF(AC$8&lt;$AQ262,"IKS",IF(AC$8&lt;$AS262,IF(AC$8=$AR262,"Bascule","Double run"),"ROKS"))))))</f>
        <v/>
      </c>
      <c r="AD262" s="51" t="str">
        <f aca="false">IF(OR($A262="",AD$8=""),"",IF($F262="Migré","ROKS",IF($F262="À décommissionner",IF(AD$8&lt;$AS262,"IKS","Décom."),IF(OR($AQ262="",$AS262=""),"",IF(AD$8&lt;$AQ262,"IKS",IF(AD$8&lt;$AS262,IF(AD$8=$AR262,"Bascule","Double run"),"ROKS"))))))</f>
        <v/>
      </c>
      <c r="AE262" s="51" t="str">
        <f aca="false">IF(OR($A262="",AE$8=""),"",IF($F262="Migré","ROKS",IF($F262="À décommissionner",IF(AE$8&lt;$AS262,"IKS","Décom."),IF(OR($AQ262="",$AS262=""),"",IF(AE$8&lt;$AQ262,"IKS",IF(AE$8&lt;$AS262,IF(AE$8=$AR262,"Bascule","Double run"),"ROKS"))))))</f>
        <v/>
      </c>
      <c r="AF262" s="51" t="str">
        <f aca="false">IF(OR($A262="",AF$8=""),"",IF($F262="Migré","ROKS",IF($F262="À décommissionner",IF(AF$8&lt;$AS262,"IKS","Décom."),IF(OR($AQ262="",$AS262=""),"",IF(AF$8&lt;$AQ262,"IKS",IF(AF$8&lt;$AS262,IF(AF$8=$AR262,"Bascule","Double run"),"ROKS"))))))</f>
        <v/>
      </c>
      <c r="AG262" s="51" t="str">
        <f aca="false">IF(OR($A262="",AG$8=""),"",IF($F262="Migré","ROKS",IF($F262="À décommissionner",IF(AG$8&lt;$AS262,"IKS","Décom."),IF(OR($AQ262="",$AS262=""),"",IF(AG$8&lt;$AQ262,"IKS",IF(AG$8&lt;$AS262,IF(AG$8=$AR262,"Bascule","Double run"),"ROKS"))))))</f>
        <v/>
      </c>
      <c r="AH262" s="51" t="str">
        <f aca="false">IF(OR($A262="",AH$8=""),"",IF($F262="Migré","ROKS",IF($F262="À décommissionner",IF(AH$8&lt;$AS262,"IKS","Décom."),IF(OR($AQ262="",$AS262=""),"",IF(AH$8&lt;$AQ262,"IKS",IF(AH$8&lt;$AS262,IF(AH$8=$AR262,"Bascule","Double run"),"ROKS"))))))</f>
        <v/>
      </c>
      <c r="AI262" s="51" t="str">
        <f aca="false">IF(OR($A262="",AI$8=""),"",IF($F262="Migré","ROKS",IF($F262="À décommissionner",IF(AI$8&lt;$AS262,"IKS","Décom."),IF(OR($AQ262="",$AS262=""),"",IF(AI$8&lt;$AQ262,"IKS",IF(AI$8&lt;$AS262,IF(AI$8=$AR262,"Bascule","Double run"),"ROKS"))))))</f>
        <v/>
      </c>
      <c r="AJ262" s="51" t="str">
        <f aca="false">IF(OR($A262="",AJ$8=""),"",IF($F262="Migré","ROKS",IF($F262="À décommissionner",IF(AJ$8&lt;$AS262,"IKS","Décom."),IF(OR($AQ262="",$AS262=""),"",IF(AJ$8&lt;$AQ262,"IKS",IF(AJ$8&lt;$AS262,IF(AJ$8=$AR262,"Bascule","Double run"),"ROKS"))))))</f>
        <v/>
      </c>
      <c r="AK262" s="51" t="str">
        <f aca="false">IF(OR($A262="",AK$8=""),"",IF($F262="Migré","ROKS",IF($F262="À décommissionner",IF(AK$8&lt;$AS262,"IKS","Décom."),IF(OR($AQ262="",$AS262=""),"",IF(AK$8&lt;$AQ262,"IKS",IF(AK$8&lt;$AS262,IF(AK$8=$AR262,"Bascule","Double run"),"ROKS"))))))</f>
        <v/>
      </c>
      <c r="AL262" s="51" t="str">
        <f aca="false">IF(OR($A262="",AL$8=""),"",IF($F262="Migré","ROKS",IF($F262="À décommissionner",IF(AL$8&lt;$AS262,"IKS","Décom."),IF(OR($AQ262="",$AS262=""),"",IF(AL$8&lt;$AQ262,"IKS",IF(AL$8&lt;$AS262,IF(AL$8=$AR262,"Bascule","Double run"),"ROKS"))))))</f>
        <v/>
      </c>
      <c r="AM262" s="51" t="str">
        <f aca="false">IF(OR($A262="",AM$8=""),"",IF($F262="Migré","ROKS",IF($F262="À décommissionner",IF(AM$8&lt;$AS262,"IKS","Décom."),IF(OR($AQ262="",$AS262=""),"",IF(AM$8&lt;$AQ262,"IKS",IF(AM$8&lt;$AS262,IF(AM$8=$AR262,"Bascule","Double run"),"ROKS"))))))</f>
        <v/>
      </c>
      <c r="AN262" s="51" t="str">
        <f aca="false">IF(OR($A262="",AN$8=""),"",IF($F262="Migré","ROKS",IF($F262="À décommissionner",IF(AN$8&lt;$AS262,"IKS","Décom."),IF(OR($AQ262="",$AS262=""),"",IF(AN$8&lt;$AQ262,"IKS",IF(AN$8&lt;$AS262,IF(AN$8=$AR262,"Bascule","Double run"),"ROKS"))))))</f>
        <v/>
      </c>
      <c r="AO262" s="51" t="str">
        <f aca="false">IF(OR($A262="",AO$8=""),"",IF($F262="Migré","ROKS",IF($F262="À décommissionner",IF(AO$8&lt;$AS262,"IKS","Décom."),IF(OR($AQ262="",$AS262=""),"",IF(AO$8&lt;$AQ262,"IKS",IF(AO$8&lt;$AS262,IF(AO$8=$AR262,"Bascule","Double run"),"ROKS"))))))</f>
        <v/>
      </c>
      <c r="AP262" s="51" t="str">
        <f aca="false">IF(OR($A262="",AP$8=""),"",IF($F262="Migré","ROKS",IF($F262="À décommissionner",IF(AP$8&lt;$AS262,"IKS","Décom."),IF(OR($AQ262="",$AS262=""),"",IF(AP$8&lt;$AQ262,"IKS",IF(AP$8&lt;$AS262,IF(AP$8=$AR262,"Bascule","Double run"),"ROKS"))))))</f>
        <v/>
      </c>
      <c r="AQ262" s="0" t="str">
        <f aca="false">IF($A262="","",INDEX(TblApplications[Mois prov (calc)],$A262))</f>
        <v/>
      </c>
      <c r="AR262" s="0" t="str">
        <f aca="false">IF($A262="","",IFERROR(DATE(YEAR(INDEX(TblApplications[Mois bascule],$A262)),MONTH(INDEX(TblApplications[Mois bascule],$A262)),1),""))</f>
        <v/>
      </c>
      <c r="AS262" s="0" t="str">
        <f aca="false">IF($A262="","",INDEX(TblApplications[Mois lib (calc)],$A262))</f>
        <v/>
      </c>
    </row>
    <row r="263" customFormat="false" ht="15" hidden="false" customHeight="false" outlineLevel="0" collapsed="false">
      <c r="A263" s="49" t="str">
        <f aca="false">IFERROR(MATCH(255,TblApplications[Rang frise],0),"")</f>
        <v/>
      </c>
      <c r="B263" s="50" t="str">
        <f aca="false">IF($A263="","",INDEX(TblApplications[ID],$A263))</f>
        <v/>
      </c>
      <c r="C263" s="50" t="str">
        <f aca="false">IF($A263="","",INDEX(TblApplications[Application],$A263))</f>
        <v/>
      </c>
      <c r="D263" s="50" t="str">
        <f aca="false">IF($A263="","",INDEX(TblApplications[Environnement],$A263))</f>
        <v/>
      </c>
      <c r="E263" s="50" t="str">
        <f aca="false">IF($A263="","",INDEX(TblApplications[Couloir],$A263))</f>
        <v/>
      </c>
      <c r="F263" s="50" t="str">
        <f aca="false">IF($A263="","",INDEX(TblApplications[Action],$A263))</f>
        <v/>
      </c>
      <c r="G263" s="51" t="str">
        <f aca="false">IF(OR($A263="",G$8=""),"",IF($F263="Migré","ROKS",IF($F263="À décommissionner",IF(G$8&lt;$AS263,"IKS","Décom."),IF(OR($AQ263="",$AS263=""),"",IF(G$8&lt;$AQ263,"IKS",IF(G$8&lt;$AS263,IF(G$8=$AR263,"Bascule","Double run"),"ROKS"))))))</f>
        <v/>
      </c>
      <c r="H263" s="51" t="str">
        <f aca="false">IF(OR($A263="",H$8=""),"",IF($F263="Migré","ROKS",IF($F263="À décommissionner",IF(H$8&lt;$AS263,"IKS","Décom."),IF(OR($AQ263="",$AS263=""),"",IF(H$8&lt;$AQ263,"IKS",IF(H$8&lt;$AS263,IF(H$8=$AR263,"Bascule","Double run"),"ROKS"))))))</f>
        <v/>
      </c>
      <c r="I263" s="51" t="str">
        <f aca="false">IF(OR($A263="",I$8=""),"",IF($F263="Migré","ROKS",IF($F263="À décommissionner",IF(I$8&lt;$AS263,"IKS","Décom."),IF(OR($AQ263="",$AS263=""),"",IF(I$8&lt;$AQ263,"IKS",IF(I$8&lt;$AS263,IF(I$8=$AR263,"Bascule","Double run"),"ROKS"))))))</f>
        <v/>
      </c>
      <c r="J263" s="51" t="str">
        <f aca="false">IF(OR($A263="",J$8=""),"",IF($F263="Migré","ROKS",IF($F263="À décommissionner",IF(J$8&lt;$AS263,"IKS","Décom."),IF(OR($AQ263="",$AS263=""),"",IF(J$8&lt;$AQ263,"IKS",IF(J$8&lt;$AS263,IF(J$8=$AR263,"Bascule","Double run"),"ROKS"))))))</f>
        <v/>
      </c>
      <c r="K263" s="51" t="str">
        <f aca="false">IF(OR($A263="",K$8=""),"",IF($F263="Migré","ROKS",IF($F263="À décommissionner",IF(K$8&lt;$AS263,"IKS","Décom."),IF(OR($AQ263="",$AS263=""),"",IF(K$8&lt;$AQ263,"IKS",IF(K$8&lt;$AS263,IF(K$8=$AR263,"Bascule","Double run"),"ROKS"))))))</f>
        <v/>
      </c>
      <c r="L263" s="51" t="str">
        <f aca="false">IF(OR($A263="",L$8=""),"",IF($F263="Migré","ROKS",IF($F263="À décommissionner",IF(L$8&lt;$AS263,"IKS","Décom."),IF(OR($AQ263="",$AS263=""),"",IF(L$8&lt;$AQ263,"IKS",IF(L$8&lt;$AS263,IF(L$8=$AR263,"Bascule","Double run"),"ROKS"))))))</f>
        <v/>
      </c>
      <c r="M263" s="51" t="str">
        <f aca="false">IF(OR($A263="",M$8=""),"",IF($F263="Migré","ROKS",IF($F263="À décommissionner",IF(M$8&lt;$AS263,"IKS","Décom."),IF(OR($AQ263="",$AS263=""),"",IF(M$8&lt;$AQ263,"IKS",IF(M$8&lt;$AS263,IF(M$8=$AR263,"Bascule","Double run"),"ROKS"))))))</f>
        <v/>
      </c>
      <c r="N263" s="51" t="str">
        <f aca="false">IF(OR($A263="",N$8=""),"",IF($F263="Migré","ROKS",IF($F263="À décommissionner",IF(N$8&lt;$AS263,"IKS","Décom."),IF(OR($AQ263="",$AS263=""),"",IF(N$8&lt;$AQ263,"IKS",IF(N$8&lt;$AS263,IF(N$8=$AR263,"Bascule","Double run"),"ROKS"))))))</f>
        <v/>
      </c>
      <c r="O263" s="51" t="str">
        <f aca="false">IF(OR($A263="",O$8=""),"",IF($F263="Migré","ROKS",IF($F263="À décommissionner",IF(O$8&lt;$AS263,"IKS","Décom."),IF(OR($AQ263="",$AS263=""),"",IF(O$8&lt;$AQ263,"IKS",IF(O$8&lt;$AS263,IF(O$8=$AR263,"Bascule","Double run"),"ROKS"))))))</f>
        <v/>
      </c>
      <c r="P263" s="51" t="str">
        <f aca="false">IF(OR($A263="",P$8=""),"",IF($F263="Migré","ROKS",IF($F263="À décommissionner",IF(P$8&lt;$AS263,"IKS","Décom."),IF(OR($AQ263="",$AS263=""),"",IF(P$8&lt;$AQ263,"IKS",IF(P$8&lt;$AS263,IF(P$8=$AR263,"Bascule","Double run"),"ROKS"))))))</f>
        <v/>
      </c>
      <c r="Q263" s="51" t="str">
        <f aca="false">IF(OR($A263="",Q$8=""),"",IF($F263="Migré","ROKS",IF($F263="À décommissionner",IF(Q$8&lt;$AS263,"IKS","Décom."),IF(OR($AQ263="",$AS263=""),"",IF(Q$8&lt;$AQ263,"IKS",IF(Q$8&lt;$AS263,IF(Q$8=$AR263,"Bascule","Double run"),"ROKS"))))))</f>
        <v/>
      </c>
      <c r="R263" s="51" t="str">
        <f aca="false">IF(OR($A263="",R$8=""),"",IF($F263="Migré","ROKS",IF($F263="À décommissionner",IF(R$8&lt;$AS263,"IKS","Décom."),IF(OR($AQ263="",$AS263=""),"",IF(R$8&lt;$AQ263,"IKS",IF(R$8&lt;$AS263,IF(R$8=$AR263,"Bascule","Double run"),"ROKS"))))))</f>
        <v/>
      </c>
      <c r="S263" s="51" t="str">
        <f aca="false">IF(OR($A263="",S$8=""),"",IF($F263="Migré","ROKS",IF($F263="À décommissionner",IF(S$8&lt;$AS263,"IKS","Décom."),IF(OR($AQ263="",$AS263=""),"",IF(S$8&lt;$AQ263,"IKS",IF(S$8&lt;$AS263,IF(S$8=$AR263,"Bascule","Double run"),"ROKS"))))))</f>
        <v/>
      </c>
      <c r="T263" s="51" t="str">
        <f aca="false">IF(OR($A263="",T$8=""),"",IF($F263="Migré","ROKS",IF($F263="À décommissionner",IF(T$8&lt;$AS263,"IKS","Décom."),IF(OR($AQ263="",$AS263=""),"",IF(T$8&lt;$AQ263,"IKS",IF(T$8&lt;$AS263,IF(T$8=$AR263,"Bascule","Double run"),"ROKS"))))))</f>
        <v/>
      </c>
      <c r="U263" s="51" t="str">
        <f aca="false">IF(OR($A263="",U$8=""),"",IF($F263="Migré","ROKS",IF($F263="À décommissionner",IF(U$8&lt;$AS263,"IKS","Décom."),IF(OR($AQ263="",$AS263=""),"",IF(U$8&lt;$AQ263,"IKS",IF(U$8&lt;$AS263,IF(U$8=$AR263,"Bascule","Double run"),"ROKS"))))))</f>
        <v/>
      </c>
      <c r="V263" s="51" t="str">
        <f aca="false">IF(OR($A263="",V$8=""),"",IF($F263="Migré","ROKS",IF($F263="À décommissionner",IF(V$8&lt;$AS263,"IKS","Décom."),IF(OR($AQ263="",$AS263=""),"",IF(V$8&lt;$AQ263,"IKS",IF(V$8&lt;$AS263,IF(V$8=$AR263,"Bascule","Double run"),"ROKS"))))))</f>
        <v/>
      </c>
      <c r="W263" s="51" t="str">
        <f aca="false">IF(OR($A263="",W$8=""),"",IF($F263="Migré","ROKS",IF($F263="À décommissionner",IF(W$8&lt;$AS263,"IKS","Décom."),IF(OR($AQ263="",$AS263=""),"",IF(W$8&lt;$AQ263,"IKS",IF(W$8&lt;$AS263,IF(W$8=$AR263,"Bascule","Double run"),"ROKS"))))))</f>
        <v/>
      </c>
      <c r="X263" s="51" t="str">
        <f aca="false">IF(OR($A263="",X$8=""),"",IF($F263="Migré","ROKS",IF($F263="À décommissionner",IF(X$8&lt;$AS263,"IKS","Décom."),IF(OR($AQ263="",$AS263=""),"",IF(X$8&lt;$AQ263,"IKS",IF(X$8&lt;$AS263,IF(X$8=$AR263,"Bascule","Double run"),"ROKS"))))))</f>
        <v/>
      </c>
      <c r="Y263" s="51" t="str">
        <f aca="false">IF(OR($A263="",Y$8=""),"",IF($F263="Migré","ROKS",IF($F263="À décommissionner",IF(Y$8&lt;$AS263,"IKS","Décom."),IF(OR($AQ263="",$AS263=""),"",IF(Y$8&lt;$AQ263,"IKS",IF(Y$8&lt;$AS263,IF(Y$8=$AR263,"Bascule","Double run"),"ROKS"))))))</f>
        <v/>
      </c>
      <c r="Z263" s="51" t="str">
        <f aca="false">IF(OR($A263="",Z$8=""),"",IF($F263="Migré","ROKS",IF($F263="À décommissionner",IF(Z$8&lt;$AS263,"IKS","Décom."),IF(OR($AQ263="",$AS263=""),"",IF(Z$8&lt;$AQ263,"IKS",IF(Z$8&lt;$AS263,IF(Z$8=$AR263,"Bascule","Double run"),"ROKS"))))))</f>
        <v/>
      </c>
      <c r="AA263" s="51" t="str">
        <f aca="false">IF(OR($A263="",AA$8=""),"",IF($F263="Migré","ROKS",IF($F263="À décommissionner",IF(AA$8&lt;$AS263,"IKS","Décom."),IF(OR($AQ263="",$AS263=""),"",IF(AA$8&lt;$AQ263,"IKS",IF(AA$8&lt;$AS263,IF(AA$8=$AR263,"Bascule","Double run"),"ROKS"))))))</f>
        <v/>
      </c>
      <c r="AB263" s="51" t="str">
        <f aca="false">IF(OR($A263="",AB$8=""),"",IF($F263="Migré","ROKS",IF($F263="À décommissionner",IF(AB$8&lt;$AS263,"IKS","Décom."),IF(OR($AQ263="",$AS263=""),"",IF(AB$8&lt;$AQ263,"IKS",IF(AB$8&lt;$AS263,IF(AB$8=$AR263,"Bascule","Double run"),"ROKS"))))))</f>
        <v/>
      </c>
      <c r="AC263" s="51" t="str">
        <f aca="false">IF(OR($A263="",AC$8=""),"",IF($F263="Migré","ROKS",IF($F263="À décommissionner",IF(AC$8&lt;$AS263,"IKS","Décom."),IF(OR($AQ263="",$AS263=""),"",IF(AC$8&lt;$AQ263,"IKS",IF(AC$8&lt;$AS263,IF(AC$8=$AR263,"Bascule","Double run"),"ROKS"))))))</f>
        <v/>
      </c>
      <c r="AD263" s="51" t="str">
        <f aca="false">IF(OR($A263="",AD$8=""),"",IF($F263="Migré","ROKS",IF($F263="À décommissionner",IF(AD$8&lt;$AS263,"IKS","Décom."),IF(OR($AQ263="",$AS263=""),"",IF(AD$8&lt;$AQ263,"IKS",IF(AD$8&lt;$AS263,IF(AD$8=$AR263,"Bascule","Double run"),"ROKS"))))))</f>
        <v/>
      </c>
      <c r="AE263" s="51" t="str">
        <f aca="false">IF(OR($A263="",AE$8=""),"",IF($F263="Migré","ROKS",IF($F263="À décommissionner",IF(AE$8&lt;$AS263,"IKS","Décom."),IF(OR($AQ263="",$AS263=""),"",IF(AE$8&lt;$AQ263,"IKS",IF(AE$8&lt;$AS263,IF(AE$8=$AR263,"Bascule","Double run"),"ROKS"))))))</f>
        <v/>
      </c>
      <c r="AF263" s="51" t="str">
        <f aca="false">IF(OR($A263="",AF$8=""),"",IF($F263="Migré","ROKS",IF($F263="À décommissionner",IF(AF$8&lt;$AS263,"IKS","Décom."),IF(OR($AQ263="",$AS263=""),"",IF(AF$8&lt;$AQ263,"IKS",IF(AF$8&lt;$AS263,IF(AF$8=$AR263,"Bascule","Double run"),"ROKS"))))))</f>
        <v/>
      </c>
      <c r="AG263" s="51" t="str">
        <f aca="false">IF(OR($A263="",AG$8=""),"",IF($F263="Migré","ROKS",IF($F263="À décommissionner",IF(AG$8&lt;$AS263,"IKS","Décom."),IF(OR($AQ263="",$AS263=""),"",IF(AG$8&lt;$AQ263,"IKS",IF(AG$8&lt;$AS263,IF(AG$8=$AR263,"Bascule","Double run"),"ROKS"))))))</f>
        <v/>
      </c>
      <c r="AH263" s="51" t="str">
        <f aca="false">IF(OR($A263="",AH$8=""),"",IF($F263="Migré","ROKS",IF($F263="À décommissionner",IF(AH$8&lt;$AS263,"IKS","Décom."),IF(OR($AQ263="",$AS263=""),"",IF(AH$8&lt;$AQ263,"IKS",IF(AH$8&lt;$AS263,IF(AH$8=$AR263,"Bascule","Double run"),"ROKS"))))))</f>
        <v/>
      </c>
      <c r="AI263" s="51" t="str">
        <f aca="false">IF(OR($A263="",AI$8=""),"",IF($F263="Migré","ROKS",IF($F263="À décommissionner",IF(AI$8&lt;$AS263,"IKS","Décom."),IF(OR($AQ263="",$AS263=""),"",IF(AI$8&lt;$AQ263,"IKS",IF(AI$8&lt;$AS263,IF(AI$8=$AR263,"Bascule","Double run"),"ROKS"))))))</f>
        <v/>
      </c>
      <c r="AJ263" s="51" t="str">
        <f aca="false">IF(OR($A263="",AJ$8=""),"",IF($F263="Migré","ROKS",IF($F263="À décommissionner",IF(AJ$8&lt;$AS263,"IKS","Décom."),IF(OR($AQ263="",$AS263=""),"",IF(AJ$8&lt;$AQ263,"IKS",IF(AJ$8&lt;$AS263,IF(AJ$8=$AR263,"Bascule","Double run"),"ROKS"))))))</f>
        <v/>
      </c>
      <c r="AK263" s="51" t="str">
        <f aca="false">IF(OR($A263="",AK$8=""),"",IF($F263="Migré","ROKS",IF($F263="À décommissionner",IF(AK$8&lt;$AS263,"IKS","Décom."),IF(OR($AQ263="",$AS263=""),"",IF(AK$8&lt;$AQ263,"IKS",IF(AK$8&lt;$AS263,IF(AK$8=$AR263,"Bascule","Double run"),"ROKS"))))))</f>
        <v/>
      </c>
      <c r="AL263" s="51" t="str">
        <f aca="false">IF(OR($A263="",AL$8=""),"",IF($F263="Migré","ROKS",IF($F263="À décommissionner",IF(AL$8&lt;$AS263,"IKS","Décom."),IF(OR($AQ263="",$AS263=""),"",IF(AL$8&lt;$AQ263,"IKS",IF(AL$8&lt;$AS263,IF(AL$8=$AR263,"Bascule","Double run"),"ROKS"))))))</f>
        <v/>
      </c>
      <c r="AM263" s="51" t="str">
        <f aca="false">IF(OR($A263="",AM$8=""),"",IF($F263="Migré","ROKS",IF($F263="À décommissionner",IF(AM$8&lt;$AS263,"IKS","Décom."),IF(OR($AQ263="",$AS263=""),"",IF(AM$8&lt;$AQ263,"IKS",IF(AM$8&lt;$AS263,IF(AM$8=$AR263,"Bascule","Double run"),"ROKS"))))))</f>
        <v/>
      </c>
      <c r="AN263" s="51" t="str">
        <f aca="false">IF(OR($A263="",AN$8=""),"",IF($F263="Migré","ROKS",IF($F263="À décommissionner",IF(AN$8&lt;$AS263,"IKS","Décom."),IF(OR($AQ263="",$AS263=""),"",IF(AN$8&lt;$AQ263,"IKS",IF(AN$8&lt;$AS263,IF(AN$8=$AR263,"Bascule","Double run"),"ROKS"))))))</f>
        <v/>
      </c>
      <c r="AO263" s="51" t="str">
        <f aca="false">IF(OR($A263="",AO$8=""),"",IF($F263="Migré","ROKS",IF($F263="À décommissionner",IF(AO$8&lt;$AS263,"IKS","Décom."),IF(OR($AQ263="",$AS263=""),"",IF(AO$8&lt;$AQ263,"IKS",IF(AO$8&lt;$AS263,IF(AO$8=$AR263,"Bascule","Double run"),"ROKS"))))))</f>
        <v/>
      </c>
      <c r="AP263" s="51" t="str">
        <f aca="false">IF(OR($A263="",AP$8=""),"",IF($F263="Migré","ROKS",IF($F263="À décommissionner",IF(AP$8&lt;$AS263,"IKS","Décom."),IF(OR($AQ263="",$AS263=""),"",IF(AP$8&lt;$AQ263,"IKS",IF(AP$8&lt;$AS263,IF(AP$8=$AR263,"Bascule","Double run"),"ROKS"))))))</f>
        <v/>
      </c>
      <c r="AQ263" s="0" t="str">
        <f aca="false">IF($A263="","",INDEX(TblApplications[Mois prov (calc)],$A263))</f>
        <v/>
      </c>
      <c r="AR263" s="0" t="str">
        <f aca="false">IF($A263="","",IFERROR(DATE(YEAR(INDEX(TblApplications[Mois bascule],$A263)),MONTH(INDEX(TblApplications[Mois bascule],$A263)),1),""))</f>
        <v/>
      </c>
      <c r="AS263" s="0" t="str">
        <f aca="false">IF($A263="","",INDEX(TblApplications[Mois lib (calc)],$A263))</f>
        <v/>
      </c>
    </row>
    <row r="264" customFormat="false" ht="15" hidden="false" customHeight="false" outlineLevel="0" collapsed="false">
      <c r="A264" s="49" t="str">
        <f aca="false">IFERROR(MATCH(256,TblApplications[Rang frise],0),"")</f>
        <v/>
      </c>
      <c r="B264" s="50" t="str">
        <f aca="false">IF($A264="","",INDEX(TblApplications[ID],$A264))</f>
        <v/>
      </c>
      <c r="C264" s="50" t="str">
        <f aca="false">IF($A264="","",INDEX(TblApplications[Application],$A264))</f>
        <v/>
      </c>
      <c r="D264" s="50" t="str">
        <f aca="false">IF($A264="","",INDEX(TblApplications[Environnement],$A264))</f>
        <v/>
      </c>
      <c r="E264" s="50" t="str">
        <f aca="false">IF($A264="","",INDEX(TblApplications[Couloir],$A264))</f>
        <v/>
      </c>
      <c r="F264" s="50" t="str">
        <f aca="false">IF($A264="","",INDEX(TblApplications[Action],$A264))</f>
        <v/>
      </c>
      <c r="G264" s="51" t="str">
        <f aca="false">IF(OR($A264="",G$8=""),"",IF($F264="Migré","ROKS",IF($F264="À décommissionner",IF(G$8&lt;$AS264,"IKS","Décom."),IF(OR($AQ264="",$AS264=""),"",IF(G$8&lt;$AQ264,"IKS",IF(G$8&lt;$AS264,IF(G$8=$AR264,"Bascule","Double run"),"ROKS"))))))</f>
        <v/>
      </c>
      <c r="H264" s="51" t="str">
        <f aca="false">IF(OR($A264="",H$8=""),"",IF($F264="Migré","ROKS",IF($F264="À décommissionner",IF(H$8&lt;$AS264,"IKS","Décom."),IF(OR($AQ264="",$AS264=""),"",IF(H$8&lt;$AQ264,"IKS",IF(H$8&lt;$AS264,IF(H$8=$AR264,"Bascule","Double run"),"ROKS"))))))</f>
        <v/>
      </c>
      <c r="I264" s="51" t="str">
        <f aca="false">IF(OR($A264="",I$8=""),"",IF($F264="Migré","ROKS",IF($F264="À décommissionner",IF(I$8&lt;$AS264,"IKS","Décom."),IF(OR($AQ264="",$AS264=""),"",IF(I$8&lt;$AQ264,"IKS",IF(I$8&lt;$AS264,IF(I$8=$AR264,"Bascule","Double run"),"ROKS"))))))</f>
        <v/>
      </c>
      <c r="J264" s="51" t="str">
        <f aca="false">IF(OR($A264="",J$8=""),"",IF($F264="Migré","ROKS",IF($F264="À décommissionner",IF(J$8&lt;$AS264,"IKS","Décom."),IF(OR($AQ264="",$AS264=""),"",IF(J$8&lt;$AQ264,"IKS",IF(J$8&lt;$AS264,IF(J$8=$AR264,"Bascule","Double run"),"ROKS"))))))</f>
        <v/>
      </c>
      <c r="K264" s="51" t="str">
        <f aca="false">IF(OR($A264="",K$8=""),"",IF($F264="Migré","ROKS",IF($F264="À décommissionner",IF(K$8&lt;$AS264,"IKS","Décom."),IF(OR($AQ264="",$AS264=""),"",IF(K$8&lt;$AQ264,"IKS",IF(K$8&lt;$AS264,IF(K$8=$AR264,"Bascule","Double run"),"ROKS"))))))</f>
        <v/>
      </c>
      <c r="L264" s="51" t="str">
        <f aca="false">IF(OR($A264="",L$8=""),"",IF($F264="Migré","ROKS",IF($F264="À décommissionner",IF(L$8&lt;$AS264,"IKS","Décom."),IF(OR($AQ264="",$AS264=""),"",IF(L$8&lt;$AQ264,"IKS",IF(L$8&lt;$AS264,IF(L$8=$AR264,"Bascule","Double run"),"ROKS"))))))</f>
        <v/>
      </c>
      <c r="M264" s="51" t="str">
        <f aca="false">IF(OR($A264="",M$8=""),"",IF($F264="Migré","ROKS",IF($F264="À décommissionner",IF(M$8&lt;$AS264,"IKS","Décom."),IF(OR($AQ264="",$AS264=""),"",IF(M$8&lt;$AQ264,"IKS",IF(M$8&lt;$AS264,IF(M$8=$AR264,"Bascule","Double run"),"ROKS"))))))</f>
        <v/>
      </c>
      <c r="N264" s="51" t="str">
        <f aca="false">IF(OR($A264="",N$8=""),"",IF($F264="Migré","ROKS",IF($F264="À décommissionner",IF(N$8&lt;$AS264,"IKS","Décom."),IF(OR($AQ264="",$AS264=""),"",IF(N$8&lt;$AQ264,"IKS",IF(N$8&lt;$AS264,IF(N$8=$AR264,"Bascule","Double run"),"ROKS"))))))</f>
        <v/>
      </c>
      <c r="O264" s="51" t="str">
        <f aca="false">IF(OR($A264="",O$8=""),"",IF($F264="Migré","ROKS",IF($F264="À décommissionner",IF(O$8&lt;$AS264,"IKS","Décom."),IF(OR($AQ264="",$AS264=""),"",IF(O$8&lt;$AQ264,"IKS",IF(O$8&lt;$AS264,IF(O$8=$AR264,"Bascule","Double run"),"ROKS"))))))</f>
        <v/>
      </c>
      <c r="P264" s="51" t="str">
        <f aca="false">IF(OR($A264="",P$8=""),"",IF($F264="Migré","ROKS",IF($F264="À décommissionner",IF(P$8&lt;$AS264,"IKS","Décom."),IF(OR($AQ264="",$AS264=""),"",IF(P$8&lt;$AQ264,"IKS",IF(P$8&lt;$AS264,IF(P$8=$AR264,"Bascule","Double run"),"ROKS"))))))</f>
        <v/>
      </c>
      <c r="Q264" s="51" t="str">
        <f aca="false">IF(OR($A264="",Q$8=""),"",IF($F264="Migré","ROKS",IF($F264="À décommissionner",IF(Q$8&lt;$AS264,"IKS","Décom."),IF(OR($AQ264="",$AS264=""),"",IF(Q$8&lt;$AQ264,"IKS",IF(Q$8&lt;$AS264,IF(Q$8=$AR264,"Bascule","Double run"),"ROKS"))))))</f>
        <v/>
      </c>
      <c r="R264" s="51" t="str">
        <f aca="false">IF(OR($A264="",R$8=""),"",IF($F264="Migré","ROKS",IF($F264="À décommissionner",IF(R$8&lt;$AS264,"IKS","Décom."),IF(OR($AQ264="",$AS264=""),"",IF(R$8&lt;$AQ264,"IKS",IF(R$8&lt;$AS264,IF(R$8=$AR264,"Bascule","Double run"),"ROKS"))))))</f>
        <v/>
      </c>
      <c r="S264" s="51" t="str">
        <f aca="false">IF(OR($A264="",S$8=""),"",IF($F264="Migré","ROKS",IF($F264="À décommissionner",IF(S$8&lt;$AS264,"IKS","Décom."),IF(OR($AQ264="",$AS264=""),"",IF(S$8&lt;$AQ264,"IKS",IF(S$8&lt;$AS264,IF(S$8=$AR264,"Bascule","Double run"),"ROKS"))))))</f>
        <v/>
      </c>
      <c r="T264" s="51" t="str">
        <f aca="false">IF(OR($A264="",T$8=""),"",IF($F264="Migré","ROKS",IF($F264="À décommissionner",IF(T$8&lt;$AS264,"IKS","Décom."),IF(OR($AQ264="",$AS264=""),"",IF(T$8&lt;$AQ264,"IKS",IF(T$8&lt;$AS264,IF(T$8=$AR264,"Bascule","Double run"),"ROKS"))))))</f>
        <v/>
      </c>
      <c r="U264" s="51" t="str">
        <f aca="false">IF(OR($A264="",U$8=""),"",IF($F264="Migré","ROKS",IF($F264="À décommissionner",IF(U$8&lt;$AS264,"IKS","Décom."),IF(OR($AQ264="",$AS264=""),"",IF(U$8&lt;$AQ264,"IKS",IF(U$8&lt;$AS264,IF(U$8=$AR264,"Bascule","Double run"),"ROKS"))))))</f>
        <v/>
      </c>
      <c r="V264" s="51" t="str">
        <f aca="false">IF(OR($A264="",V$8=""),"",IF($F264="Migré","ROKS",IF($F264="À décommissionner",IF(V$8&lt;$AS264,"IKS","Décom."),IF(OR($AQ264="",$AS264=""),"",IF(V$8&lt;$AQ264,"IKS",IF(V$8&lt;$AS264,IF(V$8=$AR264,"Bascule","Double run"),"ROKS"))))))</f>
        <v/>
      </c>
      <c r="W264" s="51" t="str">
        <f aca="false">IF(OR($A264="",W$8=""),"",IF($F264="Migré","ROKS",IF($F264="À décommissionner",IF(W$8&lt;$AS264,"IKS","Décom."),IF(OR($AQ264="",$AS264=""),"",IF(W$8&lt;$AQ264,"IKS",IF(W$8&lt;$AS264,IF(W$8=$AR264,"Bascule","Double run"),"ROKS"))))))</f>
        <v/>
      </c>
      <c r="X264" s="51" t="str">
        <f aca="false">IF(OR($A264="",X$8=""),"",IF($F264="Migré","ROKS",IF($F264="À décommissionner",IF(X$8&lt;$AS264,"IKS","Décom."),IF(OR($AQ264="",$AS264=""),"",IF(X$8&lt;$AQ264,"IKS",IF(X$8&lt;$AS264,IF(X$8=$AR264,"Bascule","Double run"),"ROKS"))))))</f>
        <v/>
      </c>
      <c r="Y264" s="51" t="str">
        <f aca="false">IF(OR($A264="",Y$8=""),"",IF($F264="Migré","ROKS",IF($F264="À décommissionner",IF(Y$8&lt;$AS264,"IKS","Décom."),IF(OR($AQ264="",$AS264=""),"",IF(Y$8&lt;$AQ264,"IKS",IF(Y$8&lt;$AS264,IF(Y$8=$AR264,"Bascule","Double run"),"ROKS"))))))</f>
        <v/>
      </c>
      <c r="Z264" s="51" t="str">
        <f aca="false">IF(OR($A264="",Z$8=""),"",IF($F264="Migré","ROKS",IF($F264="À décommissionner",IF(Z$8&lt;$AS264,"IKS","Décom."),IF(OR($AQ264="",$AS264=""),"",IF(Z$8&lt;$AQ264,"IKS",IF(Z$8&lt;$AS264,IF(Z$8=$AR264,"Bascule","Double run"),"ROKS"))))))</f>
        <v/>
      </c>
      <c r="AA264" s="51" t="str">
        <f aca="false">IF(OR($A264="",AA$8=""),"",IF($F264="Migré","ROKS",IF($F264="À décommissionner",IF(AA$8&lt;$AS264,"IKS","Décom."),IF(OR($AQ264="",$AS264=""),"",IF(AA$8&lt;$AQ264,"IKS",IF(AA$8&lt;$AS264,IF(AA$8=$AR264,"Bascule","Double run"),"ROKS"))))))</f>
        <v/>
      </c>
      <c r="AB264" s="51" t="str">
        <f aca="false">IF(OR($A264="",AB$8=""),"",IF($F264="Migré","ROKS",IF($F264="À décommissionner",IF(AB$8&lt;$AS264,"IKS","Décom."),IF(OR($AQ264="",$AS264=""),"",IF(AB$8&lt;$AQ264,"IKS",IF(AB$8&lt;$AS264,IF(AB$8=$AR264,"Bascule","Double run"),"ROKS"))))))</f>
        <v/>
      </c>
      <c r="AC264" s="51" t="str">
        <f aca="false">IF(OR($A264="",AC$8=""),"",IF($F264="Migré","ROKS",IF($F264="À décommissionner",IF(AC$8&lt;$AS264,"IKS","Décom."),IF(OR($AQ264="",$AS264=""),"",IF(AC$8&lt;$AQ264,"IKS",IF(AC$8&lt;$AS264,IF(AC$8=$AR264,"Bascule","Double run"),"ROKS"))))))</f>
        <v/>
      </c>
      <c r="AD264" s="51" t="str">
        <f aca="false">IF(OR($A264="",AD$8=""),"",IF($F264="Migré","ROKS",IF($F264="À décommissionner",IF(AD$8&lt;$AS264,"IKS","Décom."),IF(OR($AQ264="",$AS264=""),"",IF(AD$8&lt;$AQ264,"IKS",IF(AD$8&lt;$AS264,IF(AD$8=$AR264,"Bascule","Double run"),"ROKS"))))))</f>
        <v/>
      </c>
      <c r="AE264" s="51" t="str">
        <f aca="false">IF(OR($A264="",AE$8=""),"",IF($F264="Migré","ROKS",IF($F264="À décommissionner",IF(AE$8&lt;$AS264,"IKS","Décom."),IF(OR($AQ264="",$AS264=""),"",IF(AE$8&lt;$AQ264,"IKS",IF(AE$8&lt;$AS264,IF(AE$8=$AR264,"Bascule","Double run"),"ROKS"))))))</f>
        <v/>
      </c>
      <c r="AF264" s="51" t="str">
        <f aca="false">IF(OR($A264="",AF$8=""),"",IF($F264="Migré","ROKS",IF($F264="À décommissionner",IF(AF$8&lt;$AS264,"IKS","Décom."),IF(OR($AQ264="",$AS264=""),"",IF(AF$8&lt;$AQ264,"IKS",IF(AF$8&lt;$AS264,IF(AF$8=$AR264,"Bascule","Double run"),"ROKS"))))))</f>
        <v/>
      </c>
      <c r="AG264" s="51" t="str">
        <f aca="false">IF(OR($A264="",AG$8=""),"",IF($F264="Migré","ROKS",IF($F264="À décommissionner",IF(AG$8&lt;$AS264,"IKS","Décom."),IF(OR($AQ264="",$AS264=""),"",IF(AG$8&lt;$AQ264,"IKS",IF(AG$8&lt;$AS264,IF(AG$8=$AR264,"Bascule","Double run"),"ROKS"))))))</f>
        <v/>
      </c>
      <c r="AH264" s="51" t="str">
        <f aca="false">IF(OR($A264="",AH$8=""),"",IF($F264="Migré","ROKS",IF($F264="À décommissionner",IF(AH$8&lt;$AS264,"IKS","Décom."),IF(OR($AQ264="",$AS264=""),"",IF(AH$8&lt;$AQ264,"IKS",IF(AH$8&lt;$AS264,IF(AH$8=$AR264,"Bascule","Double run"),"ROKS"))))))</f>
        <v/>
      </c>
      <c r="AI264" s="51" t="str">
        <f aca="false">IF(OR($A264="",AI$8=""),"",IF($F264="Migré","ROKS",IF($F264="À décommissionner",IF(AI$8&lt;$AS264,"IKS","Décom."),IF(OR($AQ264="",$AS264=""),"",IF(AI$8&lt;$AQ264,"IKS",IF(AI$8&lt;$AS264,IF(AI$8=$AR264,"Bascule","Double run"),"ROKS"))))))</f>
        <v/>
      </c>
      <c r="AJ264" s="51" t="str">
        <f aca="false">IF(OR($A264="",AJ$8=""),"",IF($F264="Migré","ROKS",IF($F264="À décommissionner",IF(AJ$8&lt;$AS264,"IKS","Décom."),IF(OR($AQ264="",$AS264=""),"",IF(AJ$8&lt;$AQ264,"IKS",IF(AJ$8&lt;$AS264,IF(AJ$8=$AR264,"Bascule","Double run"),"ROKS"))))))</f>
        <v/>
      </c>
      <c r="AK264" s="51" t="str">
        <f aca="false">IF(OR($A264="",AK$8=""),"",IF($F264="Migré","ROKS",IF($F264="À décommissionner",IF(AK$8&lt;$AS264,"IKS","Décom."),IF(OR($AQ264="",$AS264=""),"",IF(AK$8&lt;$AQ264,"IKS",IF(AK$8&lt;$AS264,IF(AK$8=$AR264,"Bascule","Double run"),"ROKS"))))))</f>
        <v/>
      </c>
      <c r="AL264" s="51" t="str">
        <f aca="false">IF(OR($A264="",AL$8=""),"",IF($F264="Migré","ROKS",IF($F264="À décommissionner",IF(AL$8&lt;$AS264,"IKS","Décom."),IF(OR($AQ264="",$AS264=""),"",IF(AL$8&lt;$AQ264,"IKS",IF(AL$8&lt;$AS264,IF(AL$8=$AR264,"Bascule","Double run"),"ROKS"))))))</f>
        <v/>
      </c>
      <c r="AM264" s="51" t="str">
        <f aca="false">IF(OR($A264="",AM$8=""),"",IF($F264="Migré","ROKS",IF($F264="À décommissionner",IF(AM$8&lt;$AS264,"IKS","Décom."),IF(OR($AQ264="",$AS264=""),"",IF(AM$8&lt;$AQ264,"IKS",IF(AM$8&lt;$AS264,IF(AM$8=$AR264,"Bascule","Double run"),"ROKS"))))))</f>
        <v/>
      </c>
      <c r="AN264" s="51" t="str">
        <f aca="false">IF(OR($A264="",AN$8=""),"",IF($F264="Migré","ROKS",IF($F264="À décommissionner",IF(AN$8&lt;$AS264,"IKS","Décom."),IF(OR($AQ264="",$AS264=""),"",IF(AN$8&lt;$AQ264,"IKS",IF(AN$8&lt;$AS264,IF(AN$8=$AR264,"Bascule","Double run"),"ROKS"))))))</f>
        <v/>
      </c>
      <c r="AO264" s="51" t="str">
        <f aca="false">IF(OR($A264="",AO$8=""),"",IF($F264="Migré","ROKS",IF($F264="À décommissionner",IF(AO$8&lt;$AS264,"IKS","Décom."),IF(OR($AQ264="",$AS264=""),"",IF(AO$8&lt;$AQ264,"IKS",IF(AO$8&lt;$AS264,IF(AO$8=$AR264,"Bascule","Double run"),"ROKS"))))))</f>
        <v/>
      </c>
      <c r="AP264" s="51" t="str">
        <f aca="false">IF(OR($A264="",AP$8=""),"",IF($F264="Migré","ROKS",IF($F264="À décommissionner",IF(AP$8&lt;$AS264,"IKS","Décom."),IF(OR($AQ264="",$AS264=""),"",IF(AP$8&lt;$AQ264,"IKS",IF(AP$8&lt;$AS264,IF(AP$8=$AR264,"Bascule","Double run"),"ROKS"))))))</f>
        <v/>
      </c>
      <c r="AQ264" s="0" t="str">
        <f aca="false">IF($A264="","",INDEX(TblApplications[Mois prov (calc)],$A264))</f>
        <v/>
      </c>
      <c r="AR264" s="0" t="str">
        <f aca="false">IF($A264="","",IFERROR(DATE(YEAR(INDEX(TblApplications[Mois bascule],$A264)),MONTH(INDEX(TblApplications[Mois bascule],$A264)),1),""))</f>
        <v/>
      </c>
      <c r="AS264" s="0" t="str">
        <f aca="false">IF($A264="","",INDEX(TblApplications[Mois lib (calc)],$A264))</f>
        <v/>
      </c>
    </row>
    <row r="265" customFormat="false" ht="15" hidden="false" customHeight="false" outlineLevel="0" collapsed="false">
      <c r="A265" s="49" t="str">
        <f aca="false">IFERROR(MATCH(257,TblApplications[Rang frise],0),"")</f>
        <v/>
      </c>
      <c r="B265" s="50" t="str">
        <f aca="false">IF($A265="","",INDEX(TblApplications[ID],$A265))</f>
        <v/>
      </c>
      <c r="C265" s="50" t="str">
        <f aca="false">IF($A265="","",INDEX(TblApplications[Application],$A265))</f>
        <v/>
      </c>
      <c r="D265" s="50" t="str">
        <f aca="false">IF($A265="","",INDEX(TblApplications[Environnement],$A265))</f>
        <v/>
      </c>
      <c r="E265" s="50" t="str">
        <f aca="false">IF($A265="","",INDEX(TblApplications[Couloir],$A265))</f>
        <v/>
      </c>
      <c r="F265" s="50" t="str">
        <f aca="false">IF($A265="","",INDEX(TblApplications[Action],$A265))</f>
        <v/>
      </c>
      <c r="G265" s="51" t="str">
        <f aca="false">IF(OR($A265="",G$8=""),"",IF($F265="Migré","ROKS",IF($F265="À décommissionner",IF(G$8&lt;$AS265,"IKS","Décom."),IF(OR($AQ265="",$AS265=""),"",IF(G$8&lt;$AQ265,"IKS",IF(G$8&lt;$AS265,IF(G$8=$AR265,"Bascule","Double run"),"ROKS"))))))</f>
        <v/>
      </c>
      <c r="H265" s="51" t="str">
        <f aca="false">IF(OR($A265="",H$8=""),"",IF($F265="Migré","ROKS",IF($F265="À décommissionner",IF(H$8&lt;$AS265,"IKS","Décom."),IF(OR($AQ265="",$AS265=""),"",IF(H$8&lt;$AQ265,"IKS",IF(H$8&lt;$AS265,IF(H$8=$AR265,"Bascule","Double run"),"ROKS"))))))</f>
        <v/>
      </c>
      <c r="I265" s="51" t="str">
        <f aca="false">IF(OR($A265="",I$8=""),"",IF($F265="Migré","ROKS",IF($F265="À décommissionner",IF(I$8&lt;$AS265,"IKS","Décom."),IF(OR($AQ265="",$AS265=""),"",IF(I$8&lt;$AQ265,"IKS",IF(I$8&lt;$AS265,IF(I$8=$AR265,"Bascule","Double run"),"ROKS"))))))</f>
        <v/>
      </c>
      <c r="J265" s="51" t="str">
        <f aca="false">IF(OR($A265="",J$8=""),"",IF($F265="Migré","ROKS",IF($F265="À décommissionner",IF(J$8&lt;$AS265,"IKS","Décom."),IF(OR($AQ265="",$AS265=""),"",IF(J$8&lt;$AQ265,"IKS",IF(J$8&lt;$AS265,IF(J$8=$AR265,"Bascule","Double run"),"ROKS"))))))</f>
        <v/>
      </c>
      <c r="K265" s="51" t="str">
        <f aca="false">IF(OR($A265="",K$8=""),"",IF($F265="Migré","ROKS",IF($F265="À décommissionner",IF(K$8&lt;$AS265,"IKS","Décom."),IF(OR($AQ265="",$AS265=""),"",IF(K$8&lt;$AQ265,"IKS",IF(K$8&lt;$AS265,IF(K$8=$AR265,"Bascule","Double run"),"ROKS"))))))</f>
        <v/>
      </c>
      <c r="L265" s="51" t="str">
        <f aca="false">IF(OR($A265="",L$8=""),"",IF($F265="Migré","ROKS",IF($F265="À décommissionner",IF(L$8&lt;$AS265,"IKS","Décom."),IF(OR($AQ265="",$AS265=""),"",IF(L$8&lt;$AQ265,"IKS",IF(L$8&lt;$AS265,IF(L$8=$AR265,"Bascule","Double run"),"ROKS"))))))</f>
        <v/>
      </c>
      <c r="M265" s="51" t="str">
        <f aca="false">IF(OR($A265="",M$8=""),"",IF($F265="Migré","ROKS",IF($F265="À décommissionner",IF(M$8&lt;$AS265,"IKS","Décom."),IF(OR($AQ265="",$AS265=""),"",IF(M$8&lt;$AQ265,"IKS",IF(M$8&lt;$AS265,IF(M$8=$AR265,"Bascule","Double run"),"ROKS"))))))</f>
        <v/>
      </c>
      <c r="N265" s="51" t="str">
        <f aca="false">IF(OR($A265="",N$8=""),"",IF($F265="Migré","ROKS",IF($F265="À décommissionner",IF(N$8&lt;$AS265,"IKS","Décom."),IF(OR($AQ265="",$AS265=""),"",IF(N$8&lt;$AQ265,"IKS",IF(N$8&lt;$AS265,IF(N$8=$AR265,"Bascule","Double run"),"ROKS"))))))</f>
        <v/>
      </c>
      <c r="O265" s="51" t="str">
        <f aca="false">IF(OR($A265="",O$8=""),"",IF($F265="Migré","ROKS",IF($F265="À décommissionner",IF(O$8&lt;$AS265,"IKS","Décom."),IF(OR($AQ265="",$AS265=""),"",IF(O$8&lt;$AQ265,"IKS",IF(O$8&lt;$AS265,IF(O$8=$AR265,"Bascule","Double run"),"ROKS"))))))</f>
        <v/>
      </c>
      <c r="P265" s="51" t="str">
        <f aca="false">IF(OR($A265="",P$8=""),"",IF($F265="Migré","ROKS",IF($F265="À décommissionner",IF(P$8&lt;$AS265,"IKS","Décom."),IF(OR($AQ265="",$AS265=""),"",IF(P$8&lt;$AQ265,"IKS",IF(P$8&lt;$AS265,IF(P$8=$AR265,"Bascule","Double run"),"ROKS"))))))</f>
        <v/>
      </c>
      <c r="Q265" s="51" t="str">
        <f aca="false">IF(OR($A265="",Q$8=""),"",IF($F265="Migré","ROKS",IF($F265="À décommissionner",IF(Q$8&lt;$AS265,"IKS","Décom."),IF(OR($AQ265="",$AS265=""),"",IF(Q$8&lt;$AQ265,"IKS",IF(Q$8&lt;$AS265,IF(Q$8=$AR265,"Bascule","Double run"),"ROKS"))))))</f>
        <v/>
      </c>
      <c r="R265" s="51" t="str">
        <f aca="false">IF(OR($A265="",R$8=""),"",IF($F265="Migré","ROKS",IF($F265="À décommissionner",IF(R$8&lt;$AS265,"IKS","Décom."),IF(OR($AQ265="",$AS265=""),"",IF(R$8&lt;$AQ265,"IKS",IF(R$8&lt;$AS265,IF(R$8=$AR265,"Bascule","Double run"),"ROKS"))))))</f>
        <v/>
      </c>
      <c r="S265" s="51" t="str">
        <f aca="false">IF(OR($A265="",S$8=""),"",IF($F265="Migré","ROKS",IF($F265="À décommissionner",IF(S$8&lt;$AS265,"IKS","Décom."),IF(OR($AQ265="",$AS265=""),"",IF(S$8&lt;$AQ265,"IKS",IF(S$8&lt;$AS265,IF(S$8=$AR265,"Bascule","Double run"),"ROKS"))))))</f>
        <v/>
      </c>
      <c r="T265" s="51" t="str">
        <f aca="false">IF(OR($A265="",T$8=""),"",IF($F265="Migré","ROKS",IF($F265="À décommissionner",IF(T$8&lt;$AS265,"IKS","Décom."),IF(OR($AQ265="",$AS265=""),"",IF(T$8&lt;$AQ265,"IKS",IF(T$8&lt;$AS265,IF(T$8=$AR265,"Bascule","Double run"),"ROKS"))))))</f>
        <v/>
      </c>
      <c r="U265" s="51" t="str">
        <f aca="false">IF(OR($A265="",U$8=""),"",IF($F265="Migré","ROKS",IF($F265="À décommissionner",IF(U$8&lt;$AS265,"IKS","Décom."),IF(OR($AQ265="",$AS265=""),"",IF(U$8&lt;$AQ265,"IKS",IF(U$8&lt;$AS265,IF(U$8=$AR265,"Bascule","Double run"),"ROKS"))))))</f>
        <v/>
      </c>
      <c r="V265" s="51" t="str">
        <f aca="false">IF(OR($A265="",V$8=""),"",IF($F265="Migré","ROKS",IF($F265="À décommissionner",IF(V$8&lt;$AS265,"IKS","Décom."),IF(OR($AQ265="",$AS265=""),"",IF(V$8&lt;$AQ265,"IKS",IF(V$8&lt;$AS265,IF(V$8=$AR265,"Bascule","Double run"),"ROKS"))))))</f>
        <v/>
      </c>
      <c r="W265" s="51" t="str">
        <f aca="false">IF(OR($A265="",W$8=""),"",IF($F265="Migré","ROKS",IF($F265="À décommissionner",IF(W$8&lt;$AS265,"IKS","Décom."),IF(OR($AQ265="",$AS265=""),"",IF(W$8&lt;$AQ265,"IKS",IF(W$8&lt;$AS265,IF(W$8=$AR265,"Bascule","Double run"),"ROKS"))))))</f>
        <v/>
      </c>
      <c r="X265" s="51" t="str">
        <f aca="false">IF(OR($A265="",X$8=""),"",IF($F265="Migré","ROKS",IF($F265="À décommissionner",IF(X$8&lt;$AS265,"IKS","Décom."),IF(OR($AQ265="",$AS265=""),"",IF(X$8&lt;$AQ265,"IKS",IF(X$8&lt;$AS265,IF(X$8=$AR265,"Bascule","Double run"),"ROKS"))))))</f>
        <v/>
      </c>
      <c r="Y265" s="51" t="str">
        <f aca="false">IF(OR($A265="",Y$8=""),"",IF($F265="Migré","ROKS",IF($F265="À décommissionner",IF(Y$8&lt;$AS265,"IKS","Décom."),IF(OR($AQ265="",$AS265=""),"",IF(Y$8&lt;$AQ265,"IKS",IF(Y$8&lt;$AS265,IF(Y$8=$AR265,"Bascule","Double run"),"ROKS"))))))</f>
        <v/>
      </c>
      <c r="Z265" s="51" t="str">
        <f aca="false">IF(OR($A265="",Z$8=""),"",IF($F265="Migré","ROKS",IF($F265="À décommissionner",IF(Z$8&lt;$AS265,"IKS","Décom."),IF(OR($AQ265="",$AS265=""),"",IF(Z$8&lt;$AQ265,"IKS",IF(Z$8&lt;$AS265,IF(Z$8=$AR265,"Bascule","Double run"),"ROKS"))))))</f>
        <v/>
      </c>
      <c r="AA265" s="51" t="str">
        <f aca="false">IF(OR($A265="",AA$8=""),"",IF($F265="Migré","ROKS",IF($F265="À décommissionner",IF(AA$8&lt;$AS265,"IKS","Décom."),IF(OR($AQ265="",$AS265=""),"",IF(AA$8&lt;$AQ265,"IKS",IF(AA$8&lt;$AS265,IF(AA$8=$AR265,"Bascule","Double run"),"ROKS"))))))</f>
        <v/>
      </c>
      <c r="AB265" s="51" t="str">
        <f aca="false">IF(OR($A265="",AB$8=""),"",IF($F265="Migré","ROKS",IF($F265="À décommissionner",IF(AB$8&lt;$AS265,"IKS","Décom."),IF(OR($AQ265="",$AS265=""),"",IF(AB$8&lt;$AQ265,"IKS",IF(AB$8&lt;$AS265,IF(AB$8=$AR265,"Bascule","Double run"),"ROKS"))))))</f>
        <v/>
      </c>
      <c r="AC265" s="51" t="str">
        <f aca="false">IF(OR($A265="",AC$8=""),"",IF($F265="Migré","ROKS",IF($F265="À décommissionner",IF(AC$8&lt;$AS265,"IKS","Décom."),IF(OR($AQ265="",$AS265=""),"",IF(AC$8&lt;$AQ265,"IKS",IF(AC$8&lt;$AS265,IF(AC$8=$AR265,"Bascule","Double run"),"ROKS"))))))</f>
        <v/>
      </c>
      <c r="AD265" s="51" t="str">
        <f aca="false">IF(OR($A265="",AD$8=""),"",IF($F265="Migré","ROKS",IF($F265="À décommissionner",IF(AD$8&lt;$AS265,"IKS","Décom."),IF(OR($AQ265="",$AS265=""),"",IF(AD$8&lt;$AQ265,"IKS",IF(AD$8&lt;$AS265,IF(AD$8=$AR265,"Bascule","Double run"),"ROKS"))))))</f>
        <v/>
      </c>
      <c r="AE265" s="51" t="str">
        <f aca="false">IF(OR($A265="",AE$8=""),"",IF($F265="Migré","ROKS",IF($F265="À décommissionner",IF(AE$8&lt;$AS265,"IKS","Décom."),IF(OR($AQ265="",$AS265=""),"",IF(AE$8&lt;$AQ265,"IKS",IF(AE$8&lt;$AS265,IF(AE$8=$AR265,"Bascule","Double run"),"ROKS"))))))</f>
        <v/>
      </c>
      <c r="AF265" s="51" t="str">
        <f aca="false">IF(OR($A265="",AF$8=""),"",IF($F265="Migré","ROKS",IF($F265="À décommissionner",IF(AF$8&lt;$AS265,"IKS","Décom."),IF(OR($AQ265="",$AS265=""),"",IF(AF$8&lt;$AQ265,"IKS",IF(AF$8&lt;$AS265,IF(AF$8=$AR265,"Bascule","Double run"),"ROKS"))))))</f>
        <v/>
      </c>
      <c r="AG265" s="51" t="str">
        <f aca="false">IF(OR($A265="",AG$8=""),"",IF($F265="Migré","ROKS",IF($F265="À décommissionner",IF(AG$8&lt;$AS265,"IKS","Décom."),IF(OR($AQ265="",$AS265=""),"",IF(AG$8&lt;$AQ265,"IKS",IF(AG$8&lt;$AS265,IF(AG$8=$AR265,"Bascule","Double run"),"ROKS"))))))</f>
        <v/>
      </c>
      <c r="AH265" s="51" t="str">
        <f aca="false">IF(OR($A265="",AH$8=""),"",IF($F265="Migré","ROKS",IF($F265="À décommissionner",IF(AH$8&lt;$AS265,"IKS","Décom."),IF(OR($AQ265="",$AS265=""),"",IF(AH$8&lt;$AQ265,"IKS",IF(AH$8&lt;$AS265,IF(AH$8=$AR265,"Bascule","Double run"),"ROKS"))))))</f>
        <v/>
      </c>
      <c r="AI265" s="51" t="str">
        <f aca="false">IF(OR($A265="",AI$8=""),"",IF($F265="Migré","ROKS",IF($F265="À décommissionner",IF(AI$8&lt;$AS265,"IKS","Décom."),IF(OR($AQ265="",$AS265=""),"",IF(AI$8&lt;$AQ265,"IKS",IF(AI$8&lt;$AS265,IF(AI$8=$AR265,"Bascule","Double run"),"ROKS"))))))</f>
        <v/>
      </c>
      <c r="AJ265" s="51" t="str">
        <f aca="false">IF(OR($A265="",AJ$8=""),"",IF($F265="Migré","ROKS",IF($F265="À décommissionner",IF(AJ$8&lt;$AS265,"IKS","Décom."),IF(OR($AQ265="",$AS265=""),"",IF(AJ$8&lt;$AQ265,"IKS",IF(AJ$8&lt;$AS265,IF(AJ$8=$AR265,"Bascule","Double run"),"ROKS"))))))</f>
        <v/>
      </c>
      <c r="AK265" s="51" t="str">
        <f aca="false">IF(OR($A265="",AK$8=""),"",IF($F265="Migré","ROKS",IF($F265="À décommissionner",IF(AK$8&lt;$AS265,"IKS","Décom."),IF(OR($AQ265="",$AS265=""),"",IF(AK$8&lt;$AQ265,"IKS",IF(AK$8&lt;$AS265,IF(AK$8=$AR265,"Bascule","Double run"),"ROKS"))))))</f>
        <v/>
      </c>
      <c r="AL265" s="51" t="str">
        <f aca="false">IF(OR($A265="",AL$8=""),"",IF($F265="Migré","ROKS",IF($F265="À décommissionner",IF(AL$8&lt;$AS265,"IKS","Décom."),IF(OR($AQ265="",$AS265=""),"",IF(AL$8&lt;$AQ265,"IKS",IF(AL$8&lt;$AS265,IF(AL$8=$AR265,"Bascule","Double run"),"ROKS"))))))</f>
        <v/>
      </c>
      <c r="AM265" s="51" t="str">
        <f aca="false">IF(OR($A265="",AM$8=""),"",IF($F265="Migré","ROKS",IF($F265="À décommissionner",IF(AM$8&lt;$AS265,"IKS","Décom."),IF(OR($AQ265="",$AS265=""),"",IF(AM$8&lt;$AQ265,"IKS",IF(AM$8&lt;$AS265,IF(AM$8=$AR265,"Bascule","Double run"),"ROKS"))))))</f>
        <v/>
      </c>
      <c r="AN265" s="51" t="str">
        <f aca="false">IF(OR($A265="",AN$8=""),"",IF($F265="Migré","ROKS",IF($F265="À décommissionner",IF(AN$8&lt;$AS265,"IKS","Décom."),IF(OR($AQ265="",$AS265=""),"",IF(AN$8&lt;$AQ265,"IKS",IF(AN$8&lt;$AS265,IF(AN$8=$AR265,"Bascule","Double run"),"ROKS"))))))</f>
        <v/>
      </c>
      <c r="AO265" s="51" t="str">
        <f aca="false">IF(OR($A265="",AO$8=""),"",IF($F265="Migré","ROKS",IF($F265="À décommissionner",IF(AO$8&lt;$AS265,"IKS","Décom."),IF(OR($AQ265="",$AS265=""),"",IF(AO$8&lt;$AQ265,"IKS",IF(AO$8&lt;$AS265,IF(AO$8=$AR265,"Bascule","Double run"),"ROKS"))))))</f>
        <v/>
      </c>
      <c r="AP265" s="51" t="str">
        <f aca="false">IF(OR($A265="",AP$8=""),"",IF($F265="Migré","ROKS",IF($F265="À décommissionner",IF(AP$8&lt;$AS265,"IKS","Décom."),IF(OR($AQ265="",$AS265=""),"",IF(AP$8&lt;$AQ265,"IKS",IF(AP$8&lt;$AS265,IF(AP$8=$AR265,"Bascule","Double run"),"ROKS"))))))</f>
        <v/>
      </c>
      <c r="AQ265" s="0" t="str">
        <f aca="false">IF($A265="","",INDEX(TblApplications[Mois prov (calc)],$A265))</f>
        <v/>
      </c>
      <c r="AR265" s="0" t="str">
        <f aca="false">IF($A265="","",IFERROR(DATE(YEAR(INDEX(TblApplications[Mois bascule],$A265)),MONTH(INDEX(TblApplications[Mois bascule],$A265)),1),""))</f>
        <v/>
      </c>
      <c r="AS265" s="0" t="str">
        <f aca="false">IF($A265="","",INDEX(TblApplications[Mois lib (calc)],$A265))</f>
        <v/>
      </c>
    </row>
    <row r="266" customFormat="false" ht="15" hidden="false" customHeight="false" outlineLevel="0" collapsed="false">
      <c r="A266" s="49" t="str">
        <f aca="false">IFERROR(MATCH(258,TblApplications[Rang frise],0),"")</f>
        <v/>
      </c>
      <c r="B266" s="50" t="str">
        <f aca="false">IF($A266="","",INDEX(TblApplications[ID],$A266))</f>
        <v/>
      </c>
      <c r="C266" s="50" t="str">
        <f aca="false">IF($A266="","",INDEX(TblApplications[Application],$A266))</f>
        <v/>
      </c>
      <c r="D266" s="50" t="str">
        <f aca="false">IF($A266="","",INDEX(TblApplications[Environnement],$A266))</f>
        <v/>
      </c>
      <c r="E266" s="50" t="str">
        <f aca="false">IF($A266="","",INDEX(TblApplications[Couloir],$A266))</f>
        <v/>
      </c>
      <c r="F266" s="50" t="str">
        <f aca="false">IF($A266="","",INDEX(TblApplications[Action],$A266))</f>
        <v/>
      </c>
      <c r="G266" s="51" t="str">
        <f aca="false">IF(OR($A266="",G$8=""),"",IF($F266="Migré","ROKS",IF($F266="À décommissionner",IF(G$8&lt;$AS266,"IKS","Décom."),IF(OR($AQ266="",$AS266=""),"",IF(G$8&lt;$AQ266,"IKS",IF(G$8&lt;$AS266,IF(G$8=$AR266,"Bascule","Double run"),"ROKS"))))))</f>
        <v/>
      </c>
      <c r="H266" s="51" t="str">
        <f aca="false">IF(OR($A266="",H$8=""),"",IF($F266="Migré","ROKS",IF($F266="À décommissionner",IF(H$8&lt;$AS266,"IKS","Décom."),IF(OR($AQ266="",$AS266=""),"",IF(H$8&lt;$AQ266,"IKS",IF(H$8&lt;$AS266,IF(H$8=$AR266,"Bascule","Double run"),"ROKS"))))))</f>
        <v/>
      </c>
      <c r="I266" s="51" t="str">
        <f aca="false">IF(OR($A266="",I$8=""),"",IF($F266="Migré","ROKS",IF($F266="À décommissionner",IF(I$8&lt;$AS266,"IKS","Décom."),IF(OR($AQ266="",$AS266=""),"",IF(I$8&lt;$AQ266,"IKS",IF(I$8&lt;$AS266,IF(I$8=$AR266,"Bascule","Double run"),"ROKS"))))))</f>
        <v/>
      </c>
      <c r="J266" s="51" t="str">
        <f aca="false">IF(OR($A266="",J$8=""),"",IF($F266="Migré","ROKS",IF($F266="À décommissionner",IF(J$8&lt;$AS266,"IKS","Décom."),IF(OR($AQ266="",$AS266=""),"",IF(J$8&lt;$AQ266,"IKS",IF(J$8&lt;$AS266,IF(J$8=$AR266,"Bascule","Double run"),"ROKS"))))))</f>
        <v/>
      </c>
      <c r="K266" s="51" t="str">
        <f aca="false">IF(OR($A266="",K$8=""),"",IF($F266="Migré","ROKS",IF($F266="À décommissionner",IF(K$8&lt;$AS266,"IKS","Décom."),IF(OR($AQ266="",$AS266=""),"",IF(K$8&lt;$AQ266,"IKS",IF(K$8&lt;$AS266,IF(K$8=$AR266,"Bascule","Double run"),"ROKS"))))))</f>
        <v/>
      </c>
      <c r="L266" s="51" t="str">
        <f aca="false">IF(OR($A266="",L$8=""),"",IF($F266="Migré","ROKS",IF($F266="À décommissionner",IF(L$8&lt;$AS266,"IKS","Décom."),IF(OR($AQ266="",$AS266=""),"",IF(L$8&lt;$AQ266,"IKS",IF(L$8&lt;$AS266,IF(L$8=$AR266,"Bascule","Double run"),"ROKS"))))))</f>
        <v/>
      </c>
      <c r="M266" s="51" t="str">
        <f aca="false">IF(OR($A266="",M$8=""),"",IF($F266="Migré","ROKS",IF($F266="À décommissionner",IF(M$8&lt;$AS266,"IKS","Décom."),IF(OR($AQ266="",$AS266=""),"",IF(M$8&lt;$AQ266,"IKS",IF(M$8&lt;$AS266,IF(M$8=$AR266,"Bascule","Double run"),"ROKS"))))))</f>
        <v/>
      </c>
      <c r="N266" s="51" t="str">
        <f aca="false">IF(OR($A266="",N$8=""),"",IF($F266="Migré","ROKS",IF($F266="À décommissionner",IF(N$8&lt;$AS266,"IKS","Décom."),IF(OR($AQ266="",$AS266=""),"",IF(N$8&lt;$AQ266,"IKS",IF(N$8&lt;$AS266,IF(N$8=$AR266,"Bascule","Double run"),"ROKS"))))))</f>
        <v/>
      </c>
      <c r="O266" s="51" t="str">
        <f aca="false">IF(OR($A266="",O$8=""),"",IF($F266="Migré","ROKS",IF($F266="À décommissionner",IF(O$8&lt;$AS266,"IKS","Décom."),IF(OR($AQ266="",$AS266=""),"",IF(O$8&lt;$AQ266,"IKS",IF(O$8&lt;$AS266,IF(O$8=$AR266,"Bascule","Double run"),"ROKS"))))))</f>
        <v/>
      </c>
      <c r="P266" s="51" t="str">
        <f aca="false">IF(OR($A266="",P$8=""),"",IF($F266="Migré","ROKS",IF($F266="À décommissionner",IF(P$8&lt;$AS266,"IKS","Décom."),IF(OR($AQ266="",$AS266=""),"",IF(P$8&lt;$AQ266,"IKS",IF(P$8&lt;$AS266,IF(P$8=$AR266,"Bascule","Double run"),"ROKS"))))))</f>
        <v/>
      </c>
      <c r="Q266" s="51" t="str">
        <f aca="false">IF(OR($A266="",Q$8=""),"",IF($F266="Migré","ROKS",IF($F266="À décommissionner",IF(Q$8&lt;$AS266,"IKS","Décom."),IF(OR($AQ266="",$AS266=""),"",IF(Q$8&lt;$AQ266,"IKS",IF(Q$8&lt;$AS266,IF(Q$8=$AR266,"Bascule","Double run"),"ROKS"))))))</f>
        <v/>
      </c>
      <c r="R266" s="51" t="str">
        <f aca="false">IF(OR($A266="",R$8=""),"",IF($F266="Migré","ROKS",IF($F266="À décommissionner",IF(R$8&lt;$AS266,"IKS","Décom."),IF(OR($AQ266="",$AS266=""),"",IF(R$8&lt;$AQ266,"IKS",IF(R$8&lt;$AS266,IF(R$8=$AR266,"Bascule","Double run"),"ROKS"))))))</f>
        <v/>
      </c>
      <c r="S266" s="51" t="str">
        <f aca="false">IF(OR($A266="",S$8=""),"",IF($F266="Migré","ROKS",IF($F266="À décommissionner",IF(S$8&lt;$AS266,"IKS","Décom."),IF(OR($AQ266="",$AS266=""),"",IF(S$8&lt;$AQ266,"IKS",IF(S$8&lt;$AS266,IF(S$8=$AR266,"Bascule","Double run"),"ROKS"))))))</f>
        <v/>
      </c>
      <c r="T266" s="51" t="str">
        <f aca="false">IF(OR($A266="",T$8=""),"",IF($F266="Migré","ROKS",IF($F266="À décommissionner",IF(T$8&lt;$AS266,"IKS","Décom."),IF(OR($AQ266="",$AS266=""),"",IF(T$8&lt;$AQ266,"IKS",IF(T$8&lt;$AS266,IF(T$8=$AR266,"Bascule","Double run"),"ROKS"))))))</f>
        <v/>
      </c>
      <c r="U266" s="51" t="str">
        <f aca="false">IF(OR($A266="",U$8=""),"",IF($F266="Migré","ROKS",IF($F266="À décommissionner",IF(U$8&lt;$AS266,"IKS","Décom."),IF(OR($AQ266="",$AS266=""),"",IF(U$8&lt;$AQ266,"IKS",IF(U$8&lt;$AS266,IF(U$8=$AR266,"Bascule","Double run"),"ROKS"))))))</f>
        <v/>
      </c>
      <c r="V266" s="51" t="str">
        <f aca="false">IF(OR($A266="",V$8=""),"",IF($F266="Migré","ROKS",IF($F266="À décommissionner",IF(V$8&lt;$AS266,"IKS","Décom."),IF(OR($AQ266="",$AS266=""),"",IF(V$8&lt;$AQ266,"IKS",IF(V$8&lt;$AS266,IF(V$8=$AR266,"Bascule","Double run"),"ROKS"))))))</f>
        <v/>
      </c>
      <c r="W266" s="51" t="str">
        <f aca="false">IF(OR($A266="",W$8=""),"",IF($F266="Migré","ROKS",IF($F266="À décommissionner",IF(W$8&lt;$AS266,"IKS","Décom."),IF(OR($AQ266="",$AS266=""),"",IF(W$8&lt;$AQ266,"IKS",IF(W$8&lt;$AS266,IF(W$8=$AR266,"Bascule","Double run"),"ROKS"))))))</f>
        <v/>
      </c>
      <c r="X266" s="51" t="str">
        <f aca="false">IF(OR($A266="",X$8=""),"",IF($F266="Migré","ROKS",IF($F266="À décommissionner",IF(X$8&lt;$AS266,"IKS","Décom."),IF(OR($AQ266="",$AS266=""),"",IF(X$8&lt;$AQ266,"IKS",IF(X$8&lt;$AS266,IF(X$8=$AR266,"Bascule","Double run"),"ROKS"))))))</f>
        <v/>
      </c>
      <c r="Y266" s="51" t="str">
        <f aca="false">IF(OR($A266="",Y$8=""),"",IF($F266="Migré","ROKS",IF($F266="À décommissionner",IF(Y$8&lt;$AS266,"IKS","Décom."),IF(OR($AQ266="",$AS266=""),"",IF(Y$8&lt;$AQ266,"IKS",IF(Y$8&lt;$AS266,IF(Y$8=$AR266,"Bascule","Double run"),"ROKS"))))))</f>
        <v/>
      </c>
      <c r="Z266" s="51" t="str">
        <f aca="false">IF(OR($A266="",Z$8=""),"",IF($F266="Migré","ROKS",IF($F266="À décommissionner",IF(Z$8&lt;$AS266,"IKS","Décom."),IF(OR($AQ266="",$AS266=""),"",IF(Z$8&lt;$AQ266,"IKS",IF(Z$8&lt;$AS266,IF(Z$8=$AR266,"Bascule","Double run"),"ROKS"))))))</f>
        <v/>
      </c>
      <c r="AA266" s="51" t="str">
        <f aca="false">IF(OR($A266="",AA$8=""),"",IF($F266="Migré","ROKS",IF($F266="À décommissionner",IF(AA$8&lt;$AS266,"IKS","Décom."),IF(OR($AQ266="",$AS266=""),"",IF(AA$8&lt;$AQ266,"IKS",IF(AA$8&lt;$AS266,IF(AA$8=$AR266,"Bascule","Double run"),"ROKS"))))))</f>
        <v/>
      </c>
      <c r="AB266" s="51" t="str">
        <f aca="false">IF(OR($A266="",AB$8=""),"",IF($F266="Migré","ROKS",IF($F266="À décommissionner",IF(AB$8&lt;$AS266,"IKS","Décom."),IF(OR($AQ266="",$AS266=""),"",IF(AB$8&lt;$AQ266,"IKS",IF(AB$8&lt;$AS266,IF(AB$8=$AR266,"Bascule","Double run"),"ROKS"))))))</f>
        <v/>
      </c>
      <c r="AC266" s="51" t="str">
        <f aca="false">IF(OR($A266="",AC$8=""),"",IF($F266="Migré","ROKS",IF($F266="À décommissionner",IF(AC$8&lt;$AS266,"IKS","Décom."),IF(OR($AQ266="",$AS266=""),"",IF(AC$8&lt;$AQ266,"IKS",IF(AC$8&lt;$AS266,IF(AC$8=$AR266,"Bascule","Double run"),"ROKS"))))))</f>
        <v/>
      </c>
      <c r="AD266" s="51" t="str">
        <f aca="false">IF(OR($A266="",AD$8=""),"",IF($F266="Migré","ROKS",IF($F266="À décommissionner",IF(AD$8&lt;$AS266,"IKS","Décom."),IF(OR($AQ266="",$AS266=""),"",IF(AD$8&lt;$AQ266,"IKS",IF(AD$8&lt;$AS266,IF(AD$8=$AR266,"Bascule","Double run"),"ROKS"))))))</f>
        <v/>
      </c>
      <c r="AE266" s="51" t="str">
        <f aca="false">IF(OR($A266="",AE$8=""),"",IF($F266="Migré","ROKS",IF($F266="À décommissionner",IF(AE$8&lt;$AS266,"IKS","Décom."),IF(OR($AQ266="",$AS266=""),"",IF(AE$8&lt;$AQ266,"IKS",IF(AE$8&lt;$AS266,IF(AE$8=$AR266,"Bascule","Double run"),"ROKS"))))))</f>
        <v/>
      </c>
      <c r="AF266" s="51" t="str">
        <f aca="false">IF(OR($A266="",AF$8=""),"",IF($F266="Migré","ROKS",IF($F266="À décommissionner",IF(AF$8&lt;$AS266,"IKS","Décom."),IF(OR($AQ266="",$AS266=""),"",IF(AF$8&lt;$AQ266,"IKS",IF(AF$8&lt;$AS266,IF(AF$8=$AR266,"Bascule","Double run"),"ROKS"))))))</f>
        <v/>
      </c>
      <c r="AG266" s="51" t="str">
        <f aca="false">IF(OR($A266="",AG$8=""),"",IF($F266="Migré","ROKS",IF($F266="À décommissionner",IF(AG$8&lt;$AS266,"IKS","Décom."),IF(OR($AQ266="",$AS266=""),"",IF(AG$8&lt;$AQ266,"IKS",IF(AG$8&lt;$AS266,IF(AG$8=$AR266,"Bascule","Double run"),"ROKS"))))))</f>
        <v/>
      </c>
      <c r="AH266" s="51" t="str">
        <f aca="false">IF(OR($A266="",AH$8=""),"",IF($F266="Migré","ROKS",IF($F266="À décommissionner",IF(AH$8&lt;$AS266,"IKS","Décom."),IF(OR($AQ266="",$AS266=""),"",IF(AH$8&lt;$AQ266,"IKS",IF(AH$8&lt;$AS266,IF(AH$8=$AR266,"Bascule","Double run"),"ROKS"))))))</f>
        <v/>
      </c>
      <c r="AI266" s="51" t="str">
        <f aca="false">IF(OR($A266="",AI$8=""),"",IF($F266="Migré","ROKS",IF($F266="À décommissionner",IF(AI$8&lt;$AS266,"IKS","Décom."),IF(OR($AQ266="",$AS266=""),"",IF(AI$8&lt;$AQ266,"IKS",IF(AI$8&lt;$AS266,IF(AI$8=$AR266,"Bascule","Double run"),"ROKS"))))))</f>
        <v/>
      </c>
      <c r="AJ266" s="51" t="str">
        <f aca="false">IF(OR($A266="",AJ$8=""),"",IF($F266="Migré","ROKS",IF($F266="À décommissionner",IF(AJ$8&lt;$AS266,"IKS","Décom."),IF(OR($AQ266="",$AS266=""),"",IF(AJ$8&lt;$AQ266,"IKS",IF(AJ$8&lt;$AS266,IF(AJ$8=$AR266,"Bascule","Double run"),"ROKS"))))))</f>
        <v/>
      </c>
      <c r="AK266" s="51" t="str">
        <f aca="false">IF(OR($A266="",AK$8=""),"",IF($F266="Migré","ROKS",IF($F266="À décommissionner",IF(AK$8&lt;$AS266,"IKS","Décom."),IF(OR($AQ266="",$AS266=""),"",IF(AK$8&lt;$AQ266,"IKS",IF(AK$8&lt;$AS266,IF(AK$8=$AR266,"Bascule","Double run"),"ROKS"))))))</f>
        <v/>
      </c>
      <c r="AL266" s="51" t="str">
        <f aca="false">IF(OR($A266="",AL$8=""),"",IF($F266="Migré","ROKS",IF($F266="À décommissionner",IF(AL$8&lt;$AS266,"IKS","Décom."),IF(OR($AQ266="",$AS266=""),"",IF(AL$8&lt;$AQ266,"IKS",IF(AL$8&lt;$AS266,IF(AL$8=$AR266,"Bascule","Double run"),"ROKS"))))))</f>
        <v/>
      </c>
      <c r="AM266" s="51" t="str">
        <f aca="false">IF(OR($A266="",AM$8=""),"",IF($F266="Migré","ROKS",IF($F266="À décommissionner",IF(AM$8&lt;$AS266,"IKS","Décom."),IF(OR($AQ266="",$AS266=""),"",IF(AM$8&lt;$AQ266,"IKS",IF(AM$8&lt;$AS266,IF(AM$8=$AR266,"Bascule","Double run"),"ROKS"))))))</f>
        <v/>
      </c>
      <c r="AN266" s="51" t="str">
        <f aca="false">IF(OR($A266="",AN$8=""),"",IF($F266="Migré","ROKS",IF($F266="À décommissionner",IF(AN$8&lt;$AS266,"IKS","Décom."),IF(OR($AQ266="",$AS266=""),"",IF(AN$8&lt;$AQ266,"IKS",IF(AN$8&lt;$AS266,IF(AN$8=$AR266,"Bascule","Double run"),"ROKS"))))))</f>
        <v/>
      </c>
      <c r="AO266" s="51" t="str">
        <f aca="false">IF(OR($A266="",AO$8=""),"",IF($F266="Migré","ROKS",IF($F266="À décommissionner",IF(AO$8&lt;$AS266,"IKS","Décom."),IF(OR($AQ266="",$AS266=""),"",IF(AO$8&lt;$AQ266,"IKS",IF(AO$8&lt;$AS266,IF(AO$8=$AR266,"Bascule","Double run"),"ROKS"))))))</f>
        <v/>
      </c>
      <c r="AP266" s="51" t="str">
        <f aca="false">IF(OR($A266="",AP$8=""),"",IF($F266="Migré","ROKS",IF($F266="À décommissionner",IF(AP$8&lt;$AS266,"IKS","Décom."),IF(OR($AQ266="",$AS266=""),"",IF(AP$8&lt;$AQ266,"IKS",IF(AP$8&lt;$AS266,IF(AP$8=$AR266,"Bascule","Double run"),"ROKS"))))))</f>
        <v/>
      </c>
      <c r="AQ266" s="0" t="str">
        <f aca="false">IF($A266="","",INDEX(TblApplications[Mois prov (calc)],$A266))</f>
        <v/>
      </c>
      <c r="AR266" s="0" t="str">
        <f aca="false">IF($A266="","",IFERROR(DATE(YEAR(INDEX(TblApplications[Mois bascule],$A266)),MONTH(INDEX(TblApplications[Mois bascule],$A266)),1),""))</f>
        <v/>
      </c>
      <c r="AS266" s="0" t="str">
        <f aca="false">IF($A266="","",INDEX(TblApplications[Mois lib (calc)],$A266))</f>
        <v/>
      </c>
    </row>
    <row r="267" customFormat="false" ht="15" hidden="false" customHeight="false" outlineLevel="0" collapsed="false">
      <c r="A267" s="49" t="str">
        <f aca="false">IFERROR(MATCH(259,TblApplications[Rang frise],0),"")</f>
        <v/>
      </c>
      <c r="B267" s="50" t="str">
        <f aca="false">IF($A267="","",INDEX(TblApplications[ID],$A267))</f>
        <v/>
      </c>
      <c r="C267" s="50" t="str">
        <f aca="false">IF($A267="","",INDEX(TblApplications[Application],$A267))</f>
        <v/>
      </c>
      <c r="D267" s="50" t="str">
        <f aca="false">IF($A267="","",INDEX(TblApplications[Environnement],$A267))</f>
        <v/>
      </c>
      <c r="E267" s="50" t="str">
        <f aca="false">IF($A267="","",INDEX(TblApplications[Couloir],$A267))</f>
        <v/>
      </c>
      <c r="F267" s="50" t="str">
        <f aca="false">IF($A267="","",INDEX(TblApplications[Action],$A267))</f>
        <v/>
      </c>
      <c r="G267" s="51" t="str">
        <f aca="false">IF(OR($A267="",G$8=""),"",IF($F267="Migré","ROKS",IF($F267="À décommissionner",IF(G$8&lt;$AS267,"IKS","Décom."),IF(OR($AQ267="",$AS267=""),"",IF(G$8&lt;$AQ267,"IKS",IF(G$8&lt;$AS267,IF(G$8=$AR267,"Bascule","Double run"),"ROKS"))))))</f>
        <v/>
      </c>
      <c r="H267" s="51" t="str">
        <f aca="false">IF(OR($A267="",H$8=""),"",IF($F267="Migré","ROKS",IF($F267="À décommissionner",IF(H$8&lt;$AS267,"IKS","Décom."),IF(OR($AQ267="",$AS267=""),"",IF(H$8&lt;$AQ267,"IKS",IF(H$8&lt;$AS267,IF(H$8=$AR267,"Bascule","Double run"),"ROKS"))))))</f>
        <v/>
      </c>
      <c r="I267" s="51" t="str">
        <f aca="false">IF(OR($A267="",I$8=""),"",IF($F267="Migré","ROKS",IF($F267="À décommissionner",IF(I$8&lt;$AS267,"IKS","Décom."),IF(OR($AQ267="",$AS267=""),"",IF(I$8&lt;$AQ267,"IKS",IF(I$8&lt;$AS267,IF(I$8=$AR267,"Bascule","Double run"),"ROKS"))))))</f>
        <v/>
      </c>
      <c r="J267" s="51" t="str">
        <f aca="false">IF(OR($A267="",J$8=""),"",IF($F267="Migré","ROKS",IF($F267="À décommissionner",IF(J$8&lt;$AS267,"IKS","Décom."),IF(OR($AQ267="",$AS267=""),"",IF(J$8&lt;$AQ267,"IKS",IF(J$8&lt;$AS267,IF(J$8=$AR267,"Bascule","Double run"),"ROKS"))))))</f>
        <v/>
      </c>
      <c r="K267" s="51" t="str">
        <f aca="false">IF(OR($A267="",K$8=""),"",IF($F267="Migré","ROKS",IF($F267="À décommissionner",IF(K$8&lt;$AS267,"IKS","Décom."),IF(OR($AQ267="",$AS267=""),"",IF(K$8&lt;$AQ267,"IKS",IF(K$8&lt;$AS267,IF(K$8=$AR267,"Bascule","Double run"),"ROKS"))))))</f>
        <v/>
      </c>
      <c r="L267" s="51" t="str">
        <f aca="false">IF(OR($A267="",L$8=""),"",IF($F267="Migré","ROKS",IF($F267="À décommissionner",IF(L$8&lt;$AS267,"IKS","Décom."),IF(OR($AQ267="",$AS267=""),"",IF(L$8&lt;$AQ267,"IKS",IF(L$8&lt;$AS267,IF(L$8=$AR267,"Bascule","Double run"),"ROKS"))))))</f>
        <v/>
      </c>
      <c r="M267" s="51" t="str">
        <f aca="false">IF(OR($A267="",M$8=""),"",IF($F267="Migré","ROKS",IF($F267="À décommissionner",IF(M$8&lt;$AS267,"IKS","Décom."),IF(OR($AQ267="",$AS267=""),"",IF(M$8&lt;$AQ267,"IKS",IF(M$8&lt;$AS267,IF(M$8=$AR267,"Bascule","Double run"),"ROKS"))))))</f>
        <v/>
      </c>
      <c r="N267" s="51" t="str">
        <f aca="false">IF(OR($A267="",N$8=""),"",IF($F267="Migré","ROKS",IF($F267="À décommissionner",IF(N$8&lt;$AS267,"IKS","Décom."),IF(OR($AQ267="",$AS267=""),"",IF(N$8&lt;$AQ267,"IKS",IF(N$8&lt;$AS267,IF(N$8=$AR267,"Bascule","Double run"),"ROKS"))))))</f>
        <v/>
      </c>
      <c r="O267" s="51" t="str">
        <f aca="false">IF(OR($A267="",O$8=""),"",IF($F267="Migré","ROKS",IF($F267="À décommissionner",IF(O$8&lt;$AS267,"IKS","Décom."),IF(OR($AQ267="",$AS267=""),"",IF(O$8&lt;$AQ267,"IKS",IF(O$8&lt;$AS267,IF(O$8=$AR267,"Bascule","Double run"),"ROKS"))))))</f>
        <v/>
      </c>
      <c r="P267" s="51" t="str">
        <f aca="false">IF(OR($A267="",P$8=""),"",IF($F267="Migré","ROKS",IF($F267="À décommissionner",IF(P$8&lt;$AS267,"IKS","Décom."),IF(OR($AQ267="",$AS267=""),"",IF(P$8&lt;$AQ267,"IKS",IF(P$8&lt;$AS267,IF(P$8=$AR267,"Bascule","Double run"),"ROKS"))))))</f>
        <v/>
      </c>
      <c r="Q267" s="51" t="str">
        <f aca="false">IF(OR($A267="",Q$8=""),"",IF($F267="Migré","ROKS",IF($F267="À décommissionner",IF(Q$8&lt;$AS267,"IKS","Décom."),IF(OR($AQ267="",$AS267=""),"",IF(Q$8&lt;$AQ267,"IKS",IF(Q$8&lt;$AS267,IF(Q$8=$AR267,"Bascule","Double run"),"ROKS"))))))</f>
        <v/>
      </c>
      <c r="R267" s="51" t="str">
        <f aca="false">IF(OR($A267="",R$8=""),"",IF($F267="Migré","ROKS",IF($F267="À décommissionner",IF(R$8&lt;$AS267,"IKS","Décom."),IF(OR($AQ267="",$AS267=""),"",IF(R$8&lt;$AQ267,"IKS",IF(R$8&lt;$AS267,IF(R$8=$AR267,"Bascule","Double run"),"ROKS"))))))</f>
        <v/>
      </c>
      <c r="S267" s="51" t="str">
        <f aca="false">IF(OR($A267="",S$8=""),"",IF($F267="Migré","ROKS",IF($F267="À décommissionner",IF(S$8&lt;$AS267,"IKS","Décom."),IF(OR($AQ267="",$AS267=""),"",IF(S$8&lt;$AQ267,"IKS",IF(S$8&lt;$AS267,IF(S$8=$AR267,"Bascule","Double run"),"ROKS"))))))</f>
        <v/>
      </c>
      <c r="T267" s="51" t="str">
        <f aca="false">IF(OR($A267="",T$8=""),"",IF($F267="Migré","ROKS",IF($F267="À décommissionner",IF(T$8&lt;$AS267,"IKS","Décom."),IF(OR($AQ267="",$AS267=""),"",IF(T$8&lt;$AQ267,"IKS",IF(T$8&lt;$AS267,IF(T$8=$AR267,"Bascule","Double run"),"ROKS"))))))</f>
        <v/>
      </c>
      <c r="U267" s="51" t="str">
        <f aca="false">IF(OR($A267="",U$8=""),"",IF($F267="Migré","ROKS",IF($F267="À décommissionner",IF(U$8&lt;$AS267,"IKS","Décom."),IF(OR($AQ267="",$AS267=""),"",IF(U$8&lt;$AQ267,"IKS",IF(U$8&lt;$AS267,IF(U$8=$AR267,"Bascule","Double run"),"ROKS"))))))</f>
        <v/>
      </c>
      <c r="V267" s="51" t="str">
        <f aca="false">IF(OR($A267="",V$8=""),"",IF($F267="Migré","ROKS",IF($F267="À décommissionner",IF(V$8&lt;$AS267,"IKS","Décom."),IF(OR($AQ267="",$AS267=""),"",IF(V$8&lt;$AQ267,"IKS",IF(V$8&lt;$AS267,IF(V$8=$AR267,"Bascule","Double run"),"ROKS"))))))</f>
        <v/>
      </c>
      <c r="W267" s="51" t="str">
        <f aca="false">IF(OR($A267="",W$8=""),"",IF($F267="Migré","ROKS",IF($F267="À décommissionner",IF(W$8&lt;$AS267,"IKS","Décom."),IF(OR($AQ267="",$AS267=""),"",IF(W$8&lt;$AQ267,"IKS",IF(W$8&lt;$AS267,IF(W$8=$AR267,"Bascule","Double run"),"ROKS"))))))</f>
        <v/>
      </c>
      <c r="X267" s="51" t="str">
        <f aca="false">IF(OR($A267="",X$8=""),"",IF($F267="Migré","ROKS",IF($F267="À décommissionner",IF(X$8&lt;$AS267,"IKS","Décom."),IF(OR($AQ267="",$AS267=""),"",IF(X$8&lt;$AQ267,"IKS",IF(X$8&lt;$AS267,IF(X$8=$AR267,"Bascule","Double run"),"ROKS"))))))</f>
        <v/>
      </c>
      <c r="Y267" s="51" t="str">
        <f aca="false">IF(OR($A267="",Y$8=""),"",IF($F267="Migré","ROKS",IF($F267="À décommissionner",IF(Y$8&lt;$AS267,"IKS","Décom."),IF(OR($AQ267="",$AS267=""),"",IF(Y$8&lt;$AQ267,"IKS",IF(Y$8&lt;$AS267,IF(Y$8=$AR267,"Bascule","Double run"),"ROKS"))))))</f>
        <v/>
      </c>
      <c r="Z267" s="51" t="str">
        <f aca="false">IF(OR($A267="",Z$8=""),"",IF($F267="Migré","ROKS",IF($F267="À décommissionner",IF(Z$8&lt;$AS267,"IKS","Décom."),IF(OR($AQ267="",$AS267=""),"",IF(Z$8&lt;$AQ267,"IKS",IF(Z$8&lt;$AS267,IF(Z$8=$AR267,"Bascule","Double run"),"ROKS"))))))</f>
        <v/>
      </c>
      <c r="AA267" s="51" t="str">
        <f aca="false">IF(OR($A267="",AA$8=""),"",IF($F267="Migré","ROKS",IF($F267="À décommissionner",IF(AA$8&lt;$AS267,"IKS","Décom."),IF(OR($AQ267="",$AS267=""),"",IF(AA$8&lt;$AQ267,"IKS",IF(AA$8&lt;$AS267,IF(AA$8=$AR267,"Bascule","Double run"),"ROKS"))))))</f>
        <v/>
      </c>
      <c r="AB267" s="51" t="str">
        <f aca="false">IF(OR($A267="",AB$8=""),"",IF($F267="Migré","ROKS",IF($F267="À décommissionner",IF(AB$8&lt;$AS267,"IKS","Décom."),IF(OR($AQ267="",$AS267=""),"",IF(AB$8&lt;$AQ267,"IKS",IF(AB$8&lt;$AS267,IF(AB$8=$AR267,"Bascule","Double run"),"ROKS"))))))</f>
        <v/>
      </c>
      <c r="AC267" s="51" t="str">
        <f aca="false">IF(OR($A267="",AC$8=""),"",IF($F267="Migré","ROKS",IF($F267="À décommissionner",IF(AC$8&lt;$AS267,"IKS","Décom."),IF(OR($AQ267="",$AS267=""),"",IF(AC$8&lt;$AQ267,"IKS",IF(AC$8&lt;$AS267,IF(AC$8=$AR267,"Bascule","Double run"),"ROKS"))))))</f>
        <v/>
      </c>
      <c r="AD267" s="51" t="str">
        <f aca="false">IF(OR($A267="",AD$8=""),"",IF($F267="Migré","ROKS",IF($F267="À décommissionner",IF(AD$8&lt;$AS267,"IKS","Décom."),IF(OR($AQ267="",$AS267=""),"",IF(AD$8&lt;$AQ267,"IKS",IF(AD$8&lt;$AS267,IF(AD$8=$AR267,"Bascule","Double run"),"ROKS"))))))</f>
        <v/>
      </c>
      <c r="AE267" s="51" t="str">
        <f aca="false">IF(OR($A267="",AE$8=""),"",IF($F267="Migré","ROKS",IF($F267="À décommissionner",IF(AE$8&lt;$AS267,"IKS","Décom."),IF(OR($AQ267="",$AS267=""),"",IF(AE$8&lt;$AQ267,"IKS",IF(AE$8&lt;$AS267,IF(AE$8=$AR267,"Bascule","Double run"),"ROKS"))))))</f>
        <v/>
      </c>
      <c r="AF267" s="51" t="str">
        <f aca="false">IF(OR($A267="",AF$8=""),"",IF($F267="Migré","ROKS",IF($F267="À décommissionner",IF(AF$8&lt;$AS267,"IKS","Décom."),IF(OR($AQ267="",$AS267=""),"",IF(AF$8&lt;$AQ267,"IKS",IF(AF$8&lt;$AS267,IF(AF$8=$AR267,"Bascule","Double run"),"ROKS"))))))</f>
        <v/>
      </c>
      <c r="AG267" s="51" t="str">
        <f aca="false">IF(OR($A267="",AG$8=""),"",IF($F267="Migré","ROKS",IF($F267="À décommissionner",IF(AG$8&lt;$AS267,"IKS","Décom."),IF(OR($AQ267="",$AS267=""),"",IF(AG$8&lt;$AQ267,"IKS",IF(AG$8&lt;$AS267,IF(AG$8=$AR267,"Bascule","Double run"),"ROKS"))))))</f>
        <v/>
      </c>
      <c r="AH267" s="51" t="str">
        <f aca="false">IF(OR($A267="",AH$8=""),"",IF($F267="Migré","ROKS",IF($F267="À décommissionner",IF(AH$8&lt;$AS267,"IKS","Décom."),IF(OR($AQ267="",$AS267=""),"",IF(AH$8&lt;$AQ267,"IKS",IF(AH$8&lt;$AS267,IF(AH$8=$AR267,"Bascule","Double run"),"ROKS"))))))</f>
        <v/>
      </c>
      <c r="AI267" s="51" t="str">
        <f aca="false">IF(OR($A267="",AI$8=""),"",IF($F267="Migré","ROKS",IF($F267="À décommissionner",IF(AI$8&lt;$AS267,"IKS","Décom."),IF(OR($AQ267="",$AS267=""),"",IF(AI$8&lt;$AQ267,"IKS",IF(AI$8&lt;$AS267,IF(AI$8=$AR267,"Bascule","Double run"),"ROKS"))))))</f>
        <v/>
      </c>
      <c r="AJ267" s="51" t="str">
        <f aca="false">IF(OR($A267="",AJ$8=""),"",IF($F267="Migré","ROKS",IF($F267="À décommissionner",IF(AJ$8&lt;$AS267,"IKS","Décom."),IF(OR($AQ267="",$AS267=""),"",IF(AJ$8&lt;$AQ267,"IKS",IF(AJ$8&lt;$AS267,IF(AJ$8=$AR267,"Bascule","Double run"),"ROKS"))))))</f>
        <v/>
      </c>
      <c r="AK267" s="51" t="str">
        <f aca="false">IF(OR($A267="",AK$8=""),"",IF($F267="Migré","ROKS",IF($F267="À décommissionner",IF(AK$8&lt;$AS267,"IKS","Décom."),IF(OR($AQ267="",$AS267=""),"",IF(AK$8&lt;$AQ267,"IKS",IF(AK$8&lt;$AS267,IF(AK$8=$AR267,"Bascule","Double run"),"ROKS"))))))</f>
        <v/>
      </c>
      <c r="AL267" s="51" t="str">
        <f aca="false">IF(OR($A267="",AL$8=""),"",IF($F267="Migré","ROKS",IF($F267="À décommissionner",IF(AL$8&lt;$AS267,"IKS","Décom."),IF(OR($AQ267="",$AS267=""),"",IF(AL$8&lt;$AQ267,"IKS",IF(AL$8&lt;$AS267,IF(AL$8=$AR267,"Bascule","Double run"),"ROKS"))))))</f>
        <v/>
      </c>
      <c r="AM267" s="51" t="str">
        <f aca="false">IF(OR($A267="",AM$8=""),"",IF($F267="Migré","ROKS",IF($F267="À décommissionner",IF(AM$8&lt;$AS267,"IKS","Décom."),IF(OR($AQ267="",$AS267=""),"",IF(AM$8&lt;$AQ267,"IKS",IF(AM$8&lt;$AS267,IF(AM$8=$AR267,"Bascule","Double run"),"ROKS"))))))</f>
        <v/>
      </c>
      <c r="AN267" s="51" t="str">
        <f aca="false">IF(OR($A267="",AN$8=""),"",IF($F267="Migré","ROKS",IF($F267="À décommissionner",IF(AN$8&lt;$AS267,"IKS","Décom."),IF(OR($AQ267="",$AS267=""),"",IF(AN$8&lt;$AQ267,"IKS",IF(AN$8&lt;$AS267,IF(AN$8=$AR267,"Bascule","Double run"),"ROKS"))))))</f>
        <v/>
      </c>
      <c r="AO267" s="51" t="str">
        <f aca="false">IF(OR($A267="",AO$8=""),"",IF($F267="Migré","ROKS",IF($F267="À décommissionner",IF(AO$8&lt;$AS267,"IKS","Décom."),IF(OR($AQ267="",$AS267=""),"",IF(AO$8&lt;$AQ267,"IKS",IF(AO$8&lt;$AS267,IF(AO$8=$AR267,"Bascule","Double run"),"ROKS"))))))</f>
        <v/>
      </c>
      <c r="AP267" s="51" t="str">
        <f aca="false">IF(OR($A267="",AP$8=""),"",IF($F267="Migré","ROKS",IF($F267="À décommissionner",IF(AP$8&lt;$AS267,"IKS","Décom."),IF(OR($AQ267="",$AS267=""),"",IF(AP$8&lt;$AQ267,"IKS",IF(AP$8&lt;$AS267,IF(AP$8=$AR267,"Bascule","Double run"),"ROKS"))))))</f>
        <v/>
      </c>
      <c r="AQ267" s="0" t="str">
        <f aca="false">IF($A267="","",INDEX(TblApplications[Mois prov (calc)],$A267))</f>
        <v/>
      </c>
      <c r="AR267" s="0" t="str">
        <f aca="false">IF($A267="","",IFERROR(DATE(YEAR(INDEX(TblApplications[Mois bascule],$A267)),MONTH(INDEX(TblApplications[Mois bascule],$A267)),1),""))</f>
        <v/>
      </c>
      <c r="AS267" s="0" t="str">
        <f aca="false">IF($A267="","",INDEX(TblApplications[Mois lib (calc)],$A267))</f>
        <v/>
      </c>
    </row>
    <row r="268" customFormat="false" ht="15" hidden="false" customHeight="false" outlineLevel="0" collapsed="false">
      <c r="A268" s="49" t="str">
        <f aca="false">IFERROR(MATCH(260,TblApplications[Rang frise],0),"")</f>
        <v/>
      </c>
      <c r="B268" s="50" t="str">
        <f aca="false">IF($A268="","",INDEX(TblApplications[ID],$A268))</f>
        <v/>
      </c>
      <c r="C268" s="50" t="str">
        <f aca="false">IF($A268="","",INDEX(TblApplications[Application],$A268))</f>
        <v/>
      </c>
      <c r="D268" s="50" t="str">
        <f aca="false">IF($A268="","",INDEX(TblApplications[Environnement],$A268))</f>
        <v/>
      </c>
      <c r="E268" s="50" t="str">
        <f aca="false">IF($A268="","",INDEX(TblApplications[Couloir],$A268))</f>
        <v/>
      </c>
      <c r="F268" s="50" t="str">
        <f aca="false">IF($A268="","",INDEX(TblApplications[Action],$A268))</f>
        <v/>
      </c>
      <c r="G268" s="51" t="str">
        <f aca="false">IF(OR($A268="",G$8=""),"",IF($F268="Migré","ROKS",IF($F268="À décommissionner",IF(G$8&lt;$AS268,"IKS","Décom."),IF(OR($AQ268="",$AS268=""),"",IF(G$8&lt;$AQ268,"IKS",IF(G$8&lt;$AS268,IF(G$8=$AR268,"Bascule","Double run"),"ROKS"))))))</f>
        <v/>
      </c>
      <c r="H268" s="51" t="str">
        <f aca="false">IF(OR($A268="",H$8=""),"",IF($F268="Migré","ROKS",IF($F268="À décommissionner",IF(H$8&lt;$AS268,"IKS","Décom."),IF(OR($AQ268="",$AS268=""),"",IF(H$8&lt;$AQ268,"IKS",IF(H$8&lt;$AS268,IF(H$8=$AR268,"Bascule","Double run"),"ROKS"))))))</f>
        <v/>
      </c>
      <c r="I268" s="51" t="str">
        <f aca="false">IF(OR($A268="",I$8=""),"",IF($F268="Migré","ROKS",IF($F268="À décommissionner",IF(I$8&lt;$AS268,"IKS","Décom."),IF(OR($AQ268="",$AS268=""),"",IF(I$8&lt;$AQ268,"IKS",IF(I$8&lt;$AS268,IF(I$8=$AR268,"Bascule","Double run"),"ROKS"))))))</f>
        <v/>
      </c>
      <c r="J268" s="51" t="str">
        <f aca="false">IF(OR($A268="",J$8=""),"",IF($F268="Migré","ROKS",IF($F268="À décommissionner",IF(J$8&lt;$AS268,"IKS","Décom."),IF(OR($AQ268="",$AS268=""),"",IF(J$8&lt;$AQ268,"IKS",IF(J$8&lt;$AS268,IF(J$8=$AR268,"Bascule","Double run"),"ROKS"))))))</f>
        <v/>
      </c>
      <c r="K268" s="51" t="str">
        <f aca="false">IF(OR($A268="",K$8=""),"",IF($F268="Migré","ROKS",IF($F268="À décommissionner",IF(K$8&lt;$AS268,"IKS","Décom."),IF(OR($AQ268="",$AS268=""),"",IF(K$8&lt;$AQ268,"IKS",IF(K$8&lt;$AS268,IF(K$8=$AR268,"Bascule","Double run"),"ROKS"))))))</f>
        <v/>
      </c>
      <c r="L268" s="51" t="str">
        <f aca="false">IF(OR($A268="",L$8=""),"",IF($F268="Migré","ROKS",IF($F268="À décommissionner",IF(L$8&lt;$AS268,"IKS","Décom."),IF(OR($AQ268="",$AS268=""),"",IF(L$8&lt;$AQ268,"IKS",IF(L$8&lt;$AS268,IF(L$8=$AR268,"Bascule","Double run"),"ROKS"))))))</f>
        <v/>
      </c>
      <c r="M268" s="51" t="str">
        <f aca="false">IF(OR($A268="",M$8=""),"",IF($F268="Migré","ROKS",IF($F268="À décommissionner",IF(M$8&lt;$AS268,"IKS","Décom."),IF(OR($AQ268="",$AS268=""),"",IF(M$8&lt;$AQ268,"IKS",IF(M$8&lt;$AS268,IF(M$8=$AR268,"Bascule","Double run"),"ROKS"))))))</f>
        <v/>
      </c>
      <c r="N268" s="51" t="str">
        <f aca="false">IF(OR($A268="",N$8=""),"",IF($F268="Migré","ROKS",IF($F268="À décommissionner",IF(N$8&lt;$AS268,"IKS","Décom."),IF(OR($AQ268="",$AS268=""),"",IF(N$8&lt;$AQ268,"IKS",IF(N$8&lt;$AS268,IF(N$8=$AR268,"Bascule","Double run"),"ROKS"))))))</f>
        <v/>
      </c>
      <c r="O268" s="51" t="str">
        <f aca="false">IF(OR($A268="",O$8=""),"",IF($F268="Migré","ROKS",IF($F268="À décommissionner",IF(O$8&lt;$AS268,"IKS","Décom."),IF(OR($AQ268="",$AS268=""),"",IF(O$8&lt;$AQ268,"IKS",IF(O$8&lt;$AS268,IF(O$8=$AR268,"Bascule","Double run"),"ROKS"))))))</f>
        <v/>
      </c>
      <c r="P268" s="51" t="str">
        <f aca="false">IF(OR($A268="",P$8=""),"",IF($F268="Migré","ROKS",IF($F268="À décommissionner",IF(P$8&lt;$AS268,"IKS","Décom."),IF(OR($AQ268="",$AS268=""),"",IF(P$8&lt;$AQ268,"IKS",IF(P$8&lt;$AS268,IF(P$8=$AR268,"Bascule","Double run"),"ROKS"))))))</f>
        <v/>
      </c>
      <c r="Q268" s="51" t="str">
        <f aca="false">IF(OR($A268="",Q$8=""),"",IF($F268="Migré","ROKS",IF($F268="À décommissionner",IF(Q$8&lt;$AS268,"IKS","Décom."),IF(OR($AQ268="",$AS268=""),"",IF(Q$8&lt;$AQ268,"IKS",IF(Q$8&lt;$AS268,IF(Q$8=$AR268,"Bascule","Double run"),"ROKS"))))))</f>
        <v/>
      </c>
      <c r="R268" s="51" t="str">
        <f aca="false">IF(OR($A268="",R$8=""),"",IF($F268="Migré","ROKS",IF($F268="À décommissionner",IF(R$8&lt;$AS268,"IKS","Décom."),IF(OR($AQ268="",$AS268=""),"",IF(R$8&lt;$AQ268,"IKS",IF(R$8&lt;$AS268,IF(R$8=$AR268,"Bascule","Double run"),"ROKS"))))))</f>
        <v/>
      </c>
      <c r="S268" s="51" t="str">
        <f aca="false">IF(OR($A268="",S$8=""),"",IF($F268="Migré","ROKS",IF($F268="À décommissionner",IF(S$8&lt;$AS268,"IKS","Décom."),IF(OR($AQ268="",$AS268=""),"",IF(S$8&lt;$AQ268,"IKS",IF(S$8&lt;$AS268,IF(S$8=$AR268,"Bascule","Double run"),"ROKS"))))))</f>
        <v/>
      </c>
      <c r="T268" s="51" t="str">
        <f aca="false">IF(OR($A268="",T$8=""),"",IF($F268="Migré","ROKS",IF($F268="À décommissionner",IF(T$8&lt;$AS268,"IKS","Décom."),IF(OR($AQ268="",$AS268=""),"",IF(T$8&lt;$AQ268,"IKS",IF(T$8&lt;$AS268,IF(T$8=$AR268,"Bascule","Double run"),"ROKS"))))))</f>
        <v/>
      </c>
      <c r="U268" s="51" t="str">
        <f aca="false">IF(OR($A268="",U$8=""),"",IF($F268="Migré","ROKS",IF($F268="À décommissionner",IF(U$8&lt;$AS268,"IKS","Décom."),IF(OR($AQ268="",$AS268=""),"",IF(U$8&lt;$AQ268,"IKS",IF(U$8&lt;$AS268,IF(U$8=$AR268,"Bascule","Double run"),"ROKS"))))))</f>
        <v/>
      </c>
      <c r="V268" s="51" t="str">
        <f aca="false">IF(OR($A268="",V$8=""),"",IF($F268="Migré","ROKS",IF($F268="À décommissionner",IF(V$8&lt;$AS268,"IKS","Décom."),IF(OR($AQ268="",$AS268=""),"",IF(V$8&lt;$AQ268,"IKS",IF(V$8&lt;$AS268,IF(V$8=$AR268,"Bascule","Double run"),"ROKS"))))))</f>
        <v/>
      </c>
      <c r="W268" s="51" t="str">
        <f aca="false">IF(OR($A268="",W$8=""),"",IF($F268="Migré","ROKS",IF($F268="À décommissionner",IF(W$8&lt;$AS268,"IKS","Décom."),IF(OR($AQ268="",$AS268=""),"",IF(W$8&lt;$AQ268,"IKS",IF(W$8&lt;$AS268,IF(W$8=$AR268,"Bascule","Double run"),"ROKS"))))))</f>
        <v/>
      </c>
      <c r="X268" s="51" t="str">
        <f aca="false">IF(OR($A268="",X$8=""),"",IF($F268="Migré","ROKS",IF($F268="À décommissionner",IF(X$8&lt;$AS268,"IKS","Décom."),IF(OR($AQ268="",$AS268=""),"",IF(X$8&lt;$AQ268,"IKS",IF(X$8&lt;$AS268,IF(X$8=$AR268,"Bascule","Double run"),"ROKS"))))))</f>
        <v/>
      </c>
      <c r="Y268" s="51" t="str">
        <f aca="false">IF(OR($A268="",Y$8=""),"",IF($F268="Migré","ROKS",IF($F268="À décommissionner",IF(Y$8&lt;$AS268,"IKS","Décom."),IF(OR($AQ268="",$AS268=""),"",IF(Y$8&lt;$AQ268,"IKS",IF(Y$8&lt;$AS268,IF(Y$8=$AR268,"Bascule","Double run"),"ROKS"))))))</f>
        <v/>
      </c>
      <c r="Z268" s="51" t="str">
        <f aca="false">IF(OR($A268="",Z$8=""),"",IF($F268="Migré","ROKS",IF($F268="À décommissionner",IF(Z$8&lt;$AS268,"IKS","Décom."),IF(OR($AQ268="",$AS268=""),"",IF(Z$8&lt;$AQ268,"IKS",IF(Z$8&lt;$AS268,IF(Z$8=$AR268,"Bascule","Double run"),"ROKS"))))))</f>
        <v/>
      </c>
      <c r="AA268" s="51" t="str">
        <f aca="false">IF(OR($A268="",AA$8=""),"",IF($F268="Migré","ROKS",IF($F268="À décommissionner",IF(AA$8&lt;$AS268,"IKS","Décom."),IF(OR($AQ268="",$AS268=""),"",IF(AA$8&lt;$AQ268,"IKS",IF(AA$8&lt;$AS268,IF(AA$8=$AR268,"Bascule","Double run"),"ROKS"))))))</f>
        <v/>
      </c>
      <c r="AB268" s="51" t="str">
        <f aca="false">IF(OR($A268="",AB$8=""),"",IF($F268="Migré","ROKS",IF($F268="À décommissionner",IF(AB$8&lt;$AS268,"IKS","Décom."),IF(OR($AQ268="",$AS268=""),"",IF(AB$8&lt;$AQ268,"IKS",IF(AB$8&lt;$AS268,IF(AB$8=$AR268,"Bascule","Double run"),"ROKS"))))))</f>
        <v/>
      </c>
      <c r="AC268" s="51" t="str">
        <f aca="false">IF(OR($A268="",AC$8=""),"",IF($F268="Migré","ROKS",IF($F268="À décommissionner",IF(AC$8&lt;$AS268,"IKS","Décom."),IF(OR($AQ268="",$AS268=""),"",IF(AC$8&lt;$AQ268,"IKS",IF(AC$8&lt;$AS268,IF(AC$8=$AR268,"Bascule","Double run"),"ROKS"))))))</f>
        <v/>
      </c>
      <c r="AD268" s="51" t="str">
        <f aca="false">IF(OR($A268="",AD$8=""),"",IF($F268="Migré","ROKS",IF($F268="À décommissionner",IF(AD$8&lt;$AS268,"IKS","Décom."),IF(OR($AQ268="",$AS268=""),"",IF(AD$8&lt;$AQ268,"IKS",IF(AD$8&lt;$AS268,IF(AD$8=$AR268,"Bascule","Double run"),"ROKS"))))))</f>
        <v/>
      </c>
      <c r="AE268" s="51" t="str">
        <f aca="false">IF(OR($A268="",AE$8=""),"",IF($F268="Migré","ROKS",IF($F268="À décommissionner",IF(AE$8&lt;$AS268,"IKS","Décom."),IF(OR($AQ268="",$AS268=""),"",IF(AE$8&lt;$AQ268,"IKS",IF(AE$8&lt;$AS268,IF(AE$8=$AR268,"Bascule","Double run"),"ROKS"))))))</f>
        <v/>
      </c>
      <c r="AF268" s="51" t="str">
        <f aca="false">IF(OR($A268="",AF$8=""),"",IF($F268="Migré","ROKS",IF($F268="À décommissionner",IF(AF$8&lt;$AS268,"IKS","Décom."),IF(OR($AQ268="",$AS268=""),"",IF(AF$8&lt;$AQ268,"IKS",IF(AF$8&lt;$AS268,IF(AF$8=$AR268,"Bascule","Double run"),"ROKS"))))))</f>
        <v/>
      </c>
      <c r="AG268" s="51" t="str">
        <f aca="false">IF(OR($A268="",AG$8=""),"",IF($F268="Migré","ROKS",IF($F268="À décommissionner",IF(AG$8&lt;$AS268,"IKS","Décom."),IF(OR($AQ268="",$AS268=""),"",IF(AG$8&lt;$AQ268,"IKS",IF(AG$8&lt;$AS268,IF(AG$8=$AR268,"Bascule","Double run"),"ROKS"))))))</f>
        <v/>
      </c>
      <c r="AH268" s="51" t="str">
        <f aca="false">IF(OR($A268="",AH$8=""),"",IF($F268="Migré","ROKS",IF($F268="À décommissionner",IF(AH$8&lt;$AS268,"IKS","Décom."),IF(OR($AQ268="",$AS268=""),"",IF(AH$8&lt;$AQ268,"IKS",IF(AH$8&lt;$AS268,IF(AH$8=$AR268,"Bascule","Double run"),"ROKS"))))))</f>
        <v/>
      </c>
      <c r="AI268" s="51" t="str">
        <f aca="false">IF(OR($A268="",AI$8=""),"",IF($F268="Migré","ROKS",IF($F268="À décommissionner",IF(AI$8&lt;$AS268,"IKS","Décom."),IF(OR($AQ268="",$AS268=""),"",IF(AI$8&lt;$AQ268,"IKS",IF(AI$8&lt;$AS268,IF(AI$8=$AR268,"Bascule","Double run"),"ROKS"))))))</f>
        <v/>
      </c>
      <c r="AJ268" s="51" t="str">
        <f aca="false">IF(OR($A268="",AJ$8=""),"",IF($F268="Migré","ROKS",IF($F268="À décommissionner",IF(AJ$8&lt;$AS268,"IKS","Décom."),IF(OR($AQ268="",$AS268=""),"",IF(AJ$8&lt;$AQ268,"IKS",IF(AJ$8&lt;$AS268,IF(AJ$8=$AR268,"Bascule","Double run"),"ROKS"))))))</f>
        <v/>
      </c>
      <c r="AK268" s="51" t="str">
        <f aca="false">IF(OR($A268="",AK$8=""),"",IF($F268="Migré","ROKS",IF($F268="À décommissionner",IF(AK$8&lt;$AS268,"IKS","Décom."),IF(OR($AQ268="",$AS268=""),"",IF(AK$8&lt;$AQ268,"IKS",IF(AK$8&lt;$AS268,IF(AK$8=$AR268,"Bascule","Double run"),"ROKS"))))))</f>
        <v/>
      </c>
      <c r="AL268" s="51" t="str">
        <f aca="false">IF(OR($A268="",AL$8=""),"",IF($F268="Migré","ROKS",IF($F268="À décommissionner",IF(AL$8&lt;$AS268,"IKS","Décom."),IF(OR($AQ268="",$AS268=""),"",IF(AL$8&lt;$AQ268,"IKS",IF(AL$8&lt;$AS268,IF(AL$8=$AR268,"Bascule","Double run"),"ROKS"))))))</f>
        <v/>
      </c>
      <c r="AM268" s="51" t="str">
        <f aca="false">IF(OR($A268="",AM$8=""),"",IF($F268="Migré","ROKS",IF($F268="À décommissionner",IF(AM$8&lt;$AS268,"IKS","Décom."),IF(OR($AQ268="",$AS268=""),"",IF(AM$8&lt;$AQ268,"IKS",IF(AM$8&lt;$AS268,IF(AM$8=$AR268,"Bascule","Double run"),"ROKS"))))))</f>
        <v/>
      </c>
      <c r="AN268" s="51" t="str">
        <f aca="false">IF(OR($A268="",AN$8=""),"",IF($F268="Migré","ROKS",IF($F268="À décommissionner",IF(AN$8&lt;$AS268,"IKS","Décom."),IF(OR($AQ268="",$AS268=""),"",IF(AN$8&lt;$AQ268,"IKS",IF(AN$8&lt;$AS268,IF(AN$8=$AR268,"Bascule","Double run"),"ROKS"))))))</f>
        <v/>
      </c>
      <c r="AO268" s="51" t="str">
        <f aca="false">IF(OR($A268="",AO$8=""),"",IF($F268="Migré","ROKS",IF($F268="À décommissionner",IF(AO$8&lt;$AS268,"IKS","Décom."),IF(OR($AQ268="",$AS268=""),"",IF(AO$8&lt;$AQ268,"IKS",IF(AO$8&lt;$AS268,IF(AO$8=$AR268,"Bascule","Double run"),"ROKS"))))))</f>
        <v/>
      </c>
      <c r="AP268" s="51" t="str">
        <f aca="false">IF(OR($A268="",AP$8=""),"",IF($F268="Migré","ROKS",IF($F268="À décommissionner",IF(AP$8&lt;$AS268,"IKS","Décom."),IF(OR($AQ268="",$AS268=""),"",IF(AP$8&lt;$AQ268,"IKS",IF(AP$8&lt;$AS268,IF(AP$8=$AR268,"Bascule","Double run"),"ROKS"))))))</f>
        <v/>
      </c>
      <c r="AQ268" s="0" t="str">
        <f aca="false">IF($A268="","",INDEX(TblApplications[Mois prov (calc)],$A268))</f>
        <v/>
      </c>
      <c r="AR268" s="0" t="str">
        <f aca="false">IF($A268="","",IFERROR(DATE(YEAR(INDEX(TblApplications[Mois bascule],$A268)),MONTH(INDEX(TblApplications[Mois bascule],$A268)),1),""))</f>
        <v/>
      </c>
      <c r="AS268" s="0" t="str">
        <f aca="false">IF($A268="","",INDEX(TblApplications[Mois lib (calc)],$A268))</f>
        <v/>
      </c>
    </row>
    <row r="269" customFormat="false" ht="15" hidden="false" customHeight="false" outlineLevel="0" collapsed="false">
      <c r="A269" s="49" t="str">
        <f aca="false">IFERROR(MATCH(261,TblApplications[Rang frise],0),"")</f>
        <v/>
      </c>
      <c r="B269" s="50" t="str">
        <f aca="false">IF($A269="","",INDEX(TblApplications[ID],$A269))</f>
        <v/>
      </c>
      <c r="C269" s="50" t="str">
        <f aca="false">IF($A269="","",INDEX(TblApplications[Application],$A269))</f>
        <v/>
      </c>
      <c r="D269" s="50" t="str">
        <f aca="false">IF($A269="","",INDEX(TblApplications[Environnement],$A269))</f>
        <v/>
      </c>
      <c r="E269" s="50" t="str">
        <f aca="false">IF($A269="","",INDEX(TblApplications[Couloir],$A269))</f>
        <v/>
      </c>
      <c r="F269" s="50" t="str">
        <f aca="false">IF($A269="","",INDEX(TblApplications[Action],$A269))</f>
        <v/>
      </c>
      <c r="G269" s="51" t="str">
        <f aca="false">IF(OR($A269="",G$8=""),"",IF($F269="Migré","ROKS",IF($F269="À décommissionner",IF(G$8&lt;$AS269,"IKS","Décom."),IF(OR($AQ269="",$AS269=""),"",IF(G$8&lt;$AQ269,"IKS",IF(G$8&lt;$AS269,IF(G$8=$AR269,"Bascule","Double run"),"ROKS"))))))</f>
        <v/>
      </c>
      <c r="H269" s="51" t="str">
        <f aca="false">IF(OR($A269="",H$8=""),"",IF($F269="Migré","ROKS",IF($F269="À décommissionner",IF(H$8&lt;$AS269,"IKS","Décom."),IF(OR($AQ269="",$AS269=""),"",IF(H$8&lt;$AQ269,"IKS",IF(H$8&lt;$AS269,IF(H$8=$AR269,"Bascule","Double run"),"ROKS"))))))</f>
        <v/>
      </c>
      <c r="I269" s="51" t="str">
        <f aca="false">IF(OR($A269="",I$8=""),"",IF($F269="Migré","ROKS",IF($F269="À décommissionner",IF(I$8&lt;$AS269,"IKS","Décom."),IF(OR($AQ269="",$AS269=""),"",IF(I$8&lt;$AQ269,"IKS",IF(I$8&lt;$AS269,IF(I$8=$AR269,"Bascule","Double run"),"ROKS"))))))</f>
        <v/>
      </c>
      <c r="J269" s="51" t="str">
        <f aca="false">IF(OR($A269="",J$8=""),"",IF($F269="Migré","ROKS",IF($F269="À décommissionner",IF(J$8&lt;$AS269,"IKS","Décom."),IF(OR($AQ269="",$AS269=""),"",IF(J$8&lt;$AQ269,"IKS",IF(J$8&lt;$AS269,IF(J$8=$AR269,"Bascule","Double run"),"ROKS"))))))</f>
        <v/>
      </c>
      <c r="K269" s="51" t="str">
        <f aca="false">IF(OR($A269="",K$8=""),"",IF($F269="Migré","ROKS",IF($F269="À décommissionner",IF(K$8&lt;$AS269,"IKS","Décom."),IF(OR($AQ269="",$AS269=""),"",IF(K$8&lt;$AQ269,"IKS",IF(K$8&lt;$AS269,IF(K$8=$AR269,"Bascule","Double run"),"ROKS"))))))</f>
        <v/>
      </c>
      <c r="L269" s="51" t="str">
        <f aca="false">IF(OR($A269="",L$8=""),"",IF($F269="Migré","ROKS",IF($F269="À décommissionner",IF(L$8&lt;$AS269,"IKS","Décom."),IF(OR($AQ269="",$AS269=""),"",IF(L$8&lt;$AQ269,"IKS",IF(L$8&lt;$AS269,IF(L$8=$AR269,"Bascule","Double run"),"ROKS"))))))</f>
        <v/>
      </c>
      <c r="M269" s="51" t="str">
        <f aca="false">IF(OR($A269="",M$8=""),"",IF($F269="Migré","ROKS",IF($F269="À décommissionner",IF(M$8&lt;$AS269,"IKS","Décom."),IF(OR($AQ269="",$AS269=""),"",IF(M$8&lt;$AQ269,"IKS",IF(M$8&lt;$AS269,IF(M$8=$AR269,"Bascule","Double run"),"ROKS"))))))</f>
        <v/>
      </c>
      <c r="N269" s="51" t="str">
        <f aca="false">IF(OR($A269="",N$8=""),"",IF($F269="Migré","ROKS",IF($F269="À décommissionner",IF(N$8&lt;$AS269,"IKS","Décom."),IF(OR($AQ269="",$AS269=""),"",IF(N$8&lt;$AQ269,"IKS",IF(N$8&lt;$AS269,IF(N$8=$AR269,"Bascule","Double run"),"ROKS"))))))</f>
        <v/>
      </c>
      <c r="O269" s="51" t="str">
        <f aca="false">IF(OR($A269="",O$8=""),"",IF($F269="Migré","ROKS",IF($F269="À décommissionner",IF(O$8&lt;$AS269,"IKS","Décom."),IF(OR($AQ269="",$AS269=""),"",IF(O$8&lt;$AQ269,"IKS",IF(O$8&lt;$AS269,IF(O$8=$AR269,"Bascule","Double run"),"ROKS"))))))</f>
        <v/>
      </c>
      <c r="P269" s="51" t="str">
        <f aca="false">IF(OR($A269="",P$8=""),"",IF($F269="Migré","ROKS",IF($F269="À décommissionner",IF(P$8&lt;$AS269,"IKS","Décom."),IF(OR($AQ269="",$AS269=""),"",IF(P$8&lt;$AQ269,"IKS",IF(P$8&lt;$AS269,IF(P$8=$AR269,"Bascule","Double run"),"ROKS"))))))</f>
        <v/>
      </c>
      <c r="Q269" s="51" t="str">
        <f aca="false">IF(OR($A269="",Q$8=""),"",IF($F269="Migré","ROKS",IF($F269="À décommissionner",IF(Q$8&lt;$AS269,"IKS","Décom."),IF(OR($AQ269="",$AS269=""),"",IF(Q$8&lt;$AQ269,"IKS",IF(Q$8&lt;$AS269,IF(Q$8=$AR269,"Bascule","Double run"),"ROKS"))))))</f>
        <v/>
      </c>
      <c r="R269" s="51" t="str">
        <f aca="false">IF(OR($A269="",R$8=""),"",IF($F269="Migré","ROKS",IF($F269="À décommissionner",IF(R$8&lt;$AS269,"IKS","Décom."),IF(OR($AQ269="",$AS269=""),"",IF(R$8&lt;$AQ269,"IKS",IF(R$8&lt;$AS269,IF(R$8=$AR269,"Bascule","Double run"),"ROKS"))))))</f>
        <v/>
      </c>
      <c r="S269" s="51" t="str">
        <f aca="false">IF(OR($A269="",S$8=""),"",IF($F269="Migré","ROKS",IF($F269="À décommissionner",IF(S$8&lt;$AS269,"IKS","Décom."),IF(OR($AQ269="",$AS269=""),"",IF(S$8&lt;$AQ269,"IKS",IF(S$8&lt;$AS269,IF(S$8=$AR269,"Bascule","Double run"),"ROKS"))))))</f>
        <v/>
      </c>
      <c r="T269" s="51" t="str">
        <f aca="false">IF(OR($A269="",T$8=""),"",IF($F269="Migré","ROKS",IF($F269="À décommissionner",IF(T$8&lt;$AS269,"IKS","Décom."),IF(OR($AQ269="",$AS269=""),"",IF(T$8&lt;$AQ269,"IKS",IF(T$8&lt;$AS269,IF(T$8=$AR269,"Bascule","Double run"),"ROKS"))))))</f>
        <v/>
      </c>
      <c r="U269" s="51" t="str">
        <f aca="false">IF(OR($A269="",U$8=""),"",IF($F269="Migré","ROKS",IF($F269="À décommissionner",IF(U$8&lt;$AS269,"IKS","Décom."),IF(OR($AQ269="",$AS269=""),"",IF(U$8&lt;$AQ269,"IKS",IF(U$8&lt;$AS269,IF(U$8=$AR269,"Bascule","Double run"),"ROKS"))))))</f>
        <v/>
      </c>
      <c r="V269" s="51" t="str">
        <f aca="false">IF(OR($A269="",V$8=""),"",IF($F269="Migré","ROKS",IF($F269="À décommissionner",IF(V$8&lt;$AS269,"IKS","Décom."),IF(OR($AQ269="",$AS269=""),"",IF(V$8&lt;$AQ269,"IKS",IF(V$8&lt;$AS269,IF(V$8=$AR269,"Bascule","Double run"),"ROKS"))))))</f>
        <v/>
      </c>
      <c r="W269" s="51" t="str">
        <f aca="false">IF(OR($A269="",W$8=""),"",IF($F269="Migré","ROKS",IF($F269="À décommissionner",IF(W$8&lt;$AS269,"IKS","Décom."),IF(OR($AQ269="",$AS269=""),"",IF(W$8&lt;$AQ269,"IKS",IF(W$8&lt;$AS269,IF(W$8=$AR269,"Bascule","Double run"),"ROKS"))))))</f>
        <v/>
      </c>
      <c r="X269" s="51" t="str">
        <f aca="false">IF(OR($A269="",X$8=""),"",IF($F269="Migré","ROKS",IF($F269="À décommissionner",IF(X$8&lt;$AS269,"IKS","Décom."),IF(OR($AQ269="",$AS269=""),"",IF(X$8&lt;$AQ269,"IKS",IF(X$8&lt;$AS269,IF(X$8=$AR269,"Bascule","Double run"),"ROKS"))))))</f>
        <v/>
      </c>
      <c r="Y269" s="51" t="str">
        <f aca="false">IF(OR($A269="",Y$8=""),"",IF($F269="Migré","ROKS",IF($F269="À décommissionner",IF(Y$8&lt;$AS269,"IKS","Décom."),IF(OR($AQ269="",$AS269=""),"",IF(Y$8&lt;$AQ269,"IKS",IF(Y$8&lt;$AS269,IF(Y$8=$AR269,"Bascule","Double run"),"ROKS"))))))</f>
        <v/>
      </c>
      <c r="Z269" s="51" t="str">
        <f aca="false">IF(OR($A269="",Z$8=""),"",IF($F269="Migré","ROKS",IF($F269="À décommissionner",IF(Z$8&lt;$AS269,"IKS","Décom."),IF(OR($AQ269="",$AS269=""),"",IF(Z$8&lt;$AQ269,"IKS",IF(Z$8&lt;$AS269,IF(Z$8=$AR269,"Bascule","Double run"),"ROKS"))))))</f>
        <v/>
      </c>
      <c r="AA269" s="51" t="str">
        <f aca="false">IF(OR($A269="",AA$8=""),"",IF($F269="Migré","ROKS",IF($F269="À décommissionner",IF(AA$8&lt;$AS269,"IKS","Décom."),IF(OR($AQ269="",$AS269=""),"",IF(AA$8&lt;$AQ269,"IKS",IF(AA$8&lt;$AS269,IF(AA$8=$AR269,"Bascule","Double run"),"ROKS"))))))</f>
        <v/>
      </c>
      <c r="AB269" s="51" t="str">
        <f aca="false">IF(OR($A269="",AB$8=""),"",IF($F269="Migré","ROKS",IF($F269="À décommissionner",IF(AB$8&lt;$AS269,"IKS","Décom."),IF(OR($AQ269="",$AS269=""),"",IF(AB$8&lt;$AQ269,"IKS",IF(AB$8&lt;$AS269,IF(AB$8=$AR269,"Bascule","Double run"),"ROKS"))))))</f>
        <v/>
      </c>
      <c r="AC269" s="51" t="str">
        <f aca="false">IF(OR($A269="",AC$8=""),"",IF($F269="Migré","ROKS",IF($F269="À décommissionner",IF(AC$8&lt;$AS269,"IKS","Décom."),IF(OR($AQ269="",$AS269=""),"",IF(AC$8&lt;$AQ269,"IKS",IF(AC$8&lt;$AS269,IF(AC$8=$AR269,"Bascule","Double run"),"ROKS"))))))</f>
        <v/>
      </c>
      <c r="AD269" s="51" t="str">
        <f aca="false">IF(OR($A269="",AD$8=""),"",IF($F269="Migré","ROKS",IF($F269="À décommissionner",IF(AD$8&lt;$AS269,"IKS","Décom."),IF(OR($AQ269="",$AS269=""),"",IF(AD$8&lt;$AQ269,"IKS",IF(AD$8&lt;$AS269,IF(AD$8=$AR269,"Bascule","Double run"),"ROKS"))))))</f>
        <v/>
      </c>
      <c r="AE269" s="51" t="str">
        <f aca="false">IF(OR($A269="",AE$8=""),"",IF($F269="Migré","ROKS",IF($F269="À décommissionner",IF(AE$8&lt;$AS269,"IKS","Décom."),IF(OR($AQ269="",$AS269=""),"",IF(AE$8&lt;$AQ269,"IKS",IF(AE$8&lt;$AS269,IF(AE$8=$AR269,"Bascule","Double run"),"ROKS"))))))</f>
        <v/>
      </c>
      <c r="AF269" s="51" t="str">
        <f aca="false">IF(OR($A269="",AF$8=""),"",IF($F269="Migré","ROKS",IF($F269="À décommissionner",IF(AF$8&lt;$AS269,"IKS","Décom."),IF(OR($AQ269="",$AS269=""),"",IF(AF$8&lt;$AQ269,"IKS",IF(AF$8&lt;$AS269,IF(AF$8=$AR269,"Bascule","Double run"),"ROKS"))))))</f>
        <v/>
      </c>
      <c r="AG269" s="51" t="str">
        <f aca="false">IF(OR($A269="",AG$8=""),"",IF($F269="Migré","ROKS",IF($F269="À décommissionner",IF(AG$8&lt;$AS269,"IKS","Décom."),IF(OR($AQ269="",$AS269=""),"",IF(AG$8&lt;$AQ269,"IKS",IF(AG$8&lt;$AS269,IF(AG$8=$AR269,"Bascule","Double run"),"ROKS"))))))</f>
        <v/>
      </c>
      <c r="AH269" s="51" t="str">
        <f aca="false">IF(OR($A269="",AH$8=""),"",IF($F269="Migré","ROKS",IF($F269="À décommissionner",IF(AH$8&lt;$AS269,"IKS","Décom."),IF(OR($AQ269="",$AS269=""),"",IF(AH$8&lt;$AQ269,"IKS",IF(AH$8&lt;$AS269,IF(AH$8=$AR269,"Bascule","Double run"),"ROKS"))))))</f>
        <v/>
      </c>
      <c r="AI269" s="51" t="str">
        <f aca="false">IF(OR($A269="",AI$8=""),"",IF($F269="Migré","ROKS",IF($F269="À décommissionner",IF(AI$8&lt;$AS269,"IKS","Décom."),IF(OR($AQ269="",$AS269=""),"",IF(AI$8&lt;$AQ269,"IKS",IF(AI$8&lt;$AS269,IF(AI$8=$AR269,"Bascule","Double run"),"ROKS"))))))</f>
        <v/>
      </c>
      <c r="AJ269" s="51" t="str">
        <f aca="false">IF(OR($A269="",AJ$8=""),"",IF($F269="Migré","ROKS",IF($F269="À décommissionner",IF(AJ$8&lt;$AS269,"IKS","Décom."),IF(OR($AQ269="",$AS269=""),"",IF(AJ$8&lt;$AQ269,"IKS",IF(AJ$8&lt;$AS269,IF(AJ$8=$AR269,"Bascule","Double run"),"ROKS"))))))</f>
        <v/>
      </c>
      <c r="AK269" s="51" t="str">
        <f aca="false">IF(OR($A269="",AK$8=""),"",IF($F269="Migré","ROKS",IF($F269="À décommissionner",IF(AK$8&lt;$AS269,"IKS","Décom."),IF(OR($AQ269="",$AS269=""),"",IF(AK$8&lt;$AQ269,"IKS",IF(AK$8&lt;$AS269,IF(AK$8=$AR269,"Bascule","Double run"),"ROKS"))))))</f>
        <v/>
      </c>
      <c r="AL269" s="51" t="str">
        <f aca="false">IF(OR($A269="",AL$8=""),"",IF($F269="Migré","ROKS",IF($F269="À décommissionner",IF(AL$8&lt;$AS269,"IKS","Décom."),IF(OR($AQ269="",$AS269=""),"",IF(AL$8&lt;$AQ269,"IKS",IF(AL$8&lt;$AS269,IF(AL$8=$AR269,"Bascule","Double run"),"ROKS"))))))</f>
        <v/>
      </c>
      <c r="AM269" s="51" t="str">
        <f aca="false">IF(OR($A269="",AM$8=""),"",IF($F269="Migré","ROKS",IF($F269="À décommissionner",IF(AM$8&lt;$AS269,"IKS","Décom."),IF(OR($AQ269="",$AS269=""),"",IF(AM$8&lt;$AQ269,"IKS",IF(AM$8&lt;$AS269,IF(AM$8=$AR269,"Bascule","Double run"),"ROKS"))))))</f>
        <v/>
      </c>
      <c r="AN269" s="51" t="str">
        <f aca="false">IF(OR($A269="",AN$8=""),"",IF($F269="Migré","ROKS",IF($F269="À décommissionner",IF(AN$8&lt;$AS269,"IKS","Décom."),IF(OR($AQ269="",$AS269=""),"",IF(AN$8&lt;$AQ269,"IKS",IF(AN$8&lt;$AS269,IF(AN$8=$AR269,"Bascule","Double run"),"ROKS"))))))</f>
        <v/>
      </c>
      <c r="AO269" s="51" t="str">
        <f aca="false">IF(OR($A269="",AO$8=""),"",IF($F269="Migré","ROKS",IF($F269="À décommissionner",IF(AO$8&lt;$AS269,"IKS","Décom."),IF(OR($AQ269="",$AS269=""),"",IF(AO$8&lt;$AQ269,"IKS",IF(AO$8&lt;$AS269,IF(AO$8=$AR269,"Bascule","Double run"),"ROKS"))))))</f>
        <v/>
      </c>
      <c r="AP269" s="51" t="str">
        <f aca="false">IF(OR($A269="",AP$8=""),"",IF($F269="Migré","ROKS",IF($F269="À décommissionner",IF(AP$8&lt;$AS269,"IKS","Décom."),IF(OR($AQ269="",$AS269=""),"",IF(AP$8&lt;$AQ269,"IKS",IF(AP$8&lt;$AS269,IF(AP$8=$AR269,"Bascule","Double run"),"ROKS"))))))</f>
        <v/>
      </c>
      <c r="AQ269" s="0" t="str">
        <f aca="false">IF($A269="","",INDEX(TblApplications[Mois prov (calc)],$A269))</f>
        <v/>
      </c>
      <c r="AR269" s="0" t="str">
        <f aca="false">IF($A269="","",IFERROR(DATE(YEAR(INDEX(TblApplications[Mois bascule],$A269)),MONTH(INDEX(TblApplications[Mois bascule],$A269)),1),""))</f>
        <v/>
      </c>
      <c r="AS269" s="0" t="str">
        <f aca="false">IF($A269="","",INDEX(TblApplications[Mois lib (calc)],$A269))</f>
        <v/>
      </c>
    </row>
    <row r="270" customFormat="false" ht="15" hidden="false" customHeight="false" outlineLevel="0" collapsed="false">
      <c r="A270" s="49" t="str">
        <f aca="false">IFERROR(MATCH(262,TblApplications[Rang frise],0),"")</f>
        <v/>
      </c>
      <c r="B270" s="50" t="str">
        <f aca="false">IF($A270="","",INDEX(TblApplications[ID],$A270))</f>
        <v/>
      </c>
      <c r="C270" s="50" t="str">
        <f aca="false">IF($A270="","",INDEX(TblApplications[Application],$A270))</f>
        <v/>
      </c>
      <c r="D270" s="50" t="str">
        <f aca="false">IF($A270="","",INDEX(TblApplications[Environnement],$A270))</f>
        <v/>
      </c>
      <c r="E270" s="50" t="str">
        <f aca="false">IF($A270="","",INDEX(TblApplications[Couloir],$A270))</f>
        <v/>
      </c>
      <c r="F270" s="50" t="str">
        <f aca="false">IF($A270="","",INDEX(TblApplications[Action],$A270))</f>
        <v/>
      </c>
      <c r="G270" s="51" t="str">
        <f aca="false">IF(OR($A270="",G$8=""),"",IF($F270="Migré","ROKS",IF($F270="À décommissionner",IF(G$8&lt;$AS270,"IKS","Décom."),IF(OR($AQ270="",$AS270=""),"",IF(G$8&lt;$AQ270,"IKS",IF(G$8&lt;$AS270,IF(G$8=$AR270,"Bascule","Double run"),"ROKS"))))))</f>
        <v/>
      </c>
      <c r="H270" s="51" t="str">
        <f aca="false">IF(OR($A270="",H$8=""),"",IF($F270="Migré","ROKS",IF($F270="À décommissionner",IF(H$8&lt;$AS270,"IKS","Décom."),IF(OR($AQ270="",$AS270=""),"",IF(H$8&lt;$AQ270,"IKS",IF(H$8&lt;$AS270,IF(H$8=$AR270,"Bascule","Double run"),"ROKS"))))))</f>
        <v/>
      </c>
      <c r="I270" s="51" t="str">
        <f aca="false">IF(OR($A270="",I$8=""),"",IF($F270="Migré","ROKS",IF($F270="À décommissionner",IF(I$8&lt;$AS270,"IKS","Décom."),IF(OR($AQ270="",$AS270=""),"",IF(I$8&lt;$AQ270,"IKS",IF(I$8&lt;$AS270,IF(I$8=$AR270,"Bascule","Double run"),"ROKS"))))))</f>
        <v/>
      </c>
      <c r="J270" s="51" t="str">
        <f aca="false">IF(OR($A270="",J$8=""),"",IF($F270="Migré","ROKS",IF($F270="À décommissionner",IF(J$8&lt;$AS270,"IKS","Décom."),IF(OR($AQ270="",$AS270=""),"",IF(J$8&lt;$AQ270,"IKS",IF(J$8&lt;$AS270,IF(J$8=$AR270,"Bascule","Double run"),"ROKS"))))))</f>
        <v/>
      </c>
      <c r="K270" s="51" t="str">
        <f aca="false">IF(OR($A270="",K$8=""),"",IF($F270="Migré","ROKS",IF($F270="À décommissionner",IF(K$8&lt;$AS270,"IKS","Décom."),IF(OR($AQ270="",$AS270=""),"",IF(K$8&lt;$AQ270,"IKS",IF(K$8&lt;$AS270,IF(K$8=$AR270,"Bascule","Double run"),"ROKS"))))))</f>
        <v/>
      </c>
      <c r="L270" s="51" t="str">
        <f aca="false">IF(OR($A270="",L$8=""),"",IF($F270="Migré","ROKS",IF($F270="À décommissionner",IF(L$8&lt;$AS270,"IKS","Décom."),IF(OR($AQ270="",$AS270=""),"",IF(L$8&lt;$AQ270,"IKS",IF(L$8&lt;$AS270,IF(L$8=$AR270,"Bascule","Double run"),"ROKS"))))))</f>
        <v/>
      </c>
      <c r="M270" s="51" t="str">
        <f aca="false">IF(OR($A270="",M$8=""),"",IF($F270="Migré","ROKS",IF($F270="À décommissionner",IF(M$8&lt;$AS270,"IKS","Décom."),IF(OR($AQ270="",$AS270=""),"",IF(M$8&lt;$AQ270,"IKS",IF(M$8&lt;$AS270,IF(M$8=$AR270,"Bascule","Double run"),"ROKS"))))))</f>
        <v/>
      </c>
      <c r="N270" s="51" t="str">
        <f aca="false">IF(OR($A270="",N$8=""),"",IF($F270="Migré","ROKS",IF($F270="À décommissionner",IF(N$8&lt;$AS270,"IKS","Décom."),IF(OR($AQ270="",$AS270=""),"",IF(N$8&lt;$AQ270,"IKS",IF(N$8&lt;$AS270,IF(N$8=$AR270,"Bascule","Double run"),"ROKS"))))))</f>
        <v/>
      </c>
      <c r="O270" s="51" t="str">
        <f aca="false">IF(OR($A270="",O$8=""),"",IF($F270="Migré","ROKS",IF($F270="À décommissionner",IF(O$8&lt;$AS270,"IKS","Décom."),IF(OR($AQ270="",$AS270=""),"",IF(O$8&lt;$AQ270,"IKS",IF(O$8&lt;$AS270,IF(O$8=$AR270,"Bascule","Double run"),"ROKS"))))))</f>
        <v/>
      </c>
      <c r="P270" s="51" t="str">
        <f aca="false">IF(OR($A270="",P$8=""),"",IF($F270="Migré","ROKS",IF($F270="À décommissionner",IF(P$8&lt;$AS270,"IKS","Décom."),IF(OR($AQ270="",$AS270=""),"",IF(P$8&lt;$AQ270,"IKS",IF(P$8&lt;$AS270,IF(P$8=$AR270,"Bascule","Double run"),"ROKS"))))))</f>
        <v/>
      </c>
      <c r="Q270" s="51" t="str">
        <f aca="false">IF(OR($A270="",Q$8=""),"",IF($F270="Migré","ROKS",IF($F270="À décommissionner",IF(Q$8&lt;$AS270,"IKS","Décom."),IF(OR($AQ270="",$AS270=""),"",IF(Q$8&lt;$AQ270,"IKS",IF(Q$8&lt;$AS270,IF(Q$8=$AR270,"Bascule","Double run"),"ROKS"))))))</f>
        <v/>
      </c>
      <c r="R270" s="51" t="str">
        <f aca="false">IF(OR($A270="",R$8=""),"",IF($F270="Migré","ROKS",IF($F270="À décommissionner",IF(R$8&lt;$AS270,"IKS","Décom."),IF(OR($AQ270="",$AS270=""),"",IF(R$8&lt;$AQ270,"IKS",IF(R$8&lt;$AS270,IF(R$8=$AR270,"Bascule","Double run"),"ROKS"))))))</f>
        <v/>
      </c>
      <c r="S270" s="51" t="str">
        <f aca="false">IF(OR($A270="",S$8=""),"",IF($F270="Migré","ROKS",IF($F270="À décommissionner",IF(S$8&lt;$AS270,"IKS","Décom."),IF(OR($AQ270="",$AS270=""),"",IF(S$8&lt;$AQ270,"IKS",IF(S$8&lt;$AS270,IF(S$8=$AR270,"Bascule","Double run"),"ROKS"))))))</f>
        <v/>
      </c>
      <c r="T270" s="51" t="str">
        <f aca="false">IF(OR($A270="",T$8=""),"",IF($F270="Migré","ROKS",IF($F270="À décommissionner",IF(T$8&lt;$AS270,"IKS","Décom."),IF(OR($AQ270="",$AS270=""),"",IF(T$8&lt;$AQ270,"IKS",IF(T$8&lt;$AS270,IF(T$8=$AR270,"Bascule","Double run"),"ROKS"))))))</f>
        <v/>
      </c>
      <c r="U270" s="51" t="str">
        <f aca="false">IF(OR($A270="",U$8=""),"",IF($F270="Migré","ROKS",IF($F270="À décommissionner",IF(U$8&lt;$AS270,"IKS","Décom."),IF(OR($AQ270="",$AS270=""),"",IF(U$8&lt;$AQ270,"IKS",IF(U$8&lt;$AS270,IF(U$8=$AR270,"Bascule","Double run"),"ROKS"))))))</f>
        <v/>
      </c>
      <c r="V270" s="51" t="str">
        <f aca="false">IF(OR($A270="",V$8=""),"",IF($F270="Migré","ROKS",IF($F270="À décommissionner",IF(V$8&lt;$AS270,"IKS","Décom."),IF(OR($AQ270="",$AS270=""),"",IF(V$8&lt;$AQ270,"IKS",IF(V$8&lt;$AS270,IF(V$8=$AR270,"Bascule","Double run"),"ROKS"))))))</f>
        <v/>
      </c>
      <c r="W270" s="51" t="str">
        <f aca="false">IF(OR($A270="",W$8=""),"",IF($F270="Migré","ROKS",IF($F270="À décommissionner",IF(W$8&lt;$AS270,"IKS","Décom."),IF(OR($AQ270="",$AS270=""),"",IF(W$8&lt;$AQ270,"IKS",IF(W$8&lt;$AS270,IF(W$8=$AR270,"Bascule","Double run"),"ROKS"))))))</f>
        <v/>
      </c>
      <c r="X270" s="51" t="str">
        <f aca="false">IF(OR($A270="",X$8=""),"",IF($F270="Migré","ROKS",IF($F270="À décommissionner",IF(X$8&lt;$AS270,"IKS","Décom."),IF(OR($AQ270="",$AS270=""),"",IF(X$8&lt;$AQ270,"IKS",IF(X$8&lt;$AS270,IF(X$8=$AR270,"Bascule","Double run"),"ROKS"))))))</f>
        <v/>
      </c>
      <c r="Y270" s="51" t="str">
        <f aca="false">IF(OR($A270="",Y$8=""),"",IF($F270="Migré","ROKS",IF($F270="À décommissionner",IF(Y$8&lt;$AS270,"IKS","Décom."),IF(OR($AQ270="",$AS270=""),"",IF(Y$8&lt;$AQ270,"IKS",IF(Y$8&lt;$AS270,IF(Y$8=$AR270,"Bascule","Double run"),"ROKS"))))))</f>
        <v/>
      </c>
      <c r="Z270" s="51" t="str">
        <f aca="false">IF(OR($A270="",Z$8=""),"",IF($F270="Migré","ROKS",IF($F270="À décommissionner",IF(Z$8&lt;$AS270,"IKS","Décom."),IF(OR($AQ270="",$AS270=""),"",IF(Z$8&lt;$AQ270,"IKS",IF(Z$8&lt;$AS270,IF(Z$8=$AR270,"Bascule","Double run"),"ROKS"))))))</f>
        <v/>
      </c>
      <c r="AA270" s="51" t="str">
        <f aca="false">IF(OR($A270="",AA$8=""),"",IF($F270="Migré","ROKS",IF($F270="À décommissionner",IF(AA$8&lt;$AS270,"IKS","Décom."),IF(OR($AQ270="",$AS270=""),"",IF(AA$8&lt;$AQ270,"IKS",IF(AA$8&lt;$AS270,IF(AA$8=$AR270,"Bascule","Double run"),"ROKS"))))))</f>
        <v/>
      </c>
      <c r="AB270" s="51" t="str">
        <f aca="false">IF(OR($A270="",AB$8=""),"",IF($F270="Migré","ROKS",IF($F270="À décommissionner",IF(AB$8&lt;$AS270,"IKS","Décom."),IF(OR($AQ270="",$AS270=""),"",IF(AB$8&lt;$AQ270,"IKS",IF(AB$8&lt;$AS270,IF(AB$8=$AR270,"Bascule","Double run"),"ROKS"))))))</f>
        <v/>
      </c>
      <c r="AC270" s="51" t="str">
        <f aca="false">IF(OR($A270="",AC$8=""),"",IF($F270="Migré","ROKS",IF($F270="À décommissionner",IF(AC$8&lt;$AS270,"IKS","Décom."),IF(OR($AQ270="",$AS270=""),"",IF(AC$8&lt;$AQ270,"IKS",IF(AC$8&lt;$AS270,IF(AC$8=$AR270,"Bascule","Double run"),"ROKS"))))))</f>
        <v/>
      </c>
      <c r="AD270" s="51" t="str">
        <f aca="false">IF(OR($A270="",AD$8=""),"",IF($F270="Migré","ROKS",IF($F270="À décommissionner",IF(AD$8&lt;$AS270,"IKS","Décom."),IF(OR($AQ270="",$AS270=""),"",IF(AD$8&lt;$AQ270,"IKS",IF(AD$8&lt;$AS270,IF(AD$8=$AR270,"Bascule","Double run"),"ROKS"))))))</f>
        <v/>
      </c>
      <c r="AE270" s="51" t="str">
        <f aca="false">IF(OR($A270="",AE$8=""),"",IF($F270="Migré","ROKS",IF($F270="À décommissionner",IF(AE$8&lt;$AS270,"IKS","Décom."),IF(OR($AQ270="",$AS270=""),"",IF(AE$8&lt;$AQ270,"IKS",IF(AE$8&lt;$AS270,IF(AE$8=$AR270,"Bascule","Double run"),"ROKS"))))))</f>
        <v/>
      </c>
      <c r="AF270" s="51" t="str">
        <f aca="false">IF(OR($A270="",AF$8=""),"",IF($F270="Migré","ROKS",IF($F270="À décommissionner",IF(AF$8&lt;$AS270,"IKS","Décom."),IF(OR($AQ270="",$AS270=""),"",IF(AF$8&lt;$AQ270,"IKS",IF(AF$8&lt;$AS270,IF(AF$8=$AR270,"Bascule","Double run"),"ROKS"))))))</f>
        <v/>
      </c>
      <c r="AG270" s="51" t="str">
        <f aca="false">IF(OR($A270="",AG$8=""),"",IF($F270="Migré","ROKS",IF($F270="À décommissionner",IF(AG$8&lt;$AS270,"IKS","Décom."),IF(OR($AQ270="",$AS270=""),"",IF(AG$8&lt;$AQ270,"IKS",IF(AG$8&lt;$AS270,IF(AG$8=$AR270,"Bascule","Double run"),"ROKS"))))))</f>
        <v/>
      </c>
      <c r="AH270" s="51" t="str">
        <f aca="false">IF(OR($A270="",AH$8=""),"",IF($F270="Migré","ROKS",IF($F270="À décommissionner",IF(AH$8&lt;$AS270,"IKS","Décom."),IF(OR($AQ270="",$AS270=""),"",IF(AH$8&lt;$AQ270,"IKS",IF(AH$8&lt;$AS270,IF(AH$8=$AR270,"Bascule","Double run"),"ROKS"))))))</f>
        <v/>
      </c>
      <c r="AI270" s="51" t="str">
        <f aca="false">IF(OR($A270="",AI$8=""),"",IF($F270="Migré","ROKS",IF($F270="À décommissionner",IF(AI$8&lt;$AS270,"IKS","Décom."),IF(OR($AQ270="",$AS270=""),"",IF(AI$8&lt;$AQ270,"IKS",IF(AI$8&lt;$AS270,IF(AI$8=$AR270,"Bascule","Double run"),"ROKS"))))))</f>
        <v/>
      </c>
      <c r="AJ270" s="51" t="str">
        <f aca="false">IF(OR($A270="",AJ$8=""),"",IF($F270="Migré","ROKS",IF($F270="À décommissionner",IF(AJ$8&lt;$AS270,"IKS","Décom."),IF(OR($AQ270="",$AS270=""),"",IF(AJ$8&lt;$AQ270,"IKS",IF(AJ$8&lt;$AS270,IF(AJ$8=$AR270,"Bascule","Double run"),"ROKS"))))))</f>
        <v/>
      </c>
      <c r="AK270" s="51" t="str">
        <f aca="false">IF(OR($A270="",AK$8=""),"",IF($F270="Migré","ROKS",IF($F270="À décommissionner",IF(AK$8&lt;$AS270,"IKS","Décom."),IF(OR($AQ270="",$AS270=""),"",IF(AK$8&lt;$AQ270,"IKS",IF(AK$8&lt;$AS270,IF(AK$8=$AR270,"Bascule","Double run"),"ROKS"))))))</f>
        <v/>
      </c>
      <c r="AL270" s="51" t="str">
        <f aca="false">IF(OR($A270="",AL$8=""),"",IF($F270="Migré","ROKS",IF($F270="À décommissionner",IF(AL$8&lt;$AS270,"IKS","Décom."),IF(OR($AQ270="",$AS270=""),"",IF(AL$8&lt;$AQ270,"IKS",IF(AL$8&lt;$AS270,IF(AL$8=$AR270,"Bascule","Double run"),"ROKS"))))))</f>
        <v/>
      </c>
      <c r="AM270" s="51" t="str">
        <f aca="false">IF(OR($A270="",AM$8=""),"",IF($F270="Migré","ROKS",IF($F270="À décommissionner",IF(AM$8&lt;$AS270,"IKS","Décom."),IF(OR($AQ270="",$AS270=""),"",IF(AM$8&lt;$AQ270,"IKS",IF(AM$8&lt;$AS270,IF(AM$8=$AR270,"Bascule","Double run"),"ROKS"))))))</f>
        <v/>
      </c>
      <c r="AN270" s="51" t="str">
        <f aca="false">IF(OR($A270="",AN$8=""),"",IF($F270="Migré","ROKS",IF($F270="À décommissionner",IF(AN$8&lt;$AS270,"IKS","Décom."),IF(OR($AQ270="",$AS270=""),"",IF(AN$8&lt;$AQ270,"IKS",IF(AN$8&lt;$AS270,IF(AN$8=$AR270,"Bascule","Double run"),"ROKS"))))))</f>
        <v/>
      </c>
      <c r="AO270" s="51" t="str">
        <f aca="false">IF(OR($A270="",AO$8=""),"",IF($F270="Migré","ROKS",IF($F270="À décommissionner",IF(AO$8&lt;$AS270,"IKS","Décom."),IF(OR($AQ270="",$AS270=""),"",IF(AO$8&lt;$AQ270,"IKS",IF(AO$8&lt;$AS270,IF(AO$8=$AR270,"Bascule","Double run"),"ROKS"))))))</f>
        <v/>
      </c>
      <c r="AP270" s="51" t="str">
        <f aca="false">IF(OR($A270="",AP$8=""),"",IF($F270="Migré","ROKS",IF($F270="À décommissionner",IF(AP$8&lt;$AS270,"IKS","Décom."),IF(OR($AQ270="",$AS270=""),"",IF(AP$8&lt;$AQ270,"IKS",IF(AP$8&lt;$AS270,IF(AP$8=$AR270,"Bascule","Double run"),"ROKS"))))))</f>
        <v/>
      </c>
      <c r="AQ270" s="0" t="str">
        <f aca="false">IF($A270="","",INDEX(TblApplications[Mois prov (calc)],$A270))</f>
        <v/>
      </c>
      <c r="AR270" s="0" t="str">
        <f aca="false">IF($A270="","",IFERROR(DATE(YEAR(INDEX(TblApplications[Mois bascule],$A270)),MONTH(INDEX(TblApplications[Mois bascule],$A270)),1),""))</f>
        <v/>
      </c>
      <c r="AS270" s="0" t="str">
        <f aca="false">IF($A270="","",INDEX(TblApplications[Mois lib (calc)],$A270))</f>
        <v/>
      </c>
    </row>
    <row r="271" customFormat="false" ht="15" hidden="false" customHeight="false" outlineLevel="0" collapsed="false">
      <c r="A271" s="49" t="str">
        <f aca="false">IFERROR(MATCH(263,TblApplications[Rang frise],0),"")</f>
        <v/>
      </c>
      <c r="B271" s="50" t="str">
        <f aca="false">IF($A271="","",INDEX(TblApplications[ID],$A271))</f>
        <v/>
      </c>
      <c r="C271" s="50" t="str">
        <f aca="false">IF($A271="","",INDEX(TblApplications[Application],$A271))</f>
        <v/>
      </c>
      <c r="D271" s="50" t="str">
        <f aca="false">IF($A271="","",INDEX(TblApplications[Environnement],$A271))</f>
        <v/>
      </c>
      <c r="E271" s="50" t="str">
        <f aca="false">IF($A271="","",INDEX(TblApplications[Couloir],$A271))</f>
        <v/>
      </c>
      <c r="F271" s="50" t="str">
        <f aca="false">IF($A271="","",INDEX(TblApplications[Action],$A271))</f>
        <v/>
      </c>
      <c r="G271" s="51" t="str">
        <f aca="false">IF(OR($A271="",G$8=""),"",IF($F271="Migré","ROKS",IF($F271="À décommissionner",IF(G$8&lt;$AS271,"IKS","Décom."),IF(OR($AQ271="",$AS271=""),"",IF(G$8&lt;$AQ271,"IKS",IF(G$8&lt;$AS271,IF(G$8=$AR271,"Bascule","Double run"),"ROKS"))))))</f>
        <v/>
      </c>
      <c r="H271" s="51" t="str">
        <f aca="false">IF(OR($A271="",H$8=""),"",IF($F271="Migré","ROKS",IF($F271="À décommissionner",IF(H$8&lt;$AS271,"IKS","Décom."),IF(OR($AQ271="",$AS271=""),"",IF(H$8&lt;$AQ271,"IKS",IF(H$8&lt;$AS271,IF(H$8=$AR271,"Bascule","Double run"),"ROKS"))))))</f>
        <v/>
      </c>
      <c r="I271" s="51" t="str">
        <f aca="false">IF(OR($A271="",I$8=""),"",IF($F271="Migré","ROKS",IF($F271="À décommissionner",IF(I$8&lt;$AS271,"IKS","Décom."),IF(OR($AQ271="",$AS271=""),"",IF(I$8&lt;$AQ271,"IKS",IF(I$8&lt;$AS271,IF(I$8=$AR271,"Bascule","Double run"),"ROKS"))))))</f>
        <v/>
      </c>
      <c r="J271" s="51" t="str">
        <f aca="false">IF(OR($A271="",J$8=""),"",IF($F271="Migré","ROKS",IF($F271="À décommissionner",IF(J$8&lt;$AS271,"IKS","Décom."),IF(OR($AQ271="",$AS271=""),"",IF(J$8&lt;$AQ271,"IKS",IF(J$8&lt;$AS271,IF(J$8=$AR271,"Bascule","Double run"),"ROKS"))))))</f>
        <v/>
      </c>
      <c r="K271" s="51" t="str">
        <f aca="false">IF(OR($A271="",K$8=""),"",IF($F271="Migré","ROKS",IF($F271="À décommissionner",IF(K$8&lt;$AS271,"IKS","Décom."),IF(OR($AQ271="",$AS271=""),"",IF(K$8&lt;$AQ271,"IKS",IF(K$8&lt;$AS271,IF(K$8=$AR271,"Bascule","Double run"),"ROKS"))))))</f>
        <v/>
      </c>
      <c r="L271" s="51" t="str">
        <f aca="false">IF(OR($A271="",L$8=""),"",IF($F271="Migré","ROKS",IF($F271="À décommissionner",IF(L$8&lt;$AS271,"IKS","Décom."),IF(OR($AQ271="",$AS271=""),"",IF(L$8&lt;$AQ271,"IKS",IF(L$8&lt;$AS271,IF(L$8=$AR271,"Bascule","Double run"),"ROKS"))))))</f>
        <v/>
      </c>
      <c r="M271" s="51" t="str">
        <f aca="false">IF(OR($A271="",M$8=""),"",IF($F271="Migré","ROKS",IF($F271="À décommissionner",IF(M$8&lt;$AS271,"IKS","Décom."),IF(OR($AQ271="",$AS271=""),"",IF(M$8&lt;$AQ271,"IKS",IF(M$8&lt;$AS271,IF(M$8=$AR271,"Bascule","Double run"),"ROKS"))))))</f>
        <v/>
      </c>
      <c r="N271" s="51" t="str">
        <f aca="false">IF(OR($A271="",N$8=""),"",IF($F271="Migré","ROKS",IF($F271="À décommissionner",IF(N$8&lt;$AS271,"IKS","Décom."),IF(OR($AQ271="",$AS271=""),"",IF(N$8&lt;$AQ271,"IKS",IF(N$8&lt;$AS271,IF(N$8=$AR271,"Bascule","Double run"),"ROKS"))))))</f>
        <v/>
      </c>
      <c r="O271" s="51" t="str">
        <f aca="false">IF(OR($A271="",O$8=""),"",IF($F271="Migré","ROKS",IF($F271="À décommissionner",IF(O$8&lt;$AS271,"IKS","Décom."),IF(OR($AQ271="",$AS271=""),"",IF(O$8&lt;$AQ271,"IKS",IF(O$8&lt;$AS271,IF(O$8=$AR271,"Bascule","Double run"),"ROKS"))))))</f>
        <v/>
      </c>
      <c r="P271" s="51" t="str">
        <f aca="false">IF(OR($A271="",P$8=""),"",IF($F271="Migré","ROKS",IF($F271="À décommissionner",IF(P$8&lt;$AS271,"IKS","Décom."),IF(OR($AQ271="",$AS271=""),"",IF(P$8&lt;$AQ271,"IKS",IF(P$8&lt;$AS271,IF(P$8=$AR271,"Bascule","Double run"),"ROKS"))))))</f>
        <v/>
      </c>
      <c r="Q271" s="51" t="str">
        <f aca="false">IF(OR($A271="",Q$8=""),"",IF($F271="Migré","ROKS",IF($F271="À décommissionner",IF(Q$8&lt;$AS271,"IKS","Décom."),IF(OR($AQ271="",$AS271=""),"",IF(Q$8&lt;$AQ271,"IKS",IF(Q$8&lt;$AS271,IF(Q$8=$AR271,"Bascule","Double run"),"ROKS"))))))</f>
        <v/>
      </c>
      <c r="R271" s="51" t="str">
        <f aca="false">IF(OR($A271="",R$8=""),"",IF($F271="Migré","ROKS",IF($F271="À décommissionner",IF(R$8&lt;$AS271,"IKS","Décom."),IF(OR($AQ271="",$AS271=""),"",IF(R$8&lt;$AQ271,"IKS",IF(R$8&lt;$AS271,IF(R$8=$AR271,"Bascule","Double run"),"ROKS"))))))</f>
        <v/>
      </c>
      <c r="S271" s="51" t="str">
        <f aca="false">IF(OR($A271="",S$8=""),"",IF($F271="Migré","ROKS",IF($F271="À décommissionner",IF(S$8&lt;$AS271,"IKS","Décom."),IF(OR($AQ271="",$AS271=""),"",IF(S$8&lt;$AQ271,"IKS",IF(S$8&lt;$AS271,IF(S$8=$AR271,"Bascule","Double run"),"ROKS"))))))</f>
        <v/>
      </c>
      <c r="T271" s="51" t="str">
        <f aca="false">IF(OR($A271="",T$8=""),"",IF($F271="Migré","ROKS",IF($F271="À décommissionner",IF(T$8&lt;$AS271,"IKS","Décom."),IF(OR($AQ271="",$AS271=""),"",IF(T$8&lt;$AQ271,"IKS",IF(T$8&lt;$AS271,IF(T$8=$AR271,"Bascule","Double run"),"ROKS"))))))</f>
        <v/>
      </c>
      <c r="U271" s="51" t="str">
        <f aca="false">IF(OR($A271="",U$8=""),"",IF($F271="Migré","ROKS",IF($F271="À décommissionner",IF(U$8&lt;$AS271,"IKS","Décom."),IF(OR($AQ271="",$AS271=""),"",IF(U$8&lt;$AQ271,"IKS",IF(U$8&lt;$AS271,IF(U$8=$AR271,"Bascule","Double run"),"ROKS"))))))</f>
        <v/>
      </c>
      <c r="V271" s="51" t="str">
        <f aca="false">IF(OR($A271="",V$8=""),"",IF($F271="Migré","ROKS",IF($F271="À décommissionner",IF(V$8&lt;$AS271,"IKS","Décom."),IF(OR($AQ271="",$AS271=""),"",IF(V$8&lt;$AQ271,"IKS",IF(V$8&lt;$AS271,IF(V$8=$AR271,"Bascule","Double run"),"ROKS"))))))</f>
        <v/>
      </c>
      <c r="W271" s="51" t="str">
        <f aca="false">IF(OR($A271="",W$8=""),"",IF($F271="Migré","ROKS",IF($F271="À décommissionner",IF(W$8&lt;$AS271,"IKS","Décom."),IF(OR($AQ271="",$AS271=""),"",IF(W$8&lt;$AQ271,"IKS",IF(W$8&lt;$AS271,IF(W$8=$AR271,"Bascule","Double run"),"ROKS"))))))</f>
        <v/>
      </c>
      <c r="X271" s="51" t="str">
        <f aca="false">IF(OR($A271="",X$8=""),"",IF($F271="Migré","ROKS",IF($F271="À décommissionner",IF(X$8&lt;$AS271,"IKS","Décom."),IF(OR($AQ271="",$AS271=""),"",IF(X$8&lt;$AQ271,"IKS",IF(X$8&lt;$AS271,IF(X$8=$AR271,"Bascule","Double run"),"ROKS"))))))</f>
        <v/>
      </c>
      <c r="Y271" s="51" t="str">
        <f aca="false">IF(OR($A271="",Y$8=""),"",IF($F271="Migré","ROKS",IF($F271="À décommissionner",IF(Y$8&lt;$AS271,"IKS","Décom."),IF(OR($AQ271="",$AS271=""),"",IF(Y$8&lt;$AQ271,"IKS",IF(Y$8&lt;$AS271,IF(Y$8=$AR271,"Bascule","Double run"),"ROKS"))))))</f>
        <v/>
      </c>
      <c r="Z271" s="51" t="str">
        <f aca="false">IF(OR($A271="",Z$8=""),"",IF($F271="Migré","ROKS",IF($F271="À décommissionner",IF(Z$8&lt;$AS271,"IKS","Décom."),IF(OR($AQ271="",$AS271=""),"",IF(Z$8&lt;$AQ271,"IKS",IF(Z$8&lt;$AS271,IF(Z$8=$AR271,"Bascule","Double run"),"ROKS"))))))</f>
        <v/>
      </c>
      <c r="AA271" s="51" t="str">
        <f aca="false">IF(OR($A271="",AA$8=""),"",IF($F271="Migré","ROKS",IF($F271="À décommissionner",IF(AA$8&lt;$AS271,"IKS","Décom."),IF(OR($AQ271="",$AS271=""),"",IF(AA$8&lt;$AQ271,"IKS",IF(AA$8&lt;$AS271,IF(AA$8=$AR271,"Bascule","Double run"),"ROKS"))))))</f>
        <v/>
      </c>
      <c r="AB271" s="51" t="str">
        <f aca="false">IF(OR($A271="",AB$8=""),"",IF($F271="Migré","ROKS",IF($F271="À décommissionner",IF(AB$8&lt;$AS271,"IKS","Décom."),IF(OR($AQ271="",$AS271=""),"",IF(AB$8&lt;$AQ271,"IKS",IF(AB$8&lt;$AS271,IF(AB$8=$AR271,"Bascule","Double run"),"ROKS"))))))</f>
        <v/>
      </c>
      <c r="AC271" s="51" t="str">
        <f aca="false">IF(OR($A271="",AC$8=""),"",IF($F271="Migré","ROKS",IF($F271="À décommissionner",IF(AC$8&lt;$AS271,"IKS","Décom."),IF(OR($AQ271="",$AS271=""),"",IF(AC$8&lt;$AQ271,"IKS",IF(AC$8&lt;$AS271,IF(AC$8=$AR271,"Bascule","Double run"),"ROKS"))))))</f>
        <v/>
      </c>
      <c r="AD271" s="51" t="str">
        <f aca="false">IF(OR($A271="",AD$8=""),"",IF($F271="Migré","ROKS",IF($F271="À décommissionner",IF(AD$8&lt;$AS271,"IKS","Décom."),IF(OR($AQ271="",$AS271=""),"",IF(AD$8&lt;$AQ271,"IKS",IF(AD$8&lt;$AS271,IF(AD$8=$AR271,"Bascule","Double run"),"ROKS"))))))</f>
        <v/>
      </c>
      <c r="AE271" s="51" t="str">
        <f aca="false">IF(OR($A271="",AE$8=""),"",IF($F271="Migré","ROKS",IF($F271="À décommissionner",IF(AE$8&lt;$AS271,"IKS","Décom."),IF(OR($AQ271="",$AS271=""),"",IF(AE$8&lt;$AQ271,"IKS",IF(AE$8&lt;$AS271,IF(AE$8=$AR271,"Bascule","Double run"),"ROKS"))))))</f>
        <v/>
      </c>
      <c r="AF271" s="51" t="str">
        <f aca="false">IF(OR($A271="",AF$8=""),"",IF($F271="Migré","ROKS",IF($F271="À décommissionner",IF(AF$8&lt;$AS271,"IKS","Décom."),IF(OR($AQ271="",$AS271=""),"",IF(AF$8&lt;$AQ271,"IKS",IF(AF$8&lt;$AS271,IF(AF$8=$AR271,"Bascule","Double run"),"ROKS"))))))</f>
        <v/>
      </c>
      <c r="AG271" s="51" t="str">
        <f aca="false">IF(OR($A271="",AG$8=""),"",IF($F271="Migré","ROKS",IF($F271="À décommissionner",IF(AG$8&lt;$AS271,"IKS","Décom."),IF(OR($AQ271="",$AS271=""),"",IF(AG$8&lt;$AQ271,"IKS",IF(AG$8&lt;$AS271,IF(AG$8=$AR271,"Bascule","Double run"),"ROKS"))))))</f>
        <v/>
      </c>
      <c r="AH271" s="51" t="str">
        <f aca="false">IF(OR($A271="",AH$8=""),"",IF($F271="Migré","ROKS",IF($F271="À décommissionner",IF(AH$8&lt;$AS271,"IKS","Décom."),IF(OR($AQ271="",$AS271=""),"",IF(AH$8&lt;$AQ271,"IKS",IF(AH$8&lt;$AS271,IF(AH$8=$AR271,"Bascule","Double run"),"ROKS"))))))</f>
        <v/>
      </c>
      <c r="AI271" s="51" t="str">
        <f aca="false">IF(OR($A271="",AI$8=""),"",IF($F271="Migré","ROKS",IF($F271="À décommissionner",IF(AI$8&lt;$AS271,"IKS","Décom."),IF(OR($AQ271="",$AS271=""),"",IF(AI$8&lt;$AQ271,"IKS",IF(AI$8&lt;$AS271,IF(AI$8=$AR271,"Bascule","Double run"),"ROKS"))))))</f>
        <v/>
      </c>
      <c r="AJ271" s="51" t="str">
        <f aca="false">IF(OR($A271="",AJ$8=""),"",IF($F271="Migré","ROKS",IF($F271="À décommissionner",IF(AJ$8&lt;$AS271,"IKS","Décom."),IF(OR($AQ271="",$AS271=""),"",IF(AJ$8&lt;$AQ271,"IKS",IF(AJ$8&lt;$AS271,IF(AJ$8=$AR271,"Bascule","Double run"),"ROKS"))))))</f>
        <v/>
      </c>
      <c r="AK271" s="51" t="str">
        <f aca="false">IF(OR($A271="",AK$8=""),"",IF($F271="Migré","ROKS",IF($F271="À décommissionner",IF(AK$8&lt;$AS271,"IKS","Décom."),IF(OR($AQ271="",$AS271=""),"",IF(AK$8&lt;$AQ271,"IKS",IF(AK$8&lt;$AS271,IF(AK$8=$AR271,"Bascule","Double run"),"ROKS"))))))</f>
        <v/>
      </c>
      <c r="AL271" s="51" t="str">
        <f aca="false">IF(OR($A271="",AL$8=""),"",IF($F271="Migré","ROKS",IF($F271="À décommissionner",IF(AL$8&lt;$AS271,"IKS","Décom."),IF(OR($AQ271="",$AS271=""),"",IF(AL$8&lt;$AQ271,"IKS",IF(AL$8&lt;$AS271,IF(AL$8=$AR271,"Bascule","Double run"),"ROKS"))))))</f>
        <v/>
      </c>
      <c r="AM271" s="51" t="str">
        <f aca="false">IF(OR($A271="",AM$8=""),"",IF($F271="Migré","ROKS",IF($F271="À décommissionner",IF(AM$8&lt;$AS271,"IKS","Décom."),IF(OR($AQ271="",$AS271=""),"",IF(AM$8&lt;$AQ271,"IKS",IF(AM$8&lt;$AS271,IF(AM$8=$AR271,"Bascule","Double run"),"ROKS"))))))</f>
        <v/>
      </c>
      <c r="AN271" s="51" t="str">
        <f aca="false">IF(OR($A271="",AN$8=""),"",IF($F271="Migré","ROKS",IF($F271="À décommissionner",IF(AN$8&lt;$AS271,"IKS","Décom."),IF(OR($AQ271="",$AS271=""),"",IF(AN$8&lt;$AQ271,"IKS",IF(AN$8&lt;$AS271,IF(AN$8=$AR271,"Bascule","Double run"),"ROKS"))))))</f>
        <v/>
      </c>
      <c r="AO271" s="51" t="str">
        <f aca="false">IF(OR($A271="",AO$8=""),"",IF($F271="Migré","ROKS",IF($F271="À décommissionner",IF(AO$8&lt;$AS271,"IKS","Décom."),IF(OR($AQ271="",$AS271=""),"",IF(AO$8&lt;$AQ271,"IKS",IF(AO$8&lt;$AS271,IF(AO$8=$AR271,"Bascule","Double run"),"ROKS"))))))</f>
        <v/>
      </c>
      <c r="AP271" s="51" t="str">
        <f aca="false">IF(OR($A271="",AP$8=""),"",IF($F271="Migré","ROKS",IF($F271="À décommissionner",IF(AP$8&lt;$AS271,"IKS","Décom."),IF(OR($AQ271="",$AS271=""),"",IF(AP$8&lt;$AQ271,"IKS",IF(AP$8&lt;$AS271,IF(AP$8=$AR271,"Bascule","Double run"),"ROKS"))))))</f>
        <v/>
      </c>
      <c r="AQ271" s="0" t="str">
        <f aca="false">IF($A271="","",INDEX(TblApplications[Mois prov (calc)],$A271))</f>
        <v/>
      </c>
      <c r="AR271" s="0" t="str">
        <f aca="false">IF($A271="","",IFERROR(DATE(YEAR(INDEX(TblApplications[Mois bascule],$A271)),MONTH(INDEX(TblApplications[Mois bascule],$A271)),1),""))</f>
        <v/>
      </c>
      <c r="AS271" s="0" t="str">
        <f aca="false">IF($A271="","",INDEX(TblApplications[Mois lib (calc)],$A271))</f>
        <v/>
      </c>
    </row>
    <row r="272" customFormat="false" ht="15" hidden="false" customHeight="false" outlineLevel="0" collapsed="false">
      <c r="A272" s="49" t="str">
        <f aca="false">IFERROR(MATCH(264,TblApplications[Rang frise],0),"")</f>
        <v/>
      </c>
      <c r="B272" s="50" t="str">
        <f aca="false">IF($A272="","",INDEX(TblApplications[ID],$A272))</f>
        <v/>
      </c>
      <c r="C272" s="50" t="str">
        <f aca="false">IF($A272="","",INDEX(TblApplications[Application],$A272))</f>
        <v/>
      </c>
      <c r="D272" s="50" t="str">
        <f aca="false">IF($A272="","",INDEX(TblApplications[Environnement],$A272))</f>
        <v/>
      </c>
      <c r="E272" s="50" t="str">
        <f aca="false">IF($A272="","",INDEX(TblApplications[Couloir],$A272))</f>
        <v/>
      </c>
      <c r="F272" s="50" t="str">
        <f aca="false">IF($A272="","",INDEX(TblApplications[Action],$A272))</f>
        <v/>
      </c>
      <c r="G272" s="51" t="str">
        <f aca="false">IF(OR($A272="",G$8=""),"",IF($F272="Migré","ROKS",IF($F272="À décommissionner",IF(G$8&lt;$AS272,"IKS","Décom."),IF(OR($AQ272="",$AS272=""),"",IF(G$8&lt;$AQ272,"IKS",IF(G$8&lt;$AS272,IF(G$8=$AR272,"Bascule","Double run"),"ROKS"))))))</f>
        <v/>
      </c>
      <c r="H272" s="51" t="str">
        <f aca="false">IF(OR($A272="",H$8=""),"",IF($F272="Migré","ROKS",IF($F272="À décommissionner",IF(H$8&lt;$AS272,"IKS","Décom."),IF(OR($AQ272="",$AS272=""),"",IF(H$8&lt;$AQ272,"IKS",IF(H$8&lt;$AS272,IF(H$8=$AR272,"Bascule","Double run"),"ROKS"))))))</f>
        <v/>
      </c>
      <c r="I272" s="51" t="str">
        <f aca="false">IF(OR($A272="",I$8=""),"",IF($F272="Migré","ROKS",IF($F272="À décommissionner",IF(I$8&lt;$AS272,"IKS","Décom."),IF(OR($AQ272="",$AS272=""),"",IF(I$8&lt;$AQ272,"IKS",IF(I$8&lt;$AS272,IF(I$8=$AR272,"Bascule","Double run"),"ROKS"))))))</f>
        <v/>
      </c>
      <c r="J272" s="51" t="str">
        <f aca="false">IF(OR($A272="",J$8=""),"",IF($F272="Migré","ROKS",IF($F272="À décommissionner",IF(J$8&lt;$AS272,"IKS","Décom."),IF(OR($AQ272="",$AS272=""),"",IF(J$8&lt;$AQ272,"IKS",IF(J$8&lt;$AS272,IF(J$8=$AR272,"Bascule","Double run"),"ROKS"))))))</f>
        <v/>
      </c>
      <c r="K272" s="51" t="str">
        <f aca="false">IF(OR($A272="",K$8=""),"",IF($F272="Migré","ROKS",IF($F272="À décommissionner",IF(K$8&lt;$AS272,"IKS","Décom."),IF(OR($AQ272="",$AS272=""),"",IF(K$8&lt;$AQ272,"IKS",IF(K$8&lt;$AS272,IF(K$8=$AR272,"Bascule","Double run"),"ROKS"))))))</f>
        <v/>
      </c>
      <c r="L272" s="51" t="str">
        <f aca="false">IF(OR($A272="",L$8=""),"",IF($F272="Migré","ROKS",IF($F272="À décommissionner",IF(L$8&lt;$AS272,"IKS","Décom."),IF(OR($AQ272="",$AS272=""),"",IF(L$8&lt;$AQ272,"IKS",IF(L$8&lt;$AS272,IF(L$8=$AR272,"Bascule","Double run"),"ROKS"))))))</f>
        <v/>
      </c>
      <c r="M272" s="51" t="str">
        <f aca="false">IF(OR($A272="",M$8=""),"",IF($F272="Migré","ROKS",IF($F272="À décommissionner",IF(M$8&lt;$AS272,"IKS","Décom."),IF(OR($AQ272="",$AS272=""),"",IF(M$8&lt;$AQ272,"IKS",IF(M$8&lt;$AS272,IF(M$8=$AR272,"Bascule","Double run"),"ROKS"))))))</f>
        <v/>
      </c>
      <c r="N272" s="51" t="str">
        <f aca="false">IF(OR($A272="",N$8=""),"",IF($F272="Migré","ROKS",IF($F272="À décommissionner",IF(N$8&lt;$AS272,"IKS","Décom."),IF(OR($AQ272="",$AS272=""),"",IF(N$8&lt;$AQ272,"IKS",IF(N$8&lt;$AS272,IF(N$8=$AR272,"Bascule","Double run"),"ROKS"))))))</f>
        <v/>
      </c>
      <c r="O272" s="51" t="str">
        <f aca="false">IF(OR($A272="",O$8=""),"",IF($F272="Migré","ROKS",IF($F272="À décommissionner",IF(O$8&lt;$AS272,"IKS","Décom."),IF(OR($AQ272="",$AS272=""),"",IF(O$8&lt;$AQ272,"IKS",IF(O$8&lt;$AS272,IF(O$8=$AR272,"Bascule","Double run"),"ROKS"))))))</f>
        <v/>
      </c>
      <c r="P272" s="51" t="str">
        <f aca="false">IF(OR($A272="",P$8=""),"",IF($F272="Migré","ROKS",IF($F272="À décommissionner",IF(P$8&lt;$AS272,"IKS","Décom."),IF(OR($AQ272="",$AS272=""),"",IF(P$8&lt;$AQ272,"IKS",IF(P$8&lt;$AS272,IF(P$8=$AR272,"Bascule","Double run"),"ROKS"))))))</f>
        <v/>
      </c>
      <c r="Q272" s="51" t="str">
        <f aca="false">IF(OR($A272="",Q$8=""),"",IF($F272="Migré","ROKS",IF($F272="À décommissionner",IF(Q$8&lt;$AS272,"IKS","Décom."),IF(OR($AQ272="",$AS272=""),"",IF(Q$8&lt;$AQ272,"IKS",IF(Q$8&lt;$AS272,IF(Q$8=$AR272,"Bascule","Double run"),"ROKS"))))))</f>
        <v/>
      </c>
      <c r="R272" s="51" t="str">
        <f aca="false">IF(OR($A272="",R$8=""),"",IF($F272="Migré","ROKS",IF($F272="À décommissionner",IF(R$8&lt;$AS272,"IKS","Décom."),IF(OR($AQ272="",$AS272=""),"",IF(R$8&lt;$AQ272,"IKS",IF(R$8&lt;$AS272,IF(R$8=$AR272,"Bascule","Double run"),"ROKS"))))))</f>
        <v/>
      </c>
      <c r="S272" s="51" t="str">
        <f aca="false">IF(OR($A272="",S$8=""),"",IF($F272="Migré","ROKS",IF($F272="À décommissionner",IF(S$8&lt;$AS272,"IKS","Décom."),IF(OR($AQ272="",$AS272=""),"",IF(S$8&lt;$AQ272,"IKS",IF(S$8&lt;$AS272,IF(S$8=$AR272,"Bascule","Double run"),"ROKS"))))))</f>
        <v/>
      </c>
      <c r="T272" s="51" t="str">
        <f aca="false">IF(OR($A272="",T$8=""),"",IF($F272="Migré","ROKS",IF($F272="À décommissionner",IF(T$8&lt;$AS272,"IKS","Décom."),IF(OR($AQ272="",$AS272=""),"",IF(T$8&lt;$AQ272,"IKS",IF(T$8&lt;$AS272,IF(T$8=$AR272,"Bascule","Double run"),"ROKS"))))))</f>
        <v/>
      </c>
      <c r="U272" s="51" t="str">
        <f aca="false">IF(OR($A272="",U$8=""),"",IF($F272="Migré","ROKS",IF($F272="À décommissionner",IF(U$8&lt;$AS272,"IKS","Décom."),IF(OR($AQ272="",$AS272=""),"",IF(U$8&lt;$AQ272,"IKS",IF(U$8&lt;$AS272,IF(U$8=$AR272,"Bascule","Double run"),"ROKS"))))))</f>
        <v/>
      </c>
      <c r="V272" s="51" t="str">
        <f aca="false">IF(OR($A272="",V$8=""),"",IF($F272="Migré","ROKS",IF($F272="À décommissionner",IF(V$8&lt;$AS272,"IKS","Décom."),IF(OR($AQ272="",$AS272=""),"",IF(V$8&lt;$AQ272,"IKS",IF(V$8&lt;$AS272,IF(V$8=$AR272,"Bascule","Double run"),"ROKS"))))))</f>
        <v/>
      </c>
      <c r="W272" s="51" t="str">
        <f aca="false">IF(OR($A272="",W$8=""),"",IF($F272="Migré","ROKS",IF($F272="À décommissionner",IF(W$8&lt;$AS272,"IKS","Décom."),IF(OR($AQ272="",$AS272=""),"",IF(W$8&lt;$AQ272,"IKS",IF(W$8&lt;$AS272,IF(W$8=$AR272,"Bascule","Double run"),"ROKS"))))))</f>
        <v/>
      </c>
      <c r="X272" s="51" t="str">
        <f aca="false">IF(OR($A272="",X$8=""),"",IF($F272="Migré","ROKS",IF($F272="À décommissionner",IF(X$8&lt;$AS272,"IKS","Décom."),IF(OR($AQ272="",$AS272=""),"",IF(X$8&lt;$AQ272,"IKS",IF(X$8&lt;$AS272,IF(X$8=$AR272,"Bascule","Double run"),"ROKS"))))))</f>
        <v/>
      </c>
      <c r="Y272" s="51" t="str">
        <f aca="false">IF(OR($A272="",Y$8=""),"",IF($F272="Migré","ROKS",IF($F272="À décommissionner",IF(Y$8&lt;$AS272,"IKS","Décom."),IF(OR($AQ272="",$AS272=""),"",IF(Y$8&lt;$AQ272,"IKS",IF(Y$8&lt;$AS272,IF(Y$8=$AR272,"Bascule","Double run"),"ROKS"))))))</f>
        <v/>
      </c>
      <c r="Z272" s="51" t="str">
        <f aca="false">IF(OR($A272="",Z$8=""),"",IF($F272="Migré","ROKS",IF($F272="À décommissionner",IF(Z$8&lt;$AS272,"IKS","Décom."),IF(OR($AQ272="",$AS272=""),"",IF(Z$8&lt;$AQ272,"IKS",IF(Z$8&lt;$AS272,IF(Z$8=$AR272,"Bascule","Double run"),"ROKS"))))))</f>
        <v/>
      </c>
      <c r="AA272" s="51" t="str">
        <f aca="false">IF(OR($A272="",AA$8=""),"",IF($F272="Migré","ROKS",IF($F272="À décommissionner",IF(AA$8&lt;$AS272,"IKS","Décom."),IF(OR($AQ272="",$AS272=""),"",IF(AA$8&lt;$AQ272,"IKS",IF(AA$8&lt;$AS272,IF(AA$8=$AR272,"Bascule","Double run"),"ROKS"))))))</f>
        <v/>
      </c>
      <c r="AB272" s="51" t="str">
        <f aca="false">IF(OR($A272="",AB$8=""),"",IF($F272="Migré","ROKS",IF($F272="À décommissionner",IF(AB$8&lt;$AS272,"IKS","Décom."),IF(OR($AQ272="",$AS272=""),"",IF(AB$8&lt;$AQ272,"IKS",IF(AB$8&lt;$AS272,IF(AB$8=$AR272,"Bascule","Double run"),"ROKS"))))))</f>
        <v/>
      </c>
      <c r="AC272" s="51" t="str">
        <f aca="false">IF(OR($A272="",AC$8=""),"",IF($F272="Migré","ROKS",IF($F272="À décommissionner",IF(AC$8&lt;$AS272,"IKS","Décom."),IF(OR($AQ272="",$AS272=""),"",IF(AC$8&lt;$AQ272,"IKS",IF(AC$8&lt;$AS272,IF(AC$8=$AR272,"Bascule","Double run"),"ROKS"))))))</f>
        <v/>
      </c>
      <c r="AD272" s="51" t="str">
        <f aca="false">IF(OR($A272="",AD$8=""),"",IF($F272="Migré","ROKS",IF($F272="À décommissionner",IF(AD$8&lt;$AS272,"IKS","Décom."),IF(OR($AQ272="",$AS272=""),"",IF(AD$8&lt;$AQ272,"IKS",IF(AD$8&lt;$AS272,IF(AD$8=$AR272,"Bascule","Double run"),"ROKS"))))))</f>
        <v/>
      </c>
      <c r="AE272" s="51" t="str">
        <f aca="false">IF(OR($A272="",AE$8=""),"",IF($F272="Migré","ROKS",IF($F272="À décommissionner",IF(AE$8&lt;$AS272,"IKS","Décom."),IF(OR($AQ272="",$AS272=""),"",IF(AE$8&lt;$AQ272,"IKS",IF(AE$8&lt;$AS272,IF(AE$8=$AR272,"Bascule","Double run"),"ROKS"))))))</f>
        <v/>
      </c>
      <c r="AF272" s="51" t="str">
        <f aca="false">IF(OR($A272="",AF$8=""),"",IF($F272="Migré","ROKS",IF($F272="À décommissionner",IF(AF$8&lt;$AS272,"IKS","Décom."),IF(OR($AQ272="",$AS272=""),"",IF(AF$8&lt;$AQ272,"IKS",IF(AF$8&lt;$AS272,IF(AF$8=$AR272,"Bascule","Double run"),"ROKS"))))))</f>
        <v/>
      </c>
      <c r="AG272" s="51" t="str">
        <f aca="false">IF(OR($A272="",AG$8=""),"",IF($F272="Migré","ROKS",IF($F272="À décommissionner",IF(AG$8&lt;$AS272,"IKS","Décom."),IF(OR($AQ272="",$AS272=""),"",IF(AG$8&lt;$AQ272,"IKS",IF(AG$8&lt;$AS272,IF(AG$8=$AR272,"Bascule","Double run"),"ROKS"))))))</f>
        <v/>
      </c>
      <c r="AH272" s="51" t="str">
        <f aca="false">IF(OR($A272="",AH$8=""),"",IF($F272="Migré","ROKS",IF($F272="À décommissionner",IF(AH$8&lt;$AS272,"IKS","Décom."),IF(OR($AQ272="",$AS272=""),"",IF(AH$8&lt;$AQ272,"IKS",IF(AH$8&lt;$AS272,IF(AH$8=$AR272,"Bascule","Double run"),"ROKS"))))))</f>
        <v/>
      </c>
      <c r="AI272" s="51" t="str">
        <f aca="false">IF(OR($A272="",AI$8=""),"",IF($F272="Migré","ROKS",IF($F272="À décommissionner",IF(AI$8&lt;$AS272,"IKS","Décom."),IF(OR($AQ272="",$AS272=""),"",IF(AI$8&lt;$AQ272,"IKS",IF(AI$8&lt;$AS272,IF(AI$8=$AR272,"Bascule","Double run"),"ROKS"))))))</f>
        <v/>
      </c>
      <c r="AJ272" s="51" t="str">
        <f aca="false">IF(OR($A272="",AJ$8=""),"",IF($F272="Migré","ROKS",IF($F272="À décommissionner",IF(AJ$8&lt;$AS272,"IKS","Décom."),IF(OR($AQ272="",$AS272=""),"",IF(AJ$8&lt;$AQ272,"IKS",IF(AJ$8&lt;$AS272,IF(AJ$8=$AR272,"Bascule","Double run"),"ROKS"))))))</f>
        <v/>
      </c>
      <c r="AK272" s="51" t="str">
        <f aca="false">IF(OR($A272="",AK$8=""),"",IF($F272="Migré","ROKS",IF($F272="À décommissionner",IF(AK$8&lt;$AS272,"IKS","Décom."),IF(OR($AQ272="",$AS272=""),"",IF(AK$8&lt;$AQ272,"IKS",IF(AK$8&lt;$AS272,IF(AK$8=$AR272,"Bascule","Double run"),"ROKS"))))))</f>
        <v/>
      </c>
      <c r="AL272" s="51" t="str">
        <f aca="false">IF(OR($A272="",AL$8=""),"",IF($F272="Migré","ROKS",IF($F272="À décommissionner",IF(AL$8&lt;$AS272,"IKS","Décom."),IF(OR($AQ272="",$AS272=""),"",IF(AL$8&lt;$AQ272,"IKS",IF(AL$8&lt;$AS272,IF(AL$8=$AR272,"Bascule","Double run"),"ROKS"))))))</f>
        <v/>
      </c>
      <c r="AM272" s="51" t="str">
        <f aca="false">IF(OR($A272="",AM$8=""),"",IF($F272="Migré","ROKS",IF($F272="À décommissionner",IF(AM$8&lt;$AS272,"IKS","Décom."),IF(OR($AQ272="",$AS272=""),"",IF(AM$8&lt;$AQ272,"IKS",IF(AM$8&lt;$AS272,IF(AM$8=$AR272,"Bascule","Double run"),"ROKS"))))))</f>
        <v/>
      </c>
      <c r="AN272" s="51" t="str">
        <f aca="false">IF(OR($A272="",AN$8=""),"",IF($F272="Migré","ROKS",IF($F272="À décommissionner",IF(AN$8&lt;$AS272,"IKS","Décom."),IF(OR($AQ272="",$AS272=""),"",IF(AN$8&lt;$AQ272,"IKS",IF(AN$8&lt;$AS272,IF(AN$8=$AR272,"Bascule","Double run"),"ROKS"))))))</f>
        <v/>
      </c>
      <c r="AO272" s="51" t="str">
        <f aca="false">IF(OR($A272="",AO$8=""),"",IF($F272="Migré","ROKS",IF($F272="À décommissionner",IF(AO$8&lt;$AS272,"IKS","Décom."),IF(OR($AQ272="",$AS272=""),"",IF(AO$8&lt;$AQ272,"IKS",IF(AO$8&lt;$AS272,IF(AO$8=$AR272,"Bascule","Double run"),"ROKS"))))))</f>
        <v/>
      </c>
      <c r="AP272" s="51" t="str">
        <f aca="false">IF(OR($A272="",AP$8=""),"",IF($F272="Migré","ROKS",IF($F272="À décommissionner",IF(AP$8&lt;$AS272,"IKS","Décom."),IF(OR($AQ272="",$AS272=""),"",IF(AP$8&lt;$AQ272,"IKS",IF(AP$8&lt;$AS272,IF(AP$8=$AR272,"Bascule","Double run"),"ROKS"))))))</f>
        <v/>
      </c>
      <c r="AQ272" s="0" t="str">
        <f aca="false">IF($A272="","",INDEX(TblApplications[Mois prov (calc)],$A272))</f>
        <v/>
      </c>
      <c r="AR272" s="0" t="str">
        <f aca="false">IF($A272="","",IFERROR(DATE(YEAR(INDEX(TblApplications[Mois bascule],$A272)),MONTH(INDEX(TblApplications[Mois bascule],$A272)),1),""))</f>
        <v/>
      </c>
      <c r="AS272" s="0" t="str">
        <f aca="false">IF($A272="","",INDEX(TblApplications[Mois lib (calc)],$A272))</f>
        <v/>
      </c>
    </row>
    <row r="273" customFormat="false" ht="15" hidden="false" customHeight="false" outlineLevel="0" collapsed="false">
      <c r="A273" s="49" t="str">
        <f aca="false">IFERROR(MATCH(265,TblApplications[Rang frise],0),"")</f>
        <v/>
      </c>
      <c r="B273" s="50" t="str">
        <f aca="false">IF($A273="","",INDEX(TblApplications[ID],$A273))</f>
        <v/>
      </c>
      <c r="C273" s="50" t="str">
        <f aca="false">IF($A273="","",INDEX(TblApplications[Application],$A273))</f>
        <v/>
      </c>
      <c r="D273" s="50" t="str">
        <f aca="false">IF($A273="","",INDEX(TblApplications[Environnement],$A273))</f>
        <v/>
      </c>
      <c r="E273" s="50" t="str">
        <f aca="false">IF($A273="","",INDEX(TblApplications[Couloir],$A273))</f>
        <v/>
      </c>
      <c r="F273" s="50" t="str">
        <f aca="false">IF($A273="","",INDEX(TblApplications[Action],$A273))</f>
        <v/>
      </c>
      <c r="G273" s="51" t="str">
        <f aca="false">IF(OR($A273="",G$8=""),"",IF($F273="Migré","ROKS",IF($F273="À décommissionner",IF(G$8&lt;$AS273,"IKS","Décom."),IF(OR($AQ273="",$AS273=""),"",IF(G$8&lt;$AQ273,"IKS",IF(G$8&lt;$AS273,IF(G$8=$AR273,"Bascule","Double run"),"ROKS"))))))</f>
        <v/>
      </c>
      <c r="H273" s="51" t="str">
        <f aca="false">IF(OR($A273="",H$8=""),"",IF($F273="Migré","ROKS",IF($F273="À décommissionner",IF(H$8&lt;$AS273,"IKS","Décom."),IF(OR($AQ273="",$AS273=""),"",IF(H$8&lt;$AQ273,"IKS",IF(H$8&lt;$AS273,IF(H$8=$AR273,"Bascule","Double run"),"ROKS"))))))</f>
        <v/>
      </c>
      <c r="I273" s="51" t="str">
        <f aca="false">IF(OR($A273="",I$8=""),"",IF($F273="Migré","ROKS",IF($F273="À décommissionner",IF(I$8&lt;$AS273,"IKS","Décom."),IF(OR($AQ273="",$AS273=""),"",IF(I$8&lt;$AQ273,"IKS",IF(I$8&lt;$AS273,IF(I$8=$AR273,"Bascule","Double run"),"ROKS"))))))</f>
        <v/>
      </c>
      <c r="J273" s="51" t="str">
        <f aca="false">IF(OR($A273="",J$8=""),"",IF($F273="Migré","ROKS",IF($F273="À décommissionner",IF(J$8&lt;$AS273,"IKS","Décom."),IF(OR($AQ273="",$AS273=""),"",IF(J$8&lt;$AQ273,"IKS",IF(J$8&lt;$AS273,IF(J$8=$AR273,"Bascule","Double run"),"ROKS"))))))</f>
        <v/>
      </c>
      <c r="K273" s="51" t="str">
        <f aca="false">IF(OR($A273="",K$8=""),"",IF($F273="Migré","ROKS",IF($F273="À décommissionner",IF(K$8&lt;$AS273,"IKS","Décom."),IF(OR($AQ273="",$AS273=""),"",IF(K$8&lt;$AQ273,"IKS",IF(K$8&lt;$AS273,IF(K$8=$AR273,"Bascule","Double run"),"ROKS"))))))</f>
        <v/>
      </c>
      <c r="L273" s="51" t="str">
        <f aca="false">IF(OR($A273="",L$8=""),"",IF($F273="Migré","ROKS",IF($F273="À décommissionner",IF(L$8&lt;$AS273,"IKS","Décom."),IF(OR($AQ273="",$AS273=""),"",IF(L$8&lt;$AQ273,"IKS",IF(L$8&lt;$AS273,IF(L$8=$AR273,"Bascule","Double run"),"ROKS"))))))</f>
        <v/>
      </c>
      <c r="M273" s="51" t="str">
        <f aca="false">IF(OR($A273="",M$8=""),"",IF($F273="Migré","ROKS",IF($F273="À décommissionner",IF(M$8&lt;$AS273,"IKS","Décom."),IF(OR($AQ273="",$AS273=""),"",IF(M$8&lt;$AQ273,"IKS",IF(M$8&lt;$AS273,IF(M$8=$AR273,"Bascule","Double run"),"ROKS"))))))</f>
        <v/>
      </c>
      <c r="N273" s="51" t="str">
        <f aca="false">IF(OR($A273="",N$8=""),"",IF($F273="Migré","ROKS",IF($F273="À décommissionner",IF(N$8&lt;$AS273,"IKS","Décom."),IF(OR($AQ273="",$AS273=""),"",IF(N$8&lt;$AQ273,"IKS",IF(N$8&lt;$AS273,IF(N$8=$AR273,"Bascule","Double run"),"ROKS"))))))</f>
        <v/>
      </c>
      <c r="O273" s="51" t="str">
        <f aca="false">IF(OR($A273="",O$8=""),"",IF($F273="Migré","ROKS",IF($F273="À décommissionner",IF(O$8&lt;$AS273,"IKS","Décom."),IF(OR($AQ273="",$AS273=""),"",IF(O$8&lt;$AQ273,"IKS",IF(O$8&lt;$AS273,IF(O$8=$AR273,"Bascule","Double run"),"ROKS"))))))</f>
        <v/>
      </c>
      <c r="P273" s="51" t="str">
        <f aca="false">IF(OR($A273="",P$8=""),"",IF($F273="Migré","ROKS",IF($F273="À décommissionner",IF(P$8&lt;$AS273,"IKS","Décom."),IF(OR($AQ273="",$AS273=""),"",IF(P$8&lt;$AQ273,"IKS",IF(P$8&lt;$AS273,IF(P$8=$AR273,"Bascule","Double run"),"ROKS"))))))</f>
        <v/>
      </c>
      <c r="Q273" s="51" t="str">
        <f aca="false">IF(OR($A273="",Q$8=""),"",IF($F273="Migré","ROKS",IF($F273="À décommissionner",IF(Q$8&lt;$AS273,"IKS","Décom."),IF(OR($AQ273="",$AS273=""),"",IF(Q$8&lt;$AQ273,"IKS",IF(Q$8&lt;$AS273,IF(Q$8=$AR273,"Bascule","Double run"),"ROKS"))))))</f>
        <v/>
      </c>
      <c r="R273" s="51" t="str">
        <f aca="false">IF(OR($A273="",R$8=""),"",IF($F273="Migré","ROKS",IF($F273="À décommissionner",IF(R$8&lt;$AS273,"IKS","Décom."),IF(OR($AQ273="",$AS273=""),"",IF(R$8&lt;$AQ273,"IKS",IF(R$8&lt;$AS273,IF(R$8=$AR273,"Bascule","Double run"),"ROKS"))))))</f>
        <v/>
      </c>
      <c r="S273" s="51" t="str">
        <f aca="false">IF(OR($A273="",S$8=""),"",IF($F273="Migré","ROKS",IF($F273="À décommissionner",IF(S$8&lt;$AS273,"IKS","Décom."),IF(OR($AQ273="",$AS273=""),"",IF(S$8&lt;$AQ273,"IKS",IF(S$8&lt;$AS273,IF(S$8=$AR273,"Bascule","Double run"),"ROKS"))))))</f>
        <v/>
      </c>
      <c r="T273" s="51" t="str">
        <f aca="false">IF(OR($A273="",T$8=""),"",IF($F273="Migré","ROKS",IF($F273="À décommissionner",IF(T$8&lt;$AS273,"IKS","Décom."),IF(OR($AQ273="",$AS273=""),"",IF(T$8&lt;$AQ273,"IKS",IF(T$8&lt;$AS273,IF(T$8=$AR273,"Bascule","Double run"),"ROKS"))))))</f>
        <v/>
      </c>
      <c r="U273" s="51" t="str">
        <f aca="false">IF(OR($A273="",U$8=""),"",IF($F273="Migré","ROKS",IF($F273="À décommissionner",IF(U$8&lt;$AS273,"IKS","Décom."),IF(OR($AQ273="",$AS273=""),"",IF(U$8&lt;$AQ273,"IKS",IF(U$8&lt;$AS273,IF(U$8=$AR273,"Bascule","Double run"),"ROKS"))))))</f>
        <v/>
      </c>
      <c r="V273" s="51" t="str">
        <f aca="false">IF(OR($A273="",V$8=""),"",IF($F273="Migré","ROKS",IF($F273="À décommissionner",IF(V$8&lt;$AS273,"IKS","Décom."),IF(OR($AQ273="",$AS273=""),"",IF(V$8&lt;$AQ273,"IKS",IF(V$8&lt;$AS273,IF(V$8=$AR273,"Bascule","Double run"),"ROKS"))))))</f>
        <v/>
      </c>
      <c r="W273" s="51" t="str">
        <f aca="false">IF(OR($A273="",W$8=""),"",IF($F273="Migré","ROKS",IF($F273="À décommissionner",IF(W$8&lt;$AS273,"IKS","Décom."),IF(OR($AQ273="",$AS273=""),"",IF(W$8&lt;$AQ273,"IKS",IF(W$8&lt;$AS273,IF(W$8=$AR273,"Bascule","Double run"),"ROKS"))))))</f>
        <v/>
      </c>
      <c r="X273" s="51" t="str">
        <f aca="false">IF(OR($A273="",X$8=""),"",IF($F273="Migré","ROKS",IF($F273="À décommissionner",IF(X$8&lt;$AS273,"IKS","Décom."),IF(OR($AQ273="",$AS273=""),"",IF(X$8&lt;$AQ273,"IKS",IF(X$8&lt;$AS273,IF(X$8=$AR273,"Bascule","Double run"),"ROKS"))))))</f>
        <v/>
      </c>
      <c r="Y273" s="51" t="str">
        <f aca="false">IF(OR($A273="",Y$8=""),"",IF($F273="Migré","ROKS",IF($F273="À décommissionner",IF(Y$8&lt;$AS273,"IKS","Décom."),IF(OR($AQ273="",$AS273=""),"",IF(Y$8&lt;$AQ273,"IKS",IF(Y$8&lt;$AS273,IF(Y$8=$AR273,"Bascule","Double run"),"ROKS"))))))</f>
        <v/>
      </c>
      <c r="Z273" s="51" t="str">
        <f aca="false">IF(OR($A273="",Z$8=""),"",IF($F273="Migré","ROKS",IF($F273="À décommissionner",IF(Z$8&lt;$AS273,"IKS","Décom."),IF(OR($AQ273="",$AS273=""),"",IF(Z$8&lt;$AQ273,"IKS",IF(Z$8&lt;$AS273,IF(Z$8=$AR273,"Bascule","Double run"),"ROKS"))))))</f>
        <v/>
      </c>
      <c r="AA273" s="51" t="str">
        <f aca="false">IF(OR($A273="",AA$8=""),"",IF($F273="Migré","ROKS",IF($F273="À décommissionner",IF(AA$8&lt;$AS273,"IKS","Décom."),IF(OR($AQ273="",$AS273=""),"",IF(AA$8&lt;$AQ273,"IKS",IF(AA$8&lt;$AS273,IF(AA$8=$AR273,"Bascule","Double run"),"ROKS"))))))</f>
        <v/>
      </c>
      <c r="AB273" s="51" t="str">
        <f aca="false">IF(OR($A273="",AB$8=""),"",IF($F273="Migré","ROKS",IF($F273="À décommissionner",IF(AB$8&lt;$AS273,"IKS","Décom."),IF(OR($AQ273="",$AS273=""),"",IF(AB$8&lt;$AQ273,"IKS",IF(AB$8&lt;$AS273,IF(AB$8=$AR273,"Bascule","Double run"),"ROKS"))))))</f>
        <v/>
      </c>
      <c r="AC273" s="51" t="str">
        <f aca="false">IF(OR($A273="",AC$8=""),"",IF($F273="Migré","ROKS",IF($F273="À décommissionner",IF(AC$8&lt;$AS273,"IKS","Décom."),IF(OR($AQ273="",$AS273=""),"",IF(AC$8&lt;$AQ273,"IKS",IF(AC$8&lt;$AS273,IF(AC$8=$AR273,"Bascule","Double run"),"ROKS"))))))</f>
        <v/>
      </c>
      <c r="AD273" s="51" t="str">
        <f aca="false">IF(OR($A273="",AD$8=""),"",IF($F273="Migré","ROKS",IF($F273="À décommissionner",IF(AD$8&lt;$AS273,"IKS","Décom."),IF(OR($AQ273="",$AS273=""),"",IF(AD$8&lt;$AQ273,"IKS",IF(AD$8&lt;$AS273,IF(AD$8=$AR273,"Bascule","Double run"),"ROKS"))))))</f>
        <v/>
      </c>
      <c r="AE273" s="51" t="str">
        <f aca="false">IF(OR($A273="",AE$8=""),"",IF($F273="Migré","ROKS",IF($F273="À décommissionner",IF(AE$8&lt;$AS273,"IKS","Décom."),IF(OR($AQ273="",$AS273=""),"",IF(AE$8&lt;$AQ273,"IKS",IF(AE$8&lt;$AS273,IF(AE$8=$AR273,"Bascule","Double run"),"ROKS"))))))</f>
        <v/>
      </c>
      <c r="AF273" s="51" t="str">
        <f aca="false">IF(OR($A273="",AF$8=""),"",IF($F273="Migré","ROKS",IF($F273="À décommissionner",IF(AF$8&lt;$AS273,"IKS","Décom."),IF(OR($AQ273="",$AS273=""),"",IF(AF$8&lt;$AQ273,"IKS",IF(AF$8&lt;$AS273,IF(AF$8=$AR273,"Bascule","Double run"),"ROKS"))))))</f>
        <v/>
      </c>
      <c r="AG273" s="51" t="str">
        <f aca="false">IF(OR($A273="",AG$8=""),"",IF($F273="Migré","ROKS",IF($F273="À décommissionner",IF(AG$8&lt;$AS273,"IKS","Décom."),IF(OR($AQ273="",$AS273=""),"",IF(AG$8&lt;$AQ273,"IKS",IF(AG$8&lt;$AS273,IF(AG$8=$AR273,"Bascule","Double run"),"ROKS"))))))</f>
        <v/>
      </c>
      <c r="AH273" s="51" t="str">
        <f aca="false">IF(OR($A273="",AH$8=""),"",IF($F273="Migré","ROKS",IF($F273="À décommissionner",IF(AH$8&lt;$AS273,"IKS","Décom."),IF(OR($AQ273="",$AS273=""),"",IF(AH$8&lt;$AQ273,"IKS",IF(AH$8&lt;$AS273,IF(AH$8=$AR273,"Bascule","Double run"),"ROKS"))))))</f>
        <v/>
      </c>
      <c r="AI273" s="51" t="str">
        <f aca="false">IF(OR($A273="",AI$8=""),"",IF($F273="Migré","ROKS",IF($F273="À décommissionner",IF(AI$8&lt;$AS273,"IKS","Décom."),IF(OR($AQ273="",$AS273=""),"",IF(AI$8&lt;$AQ273,"IKS",IF(AI$8&lt;$AS273,IF(AI$8=$AR273,"Bascule","Double run"),"ROKS"))))))</f>
        <v/>
      </c>
      <c r="AJ273" s="51" t="str">
        <f aca="false">IF(OR($A273="",AJ$8=""),"",IF($F273="Migré","ROKS",IF($F273="À décommissionner",IF(AJ$8&lt;$AS273,"IKS","Décom."),IF(OR($AQ273="",$AS273=""),"",IF(AJ$8&lt;$AQ273,"IKS",IF(AJ$8&lt;$AS273,IF(AJ$8=$AR273,"Bascule","Double run"),"ROKS"))))))</f>
        <v/>
      </c>
      <c r="AK273" s="51" t="str">
        <f aca="false">IF(OR($A273="",AK$8=""),"",IF($F273="Migré","ROKS",IF($F273="À décommissionner",IF(AK$8&lt;$AS273,"IKS","Décom."),IF(OR($AQ273="",$AS273=""),"",IF(AK$8&lt;$AQ273,"IKS",IF(AK$8&lt;$AS273,IF(AK$8=$AR273,"Bascule","Double run"),"ROKS"))))))</f>
        <v/>
      </c>
      <c r="AL273" s="51" t="str">
        <f aca="false">IF(OR($A273="",AL$8=""),"",IF($F273="Migré","ROKS",IF($F273="À décommissionner",IF(AL$8&lt;$AS273,"IKS","Décom."),IF(OR($AQ273="",$AS273=""),"",IF(AL$8&lt;$AQ273,"IKS",IF(AL$8&lt;$AS273,IF(AL$8=$AR273,"Bascule","Double run"),"ROKS"))))))</f>
        <v/>
      </c>
      <c r="AM273" s="51" t="str">
        <f aca="false">IF(OR($A273="",AM$8=""),"",IF($F273="Migré","ROKS",IF($F273="À décommissionner",IF(AM$8&lt;$AS273,"IKS","Décom."),IF(OR($AQ273="",$AS273=""),"",IF(AM$8&lt;$AQ273,"IKS",IF(AM$8&lt;$AS273,IF(AM$8=$AR273,"Bascule","Double run"),"ROKS"))))))</f>
        <v/>
      </c>
      <c r="AN273" s="51" t="str">
        <f aca="false">IF(OR($A273="",AN$8=""),"",IF($F273="Migré","ROKS",IF($F273="À décommissionner",IF(AN$8&lt;$AS273,"IKS","Décom."),IF(OR($AQ273="",$AS273=""),"",IF(AN$8&lt;$AQ273,"IKS",IF(AN$8&lt;$AS273,IF(AN$8=$AR273,"Bascule","Double run"),"ROKS"))))))</f>
        <v/>
      </c>
      <c r="AO273" s="51" t="str">
        <f aca="false">IF(OR($A273="",AO$8=""),"",IF($F273="Migré","ROKS",IF($F273="À décommissionner",IF(AO$8&lt;$AS273,"IKS","Décom."),IF(OR($AQ273="",$AS273=""),"",IF(AO$8&lt;$AQ273,"IKS",IF(AO$8&lt;$AS273,IF(AO$8=$AR273,"Bascule","Double run"),"ROKS"))))))</f>
        <v/>
      </c>
      <c r="AP273" s="51" t="str">
        <f aca="false">IF(OR($A273="",AP$8=""),"",IF($F273="Migré","ROKS",IF($F273="À décommissionner",IF(AP$8&lt;$AS273,"IKS","Décom."),IF(OR($AQ273="",$AS273=""),"",IF(AP$8&lt;$AQ273,"IKS",IF(AP$8&lt;$AS273,IF(AP$8=$AR273,"Bascule","Double run"),"ROKS"))))))</f>
        <v/>
      </c>
      <c r="AQ273" s="0" t="str">
        <f aca="false">IF($A273="","",INDEX(TblApplications[Mois prov (calc)],$A273))</f>
        <v/>
      </c>
      <c r="AR273" s="0" t="str">
        <f aca="false">IF($A273="","",IFERROR(DATE(YEAR(INDEX(TblApplications[Mois bascule],$A273)),MONTH(INDEX(TblApplications[Mois bascule],$A273)),1),""))</f>
        <v/>
      </c>
      <c r="AS273" s="0" t="str">
        <f aca="false">IF($A273="","",INDEX(TblApplications[Mois lib (calc)],$A273))</f>
        <v/>
      </c>
    </row>
    <row r="274" customFormat="false" ht="15" hidden="false" customHeight="false" outlineLevel="0" collapsed="false">
      <c r="A274" s="49" t="str">
        <f aca="false">IFERROR(MATCH(266,TblApplications[Rang frise],0),"")</f>
        <v/>
      </c>
      <c r="B274" s="50" t="str">
        <f aca="false">IF($A274="","",INDEX(TblApplications[ID],$A274))</f>
        <v/>
      </c>
      <c r="C274" s="50" t="str">
        <f aca="false">IF($A274="","",INDEX(TblApplications[Application],$A274))</f>
        <v/>
      </c>
      <c r="D274" s="50" t="str">
        <f aca="false">IF($A274="","",INDEX(TblApplications[Environnement],$A274))</f>
        <v/>
      </c>
      <c r="E274" s="50" t="str">
        <f aca="false">IF($A274="","",INDEX(TblApplications[Couloir],$A274))</f>
        <v/>
      </c>
      <c r="F274" s="50" t="str">
        <f aca="false">IF($A274="","",INDEX(TblApplications[Action],$A274))</f>
        <v/>
      </c>
      <c r="G274" s="51" t="str">
        <f aca="false">IF(OR($A274="",G$8=""),"",IF($F274="Migré","ROKS",IF($F274="À décommissionner",IF(G$8&lt;$AS274,"IKS","Décom."),IF(OR($AQ274="",$AS274=""),"",IF(G$8&lt;$AQ274,"IKS",IF(G$8&lt;$AS274,IF(G$8=$AR274,"Bascule","Double run"),"ROKS"))))))</f>
        <v/>
      </c>
      <c r="H274" s="51" t="str">
        <f aca="false">IF(OR($A274="",H$8=""),"",IF($F274="Migré","ROKS",IF($F274="À décommissionner",IF(H$8&lt;$AS274,"IKS","Décom."),IF(OR($AQ274="",$AS274=""),"",IF(H$8&lt;$AQ274,"IKS",IF(H$8&lt;$AS274,IF(H$8=$AR274,"Bascule","Double run"),"ROKS"))))))</f>
        <v/>
      </c>
      <c r="I274" s="51" t="str">
        <f aca="false">IF(OR($A274="",I$8=""),"",IF($F274="Migré","ROKS",IF($F274="À décommissionner",IF(I$8&lt;$AS274,"IKS","Décom."),IF(OR($AQ274="",$AS274=""),"",IF(I$8&lt;$AQ274,"IKS",IF(I$8&lt;$AS274,IF(I$8=$AR274,"Bascule","Double run"),"ROKS"))))))</f>
        <v/>
      </c>
      <c r="J274" s="51" t="str">
        <f aca="false">IF(OR($A274="",J$8=""),"",IF($F274="Migré","ROKS",IF($F274="À décommissionner",IF(J$8&lt;$AS274,"IKS","Décom."),IF(OR($AQ274="",$AS274=""),"",IF(J$8&lt;$AQ274,"IKS",IF(J$8&lt;$AS274,IF(J$8=$AR274,"Bascule","Double run"),"ROKS"))))))</f>
        <v/>
      </c>
      <c r="K274" s="51" t="str">
        <f aca="false">IF(OR($A274="",K$8=""),"",IF($F274="Migré","ROKS",IF($F274="À décommissionner",IF(K$8&lt;$AS274,"IKS","Décom."),IF(OR($AQ274="",$AS274=""),"",IF(K$8&lt;$AQ274,"IKS",IF(K$8&lt;$AS274,IF(K$8=$AR274,"Bascule","Double run"),"ROKS"))))))</f>
        <v/>
      </c>
      <c r="L274" s="51" t="str">
        <f aca="false">IF(OR($A274="",L$8=""),"",IF($F274="Migré","ROKS",IF($F274="À décommissionner",IF(L$8&lt;$AS274,"IKS","Décom."),IF(OR($AQ274="",$AS274=""),"",IF(L$8&lt;$AQ274,"IKS",IF(L$8&lt;$AS274,IF(L$8=$AR274,"Bascule","Double run"),"ROKS"))))))</f>
        <v/>
      </c>
      <c r="M274" s="51" t="str">
        <f aca="false">IF(OR($A274="",M$8=""),"",IF($F274="Migré","ROKS",IF($F274="À décommissionner",IF(M$8&lt;$AS274,"IKS","Décom."),IF(OR($AQ274="",$AS274=""),"",IF(M$8&lt;$AQ274,"IKS",IF(M$8&lt;$AS274,IF(M$8=$AR274,"Bascule","Double run"),"ROKS"))))))</f>
        <v/>
      </c>
      <c r="N274" s="51" t="str">
        <f aca="false">IF(OR($A274="",N$8=""),"",IF($F274="Migré","ROKS",IF($F274="À décommissionner",IF(N$8&lt;$AS274,"IKS","Décom."),IF(OR($AQ274="",$AS274=""),"",IF(N$8&lt;$AQ274,"IKS",IF(N$8&lt;$AS274,IF(N$8=$AR274,"Bascule","Double run"),"ROKS"))))))</f>
        <v/>
      </c>
      <c r="O274" s="51" t="str">
        <f aca="false">IF(OR($A274="",O$8=""),"",IF($F274="Migré","ROKS",IF($F274="À décommissionner",IF(O$8&lt;$AS274,"IKS","Décom."),IF(OR($AQ274="",$AS274=""),"",IF(O$8&lt;$AQ274,"IKS",IF(O$8&lt;$AS274,IF(O$8=$AR274,"Bascule","Double run"),"ROKS"))))))</f>
        <v/>
      </c>
      <c r="P274" s="51" t="str">
        <f aca="false">IF(OR($A274="",P$8=""),"",IF($F274="Migré","ROKS",IF($F274="À décommissionner",IF(P$8&lt;$AS274,"IKS","Décom."),IF(OR($AQ274="",$AS274=""),"",IF(P$8&lt;$AQ274,"IKS",IF(P$8&lt;$AS274,IF(P$8=$AR274,"Bascule","Double run"),"ROKS"))))))</f>
        <v/>
      </c>
      <c r="Q274" s="51" t="str">
        <f aca="false">IF(OR($A274="",Q$8=""),"",IF($F274="Migré","ROKS",IF($F274="À décommissionner",IF(Q$8&lt;$AS274,"IKS","Décom."),IF(OR($AQ274="",$AS274=""),"",IF(Q$8&lt;$AQ274,"IKS",IF(Q$8&lt;$AS274,IF(Q$8=$AR274,"Bascule","Double run"),"ROKS"))))))</f>
        <v/>
      </c>
      <c r="R274" s="51" t="str">
        <f aca="false">IF(OR($A274="",R$8=""),"",IF($F274="Migré","ROKS",IF($F274="À décommissionner",IF(R$8&lt;$AS274,"IKS","Décom."),IF(OR($AQ274="",$AS274=""),"",IF(R$8&lt;$AQ274,"IKS",IF(R$8&lt;$AS274,IF(R$8=$AR274,"Bascule","Double run"),"ROKS"))))))</f>
        <v/>
      </c>
      <c r="S274" s="51" t="str">
        <f aca="false">IF(OR($A274="",S$8=""),"",IF($F274="Migré","ROKS",IF($F274="À décommissionner",IF(S$8&lt;$AS274,"IKS","Décom."),IF(OR($AQ274="",$AS274=""),"",IF(S$8&lt;$AQ274,"IKS",IF(S$8&lt;$AS274,IF(S$8=$AR274,"Bascule","Double run"),"ROKS"))))))</f>
        <v/>
      </c>
      <c r="T274" s="51" t="str">
        <f aca="false">IF(OR($A274="",T$8=""),"",IF($F274="Migré","ROKS",IF($F274="À décommissionner",IF(T$8&lt;$AS274,"IKS","Décom."),IF(OR($AQ274="",$AS274=""),"",IF(T$8&lt;$AQ274,"IKS",IF(T$8&lt;$AS274,IF(T$8=$AR274,"Bascule","Double run"),"ROKS"))))))</f>
        <v/>
      </c>
      <c r="U274" s="51" t="str">
        <f aca="false">IF(OR($A274="",U$8=""),"",IF($F274="Migré","ROKS",IF($F274="À décommissionner",IF(U$8&lt;$AS274,"IKS","Décom."),IF(OR($AQ274="",$AS274=""),"",IF(U$8&lt;$AQ274,"IKS",IF(U$8&lt;$AS274,IF(U$8=$AR274,"Bascule","Double run"),"ROKS"))))))</f>
        <v/>
      </c>
      <c r="V274" s="51" t="str">
        <f aca="false">IF(OR($A274="",V$8=""),"",IF($F274="Migré","ROKS",IF($F274="À décommissionner",IF(V$8&lt;$AS274,"IKS","Décom."),IF(OR($AQ274="",$AS274=""),"",IF(V$8&lt;$AQ274,"IKS",IF(V$8&lt;$AS274,IF(V$8=$AR274,"Bascule","Double run"),"ROKS"))))))</f>
        <v/>
      </c>
      <c r="W274" s="51" t="str">
        <f aca="false">IF(OR($A274="",W$8=""),"",IF($F274="Migré","ROKS",IF($F274="À décommissionner",IF(W$8&lt;$AS274,"IKS","Décom."),IF(OR($AQ274="",$AS274=""),"",IF(W$8&lt;$AQ274,"IKS",IF(W$8&lt;$AS274,IF(W$8=$AR274,"Bascule","Double run"),"ROKS"))))))</f>
        <v/>
      </c>
      <c r="X274" s="51" t="str">
        <f aca="false">IF(OR($A274="",X$8=""),"",IF($F274="Migré","ROKS",IF($F274="À décommissionner",IF(X$8&lt;$AS274,"IKS","Décom."),IF(OR($AQ274="",$AS274=""),"",IF(X$8&lt;$AQ274,"IKS",IF(X$8&lt;$AS274,IF(X$8=$AR274,"Bascule","Double run"),"ROKS"))))))</f>
        <v/>
      </c>
      <c r="Y274" s="51" t="str">
        <f aca="false">IF(OR($A274="",Y$8=""),"",IF($F274="Migré","ROKS",IF($F274="À décommissionner",IF(Y$8&lt;$AS274,"IKS","Décom."),IF(OR($AQ274="",$AS274=""),"",IF(Y$8&lt;$AQ274,"IKS",IF(Y$8&lt;$AS274,IF(Y$8=$AR274,"Bascule","Double run"),"ROKS"))))))</f>
        <v/>
      </c>
      <c r="Z274" s="51" t="str">
        <f aca="false">IF(OR($A274="",Z$8=""),"",IF($F274="Migré","ROKS",IF($F274="À décommissionner",IF(Z$8&lt;$AS274,"IKS","Décom."),IF(OR($AQ274="",$AS274=""),"",IF(Z$8&lt;$AQ274,"IKS",IF(Z$8&lt;$AS274,IF(Z$8=$AR274,"Bascule","Double run"),"ROKS"))))))</f>
        <v/>
      </c>
      <c r="AA274" s="51" t="str">
        <f aca="false">IF(OR($A274="",AA$8=""),"",IF($F274="Migré","ROKS",IF($F274="À décommissionner",IF(AA$8&lt;$AS274,"IKS","Décom."),IF(OR($AQ274="",$AS274=""),"",IF(AA$8&lt;$AQ274,"IKS",IF(AA$8&lt;$AS274,IF(AA$8=$AR274,"Bascule","Double run"),"ROKS"))))))</f>
        <v/>
      </c>
      <c r="AB274" s="51" t="str">
        <f aca="false">IF(OR($A274="",AB$8=""),"",IF($F274="Migré","ROKS",IF($F274="À décommissionner",IF(AB$8&lt;$AS274,"IKS","Décom."),IF(OR($AQ274="",$AS274=""),"",IF(AB$8&lt;$AQ274,"IKS",IF(AB$8&lt;$AS274,IF(AB$8=$AR274,"Bascule","Double run"),"ROKS"))))))</f>
        <v/>
      </c>
      <c r="AC274" s="51" t="str">
        <f aca="false">IF(OR($A274="",AC$8=""),"",IF($F274="Migré","ROKS",IF($F274="À décommissionner",IF(AC$8&lt;$AS274,"IKS","Décom."),IF(OR($AQ274="",$AS274=""),"",IF(AC$8&lt;$AQ274,"IKS",IF(AC$8&lt;$AS274,IF(AC$8=$AR274,"Bascule","Double run"),"ROKS"))))))</f>
        <v/>
      </c>
      <c r="AD274" s="51" t="str">
        <f aca="false">IF(OR($A274="",AD$8=""),"",IF($F274="Migré","ROKS",IF($F274="À décommissionner",IF(AD$8&lt;$AS274,"IKS","Décom."),IF(OR($AQ274="",$AS274=""),"",IF(AD$8&lt;$AQ274,"IKS",IF(AD$8&lt;$AS274,IF(AD$8=$AR274,"Bascule","Double run"),"ROKS"))))))</f>
        <v/>
      </c>
      <c r="AE274" s="51" t="str">
        <f aca="false">IF(OR($A274="",AE$8=""),"",IF($F274="Migré","ROKS",IF($F274="À décommissionner",IF(AE$8&lt;$AS274,"IKS","Décom."),IF(OR($AQ274="",$AS274=""),"",IF(AE$8&lt;$AQ274,"IKS",IF(AE$8&lt;$AS274,IF(AE$8=$AR274,"Bascule","Double run"),"ROKS"))))))</f>
        <v/>
      </c>
      <c r="AF274" s="51" t="str">
        <f aca="false">IF(OR($A274="",AF$8=""),"",IF($F274="Migré","ROKS",IF($F274="À décommissionner",IF(AF$8&lt;$AS274,"IKS","Décom."),IF(OR($AQ274="",$AS274=""),"",IF(AF$8&lt;$AQ274,"IKS",IF(AF$8&lt;$AS274,IF(AF$8=$AR274,"Bascule","Double run"),"ROKS"))))))</f>
        <v/>
      </c>
      <c r="AG274" s="51" t="str">
        <f aca="false">IF(OR($A274="",AG$8=""),"",IF($F274="Migré","ROKS",IF($F274="À décommissionner",IF(AG$8&lt;$AS274,"IKS","Décom."),IF(OR($AQ274="",$AS274=""),"",IF(AG$8&lt;$AQ274,"IKS",IF(AG$8&lt;$AS274,IF(AG$8=$AR274,"Bascule","Double run"),"ROKS"))))))</f>
        <v/>
      </c>
      <c r="AH274" s="51" t="str">
        <f aca="false">IF(OR($A274="",AH$8=""),"",IF($F274="Migré","ROKS",IF($F274="À décommissionner",IF(AH$8&lt;$AS274,"IKS","Décom."),IF(OR($AQ274="",$AS274=""),"",IF(AH$8&lt;$AQ274,"IKS",IF(AH$8&lt;$AS274,IF(AH$8=$AR274,"Bascule","Double run"),"ROKS"))))))</f>
        <v/>
      </c>
      <c r="AI274" s="51" t="str">
        <f aca="false">IF(OR($A274="",AI$8=""),"",IF($F274="Migré","ROKS",IF($F274="À décommissionner",IF(AI$8&lt;$AS274,"IKS","Décom."),IF(OR($AQ274="",$AS274=""),"",IF(AI$8&lt;$AQ274,"IKS",IF(AI$8&lt;$AS274,IF(AI$8=$AR274,"Bascule","Double run"),"ROKS"))))))</f>
        <v/>
      </c>
      <c r="AJ274" s="51" t="str">
        <f aca="false">IF(OR($A274="",AJ$8=""),"",IF($F274="Migré","ROKS",IF($F274="À décommissionner",IF(AJ$8&lt;$AS274,"IKS","Décom."),IF(OR($AQ274="",$AS274=""),"",IF(AJ$8&lt;$AQ274,"IKS",IF(AJ$8&lt;$AS274,IF(AJ$8=$AR274,"Bascule","Double run"),"ROKS"))))))</f>
        <v/>
      </c>
      <c r="AK274" s="51" t="str">
        <f aca="false">IF(OR($A274="",AK$8=""),"",IF($F274="Migré","ROKS",IF($F274="À décommissionner",IF(AK$8&lt;$AS274,"IKS","Décom."),IF(OR($AQ274="",$AS274=""),"",IF(AK$8&lt;$AQ274,"IKS",IF(AK$8&lt;$AS274,IF(AK$8=$AR274,"Bascule","Double run"),"ROKS"))))))</f>
        <v/>
      </c>
      <c r="AL274" s="51" t="str">
        <f aca="false">IF(OR($A274="",AL$8=""),"",IF($F274="Migré","ROKS",IF($F274="À décommissionner",IF(AL$8&lt;$AS274,"IKS","Décom."),IF(OR($AQ274="",$AS274=""),"",IF(AL$8&lt;$AQ274,"IKS",IF(AL$8&lt;$AS274,IF(AL$8=$AR274,"Bascule","Double run"),"ROKS"))))))</f>
        <v/>
      </c>
      <c r="AM274" s="51" t="str">
        <f aca="false">IF(OR($A274="",AM$8=""),"",IF($F274="Migré","ROKS",IF($F274="À décommissionner",IF(AM$8&lt;$AS274,"IKS","Décom."),IF(OR($AQ274="",$AS274=""),"",IF(AM$8&lt;$AQ274,"IKS",IF(AM$8&lt;$AS274,IF(AM$8=$AR274,"Bascule","Double run"),"ROKS"))))))</f>
        <v/>
      </c>
      <c r="AN274" s="51" t="str">
        <f aca="false">IF(OR($A274="",AN$8=""),"",IF($F274="Migré","ROKS",IF($F274="À décommissionner",IF(AN$8&lt;$AS274,"IKS","Décom."),IF(OR($AQ274="",$AS274=""),"",IF(AN$8&lt;$AQ274,"IKS",IF(AN$8&lt;$AS274,IF(AN$8=$AR274,"Bascule","Double run"),"ROKS"))))))</f>
        <v/>
      </c>
      <c r="AO274" s="51" t="str">
        <f aca="false">IF(OR($A274="",AO$8=""),"",IF($F274="Migré","ROKS",IF($F274="À décommissionner",IF(AO$8&lt;$AS274,"IKS","Décom."),IF(OR($AQ274="",$AS274=""),"",IF(AO$8&lt;$AQ274,"IKS",IF(AO$8&lt;$AS274,IF(AO$8=$AR274,"Bascule","Double run"),"ROKS"))))))</f>
        <v/>
      </c>
      <c r="AP274" s="51" t="str">
        <f aca="false">IF(OR($A274="",AP$8=""),"",IF($F274="Migré","ROKS",IF($F274="À décommissionner",IF(AP$8&lt;$AS274,"IKS","Décom."),IF(OR($AQ274="",$AS274=""),"",IF(AP$8&lt;$AQ274,"IKS",IF(AP$8&lt;$AS274,IF(AP$8=$AR274,"Bascule","Double run"),"ROKS"))))))</f>
        <v/>
      </c>
      <c r="AQ274" s="0" t="str">
        <f aca="false">IF($A274="","",INDEX(TblApplications[Mois prov (calc)],$A274))</f>
        <v/>
      </c>
      <c r="AR274" s="0" t="str">
        <f aca="false">IF($A274="","",IFERROR(DATE(YEAR(INDEX(TblApplications[Mois bascule],$A274)),MONTH(INDEX(TblApplications[Mois bascule],$A274)),1),""))</f>
        <v/>
      </c>
      <c r="AS274" s="0" t="str">
        <f aca="false">IF($A274="","",INDEX(TblApplications[Mois lib (calc)],$A274))</f>
        <v/>
      </c>
    </row>
    <row r="275" customFormat="false" ht="15" hidden="false" customHeight="false" outlineLevel="0" collapsed="false">
      <c r="A275" s="49" t="str">
        <f aca="false">IFERROR(MATCH(267,TblApplications[Rang frise],0),"")</f>
        <v/>
      </c>
      <c r="B275" s="50" t="str">
        <f aca="false">IF($A275="","",INDEX(TblApplications[ID],$A275))</f>
        <v/>
      </c>
      <c r="C275" s="50" t="str">
        <f aca="false">IF($A275="","",INDEX(TblApplications[Application],$A275))</f>
        <v/>
      </c>
      <c r="D275" s="50" t="str">
        <f aca="false">IF($A275="","",INDEX(TblApplications[Environnement],$A275))</f>
        <v/>
      </c>
      <c r="E275" s="50" t="str">
        <f aca="false">IF($A275="","",INDEX(TblApplications[Couloir],$A275))</f>
        <v/>
      </c>
      <c r="F275" s="50" t="str">
        <f aca="false">IF($A275="","",INDEX(TblApplications[Action],$A275))</f>
        <v/>
      </c>
      <c r="G275" s="51" t="str">
        <f aca="false">IF(OR($A275="",G$8=""),"",IF($F275="Migré","ROKS",IF($F275="À décommissionner",IF(G$8&lt;$AS275,"IKS","Décom."),IF(OR($AQ275="",$AS275=""),"",IF(G$8&lt;$AQ275,"IKS",IF(G$8&lt;$AS275,IF(G$8=$AR275,"Bascule","Double run"),"ROKS"))))))</f>
        <v/>
      </c>
      <c r="H275" s="51" t="str">
        <f aca="false">IF(OR($A275="",H$8=""),"",IF($F275="Migré","ROKS",IF($F275="À décommissionner",IF(H$8&lt;$AS275,"IKS","Décom."),IF(OR($AQ275="",$AS275=""),"",IF(H$8&lt;$AQ275,"IKS",IF(H$8&lt;$AS275,IF(H$8=$AR275,"Bascule","Double run"),"ROKS"))))))</f>
        <v/>
      </c>
      <c r="I275" s="51" t="str">
        <f aca="false">IF(OR($A275="",I$8=""),"",IF($F275="Migré","ROKS",IF($F275="À décommissionner",IF(I$8&lt;$AS275,"IKS","Décom."),IF(OR($AQ275="",$AS275=""),"",IF(I$8&lt;$AQ275,"IKS",IF(I$8&lt;$AS275,IF(I$8=$AR275,"Bascule","Double run"),"ROKS"))))))</f>
        <v/>
      </c>
      <c r="J275" s="51" t="str">
        <f aca="false">IF(OR($A275="",J$8=""),"",IF($F275="Migré","ROKS",IF($F275="À décommissionner",IF(J$8&lt;$AS275,"IKS","Décom."),IF(OR($AQ275="",$AS275=""),"",IF(J$8&lt;$AQ275,"IKS",IF(J$8&lt;$AS275,IF(J$8=$AR275,"Bascule","Double run"),"ROKS"))))))</f>
        <v/>
      </c>
      <c r="K275" s="51" t="str">
        <f aca="false">IF(OR($A275="",K$8=""),"",IF($F275="Migré","ROKS",IF($F275="À décommissionner",IF(K$8&lt;$AS275,"IKS","Décom."),IF(OR($AQ275="",$AS275=""),"",IF(K$8&lt;$AQ275,"IKS",IF(K$8&lt;$AS275,IF(K$8=$AR275,"Bascule","Double run"),"ROKS"))))))</f>
        <v/>
      </c>
      <c r="L275" s="51" t="str">
        <f aca="false">IF(OR($A275="",L$8=""),"",IF($F275="Migré","ROKS",IF($F275="À décommissionner",IF(L$8&lt;$AS275,"IKS","Décom."),IF(OR($AQ275="",$AS275=""),"",IF(L$8&lt;$AQ275,"IKS",IF(L$8&lt;$AS275,IF(L$8=$AR275,"Bascule","Double run"),"ROKS"))))))</f>
        <v/>
      </c>
      <c r="M275" s="51" t="str">
        <f aca="false">IF(OR($A275="",M$8=""),"",IF($F275="Migré","ROKS",IF($F275="À décommissionner",IF(M$8&lt;$AS275,"IKS","Décom."),IF(OR($AQ275="",$AS275=""),"",IF(M$8&lt;$AQ275,"IKS",IF(M$8&lt;$AS275,IF(M$8=$AR275,"Bascule","Double run"),"ROKS"))))))</f>
        <v/>
      </c>
      <c r="N275" s="51" t="str">
        <f aca="false">IF(OR($A275="",N$8=""),"",IF($F275="Migré","ROKS",IF($F275="À décommissionner",IF(N$8&lt;$AS275,"IKS","Décom."),IF(OR($AQ275="",$AS275=""),"",IF(N$8&lt;$AQ275,"IKS",IF(N$8&lt;$AS275,IF(N$8=$AR275,"Bascule","Double run"),"ROKS"))))))</f>
        <v/>
      </c>
      <c r="O275" s="51" t="str">
        <f aca="false">IF(OR($A275="",O$8=""),"",IF($F275="Migré","ROKS",IF($F275="À décommissionner",IF(O$8&lt;$AS275,"IKS","Décom."),IF(OR($AQ275="",$AS275=""),"",IF(O$8&lt;$AQ275,"IKS",IF(O$8&lt;$AS275,IF(O$8=$AR275,"Bascule","Double run"),"ROKS"))))))</f>
        <v/>
      </c>
      <c r="P275" s="51" t="str">
        <f aca="false">IF(OR($A275="",P$8=""),"",IF($F275="Migré","ROKS",IF($F275="À décommissionner",IF(P$8&lt;$AS275,"IKS","Décom."),IF(OR($AQ275="",$AS275=""),"",IF(P$8&lt;$AQ275,"IKS",IF(P$8&lt;$AS275,IF(P$8=$AR275,"Bascule","Double run"),"ROKS"))))))</f>
        <v/>
      </c>
      <c r="Q275" s="51" t="str">
        <f aca="false">IF(OR($A275="",Q$8=""),"",IF($F275="Migré","ROKS",IF($F275="À décommissionner",IF(Q$8&lt;$AS275,"IKS","Décom."),IF(OR($AQ275="",$AS275=""),"",IF(Q$8&lt;$AQ275,"IKS",IF(Q$8&lt;$AS275,IF(Q$8=$AR275,"Bascule","Double run"),"ROKS"))))))</f>
        <v/>
      </c>
      <c r="R275" s="51" t="str">
        <f aca="false">IF(OR($A275="",R$8=""),"",IF($F275="Migré","ROKS",IF($F275="À décommissionner",IF(R$8&lt;$AS275,"IKS","Décom."),IF(OR($AQ275="",$AS275=""),"",IF(R$8&lt;$AQ275,"IKS",IF(R$8&lt;$AS275,IF(R$8=$AR275,"Bascule","Double run"),"ROKS"))))))</f>
        <v/>
      </c>
      <c r="S275" s="51" t="str">
        <f aca="false">IF(OR($A275="",S$8=""),"",IF($F275="Migré","ROKS",IF($F275="À décommissionner",IF(S$8&lt;$AS275,"IKS","Décom."),IF(OR($AQ275="",$AS275=""),"",IF(S$8&lt;$AQ275,"IKS",IF(S$8&lt;$AS275,IF(S$8=$AR275,"Bascule","Double run"),"ROKS"))))))</f>
        <v/>
      </c>
      <c r="T275" s="51" t="str">
        <f aca="false">IF(OR($A275="",T$8=""),"",IF($F275="Migré","ROKS",IF($F275="À décommissionner",IF(T$8&lt;$AS275,"IKS","Décom."),IF(OR($AQ275="",$AS275=""),"",IF(T$8&lt;$AQ275,"IKS",IF(T$8&lt;$AS275,IF(T$8=$AR275,"Bascule","Double run"),"ROKS"))))))</f>
        <v/>
      </c>
      <c r="U275" s="51" t="str">
        <f aca="false">IF(OR($A275="",U$8=""),"",IF($F275="Migré","ROKS",IF($F275="À décommissionner",IF(U$8&lt;$AS275,"IKS","Décom."),IF(OR($AQ275="",$AS275=""),"",IF(U$8&lt;$AQ275,"IKS",IF(U$8&lt;$AS275,IF(U$8=$AR275,"Bascule","Double run"),"ROKS"))))))</f>
        <v/>
      </c>
      <c r="V275" s="51" t="str">
        <f aca="false">IF(OR($A275="",V$8=""),"",IF($F275="Migré","ROKS",IF($F275="À décommissionner",IF(V$8&lt;$AS275,"IKS","Décom."),IF(OR($AQ275="",$AS275=""),"",IF(V$8&lt;$AQ275,"IKS",IF(V$8&lt;$AS275,IF(V$8=$AR275,"Bascule","Double run"),"ROKS"))))))</f>
        <v/>
      </c>
      <c r="W275" s="51" t="str">
        <f aca="false">IF(OR($A275="",W$8=""),"",IF($F275="Migré","ROKS",IF($F275="À décommissionner",IF(W$8&lt;$AS275,"IKS","Décom."),IF(OR($AQ275="",$AS275=""),"",IF(W$8&lt;$AQ275,"IKS",IF(W$8&lt;$AS275,IF(W$8=$AR275,"Bascule","Double run"),"ROKS"))))))</f>
        <v/>
      </c>
      <c r="X275" s="51" t="str">
        <f aca="false">IF(OR($A275="",X$8=""),"",IF($F275="Migré","ROKS",IF($F275="À décommissionner",IF(X$8&lt;$AS275,"IKS","Décom."),IF(OR($AQ275="",$AS275=""),"",IF(X$8&lt;$AQ275,"IKS",IF(X$8&lt;$AS275,IF(X$8=$AR275,"Bascule","Double run"),"ROKS"))))))</f>
        <v/>
      </c>
      <c r="Y275" s="51" t="str">
        <f aca="false">IF(OR($A275="",Y$8=""),"",IF($F275="Migré","ROKS",IF($F275="À décommissionner",IF(Y$8&lt;$AS275,"IKS","Décom."),IF(OR($AQ275="",$AS275=""),"",IF(Y$8&lt;$AQ275,"IKS",IF(Y$8&lt;$AS275,IF(Y$8=$AR275,"Bascule","Double run"),"ROKS"))))))</f>
        <v/>
      </c>
      <c r="Z275" s="51" t="str">
        <f aca="false">IF(OR($A275="",Z$8=""),"",IF($F275="Migré","ROKS",IF($F275="À décommissionner",IF(Z$8&lt;$AS275,"IKS","Décom."),IF(OR($AQ275="",$AS275=""),"",IF(Z$8&lt;$AQ275,"IKS",IF(Z$8&lt;$AS275,IF(Z$8=$AR275,"Bascule","Double run"),"ROKS"))))))</f>
        <v/>
      </c>
      <c r="AA275" s="51" t="str">
        <f aca="false">IF(OR($A275="",AA$8=""),"",IF($F275="Migré","ROKS",IF($F275="À décommissionner",IF(AA$8&lt;$AS275,"IKS","Décom."),IF(OR($AQ275="",$AS275=""),"",IF(AA$8&lt;$AQ275,"IKS",IF(AA$8&lt;$AS275,IF(AA$8=$AR275,"Bascule","Double run"),"ROKS"))))))</f>
        <v/>
      </c>
      <c r="AB275" s="51" t="str">
        <f aca="false">IF(OR($A275="",AB$8=""),"",IF($F275="Migré","ROKS",IF($F275="À décommissionner",IF(AB$8&lt;$AS275,"IKS","Décom."),IF(OR($AQ275="",$AS275=""),"",IF(AB$8&lt;$AQ275,"IKS",IF(AB$8&lt;$AS275,IF(AB$8=$AR275,"Bascule","Double run"),"ROKS"))))))</f>
        <v/>
      </c>
      <c r="AC275" s="51" t="str">
        <f aca="false">IF(OR($A275="",AC$8=""),"",IF($F275="Migré","ROKS",IF($F275="À décommissionner",IF(AC$8&lt;$AS275,"IKS","Décom."),IF(OR($AQ275="",$AS275=""),"",IF(AC$8&lt;$AQ275,"IKS",IF(AC$8&lt;$AS275,IF(AC$8=$AR275,"Bascule","Double run"),"ROKS"))))))</f>
        <v/>
      </c>
      <c r="AD275" s="51" t="str">
        <f aca="false">IF(OR($A275="",AD$8=""),"",IF($F275="Migré","ROKS",IF($F275="À décommissionner",IF(AD$8&lt;$AS275,"IKS","Décom."),IF(OR($AQ275="",$AS275=""),"",IF(AD$8&lt;$AQ275,"IKS",IF(AD$8&lt;$AS275,IF(AD$8=$AR275,"Bascule","Double run"),"ROKS"))))))</f>
        <v/>
      </c>
      <c r="AE275" s="51" t="str">
        <f aca="false">IF(OR($A275="",AE$8=""),"",IF($F275="Migré","ROKS",IF($F275="À décommissionner",IF(AE$8&lt;$AS275,"IKS","Décom."),IF(OR($AQ275="",$AS275=""),"",IF(AE$8&lt;$AQ275,"IKS",IF(AE$8&lt;$AS275,IF(AE$8=$AR275,"Bascule","Double run"),"ROKS"))))))</f>
        <v/>
      </c>
      <c r="AF275" s="51" t="str">
        <f aca="false">IF(OR($A275="",AF$8=""),"",IF($F275="Migré","ROKS",IF($F275="À décommissionner",IF(AF$8&lt;$AS275,"IKS","Décom."),IF(OR($AQ275="",$AS275=""),"",IF(AF$8&lt;$AQ275,"IKS",IF(AF$8&lt;$AS275,IF(AF$8=$AR275,"Bascule","Double run"),"ROKS"))))))</f>
        <v/>
      </c>
      <c r="AG275" s="51" t="str">
        <f aca="false">IF(OR($A275="",AG$8=""),"",IF($F275="Migré","ROKS",IF($F275="À décommissionner",IF(AG$8&lt;$AS275,"IKS","Décom."),IF(OR($AQ275="",$AS275=""),"",IF(AG$8&lt;$AQ275,"IKS",IF(AG$8&lt;$AS275,IF(AG$8=$AR275,"Bascule","Double run"),"ROKS"))))))</f>
        <v/>
      </c>
      <c r="AH275" s="51" t="str">
        <f aca="false">IF(OR($A275="",AH$8=""),"",IF($F275="Migré","ROKS",IF($F275="À décommissionner",IF(AH$8&lt;$AS275,"IKS","Décom."),IF(OR($AQ275="",$AS275=""),"",IF(AH$8&lt;$AQ275,"IKS",IF(AH$8&lt;$AS275,IF(AH$8=$AR275,"Bascule","Double run"),"ROKS"))))))</f>
        <v/>
      </c>
      <c r="AI275" s="51" t="str">
        <f aca="false">IF(OR($A275="",AI$8=""),"",IF($F275="Migré","ROKS",IF($F275="À décommissionner",IF(AI$8&lt;$AS275,"IKS","Décom."),IF(OR($AQ275="",$AS275=""),"",IF(AI$8&lt;$AQ275,"IKS",IF(AI$8&lt;$AS275,IF(AI$8=$AR275,"Bascule","Double run"),"ROKS"))))))</f>
        <v/>
      </c>
      <c r="AJ275" s="51" t="str">
        <f aca="false">IF(OR($A275="",AJ$8=""),"",IF($F275="Migré","ROKS",IF($F275="À décommissionner",IF(AJ$8&lt;$AS275,"IKS","Décom."),IF(OR($AQ275="",$AS275=""),"",IF(AJ$8&lt;$AQ275,"IKS",IF(AJ$8&lt;$AS275,IF(AJ$8=$AR275,"Bascule","Double run"),"ROKS"))))))</f>
        <v/>
      </c>
      <c r="AK275" s="51" t="str">
        <f aca="false">IF(OR($A275="",AK$8=""),"",IF($F275="Migré","ROKS",IF($F275="À décommissionner",IF(AK$8&lt;$AS275,"IKS","Décom."),IF(OR($AQ275="",$AS275=""),"",IF(AK$8&lt;$AQ275,"IKS",IF(AK$8&lt;$AS275,IF(AK$8=$AR275,"Bascule","Double run"),"ROKS"))))))</f>
        <v/>
      </c>
      <c r="AL275" s="51" t="str">
        <f aca="false">IF(OR($A275="",AL$8=""),"",IF($F275="Migré","ROKS",IF($F275="À décommissionner",IF(AL$8&lt;$AS275,"IKS","Décom."),IF(OR($AQ275="",$AS275=""),"",IF(AL$8&lt;$AQ275,"IKS",IF(AL$8&lt;$AS275,IF(AL$8=$AR275,"Bascule","Double run"),"ROKS"))))))</f>
        <v/>
      </c>
      <c r="AM275" s="51" t="str">
        <f aca="false">IF(OR($A275="",AM$8=""),"",IF($F275="Migré","ROKS",IF($F275="À décommissionner",IF(AM$8&lt;$AS275,"IKS","Décom."),IF(OR($AQ275="",$AS275=""),"",IF(AM$8&lt;$AQ275,"IKS",IF(AM$8&lt;$AS275,IF(AM$8=$AR275,"Bascule","Double run"),"ROKS"))))))</f>
        <v/>
      </c>
      <c r="AN275" s="51" t="str">
        <f aca="false">IF(OR($A275="",AN$8=""),"",IF($F275="Migré","ROKS",IF($F275="À décommissionner",IF(AN$8&lt;$AS275,"IKS","Décom."),IF(OR($AQ275="",$AS275=""),"",IF(AN$8&lt;$AQ275,"IKS",IF(AN$8&lt;$AS275,IF(AN$8=$AR275,"Bascule","Double run"),"ROKS"))))))</f>
        <v/>
      </c>
      <c r="AO275" s="51" t="str">
        <f aca="false">IF(OR($A275="",AO$8=""),"",IF($F275="Migré","ROKS",IF($F275="À décommissionner",IF(AO$8&lt;$AS275,"IKS","Décom."),IF(OR($AQ275="",$AS275=""),"",IF(AO$8&lt;$AQ275,"IKS",IF(AO$8&lt;$AS275,IF(AO$8=$AR275,"Bascule","Double run"),"ROKS"))))))</f>
        <v/>
      </c>
      <c r="AP275" s="51" t="str">
        <f aca="false">IF(OR($A275="",AP$8=""),"",IF($F275="Migré","ROKS",IF($F275="À décommissionner",IF(AP$8&lt;$AS275,"IKS","Décom."),IF(OR($AQ275="",$AS275=""),"",IF(AP$8&lt;$AQ275,"IKS",IF(AP$8&lt;$AS275,IF(AP$8=$AR275,"Bascule","Double run"),"ROKS"))))))</f>
        <v/>
      </c>
      <c r="AQ275" s="0" t="str">
        <f aca="false">IF($A275="","",INDEX(TblApplications[Mois prov (calc)],$A275))</f>
        <v/>
      </c>
      <c r="AR275" s="0" t="str">
        <f aca="false">IF($A275="","",IFERROR(DATE(YEAR(INDEX(TblApplications[Mois bascule],$A275)),MONTH(INDEX(TblApplications[Mois bascule],$A275)),1),""))</f>
        <v/>
      </c>
      <c r="AS275" s="0" t="str">
        <f aca="false">IF($A275="","",INDEX(TblApplications[Mois lib (calc)],$A275))</f>
        <v/>
      </c>
    </row>
    <row r="276" customFormat="false" ht="15" hidden="false" customHeight="false" outlineLevel="0" collapsed="false">
      <c r="A276" s="49" t="str">
        <f aca="false">IFERROR(MATCH(268,TblApplications[Rang frise],0),"")</f>
        <v/>
      </c>
      <c r="B276" s="50" t="str">
        <f aca="false">IF($A276="","",INDEX(TblApplications[ID],$A276))</f>
        <v/>
      </c>
      <c r="C276" s="50" t="str">
        <f aca="false">IF($A276="","",INDEX(TblApplications[Application],$A276))</f>
        <v/>
      </c>
      <c r="D276" s="50" t="str">
        <f aca="false">IF($A276="","",INDEX(TblApplications[Environnement],$A276))</f>
        <v/>
      </c>
      <c r="E276" s="50" t="str">
        <f aca="false">IF($A276="","",INDEX(TblApplications[Couloir],$A276))</f>
        <v/>
      </c>
      <c r="F276" s="50" t="str">
        <f aca="false">IF($A276="","",INDEX(TblApplications[Action],$A276))</f>
        <v/>
      </c>
      <c r="G276" s="51" t="str">
        <f aca="false">IF(OR($A276="",G$8=""),"",IF($F276="Migré","ROKS",IF($F276="À décommissionner",IF(G$8&lt;$AS276,"IKS","Décom."),IF(OR($AQ276="",$AS276=""),"",IF(G$8&lt;$AQ276,"IKS",IF(G$8&lt;$AS276,IF(G$8=$AR276,"Bascule","Double run"),"ROKS"))))))</f>
        <v/>
      </c>
      <c r="H276" s="51" t="str">
        <f aca="false">IF(OR($A276="",H$8=""),"",IF($F276="Migré","ROKS",IF($F276="À décommissionner",IF(H$8&lt;$AS276,"IKS","Décom."),IF(OR($AQ276="",$AS276=""),"",IF(H$8&lt;$AQ276,"IKS",IF(H$8&lt;$AS276,IF(H$8=$AR276,"Bascule","Double run"),"ROKS"))))))</f>
        <v/>
      </c>
      <c r="I276" s="51" t="str">
        <f aca="false">IF(OR($A276="",I$8=""),"",IF($F276="Migré","ROKS",IF($F276="À décommissionner",IF(I$8&lt;$AS276,"IKS","Décom."),IF(OR($AQ276="",$AS276=""),"",IF(I$8&lt;$AQ276,"IKS",IF(I$8&lt;$AS276,IF(I$8=$AR276,"Bascule","Double run"),"ROKS"))))))</f>
        <v/>
      </c>
      <c r="J276" s="51" t="str">
        <f aca="false">IF(OR($A276="",J$8=""),"",IF($F276="Migré","ROKS",IF($F276="À décommissionner",IF(J$8&lt;$AS276,"IKS","Décom."),IF(OR($AQ276="",$AS276=""),"",IF(J$8&lt;$AQ276,"IKS",IF(J$8&lt;$AS276,IF(J$8=$AR276,"Bascule","Double run"),"ROKS"))))))</f>
        <v/>
      </c>
      <c r="K276" s="51" t="str">
        <f aca="false">IF(OR($A276="",K$8=""),"",IF($F276="Migré","ROKS",IF($F276="À décommissionner",IF(K$8&lt;$AS276,"IKS","Décom."),IF(OR($AQ276="",$AS276=""),"",IF(K$8&lt;$AQ276,"IKS",IF(K$8&lt;$AS276,IF(K$8=$AR276,"Bascule","Double run"),"ROKS"))))))</f>
        <v/>
      </c>
      <c r="L276" s="51" t="str">
        <f aca="false">IF(OR($A276="",L$8=""),"",IF($F276="Migré","ROKS",IF($F276="À décommissionner",IF(L$8&lt;$AS276,"IKS","Décom."),IF(OR($AQ276="",$AS276=""),"",IF(L$8&lt;$AQ276,"IKS",IF(L$8&lt;$AS276,IF(L$8=$AR276,"Bascule","Double run"),"ROKS"))))))</f>
        <v/>
      </c>
      <c r="M276" s="51" t="str">
        <f aca="false">IF(OR($A276="",M$8=""),"",IF($F276="Migré","ROKS",IF($F276="À décommissionner",IF(M$8&lt;$AS276,"IKS","Décom."),IF(OR($AQ276="",$AS276=""),"",IF(M$8&lt;$AQ276,"IKS",IF(M$8&lt;$AS276,IF(M$8=$AR276,"Bascule","Double run"),"ROKS"))))))</f>
        <v/>
      </c>
      <c r="N276" s="51" t="str">
        <f aca="false">IF(OR($A276="",N$8=""),"",IF($F276="Migré","ROKS",IF($F276="À décommissionner",IF(N$8&lt;$AS276,"IKS","Décom."),IF(OR($AQ276="",$AS276=""),"",IF(N$8&lt;$AQ276,"IKS",IF(N$8&lt;$AS276,IF(N$8=$AR276,"Bascule","Double run"),"ROKS"))))))</f>
        <v/>
      </c>
      <c r="O276" s="51" t="str">
        <f aca="false">IF(OR($A276="",O$8=""),"",IF($F276="Migré","ROKS",IF($F276="À décommissionner",IF(O$8&lt;$AS276,"IKS","Décom."),IF(OR($AQ276="",$AS276=""),"",IF(O$8&lt;$AQ276,"IKS",IF(O$8&lt;$AS276,IF(O$8=$AR276,"Bascule","Double run"),"ROKS"))))))</f>
        <v/>
      </c>
      <c r="P276" s="51" t="str">
        <f aca="false">IF(OR($A276="",P$8=""),"",IF($F276="Migré","ROKS",IF($F276="À décommissionner",IF(P$8&lt;$AS276,"IKS","Décom."),IF(OR($AQ276="",$AS276=""),"",IF(P$8&lt;$AQ276,"IKS",IF(P$8&lt;$AS276,IF(P$8=$AR276,"Bascule","Double run"),"ROKS"))))))</f>
        <v/>
      </c>
      <c r="Q276" s="51" t="str">
        <f aca="false">IF(OR($A276="",Q$8=""),"",IF($F276="Migré","ROKS",IF($F276="À décommissionner",IF(Q$8&lt;$AS276,"IKS","Décom."),IF(OR($AQ276="",$AS276=""),"",IF(Q$8&lt;$AQ276,"IKS",IF(Q$8&lt;$AS276,IF(Q$8=$AR276,"Bascule","Double run"),"ROKS"))))))</f>
        <v/>
      </c>
      <c r="R276" s="51" t="str">
        <f aca="false">IF(OR($A276="",R$8=""),"",IF($F276="Migré","ROKS",IF($F276="À décommissionner",IF(R$8&lt;$AS276,"IKS","Décom."),IF(OR($AQ276="",$AS276=""),"",IF(R$8&lt;$AQ276,"IKS",IF(R$8&lt;$AS276,IF(R$8=$AR276,"Bascule","Double run"),"ROKS"))))))</f>
        <v/>
      </c>
      <c r="S276" s="51" t="str">
        <f aca="false">IF(OR($A276="",S$8=""),"",IF($F276="Migré","ROKS",IF($F276="À décommissionner",IF(S$8&lt;$AS276,"IKS","Décom."),IF(OR($AQ276="",$AS276=""),"",IF(S$8&lt;$AQ276,"IKS",IF(S$8&lt;$AS276,IF(S$8=$AR276,"Bascule","Double run"),"ROKS"))))))</f>
        <v/>
      </c>
      <c r="T276" s="51" t="str">
        <f aca="false">IF(OR($A276="",T$8=""),"",IF($F276="Migré","ROKS",IF($F276="À décommissionner",IF(T$8&lt;$AS276,"IKS","Décom."),IF(OR($AQ276="",$AS276=""),"",IF(T$8&lt;$AQ276,"IKS",IF(T$8&lt;$AS276,IF(T$8=$AR276,"Bascule","Double run"),"ROKS"))))))</f>
        <v/>
      </c>
      <c r="U276" s="51" t="str">
        <f aca="false">IF(OR($A276="",U$8=""),"",IF($F276="Migré","ROKS",IF($F276="À décommissionner",IF(U$8&lt;$AS276,"IKS","Décom."),IF(OR($AQ276="",$AS276=""),"",IF(U$8&lt;$AQ276,"IKS",IF(U$8&lt;$AS276,IF(U$8=$AR276,"Bascule","Double run"),"ROKS"))))))</f>
        <v/>
      </c>
      <c r="V276" s="51" t="str">
        <f aca="false">IF(OR($A276="",V$8=""),"",IF($F276="Migré","ROKS",IF($F276="À décommissionner",IF(V$8&lt;$AS276,"IKS","Décom."),IF(OR($AQ276="",$AS276=""),"",IF(V$8&lt;$AQ276,"IKS",IF(V$8&lt;$AS276,IF(V$8=$AR276,"Bascule","Double run"),"ROKS"))))))</f>
        <v/>
      </c>
      <c r="W276" s="51" t="str">
        <f aca="false">IF(OR($A276="",W$8=""),"",IF($F276="Migré","ROKS",IF($F276="À décommissionner",IF(W$8&lt;$AS276,"IKS","Décom."),IF(OR($AQ276="",$AS276=""),"",IF(W$8&lt;$AQ276,"IKS",IF(W$8&lt;$AS276,IF(W$8=$AR276,"Bascule","Double run"),"ROKS"))))))</f>
        <v/>
      </c>
      <c r="X276" s="51" t="str">
        <f aca="false">IF(OR($A276="",X$8=""),"",IF($F276="Migré","ROKS",IF($F276="À décommissionner",IF(X$8&lt;$AS276,"IKS","Décom."),IF(OR($AQ276="",$AS276=""),"",IF(X$8&lt;$AQ276,"IKS",IF(X$8&lt;$AS276,IF(X$8=$AR276,"Bascule","Double run"),"ROKS"))))))</f>
        <v/>
      </c>
      <c r="Y276" s="51" t="str">
        <f aca="false">IF(OR($A276="",Y$8=""),"",IF($F276="Migré","ROKS",IF($F276="À décommissionner",IF(Y$8&lt;$AS276,"IKS","Décom."),IF(OR($AQ276="",$AS276=""),"",IF(Y$8&lt;$AQ276,"IKS",IF(Y$8&lt;$AS276,IF(Y$8=$AR276,"Bascule","Double run"),"ROKS"))))))</f>
        <v/>
      </c>
      <c r="Z276" s="51" t="str">
        <f aca="false">IF(OR($A276="",Z$8=""),"",IF($F276="Migré","ROKS",IF($F276="À décommissionner",IF(Z$8&lt;$AS276,"IKS","Décom."),IF(OR($AQ276="",$AS276=""),"",IF(Z$8&lt;$AQ276,"IKS",IF(Z$8&lt;$AS276,IF(Z$8=$AR276,"Bascule","Double run"),"ROKS"))))))</f>
        <v/>
      </c>
      <c r="AA276" s="51" t="str">
        <f aca="false">IF(OR($A276="",AA$8=""),"",IF($F276="Migré","ROKS",IF($F276="À décommissionner",IF(AA$8&lt;$AS276,"IKS","Décom."),IF(OR($AQ276="",$AS276=""),"",IF(AA$8&lt;$AQ276,"IKS",IF(AA$8&lt;$AS276,IF(AA$8=$AR276,"Bascule","Double run"),"ROKS"))))))</f>
        <v/>
      </c>
      <c r="AB276" s="51" t="str">
        <f aca="false">IF(OR($A276="",AB$8=""),"",IF($F276="Migré","ROKS",IF($F276="À décommissionner",IF(AB$8&lt;$AS276,"IKS","Décom."),IF(OR($AQ276="",$AS276=""),"",IF(AB$8&lt;$AQ276,"IKS",IF(AB$8&lt;$AS276,IF(AB$8=$AR276,"Bascule","Double run"),"ROKS"))))))</f>
        <v/>
      </c>
      <c r="AC276" s="51" t="str">
        <f aca="false">IF(OR($A276="",AC$8=""),"",IF($F276="Migré","ROKS",IF($F276="À décommissionner",IF(AC$8&lt;$AS276,"IKS","Décom."),IF(OR($AQ276="",$AS276=""),"",IF(AC$8&lt;$AQ276,"IKS",IF(AC$8&lt;$AS276,IF(AC$8=$AR276,"Bascule","Double run"),"ROKS"))))))</f>
        <v/>
      </c>
      <c r="AD276" s="51" t="str">
        <f aca="false">IF(OR($A276="",AD$8=""),"",IF($F276="Migré","ROKS",IF($F276="À décommissionner",IF(AD$8&lt;$AS276,"IKS","Décom."),IF(OR($AQ276="",$AS276=""),"",IF(AD$8&lt;$AQ276,"IKS",IF(AD$8&lt;$AS276,IF(AD$8=$AR276,"Bascule","Double run"),"ROKS"))))))</f>
        <v/>
      </c>
      <c r="AE276" s="51" t="str">
        <f aca="false">IF(OR($A276="",AE$8=""),"",IF($F276="Migré","ROKS",IF($F276="À décommissionner",IF(AE$8&lt;$AS276,"IKS","Décom."),IF(OR($AQ276="",$AS276=""),"",IF(AE$8&lt;$AQ276,"IKS",IF(AE$8&lt;$AS276,IF(AE$8=$AR276,"Bascule","Double run"),"ROKS"))))))</f>
        <v/>
      </c>
      <c r="AF276" s="51" t="str">
        <f aca="false">IF(OR($A276="",AF$8=""),"",IF($F276="Migré","ROKS",IF($F276="À décommissionner",IF(AF$8&lt;$AS276,"IKS","Décom."),IF(OR($AQ276="",$AS276=""),"",IF(AF$8&lt;$AQ276,"IKS",IF(AF$8&lt;$AS276,IF(AF$8=$AR276,"Bascule","Double run"),"ROKS"))))))</f>
        <v/>
      </c>
      <c r="AG276" s="51" t="str">
        <f aca="false">IF(OR($A276="",AG$8=""),"",IF($F276="Migré","ROKS",IF($F276="À décommissionner",IF(AG$8&lt;$AS276,"IKS","Décom."),IF(OR($AQ276="",$AS276=""),"",IF(AG$8&lt;$AQ276,"IKS",IF(AG$8&lt;$AS276,IF(AG$8=$AR276,"Bascule","Double run"),"ROKS"))))))</f>
        <v/>
      </c>
      <c r="AH276" s="51" t="str">
        <f aca="false">IF(OR($A276="",AH$8=""),"",IF($F276="Migré","ROKS",IF($F276="À décommissionner",IF(AH$8&lt;$AS276,"IKS","Décom."),IF(OR($AQ276="",$AS276=""),"",IF(AH$8&lt;$AQ276,"IKS",IF(AH$8&lt;$AS276,IF(AH$8=$AR276,"Bascule","Double run"),"ROKS"))))))</f>
        <v/>
      </c>
      <c r="AI276" s="51" t="str">
        <f aca="false">IF(OR($A276="",AI$8=""),"",IF($F276="Migré","ROKS",IF($F276="À décommissionner",IF(AI$8&lt;$AS276,"IKS","Décom."),IF(OR($AQ276="",$AS276=""),"",IF(AI$8&lt;$AQ276,"IKS",IF(AI$8&lt;$AS276,IF(AI$8=$AR276,"Bascule","Double run"),"ROKS"))))))</f>
        <v/>
      </c>
      <c r="AJ276" s="51" t="str">
        <f aca="false">IF(OR($A276="",AJ$8=""),"",IF($F276="Migré","ROKS",IF($F276="À décommissionner",IF(AJ$8&lt;$AS276,"IKS","Décom."),IF(OR($AQ276="",$AS276=""),"",IF(AJ$8&lt;$AQ276,"IKS",IF(AJ$8&lt;$AS276,IF(AJ$8=$AR276,"Bascule","Double run"),"ROKS"))))))</f>
        <v/>
      </c>
      <c r="AK276" s="51" t="str">
        <f aca="false">IF(OR($A276="",AK$8=""),"",IF($F276="Migré","ROKS",IF($F276="À décommissionner",IF(AK$8&lt;$AS276,"IKS","Décom."),IF(OR($AQ276="",$AS276=""),"",IF(AK$8&lt;$AQ276,"IKS",IF(AK$8&lt;$AS276,IF(AK$8=$AR276,"Bascule","Double run"),"ROKS"))))))</f>
        <v/>
      </c>
      <c r="AL276" s="51" t="str">
        <f aca="false">IF(OR($A276="",AL$8=""),"",IF($F276="Migré","ROKS",IF($F276="À décommissionner",IF(AL$8&lt;$AS276,"IKS","Décom."),IF(OR($AQ276="",$AS276=""),"",IF(AL$8&lt;$AQ276,"IKS",IF(AL$8&lt;$AS276,IF(AL$8=$AR276,"Bascule","Double run"),"ROKS"))))))</f>
        <v/>
      </c>
      <c r="AM276" s="51" t="str">
        <f aca="false">IF(OR($A276="",AM$8=""),"",IF($F276="Migré","ROKS",IF($F276="À décommissionner",IF(AM$8&lt;$AS276,"IKS","Décom."),IF(OR($AQ276="",$AS276=""),"",IF(AM$8&lt;$AQ276,"IKS",IF(AM$8&lt;$AS276,IF(AM$8=$AR276,"Bascule","Double run"),"ROKS"))))))</f>
        <v/>
      </c>
      <c r="AN276" s="51" t="str">
        <f aca="false">IF(OR($A276="",AN$8=""),"",IF($F276="Migré","ROKS",IF($F276="À décommissionner",IF(AN$8&lt;$AS276,"IKS","Décom."),IF(OR($AQ276="",$AS276=""),"",IF(AN$8&lt;$AQ276,"IKS",IF(AN$8&lt;$AS276,IF(AN$8=$AR276,"Bascule","Double run"),"ROKS"))))))</f>
        <v/>
      </c>
      <c r="AO276" s="51" t="str">
        <f aca="false">IF(OR($A276="",AO$8=""),"",IF($F276="Migré","ROKS",IF($F276="À décommissionner",IF(AO$8&lt;$AS276,"IKS","Décom."),IF(OR($AQ276="",$AS276=""),"",IF(AO$8&lt;$AQ276,"IKS",IF(AO$8&lt;$AS276,IF(AO$8=$AR276,"Bascule","Double run"),"ROKS"))))))</f>
        <v/>
      </c>
      <c r="AP276" s="51" t="str">
        <f aca="false">IF(OR($A276="",AP$8=""),"",IF($F276="Migré","ROKS",IF($F276="À décommissionner",IF(AP$8&lt;$AS276,"IKS","Décom."),IF(OR($AQ276="",$AS276=""),"",IF(AP$8&lt;$AQ276,"IKS",IF(AP$8&lt;$AS276,IF(AP$8=$AR276,"Bascule","Double run"),"ROKS"))))))</f>
        <v/>
      </c>
      <c r="AQ276" s="0" t="str">
        <f aca="false">IF($A276="","",INDEX(TblApplications[Mois prov (calc)],$A276))</f>
        <v/>
      </c>
      <c r="AR276" s="0" t="str">
        <f aca="false">IF($A276="","",IFERROR(DATE(YEAR(INDEX(TblApplications[Mois bascule],$A276)),MONTH(INDEX(TblApplications[Mois bascule],$A276)),1),""))</f>
        <v/>
      </c>
      <c r="AS276" s="0" t="str">
        <f aca="false">IF($A276="","",INDEX(TblApplications[Mois lib (calc)],$A276))</f>
        <v/>
      </c>
    </row>
    <row r="277" customFormat="false" ht="15" hidden="false" customHeight="false" outlineLevel="0" collapsed="false">
      <c r="A277" s="49" t="str">
        <f aca="false">IFERROR(MATCH(269,TblApplications[Rang frise],0),"")</f>
        <v/>
      </c>
      <c r="B277" s="50" t="str">
        <f aca="false">IF($A277="","",INDEX(TblApplications[ID],$A277))</f>
        <v/>
      </c>
      <c r="C277" s="50" t="str">
        <f aca="false">IF($A277="","",INDEX(TblApplications[Application],$A277))</f>
        <v/>
      </c>
      <c r="D277" s="50" t="str">
        <f aca="false">IF($A277="","",INDEX(TblApplications[Environnement],$A277))</f>
        <v/>
      </c>
      <c r="E277" s="50" t="str">
        <f aca="false">IF($A277="","",INDEX(TblApplications[Couloir],$A277))</f>
        <v/>
      </c>
      <c r="F277" s="50" t="str">
        <f aca="false">IF($A277="","",INDEX(TblApplications[Action],$A277))</f>
        <v/>
      </c>
      <c r="G277" s="51" t="str">
        <f aca="false">IF(OR($A277="",G$8=""),"",IF($F277="Migré","ROKS",IF($F277="À décommissionner",IF(G$8&lt;$AS277,"IKS","Décom."),IF(OR($AQ277="",$AS277=""),"",IF(G$8&lt;$AQ277,"IKS",IF(G$8&lt;$AS277,IF(G$8=$AR277,"Bascule","Double run"),"ROKS"))))))</f>
        <v/>
      </c>
      <c r="H277" s="51" t="str">
        <f aca="false">IF(OR($A277="",H$8=""),"",IF($F277="Migré","ROKS",IF($F277="À décommissionner",IF(H$8&lt;$AS277,"IKS","Décom."),IF(OR($AQ277="",$AS277=""),"",IF(H$8&lt;$AQ277,"IKS",IF(H$8&lt;$AS277,IF(H$8=$AR277,"Bascule","Double run"),"ROKS"))))))</f>
        <v/>
      </c>
      <c r="I277" s="51" t="str">
        <f aca="false">IF(OR($A277="",I$8=""),"",IF($F277="Migré","ROKS",IF($F277="À décommissionner",IF(I$8&lt;$AS277,"IKS","Décom."),IF(OR($AQ277="",$AS277=""),"",IF(I$8&lt;$AQ277,"IKS",IF(I$8&lt;$AS277,IF(I$8=$AR277,"Bascule","Double run"),"ROKS"))))))</f>
        <v/>
      </c>
      <c r="J277" s="51" t="str">
        <f aca="false">IF(OR($A277="",J$8=""),"",IF($F277="Migré","ROKS",IF($F277="À décommissionner",IF(J$8&lt;$AS277,"IKS","Décom."),IF(OR($AQ277="",$AS277=""),"",IF(J$8&lt;$AQ277,"IKS",IF(J$8&lt;$AS277,IF(J$8=$AR277,"Bascule","Double run"),"ROKS"))))))</f>
        <v/>
      </c>
      <c r="K277" s="51" t="str">
        <f aca="false">IF(OR($A277="",K$8=""),"",IF($F277="Migré","ROKS",IF($F277="À décommissionner",IF(K$8&lt;$AS277,"IKS","Décom."),IF(OR($AQ277="",$AS277=""),"",IF(K$8&lt;$AQ277,"IKS",IF(K$8&lt;$AS277,IF(K$8=$AR277,"Bascule","Double run"),"ROKS"))))))</f>
        <v/>
      </c>
      <c r="L277" s="51" t="str">
        <f aca="false">IF(OR($A277="",L$8=""),"",IF($F277="Migré","ROKS",IF($F277="À décommissionner",IF(L$8&lt;$AS277,"IKS","Décom."),IF(OR($AQ277="",$AS277=""),"",IF(L$8&lt;$AQ277,"IKS",IF(L$8&lt;$AS277,IF(L$8=$AR277,"Bascule","Double run"),"ROKS"))))))</f>
        <v/>
      </c>
      <c r="M277" s="51" t="str">
        <f aca="false">IF(OR($A277="",M$8=""),"",IF($F277="Migré","ROKS",IF($F277="À décommissionner",IF(M$8&lt;$AS277,"IKS","Décom."),IF(OR($AQ277="",$AS277=""),"",IF(M$8&lt;$AQ277,"IKS",IF(M$8&lt;$AS277,IF(M$8=$AR277,"Bascule","Double run"),"ROKS"))))))</f>
        <v/>
      </c>
      <c r="N277" s="51" t="str">
        <f aca="false">IF(OR($A277="",N$8=""),"",IF($F277="Migré","ROKS",IF($F277="À décommissionner",IF(N$8&lt;$AS277,"IKS","Décom."),IF(OR($AQ277="",$AS277=""),"",IF(N$8&lt;$AQ277,"IKS",IF(N$8&lt;$AS277,IF(N$8=$AR277,"Bascule","Double run"),"ROKS"))))))</f>
        <v/>
      </c>
      <c r="O277" s="51" t="str">
        <f aca="false">IF(OR($A277="",O$8=""),"",IF($F277="Migré","ROKS",IF($F277="À décommissionner",IF(O$8&lt;$AS277,"IKS","Décom."),IF(OR($AQ277="",$AS277=""),"",IF(O$8&lt;$AQ277,"IKS",IF(O$8&lt;$AS277,IF(O$8=$AR277,"Bascule","Double run"),"ROKS"))))))</f>
        <v/>
      </c>
      <c r="P277" s="51" t="str">
        <f aca="false">IF(OR($A277="",P$8=""),"",IF($F277="Migré","ROKS",IF($F277="À décommissionner",IF(P$8&lt;$AS277,"IKS","Décom."),IF(OR($AQ277="",$AS277=""),"",IF(P$8&lt;$AQ277,"IKS",IF(P$8&lt;$AS277,IF(P$8=$AR277,"Bascule","Double run"),"ROKS"))))))</f>
        <v/>
      </c>
      <c r="Q277" s="51" t="str">
        <f aca="false">IF(OR($A277="",Q$8=""),"",IF($F277="Migré","ROKS",IF($F277="À décommissionner",IF(Q$8&lt;$AS277,"IKS","Décom."),IF(OR($AQ277="",$AS277=""),"",IF(Q$8&lt;$AQ277,"IKS",IF(Q$8&lt;$AS277,IF(Q$8=$AR277,"Bascule","Double run"),"ROKS"))))))</f>
        <v/>
      </c>
      <c r="R277" s="51" t="str">
        <f aca="false">IF(OR($A277="",R$8=""),"",IF($F277="Migré","ROKS",IF($F277="À décommissionner",IF(R$8&lt;$AS277,"IKS","Décom."),IF(OR($AQ277="",$AS277=""),"",IF(R$8&lt;$AQ277,"IKS",IF(R$8&lt;$AS277,IF(R$8=$AR277,"Bascule","Double run"),"ROKS"))))))</f>
        <v/>
      </c>
      <c r="S277" s="51" t="str">
        <f aca="false">IF(OR($A277="",S$8=""),"",IF($F277="Migré","ROKS",IF($F277="À décommissionner",IF(S$8&lt;$AS277,"IKS","Décom."),IF(OR($AQ277="",$AS277=""),"",IF(S$8&lt;$AQ277,"IKS",IF(S$8&lt;$AS277,IF(S$8=$AR277,"Bascule","Double run"),"ROKS"))))))</f>
        <v/>
      </c>
      <c r="T277" s="51" t="str">
        <f aca="false">IF(OR($A277="",T$8=""),"",IF($F277="Migré","ROKS",IF($F277="À décommissionner",IF(T$8&lt;$AS277,"IKS","Décom."),IF(OR($AQ277="",$AS277=""),"",IF(T$8&lt;$AQ277,"IKS",IF(T$8&lt;$AS277,IF(T$8=$AR277,"Bascule","Double run"),"ROKS"))))))</f>
        <v/>
      </c>
      <c r="U277" s="51" t="str">
        <f aca="false">IF(OR($A277="",U$8=""),"",IF($F277="Migré","ROKS",IF($F277="À décommissionner",IF(U$8&lt;$AS277,"IKS","Décom."),IF(OR($AQ277="",$AS277=""),"",IF(U$8&lt;$AQ277,"IKS",IF(U$8&lt;$AS277,IF(U$8=$AR277,"Bascule","Double run"),"ROKS"))))))</f>
        <v/>
      </c>
      <c r="V277" s="51" t="str">
        <f aca="false">IF(OR($A277="",V$8=""),"",IF($F277="Migré","ROKS",IF($F277="À décommissionner",IF(V$8&lt;$AS277,"IKS","Décom."),IF(OR($AQ277="",$AS277=""),"",IF(V$8&lt;$AQ277,"IKS",IF(V$8&lt;$AS277,IF(V$8=$AR277,"Bascule","Double run"),"ROKS"))))))</f>
        <v/>
      </c>
      <c r="W277" s="51" t="str">
        <f aca="false">IF(OR($A277="",W$8=""),"",IF($F277="Migré","ROKS",IF($F277="À décommissionner",IF(W$8&lt;$AS277,"IKS","Décom."),IF(OR($AQ277="",$AS277=""),"",IF(W$8&lt;$AQ277,"IKS",IF(W$8&lt;$AS277,IF(W$8=$AR277,"Bascule","Double run"),"ROKS"))))))</f>
        <v/>
      </c>
      <c r="X277" s="51" t="str">
        <f aca="false">IF(OR($A277="",X$8=""),"",IF($F277="Migré","ROKS",IF($F277="À décommissionner",IF(X$8&lt;$AS277,"IKS","Décom."),IF(OR($AQ277="",$AS277=""),"",IF(X$8&lt;$AQ277,"IKS",IF(X$8&lt;$AS277,IF(X$8=$AR277,"Bascule","Double run"),"ROKS"))))))</f>
        <v/>
      </c>
      <c r="Y277" s="51" t="str">
        <f aca="false">IF(OR($A277="",Y$8=""),"",IF($F277="Migré","ROKS",IF($F277="À décommissionner",IF(Y$8&lt;$AS277,"IKS","Décom."),IF(OR($AQ277="",$AS277=""),"",IF(Y$8&lt;$AQ277,"IKS",IF(Y$8&lt;$AS277,IF(Y$8=$AR277,"Bascule","Double run"),"ROKS"))))))</f>
        <v/>
      </c>
      <c r="Z277" s="51" t="str">
        <f aca="false">IF(OR($A277="",Z$8=""),"",IF($F277="Migré","ROKS",IF($F277="À décommissionner",IF(Z$8&lt;$AS277,"IKS","Décom."),IF(OR($AQ277="",$AS277=""),"",IF(Z$8&lt;$AQ277,"IKS",IF(Z$8&lt;$AS277,IF(Z$8=$AR277,"Bascule","Double run"),"ROKS"))))))</f>
        <v/>
      </c>
      <c r="AA277" s="51" t="str">
        <f aca="false">IF(OR($A277="",AA$8=""),"",IF($F277="Migré","ROKS",IF($F277="À décommissionner",IF(AA$8&lt;$AS277,"IKS","Décom."),IF(OR($AQ277="",$AS277=""),"",IF(AA$8&lt;$AQ277,"IKS",IF(AA$8&lt;$AS277,IF(AA$8=$AR277,"Bascule","Double run"),"ROKS"))))))</f>
        <v/>
      </c>
      <c r="AB277" s="51" t="str">
        <f aca="false">IF(OR($A277="",AB$8=""),"",IF($F277="Migré","ROKS",IF($F277="À décommissionner",IF(AB$8&lt;$AS277,"IKS","Décom."),IF(OR($AQ277="",$AS277=""),"",IF(AB$8&lt;$AQ277,"IKS",IF(AB$8&lt;$AS277,IF(AB$8=$AR277,"Bascule","Double run"),"ROKS"))))))</f>
        <v/>
      </c>
      <c r="AC277" s="51" t="str">
        <f aca="false">IF(OR($A277="",AC$8=""),"",IF($F277="Migré","ROKS",IF($F277="À décommissionner",IF(AC$8&lt;$AS277,"IKS","Décom."),IF(OR($AQ277="",$AS277=""),"",IF(AC$8&lt;$AQ277,"IKS",IF(AC$8&lt;$AS277,IF(AC$8=$AR277,"Bascule","Double run"),"ROKS"))))))</f>
        <v/>
      </c>
      <c r="AD277" s="51" t="str">
        <f aca="false">IF(OR($A277="",AD$8=""),"",IF($F277="Migré","ROKS",IF($F277="À décommissionner",IF(AD$8&lt;$AS277,"IKS","Décom."),IF(OR($AQ277="",$AS277=""),"",IF(AD$8&lt;$AQ277,"IKS",IF(AD$8&lt;$AS277,IF(AD$8=$AR277,"Bascule","Double run"),"ROKS"))))))</f>
        <v/>
      </c>
      <c r="AE277" s="51" t="str">
        <f aca="false">IF(OR($A277="",AE$8=""),"",IF($F277="Migré","ROKS",IF($F277="À décommissionner",IF(AE$8&lt;$AS277,"IKS","Décom."),IF(OR($AQ277="",$AS277=""),"",IF(AE$8&lt;$AQ277,"IKS",IF(AE$8&lt;$AS277,IF(AE$8=$AR277,"Bascule","Double run"),"ROKS"))))))</f>
        <v/>
      </c>
      <c r="AF277" s="51" t="str">
        <f aca="false">IF(OR($A277="",AF$8=""),"",IF($F277="Migré","ROKS",IF($F277="À décommissionner",IF(AF$8&lt;$AS277,"IKS","Décom."),IF(OR($AQ277="",$AS277=""),"",IF(AF$8&lt;$AQ277,"IKS",IF(AF$8&lt;$AS277,IF(AF$8=$AR277,"Bascule","Double run"),"ROKS"))))))</f>
        <v/>
      </c>
      <c r="AG277" s="51" t="str">
        <f aca="false">IF(OR($A277="",AG$8=""),"",IF($F277="Migré","ROKS",IF($F277="À décommissionner",IF(AG$8&lt;$AS277,"IKS","Décom."),IF(OR($AQ277="",$AS277=""),"",IF(AG$8&lt;$AQ277,"IKS",IF(AG$8&lt;$AS277,IF(AG$8=$AR277,"Bascule","Double run"),"ROKS"))))))</f>
        <v/>
      </c>
      <c r="AH277" s="51" t="str">
        <f aca="false">IF(OR($A277="",AH$8=""),"",IF($F277="Migré","ROKS",IF($F277="À décommissionner",IF(AH$8&lt;$AS277,"IKS","Décom."),IF(OR($AQ277="",$AS277=""),"",IF(AH$8&lt;$AQ277,"IKS",IF(AH$8&lt;$AS277,IF(AH$8=$AR277,"Bascule","Double run"),"ROKS"))))))</f>
        <v/>
      </c>
      <c r="AI277" s="51" t="str">
        <f aca="false">IF(OR($A277="",AI$8=""),"",IF($F277="Migré","ROKS",IF($F277="À décommissionner",IF(AI$8&lt;$AS277,"IKS","Décom."),IF(OR($AQ277="",$AS277=""),"",IF(AI$8&lt;$AQ277,"IKS",IF(AI$8&lt;$AS277,IF(AI$8=$AR277,"Bascule","Double run"),"ROKS"))))))</f>
        <v/>
      </c>
      <c r="AJ277" s="51" t="str">
        <f aca="false">IF(OR($A277="",AJ$8=""),"",IF($F277="Migré","ROKS",IF($F277="À décommissionner",IF(AJ$8&lt;$AS277,"IKS","Décom."),IF(OR($AQ277="",$AS277=""),"",IF(AJ$8&lt;$AQ277,"IKS",IF(AJ$8&lt;$AS277,IF(AJ$8=$AR277,"Bascule","Double run"),"ROKS"))))))</f>
        <v/>
      </c>
      <c r="AK277" s="51" t="str">
        <f aca="false">IF(OR($A277="",AK$8=""),"",IF($F277="Migré","ROKS",IF($F277="À décommissionner",IF(AK$8&lt;$AS277,"IKS","Décom."),IF(OR($AQ277="",$AS277=""),"",IF(AK$8&lt;$AQ277,"IKS",IF(AK$8&lt;$AS277,IF(AK$8=$AR277,"Bascule","Double run"),"ROKS"))))))</f>
        <v/>
      </c>
      <c r="AL277" s="51" t="str">
        <f aca="false">IF(OR($A277="",AL$8=""),"",IF($F277="Migré","ROKS",IF($F277="À décommissionner",IF(AL$8&lt;$AS277,"IKS","Décom."),IF(OR($AQ277="",$AS277=""),"",IF(AL$8&lt;$AQ277,"IKS",IF(AL$8&lt;$AS277,IF(AL$8=$AR277,"Bascule","Double run"),"ROKS"))))))</f>
        <v/>
      </c>
      <c r="AM277" s="51" t="str">
        <f aca="false">IF(OR($A277="",AM$8=""),"",IF($F277="Migré","ROKS",IF($F277="À décommissionner",IF(AM$8&lt;$AS277,"IKS","Décom."),IF(OR($AQ277="",$AS277=""),"",IF(AM$8&lt;$AQ277,"IKS",IF(AM$8&lt;$AS277,IF(AM$8=$AR277,"Bascule","Double run"),"ROKS"))))))</f>
        <v/>
      </c>
      <c r="AN277" s="51" t="str">
        <f aca="false">IF(OR($A277="",AN$8=""),"",IF($F277="Migré","ROKS",IF($F277="À décommissionner",IF(AN$8&lt;$AS277,"IKS","Décom."),IF(OR($AQ277="",$AS277=""),"",IF(AN$8&lt;$AQ277,"IKS",IF(AN$8&lt;$AS277,IF(AN$8=$AR277,"Bascule","Double run"),"ROKS"))))))</f>
        <v/>
      </c>
      <c r="AO277" s="51" t="str">
        <f aca="false">IF(OR($A277="",AO$8=""),"",IF($F277="Migré","ROKS",IF($F277="À décommissionner",IF(AO$8&lt;$AS277,"IKS","Décom."),IF(OR($AQ277="",$AS277=""),"",IF(AO$8&lt;$AQ277,"IKS",IF(AO$8&lt;$AS277,IF(AO$8=$AR277,"Bascule","Double run"),"ROKS"))))))</f>
        <v/>
      </c>
      <c r="AP277" s="51" t="str">
        <f aca="false">IF(OR($A277="",AP$8=""),"",IF($F277="Migré","ROKS",IF($F277="À décommissionner",IF(AP$8&lt;$AS277,"IKS","Décom."),IF(OR($AQ277="",$AS277=""),"",IF(AP$8&lt;$AQ277,"IKS",IF(AP$8&lt;$AS277,IF(AP$8=$AR277,"Bascule","Double run"),"ROKS"))))))</f>
        <v/>
      </c>
      <c r="AQ277" s="0" t="str">
        <f aca="false">IF($A277="","",INDEX(TblApplications[Mois prov (calc)],$A277))</f>
        <v/>
      </c>
      <c r="AR277" s="0" t="str">
        <f aca="false">IF($A277="","",IFERROR(DATE(YEAR(INDEX(TblApplications[Mois bascule],$A277)),MONTH(INDEX(TblApplications[Mois bascule],$A277)),1),""))</f>
        <v/>
      </c>
      <c r="AS277" s="0" t="str">
        <f aca="false">IF($A277="","",INDEX(TblApplications[Mois lib (calc)],$A277))</f>
        <v/>
      </c>
    </row>
    <row r="278" customFormat="false" ht="15" hidden="false" customHeight="false" outlineLevel="0" collapsed="false">
      <c r="A278" s="49" t="str">
        <f aca="false">IFERROR(MATCH(270,TblApplications[Rang frise],0),"")</f>
        <v/>
      </c>
      <c r="B278" s="50" t="str">
        <f aca="false">IF($A278="","",INDEX(TblApplications[ID],$A278))</f>
        <v/>
      </c>
      <c r="C278" s="50" t="str">
        <f aca="false">IF($A278="","",INDEX(TblApplications[Application],$A278))</f>
        <v/>
      </c>
      <c r="D278" s="50" t="str">
        <f aca="false">IF($A278="","",INDEX(TblApplications[Environnement],$A278))</f>
        <v/>
      </c>
      <c r="E278" s="50" t="str">
        <f aca="false">IF($A278="","",INDEX(TblApplications[Couloir],$A278))</f>
        <v/>
      </c>
      <c r="F278" s="50" t="str">
        <f aca="false">IF($A278="","",INDEX(TblApplications[Action],$A278))</f>
        <v/>
      </c>
      <c r="G278" s="51" t="str">
        <f aca="false">IF(OR($A278="",G$8=""),"",IF($F278="Migré","ROKS",IF($F278="À décommissionner",IF(G$8&lt;$AS278,"IKS","Décom."),IF(OR($AQ278="",$AS278=""),"",IF(G$8&lt;$AQ278,"IKS",IF(G$8&lt;$AS278,IF(G$8=$AR278,"Bascule","Double run"),"ROKS"))))))</f>
        <v/>
      </c>
      <c r="H278" s="51" t="str">
        <f aca="false">IF(OR($A278="",H$8=""),"",IF($F278="Migré","ROKS",IF($F278="À décommissionner",IF(H$8&lt;$AS278,"IKS","Décom."),IF(OR($AQ278="",$AS278=""),"",IF(H$8&lt;$AQ278,"IKS",IF(H$8&lt;$AS278,IF(H$8=$AR278,"Bascule","Double run"),"ROKS"))))))</f>
        <v/>
      </c>
      <c r="I278" s="51" t="str">
        <f aca="false">IF(OR($A278="",I$8=""),"",IF($F278="Migré","ROKS",IF($F278="À décommissionner",IF(I$8&lt;$AS278,"IKS","Décom."),IF(OR($AQ278="",$AS278=""),"",IF(I$8&lt;$AQ278,"IKS",IF(I$8&lt;$AS278,IF(I$8=$AR278,"Bascule","Double run"),"ROKS"))))))</f>
        <v/>
      </c>
      <c r="J278" s="51" t="str">
        <f aca="false">IF(OR($A278="",J$8=""),"",IF($F278="Migré","ROKS",IF($F278="À décommissionner",IF(J$8&lt;$AS278,"IKS","Décom."),IF(OR($AQ278="",$AS278=""),"",IF(J$8&lt;$AQ278,"IKS",IF(J$8&lt;$AS278,IF(J$8=$AR278,"Bascule","Double run"),"ROKS"))))))</f>
        <v/>
      </c>
      <c r="K278" s="51" t="str">
        <f aca="false">IF(OR($A278="",K$8=""),"",IF($F278="Migré","ROKS",IF($F278="À décommissionner",IF(K$8&lt;$AS278,"IKS","Décom."),IF(OR($AQ278="",$AS278=""),"",IF(K$8&lt;$AQ278,"IKS",IF(K$8&lt;$AS278,IF(K$8=$AR278,"Bascule","Double run"),"ROKS"))))))</f>
        <v/>
      </c>
      <c r="L278" s="51" t="str">
        <f aca="false">IF(OR($A278="",L$8=""),"",IF($F278="Migré","ROKS",IF($F278="À décommissionner",IF(L$8&lt;$AS278,"IKS","Décom."),IF(OR($AQ278="",$AS278=""),"",IF(L$8&lt;$AQ278,"IKS",IF(L$8&lt;$AS278,IF(L$8=$AR278,"Bascule","Double run"),"ROKS"))))))</f>
        <v/>
      </c>
      <c r="M278" s="51" t="str">
        <f aca="false">IF(OR($A278="",M$8=""),"",IF($F278="Migré","ROKS",IF($F278="À décommissionner",IF(M$8&lt;$AS278,"IKS","Décom."),IF(OR($AQ278="",$AS278=""),"",IF(M$8&lt;$AQ278,"IKS",IF(M$8&lt;$AS278,IF(M$8=$AR278,"Bascule","Double run"),"ROKS"))))))</f>
        <v/>
      </c>
      <c r="N278" s="51" t="str">
        <f aca="false">IF(OR($A278="",N$8=""),"",IF($F278="Migré","ROKS",IF($F278="À décommissionner",IF(N$8&lt;$AS278,"IKS","Décom."),IF(OR($AQ278="",$AS278=""),"",IF(N$8&lt;$AQ278,"IKS",IF(N$8&lt;$AS278,IF(N$8=$AR278,"Bascule","Double run"),"ROKS"))))))</f>
        <v/>
      </c>
      <c r="O278" s="51" t="str">
        <f aca="false">IF(OR($A278="",O$8=""),"",IF($F278="Migré","ROKS",IF($F278="À décommissionner",IF(O$8&lt;$AS278,"IKS","Décom."),IF(OR($AQ278="",$AS278=""),"",IF(O$8&lt;$AQ278,"IKS",IF(O$8&lt;$AS278,IF(O$8=$AR278,"Bascule","Double run"),"ROKS"))))))</f>
        <v/>
      </c>
      <c r="P278" s="51" t="str">
        <f aca="false">IF(OR($A278="",P$8=""),"",IF($F278="Migré","ROKS",IF($F278="À décommissionner",IF(P$8&lt;$AS278,"IKS","Décom."),IF(OR($AQ278="",$AS278=""),"",IF(P$8&lt;$AQ278,"IKS",IF(P$8&lt;$AS278,IF(P$8=$AR278,"Bascule","Double run"),"ROKS"))))))</f>
        <v/>
      </c>
      <c r="Q278" s="51" t="str">
        <f aca="false">IF(OR($A278="",Q$8=""),"",IF($F278="Migré","ROKS",IF($F278="À décommissionner",IF(Q$8&lt;$AS278,"IKS","Décom."),IF(OR($AQ278="",$AS278=""),"",IF(Q$8&lt;$AQ278,"IKS",IF(Q$8&lt;$AS278,IF(Q$8=$AR278,"Bascule","Double run"),"ROKS"))))))</f>
        <v/>
      </c>
      <c r="R278" s="51" t="str">
        <f aca="false">IF(OR($A278="",R$8=""),"",IF($F278="Migré","ROKS",IF($F278="À décommissionner",IF(R$8&lt;$AS278,"IKS","Décom."),IF(OR($AQ278="",$AS278=""),"",IF(R$8&lt;$AQ278,"IKS",IF(R$8&lt;$AS278,IF(R$8=$AR278,"Bascule","Double run"),"ROKS"))))))</f>
        <v/>
      </c>
      <c r="S278" s="51" t="str">
        <f aca="false">IF(OR($A278="",S$8=""),"",IF($F278="Migré","ROKS",IF($F278="À décommissionner",IF(S$8&lt;$AS278,"IKS","Décom."),IF(OR($AQ278="",$AS278=""),"",IF(S$8&lt;$AQ278,"IKS",IF(S$8&lt;$AS278,IF(S$8=$AR278,"Bascule","Double run"),"ROKS"))))))</f>
        <v/>
      </c>
      <c r="T278" s="51" t="str">
        <f aca="false">IF(OR($A278="",T$8=""),"",IF($F278="Migré","ROKS",IF($F278="À décommissionner",IF(T$8&lt;$AS278,"IKS","Décom."),IF(OR($AQ278="",$AS278=""),"",IF(T$8&lt;$AQ278,"IKS",IF(T$8&lt;$AS278,IF(T$8=$AR278,"Bascule","Double run"),"ROKS"))))))</f>
        <v/>
      </c>
      <c r="U278" s="51" t="str">
        <f aca="false">IF(OR($A278="",U$8=""),"",IF($F278="Migré","ROKS",IF($F278="À décommissionner",IF(U$8&lt;$AS278,"IKS","Décom."),IF(OR($AQ278="",$AS278=""),"",IF(U$8&lt;$AQ278,"IKS",IF(U$8&lt;$AS278,IF(U$8=$AR278,"Bascule","Double run"),"ROKS"))))))</f>
        <v/>
      </c>
      <c r="V278" s="51" t="str">
        <f aca="false">IF(OR($A278="",V$8=""),"",IF($F278="Migré","ROKS",IF($F278="À décommissionner",IF(V$8&lt;$AS278,"IKS","Décom."),IF(OR($AQ278="",$AS278=""),"",IF(V$8&lt;$AQ278,"IKS",IF(V$8&lt;$AS278,IF(V$8=$AR278,"Bascule","Double run"),"ROKS"))))))</f>
        <v/>
      </c>
      <c r="W278" s="51" t="str">
        <f aca="false">IF(OR($A278="",W$8=""),"",IF($F278="Migré","ROKS",IF($F278="À décommissionner",IF(W$8&lt;$AS278,"IKS","Décom."),IF(OR($AQ278="",$AS278=""),"",IF(W$8&lt;$AQ278,"IKS",IF(W$8&lt;$AS278,IF(W$8=$AR278,"Bascule","Double run"),"ROKS"))))))</f>
        <v/>
      </c>
      <c r="X278" s="51" t="str">
        <f aca="false">IF(OR($A278="",X$8=""),"",IF($F278="Migré","ROKS",IF($F278="À décommissionner",IF(X$8&lt;$AS278,"IKS","Décom."),IF(OR($AQ278="",$AS278=""),"",IF(X$8&lt;$AQ278,"IKS",IF(X$8&lt;$AS278,IF(X$8=$AR278,"Bascule","Double run"),"ROKS"))))))</f>
        <v/>
      </c>
      <c r="Y278" s="51" t="str">
        <f aca="false">IF(OR($A278="",Y$8=""),"",IF($F278="Migré","ROKS",IF($F278="À décommissionner",IF(Y$8&lt;$AS278,"IKS","Décom."),IF(OR($AQ278="",$AS278=""),"",IF(Y$8&lt;$AQ278,"IKS",IF(Y$8&lt;$AS278,IF(Y$8=$AR278,"Bascule","Double run"),"ROKS"))))))</f>
        <v/>
      </c>
      <c r="Z278" s="51" t="str">
        <f aca="false">IF(OR($A278="",Z$8=""),"",IF($F278="Migré","ROKS",IF($F278="À décommissionner",IF(Z$8&lt;$AS278,"IKS","Décom."),IF(OR($AQ278="",$AS278=""),"",IF(Z$8&lt;$AQ278,"IKS",IF(Z$8&lt;$AS278,IF(Z$8=$AR278,"Bascule","Double run"),"ROKS"))))))</f>
        <v/>
      </c>
      <c r="AA278" s="51" t="str">
        <f aca="false">IF(OR($A278="",AA$8=""),"",IF($F278="Migré","ROKS",IF($F278="À décommissionner",IF(AA$8&lt;$AS278,"IKS","Décom."),IF(OR($AQ278="",$AS278=""),"",IF(AA$8&lt;$AQ278,"IKS",IF(AA$8&lt;$AS278,IF(AA$8=$AR278,"Bascule","Double run"),"ROKS"))))))</f>
        <v/>
      </c>
      <c r="AB278" s="51" t="str">
        <f aca="false">IF(OR($A278="",AB$8=""),"",IF($F278="Migré","ROKS",IF($F278="À décommissionner",IF(AB$8&lt;$AS278,"IKS","Décom."),IF(OR($AQ278="",$AS278=""),"",IF(AB$8&lt;$AQ278,"IKS",IF(AB$8&lt;$AS278,IF(AB$8=$AR278,"Bascule","Double run"),"ROKS"))))))</f>
        <v/>
      </c>
      <c r="AC278" s="51" t="str">
        <f aca="false">IF(OR($A278="",AC$8=""),"",IF($F278="Migré","ROKS",IF($F278="À décommissionner",IF(AC$8&lt;$AS278,"IKS","Décom."),IF(OR($AQ278="",$AS278=""),"",IF(AC$8&lt;$AQ278,"IKS",IF(AC$8&lt;$AS278,IF(AC$8=$AR278,"Bascule","Double run"),"ROKS"))))))</f>
        <v/>
      </c>
      <c r="AD278" s="51" t="str">
        <f aca="false">IF(OR($A278="",AD$8=""),"",IF($F278="Migré","ROKS",IF($F278="À décommissionner",IF(AD$8&lt;$AS278,"IKS","Décom."),IF(OR($AQ278="",$AS278=""),"",IF(AD$8&lt;$AQ278,"IKS",IF(AD$8&lt;$AS278,IF(AD$8=$AR278,"Bascule","Double run"),"ROKS"))))))</f>
        <v/>
      </c>
      <c r="AE278" s="51" t="str">
        <f aca="false">IF(OR($A278="",AE$8=""),"",IF($F278="Migré","ROKS",IF($F278="À décommissionner",IF(AE$8&lt;$AS278,"IKS","Décom."),IF(OR($AQ278="",$AS278=""),"",IF(AE$8&lt;$AQ278,"IKS",IF(AE$8&lt;$AS278,IF(AE$8=$AR278,"Bascule","Double run"),"ROKS"))))))</f>
        <v/>
      </c>
      <c r="AF278" s="51" t="str">
        <f aca="false">IF(OR($A278="",AF$8=""),"",IF($F278="Migré","ROKS",IF($F278="À décommissionner",IF(AF$8&lt;$AS278,"IKS","Décom."),IF(OR($AQ278="",$AS278=""),"",IF(AF$8&lt;$AQ278,"IKS",IF(AF$8&lt;$AS278,IF(AF$8=$AR278,"Bascule","Double run"),"ROKS"))))))</f>
        <v/>
      </c>
      <c r="AG278" s="51" t="str">
        <f aca="false">IF(OR($A278="",AG$8=""),"",IF($F278="Migré","ROKS",IF($F278="À décommissionner",IF(AG$8&lt;$AS278,"IKS","Décom."),IF(OR($AQ278="",$AS278=""),"",IF(AG$8&lt;$AQ278,"IKS",IF(AG$8&lt;$AS278,IF(AG$8=$AR278,"Bascule","Double run"),"ROKS"))))))</f>
        <v/>
      </c>
      <c r="AH278" s="51" t="str">
        <f aca="false">IF(OR($A278="",AH$8=""),"",IF($F278="Migré","ROKS",IF($F278="À décommissionner",IF(AH$8&lt;$AS278,"IKS","Décom."),IF(OR($AQ278="",$AS278=""),"",IF(AH$8&lt;$AQ278,"IKS",IF(AH$8&lt;$AS278,IF(AH$8=$AR278,"Bascule","Double run"),"ROKS"))))))</f>
        <v/>
      </c>
      <c r="AI278" s="51" t="str">
        <f aca="false">IF(OR($A278="",AI$8=""),"",IF($F278="Migré","ROKS",IF($F278="À décommissionner",IF(AI$8&lt;$AS278,"IKS","Décom."),IF(OR($AQ278="",$AS278=""),"",IF(AI$8&lt;$AQ278,"IKS",IF(AI$8&lt;$AS278,IF(AI$8=$AR278,"Bascule","Double run"),"ROKS"))))))</f>
        <v/>
      </c>
      <c r="AJ278" s="51" t="str">
        <f aca="false">IF(OR($A278="",AJ$8=""),"",IF($F278="Migré","ROKS",IF($F278="À décommissionner",IF(AJ$8&lt;$AS278,"IKS","Décom."),IF(OR($AQ278="",$AS278=""),"",IF(AJ$8&lt;$AQ278,"IKS",IF(AJ$8&lt;$AS278,IF(AJ$8=$AR278,"Bascule","Double run"),"ROKS"))))))</f>
        <v/>
      </c>
      <c r="AK278" s="51" t="str">
        <f aca="false">IF(OR($A278="",AK$8=""),"",IF($F278="Migré","ROKS",IF($F278="À décommissionner",IF(AK$8&lt;$AS278,"IKS","Décom."),IF(OR($AQ278="",$AS278=""),"",IF(AK$8&lt;$AQ278,"IKS",IF(AK$8&lt;$AS278,IF(AK$8=$AR278,"Bascule","Double run"),"ROKS"))))))</f>
        <v/>
      </c>
      <c r="AL278" s="51" t="str">
        <f aca="false">IF(OR($A278="",AL$8=""),"",IF($F278="Migré","ROKS",IF($F278="À décommissionner",IF(AL$8&lt;$AS278,"IKS","Décom."),IF(OR($AQ278="",$AS278=""),"",IF(AL$8&lt;$AQ278,"IKS",IF(AL$8&lt;$AS278,IF(AL$8=$AR278,"Bascule","Double run"),"ROKS"))))))</f>
        <v/>
      </c>
      <c r="AM278" s="51" t="str">
        <f aca="false">IF(OR($A278="",AM$8=""),"",IF($F278="Migré","ROKS",IF($F278="À décommissionner",IF(AM$8&lt;$AS278,"IKS","Décom."),IF(OR($AQ278="",$AS278=""),"",IF(AM$8&lt;$AQ278,"IKS",IF(AM$8&lt;$AS278,IF(AM$8=$AR278,"Bascule","Double run"),"ROKS"))))))</f>
        <v/>
      </c>
      <c r="AN278" s="51" t="str">
        <f aca="false">IF(OR($A278="",AN$8=""),"",IF($F278="Migré","ROKS",IF($F278="À décommissionner",IF(AN$8&lt;$AS278,"IKS","Décom."),IF(OR($AQ278="",$AS278=""),"",IF(AN$8&lt;$AQ278,"IKS",IF(AN$8&lt;$AS278,IF(AN$8=$AR278,"Bascule","Double run"),"ROKS"))))))</f>
        <v/>
      </c>
      <c r="AO278" s="51" t="str">
        <f aca="false">IF(OR($A278="",AO$8=""),"",IF($F278="Migré","ROKS",IF($F278="À décommissionner",IF(AO$8&lt;$AS278,"IKS","Décom."),IF(OR($AQ278="",$AS278=""),"",IF(AO$8&lt;$AQ278,"IKS",IF(AO$8&lt;$AS278,IF(AO$8=$AR278,"Bascule","Double run"),"ROKS"))))))</f>
        <v/>
      </c>
      <c r="AP278" s="51" t="str">
        <f aca="false">IF(OR($A278="",AP$8=""),"",IF($F278="Migré","ROKS",IF($F278="À décommissionner",IF(AP$8&lt;$AS278,"IKS","Décom."),IF(OR($AQ278="",$AS278=""),"",IF(AP$8&lt;$AQ278,"IKS",IF(AP$8&lt;$AS278,IF(AP$8=$AR278,"Bascule","Double run"),"ROKS"))))))</f>
        <v/>
      </c>
      <c r="AQ278" s="0" t="str">
        <f aca="false">IF($A278="","",INDEX(TblApplications[Mois prov (calc)],$A278))</f>
        <v/>
      </c>
      <c r="AR278" s="0" t="str">
        <f aca="false">IF($A278="","",IFERROR(DATE(YEAR(INDEX(TblApplications[Mois bascule],$A278)),MONTH(INDEX(TblApplications[Mois bascule],$A278)),1),""))</f>
        <v/>
      </c>
      <c r="AS278" s="0" t="str">
        <f aca="false">IF($A278="","",INDEX(TblApplications[Mois lib (calc)],$A278))</f>
        <v/>
      </c>
    </row>
    <row r="279" customFormat="false" ht="15" hidden="false" customHeight="false" outlineLevel="0" collapsed="false">
      <c r="A279" s="49" t="str">
        <f aca="false">IFERROR(MATCH(271,TblApplications[Rang frise],0),"")</f>
        <v/>
      </c>
      <c r="B279" s="50" t="str">
        <f aca="false">IF($A279="","",INDEX(TblApplications[ID],$A279))</f>
        <v/>
      </c>
      <c r="C279" s="50" t="str">
        <f aca="false">IF($A279="","",INDEX(TblApplications[Application],$A279))</f>
        <v/>
      </c>
      <c r="D279" s="50" t="str">
        <f aca="false">IF($A279="","",INDEX(TblApplications[Environnement],$A279))</f>
        <v/>
      </c>
      <c r="E279" s="50" t="str">
        <f aca="false">IF($A279="","",INDEX(TblApplications[Couloir],$A279))</f>
        <v/>
      </c>
      <c r="F279" s="50" t="str">
        <f aca="false">IF($A279="","",INDEX(TblApplications[Action],$A279))</f>
        <v/>
      </c>
      <c r="G279" s="51" t="str">
        <f aca="false">IF(OR($A279="",G$8=""),"",IF($F279="Migré","ROKS",IF($F279="À décommissionner",IF(G$8&lt;$AS279,"IKS","Décom."),IF(OR($AQ279="",$AS279=""),"",IF(G$8&lt;$AQ279,"IKS",IF(G$8&lt;$AS279,IF(G$8=$AR279,"Bascule","Double run"),"ROKS"))))))</f>
        <v/>
      </c>
      <c r="H279" s="51" t="str">
        <f aca="false">IF(OR($A279="",H$8=""),"",IF($F279="Migré","ROKS",IF($F279="À décommissionner",IF(H$8&lt;$AS279,"IKS","Décom."),IF(OR($AQ279="",$AS279=""),"",IF(H$8&lt;$AQ279,"IKS",IF(H$8&lt;$AS279,IF(H$8=$AR279,"Bascule","Double run"),"ROKS"))))))</f>
        <v/>
      </c>
      <c r="I279" s="51" t="str">
        <f aca="false">IF(OR($A279="",I$8=""),"",IF($F279="Migré","ROKS",IF($F279="À décommissionner",IF(I$8&lt;$AS279,"IKS","Décom."),IF(OR($AQ279="",$AS279=""),"",IF(I$8&lt;$AQ279,"IKS",IF(I$8&lt;$AS279,IF(I$8=$AR279,"Bascule","Double run"),"ROKS"))))))</f>
        <v/>
      </c>
      <c r="J279" s="51" t="str">
        <f aca="false">IF(OR($A279="",J$8=""),"",IF($F279="Migré","ROKS",IF($F279="À décommissionner",IF(J$8&lt;$AS279,"IKS","Décom."),IF(OR($AQ279="",$AS279=""),"",IF(J$8&lt;$AQ279,"IKS",IF(J$8&lt;$AS279,IF(J$8=$AR279,"Bascule","Double run"),"ROKS"))))))</f>
        <v/>
      </c>
      <c r="K279" s="51" t="str">
        <f aca="false">IF(OR($A279="",K$8=""),"",IF($F279="Migré","ROKS",IF($F279="À décommissionner",IF(K$8&lt;$AS279,"IKS","Décom."),IF(OR($AQ279="",$AS279=""),"",IF(K$8&lt;$AQ279,"IKS",IF(K$8&lt;$AS279,IF(K$8=$AR279,"Bascule","Double run"),"ROKS"))))))</f>
        <v/>
      </c>
      <c r="L279" s="51" t="str">
        <f aca="false">IF(OR($A279="",L$8=""),"",IF($F279="Migré","ROKS",IF($F279="À décommissionner",IF(L$8&lt;$AS279,"IKS","Décom."),IF(OR($AQ279="",$AS279=""),"",IF(L$8&lt;$AQ279,"IKS",IF(L$8&lt;$AS279,IF(L$8=$AR279,"Bascule","Double run"),"ROKS"))))))</f>
        <v/>
      </c>
      <c r="M279" s="51" t="str">
        <f aca="false">IF(OR($A279="",M$8=""),"",IF($F279="Migré","ROKS",IF($F279="À décommissionner",IF(M$8&lt;$AS279,"IKS","Décom."),IF(OR($AQ279="",$AS279=""),"",IF(M$8&lt;$AQ279,"IKS",IF(M$8&lt;$AS279,IF(M$8=$AR279,"Bascule","Double run"),"ROKS"))))))</f>
        <v/>
      </c>
      <c r="N279" s="51" t="str">
        <f aca="false">IF(OR($A279="",N$8=""),"",IF($F279="Migré","ROKS",IF($F279="À décommissionner",IF(N$8&lt;$AS279,"IKS","Décom."),IF(OR($AQ279="",$AS279=""),"",IF(N$8&lt;$AQ279,"IKS",IF(N$8&lt;$AS279,IF(N$8=$AR279,"Bascule","Double run"),"ROKS"))))))</f>
        <v/>
      </c>
      <c r="O279" s="51" t="str">
        <f aca="false">IF(OR($A279="",O$8=""),"",IF($F279="Migré","ROKS",IF($F279="À décommissionner",IF(O$8&lt;$AS279,"IKS","Décom."),IF(OR($AQ279="",$AS279=""),"",IF(O$8&lt;$AQ279,"IKS",IF(O$8&lt;$AS279,IF(O$8=$AR279,"Bascule","Double run"),"ROKS"))))))</f>
        <v/>
      </c>
      <c r="P279" s="51" t="str">
        <f aca="false">IF(OR($A279="",P$8=""),"",IF($F279="Migré","ROKS",IF($F279="À décommissionner",IF(P$8&lt;$AS279,"IKS","Décom."),IF(OR($AQ279="",$AS279=""),"",IF(P$8&lt;$AQ279,"IKS",IF(P$8&lt;$AS279,IF(P$8=$AR279,"Bascule","Double run"),"ROKS"))))))</f>
        <v/>
      </c>
      <c r="Q279" s="51" t="str">
        <f aca="false">IF(OR($A279="",Q$8=""),"",IF($F279="Migré","ROKS",IF($F279="À décommissionner",IF(Q$8&lt;$AS279,"IKS","Décom."),IF(OR($AQ279="",$AS279=""),"",IF(Q$8&lt;$AQ279,"IKS",IF(Q$8&lt;$AS279,IF(Q$8=$AR279,"Bascule","Double run"),"ROKS"))))))</f>
        <v/>
      </c>
      <c r="R279" s="51" t="str">
        <f aca="false">IF(OR($A279="",R$8=""),"",IF($F279="Migré","ROKS",IF($F279="À décommissionner",IF(R$8&lt;$AS279,"IKS","Décom."),IF(OR($AQ279="",$AS279=""),"",IF(R$8&lt;$AQ279,"IKS",IF(R$8&lt;$AS279,IF(R$8=$AR279,"Bascule","Double run"),"ROKS"))))))</f>
        <v/>
      </c>
      <c r="S279" s="51" t="str">
        <f aca="false">IF(OR($A279="",S$8=""),"",IF($F279="Migré","ROKS",IF($F279="À décommissionner",IF(S$8&lt;$AS279,"IKS","Décom."),IF(OR($AQ279="",$AS279=""),"",IF(S$8&lt;$AQ279,"IKS",IF(S$8&lt;$AS279,IF(S$8=$AR279,"Bascule","Double run"),"ROKS"))))))</f>
        <v/>
      </c>
      <c r="T279" s="51" t="str">
        <f aca="false">IF(OR($A279="",T$8=""),"",IF($F279="Migré","ROKS",IF($F279="À décommissionner",IF(T$8&lt;$AS279,"IKS","Décom."),IF(OR($AQ279="",$AS279=""),"",IF(T$8&lt;$AQ279,"IKS",IF(T$8&lt;$AS279,IF(T$8=$AR279,"Bascule","Double run"),"ROKS"))))))</f>
        <v/>
      </c>
      <c r="U279" s="51" t="str">
        <f aca="false">IF(OR($A279="",U$8=""),"",IF($F279="Migré","ROKS",IF($F279="À décommissionner",IF(U$8&lt;$AS279,"IKS","Décom."),IF(OR($AQ279="",$AS279=""),"",IF(U$8&lt;$AQ279,"IKS",IF(U$8&lt;$AS279,IF(U$8=$AR279,"Bascule","Double run"),"ROKS"))))))</f>
        <v/>
      </c>
      <c r="V279" s="51" t="str">
        <f aca="false">IF(OR($A279="",V$8=""),"",IF($F279="Migré","ROKS",IF($F279="À décommissionner",IF(V$8&lt;$AS279,"IKS","Décom."),IF(OR($AQ279="",$AS279=""),"",IF(V$8&lt;$AQ279,"IKS",IF(V$8&lt;$AS279,IF(V$8=$AR279,"Bascule","Double run"),"ROKS"))))))</f>
        <v/>
      </c>
      <c r="W279" s="51" t="str">
        <f aca="false">IF(OR($A279="",W$8=""),"",IF($F279="Migré","ROKS",IF($F279="À décommissionner",IF(W$8&lt;$AS279,"IKS","Décom."),IF(OR($AQ279="",$AS279=""),"",IF(W$8&lt;$AQ279,"IKS",IF(W$8&lt;$AS279,IF(W$8=$AR279,"Bascule","Double run"),"ROKS"))))))</f>
        <v/>
      </c>
      <c r="X279" s="51" t="str">
        <f aca="false">IF(OR($A279="",X$8=""),"",IF($F279="Migré","ROKS",IF($F279="À décommissionner",IF(X$8&lt;$AS279,"IKS","Décom."),IF(OR($AQ279="",$AS279=""),"",IF(X$8&lt;$AQ279,"IKS",IF(X$8&lt;$AS279,IF(X$8=$AR279,"Bascule","Double run"),"ROKS"))))))</f>
        <v/>
      </c>
      <c r="Y279" s="51" t="str">
        <f aca="false">IF(OR($A279="",Y$8=""),"",IF($F279="Migré","ROKS",IF($F279="À décommissionner",IF(Y$8&lt;$AS279,"IKS","Décom."),IF(OR($AQ279="",$AS279=""),"",IF(Y$8&lt;$AQ279,"IKS",IF(Y$8&lt;$AS279,IF(Y$8=$AR279,"Bascule","Double run"),"ROKS"))))))</f>
        <v/>
      </c>
      <c r="Z279" s="51" t="str">
        <f aca="false">IF(OR($A279="",Z$8=""),"",IF($F279="Migré","ROKS",IF($F279="À décommissionner",IF(Z$8&lt;$AS279,"IKS","Décom."),IF(OR($AQ279="",$AS279=""),"",IF(Z$8&lt;$AQ279,"IKS",IF(Z$8&lt;$AS279,IF(Z$8=$AR279,"Bascule","Double run"),"ROKS"))))))</f>
        <v/>
      </c>
      <c r="AA279" s="51" t="str">
        <f aca="false">IF(OR($A279="",AA$8=""),"",IF($F279="Migré","ROKS",IF($F279="À décommissionner",IF(AA$8&lt;$AS279,"IKS","Décom."),IF(OR($AQ279="",$AS279=""),"",IF(AA$8&lt;$AQ279,"IKS",IF(AA$8&lt;$AS279,IF(AA$8=$AR279,"Bascule","Double run"),"ROKS"))))))</f>
        <v/>
      </c>
      <c r="AB279" s="51" t="str">
        <f aca="false">IF(OR($A279="",AB$8=""),"",IF($F279="Migré","ROKS",IF($F279="À décommissionner",IF(AB$8&lt;$AS279,"IKS","Décom."),IF(OR($AQ279="",$AS279=""),"",IF(AB$8&lt;$AQ279,"IKS",IF(AB$8&lt;$AS279,IF(AB$8=$AR279,"Bascule","Double run"),"ROKS"))))))</f>
        <v/>
      </c>
      <c r="AC279" s="51" t="str">
        <f aca="false">IF(OR($A279="",AC$8=""),"",IF($F279="Migré","ROKS",IF($F279="À décommissionner",IF(AC$8&lt;$AS279,"IKS","Décom."),IF(OR($AQ279="",$AS279=""),"",IF(AC$8&lt;$AQ279,"IKS",IF(AC$8&lt;$AS279,IF(AC$8=$AR279,"Bascule","Double run"),"ROKS"))))))</f>
        <v/>
      </c>
      <c r="AD279" s="51" t="str">
        <f aca="false">IF(OR($A279="",AD$8=""),"",IF($F279="Migré","ROKS",IF($F279="À décommissionner",IF(AD$8&lt;$AS279,"IKS","Décom."),IF(OR($AQ279="",$AS279=""),"",IF(AD$8&lt;$AQ279,"IKS",IF(AD$8&lt;$AS279,IF(AD$8=$AR279,"Bascule","Double run"),"ROKS"))))))</f>
        <v/>
      </c>
      <c r="AE279" s="51" t="str">
        <f aca="false">IF(OR($A279="",AE$8=""),"",IF($F279="Migré","ROKS",IF($F279="À décommissionner",IF(AE$8&lt;$AS279,"IKS","Décom."),IF(OR($AQ279="",$AS279=""),"",IF(AE$8&lt;$AQ279,"IKS",IF(AE$8&lt;$AS279,IF(AE$8=$AR279,"Bascule","Double run"),"ROKS"))))))</f>
        <v/>
      </c>
      <c r="AF279" s="51" t="str">
        <f aca="false">IF(OR($A279="",AF$8=""),"",IF($F279="Migré","ROKS",IF($F279="À décommissionner",IF(AF$8&lt;$AS279,"IKS","Décom."),IF(OR($AQ279="",$AS279=""),"",IF(AF$8&lt;$AQ279,"IKS",IF(AF$8&lt;$AS279,IF(AF$8=$AR279,"Bascule","Double run"),"ROKS"))))))</f>
        <v/>
      </c>
      <c r="AG279" s="51" t="str">
        <f aca="false">IF(OR($A279="",AG$8=""),"",IF($F279="Migré","ROKS",IF($F279="À décommissionner",IF(AG$8&lt;$AS279,"IKS","Décom."),IF(OR($AQ279="",$AS279=""),"",IF(AG$8&lt;$AQ279,"IKS",IF(AG$8&lt;$AS279,IF(AG$8=$AR279,"Bascule","Double run"),"ROKS"))))))</f>
        <v/>
      </c>
      <c r="AH279" s="51" t="str">
        <f aca="false">IF(OR($A279="",AH$8=""),"",IF($F279="Migré","ROKS",IF($F279="À décommissionner",IF(AH$8&lt;$AS279,"IKS","Décom."),IF(OR($AQ279="",$AS279=""),"",IF(AH$8&lt;$AQ279,"IKS",IF(AH$8&lt;$AS279,IF(AH$8=$AR279,"Bascule","Double run"),"ROKS"))))))</f>
        <v/>
      </c>
      <c r="AI279" s="51" t="str">
        <f aca="false">IF(OR($A279="",AI$8=""),"",IF($F279="Migré","ROKS",IF($F279="À décommissionner",IF(AI$8&lt;$AS279,"IKS","Décom."),IF(OR($AQ279="",$AS279=""),"",IF(AI$8&lt;$AQ279,"IKS",IF(AI$8&lt;$AS279,IF(AI$8=$AR279,"Bascule","Double run"),"ROKS"))))))</f>
        <v/>
      </c>
      <c r="AJ279" s="51" t="str">
        <f aca="false">IF(OR($A279="",AJ$8=""),"",IF($F279="Migré","ROKS",IF($F279="À décommissionner",IF(AJ$8&lt;$AS279,"IKS","Décom."),IF(OR($AQ279="",$AS279=""),"",IF(AJ$8&lt;$AQ279,"IKS",IF(AJ$8&lt;$AS279,IF(AJ$8=$AR279,"Bascule","Double run"),"ROKS"))))))</f>
        <v/>
      </c>
      <c r="AK279" s="51" t="str">
        <f aca="false">IF(OR($A279="",AK$8=""),"",IF($F279="Migré","ROKS",IF($F279="À décommissionner",IF(AK$8&lt;$AS279,"IKS","Décom."),IF(OR($AQ279="",$AS279=""),"",IF(AK$8&lt;$AQ279,"IKS",IF(AK$8&lt;$AS279,IF(AK$8=$AR279,"Bascule","Double run"),"ROKS"))))))</f>
        <v/>
      </c>
      <c r="AL279" s="51" t="str">
        <f aca="false">IF(OR($A279="",AL$8=""),"",IF($F279="Migré","ROKS",IF($F279="À décommissionner",IF(AL$8&lt;$AS279,"IKS","Décom."),IF(OR($AQ279="",$AS279=""),"",IF(AL$8&lt;$AQ279,"IKS",IF(AL$8&lt;$AS279,IF(AL$8=$AR279,"Bascule","Double run"),"ROKS"))))))</f>
        <v/>
      </c>
      <c r="AM279" s="51" t="str">
        <f aca="false">IF(OR($A279="",AM$8=""),"",IF($F279="Migré","ROKS",IF($F279="À décommissionner",IF(AM$8&lt;$AS279,"IKS","Décom."),IF(OR($AQ279="",$AS279=""),"",IF(AM$8&lt;$AQ279,"IKS",IF(AM$8&lt;$AS279,IF(AM$8=$AR279,"Bascule","Double run"),"ROKS"))))))</f>
        <v/>
      </c>
      <c r="AN279" s="51" t="str">
        <f aca="false">IF(OR($A279="",AN$8=""),"",IF($F279="Migré","ROKS",IF($F279="À décommissionner",IF(AN$8&lt;$AS279,"IKS","Décom."),IF(OR($AQ279="",$AS279=""),"",IF(AN$8&lt;$AQ279,"IKS",IF(AN$8&lt;$AS279,IF(AN$8=$AR279,"Bascule","Double run"),"ROKS"))))))</f>
        <v/>
      </c>
      <c r="AO279" s="51" t="str">
        <f aca="false">IF(OR($A279="",AO$8=""),"",IF($F279="Migré","ROKS",IF($F279="À décommissionner",IF(AO$8&lt;$AS279,"IKS","Décom."),IF(OR($AQ279="",$AS279=""),"",IF(AO$8&lt;$AQ279,"IKS",IF(AO$8&lt;$AS279,IF(AO$8=$AR279,"Bascule","Double run"),"ROKS"))))))</f>
        <v/>
      </c>
      <c r="AP279" s="51" t="str">
        <f aca="false">IF(OR($A279="",AP$8=""),"",IF($F279="Migré","ROKS",IF($F279="À décommissionner",IF(AP$8&lt;$AS279,"IKS","Décom."),IF(OR($AQ279="",$AS279=""),"",IF(AP$8&lt;$AQ279,"IKS",IF(AP$8&lt;$AS279,IF(AP$8=$AR279,"Bascule","Double run"),"ROKS"))))))</f>
        <v/>
      </c>
      <c r="AQ279" s="0" t="str">
        <f aca="false">IF($A279="","",INDEX(TblApplications[Mois prov (calc)],$A279))</f>
        <v/>
      </c>
      <c r="AR279" s="0" t="str">
        <f aca="false">IF($A279="","",IFERROR(DATE(YEAR(INDEX(TblApplications[Mois bascule],$A279)),MONTH(INDEX(TblApplications[Mois bascule],$A279)),1),""))</f>
        <v/>
      </c>
      <c r="AS279" s="0" t="str">
        <f aca="false">IF($A279="","",INDEX(TblApplications[Mois lib (calc)],$A279))</f>
        <v/>
      </c>
    </row>
    <row r="280" customFormat="false" ht="15" hidden="false" customHeight="false" outlineLevel="0" collapsed="false">
      <c r="A280" s="49" t="str">
        <f aca="false">IFERROR(MATCH(272,TblApplications[Rang frise],0),"")</f>
        <v/>
      </c>
      <c r="B280" s="50" t="str">
        <f aca="false">IF($A280="","",INDEX(TblApplications[ID],$A280))</f>
        <v/>
      </c>
      <c r="C280" s="50" t="str">
        <f aca="false">IF($A280="","",INDEX(TblApplications[Application],$A280))</f>
        <v/>
      </c>
      <c r="D280" s="50" t="str">
        <f aca="false">IF($A280="","",INDEX(TblApplications[Environnement],$A280))</f>
        <v/>
      </c>
      <c r="E280" s="50" t="str">
        <f aca="false">IF($A280="","",INDEX(TblApplications[Couloir],$A280))</f>
        <v/>
      </c>
      <c r="F280" s="50" t="str">
        <f aca="false">IF($A280="","",INDEX(TblApplications[Action],$A280))</f>
        <v/>
      </c>
      <c r="G280" s="51" t="str">
        <f aca="false">IF(OR($A280="",G$8=""),"",IF($F280="Migré","ROKS",IF($F280="À décommissionner",IF(G$8&lt;$AS280,"IKS","Décom."),IF(OR($AQ280="",$AS280=""),"",IF(G$8&lt;$AQ280,"IKS",IF(G$8&lt;$AS280,IF(G$8=$AR280,"Bascule","Double run"),"ROKS"))))))</f>
        <v/>
      </c>
      <c r="H280" s="51" t="str">
        <f aca="false">IF(OR($A280="",H$8=""),"",IF($F280="Migré","ROKS",IF($F280="À décommissionner",IF(H$8&lt;$AS280,"IKS","Décom."),IF(OR($AQ280="",$AS280=""),"",IF(H$8&lt;$AQ280,"IKS",IF(H$8&lt;$AS280,IF(H$8=$AR280,"Bascule","Double run"),"ROKS"))))))</f>
        <v/>
      </c>
      <c r="I280" s="51" t="str">
        <f aca="false">IF(OR($A280="",I$8=""),"",IF($F280="Migré","ROKS",IF($F280="À décommissionner",IF(I$8&lt;$AS280,"IKS","Décom."),IF(OR($AQ280="",$AS280=""),"",IF(I$8&lt;$AQ280,"IKS",IF(I$8&lt;$AS280,IF(I$8=$AR280,"Bascule","Double run"),"ROKS"))))))</f>
        <v/>
      </c>
      <c r="J280" s="51" t="str">
        <f aca="false">IF(OR($A280="",J$8=""),"",IF($F280="Migré","ROKS",IF($F280="À décommissionner",IF(J$8&lt;$AS280,"IKS","Décom."),IF(OR($AQ280="",$AS280=""),"",IF(J$8&lt;$AQ280,"IKS",IF(J$8&lt;$AS280,IF(J$8=$AR280,"Bascule","Double run"),"ROKS"))))))</f>
        <v/>
      </c>
      <c r="K280" s="51" t="str">
        <f aca="false">IF(OR($A280="",K$8=""),"",IF($F280="Migré","ROKS",IF($F280="À décommissionner",IF(K$8&lt;$AS280,"IKS","Décom."),IF(OR($AQ280="",$AS280=""),"",IF(K$8&lt;$AQ280,"IKS",IF(K$8&lt;$AS280,IF(K$8=$AR280,"Bascule","Double run"),"ROKS"))))))</f>
        <v/>
      </c>
      <c r="L280" s="51" t="str">
        <f aca="false">IF(OR($A280="",L$8=""),"",IF($F280="Migré","ROKS",IF($F280="À décommissionner",IF(L$8&lt;$AS280,"IKS","Décom."),IF(OR($AQ280="",$AS280=""),"",IF(L$8&lt;$AQ280,"IKS",IF(L$8&lt;$AS280,IF(L$8=$AR280,"Bascule","Double run"),"ROKS"))))))</f>
        <v/>
      </c>
      <c r="M280" s="51" t="str">
        <f aca="false">IF(OR($A280="",M$8=""),"",IF($F280="Migré","ROKS",IF($F280="À décommissionner",IF(M$8&lt;$AS280,"IKS","Décom."),IF(OR($AQ280="",$AS280=""),"",IF(M$8&lt;$AQ280,"IKS",IF(M$8&lt;$AS280,IF(M$8=$AR280,"Bascule","Double run"),"ROKS"))))))</f>
        <v/>
      </c>
      <c r="N280" s="51" t="str">
        <f aca="false">IF(OR($A280="",N$8=""),"",IF($F280="Migré","ROKS",IF($F280="À décommissionner",IF(N$8&lt;$AS280,"IKS","Décom."),IF(OR($AQ280="",$AS280=""),"",IF(N$8&lt;$AQ280,"IKS",IF(N$8&lt;$AS280,IF(N$8=$AR280,"Bascule","Double run"),"ROKS"))))))</f>
        <v/>
      </c>
      <c r="O280" s="51" t="str">
        <f aca="false">IF(OR($A280="",O$8=""),"",IF($F280="Migré","ROKS",IF($F280="À décommissionner",IF(O$8&lt;$AS280,"IKS","Décom."),IF(OR($AQ280="",$AS280=""),"",IF(O$8&lt;$AQ280,"IKS",IF(O$8&lt;$AS280,IF(O$8=$AR280,"Bascule","Double run"),"ROKS"))))))</f>
        <v/>
      </c>
      <c r="P280" s="51" t="str">
        <f aca="false">IF(OR($A280="",P$8=""),"",IF($F280="Migré","ROKS",IF($F280="À décommissionner",IF(P$8&lt;$AS280,"IKS","Décom."),IF(OR($AQ280="",$AS280=""),"",IF(P$8&lt;$AQ280,"IKS",IF(P$8&lt;$AS280,IF(P$8=$AR280,"Bascule","Double run"),"ROKS"))))))</f>
        <v/>
      </c>
      <c r="Q280" s="51" t="str">
        <f aca="false">IF(OR($A280="",Q$8=""),"",IF($F280="Migré","ROKS",IF($F280="À décommissionner",IF(Q$8&lt;$AS280,"IKS","Décom."),IF(OR($AQ280="",$AS280=""),"",IF(Q$8&lt;$AQ280,"IKS",IF(Q$8&lt;$AS280,IF(Q$8=$AR280,"Bascule","Double run"),"ROKS"))))))</f>
        <v/>
      </c>
      <c r="R280" s="51" t="str">
        <f aca="false">IF(OR($A280="",R$8=""),"",IF($F280="Migré","ROKS",IF($F280="À décommissionner",IF(R$8&lt;$AS280,"IKS","Décom."),IF(OR($AQ280="",$AS280=""),"",IF(R$8&lt;$AQ280,"IKS",IF(R$8&lt;$AS280,IF(R$8=$AR280,"Bascule","Double run"),"ROKS"))))))</f>
        <v/>
      </c>
      <c r="S280" s="51" t="str">
        <f aca="false">IF(OR($A280="",S$8=""),"",IF($F280="Migré","ROKS",IF($F280="À décommissionner",IF(S$8&lt;$AS280,"IKS","Décom."),IF(OR($AQ280="",$AS280=""),"",IF(S$8&lt;$AQ280,"IKS",IF(S$8&lt;$AS280,IF(S$8=$AR280,"Bascule","Double run"),"ROKS"))))))</f>
        <v/>
      </c>
      <c r="T280" s="51" t="str">
        <f aca="false">IF(OR($A280="",T$8=""),"",IF($F280="Migré","ROKS",IF($F280="À décommissionner",IF(T$8&lt;$AS280,"IKS","Décom."),IF(OR($AQ280="",$AS280=""),"",IF(T$8&lt;$AQ280,"IKS",IF(T$8&lt;$AS280,IF(T$8=$AR280,"Bascule","Double run"),"ROKS"))))))</f>
        <v/>
      </c>
      <c r="U280" s="51" t="str">
        <f aca="false">IF(OR($A280="",U$8=""),"",IF($F280="Migré","ROKS",IF($F280="À décommissionner",IF(U$8&lt;$AS280,"IKS","Décom."),IF(OR($AQ280="",$AS280=""),"",IF(U$8&lt;$AQ280,"IKS",IF(U$8&lt;$AS280,IF(U$8=$AR280,"Bascule","Double run"),"ROKS"))))))</f>
        <v/>
      </c>
      <c r="V280" s="51" t="str">
        <f aca="false">IF(OR($A280="",V$8=""),"",IF($F280="Migré","ROKS",IF($F280="À décommissionner",IF(V$8&lt;$AS280,"IKS","Décom."),IF(OR($AQ280="",$AS280=""),"",IF(V$8&lt;$AQ280,"IKS",IF(V$8&lt;$AS280,IF(V$8=$AR280,"Bascule","Double run"),"ROKS"))))))</f>
        <v/>
      </c>
      <c r="W280" s="51" t="str">
        <f aca="false">IF(OR($A280="",W$8=""),"",IF($F280="Migré","ROKS",IF($F280="À décommissionner",IF(W$8&lt;$AS280,"IKS","Décom."),IF(OR($AQ280="",$AS280=""),"",IF(W$8&lt;$AQ280,"IKS",IF(W$8&lt;$AS280,IF(W$8=$AR280,"Bascule","Double run"),"ROKS"))))))</f>
        <v/>
      </c>
      <c r="X280" s="51" t="str">
        <f aca="false">IF(OR($A280="",X$8=""),"",IF($F280="Migré","ROKS",IF($F280="À décommissionner",IF(X$8&lt;$AS280,"IKS","Décom."),IF(OR($AQ280="",$AS280=""),"",IF(X$8&lt;$AQ280,"IKS",IF(X$8&lt;$AS280,IF(X$8=$AR280,"Bascule","Double run"),"ROKS"))))))</f>
        <v/>
      </c>
      <c r="Y280" s="51" t="str">
        <f aca="false">IF(OR($A280="",Y$8=""),"",IF($F280="Migré","ROKS",IF($F280="À décommissionner",IF(Y$8&lt;$AS280,"IKS","Décom."),IF(OR($AQ280="",$AS280=""),"",IF(Y$8&lt;$AQ280,"IKS",IF(Y$8&lt;$AS280,IF(Y$8=$AR280,"Bascule","Double run"),"ROKS"))))))</f>
        <v/>
      </c>
      <c r="Z280" s="51" t="str">
        <f aca="false">IF(OR($A280="",Z$8=""),"",IF($F280="Migré","ROKS",IF($F280="À décommissionner",IF(Z$8&lt;$AS280,"IKS","Décom."),IF(OR($AQ280="",$AS280=""),"",IF(Z$8&lt;$AQ280,"IKS",IF(Z$8&lt;$AS280,IF(Z$8=$AR280,"Bascule","Double run"),"ROKS"))))))</f>
        <v/>
      </c>
      <c r="AA280" s="51" t="str">
        <f aca="false">IF(OR($A280="",AA$8=""),"",IF($F280="Migré","ROKS",IF($F280="À décommissionner",IF(AA$8&lt;$AS280,"IKS","Décom."),IF(OR($AQ280="",$AS280=""),"",IF(AA$8&lt;$AQ280,"IKS",IF(AA$8&lt;$AS280,IF(AA$8=$AR280,"Bascule","Double run"),"ROKS"))))))</f>
        <v/>
      </c>
      <c r="AB280" s="51" t="str">
        <f aca="false">IF(OR($A280="",AB$8=""),"",IF($F280="Migré","ROKS",IF($F280="À décommissionner",IF(AB$8&lt;$AS280,"IKS","Décom."),IF(OR($AQ280="",$AS280=""),"",IF(AB$8&lt;$AQ280,"IKS",IF(AB$8&lt;$AS280,IF(AB$8=$AR280,"Bascule","Double run"),"ROKS"))))))</f>
        <v/>
      </c>
      <c r="AC280" s="51" t="str">
        <f aca="false">IF(OR($A280="",AC$8=""),"",IF($F280="Migré","ROKS",IF($F280="À décommissionner",IF(AC$8&lt;$AS280,"IKS","Décom."),IF(OR($AQ280="",$AS280=""),"",IF(AC$8&lt;$AQ280,"IKS",IF(AC$8&lt;$AS280,IF(AC$8=$AR280,"Bascule","Double run"),"ROKS"))))))</f>
        <v/>
      </c>
      <c r="AD280" s="51" t="str">
        <f aca="false">IF(OR($A280="",AD$8=""),"",IF($F280="Migré","ROKS",IF($F280="À décommissionner",IF(AD$8&lt;$AS280,"IKS","Décom."),IF(OR($AQ280="",$AS280=""),"",IF(AD$8&lt;$AQ280,"IKS",IF(AD$8&lt;$AS280,IF(AD$8=$AR280,"Bascule","Double run"),"ROKS"))))))</f>
        <v/>
      </c>
      <c r="AE280" s="51" t="str">
        <f aca="false">IF(OR($A280="",AE$8=""),"",IF($F280="Migré","ROKS",IF($F280="À décommissionner",IF(AE$8&lt;$AS280,"IKS","Décom."),IF(OR($AQ280="",$AS280=""),"",IF(AE$8&lt;$AQ280,"IKS",IF(AE$8&lt;$AS280,IF(AE$8=$AR280,"Bascule","Double run"),"ROKS"))))))</f>
        <v/>
      </c>
      <c r="AF280" s="51" t="str">
        <f aca="false">IF(OR($A280="",AF$8=""),"",IF($F280="Migré","ROKS",IF($F280="À décommissionner",IF(AF$8&lt;$AS280,"IKS","Décom."),IF(OR($AQ280="",$AS280=""),"",IF(AF$8&lt;$AQ280,"IKS",IF(AF$8&lt;$AS280,IF(AF$8=$AR280,"Bascule","Double run"),"ROKS"))))))</f>
        <v/>
      </c>
      <c r="AG280" s="51" t="str">
        <f aca="false">IF(OR($A280="",AG$8=""),"",IF($F280="Migré","ROKS",IF($F280="À décommissionner",IF(AG$8&lt;$AS280,"IKS","Décom."),IF(OR($AQ280="",$AS280=""),"",IF(AG$8&lt;$AQ280,"IKS",IF(AG$8&lt;$AS280,IF(AG$8=$AR280,"Bascule","Double run"),"ROKS"))))))</f>
        <v/>
      </c>
      <c r="AH280" s="51" t="str">
        <f aca="false">IF(OR($A280="",AH$8=""),"",IF($F280="Migré","ROKS",IF($F280="À décommissionner",IF(AH$8&lt;$AS280,"IKS","Décom."),IF(OR($AQ280="",$AS280=""),"",IF(AH$8&lt;$AQ280,"IKS",IF(AH$8&lt;$AS280,IF(AH$8=$AR280,"Bascule","Double run"),"ROKS"))))))</f>
        <v/>
      </c>
      <c r="AI280" s="51" t="str">
        <f aca="false">IF(OR($A280="",AI$8=""),"",IF($F280="Migré","ROKS",IF($F280="À décommissionner",IF(AI$8&lt;$AS280,"IKS","Décom."),IF(OR($AQ280="",$AS280=""),"",IF(AI$8&lt;$AQ280,"IKS",IF(AI$8&lt;$AS280,IF(AI$8=$AR280,"Bascule","Double run"),"ROKS"))))))</f>
        <v/>
      </c>
      <c r="AJ280" s="51" t="str">
        <f aca="false">IF(OR($A280="",AJ$8=""),"",IF($F280="Migré","ROKS",IF($F280="À décommissionner",IF(AJ$8&lt;$AS280,"IKS","Décom."),IF(OR($AQ280="",$AS280=""),"",IF(AJ$8&lt;$AQ280,"IKS",IF(AJ$8&lt;$AS280,IF(AJ$8=$AR280,"Bascule","Double run"),"ROKS"))))))</f>
        <v/>
      </c>
      <c r="AK280" s="51" t="str">
        <f aca="false">IF(OR($A280="",AK$8=""),"",IF($F280="Migré","ROKS",IF($F280="À décommissionner",IF(AK$8&lt;$AS280,"IKS","Décom."),IF(OR($AQ280="",$AS280=""),"",IF(AK$8&lt;$AQ280,"IKS",IF(AK$8&lt;$AS280,IF(AK$8=$AR280,"Bascule","Double run"),"ROKS"))))))</f>
        <v/>
      </c>
      <c r="AL280" s="51" t="str">
        <f aca="false">IF(OR($A280="",AL$8=""),"",IF($F280="Migré","ROKS",IF($F280="À décommissionner",IF(AL$8&lt;$AS280,"IKS","Décom."),IF(OR($AQ280="",$AS280=""),"",IF(AL$8&lt;$AQ280,"IKS",IF(AL$8&lt;$AS280,IF(AL$8=$AR280,"Bascule","Double run"),"ROKS"))))))</f>
        <v/>
      </c>
      <c r="AM280" s="51" t="str">
        <f aca="false">IF(OR($A280="",AM$8=""),"",IF($F280="Migré","ROKS",IF($F280="À décommissionner",IF(AM$8&lt;$AS280,"IKS","Décom."),IF(OR($AQ280="",$AS280=""),"",IF(AM$8&lt;$AQ280,"IKS",IF(AM$8&lt;$AS280,IF(AM$8=$AR280,"Bascule","Double run"),"ROKS"))))))</f>
        <v/>
      </c>
      <c r="AN280" s="51" t="str">
        <f aca="false">IF(OR($A280="",AN$8=""),"",IF($F280="Migré","ROKS",IF($F280="À décommissionner",IF(AN$8&lt;$AS280,"IKS","Décom."),IF(OR($AQ280="",$AS280=""),"",IF(AN$8&lt;$AQ280,"IKS",IF(AN$8&lt;$AS280,IF(AN$8=$AR280,"Bascule","Double run"),"ROKS"))))))</f>
        <v/>
      </c>
      <c r="AO280" s="51" t="str">
        <f aca="false">IF(OR($A280="",AO$8=""),"",IF($F280="Migré","ROKS",IF($F280="À décommissionner",IF(AO$8&lt;$AS280,"IKS","Décom."),IF(OR($AQ280="",$AS280=""),"",IF(AO$8&lt;$AQ280,"IKS",IF(AO$8&lt;$AS280,IF(AO$8=$AR280,"Bascule","Double run"),"ROKS"))))))</f>
        <v/>
      </c>
      <c r="AP280" s="51" t="str">
        <f aca="false">IF(OR($A280="",AP$8=""),"",IF($F280="Migré","ROKS",IF($F280="À décommissionner",IF(AP$8&lt;$AS280,"IKS","Décom."),IF(OR($AQ280="",$AS280=""),"",IF(AP$8&lt;$AQ280,"IKS",IF(AP$8&lt;$AS280,IF(AP$8=$AR280,"Bascule","Double run"),"ROKS"))))))</f>
        <v/>
      </c>
      <c r="AQ280" s="0" t="str">
        <f aca="false">IF($A280="","",INDEX(TblApplications[Mois prov (calc)],$A280))</f>
        <v/>
      </c>
      <c r="AR280" s="0" t="str">
        <f aca="false">IF($A280="","",IFERROR(DATE(YEAR(INDEX(TblApplications[Mois bascule],$A280)),MONTH(INDEX(TblApplications[Mois bascule],$A280)),1),""))</f>
        <v/>
      </c>
      <c r="AS280" s="0" t="str">
        <f aca="false">IF($A280="","",INDEX(TblApplications[Mois lib (calc)],$A280))</f>
        <v/>
      </c>
    </row>
    <row r="281" customFormat="false" ht="15" hidden="false" customHeight="false" outlineLevel="0" collapsed="false">
      <c r="A281" s="49" t="str">
        <f aca="false">IFERROR(MATCH(273,TblApplications[Rang frise],0),"")</f>
        <v/>
      </c>
      <c r="B281" s="50" t="str">
        <f aca="false">IF($A281="","",INDEX(TblApplications[ID],$A281))</f>
        <v/>
      </c>
      <c r="C281" s="50" t="str">
        <f aca="false">IF($A281="","",INDEX(TblApplications[Application],$A281))</f>
        <v/>
      </c>
      <c r="D281" s="50" t="str">
        <f aca="false">IF($A281="","",INDEX(TblApplications[Environnement],$A281))</f>
        <v/>
      </c>
      <c r="E281" s="50" t="str">
        <f aca="false">IF($A281="","",INDEX(TblApplications[Couloir],$A281))</f>
        <v/>
      </c>
      <c r="F281" s="50" t="str">
        <f aca="false">IF($A281="","",INDEX(TblApplications[Action],$A281))</f>
        <v/>
      </c>
      <c r="G281" s="51" t="str">
        <f aca="false">IF(OR($A281="",G$8=""),"",IF($F281="Migré","ROKS",IF($F281="À décommissionner",IF(G$8&lt;$AS281,"IKS","Décom."),IF(OR($AQ281="",$AS281=""),"",IF(G$8&lt;$AQ281,"IKS",IF(G$8&lt;$AS281,IF(G$8=$AR281,"Bascule","Double run"),"ROKS"))))))</f>
        <v/>
      </c>
      <c r="H281" s="51" t="str">
        <f aca="false">IF(OR($A281="",H$8=""),"",IF($F281="Migré","ROKS",IF($F281="À décommissionner",IF(H$8&lt;$AS281,"IKS","Décom."),IF(OR($AQ281="",$AS281=""),"",IF(H$8&lt;$AQ281,"IKS",IF(H$8&lt;$AS281,IF(H$8=$AR281,"Bascule","Double run"),"ROKS"))))))</f>
        <v/>
      </c>
      <c r="I281" s="51" t="str">
        <f aca="false">IF(OR($A281="",I$8=""),"",IF($F281="Migré","ROKS",IF($F281="À décommissionner",IF(I$8&lt;$AS281,"IKS","Décom."),IF(OR($AQ281="",$AS281=""),"",IF(I$8&lt;$AQ281,"IKS",IF(I$8&lt;$AS281,IF(I$8=$AR281,"Bascule","Double run"),"ROKS"))))))</f>
        <v/>
      </c>
      <c r="J281" s="51" t="str">
        <f aca="false">IF(OR($A281="",J$8=""),"",IF($F281="Migré","ROKS",IF($F281="À décommissionner",IF(J$8&lt;$AS281,"IKS","Décom."),IF(OR($AQ281="",$AS281=""),"",IF(J$8&lt;$AQ281,"IKS",IF(J$8&lt;$AS281,IF(J$8=$AR281,"Bascule","Double run"),"ROKS"))))))</f>
        <v/>
      </c>
      <c r="K281" s="51" t="str">
        <f aca="false">IF(OR($A281="",K$8=""),"",IF($F281="Migré","ROKS",IF($F281="À décommissionner",IF(K$8&lt;$AS281,"IKS","Décom."),IF(OR($AQ281="",$AS281=""),"",IF(K$8&lt;$AQ281,"IKS",IF(K$8&lt;$AS281,IF(K$8=$AR281,"Bascule","Double run"),"ROKS"))))))</f>
        <v/>
      </c>
      <c r="L281" s="51" t="str">
        <f aca="false">IF(OR($A281="",L$8=""),"",IF($F281="Migré","ROKS",IF($F281="À décommissionner",IF(L$8&lt;$AS281,"IKS","Décom."),IF(OR($AQ281="",$AS281=""),"",IF(L$8&lt;$AQ281,"IKS",IF(L$8&lt;$AS281,IF(L$8=$AR281,"Bascule","Double run"),"ROKS"))))))</f>
        <v/>
      </c>
      <c r="M281" s="51" t="str">
        <f aca="false">IF(OR($A281="",M$8=""),"",IF($F281="Migré","ROKS",IF($F281="À décommissionner",IF(M$8&lt;$AS281,"IKS","Décom."),IF(OR($AQ281="",$AS281=""),"",IF(M$8&lt;$AQ281,"IKS",IF(M$8&lt;$AS281,IF(M$8=$AR281,"Bascule","Double run"),"ROKS"))))))</f>
        <v/>
      </c>
      <c r="N281" s="51" t="str">
        <f aca="false">IF(OR($A281="",N$8=""),"",IF($F281="Migré","ROKS",IF($F281="À décommissionner",IF(N$8&lt;$AS281,"IKS","Décom."),IF(OR($AQ281="",$AS281=""),"",IF(N$8&lt;$AQ281,"IKS",IF(N$8&lt;$AS281,IF(N$8=$AR281,"Bascule","Double run"),"ROKS"))))))</f>
        <v/>
      </c>
      <c r="O281" s="51" t="str">
        <f aca="false">IF(OR($A281="",O$8=""),"",IF($F281="Migré","ROKS",IF($F281="À décommissionner",IF(O$8&lt;$AS281,"IKS","Décom."),IF(OR($AQ281="",$AS281=""),"",IF(O$8&lt;$AQ281,"IKS",IF(O$8&lt;$AS281,IF(O$8=$AR281,"Bascule","Double run"),"ROKS"))))))</f>
        <v/>
      </c>
      <c r="P281" s="51" t="str">
        <f aca="false">IF(OR($A281="",P$8=""),"",IF($F281="Migré","ROKS",IF($F281="À décommissionner",IF(P$8&lt;$AS281,"IKS","Décom."),IF(OR($AQ281="",$AS281=""),"",IF(P$8&lt;$AQ281,"IKS",IF(P$8&lt;$AS281,IF(P$8=$AR281,"Bascule","Double run"),"ROKS"))))))</f>
        <v/>
      </c>
      <c r="Q281" s="51" t="str">
        <f aca="false">IF(OR($A281="",Q$8=""),"",IF($F281="Migré","ROKS",IF($F281="À décommissionner",IF(Q$8&lt;$AS281,"IKS","Décom."),IF(OR($AQ281="",$AS281=""),"",IF(Q$8&lt;$AQ281,"IKS",IF(Q$8&lt;$AS281,IF(Q$8=$AR281,"Bascule","Double run"),"ROKS"))))))</f>
        <v/>
      </c>
      <c r="R281" s="51" t="str">
        <f aca="false">IF(OR($A281="",R$8=""),"",IF($F281="Migré","ROKS",IF($F281="À décommissionner",IF(R$8&lt;$AS281,"IKS","Décom."),IF(OR($AQ281="",$AS281=""),"",IF(R$8&lt;$AQ281,"IKS",IF(R$8&lt;$AS281,IF(R$8=$AR281,"Bascule","Double run"),"ROKS"))))))</f>
        <v/>
      </c>
      <c r="S281" s="51" t="str">
        <f aca="false">IF(OR($A281="",S$8=""),"",IF($F281="Migré","ROKS",IF($F281="À décommissionner",IF(S$8&lt;$AS281,"IKS","Décom."),IF(OR($AQ281="",$AS281=""),"",IF(S$8&lt;$AQ281,"IKS",IF(S$8&lt;$AS281,IF(S$8=$AR281,"Bascule","Double run"),"ROKS"))))))</f>
        <v/>
      </c>
      <c r="T281" s="51" t="str">
        <f aca="false">IF(OR($A281="",T$8=""),"",IF($F281="Migré","ROKS",IF($F281="À décommissionner",IF(T$8&lt;$AS281,"IKS","Décom."),IF(OR($AQ281="",$AS281=""),"",IF(T$8&lt;$AQ281,"IKS",IF(T$8&lt;$AS281,IF(T$8=$AR281,"Bascule","Double run"),"ROKS"))))))</f>
        <v/>
      </c>
      <c r="U281" s="51" t="str">
        <f aca="false">IF(OR($A281="",U$8=""),"",IF($F281="Migré","ROKS",IF($F281="À décommissionner",IF(U$8&lt;$AS281,"IKS","Décom."),IF(OR($AQ281="",$AS281=""),"",IF(U$8&lt;$AQ281,"IKS",IF(U$8&lt;$AS281,IF(U$8=$AR281,"Bascule","Double run"),"ROKS"))))))</f>
        <v/>
      </c>
      <c r="V281" s="51" t="str">
        <f aca="false">IF(OR($A281="",V$8=""),"",IF($F281="Migré","ROKS",IF($F281="À décommissionner",IF(V$8&lt;$AS281,"IKS","Décom."),IF(OR($AQ281="",$AS281=""),"",IF(V$8&lt;$AQ281,"IKS",IF(V$8&lt;$AS281,IF(V$8=$AR281,"Bascule","Double run"),"ROKS"))))))</f>
        <v/>
      </c>
      <c r="W281" s="51" t="str">
        <f aca="false">IF(OR($A281="",W$8=""),"",IF($F281="Migré","ROKS",IF($F281="À décommissionner",IF(W$8&lt;$AS281,"IKS","Décom."),IF(OR($AQ281="",$AS281=""),"",IF(W$8&lt;$AQ281,"IKS",IF(W$8&lt;$AS281,IF(W$8=$AR281,"Bascule","Double run"),"ROKS"))))))</f>
        <v/>
      </c>
      <c r="X281" s="51" t="str">
        <f aca="false">IF(OR($A281="",X$8=""),"",IF($F281="Migré","ROKS",IF($F281="À décommissionner",IF(X$8&lt;$AS281,"IKS","Décom."),IF(OR($AQ281="",$AS281=""),"",IF(X$8&lt;$AQ281,"IKS",IF(X$8&lt;$AS281,IF(X$8=$AR281,"Bascule","Double run"),"ROKS"))))))</f>
        <v/>
      </c>
      <c r="Y281" s="51" t="str">
        <f aca="false">IF(OR($A281="",Y$8=""),"",IF($F281="Migré","ROKS",IF($F281="À décommissionner",IF(Y$8&lt;$AS281,"IKS","Décom."),IF(OR($AQ281="",$AS281=""),"",IF(Y$8&lt;$AQ281,"IKS",IF(Y$8&lt;$AS281,IF(Y$8=$AR281,"Bascule","Double run"),"ROKS"))))))</f>
        <v/>
      </c>
      <c r="Z281" s="51" t="str">
        <f aca="false">IF(OR($A281="",Z$8=""),"",IF($F281="Migré","ROKS",IF($F281="À décommissionner",IF(Z$8&lt;$AS281,"IKS","Décom."),IF(OR($AQ281="",$AS281=""),"",IF(Z$8&lt;$AQ281,"IKS",IF(Z$8&lt;$AS281,IF(Z$8=$AR281,"Bascule","Double run"),"ROKS"))))))</f>
        <v/>
      </c>
      <c r="AA281" s="51" t="str">
        <f aca="false">IF(OR($A281="",AA$8=""),"",IF($F281="Migré","ROKS",IF($F281="À décommissionner",IF(AA$8&lt;$AS281,"IKS","Décom."),IF(OR($AQ281="",$AS281=""),"",IF(AA$8&lt;$AQ281,"IKS",IF(AA$8&lt;$AS281,IF(AA$8=$AR281,"Bascule","Double run"),"ROKS"))))))</f>
        <v/>
      </c>
      <c r="AB281" s="51" t="str">
        <f aca="false">IF(OR($A281="",AB$8=""),"",IF($F281="Migré","ROKS",IF($F281="À décommissionner",IF(AB$8&lt;$AS281,"IKS","Décom."),IF(OR($AQ281="",$AS281=""),"",IF(AB$8&lt;$AQ281,"IKS",IF(AB$8&lt;$AS281,IF(AB$8=$AR281,"Bascule","Double run"),"ROKS"))))))</f>
        <v/>
      </c>
      <c r="AC281" s="51" t="str">
        <f aca="false">IF(OR($A281="",AC$8=""),"",IF($F281="Migré","ROKS",IF($F281="À décommissionner",IF(AC$8&lt;$AS281,"IKS","Décom."),IF(OR($AQ281="",$AS281=""),"",IF(AC$8&lt;$AQ281,"IKS",IF(AC$8&lt;$AS281,IF(AC$8=$AR281,"Bascule","Double run"),"ROKS"))))))</f>
        <v/>
      </c>
      <c r="AD281" s="51" t="str">
        <f aca="false">IF(OR($A281="",AD$8=""),"",IF($F281="Migré","ROKS",IF($F281="À décommissionner",IF(AD$8&lt;$AS281,"IKS","Décom."),IF(OR($AQ281="",$AS281=""),"",IF(AD$8&lt;$AQ281,"IKS",IF(AD$8&lt;$AS281,IF(AD$8=$AR281,"Bascule","Double run"),"ROKS"))))))</f>
        <v/>
      </c>
      <c r="AE281" s="51" t="str">
        <f aca="false">IF(OR($A281="",AE$8=""),"",IF($F281="Migré","ROKS",IF($F281="À décommissionner",IF(AE$8&lt;$AS281,"IKS","Décom."),IF(OR($AQ281="",$AS281=""),"",IF(AE$8&lt;$AQ281,"IKS",IF(AE$8&lt;$AS281,IF(AE$8=$AR281,"Bascule","Double run"),"ROKS"))))))</f>
        <v/>
      </c>
      <c r="AF281" s="51" t="str">
        <f aca="false">IF(OR($A281="",AF$8=""),"",IF($F281="Migré","ROKS",IF($F281="À décommissionner",IF(AF$8&lt;$AS281,"IKS","Décom."),IF(OR($AQ281="",$AS281=""),"",IF(AF$8&lt;$AQ281,"IKS",IF(AF$8&lt;$AS281,IF(AF$8=$AR281,"Bascule","Double run"),"ROKS"))))))</f>
        <v/>
      </c>
      <c r="AG281" s="51" t="str">
        <f aca="false">IF(OR($A281="",AG$8=""),"",IF($F281="Migré","ROKS",IF($F281="À décommissionner",IF(AG$8&lt;$AS281,"IKS","Décom."),IF(OR($AQ281="",$AS281=""),"",IF(AG$8&lt;$AQ281,"IKS",IF(AG$8&lt;$AS281,IF(AG$8=$AR281,"Bascule","Double run"),"ROKS"))))))</f>
        <v/>
      </c>
      <c r="AH281" s="51" t="str">
        <f aca="false">IF(OR($A281="",AH$8=""),"",IF($F281="Migré","ROKS",IF($F281="À décommissionner",IF(AH$8&lt;$AS281,"IKS","Décom."),IF(OR($AQ281="",$AS281=""),"",IF(AH$8&lt;$AQ281,"IKS",IF(AH$8&lt;$AS281,IF(AH$8=$AR281,"Bascule","Double run"),"ROKS"))))))</f>
        <v/>
      </c>
      <c r="AI281" s="51" t="str">
        <f aca="false">IF(OR($A281="",AI$8=""),"",IF($F281="Migré","ROKS",IF($F281="À décommissionner",IF(AI$8&lt;$AS281,"IKS","Décom."),IF(OR($AQ281="",$AS281=""),"",IF(AI$8&lt;$AQ281,"IKS",IF(AI$8&lt;$AS281,IF(AI$8=$AR281,"Bascule","Double run"),"ROKS"))))))</f>
        <v/>
      </c>
      <c r="AJ281" s="51" t="str">
        <f aca="false">IF(OR($A281="",AJ$8=""),"",IF($F281="Migré","ROKS",IF($F281="À décommissionner",IF(AJ$8&lt;$AS281,"IKS","Décom."),IF(OR($AQ281="",$AS281=""),"",IF(AJ$8&lt;$AQ281,"IKS",IF(AJ$8&lt;$AS281,IF(AJ$8=$AR281,"Bascule","Double run"),"ROKS"))))))</f>
        <v/>
      </c>
      <c r="AK281" s="51" t="str">
        <f aca="false">IF(OR($A281="",AK$8=""),"",IF($F281="Migré","ROKS",IF($F281="À décommissionner",IF(AK$8&lt;$AS281,"IKS","Décom."),IF(OR($AQ281="",$AS281=""),"",IF(AK$8&lt;$AQ281,"IKS",IF(AK$8&lt;$AS281,IF(AK$8=$AR281,"Bascule","Double run"),"ROKS"))))))</f>
        <v/>
      </c>
      <c r="AL281" s="51" t="str">
        <f aca="false">IF(OR($A281="",AL$8=""),"",IF($F281="Migré","ROKS",IF($F281="À décommissionner",IF(AL$8&lt;$AS281,"IKS","Décom."),IF(OR($AQ281="",$AS281=""),"",IF(AL$8&lt;$AQ281,"IKS",IF(AL$8&lt;$AS281,IF(AL$8=$AR281,"Bascule","Double run"),"ROKS"))))))</f>
        <v/>
      </c>
      <c r="AM281" s="51" t="str">
        <f aca="false">IF(OR($A281="",AM$8=""),"",IF($F281="Migré","ROKS",IF($F281="À décommissionner",IF(AM$8&lt;$AS281,"IKS","Décom."),IF(OR($AQ281="",$AS281=""),"",IF(AM$8&lt;$AQ281,"IKS",IF(AM$8&lt;$AS281,IF(AM$8=$AR281,"Bascule","Double run"),"ROKS"))))))</f>
        <v/>
      </c>
      <c r="AN281" s="51" t="str">
        <f aca="false">IF(OR($A281="",AN$8=""),"",IF($F281="Migré","ROKS",IF($F281="À décommissionner",IF(AN$8&lt;$AS281,"IKS","Décom."),IF(OR($AQ281="",$AS281=""),"",IF(AN$8&lt;$AQ281,"IKS",IF(AN$8&lt;$AS281,IF(AN$8=$AR281,"Bascule","Double run"),"ROKS"))))))</f>
        <v/>
      </c>
      <c r="AO281" s="51" t="str">
        <f aca="false">IF(OR($A281="",AO$8=""),"",IF($F281="Migré","ROKS",IF($F281="À décommissionner",IF(AO$8&lt;$AS281,"IKS","Décom."),IF(OR($AQ281="",$AS281=""),"",IF(AO$8&lt;$AQ281,"IKS",IF(AO$8&lt;$AS281,IF(AO$8=$AR281,"Bascule","Double run"),"ROKS"))))))</f>
        <v/>
      </c>
      <c r="AP281" s="51" t="str">
        <f aca="false">IF(OR($A281="",AP$8=""),"",IF($F281="Migré","ROKS",IF($F281="À décommissionner",IF(AP$8&lt;$AS281,"IKS","Décom."),IF(OR($AQ281="",$AS281=""),"",IF(AP$8&lt;$AQ281,"IKS",IF(AP$8&lt;$AS281,IF(AP$8=$AR281,"Bascule","Double run"),"ROKS"))))))</f>
        <v/>
      </c>
      <c r="AQ281" s="0" t="str">
        <f aca="false">IF($A281="","",INDEX(TblApplications[Mois prov (calc)],$A281))</f>
        <v/>
      </c>
      <c r="AR281" s="0" t="str">
        <f aca="false">IF($A281="","",IFERROR(DATE(YEAR(INDEX(TblApplications[Mois bascule],$A281)),MONTH(INDEX(TblApplications[Mois bascule],$A281)),1),""))</f>
        <v/>
      </c>
      <c r="AS281" s="0" t="str">
        <f aca="false">IF($A281="","",INDEX(TblApplications[Mois lib (calc)],$A281))</f>
        <v/>
      </c>
    </row>
    <row r="282" customFormat="false" ht="15" hidden="false" customHeight="false" outlineLevel="0" collapsed="false">
      <c r="A282" s="49" t="str">
        <f aca="false">IFERROR(MATCH(274,TblApplications[Rang frise],0),"")</f>
        <v/>
      </c>
      <c r="B282" s="50" t="str">
        <f aca="false">IF($A282="","",INDEX(TblApplications[ID],$A282))</f>
        <v/>
      </c>
      <c r="C282" s="50" t="str">
        <f aca="false">IF($A282="","",INDEX(TblApplications[Application],$A282))</f>
        <v/>
      </c>
      <c r="D282" s="50" t="str">
        <f aca="false">IF($A282="","",INDEX(TblApplications[Environnement],$A282))</f>
        <v/>
      </c>
      <c r="E282" s="50" t="str">
        <f aca="false">IF($A282="","",INDEX(TblApplications[Couloir],$A282))</f>
        <v/>
      </c>
      <c r="F282" s="50" t="str">
        <f aca="false">IF($A282="","",INDEX(TblApplications[Action],$A282))</f>
        <v/>
      </c>
      <c r="G282" s="51" t="str">
        <f aca="false">IF(OR($A282="",G$8=""),"",IF($F282="Migré","ROKS",IF($F282="À décommissionner",IF(G$8&lt;$AS282,"IKS","Décom."),IF(OR($AQ282="",$AS282=""),"",IF(G$8&lt;$AQ282,"IKS",IF(G$8&lt;$AS282,IF(G$8=$AR282,"Bascule","Double run"),"ROKS"))))))</f>
        <v/>
      </c>
      <c r="H282" s="51" t="str">
        <f aca="false">IF(OR($A282="",H$8=""),"",IF($F282="Migré","ROKS",IF($F282="À décommissionner",IF(H$8&lt;$AS282,"IKS","Décom."),IF(OR($AQ282="",$AS282=""),"",IF(H$8&lt;$AQ282,"IKS",IF(H$8&lt;$AS282,IF(H$8=$AR282,"Bascule","Double run"),"ROKS"))))))</f>
        <v/>
      </c>
      <c r="I282" s="51" t="str">
        <f aca="false">IF(OR($A282="",I$8=""),"",IF($F282="Migré","ROKS",IF($F282="À décommissionner",IF(I$8&lt;$AS282,"IKS","Décom."),IF(OR($AQ282="",$AS282=""),"",IF(I$8&lt;$AQ282,"IKS",IF(I$8&lt;$AS282,IF(I$8=$AR282,"Bascule","Double run"),"ROKS"))))))</f>
        <v/>
      </c>
      <c r="J282" s="51" t="str">
        <f aca="false">IF(OR($A282="",J$8=""),"",IF($F282="Migré","ROKS",IF($F282="À décommissionner",IF(J$8&lt;$AS282,"IKS","Décom."),IF(OR($AQ282="",$AS282=""),"",IF(J$8&lt;$AQ282,"IKS",IF(J$8&lt;$AS282,IF(J$8=$AR282,"Bascule","Double run"),"ROKS"))))))</f>
        <v/>
      </c>
      <c r="K282" s="51" t="str">
        <f aca="false">IF(OR($A282="",K$8=""),"",IF($F282="Migré","ROKS",IF($F282="À décommissionner",IF(K$8&lt;$AS282,"IKS","Décom."),IF(OR($AQ282="",$AS282=""),"",IF(K$8&lt;$AQ282,"IKS",IF(K$8&lt;$AS282,IF(K$8=$AR282,"Bascule","Double run"),"ROKS"))))))</f>
        <v/>
      </c>
      <c r="L282" s="51" t="str">
        <f aca="false">IF(OR($A282="",L$8=""),"",IF($F282="Migré","ROKS",IF($F282="À décommissionner",IF(L$8&lt;$AS282,"IKS","Décom."),IF(OR($AQ282="",$AS282=""),"",IF(L$8&lt;$AQ282,"IKS",IF(L$8&lt;$AS282,IF(L$8=$AR282,"Bascule","Double run"),"ROKS"))))))</f>
        <v/>
      </c>
      <c r="M282" s="51" t="str">
        <f aca="false">IF(OR($A282="",M$8=""),"",IF($F282="Migré","ROKS",IF($F282="À décommissionner",IF(M$8&lt;$AS282,"IKS","Décom."),IF(OR($AQ282="",$AS282=""),"",IF(M$8&lt;$AQ282,"IKS",IF(M$8&lt;$AS282,IF(M$8=$AR282,"Bascule","Double run"),"ROKS"))))))</f>
        <v/>
      </c>
      <c r="N282" s="51" t="str">
        <f aca="false">IF(OR($A282="",N$8=""),"",IF($F282="Migré","ROKS",IF($F282="À décommissionner",IF(N$8&lt;$AS282,"IKS","Décom."),IF(OR($AQ282="",$AS282=""),"",IF(N$8&lt;$AQ282,"IKS",IF(N$8&lt;$AS282,IF(N$8=$AR282,"Bascule","Double run"),"ROKS"))))))</f>
        <v/>
      </c>
      <c r="O282" s="51" t="str">
        <f aca="false">IF(OR($A282="",O$8=""),"",IF($F282="Migré","ROKS",IF($F282="À décommissionner",IF(O$8&lt;$AS282,"IKS","Décom."),IF(OR($AQ282="",$AS282=""),"",IF(O$8&lt;$AQ282,"IKS",IF(O$8&lt;$AS282,IF(O$8=$AR282,"Bascule","Double run"),"ROKS"))))))</f>
        <v/>
      </c>
      <c r="P282" s="51" t="str">
        <f aca="false">IF(OR($A282="",P$8=""),"",IF($F282="Migré","ROKS",IF($F282="À décommissionner",IF(P$8&lt;$AS282,"IKS","Décom."),IF(OR($AQ282="",$AS282=""),"",IF(P$8&lt;$AQ282,"IKS",IF(P$8&lt;$AS282,IF(P$8=$AR282,"Bascule","Double run"),"ROKS"))))))</f>
        <v/>
      </c>
      <c r="Q282" s="51" t="str">
        <f aca="false">IF(OR($A282="",Q$8=""),"",IF($F282="Migré","ROKS",IF($F282="À décommissionner",IF(Q$8&lt;$AS282,"IKS","Décom."),IF(OR($AQ282="",$AS282=""),"",IF(Q$8&lt;$AQ282,"IKS",IF(Q$8&lt;$AS282,IF(Q$8=$AR282,"Bascule","Double run"),"ROKS"))))))</f>
        <v/>
      </c>
      <c r="R282" s="51" t="str">
        <f aca="false">IF(OR($A282="",R$8=""),"",IF($F282="Migré","ROKS",IF($F282="À décommissionner",IF(R$8&lt;$AS282,"IKS","Décom."),IF(OR($AQ282="",$AS282=""),"",IF(R$8&lt;$AQ282,"IKS",IF(R$8&lt;$AS282,IF(R$8=$AR282,"Bascule","Double run"),"ROKS"))))))</f>
        <v/>
      </c>
      <c r="S282" s="51" t="str">
        <f aca="false">IF(OR($A282="",S$8=""),"",IF($F282="Migré","ROKS",IF($F282="À décommissionner",IF(S$8&lt;$AS282,"IKS","Décom."),IF(OR($AQ282="",$AS282=""),"",IF(S$8&lt;$AQ282,"IKS",IF(S$8&lt;$AS282,IF(S$8=$AR282,"Bascule","Double run"),"ROKS"))))))</f>
        <v/>
      </c>
      <c r="T282" s="51" t="str">
        <f aca="false">IF(OR($A282="",T$8=""),"",IF($F282="Migré","ROKS",IF($F282="À décommissionner",IF(T$8&lt;$AS282,"IKS","Décom."),IF(OR($AQ282="",$AS282=""),"",IF(T$8&lt;$AQ282,"IKS",IF(T$8&lt;$AS282,IF(T$8=$AR282,"Bascule","Double run"),"ROKS"))))))</f>
        <v/>
      </c>
      <c r="U282" s="51" t="str">
        <f aca="false">IF(OR($A282="",U$8=""),"",IF($F282="Migré","ROKS",IF($F282="À décommissionner",IF(U$8&lt;$AS282,"IKS","Décom."),IF(OR($AQ282="",$AS282=""),"",IF(U$8&lt;$AQ282,"IKS",IF(U$8&lt;$AS282,IF(U$8=$AR282,"Bascule","Double run"),"ROKS"))))))</f>
        <v/>
      </c>
      <c r="V282" s="51" t="str">
        <f aca="false">IF(OR($A282="",V$8=""),"",IF($F282="Migré","ROKS",IF($F282="À décommissionner",IF(V$8&lt;$AS282,"IKS","Décom."),IF(OR($AQ282="",$AS282=""),"",IF(V$8&lt;$AQ282,"IKS",IF(V$8&lt;$AS282,IF(V$8=$AR282,"Bascule","Double run"),"ROKS"))))))</f>
        <v/>
      </c>
      <c r="W282" s="51" t="str">
        <f aca="false">IF(OR($A282="",W$8=""),"",IF($F282="Migré","ROKS",IF($F282="À décommissionner",IF(W$8&lt;$AS282,"IKS","Décom."),IF(OR($AQ282="",$AS282=""),"",IF(W$8&lt;$AQ282,"IKS",IF(W$8&lt;$AS282,IF(W$8=$AR282,"Bascule","Double run"),"ROKS"))))))</f>
        <v/>
      </c>
      <c r="X282" s="51" t="str">
        <f aca="false">IF(OR($A282="",X$8=""),"",IF($F282="Migré","ROKS",IF($F282="À décommissionner",IF(X$8&lt;$AS282,"IKS","Décom."),IF(OR($AQ282="",$AS282=""),"",IF(X$8&lt;$AQ282,"IKS",IF(X$8&lt;$AS282,IF(X$8=$AR282,"Bascule","Double run"),"ROKS"))))))</f>
        <v/>
      </c>
      <c r="Y282" s="51" t="str">
        <f aca="false">IF(OR($A282="",Y$8=""),"",IF($F282="Migré","ROKS",IF($F282="À décommissionner",IF(Y$8&lt;$AS282,"IKS","Décom."),IF(OR($AQ282="",$AS282=""),"",IF(Y$8&lt;$AQ282,"IKS",IF(Y$8&lt;$AS282,IF(Y$8=$AR282,"Bascule","Double run"),"ROKS"))))))</f>
        <v/>
      </c>
      <c r="Z282" s="51" t="str">
        <f aca="false">IF(OR($A282="",Z$8=""),"",IF($F282="Migré","ROKS",IF($F282="À décommissionner",IF(Z$8&lt;$AS282,"IKS","Décom."),IF(OR($AQ282="",$AS282=""),"",IF(Z$8&lt;$AQ282,"IKS",IF(Z$8&lt;$AS282,IF(Z$8=$AR282,"Bascule","Double run"),"ROKS"))))))</f>
        <v/>
      </c>
      <c r="AA282" s="51" t="str">
        <f aca="false">IF(OR($A282="",AA$8=""),"",IF($F282="Migré","ROKS",IF($F282="À décommissionner",IF(AA$8&lt;$AS282,"IKS","Décom."),IF(OR($AQ282="",$AS282=""),"",IF(AA$8&lt;$AQ282,"IKS",IF(AA$8&lt;$AS282,IF(AA$8=$AR282,"Bascule","Double run"),"ROKS"))))))</f>
        <v/>
      </c>
      <c r="AB282" s="51" t="str">
        <f aca="false">IF(OR($A282="",AB$8=""),"",IF($F282="Migré","ROKS",IF($F282="À décommissionner",IF(AB$8&lt;$AS282,"IKS","Décom."),IF(OR($AQ282="",$AS282=""),"",IF(AB$8&lt;$AQ282,"IKS",IF(AB$8&lt;$AS282,IF(AB$8=$AR282,"Bascule","Double run"),"ROKS"))))))</f>
        <v/>
      </c>
      <c r="AC282" s="51" t="str">
        <f aca="false">IF(OR($A282="",AC$8=""),"",IF($F282="Migré","ROKS",IF($F282="À décommissionner",IF(AC$8&lt;$AS282,"IKS","Décom."),IF(OR($AQ282="",$AS282=""),"",IF(AC$8&lt;$AQ282,"IKS",IF(AC$8&lt;$AS282,IF(AC$8=$AR282,"Bascule","Double run"),"ROKS"))))))</f>
        <v/>
      </c>
      <c r="AD282" s="51" t="str">
        <f aca="false">IF(OR($A282="",AD$8=""),"",IF($F282="Migré","ROKS",IF($F282="À décommissionner",IF(AD$8&lt;$AS282,"IKS","Décom."),IF(OR($AQ282="",$AS282=""),"",IF(AD$8&lt;$AQ282,"IKS",IF(AD$8&lt;$AS282,IF(AD$8=$AR282,"Bascule","Double run"),"ROKS"))))))</f>
        <v/>
      </c>
      <c r="AE282" s="51" t="str">
        <f aca="false">IF(OR($A282="",AE$8=""),"",IF($F282="Migré","ROKS",IF($F282="À décommissionner",IF(AE$8&lt;$AS282,"IKS","Décom."),IF(OR($AQ282="",$AS282=""),"",IF(AE$8&lt;$AQ282,"IKS",IF(AE$8&lt;$AS282,IF(AE$8=$AR282,"Bascule","Double run"),"ROKS"))))))</f>
        <v/>
      </c>
      <c r="AF282" s="51" t="str">
        <f aca="false">IF(OR($A282="",AF$8=""),"",IF($F282="Migré","ROKS",IF($F282="À décommissionner",IF(AF$8&lt;$AS282,"IKS","Décom."),IF(OR($AQ282="",$AS282=""),"",IF(AF$8&lt;$AQ282,"IKS",IF(AF$8&lt;$AS282,IF(AF$8=$AR282,"Bascule","Double run"),"ROKS"))))))</f>
        <v/>
      </c>
      <c r="AG282" s="51" t="str">
        <f aca="false">IF(OR($A282="",AG$8=""),"",IF($F282="Migré","ROKS",IF($F282="À décommissionner",IF(AG$8&lt;$AS282,"IKS","Décom."),IF(OR($AQ282="",$AS282=""),"",IF(AG$8&lt;$AQ282,"IKS",IF(AG$8&lt;$AS282,IF(AG$8=$AR282,"Bascule","Double run"),"ROKS"))))))</f>
        <v/>
      </c>
      <c r="AH282" s="51" t="str">
        <f aca="false">IF(OR($A282="",AH$8=""),"",IF($F282="Migré","ROKS",IF($F282="À décommissionner",IF(AH$8&lt;$AS282,"IKS","Décom."),IF(OR($AQ282="",$AS282=""),"",IF(AH$8&lt;$AQ282,"IKS",IF(AH$8&lt;$AS282,IF(AH$8=$AR282,"Bascule","Double run"),"ROKS"))))))</f>
        <v/>
      </c>
      <c r="AI282" s="51" t="str">
        <f aca="false">IF(OR($A282="",AI$8=""),"",IF($F282="Migré","ROKS",IF($F282="À décommissionner",IF(AI$8&lt;$AS282,"IKS","Décom."),IF(OR($AQ282="",$AS282=""),"",IF(AI$8&lt;$AQ282,"IKS",IF(AI$8&lt;$AS282,IF(AI$8=$AR282,"Bascule","Double run"),"ROKS"))))))</f>
        <v/>
      </c>
      <c r="AJ282" s="51" t="str">
        <f aca="false">IF(OR($A282="",AJ$8=""),"",IF($F282="Migré","ROKS",IF($F282="À décommissionner",IF(AJ$8&lt;$AS282,"IKS","Décom."),IF(OR($AQ282="",$AS282=""),"",IF(AJ$8&lt;$AQ282,"IKS",IF(AJ$8&lt;$AS282,IF(AJ$8=$AR282,"Bascule","Double run"),"ROKS"))))))</f>
        <v/>
      </c>
      <c r="AK282" s="51" t="str">
        <f aca="false">IF(OR($A282="",AK$8=""),"",IF($F282="Migré","ROKS",IF($F282="À décommissionner",IF(AK$8&lt;$AS282,"IKS","Décom."),IF(OR($AQ282="",$AS282=""),"",IF(AK$8&lt;$AQ282,"IKS",IF(AK$8&lt;$AS282,IF(AK$8=$AR282,"Bascule","Double run"),"ROKS"))))))</f>
        <v/>
      </c>
      <c r="AL282" s="51" t="str">
        <f aca="false">IF(OR($A282="",AL$8=""),"",IF($F282="Migré","ROKS",IF($F282="À décommissionner",IF(AL$8&lt;$AS282,"IKS","Décom."),IF(OR($AQ282="",$AS282=""),"",IF(AL$8&lt;$AQ282,"IKS",IF(AL$8&lt;$AS282,IF(AL$8=$AR282,"Bascule","Double run"),"ROKS"))))))</f>
        <v/>
      </c>
      <c r="AM282" s="51" t="str">
        <f aca="false">IF(OR($A282="",AM$8=""),"",IF($F282="Migré","ROKS",IF($F282="À décommissionner",IF(AM$8&lt;$AS282,"IKS","Décom."),IF(OR($AQ282="",$AS282=""),"",IF(AM$8&lt;$AQ282,"IKS",IF(AM$8&lt;$AS282,IF(AM$8=$AR282,"Bascule","Double run"),"ROKS"))))))</f>
        <v/>
      </c>
      <c r="AN282" s="51" t="str">
        <f aca="false">IF(OR($A282="",AN$8=""),"",IF($F282="Migré","ROKS",IF($F282="À décommissionner",IF(AN$8&lt;$AS282,"IKS","Décom."),IF(OR($AQ282="",$AS282=""),"",IF(AN$8&lt;$AQ282,"IKS",IF(AN$8&lt;$AS282,IF(AN$8=$AR282,"Bascule","Double run"),"ROKS"))))))</f>
        <v/>
      </c>
      <c r="AO282" s="51" t="str">
        <f aca="false">IF(OR($A282="",AO$8=""),"",IF($F282="Migré","ROKS",IF($F282="À décommissionner",IF(AO$8&lt;$AS282,"IKS","Décom."),IF(OR($AQ282="",$AS282=""),"",IF(AO$8&lt;$AQ282,"IKS",IF(AO$8&lt;$AS282,IF(AO$8=$AR282,"Bascule","Double run"),"ROKS"))))))</f>
        <v/>
      </c>
      <c r="AP282" s="51" t="str">
        <f aca="false">IF(OR($A282="",AP$8=""),"",IF($F282="Migré","ROKS",IF($F282="À décommissionner",IF(AP$8&lt;$AS282,"IKS","Décom."),IF(OR($AQ282="",$AS282=""),"",IF(AP$8&lt;$AQ282,"IKS",IF(AP$8&lt;$AS282,IF(AP$8=$AR282,"Bascule","Double run"),"ROKS"))))))</f>
        <v/>
      </c>
      <c r="AQ282" s="0" t="str">
        <f aca="false">IF($A282="","",INDEX(TblApplications[Mois prov (calc)],$A282))</f>
        <v/>
      </c>
      <c r="AR282" s="0" t="str">
        <f aca="false">IF($A282="","",IFERROR(DATE(YEAR(INDEX(TblApplications[Mois bascule],$A282)),MONTH(INDEX(TblApplications[Mois bascule],$A282)),1),""))</f>
        <v/>
      </c>
      <c r="AS282" s="0" t="str">
        <f aca="false">IF($A282="","",INDEX(TblApplications[Mois lib (calc)],$A282))</f>
        <v/>
      </c>
    </row>
    <row r="283" customFormat="false" ht="15" hidden="false" customHeight="false" outlineLevel="0" collapsed="false">
      <c r="A283" s="49" t="str">
        <f aca="false">IFERROR(MATCH(275,TblApplications[Rang frise],0),"")</f>
        <v/>
      </c>
      <c r="B283" s="50" t="str">
        <f aca="false">IF($A283="","",INDEX(TblApplications[ID],$A283))</f>
        <v/>
      </c>
      <c r="C283" s="50" t="str">
        <f aca="false">IF($A283="","",INDEX(TblApplications[Application],$A283))</f>
        <v/>
      </c>
      <c r="D283" s="50" t="str">
        <f aca="false">IF($A283="","",INDEX(TblApplications[Environnement],$A283))</f>
        <v/>
      </c>
      <c r="E283" s="50" t="str">
        <f aca="false">IF($A283="","",INDEX(TblApplications[Couloir],$A283))</f>
        <v/>
      </c>
      <c r="F283" s="50" t="str">
        <f aca="false">IF($A283="","",INDEX(TblApplications[Action],$A283))</f>
        <v/>
      </c>
      <c r="G283" s="51" t="str">
        <f aca="false">IF(OR($A283="",G$8=""),"",IF($F283="Migré","ROKS",IF($F283="À décommissionner",IF(G$8&lt;$AS283,"IKS","Décom."),IF(OR($AQ283="",$AS283=""),"",IF(G$8&lt;$AQ283,"IKS",IF(G$8&lt;$AS283,IF(G$8=$AR283,"Bascule","Double run"),"ROKS"))))))</f>
        <v/>
      </c>
      <c r="H283" s="51" t="str">
        <f aca="false">IF(OR($A283="",H$8=""),"",IF($F283="Migré","ROKS",IF($F283="À décommissionner",IF(H$8&lt;$AS283,"IKS","Décom."),IF(OR($AQ283="",$AS283=""),"",IF(H$8&lt;$AQ283,"IKS",IF(H$8&lt;$AS283,IF(H$8=$AR283,"Bascule","Double run"),"ROKS"))))))</f>
        <v/>
      </c>
      <c r="I283" s="51" t="str">
        <f aca="false">IF(OR($A283="",I$8=""),"",IF($F283="Migré","ROKS",IF($F283="À décommissionner",IF(I$8&lt;$AS283,"IKS","Décom."),IF(OR($AQ283="",$AS283=""),"",IF(I$8&lt;$AQ283,"IKS",IF(I$8&lt;$AS283,IF(I$8=$AR283,"Bascule","Double run"),"ROKS"))))))</f>
        <v/>
      </c>
      <c r="J283" s="51" t="str">
        <f aca="false">IF(OR($A283="",J$8=""),"",IF($F283="Migré","ROKS",IF($F283="À décommissionner",IF(J$8&lt;$AS283,"IKS","Décom."),IF(OR($AQ283="",$AS283=""),"",IF(J$8&lt;$AQ283,"IKS",IF(J$8&lt;$AS283,IF(J$8=$AR283,"Bascule","Double run"),"ROKS"))))))</f>
        <v/>
      </c>
      <c r="K283" s="51" t="str">
        <f aca="false">IF(OR($A283="",K$8=""),"",IF($F283="Migré","ROKS",IF($F283="À décommissionner",IF(K$8&lt;$AS283,"IKS","Décom."),IF(OR($AQ283="",$AS283=""),"",IF(K$8&lt;$AQ283,"IKS",IF(K$8&lt;$AS283,IF(K$8=$AR283,"Bascule","Double run"),"ROKS"))))))</f>
        <v/>
      </c>
      <c r="L283" s="51" t="str">
        <f aca="false">IF(OR($A283="",L$8=""),"",IF($F283="Migré","ROKS",IF($F283="À décommissionner",IF(L$8&lt;$AS283,"IKS","Décom."),IF(OR($AQ283="",$AS283=""),"",IF(L$8&lt;$AQ283,"IKS",IF(L$8&lt;$AS283,IF(L$8=$AR283,"Bascule","Double run"),"ROKS"))))))</f>
        <v/>
      </c>
      <c r="M283" s="51" t="str">
        <f aca="false">IF(OR($A283="",M$8=""),"",IF($F283="Migré","ROKS",IF($F283="À décommissionner",IF(M$8&lt;$AS283,"IKS","Décom."),IF(OR($AQ283="",$AS283=""),"",IF(M$8&lt;$AQ283,"IKS",IF(M$8&lt;$AS283,IF(M$8=$AR283,"Bascule","Double run"),"ROKS"))))))</f>
        <v/>
      </c>
      <c r="N283" s="51" t="str">
        <f aca="false">IF(OR($A283="",N$8=""),"",IF($F283="Migré","ROKS",IF($F283="À décommissionner",IF(N$8&lt;$AS283,"IKS","Décom."),IF(OR($AQ283="",$AS283=""),"",IF(N$8&lt;$AQ283,"IKS",IF(N$8&lt;$AS283,IF(N$8=$AR283,"Bascule","Double run"),"ROKS"))))))</f>
        <v/>
      </c>
      <c r="O283" s="51" t="str">
        <f aca="false">IF(OR($A283="",O$8=""),"",IF($F283="Migré","ROKS",IF($F283="À décommissionner",IF(O$8&lt;$AS283,"IKS","Décom."),IF(OR($AQ283="",$AS283=""),"",IF(O$8&lt;$AQ283,"IKS",IF(O$8&lt;$AS283,IF(O$8=$AR283,"Bascule","Double run"),"ROKS"))))))</f>
        <v/>
      </c>
      <c r="P283" s="51" t="str">
        <f aca="false">IF(OR($A283="",P$8=""),"",IF($F283="Migré","ROKS",IF($F283="À décommissionner",IF(P$8&lt;$AS283,"IKS","Décom."),IF(OR($AQ283="",$AS283=""),"",IF(P$8&lt;$AQ283,"IKS",IF(P$8&lt;$AS283,IF(P$8=$AR283,"Bascule","Double run"),"ROKS"))))))</f>
        <v/>
      </c>
      <c r="Q283" s="51" t="str">
        <f aca="false">IF(OR($A283="",Q$8=""),"",IF($F283="Migré","ROKS",IF($F283="À décommissionner",IF(Q$8&lt;$AS283,"IKS","Décom."),IF(OR($AQ283="",$AS283=""),"",IF(Q$8&lt;$AQ283,"IKS",IF(Q$8&lt;$AS283,IF(Q$8=$AR283,"Bascule","Double run"),"ROKS"))))))</f>
        <v/>
      </c>
      <c r="R283" s="51" t="str">
        <f aca="false">IF(OR($A283="",R$8=""),"",IF($F283="Migré","ROKS",IF($F283="À décommissionner",IF(R$8&lt;$AS283,"IKS","Décom."),IF(OR($AQ283="",$AS283=""),"",IF(R$8&lt;$AQ283,"IKS",IF(R$8&lt;$AS283,IF(R$8=$AR283,"Bascule","Double run"),"ROKS"))))))</f>
        <v/>
      </c>
      <c r="S283" s="51" t="str">
        <f aca="false">IF(OR($A283="",S$8=""),"",IF($F283="Migré","ROKS",IF($F283="À décommissionner",IF(S$8&lt;$AS283,"IKS","Décom."),IF(OR($AQ283="",$AS283=""),"",IF(S$8&lt;$AQ283,"IKS",IF(S$8&lt;$AS283,IF(S$8=$AR283,"Bascule","Double run"),"ROKS"))))))</f>
        <v/>
      </c>
      <c r="T283" s="51" t="str">
        <f aca="false">IF(OR($A283="",T$8=""),"",IF($F283="Migré","ROKS",IF($F283="À décommissionner",IF(T$8&lt;$AS283,"IKS","Décom."),IF(OR($AQ283="",$AS283=""),"",IF(T$8&lt;$AQ283,"IKS",IF(T$8&lt;$AS283,IF(T$8=$AR283,"Bascule","Double run"),"ROKS"))))))</f>
        <v/>
      </c>
      <c r="U283" s="51" t="str">
        <f aca="false">IF(OR($A283="",U$8=""),"",IF($F283="Migré","ROKS",IF($F283="À décommissionner",IF(U$8&lt;$AS283,"IKS","Décom."),IF(OR($AQ283="",$AS283=""),"",IF(U$8&lt;$AQ283,"IKS",IF(U$8&lt;$AS283,IF(U$8=$AR283,"Bascule","Double run"),"ROKS"))))))</f>
        <v/>
      </c>
      <c r="V283" s="51" t="str">
        <f aca="false">IF(OR($A283="",V$8=""),"",IF($F283="Migré","ROKS",IF($F283="À décommissionner",IF(V$8&lt;$AS283,"IKS","Décom."),IF(OR($AQ283="",$AS283=""),"",IF(V$8&lt;$AQ283,"IKS",IF(V$8&lt;$AS283,IF(V$8=$AR283,"Bascule","Double run"),"ROKS"))))))</f>
        <v/>
      </c>
      <c r="W283" s="51" t="str">
        <f aca="false">IF(OR($A283="",W$8=""),"",IF($F283="Migré","ROKS",IF($F283="À décommissionner",IF(W$8&lt;$AS283,"IKS","Décom."),IF(OR($AQ283="",$AS283=""),"",IF(W$8&lt;$AQ283,"IKS",IF(W$8&lt;$AS283,IF(W$8=$AR283,"Bascule","Double run"),"ROKS"))))))</f>
        <v/>
      </c>
      <c r="X283" s="51" t="str">
        <f aca="false">IF(OR($A283="",X$8=""),"",IF($F283="Migré","ROKS",IF($F283="À décommissionner",IF(X$8&lt;$AS283,"IKS","Décom."),IF(OR($AQ283="",$AS283=""),"",IF(X$8&lt;$AQ283,"IKS",IF(X$8&lt;$AS283,IF(X$8=$AR283,"Bascule","Double run"),"ROKS"))))))</f>
        <v/>
      </c>
      <c r="Y283" s="51" t="str">
        <f aca="false">IF(OR($A283="",Y$8=""),"",IF($F283="Migré","ROKS",IF($F283="À décommissionner",IF(Y$8&lt;$AS283,"IKS","Décom."),IF(OR($AQ283="",$AS283=""),"",IF(Y$8&lt;$AQ283,"IKS",IF(Y$8&lt;$AS283,IF(Y$8=$AR283,"Bascule","Double run"),"ROKS"))))))</f>
        <v/>
      </c>
      <c r="Z283" s="51" t="str">
        <f aca="false">IF(OR($A283="",Z$8=""),"",IF($F283="Migré","ROKS",IF($F283="À décommissionner",IF(Z$8&lt;$AS283,"IKS","Décom."),IF(OR($AQ283="",$AS283=""),"",IF(Z$8&lt;$AQ283,"IKS",IF(Z$8&lt;$AS283,IF(Z$8=$AR283,"Bascule","Double run"),"ROKS"))))))</f>
        <v/>
      </c>
      <c r="AA283" s="51" t="str">
        <f aca="false">IF(OR($A283="",AA$8=""),"",IF($F283="Migré","ROKS",IF($F283="À décommissionner",IF(AA$8&lt;$AS283,"IKS","Décom."),IF(OR($AQ283="",$AS283=""),"",IF(AA$8&lt;$AQ283,"IKS",IF(AA$8&lt;$AS283,IF(AA$8=$AR283,"Bascule","Double run"),"ROKS"))))))</f>
        <v/>
      </c>
      <c r="AB283" s="51" t="str">
        <f aca="false">IF(OR($A283="",AB$8=""),"",IF($F283="Migré","ROKS",IF($F283="À décommissionner",IF(AB$8&lt;$AS283,"IKS","Décom."),IF(OR($AQ283="",$AS283=""),"",IF(AB$8&lt;$AQ283,"IKS",IF(AB$8&lt;$AS283,IF(AB$8=$AR283,"Bascule","Double run"),"ROKS"))))))</f>
        <v/>
      </c>
      <c r="AC283" s="51" t="str">
        <f aca="false">IF(OR($A283="",AC$8=""),"",IF($F283="Migré","ROKS",IF($F283="À décommissionner",IF(AC$8&lt;$AS283,"IKS","Décom."),IF(OR($AQ283="",$AS283=""),"",IF(AC$8&lt;$AQ283,"IKS",IF(AC$8&lt;$AS283,IF(AC$8=$AR283,"Bascule","Double run"),"ROKS"))))))</f>
        <v/>
      </c>
      <c r="AD283" s="51" t="str">
        <f aca="false">IF(OR($A283="",AD$8=""),"",IF($F283="Migré","ROKS",IF($F283="À décommissionner",IF(AD$8&lt;$AS283,"IKS","Décom."),IF(OR($AQ283="",$AS283=""),"",IF(AD$8&lt;$AQ283,"IKS",IF(AD$8&lt;$AS283,IF(AD$8=$AR283,"Bascule","Double run"),"ROKS"))))))</f>
        <v/>
      </c>
      <c r="AE283" s="51" t="str">
        <f aca="false">IF(OR($A283="",AE$8=""),"",IF($F283="Migré","ROKS",IF($F283="À décommissionner",IF(AE$8&lt;$AS283,"IKS","Décom."),IF(OR($AQ283="",$AS283=""),"",IF(AE$8&lt;$AQ283,"IKS",IF(AE$8&lt;$AS283,IF(AE$8=$AR283,"Bascule","Double run"),"ROKS"))))))</f>
        <v/>
      </c>
      <c r="AF283" s="51" t="str">
        <f aca="false">IF(OR($A283="",AF$8=""),"",IF($F283="Migré","ROKS",IF($F283="À décommissionner",IF(AF$8&lt;$AS283,"IKS","Décom."),IF(OR($AQ283="",$AS283=""),"",IF(AF$8&lt;$AQ283,"IKS",IF(AF$8&lt;$AS283,IF(AF$8=$AR283,"Bascule","Double run"),"ROKS"))))))</f>
        <v/>
      </c>
      <c r="AG283" s="51" t="str">
        <f aca="false">IF(OR($A283="",AG$8=""),"",IF($F283="Migré","ROKS",IF($F283="À décommissionner",IF(AG$8&lt;$AS283,"IKS","Décom."),IF(OR($AQ283="",$AS283=""),"",IF(AG$8&lt;$AQ283,"IKS",IF(AG$8&lt;$AS283,IF(AG$8=$AR283,"Bascule","Double run"),"ROKS"))))))</f>
        <v/>
      </c>
      <c r="AH283" s="51" t="str">
        <f aca="false">IF(OR($A283="",AH$8=""),"",IF($F283="Migré","ROKS",IF($F283="À décommissionner",IF(AH$8&lt;$AS283,"IKS","Décom."),IF(OR($AQ283="",$AS283=""),"",IF(AH$8&lt;$AQ283,"IKS",IF(AH$8&lt;$AS283,IF(AH$8=$AR283,"Bascule","Double run"),"ROKS"))))))</f>
        <v/>
      </c>
      <c r="AI283" s="51" t="str">
        <f aca="false">IF(OR($A283="",AI$8=""),"",IF($F283="Migré","ROKS",IF($F283="À décommissionner",IF(AI$8&lt;$AS283,"IKS","Décom."),IF(OR($AQ283="",$AS283=""),"",IF(AI$8&lt;$AQ283,"IKS",IF(AI$8&lt;$AS283,IF(AI$8=$AR283,"Bascule","Double run"),"ROKS"))))))</f>
        <v/>
      </c>
      <c r="AJ283" s="51" t="str">
        <f aca="false">IF(OR($A283="",AJ$8=""),"",IF($F283="Migré","ROKS",IF($F283="À décommissionner",IF(AJ$8&lt;$AS283,"IKS","Décom."),IF(OR($AQ283="",$AS283=""),"",IF(AJ$8&lt;$AQ283,"IKS",IF(AJ$8&lt;$AS283,IF(AJ$8=$AR283,"Bascule","Double run"),"ROKS"))))))</f>
        <v/>
      </c>
      <c r="AK283" s="51" t="str">
        <f aca="false">IF(OR($A283="",AK$8=""),"",IF($F283="Migré","ROKS",IF($F283="À décommissionner",IF(AK$8&lt;$AS283,"IKS","Décom."),IF(OR($AQ283="",$AS283=""),"",IF(AK$8&lt;$AQ283,"IKS",IF(AK$8&lt;$AS283,IF(AK$8=$AR283,"Bascule","Double run"),"ROKS"))))))</f>
        <v/>
      </c>
      <c r="AL283" s="51" t="str">
        <f aca="false">IF(OR($A283="",AL$8=""),"",IF($F283="Migré","ROKS",IF($F283="À décommissionner",IF(AL$8&lt;$AS283,"IKS","Décom."),IF(OR($AQ283="",$AS283=""),"",IF(AL$8&lt;$AQ283,"IKS",IF(AL$8&lt;$AS283,IF(AL$8=$AR283,"Bascule","Double run"),"ROKS"))))))</f>
        <v/>
      </c>
      <c r="AM283" s="51" t="str">
        <f aca="false">IF(OR($A283="",AM$8=""),"",IF($F283="Migré","ROKS",IF($F283="À décommissionner",IF(AM$8&lt;$AS283,"IKS","Décom."),IF(OR($AQ283="",$AS283=""),"",IF(AM$8&lt;$AQ283,"IKS",IF(AM$8&lt;$AS283,IF(AM$8=$AR283,"Bascule","Double run"),"ROKS"))))))</f>
        <v/>
      </c>
      <c r="AN283" s="51" t="str">
        <f aca="false">IF(OR($A283="",AN$8=""),"",IF($F283="Migré","ROKS",IF($F283="À décommissionner",IF(AN$8&lt;$AS283,"IKS","Décom."),IF(OR($AQ283="",$AS283=""),"",IF(AN$8&lt;$AQ283,"IKS",IF(AN$8&lt;$AS283,IF(AN$8=$AR283,"Bascule","Double run"),"ROKS"))))))</f>
        <v/>
      </c>
      <c r="AO283" s="51" t="str">
        <f aca="false">IF(OR($A283="",AO$8=""),"",IF($F283="Migré","ROKS",IF($F283="À décommissionner",IF(AO$8&lt;$AS283,"IKS","Décom."),IF(OR($AQ283="",$AS283=""),"",IF(AO$8&lt;$AQ283,"IKS",IF(AO$8&lt;$AS283,IF(AO$8=$AR283,"Bascule","Double run"),"ROKS"))))))</f>
        <v/>
      </c>
      <c r="AP283" s="51" t="str">
        <f aca="false">IF(OR($A283="",AP$8=""),"",IF($F283="Migré","ROKS",IF($F283="À décommissionner",IF(AP$8&lt;$AS283,"IKS","Décom."),IF(OR($AQ283="",$AS283=""),"",IF(AP$8&lt;$AQ283,"IKS",IF(AP$8&lt;$AS283,IF(AP$8=$AR283,"Bascule","Double run"),"ROKS"))))))</f>
        <v/>
      </c>
      <c r="AQ283" s="0" t="str">
        <f aca="false">IF($A283="","",INDEX(TblApplications[Mois prov (calc)],$A283))</f>
        <v/>
      </c>
      <c r="AR283" s="0" t="str">
        <f aca="false">IF($A283="","",IFERROR(DATE(YEAR(INDEX(TblApplications[Mois bascule],$A283)),MONTH(INDEX(TblApplications[Mois bascule],$A283)),1),""))</f>
        <v/>
      </c>
      <c r="AS283" s="0" t="str">
        <f aca="false">IF($A283="","",INDEX(TblApplications[Mois lib (calc)],$A283))</f>
        <v/>
      </c>
    </row>
    <row r="284" customFormat="false" ht="15" hidden="false" customHeight="false" outlineLevel="0" collapsed="false">
      <c r="A284" s="49" t="str">
        <f aca="false">IFERROR(MATCH(276,TblApplications[Rang frise],0),"")</f>
        <v/>
      </c>
      <c r="B284" s="50" t="str">
        <f aca="false">IF($A284="","",INDEX(TblApplications[ID],$A284))</f>
        <v/>
      </c>
      <c r="C284" s="50" t="str">
        <f aca="false">IF($A284="","",INDEX(TblApplications[Application],$A284))</f>
        <v/>
      </c>
      <c r="D284" s="50" t="str">
        <f aca="false">IF($A284="","",INDEX(TblApplications[Environnement],$A284))</f>
        <v/>
      </c>
      <c r="E284" s="50" t="str">
        <f aca="false">IF($A284="","",INDEX(TblApplications[Couloir],$A284))</f>
        <v/>
      </c>
      <c r="F284" s="50" t="str">
        <f aca="false">IF($A284="","",INDEX(TblApplications[Action],$A284))</f>
        <v/>
      </c>
      <c r="G284" s="51" t="str">
        <f aca="false">IF(OR($A284="",G$8=""),"",IF($F284="Migré","ROKS",IF($F284="À décommissionner",IF(G$8&lt;$AS284,"IKS","Décom."),IF(OR($AQ284="",$AS284=""),"",IF(G$8&lt;$AQ284,"IKS",IF(G$8&lt;$AS284,IF(G$8=$AR284,"Bascule","Double run"),"ROKS"))))))</f>
        <v/>
      </c>
      <c r="H284" s="51" t="str">
        <f aca="false">IF(OR($A284="",H$8=""),"",IF($F284="Migré","ROKS",IF($F284="À décommissionner",IF(H$8&lt;$AS284,"IKS","Décom."),IF(OR($AQ284="",$AS284=""),"",IF(H$8&lt;$AQ284,"IKS",IF(H$8&lt;$AS284,IF(H$8=$AR284,"Bascule","Double run"),"ROKS"))))))</f>
        <v/>
      </c>
      <c r="I284" s="51" t="str">
        <f aca="false">IF(OR($A284="",I$8=""),"",IF($F284="Migré","ROKS",IF($F284="À décommissionner",IF(I$8&lt;$AS284,"IKS","Décom."),IF(OR($AQ284="",$AS284=""),"",IF(I$8&lt;$AQ284,"IKS",IF(I$8&lt;$AS284,IF(I$8=$AR284,"Bascule","Double run"),"ROKS"))))))</f>
        <v/>
      </c>
      <c r="J284" s="51" t="str">
        <f aca="false">IF(OR($A284="",J$8=""),"",IF($F284="Migré","ROKS",IF($F284="À décommissionner",IF(J$8&lt;$AS284,"IKS","Décom."),IF(OR($AQ284="",$AS284=""),"",IF(J$8&lt;$AQ284,"IKS",IF(J$8&lt;$AS284,IF(J$8=$AR284,"Bascule","Double run"),"ROKS"))))))</f>
        <v/>
      </c>
      <c r="K284" s="51" t="str">
        <f aca="false">IF(OR($A284="",K$8=""),"",IF($F284="Migré","ROKS",IF($F284="À décommissionner",IF(K$8&lt;$AS284,"IKS","Décom."),IF(OR($AQ284="",$AS284=""),"",IF(K$8&lt;$AQ284,"IKS",IF(K$8&lt;$AS284,IF(K$8=$AR284,"Bascule","Double run"),"ROKS"))))))</f>
        <v/>
      </c>
      <c r="L284" s="51" t="str">
        <f aca="false">IF(OR($A284="",L$8=""),"",IF($F284="Migré","ROKS",IF($F284="À décommissionner",IF(L$8&lt;$AS284,"IKS","Décom."),IF(OR($AQ284="",$AS284=""),"",IF(L$8&lt;$AQ284,"IKS",IF(L$8&lt;$AS284,IF(L$8=$AR284,"Bascule","Double run"),"ROKS"))))))</f>
        <v/>
      </c>
      <c r="M284" s="51" t="str">
        <f aca="false">IF(OR($A284="",M$8=""),"",IF($F284="Migré","ROKS",IF($F284="À décommissionner",IF(M$8&lt;$AS284,"IKS","Décom."),IF(OR($AQ284="",$AS284=""),"",IF(M$8&lt;$AQ284,"IKS",IF(M$8&lt;$AS284,IF(M$8=$AR284,"Bascule","Double run"),"ROKS"))))))</f>
        <v/>
      </c>
      <c r="N284" s="51" t="str">
        <f aca="false">IF(OR($A284="",N$8=""),"",IF($F284="Migré","ROKS",IF($F284="À décommissionner",IF(N$8&lt;$AS284,"IKS","Décom."),IF(OR($AQ284="",$AS284=""),"",IF(N$8&lt;$AQ284,"IKS",IF(N$8&lt;$AS284,IF(N$8=$AR284,"Bascule","Double run"),"ROKS"))))))</f>
        <v/>
      </c>
      <c r="O284" s="51" t="str">
        <f aca="false">IF(OR($A284="",O$8=""),"",IF($F284="Migré","ROKS",IF($F284="À décommissionner",IF(O$8&lt;$AS284,"IKS","Décom."),IF(OR($AQ284="",$AS284=""),"",IF(O$8&lt;$AQ284,"IKS",IF(O$8&lt;$AS284,IF(O$8=$AR284,"Bascule","Double run"),"ROKS"))))))</f>
        <v/>
      </c>
      <c r="P284" s="51" t="str">
        <f aca="false">IF(OR($A284="",P$8=""),"",IF($F284="Migré","ROKS",IF($F284="À décommissionner",IF(P$8&lt;$AS284,"IKS","Décom."),IF(OR($AQ284="",$AS284=""),"",IF(P$8&lt;$AQ284,"IKS",IF(P$8&lt;$AS284,IF(P$8=$AR284,"Bascule","Double run"),"ROKS"))))))</f>
        <v/>
      </c>
      <c r="Q284" s="51" t="str">
        <f aca="false">IF(OR($A284="",Q$8=""),"",IF($F284="Migré","ROKS",IF($F284="À décommissionner",IF(Q$8&lt;$AS284,"IKS","Décom."),IF(OR($AQ284="",$AS284=""),"",IF(Q$8&lt;$AQ284,"IKS",IF(Q$8&lt;$AS284,IF(Q$8=$AR284,"Bascule","Double run"),"ROKS"))))))</f>
        <v/>
      </c>
      <c r="R284" s="51" t="str">
        <f aca="false">IF(OR($A284="",R$8=""),"",IF($F284="Migré","ROKS",IF($F284="À décommissionner",IF(R$8&lt;$AS284,"IKS","Décom."),IF(OR($AQ284="",$AS284=""),"",IF(R$8&lt;$AQ284,"IKS",IF(R$8&lt;$AS284,IF(R$8=$AR284,"Bascule","Double run"),"ROKS"))))))</f>
        <v/>
      </c>
      <c r="S284" s="51" t="str">
        <f aca="false">IF(OR($A284="",S$8=""),"",IF($F284="Migré","ROKS",IF($F284="À décommissionner",IF(S$8&lt;$AS284,"IKS","Décom."),IF(OR($AQ284="",$AS284=""),"",IF(S$8&lt;$AQ284,"IKS",IF(S$8&lt;$AS284,IF(S$8=$AR284,"Bascule","Double run"),"ROKS"))))))</f>
        <v/>
      </c>
      <c r="T284" s="51" t="str">
        <f aca="false">IF(OR($A284="",T$8=""),"",IF($F284="Migré","ROKS",IF($F284="À décommissionner",IF(T$8&lt;$AS284,"IKS","Décom."),IF(OR($AQ284="",$AS284=""),"",IF(T$8&lt;$AQ284,"IKS",IF(T$8&lt;$AS284,IF(T$8=$AR284,"Bascule","Double run"),"ROKS"))))))</f>
        <v/>
      </c>
      <c r="U284" s="51" t="str">
        <f aca="false">IF(OR($A284="",U$8=""),"",IF($F284="Migré","ROKS",IF($F284="À décommissionner",IF(U$8&lt;$AS284,"IKS","Décom."),IF(OR($AQ284="",$AS284=""),"",IF(U$8&lt;$AQ284,"IKS",IF(U$8&lt;$AS284,IF(U$8=$AR284,"Bascule","Double run"),"ROKS"))))))</f>
        <v/>
      </c>
      <c r="V284" s="51" t="str">
        <f aca="false">IF(OR($A284="",V$8=""),"",IF($F284="Migré","ROKS",IF($F284="À décommissionner",IF(V$8&lt;$AS284,"IKS","Décom."),IF(OR($AQ284="",$AS284=""),"",IF(V$8&lt;$AQ284,"IKS",IF(V$8&lt;$AS284,IF(V$8=$AR284,"Bascule","Double run"),"ROKS"))))))</f>
        <v/>
      </c>
      <c r="W284" s="51" t="str">
        <f aca="false">IF(OR($A284="",W$8=""),"",IF($F284="Migré","ROKS",IF($F284="À décommissionner",IF(W$8&lt;$AS284,"IKS","Décom."),IF(OR($AQ284="",$AS284=""),"",IF(W$8&lt;$AQ284,"IKS",IF(W$8&lt;$AS284,IF(W$8=$AR284,"Bascule","Double run"),"ROKS"))))))</f>
        <v/>
      </c>
      <c r="X284" s="51" t="str">
        <f aca="false">IF(OR($A284="",X$8=""),"",IF($F284="Migré","ROKS",IF($F284="À décommissionner",IF(X$8&lt;$AS284,"IKS","Décom."),IF(OR($AQ284="",$AS284=""),"",IF(X$8&lt;$AQ284,"IKS",IF(X$8&lt;$AS284,IF(X$8=$AR284,"Bascule","Double run"),"ROKS"))))))</f>
        <v/>
      </c>
      <c r="Y284" s="51" t="str">
        <f aca="false">IF(OR($A284="",Y$8=""),"",IF($F284="Migré","ROKS",IF($F284="À décommissionner",IF(Y$8&lt;$AS284,"IKS","Décom."),IF(OR($AQ284="",$AS284=""),"",IF(Y$8&lt;$AQ284,"IKS",IF(Y$8&lt;$AS284,IF(Y$8=$AR284,"Bascule","Double run"),"ROKS"))))))</f>
        <v/>
      </c>
      <c r="Z284" s="51" t="str">
        <f aca="false">IF(OR($A284="",Z$8=""),"",IF($F284="Migré","ROKS",IF($F284="À décommissionner",IF(Z$8&lt;$AS284,"IKS","Décom."),IF(OR($AQ284="",$AS284=""),"",IF(Z$8&lt;$AQ284,"IKS",IF(Z$8&lt;$AS284,IF(Z$8=$AR284,"Bascule","Double run"),"ROKS"))))))</f>
        <v/>
      </c>
      <c r="AA284" s="51" t="str">
        <f aca="false">IF(OR($A284="",AA$8=""),"",IF($F284="Migré","ROKS",IF($F284="À décommissionner",IF(AA$8&lt;$AS284,"IKS","Décom."),IF(OR($AQ284="",$AS284=""),"",IF(AA$8&lt;$AQ284,"IKS",IF(AA$8&lt;$AS284,IF(AA$8=$AR284,"Bascule","Double run"),"ROKS"))))))</f>
        <v/>
      </c>
      <c r="AB284" s="51" t="str">
        <f aca="false">IF(OR($A284="",AB$8=""),"",IF($F284="Migré","ROKS",IF($F284="À décommissionner",IF(AB$8&lt;$AS284,"IKS","Décom."),IF(OR($AQ284="",$AS284=""),"",IF(AB$8&lt;$AQ284,"IKS",IF(AB$8&lt;$AS284,IF(AB$8=$AR284,"Bascule","Double run"),"ROKS"))))))</f>
        <v/>
      </c>
      <c r="AC284" s="51" t="str">
        <f aca="false">IF(OR($A284="",AC$8=""),"",IF($F284="Migré","ROKS",IF($F284="À décommissionner",IF(AC$8&lt;$AS284,"IKS","Décom."),IF(OR($AQ284="",$AS284=""),"",IF(AC$8&lt;$AQ284,"IKS",IF(AC$8&lt;$AS284,IF(AC$8=$AR284,"Bascule","Double run"),"ROKS"))))))</f>
        <v/>
      </c>
      <c r="AD284" s="51" t="str">
        <f aca="false">IF(OR($A284="",AD$8=""),"",IF($F284="Migré","ROKS",IF($F284="À décommissionner",IF(AD$8&lt;$AS284,"IKS","Décom."),IF(OR($AQ284="",$AS284=""),"",IF(AD$8&lt;$AQ284,"IKS",IF(AD$8&lt;$AS284,IF(AD$8=$AR284,"Bascule","Double run"),"ROKS"))))))</f>
        <v/>
      </c>
      <c r="AE284" s="51" t="str">
        <f aca="false">IF(OR($A284="",AE$8=""),"",IF($F284="Migré","ROKS",IF($F284="À décommissionner",IF(AE$8&lt;$AS284,"IKS","Décom."),IF(OR($AQ284="",$AS284=""),"",IF(AE$8&lt;$AQ284,"IKS",IF(AE$8&lt;$AS284,IF(AE$8=$AR284,"Bascule","Double run"),"ROKS"))))))</f>
        <v/>
      </c>
      <c r="AF284" s="51" t="str">
        <f aca="false">IF(OR($A284="",AF$8=""),"",IF($F284="Migré","ROKS",IF($F284="À décommissionner",IF(AF$8&lt;$AS284,"IKS","Décom."),IF(OR($AQ284="",$AS284=""),"",IF(AF$8&lt;$AQ284,"IKS",IF(AF$8&lt;$AS284,IF(AF$8=$AR284,"Bascule","Double run"),"ROKS"))))))</f>
        <v/>
      </c>
      <c r="AG284" s="51" t="str">
        <f aca="false">IF(OR($A284="",AG$8=""),"",IF($F284="Migré","ROKS",IF($F284="À décommissionner",IF(AG$8&lt;$AS284,"IKS","Décom."),IF(OR($AQ284="",$AS284=""),"",IF(AG$8&lt;$AQ284,"IKS",IF(AG$8&lt;$AS284,IF(AG$8=$AR284,"Bascule","Double run"),"ROKS"))))))</f>
        <v/>
      </c>
      <c r="AH284" s="51" t="str">
        <f aca="false">IF(OR($A284="",AH$8=""),"",IF($F284="Migré","ROKS",IF($F284="À décommissionner",IF(AH$8&lt;$AS284,"IKS","Décom."),IF(OR($AQ284="",$AS284=""),"",IF(AH$8&lt;$AQ284,"IKS",IF(AH$8&lt;$AS284,IF(AH$8=$AR284,"Bascule","Double run"),"ROKS"))))))</f>
        <v/>
      </c>
      <c r="AI284" s="51" t="str">
        <f aca="false">IF(OR($A284="",AI$8=""),"",IF($F284="Migré","ROKS",IF($F284="À décommissionner",IF(AI$8&lt;$AS284,"IKS","Décom."),IF(OR($AQ284="",$AS284=""),"",IF(AI$8&lt;$AQ284,"IKS",IF(AI$8&lt;$AS284,IF(AI$8=$AR284,"Bascule","Double run"),"ROKS"))))))</f>
        <v/>
      </c>
      <c r="AJ284" s="51" t="str">
        <f aca="false">IF(OR($A284="",AJ$8=""),"",IF($F284="Migré","ROKS",IF($F284="À décommissionner",IF(AJ$8&lt;$AS284,"IKS","Décom."),IF(OR($AQ284="",$AS284=""),"",IF(AJ$8&lt;$AQ284,"IKS",IF(AJ$8&lt;$AS284,IF(AJ$8=$AR284,"Bascule","Double run"),"ROKS"))))))</f>
        <v/>
      </c>
      <c r="AK284" s="51" t="str">
        <f aca="false">IF(OR($A284="",AK$8=""),"",IF($F284="Migré","ROKS",IF($F284="À décommissionner",IF(AK$8&lt;$AS284,"IKS","Décom."),IF(OR($AQ284="",$AS284=""),"",IF(AK$8&lt;$AQ284,"IKS",IF(AK$8&lt;$AS284,IF(AK$8=$AR284,"Bascule","Double run"),"ROKS"))))))</f>
        <v/>
      </c>
      <c r="AL284" s="51" t="str">
        <f aca="false">IF(OR($A284="",AL$8=""),"",IF($F284="Migré","ROKS",IF($F284="À décommissionner",IF(AL$8&lt;$AS284,"IKS","Décom."),IF(OR($AQ284="",$AS284=""),"",IF(AL$8&lt;$AQ284,"IKS",IF(AL$8&lt;$AS284,IF(AL$8=$AR284,"Bascule","Double run"),"ROKS"))))))</f>
        <v/>
      </c>
      <c r="AM284" s="51" t="str">
        <f aca="false">IF(OR($A284="",AM$8=""),"",IF($F284="Migré","ROKS",IF($F284="À décommissionner",IF(AM$8&lt;$AS284,"IKS","Décom."),IF(OR($AQ284="",$AS284=""),"",IF(AM$8&lt;$AQ284,"IKS",IF(AM$8&lt;$AS284,IF(AM$8=$AR284,"Bascule","Double run"),"ROKS"))))))</f>
        <v/>
      </c>
      <c r="AN284" s="51" t="str">
        <f aca="false">IF(OR($A284="",AN$8=""),"",IF($F284="Migré","ROKS",IF($F284="À décommissionner",IF(AN$8&lt;$AS284,"IKS","Décom."),IF(OR($AQ284="",$AS284=""),"",IF(AN$8&lt;$AQ284,"IKS",IF(AN$8&lt;$AS284,IF(AN$8=$AR284,"Bascule","Double run"),"ROKS"))))))</f>
        <v/>
      </c>
      <c r="AO284" s="51" t="str">
        <f aca="false">IF(OR($A284="",AO$8=""),"",IF($F284="Migré","ROKS",IF($F284="À décommissionner",IF(AO$8&lt;$AS284,"IKS","Décom."),IF(OR($AQ284="",$AS284=""),"",IF(AO$8&lt;$AQ284,"IKS",IF(AO$8&lt;$AS284,IF(AO$8=$AR284,"Bascule","Double run"),"ROKS"))))))</f>
        <v/>
      </c>
      <c r="AP284" s="51" t="str">
        <f aca="false">IF(OR($A284="",AP$8=""),"",IF($F284="Migré","ROKS",IF($F284="À décommissionner",IF(AP$8&lt;$AS284,"IKS","Décom."),IF(OR($AQ284="",$AS284=""),"",IF(AP$8&lt;$AQ284,"IKS",IF(AP$8&lt;$AS284,IF(AP$8=$AR284,"Bascule","Double run"),"ROKS"))))))</f>
        <v/>
      </c>
      <c r="AQ284" s="0" t="str">
        <f aca="false">IF($A284="","",INDEX(TblApplications[Mois prov (calc)],$A284))</f>
        <v/>
      </c>
      <c r="AR284" s="0" t="str">
        <f aca="false">IF($A284="","",IFERROR(DATE(YEAR(INDEX(TblApplications[Mois bascule],$A284)),MONTH(INDEX(TblApplications[Mois bascule],$A284)),1),""))</f>
        <v/>
      </c>
      <c r="AS284" s="0" t="str">
        <f aca="false">IF($A284="","",INDEX(TblApplications[Mois lib (calc)],$A284))</f>
        <v/>
      </c>
    </row>
    <row r="285" customFormat="false" ht="15" hidden="false" customHeight="false" outlineLevel="0" collapsed="false">
      <c r="A285" s="49" t="str">
        <f aca="false">IFERROR(MATCH(277,TblApplications[Rang frise],0),"")</f>
        <v/>
      </c>
      <c r="B285" s="50" t="str">
        <f aca="false">IF($A285="","",INDEX(TblApplications[ID],$A285))</f>
        <v/>
      </c>
      <c r="C285" s="50" t="str">
        <f aca="false">IF($A285="","",INDEX(TblApplications[Application],$A285))</f>
        <v/>
      </c>
      <c r="D285" s="50" t="str">
        <f aca="false">IF($A285="","",INDEX(TblApplications[Environnement],$A285))</f>
        <v/>
      </c>
      <c r="E285" s="50" t="str">
        <f aca="false">IF($A285="","",INDEX(TblApplications[Couloir],$A285))</f>
        <v/>
      </c>
      <c r="F285" s="50" t="str">
        <f aca="false">IF($A285="","",INDEX(TblApplications[Action],$A285))</f>
        <v/>
      </c>
      <c r="G285" s="51" t="str">
        <f aca="false">IF(OR($A285="",G$8=""),"",IF($F285="Migré","ROKS",IF($F285="À décommissionner",IF(G$8&lt;$AS285,"IKS","Décom."),IF(OR($AQ285="",$AS285=""),"",IF(G$8&lt;$AQ285,"IKS",IF(G$8&lt;$AS285,IF(G$8=$AR285,"Bascule","Double run"),"ROKS"))))))</f>
        <v/>
      </c>
      <c r="H285" s="51" t="str">
        <f aca="false">IF(OR($A285="",H$8=""),"",IF($F285="Migré","ROKS",IF($F285="À décommissionner",IF(H$8&lt;$AS285,"IKS","Décom."),IF(OR($AQ285="",$AS285=""),"",IF(H$8&lt;$AQ285,"IKS",IF(H$8&lt;$AS285,IF(H$8=$AR285,"Bascule","Double run"),"ROKS"))))))</f>
        <v/>
      </c>
      <c r="I285" s="51" t="str">
        <f aca="false">IF(OR($A285="",I$8=""),"",IF($F285="Migré","ROKS",IF($F285="À décommissionner",IF(I$8&lt;$AS285,"IKS","Décom."),IF(OR($AQ285="",$AS285=""),"",IF(I$8&lt;$AQ285,"IKS",IF(I$8&lt;$AS285,IF(I$8=$AR285,"Bascule","Double run"),"ROKS"))))))</f>
        <v/>
      </c>
      <c r="J285" s="51" t="str">
        <f aca="false">IF(OR($A285="",J$8=""),"",IF($F285="Migré","ROKS",IF($F285="À décommissionner",IF(J$8&lt;$AS285,"IKS","Décom."),IF(OR($AQ285="",$AS285=""),"",IF(J$8&lt;$AQ285,"IKS",IF(J$8&lt;$AS285,IF(J$8=$AR285,"Bascule","Double run"),"ROKS"))))))</f>
        <v/>
      </c>
      <c r="K285" s="51" t="str">
        <f aca="false">IF(OR($A285="",K$8=""),"",IF($F285="Migré","ROKS",IF($F285="À décommissionner",IF(K$8&lt;$AS285,"IKS","Décom."),IF(OR($AQ285="",$AS285=""),"",IF(K$8&lt;$AQ285,"IKS",IF(K$8&lt;$AS285,IF(K$8=$AR285,"Bascule","Double run"),"ROKS"))))))</f>
        <v/>
      </c>
      <c r="L285" s="51" t="str">
        <f aca="false">IF(OR($A285="",L$8=""),"",IF($F285="Migré","ROKS",IF($F285="À décommissionner",IF(L$8&lt;$AS285,"IKS","Décom."),IF(OR($AQ285="",$AS285=""),"",IF(L$8&lt;$AQ285,"IKS",IF(L$8&lt;$AS285,IF(L$8=$AR285,"Bascule","Double run"),"ROKS"))))))</f>
        <v/>
      </c>
      <c r="M285" s="51" t="str">
        <f aca="false">IF(OR($A285="",M$8=""),"",IF($F285="Migré","ROKS",IF($F285="À décommissionner",IF(M$8&lt;$AS285,"IKS","Décom."),IF(OR($AQ285="",$AS285=""),"",IF(M$8&lt;$AQ285,"IKS",IF(M$8&lt;$AS285,IF(M$8=$AR285,"Bascule","Double run"),"ROKS"))))))</f>
        <v/>
      </c>
      <c r="N285" s="51" t="str">
        <f aca="false">IF(OR($A285="",N$8=""),"",IF($F285="Migré","ROKS",IF($F285="À décommissionner",IF(N$8&lt;$AS285,"IKS","Décom."),IF(OR($AQ285="",$AS285=""),"",IF(N$8&lt;$AQ285,"IKS",IF(N$8&lt;$AS285,IF(N$8=$AR285,"Bascule","Double run"),"ROKS"))))))</f>
        <v/>
      </c>
      <c r="O285" s="51" t="str">
        <f aca="false">IF(OR($A285="",O$8=""),"",IF($F285="Migré","ROKS",IF($F285="À décommissionner",IF(O$8&lt;$AS285,"IKS","Décom."),IF(OR($AQ285="",$AS285=""),"",IF(O$8&lt;$AQ285,"IKS",IF(O$8&lt;$AS285,IF(O$8=$AR285,"Bascule","Double run"),"ROKS"))))))</f>
        <v/>
      </c>
      <c r="P285" s="51" t="str">
        <f aca="false">IF(OR($A285="",P$8=""),"",IF($F285="Migré","ROKS",IF($F285="À décommissionner",IF(P$8&lt;$AS285,"IKS","Décom."),IF(OR($AQ285="",$AS285=""),"",IF(P$8&lt;$AQ285,"IKS",IF(P$8&lt;$AS285,IF(P$8=$AR285,"Bascule","Double run"),"ROKS"))))))</f>
        <v/>
      </c>
      <c r="Q285" s="51" t="str">
        <f aca="false">IF(OR($A285="",Q$8=""),"",IF($F285="Migré","ROKS",IF($F285="À décommissionner",IF(Q$8&lt;$AS285,"IKS","Décom."),IF(OR($AQ285="",$AS285=""),"",IF(Q$8&lt;$AQ285,"IKS",IF(Q$8&lt;$AS285,IF(Q$8=$AR285,"Bascule","Double run"),"ROKS"))))))</f>
        <v/>
      </c>
      <c r="R285" s="51" t="str">
        <f aca="false">IF(OR($A285="",R$8=""),"",IF($F285="Migré","ROKS",IF($F285="À décommissionner",IF(R$8&lt;$AS285,"IKS","Décom."),IF(OR($AQ285="",$AS285=""),"",IF(R$8&lt;$AQ285,"IKS",IF(R$8&lt;$AS285,IF(R$8=$AR285,"Bascule","Double run"),"ROKS"))))))</f>
        <v/>
      </c>
      <c r="S285" s="51" t="str">
        <f aca="false">IF(OR($A285="",S$8=""),"",IF($F285="Migré","ROKS",IF($F285="À décommissionner",IF(S$8&lt;$AS285,"IKS","Décom."),IF(OR($AQ285="",$AS285=""),"",IF(S$8&lt;$AQ285,"IKS",IF(S$8&lt;$AS285,IF(S$8=$AR285,"Bascule","Double run"),"ROKS"))))))</f>
        <v/>
      </c>
      <c r="T285" s="51" t="str">
        <f aca="false">IF(OR($A285="",T$8=""),"",IF($F285="Migré","ROKS",IF($F285="À décommissionner",IF(T$8&lt;$AS285,"IKS","Décom."),IF(OR($AQ285="",$AS285=""),"",IF(T$8&lt;$AQ285,"IKS",IF(T$8&lt;$AS285,IF(T$8=$AR285,"Bascule","Double run"),"ROKS"))))))</f>
        <v/>
      </c>
      <c r="U285" s="51" t="str">
        <f aca="false">IF(OR($A285="",U$8=""),"",IF($F285="Migré","ROKS",IF($F285="À décommissionner",IF(U$8&lt;$AS285,"IKS","Décom."),IF(OR($AQ285="",$AS285=""),"",IF(U$8&lt;$AQ285,"IKS",IF(U$8&lt;$AS285,IF(U$8=$AR285,"Bascule","Double run"),"ROKS"))))))</f>
        <v/>
      </c>
      <c r="V285" s="51" t="str">
        <f aca="false">IF(OR($A285="",V$8=""),"",IF($F285="Migré","ROKS",IF($F285="À décommissionner",IF(V$8&lt;$AS285,"IKS","Décom."),IF(OR($AQ285="",$AS285=""),"",IF(V$8&lt;$AQ285,"IKS",IF(V$8&lt;$AS285,IF(V$8=$AR285,"Bascule","Double run"),"ROKS"))))))</f>
        <v/>
      </c>
      <c r="W285" s="51" t="str">
        <f aca="false">IF(OR($A285="",W$8=""),"",IF($F285="Migré","ROKS",IF($F285="À décommissionner",IF(W$8&lt;$AS285,"IKS","Décom."),IF(OR($AQ285="",$AS285=""),"",IF(W$8&lt;$AQ285,"IKS",IF(W$8&lt;$AS285,IF(W$8=$AR285,"Bascule","Double run"),"ROKS"))))))</f>
        <v/>
      </c>
      <c r="X285" s="51" t="str">
        <f aca="false">IF(OR($A285="",X$8=""),"",IF($F285="Migré","ROKS",IF($F285="À décommissionner",IF(X$8&lt;$AS285,"IKS","Décom."),IF(OR($AQ285="",$AS285=""),"",IF(X$8&lt;$AQ285,"IKS",IF(X$8&lt;$AS285,IF(X$8=$AR285,"Bascule","Double run"),"ROKS"))))))</f>
        <v/>
      </c>
      <c r="Y285" s="51" t="str">
        <f aca="false">IF(OR($A285="",Y$8=""),"",IF($F285="Migré","ROKS",IF($F285="À décommissionner",IF(Y$8&lt;$AS285,"IKS","Décom."),IF(OR($AQ285="",$AS285=""),"",IF(Y$8&lt;$AQ285,"IKS",IF(Y$8&lt;$AS285,IF(Y$8=$AR285,"Bascule","Double run"),"ROKS"))))))</f>
        <v/>
      </c>
      <c r="Z285" s="51" t="str">
        <f aca="false">IF(OR($A285="",Z$8=""),"",IF($F285="Migré","ROKS",IF($F285="À décommissionner",IF(Z$8&lt;$AS285,"IKS","Décom."),IF(OR($AQ285="",$AS285=""),"",IF(Z$8&lt;$AQ285,"IKS",IF(Z$8&lt;$AS285,IF(Z$8=$AR285,"Bascule","Double run"),"ROKS"))))))</f>
        <v/>
      </c>
      <c r="AA285" s="51" t="str">
        <f aca="false">IF(OR($A285="",AA$8=""),"",IF($F285="Migré","ROKS",IF($F285="À décommissionner",IF(AA$8&lt;$AS285,"IKS","Décom."),IF(OR($AQ285="",$AS285=""),"",IF(AA$8&lt;$AQ285,"IKS",IF(AA$8&lt;$AS285,IF(AA$8=$AR285,"Bascule","Double run"),"ROKS"))))))</f>
        <v/>
      </c>
      <c r="AB285" s="51" t="str">
        <f aca="false">IF(OR($A285="",AB$8=""),"",IF($F285="Migré","ROKS",IF($F285="À décommissionner",IF(AB$8&lt;$AS285,"IKS","Décom."),IF(OR($AQ285="",$AS285=""),"",IF(AB$8&lt;$AQ285,"IKS",IF(AB$8&lt;$AS285,IF(AB$8=$AR285,"Bascule","Double run"),"ROKS"))))))</f>
        <v/>
      </c>
      <c r="AC285" s="51" t="str">
        <f aca="false">IF(OR($A285="",AC$8=""),"",IF($F285="Migré","ROKS",IF($F285="À décommissionner",IF(AC$8&lt;$AS285,"IKS","Décom."),IF(OR($AQ285="",$AS285=""),"",IF(AC$8&lt;$AQ285,"IKS",IF(AC$8&lt;$AS285,IF(AC$8=$AR285,"Bascule","Double run"),"ROKS"))))))</f>
        <v/>
      </c>
      <c r="AD285" s="51" t="str">
        <f aca="false">IF(OR($A285="",AD$8=""),"",IF($F285="Migré","ROKS",IF($F285="À décommissionner",IF(AD$8&lt;$AS285,"IKS","Décom."),IF(OR($AQ285="",$AS285=""),"",IF(AD$8&lt;$AQ285,"IKS",IF(AD$8&lt;$AS285,IF(AD$8=$AR285,"Bascule","Double run"),"ROKS"))))))</f>
        <v/>
      </c>
      <c r="AE285" s="51" t="str">
        <f aca="false">IF(OR($A285="",AE$8=""),"",IF($F285="Migré","ROKS",IF($F285="À décommissionner",IF(AE$8&lt;$AS285,"IKS","Décom."),IF(OR($AQ285="",$AS285=""),"",IF(AE$8&lt;$AQ285,"IKS",IF(AE$8&lt;$AS285,IF(AE$8=$AR285,"Bascule","Double run"),"ROKS"))))))</f>
        <v/>
      </c>
      <c r="AF285" s="51" t="str">
        <f aca="false">IF(OR($A285="",AF$8=""),"",IF($F285="Migré","ROKS",IF($F285="À décommissionner",IF(AF$8&lt;$AS285,"IKS","Décom."),IF(OR($AQ285="",$AS285=""),"",IF(AF$8&lt;$AQ285,"IKS",IF(AF$8&lt;$AS285,IF(AF$8=$AR285,"Bascule","Double run"),"ROKS"))))))</f>
        <v/>
      </c>
      <c r="AG285" s="51" t="str">
        <f aca="false">IF(OR($A285="",AG$8=""),"",IF($F285="Migré","ROKS",IF($F285="À décommissionner",IF(AG$8&lt;$AS285,"IKS","Décom."),IF(OR($AQ285="",$AS285=""),"",IF(AG$8&lt;$AQ285,"IKS",IF(AG$8&lt;$AS285,IF(AG$8=$AR285,"Bascule","Double run"),"ROKS"))))))</f>
        <v/>
      </c>
      <c r="AH285" s="51" t="str">
        <f aca="false">IF(OR($A285="",AH$8=""),"",IF($F285="Migré","ROKS",IF($F285="À décommissionner",IF(AH$8&lt;$AS285,"IKS","Décom."),IF(OR($AQ285="",$AS285=""),"",IF(AH$8&lt;$AQ285,"IKS",IF(AH$8&lt;$AS285,IF(AH$8=$AR285,"Bascule","Double run"),"ROKS"))))))</f>
        <v/>
      </c>
      <c r="AI285" s="51" t="str">
        <f aca="false">IF(OR($A285="",AI$8=""),"",IF($F285="Migré","ROKS",IF($F285="À décommissionner",IF(AI$8&lt;$AS285,"IKS","Décom."),IF(OR($AQ285="",$AS285=""),"",IF(AI$8&lt;$AQ285,"IKS",IF(AI$8&lt;$AS285,IF(AI$8=$AR285,"Bascule","Double run"),"ROKS"))))))</f>
        <v/>
      </c>
      <c r="AJ285" s="51" t="str">
        <f aca="false">IF(OR($A285="",AJ$8=""),"",IF($F285="Migré","ROKS",IF($F285="À décommissionner",IF(AJ$8&lt;$AS285,"IKS","Décom."),IF(OR($AQ285="",$AS285=""),"",IF(AJ$8&lt;$AQ285,"IKS",IF(AJ$8&lt;$AS285,IF(AJ$8=$AR285,"Bascule","Double run"),"ROKS"))))))</f>
        <v/>
      </c>
      <c r="AK285" s="51" t="str">
        <f aca="false">IF(OR($A285="",AK$8=""),"",IF($F285="Migré","ROKS",IF($F285="À décommissionner",IF(AK$8&lt;$AS285,"IKS","Décom."),IF(OR($AQ285="",$AS285=""),"",IF(AK$8&lt;$AQ285,"IKS",IF(AK$8&lt;$AS285,IF(AK$8=$AR285,"Bascule","Double run"),"ROKS"))))))</f>
        <v/>
      </c>
      <c r="AL285" s="51" t="str">
        <f aca="false">IF(OR($A285="",AL$8=""),"",IF($F285="Migré","ROKS",IF($F285="À décommissionner",IF(AL$8&lt;$AS285,"IKS","Décom."),IF(OR($AQ285="",$AS285=""),"",IF(AL$8&lt;$AQ285,"IKS",IF(AL$8&lt;$AS285,IF(AL$8=$AR285,"Bascule","Double run"),"ROKS"))))))</f>
        <v/>
      </c>
      <c r="AM285" s="51" t="str">
        <f aca="false">IF(OR($A285="",AM$8=""),"",IF($F285="Migré","ROKS",IF($F285="À décommissionner",IF(AM$8&lt;$AS285,"IKS","Décom."),IF(OR($AQ285="",$AS285=""),"",IF(AM$8&lt;$AQ285,"IKS",IF(AM$8&lt;$AS285,IF(AM$8=$AR285,"Bascule","Double run"),"ROKS"))))))</f>
        <v/>
      </c>
      <c r="AN285" s="51" t="str">
        <f aca="false">IF(OR($A285="",AN$8=""),"",IF($F285="Migré","ROKS",IF($F285="À décommissionner",IF(AN$8&lt;$AS285,"IKS","Décom."),IF(OR($AQ285="",$AS285=""),"",IF(AN$8&lt;$AQ285,"IKS",IF(AN$8&lt;$AS285,IF(AN$8=$AR285,"Bascule","Double run"),"ROKS"))))))</f>
        <v/>
      </c>
      <c r="AO285" s="51" t="str">
        <f aca="false">IF(OR($A285="",AO$8=""),"",IF($F285="Migré","ROKS",IF($F285="À décommissionner",IF(AO$8&lt;$AS285,"IKS","Décom."),IF(OR($AQ285="",$AS285=""),"",IF(AO$8&lt;$AQ285,"IKS",IF(AO$8&lt;$AS285,IF(AO$8=$AR285,"Bascule","Double run"),"ROKS"))))))</f>
        <v/>
      </c>
      <c r="AP285" s="51" t="str">
        <f aca="false">IF(OR($A285="",AP$8=""),"",IF($F285="Migré","ROKS",IF($F285="À décommissionner",IF(AP$8&lt;$AS285,"IKS","Décom."),IF(OR($AQ285="",$AS285=""),"",IF(AP$8&lt;$AQ285,"IKS",IF(AP$8&lt;$AS285,IF(AP$8=$AR285,"Bascule","Double run"),"ROKS"))))))</f>
        <v/>
      </c>
      <c r="AQ285" s="0" t="str">
        <f aca="false">IF($A285="","",INDEX(TblApplications[Mois prov (calc)],$A285))</f>
        <v/>
      </c>
      <c r="AR285" s="0" t="str">
        <f aca="false">IF($A285="","",IFERROR(DATE(YEAR(INDEX(TblApplications[Mois bascule],$A285)),MONTH(INDEX(TblApplications[Mois bascule],$A285)),1),""))</f>
        <v/>
      </c>
      <c r="AS285" s="0" t="str">
        <f aca="false">IF($A285="","",INDEX(TblApplications[Mois lib (calc)],$A285))</f>
        <v/>
      </c>
    </row>
    <row r="286" customFormat="false" ht="15" hidden="false" customHeight="false" outlineLevel="0" collapsed="false">
      <c r="A286" s="49" t="str">
        <f aca="false">IFERROR(MATCH(278,TblApplications[Rang frise],0),"")</f>
        <v/>
      </c>
      <c r="B286" s="50" t="str">
        <f aca="false">IF($A286="","",INDEX(TblApplications[ID],$A286))</f>
        <v/>
      </c>
      <c r="C286" s="50" t="str">
        <f aca="false">IF($A286="","",INDEX(TblApplications[Application],$A286))</f>
        <v/>
      </c>
      <c r="D286" s="50" t="str">
        <f aca="false">IF($A286="","",INDEX(TblApplications[Environnement],$A286))</f>
        <v/>
      </c>
      <c r="E286" s="50" t="str">
        <f aca="false">IF($A286="","",INDEX(TblApplications[Couloir],$A286))</f>
        <v/>
      </c>
      <c r="F286" s="50" t="str">
        <f aca="false">IF($A286="","",INDEX(TblApplications[Action],$A286))</f>
        <v/>
      </c>
      <c r="G286" s="51" t="str">
        <f aca="false">IF(OR($A286="",G$8=""),"",IF($F286="Migré","ROKS",IF($F286="À décommissionner",IF(G$8&lt;$AS286,"IKS","Décom."),IF(OR($AQ286="",$AS286=""),"",IF(G$8&lt;$AQ286,"IKS",IF(G$8&lt;$AS286,IF(G$8=$AR286,"Bascule","Double run"),"ROKS"))))))</f>
        <v/>
      </c>
      <c r="H286" s="51" t="str">
        <f aca="false">IF(OR($A286="",H$8=""),"",IF($F286="Migré","ROKS",IF($F286="À décommissionner",IF(H$8&lt;$AS286,"IKS","Décom."),IF(OR($AQ286="",$AS286=""),"",IF(H$8&lt;$AQ286,"IKS",IF(H$8&lt;$AS286,IF(H$8=$AR286,"Bascule","Double run"),"ROKS"))))))</f>
        <v/>
      </c>
      <c r="I286" s="51" t="str">
        <f aca="false">IF(OR($A286="",I$8=""),"",IF($F286="Migré","ROKS",IF($F286="À décommissionner",IF(I$8&lt;$AS286,"IKS","Décom."),IF(OR($AQ286="",$AS286=""),"",IF(I$8&lt;$AQ286,"IKS",IF(I$8&lt;$AS286,IF(I$8=$AR286,"Bascule","Double run"),"ROKS"))))))</f>
        <v/>
      </c>
      <c r="J286" s="51" t="str">
        <f aca="false">IF(OR($A286="",J$8=""),"",IF($F286="Migré","ROKS",IF($F286="À décommissionner",IF(J$8&lt;$AS286,"IKS","Décom."),IF(OR($AQ286="",$AS286=""),"",IF(J$8&lt;$AQ286,"IKS",IF(J$8&lt;$AS286,IF(J$8=$AR286,"Bascule","Double run"),"ROKS"))))))</f>
        <v/>
      </c>
      <c r="K286" s="51" t="str">
        <f aca="false">IF(OR($A286="",K$8=""),"",IF($F286="Migré","ROKS",IF($F286="À décommissionner",IF(K$8&lt;$AS286,"IKS","Décom."),IF(OR($AQ286="",$AS286=""),"",IF(K$8&lt;$AQ286,"IKS",IF(K$8&lt;$AS286,IF(K$8=$AR286,"Bascule","Double run"),"ROKS"))))))</f>
        <v/>
      </c>
      <c r="L286" s="51" t="str">
        <f aca="false">IF(OR($A286="",L$8=""),"",IF($F286="Migré","ROKS",IF($F286="À décommissionner",IF(L$8&lt;$AS286,"IKS","Décom."),IF(OR($AQ286="",$AS286=""),"",IF(L$8&lt;$AQ286,"IKS",IF(L$8&lt;$AS286,IF(L$8=$AR286,"Bascule","Double run"),"ROKS"))))))</f>
        <v/>
      </c>
      <c r="M286" s="51" t="str">
        <f aca="false">IF(OR($A286="",M$8=""),"",IF($F286="Migré","ROKS",IF($F286="À décommissionner",IF(M$8&lt;$AS286,"IKS","Décom."),IF(OR($AQ286="",$AS286=""),"",IF(M$8&lt;$AQ286,"IKS",IF(M$8&lt;$AS286,IF(M$8=$AR286,"Bascule","Double run"),"ROKS"))))))</f>
        <v/>
      </c>
      <c r="N286" s="51" t="str">
        <f aca="false">IF(OR($A286="",N$8=""),"",IF($F286="Migré","ROKS",IF($F286="À décommissionner",IF(N$8&lt;$AS286,"IKS","Décom."),IF(OR($AQ286="",$AS286=""),"",IF(N$8&lt;$AQ286,"IKS",IF(N$8&lt;$AS286,IF(N$8=$AR286,"Bascule","Double run"),"ROKS"))))))</f>
        <v/>
      </c>
      <c r="O286" s="51" t="str">
        <f aca="false">IF(OR($A286="",O$8=""),"",IF($F286="Migré","ROKS",IF($F286="À décommissionner",IF(O$8&lt;$AS286,"IKS","Décom."),IF(OR($AQ286="",$AS286=""),"",IF(O$8&lt;$AQ286,"IKS",IF(O$8&lt;$AS286,IF(O$8=$AR286,"Bascule","Double run"),"ROKS"))))))</f>
        <v/>
      </c>
      <c r="P286" s="51" t="str">
        <f aca="false">IF(OR($A286="",P$8=""),"",IF($F286="Migré","ROKS",IF($F286="À décommissionner",IF(P$8&lt;$AS286,"IKS","Décom."),IF(OR($AQ286="",$AS286=""),"",IF(P$8&lt;$AQ286,"IKS",IF(P$8&lt;$AS286,IF(P$8=$AR286,"Bascule","Double run"),"ROKS"))))))</f>
        <v/>
      </c>
      <c r="Q286" s="51" t="str">
        <f aca="false">IF(OR($A286="",Q$8=""),"",IF($F286="Migré","ROKS",IF($F286="À décommissionner",IF(Q$8&lt;$AS286,"IKS","Décom."),IF(OR($AQ286="",$AS286=""),"",IF(Q$8&lt;$AQ286,"IKS",IF(Q$8&lt;$AS286,IF(Q$8=$AR286,"Bascule","Double run"),"ROKS"))))))</f>
        <v/>
      </c>
      <c r="R286" s="51" t="str">
        <f aca="false">IF(OR($A286="",R$8=""),"",IF($F286="Migré","ROKS",IF($F286="À décommissionner",IF(R$8&lt;$AS286,"IKS","Décom."),IF(OR($AQ286="",$AS286=""),"",IF(R$8&lt;$AQ286,"IKS",IF(R$8&lt;$AS286,IF(R$8=$AR286,"Bascule","Double run"),"ROKS"))))))</f>
        <v/>
      </c>
      <c r="S286" s="51" t="str">
        <f aca="false">IF(OR($A286="",S$8=""),"",IF($F286="Migré","ROKS",IF($F286="À décommissionner",IF(S$8&lt;$AS286,"IKS","Décom."),IF(OR($AQ286="",$AS286=""),"",IF(S$8&lt;$AQ286,"IKS",IF(S$8&lt;$AS286,IF(S$8=$AR286,"Bascule","Double run"),"ROKS"))))))</f>
        <v/>
      </c>
      <c r="T286" s="51" t="str">
        <f aca="false">IF(OR($A286="",T$8=""),"",IF($F286="Migré","ROKS",IF($F286="À décommissionner",IF(T$8&lt;$AS286,"IKS","Décom."),IF(OR($AQ286="",$AS286=""),"",IF(T$8&lt;$AQ286,"IKS",IF(T$8&lt;$AS286,IF(T$8=$AR286,"Bascule","Double run"),"ROKS"))))))</f>
        <v/>
      </c>
      <c r="U286" s="51" t="str">
        <f aca="false">IF(OR($A286="",U$8=""),"",IF($F286="Migré","ROKS",IF($F286="À décommissionner",IF(U$8&lt;$AS286,"IKS","Décom."),IF(OR($AQ286="",$AS286=""),"",IF(U$8&lt;$AQ286,"IKS",IF(U$8&lt;$AS286,IF(U$8=$AR286,"Bascule","Double run"),"ROKS"))))))</f>
        <v/>
      </c>
      <c r="V286" s="51" t="str">
        <f aca="false">IF(OR($A286="",V$8=""),"",IF($F286="Migré","ROKS",IF($F286="À décommissionner",IF(V$8&lt;$AS286,"IKS","Décom."),IF(OR($AQ286="",$AS286=""),"",IF(V$8&lt;$AQ286,"IKS",IF(V$8&lt;$AS286,IF(V$8=$AR286,"Bascule","Double run"),"ROKS"))))))</f>
        <v/>
      </c>
      <c r="W286" s="51" t="str">
        <f aca="false">IF(OR($A286="",W$8=""),"",IF($F286="Migré","ROKS",IF($F286="À décommissionner",IF(W$8&lt;$AS286,"IKS","Décom."),IF(OR($AQ286="",$AS286=""),"",IF(W$8&lt;$AQ286,"IKS",IF(W$8&lt;$AS286,IF(W$8=$AR286,"Bascule","Double run"),"ROKS"))))))</f>
        <v/>
      </c>
      <c r="X286" s="51" t="str">
        <f aca="false">IF(OR($A286="",X$8=""),"",IF($F286="Migré","ROKS",IF($F286="À décommissionner",IF(X$8&lt;$AS286,"IKS","Décom."),IF(OR($AQ286="",$AS286=""),"",IF(X$8&lt;$AQ286,"IKS",IF(X$8&lt;$AS286,IF(X$8=$AR286,"Bascule","Double run"),"ROKS"))))))</f>
        <v/>
      </c>
      <c r="Y286" s="51" t="str">
        <f aca="false">IF(OR($A286="",Y$8=""),"",IF($F286="Migré","ROKS",IF($F286="À décommissionner",IF(Y$8&lt;$AS286,"IKS","Décom."),IF(OR($AQ286="",$AS286=""),"",IF(Y$8&lt;$AQ286,"IKS",IF(Y$8&lt;$AS286,IF(Y$8=$AR286,"Bascule","Double run"),"ROKS"))))))</f>
        <v/>
      </c>
      <c r="Z286" s="51" t="str">
        <f aca="false">IF(OR($A286="",Z$8=""),"",IF($F286="Migré","ROKS",IF($F286="À décommissionner",IF(Z$8&lt;$AS286,"IKS","Décom."),IF(OR($AQ286="",$AS286=""),"",IF(Z$8&lt;$AQ286,"IKS",IF(Z$8&lt;$AS286,IF(Z$8=$AR286,"Bascule","Double run"),"ROKS"))))))</f>
        <v/>
      </c>
      <c r="AA286" s="51" t="str">
        <f aca="false">IF(OR($A286="",AA$8=""),"",IF($F286="Migré","ROKS",IF($F286="À décommissionner",IF(AA$8&lt;$AS286,"IKS","Décom."),IF(OR($AQ286="",$AS286=""),"",IF(AA$8&lt;$AQ286,"IKS",IF(AA$8&lt;$AS286,IF(AA$8=$AR286,"Bascule","Double run"),"ROKS"))))))</f>
        <v/>
      </c>
      <c r="AB286" s="51" t="str">
        <f aca="false">IF(OR($A286="",AB$8=""),"",IF($F286="Migré","ROKS",IF($F286="À décommissionner",IF(AB$8&lt;$AS286,"IKS","Décom."),IF(OR($AQ286="",$AS286=""),"",IF(AB$8&lt;$AQ286,"IKS",IF(AB$8&lt;$AS286,IF(AB$8=$AR286,"Bascule","Double run"),"ROKS"))))))</f>
        <v/>
      </c>
      <c r="AC286" s="51" t="str">
        <f aca="false">IF(OR($A286="",AC$8=""),"",IF($F286="Migré","ROKS",IF($F286="À décommissionner",IF(AC$8&lt;$AS286,"IKS","Décom."),IF(OR($AQ286="",$AS286=""),"",IF(AC$8&lt;$AQ286,"IKS",IF(AC$8&lt;$AS286,IF(AC$8=$AR286,"Bascule","Double run"),"ROKS"))))))</f>
        <v/>
      </c>
      <c r="AD286" s="51" t="str">
        <f aca="false">IF(OR($A286="",AD$8=""),"",IF($F286="Migré","ROKS",IF($F286="À décommissionner",IF(AD$8&lt;$AS286,"IKS","Décom."),IF(OR($AQ286="",$AS286=""),"",IF(AD$8&lt;$AQ286,"IKS",IF(AD$8&lt;$AS286,IF(AD$8=$AR286,"Bascule","Double run"),"ROKS"))))))</f>
        <v/>
      </c>
      <c r="AE286" s="51" t="str">
        <f aca="false">IF(OR($A286="",AE$8=""),"",IF($F286="Migré","ROKS",IF($F286="À décommissionner",IF(AE$8&lt;$AS286,"IKS","Décom."),IF(OR($AQ286="",$AS286=""),"",IF(AE$8&lt;$AQ286,"IKS",IF(AE$8&lt;$AS286,IF(AE$8=$AR286,"Bascule","Double run"),"ROKS"))))))</f>
        <v/>
      </c>
      <c r="AF286" s="51" t="str">
        <f aca="false">IF(OR($A286="",AF$8=""),"",IF($F286="Migré","ROKS",IF($F286="À décommissionner",IF(AF$8&lt;$AS286,"IKS","Décom."),IF(OR($AQ286="",$AS286=""),"",IF(AF$8&lt;$AQ286,"IKS",IF(AF$8&lt;$AS286,IF(AF$8=$AR286,"Bascule","Double run"),"ROKS"))))))</f>
        <v/>
      </c>
      <c r="AG286" s="51" t="str">
        <f aca="false">IF(OR($A286="",AG$8=""),"",IF($F286="Migré","ROKS",IF($F286="À décommissionner",IF(AG$8&lt;$AS286,"IKS","Décom."),IF(OR($AQ286="",$AS286=""),"",IF(AG$8&lt;$AQ286,"IKS",IF(AG$8&lt;$AS286,IF(AG$8=$AR286,"Bascule","Double run"),"ROKS"))))))</f>
        <v/>
      </c>
      <c r="AH286" s="51" t="str">
        <f aca="false">IF(OR($A286="",AH$8=""),"",IF($F286="Migré","ROKS",IF($F286="À décommissionner",IF(AH$8&lt;$AS286,"IKS","Décom."),IF(OR($AQ286="",$AS286=""),"",IF(AH$8&lt;$AQ286,"IKS",IF(AH$8&lt;$AS286,IF(AH$8=$AR286,"Bascule","Double run"),"ROKS"))))))</f>
        <v/>
      </c>
      <c r="AI286" s="51" t="str">
        <f aca="false">IF(OR($A286="",AI$8=""),"",IF($F286="Migré","ROKS",IF($F286="À décommissionner",IF(AI$8&lt;$AS286,"IKS","Décom."),IF(OR($AQ286="",$AS286=""),"",IF(AI$8&lt;$AQ286,"IKS",IF(AI$8&lt;$AS286,IF(AI$8=$AR286,"Bascule","Double run"),"ROKS"))))))</f>
        <v/>
      </c>
      <c r="AJ286" s="51" t="str">
        <f aca="false">IF(OR($A286="",AJ$8=""),"",IF($F286="Migré","ROKS",IF($F286="À décommissionner",IF(AJ$8&lt;$AS286,"IKS","Décom."),IF(OR($AQ286="",$AS286=""),"",IF(AJ$8&lt;$AQ286,"IKS",IF(AJ$8&lt;$AS286,IF(AJ$8=$AR286,"Bascule","Double run"),"ROKS"))))))</f>
        <v/>
      </c>
      <c r="AK286" s="51" t="str">
        <f aca="false">IF(OR($A286="",AK$8=""),"",IF($F286="Migré","ROKS",IF($F286="À décommissionner",IF(AK$8&lt;$AS286,"IKS","Décom."),IF(OR($AQ286="",$AS286=""),"",IF(AK$8&lt;$AQ286,"IKS",IF(AK$8&lt;$AS286,IF(AK$8=$AR286,"Bascule","Double run"),"ROKS"))))))</f>
        <v/>
      </c>
      <c r="AL286" s="51" t="str">
        <f aca="false">IF(OR($A286="",AL$8=""),"",IF($F286="Migré","ROKS",IF($F286="À décommissionner",IF(AL$8&lt;$AS286,"IKS","Décom."),IF(OR($AQ286="",$AS286=""),"",IF(AL$8&lt;$AQ286,"IKS",IF(AL$8&lt;$AS286,IF(AL$8=$AR286,"Bascule","Double run"),"ROKS"))))))</f>
        <v/>
      </c>
      <c r="AM286" s="51" t="str">
        <f aca="false">IF(OR($A286="",AM$8=""),"",IF($F286="Migré","ROKS",IF($F286="À décommissionner",IF(AM$8&lt;$AS286,"IKS","Décom."),IF(OR($AQ286="",$AS286=""),"",IF(AM$8&lt;$AQ286,"IKS",IF(AM$8&lt;$AS286,IF(AM$8=$AR286,"Bascule","Double run"),"ROKS"))))))</f>
        <v/>
      </c>
      <c r="AN286" s="51" t="str">
        <f aca="false">IF(OR($A286="",AN$8=""),"",IF($F286="Migré","ROKS",IF($F286="À décommissionner",IF(AN$8&lt;$AS286,"IKS","Décom."),IF(OR($AQ286="",$AS286=""),"",IF(AN$8&lt;$AQ286,"IKS",IF(AN$8&lt;$AS286,IF(AN$8=$AR286,"Bascule","Double run"),"ROKS"))))))</f>
        <v/>
      </c>
      <c r="AO286" s="51" t="str">
        <f aca="false">IF(OR($A286="",AO$8=""),"",IF($F286="Migré","ROKS",IF($F286="À décommissionner",IF(AO$8&lt;$AS286,"IKS","Décom."),IF(OR($AQ286="",$AS286=""),"",IF(AO$8&lt;$AQ286,"IKS",IF(AO$8&lt;$AS286,IF(AO$8=$AR286,"Bascule","Double run"),"ROKS"))))))</f>
        <v/>
      </c>
      <c r="AP286" s="51" t="str">
        <f aca="false">IF(OR($A286="",AP$8=""),"",IF($F286="Migré","ROKS",IF($F286="À décommissionner",IF(AP$8&lt;$AS286,"IKS","Décom."),IF(OR($AQ286="",$AS286=""),"",IF(AP$8&lt;$AQ286,"IKS",IF(AP$8&lt;$AS286,IF(AP$8=$AR286,"Bascule","Double run"),"ROKS"))))))</f>
        <v/>
      </c>
      <c r="AQ286" s="0" t="str">
        <f aca="false">IF($A286="","",INDEX(TblApplications[Mois prov (calc)],$A286))</f>
        <v/>
      </c>
      <c r="AR286" s="0" t="str">
        <f aca="false">IF($A286="","",IFERROR(DATE(YEAR(INDEX(TblApplications[Mois bascule],$A286)),MONTH(INDEX(TblApplications[Mois bascule],$A286)),1),""))</f>
        <v/>
      </c>
      <c r="AS286" s="0" t="str">
        <f aca="false">IF($A286="","",INDEX(TblApplications[Mois lib (calc)],$A286))</f>
        <v/>
      </c>
    </row>
    <row r="287" customFormat="false" ht="15" hidden="false" customHeight="false" outlineLevel="0" collapsed="false">
      <c r="A287" s="49" t="str">
        <f aca="false">IFERROR(MATCH(279,TblApplications[Rang frise],0),"")</f>
        <v/>
      </c>
      <c r="B287" s="50" t="str">
        <f aca="false">IF($A287="","",INDEX(TblApplications[ID],$A287))</f>
        <v/>
      </c>
      <c r="C287" s="50" t="str">
        <f aca="false">IF($A287="","",INDEX(TblApplications[Application],$A287))</f>
        <v/>
      </c>
      <c r="D287" s="50" t="str">
        <f aca="false">IF($A287="","",INDEX(TblApplications[Environnement],$A287))</f>
        <v/>
      </c>
      <c r="E287" s="50" t="str">
        <f aca="false">IF($A287="","",INDEX(TblApplications[Couloir],$A287))</f>
        <v/>
      </c>
      <c r="F287" s="50" t="str">
        <f aca="false">IF($A287="","",INDEX(TblApplications[Action],$A287))</f>
        <v/>
      </c>
      <c r="G287" s="51" t="str">
        <f aca="false">IF(OR($A287="",G$8=""),"",IF($F287="Migré","ROKS",IF($F287="À décommissionner",IF(G$8&lt;$AS287,"IKS","Décom."),IF(OR($AQ287="",$AS287=""),"",IF(G$8&lt;$AQ287,"IKS",IF(G$8&lt;$AS287,IF(G$8=$AR287,"Bascule","Double run"),"ROKS"))))))</f>
        <v/>
      </c>
      <c r="H287" s="51" t="str">
        <f aca="false">IF(OR($A287="",H$8=""),"",IF($F287="Migré","ROKS",IF($F287="À décommissionner",IF(H$8&lt;$AS287,"IKS","Décom."),IF(OR($AQ287="",$AS287=""),"",IF(H$8&lt;$AQ287,"IKS",IF(H$8&lt;$AS287,IF(H$8=$AR287,"Bascule","Double run"),"ROKS"))))))</f>
        <v/>
      </c>
      <c r="I287" s="51" t="str">
        <f aca="false">IF(OR($A287="",I$8=""),"",IF($F287="Migré","ROKS",IF($F287="À décommissionner",IF(I$8&lt;$AS287,"IKS","Décom."),IF(OR($AQ287="",$AS287=""),"",IF(I$8&lt;$AQ287,"IKS",IF(I$8&lt;$AS287,IF(I$8=$AR287,"Bascule","Double run"),"ROKS"))))))</f>
        <v/>
      </c>
      <c r="J287" s="51" t="str">
        <f aca="false">IF(OR($A287="",J$8=""),"",IF($F287="Migré","ROKS",IF($F287="À décommissionner",IF(J$8&lt;$AS287,"IKS","Décom."),IF(OR($AQ287="",$AS287=""),"",IF(J$8&lt;$AQ287,"IKS",IF(J$8&lt;$AS287,IF(J$8=$AR287,"Bascule","Double run"),"ROKS"))))))</f>
        <v/>
      </c>
      <c r="K287" s="51" t="str">
        <f aca="false">IF(OR($A287="",K$8=""),"",IF($F287="Migré","ROKS",IF($F287="À décommissionner",IF(K$8&lt;$AS287,"IKS","Décom."),IF(OR($AQ287="",$AS287=""),"",IF(K$8&lt;$AQ287,"IKS",IF(K$8&lt;$AS287,IF(K$8=$AR287,"Bascule","Double run"),"ROKS"))))))</f>
        <v/>
      </c>
      <c r="L287" s="51" t="str">
        <f aca="false">IF(OR($A287="",L$8=""),"",IF($F287="Migré","ROKS",IF($F287="À décommissionner",IF(L$8&lt;$AS287,"IKS","Décom."),IF(OR($AQ287="",$AS287=""),"",IF(L$8&lt;$AQ287,"IKS",IF(L$8&lt;$AS287,IF(L$8=$AR287,"Bascule","Double run"),"ROKS"))))))</f>
        <v/>
      </c>
      <c r="M287" s="51" t="str">
        <f aca="false">IF(OR($A287="",M$8=""),"",IF($F287="Migré","ROKS",IF($F287="À décommissionner",IF(M$8&lt;$AS287,"IKS","Décom."),IF(OR($AQ287="",$AS287=""),"",IF(M$8&lt;$AQ287,"IKS",IF(M$8&lt;$AS287,IF(M$8=$AR287,"Bascule","Double run"),"ROKS"))))))</f>
        <v/>
      </c>
      <c r="N287" s="51" t="str">
        <f aca="false">IF(OR($A287="",N$8=""),"",IF($F287="Migré","ROKS",IF($F287="À décommissionner",IF(N$8&lt;$AS287,"IKS","Décom."),IF(OR($AQ287="",$AS287=""),"",IF(N$8&lt;$AQ287,"IKS",IF(N$8&lt;$AS287,IF(N$8=$AR287,"Bascule","Double run"),"ROKS"))))))</f>
        <v/>
      </c>
      <c r="O287" s="51" t="str">
        <f aca="false">IF(OR($A287="",O$8=""),"",IF($F287="Migré","ROKS",IF($F287="À décommissionner",IF(O$8&lt;$AS287,"IKS","Décom."),IF(OR($AQ287="",$AS287=""),"",IF(O$8&lt;$AQ287,"IKS",IF(O$8&lt;$AS287,IF(O$8=$AR287,"Bascule","Double run"),"ROKS"))))))</f>
        <v/>
      </c>
      <c r="P287" s="51" t="str">
        <f aca="false">IF(OR($A287="",P$8=""),"",IF($F287="Migré","ROKS",IF($F287="À décommissionner",IF(P$8&lt;$AS287,"IKS","Décom."),IF(OR($AQ287="",$AS287=""),"",IF(P$8&lt;$AQ287,"IKS",IF(P$8&lt;$AS287,IF(P$8=$AR287,"Bascule","Double run"),"ROKS"))))))</f>
        <v/>
      </c>
      <c r="Q287" s="51" t="str">
        <f aca="false">IF(OR($A287="",Q$8=""),"",IF($F287="Migré","ROKS",IF($F287="À décommissionner",IF(Q$8&lt;$AS287,"IKS","Décom."),IF(OR($AQ287="",$AS287=""),"",IF(Q$8&lt;$AQ287,"IKS",IF(Q$8&lt;$AS287,IF(Q$8=$AR287,"Bascule","Double run"),"ROKS"))))))</f>
        <v/>
      </c>
      <c r="R287" s="51" t="str">
        <f aca="false">IF(OR($A287="",R$8=""),"",IF($F287="Migré","ROKS",IF($F287="À décommissionner",IF(R$8&lt;$AS287,"IKS","Décom."),IF(OR($AQ287="",$AS287=""),"",IF(R$8&lt;$AQ287,"IKS",IF(R$8&lt;$AS287,IF(R$8=$AR287,"Bascule","Double run"),"ROKS"))))))</f>
        <v/>
      </c>
      <c r="S287" s="51" t="str">
        <f aca="false">IF(OR($A287="",S$8=""),"",IF($F287="Migré","ROKS",IF($F287="À décommissionner",IF(S$8&lt;$AS287,"IKS","Décom."),IF(OR($AQ287="",$AS287=""),"",IF(S$8&lt;$AQ287,"IKS",IF(S$8&lt;$AS287,IF(S$8=$AR287,"Bascule","Double run"),"ROKS"))))))</f>
        <v/>
      </c>
      <c r="T287" s="51" t="str">
        <f aca="false">IF(OR($A287="",T$8=""),"",IF($F287="Migré","ROKS",IF($F287="À décommissionner",IF(T$8&lt;$AS287,"IKS","Décom."),IF(OR($AQ287="",$AS287=""),"",IF(T$8&lt;$AQ287,"IKS",IF(T$8&lt;$AS287,IF(T$8=$AR287,"Bascule","Double run"),"ROKS"))))))</f>
        <v/>
      </c>
      <c r="U287" s="51" t="str">
        <f aca="false">IF(OR($A287="",U$8=""),"",IF($F287="Migré","ROKS",IF($F287="À décommissionner",IF(U$8&lt;$AS287,"IKS","Décom."),IF(OR($AQ287="",$AS287=""),"",IF(U$8&lt;$AQ287,"IKS",IF(U$8&lt;$AS287,IF(U$8=$AR287,"Bascule","Double run"),"ROKS"))))))</f>
        <v/>
      </c>
      <c r="V287" s="51" t="str">
        <f aca="false">IF(OR($A287="",V$8=""),"",IF($F287="Migré","ROKS",IF($F287="À décommissionner",IF(V$8&lt;$AS287,"IKS","Décom."),IF(OR($AQ287="",$AS287=""),"",IF(V$8&lt;$AQ287,"IKS",IF(V$8&lt;$AS287,IF(V$8=$AR287,"Bascule","Double run"),"ROKS"))))))</f>
        <v/>
      </c>
      <c r="W287" s="51" t="str">
        <f aca="false">IF(OR($A287="",W$8=""),"",IF($F287="Migré","ROKS",IF($F287="À décommissionner",IF(W$8&lt;$AS287,"IKS","Décom."),IF(OR($AQ287="",$AS287=""),"",IF(W$8&lt;$AQ287,"IKS",IF(W$8&lt;$AS287,IF(W$8=$AR287,"Bascule","Double run"),"ROKS"))))))</f>
        <v/>
      </c>
      <c r="X287" s="51" t="str">
        <f aca="false">IF(OR($A287="",X$8=""),"",IF($F287="Migré","ROKS",IF($F287="À décommissionner",IF(X$8&lt;$AS287,"IKS","Décom."),IF(OR($AQ287="",$AS287=""),"",IF(X$8&lt;$AQ287,"IKS",IF(X$8&lt;$AS287,IF(X$8=$AR287,"Bascule","Double run"),"ROKS"))))))</f>
        <v/>
      </c>
      <c r="Y287" s="51" t="str">
        <f aca="false">IF(OR($A287="",Y$8=""),"",IF($F287="Migré","ROKS",IF($F287="À décommissionner",IF(Y$8&lt;$AS287,"IKS","Décom."),IF(OR($AQ287="",$AS287=""),"",IF(Y$8&lt;$AQ287,"IKS",IF(Y$8&lt;$AS287,IF(Y$8=$AR287,"Bascule","Double run"),"ROKS"))))))</f>
        <v/>
      </c>
      <c r="Z287" s="51" t="str">
        <f aca="false">IF(OR($A287="",Z$8=""),"",IF($F287="Migré","ROKS",IF($F287="À décommissionner",IF(Z$8&lt;$AS287,"IKS","Décom."),IF(OR($AQ287="",$AS287=""),"",IF(Z$8&lt;$AQ287,"IKS",IF(Z$8&lt;$AS287,IF(Z$8=$AR287,"Bascule","Double run"),"ROKS"))))))</f>
        <v/>
      </c>
      <c r="AA287" s="51" t="str">
        <f aca="false">IF(OR($A287="",AA$8=""),"",IF($F287="Migré","ROKS",IF($F287="À décommissionner",IF(AA$8&lt;$AS287,"IKS","Décom."),IF(OR($AQ287="",$AS287=""),"",IF(AA$8&lt;$AQ287,"IKS",IF(AA$8&lt;$AS287,IF(AA$8=$AR287,"Bascule","Double run"),"ROKS"))))))</f>
        <v/>
      </c>
      <c r="AB287" s="51" t="str">
        <f aca="false">IF(OR($A287="",AB$8=""),"",IF($F287="Migré","ROKS",IF($F287="À décommissionner",IF(AB$8&lt;$AS287,"IKS","Décom."),IF(OR($AQ287="",$AS287=""),"",IF(AB$8&lt;$AQ287,"IKS",IF(AB$8&lt;$AS287,IF(AB$8=$AR287,"Bascule","Double run"),"ROKS"))))))</f>
        <v/>
      </c>
      <c r="AC287" s="51" t="str">
        <f aca="false">IF(OR($A287="",AC$8=""),"",IF($F287="Migré","ROKS",IF($F287="À décommissionner",IF(AC$8&lt;$AS287,"IKS","Décom."),IF(OR($AQ287="",$AS287=""),"",IF(AC$8&lt;$AQ287,"IKS",IF(AC$8&lt;$AS287,IF(AC$8=$AR287,"Bascule","Double run"),"ROKS"))))))</f>
        <v/>
      </c>
      <c r="AD287" s="51" t="str">
        <f aca="false">IF(OR($A287="",AD$8=""),"",IF($F287="Migré","ROKS",IF($F287="À décommissionner",IF(AD$8&lt;$AS287,"IKS","Décom."),IF(OR($AQ287="",$AS287=""),"",IF(AD$8&lt;$AQ287,"IKS",IF(AD$8&lt;$AS287,IF(AD$8=$AR287,"Bascule","Double run"),"ROKS"))))))</f>
        <v/>
      </c>
      <c r="AE287" s="51" t="str">
        <f aca="false">IF(OR($A287="",AE$8=""),"",IF($F287="Migré","ROKS",IF($F287="À décommissionner",IF(AE$8&lt;$AS287,"IKS","Décom."),IF(OR($AQ287="",$AS287=""),"",IF(AE$8&lt;$AQ287,"IKS",IF(AE$8&lt;$AS287,IF(AE$8=$AR287,"Bascule","Double run"),"ROKS"))))))</f>
        <v/>
      </c>
      <c r="AF287" s="51" t="str">
        <f aca="false">IF(OR($A287="",AF$8=""),"",IF($F287="Migré","ROKS",IF($F287="À décommissionner",IF(AF$8&lt;$AS287,"IKS","Décom."),IF(OR($AQ287="",$AS287=""),"",IF(AF$8&lt;$AQ287,"IKS",IF(AF$8&lt;$AS287,IF(AF$8=$AR287,"Bascule","Double run"),"ROKS"))))))</f>
        <v/>
      </c>
      <c r="AG287" s="51" t="str">
        <f aca="false">IF(OR($A287="",AG$8=""),"",IF($F287="Migré","ROKS",IF($F287="À décommissionner",IF(AG$8&lt;$AS287,"IKS","Décom."),IF(OR($AQ287="",$AS287=""),"",IF(AG$8&lt;$AQ287,"IKS",IF(AG$8&lt;$AS287,IF(AG$8=$AR287,"Bascule","Double run"),"ROKS"))))))</f>
        <v/>
      </c>
      <c r="AH287" s="51" t="str">
        <f aca="false">IF(OR($A287="",AH$8=""),"",IF($F287="Migré","ROKS",IF($F287="À décommissionner",IF(AH$8&lt;$AS287,"IKS","Décom."),IF(OR($AQ287="",$AS287=""),"",IF(AH$8&lt;$AQ287,"IKS",IF(AH$8&lt;$AS287,IF(AH$8=$AR287,"Bascule","Double run"),"ROKS"))))))</f>
        <v/>
      </c>
      <c r="AI287" s="51" t="str">
        <f aca="false">IF(OR($A287="",AI$8=""),"",IF($F287="Migré","ROKS",IF($F287="À décommissionner",IF(AI$8&lt;$AS287,"IKS","Décom."),IF(OR($AQ287="",$AS287=""),"",IF(AI$8&lt;$AQ287,"IKS",IF(AI$8&lt;$AS287,IF(AI$8=$AR287,"Bascule","Double run"),"ROKS"))))))</f>
        <v/>
      </c>
      <c r="AJ287" s="51" t="str">
        <f aca="false">IF(OR($A287="",AJ$8=""),"",IF($F287="Migré","ROKS",IF($F287="À décommissionner",IF(AJ$8&lt;$AS287,"IKS","Décom."),IF(OR($AQ287="",$AS287=""),"",IF(AJ$8&lt;$AQ287,"IKS",IF(AJ$8&lt;$AS287,IF(AJ$8=$AR287,"Bascule","Double run"),"ROKS"))))))</f>
        <v/>
      </c>
      <c r="AK287" s="51" t="str">
        <f aca="false">IF(OR($A287="",AK$8=""),"",IF($F287="Migré","ROKS",IF($F287="À décommissionner",IF(AK$8&lt;$AS287,"IKS","Décom."),IF(OR($AQ287="",$AS287=""),"",IF(AK$8&lt;$AQ287,"IKS",IF(AK$8&lt;$AS287,IF(AK$8=$AR287,"Bascule","Double run"),"ROKS"))))))</f>
        <v/>
      </c>
      <c r="AL287" s="51" t="str">
        <f aca="false">IF(OR($A287="",AL$8=""),"",IF($F287="Migré","ROKS",IF($F287="À décommissionner",IF(AL$8&lt;$AS287,"IKS","Décom."),IF(OR($AQ287="",$AS287=""),"",IF(AL$8&lt;$AQ287,"IKS",IF(AL$8&lt;$AS287,IF(AL$8=$AR287,"Bascule","Double run"),"ROKS"))))))</f>
        <v/>
      </c>
      <c r="AM287" s="51" t="str">
        <f aca="false">IF(OR($A287="",AM$8=""),"",IF($F287="Migré","ROKS",IF($F287="À décommissionner",IF(AM$8&lt;$AS287,"IKS","Décom."),IF(OR($AQ287="",$AS287=""),"",IF(AM$8&lt;$AQ287,"IKS",IF(AM$8&lt;$AS287,IF(AM$8=$AR287,"Bascule","Double run"),"ROKS"))))))</f>
        <v/>
      </c>
      <c r="AN287" s="51" t="str">
        <f aca="false">IF(OR($A287="",AN$8=""),"",IF($F287="Migré","ROKS",IF($F287="À décommissionner",IF(AN$8&lt;$AS287,"IKS","Décom."),IF(OR($AQ287="",$AS287=""),"",IF(AN$8&lt;$AQ287,"IKS",IF(AN$8&lt;$AS287,IF(AN$8=$AR287,"Bascule","Double run"),"ROKS"))))))</f>
        <v/>
      </c>
      <c r="AO287" s="51" t="str">
        <f aca="false">IF(OR($A287="",AO$8=""),"",IF($F287="Migré","ROKS",IF($F287="À décommissionner",IF(AO$8&lt;$AS287,"IKS","Décom."),IF(OR($AQ287="",$AS287=""),"",IF(AO$8&lt;$AQ287,"IKS",IF(AO$8&lt;$AS287,IF(AO$8=$AR287,"Bascule","Double run"),"ROKS"))))))</f>
        <v/>
      </c>
      <c r="AP287" s="51" t="str">
        <f aca="false">IF(OR($A287="",AP$8=""),"",IF($F287="Migré","ROKS",IF($F287="À décommissionner",IF(AP$8&lt;$AS287,"IKS","Décom."),IF(OR($AQ287="",$AS287=""),"",IF(AP$8&lt;$AQ287,"IKS",IF(AP$8&lt;$AS287,IF(AP$8=$AR287,"Bascule","Double run"),"ROKS"))))))</f>
        <v/>
      </c>
      <c r="AQ287" s="0" t="str">
        <f aca="false">IF($A287="","",INDEX(TblApplications[Mois prov (calc)],$A287))</f>
        <v/>
      </c>
      <c r="AR287" s="0" t="str">
        <f aca="false">IF($A287="","",IFERROR(DATE(YEAR(INDEX(TblApplications[Mois bascule],$A287)),MONTH(INDEX(TblApplications[Mois bascule],$A287)),1),""))</f>
        <v/>
      </c>
      <c r="AS287" s="0" t="str">
        <f aca="false">IF($A287="","",INDEX(TblApplications[Mois lib (calc)],$A287))</f>
        <v/>
      </c>
    </row>
    <row r="288" customFormat="false" ht="15" hidden="false" customHeight="false" outlineLevel="0" collapsed="false">
      <c r="A288" s="49" t="str">
        <f aca="false">IFERROR(MATCH(280,TblApplications[Rang frise],0),"")</f>
        <v/>
      </c>
      <c r="B288" s="50" t="str">
        <f aca="false">IF($A288="","",INDEX(TblApplications[ID],$A288))</f>
        <v/>
      </c>
      <c r="C288" s="50" t="str">
        <f aca="false">IF($A288="","",INDEX(TblApplications[Application],$A288))</f>
        <v/>
      </c>
      <c r="D288" s="50" t="str">
        <f aca="false">IF($A288="","",INDEX(TblApplications[Environnement],$A288))</f>
        <v/>
      </c>
      <c r="E288" s="50" t="str">
        <f aca="false">IF($A288="","",INDEX(TblApplications[Couloir],$A288))</f>
        <v/>
      </c>
      <c r="F288" s="50" t="str">
        <f aca="false">IF($A288="","",INDEX(TblApplications[Action],$A288))</f>
        <v/>
      </c>
      <c r="G288" s="51" t="str">
        <f aca="false">IF(OR($A288="",G$8=""),"",IF($F288="Migré","ROKS",IF($F288="À décommissionner",IF(G$8&lt;$AS288,"IKS","Décom."),IF(OR($AQ288="",$AS288=""),"",IF(G$8&lt;$AQ288,"IKS",IF(G$8&lt;$AS288,IF(G$8=$AR288,"Bascule","Double run"),"ROKS"))))))</f>
        <v/>
      </c>
      <c r="H288" s="51" t="str">
        <f aca="false">IF(OR($A288="",H$8=""),"",IF($F288="Migré","ROKS",IF($F288="À décommissionner",IF(H$8&lt;$AS288,"IKS","Décom."),IF(OR($AQ288="",$AS288=""),"",IF(H$8&lt;$AQ288,"IKS",IF(H$8&lt;$AS288,IF(H$8=$AR288,"Bascule","Double run"),"ROKS"))))))</f>
        <v/>
      </c>
      <c r="I288" s="51" t="str">
        <f aca="false">IF(OR($A288="",I$8=""),"",IF($F288="Migré","ROKS",IF($F288="À décommissionner",IF(I$8&lt;$AS288,"IKS","Décom."),IF(OR($AQ288="",$AS288=""),"",IF(I$8&lt;$AQ288,"IKS",IF(I$8&lt;$AS288,IF(I$8=$AR288,"Bascule","Double run"),"ROKS"))))))</f>
        <v/>
      </c>
      <c r="J288" s="51" t="str">
        <f aca="false">IF(OR($A288="",J$8=""),"",IF($F288="Migré","ROKS",IF($F288="À décommissionner",IF(J$8&lt;$AS288,"IKS","Décom."),IF(OR($AQ288="",$AS288=""),"",IF(J$8&lt;$AQ288,"IKS",IF(J$8&lt;$AS288,IF(J$8=$AR288,"Bascule","Double run"),"ROKS"))))))</f>
        <v/>
      </c>
      <c r="K288" s="51" t="str">
        <f aca="false">IF(OR($A288="",K$8=""),"",IF($F288="Migré","ROKS",IF($F288="À décommissionner",IF(K$8&lt;$AS288,"IKS","Décom."),IF(OR($AQ288="",$AS288=""),"",IF(K$8&lt;$AQ288,"IKS",IF(K$8&lt;$AS288,IF(K$8=$AR288,"Bascule","Double run"),"ROKS"))))))</f>
        <v/>
      </c>
      <c r="L288" s="51" t="str">
        <f aca="false">IF(OR($A288="",L$8=""),"",IF($F288="Migré","ROKS",IF($F288="À décommissionner",IF(L$8&lt;$AS288,"IKS","Décom."),IF(OR($AQ288="",$AS288=""),"",IF(L$8&lt;$AQ288,"IKS",IF(L$8&lt;$AS288,IF(L$8=$AR288,"Bascule","Double run"),"ROKS"))))))</f>
        <v/>
      </c>
      <c r="M288" s="51" t="str">
        <f aca="false">IF(OR($A288="",M$8=""),"",IF($F288="Migré","ROKS",IF($F288="À décommissionner",IF(M$8&lt;$AS288,"IKS","Décom."),IF(OR($AQ288="",$AS288=""),"",IF(M$8&lt;$AQ288,"IKS",IF(M$8&lt;$AS288,IF(M$8=$AR288,"Bascule","Double run"),"ROKS"))))))</f>
        <v/>
      </c>
      <c r="N288" s="51" t="str">
        <f aca="false">IF(OR($A288="",N$8=""),"",IF($F288="Migré","ROKS",IF($F288="À décommissionner",IF(N$8&lt;$AS288,"IKS","Décom."),IF(OR($AQ288="",$AS288=""),"",IF(N$8&lt;$AQ288,"IKS",IF(N$8&lt;$AS288,IF(N$8=$AR288,"Bascule","Double run"),"ROKS"))))))</f>
        <v/>
      </c>
      <c r="O288" s="51" t="str">
        <f aca="false">IF(OR($A288="",O$8=""),"",IF($F288="Migré","ROKS",IF($F288="À décommissionner",IF(O$8&lt;$AS288,"IKS","Décom."),IF(OR($AQ288="",$AS288=""),"",IF(O$8&lt;$AQ288,"IKS",IF(O$8&lt;$AS288,IF(O$8=$AR288,"Bascule","Double run"),"ROKS"))))))</f>
        <v/>
      </c>
      <c r="P288" s="51" t="str">
        <f aca="false">IF(OR($A288="",P$8=""),"",IF($F288="Migré","ROKS",IF($F288="À décommissionner",IF(P$8&lt;$AS288,"IKS","Décom."),IF(OR($AQ288="",$AS288=""),"",IF(P$8&lt;$AQ288,"IKS",IF(P$8&lt;$AS288,IF(P$8=$AR288,"Bascule","Double run"),"ROKS"))))))</f>
        <v/>
      </c>
      <c r="Q288" s="51" t="str">
        <f aca="false">IF(OR($A288="",Q$8=""),"",IF($F288="Migré","ROKS",IF($F288="À décommissionner",IF(Q$8&lt;$AS288,"IKS","Décom."),IF(OR($AQ288="",$AS288=""),"",IF(Q$8&lt;$AQ288,"IKS",IF(Q$8&lt;$AS288,IF(Q$8=$AR288,"Bascule","Double run"),"ROKS"))))))</f>
        <v/>
      </c>
      <c r="R288" s="51" t="str">
        <f aca="false">IF(OR($A288="",R$8=""),"",IF($F288="Migré","ROKS",IF($F288="À décommissionner",IF(R$8&lt;$AS288,"IKS","Décom."),IF(OR($AQ288="",$AS288=""),"",IF(R$8&lt;$AQ288,"IKS",IF(R$8&lt;$AS288,IF(R$8=$AR288,"Bascule","Double run"),"ROKS"))))))</f>
        <v/>
      </c>
      <c r="S288" s="51" t="str">
        <f aca="false">IF(OR($A288="",S$8=""),"",IF($F288="Migré","ROKS",IF($F288="À décommissionner",IF(S$8&lt;$AS288,"IKS","Décom."),IF(OR($AQ288="",$AS288=""),"",IF(S$8&lt;$AQ288,"IKS",IF(S$8&lt;$AS288,IF(S$8=$AR288,"Bascule","Double run"),"ROKS"))))))</f>
        <v/>
      </c>
      <c r="T288" s="51" t="str">
        <f aca="false">IF(OR($A288="",T$8=""),"",IF($F288="Migré","ROKS",IF($F288="À décommissionner",IF(T$8&lt;$AS288,"IKS","Décom."),IF(OR($AQ288="",$AS288=""),"",IF(T$8&lt;$AQ288,"IKS",IF(T$8&lt;$AS288,IF(T$8=$AR288,"Bascule","Double run"),"ROKS"))))))</f>
        <v/>
      </c>
      <c r="U288" s="51" t="str">
        <f aca="false">IF(OR($A288="",U$8=""),"",IF($F288="Migré","ROKS",IF($F288="À décommissionner",IF(U$8&lt;$AS288,"IKS","Décom."),IF(OR($AQ288="",$AS288=""),"",IF(U$8&lt;$AQ288,"IKS",IF(U$8&lt;$AS288,IF(U$8=$AR288,"Bascule","Double run"),"ROKS"))))))</f>
        <v/>
      </c>
      <c r="V288" s="51" t="str">
        <f aca="false">IF(OR($A288="",V$8=""),"",IF($F288="Migré","ROKS",IF($F288="À décommissionner",IF(V$8&lt;$AS288,"IKS","Décom."),IF(OR($AQ288="",$AS288=""),"",IF(V$8&lt;$AQ288,"IKS",IF(V$8&lt;$AS288,IF(V$8=$AR288,"Bascule","Double run"),"ROKS"))))))</f>
        <v/>
      </c>
      <c r="W288" s="51" t="str">
        <f aca="false">IF(OR($A288="",W$8=""),"",IF($F288="Migré","ROKS",IF($F288="À décommissionner",IF(W$8&lt;$AS288,"IKS","Décom."),IF(OR($AQ288="",$AS288=""),"",IF(W$8&lt;$AQ288,"IKS",IF(W$8&lt;$AS288,IF(W$8=$AR288,"Bascule","Double run"),"ROKS"))))))</f>
        <v/>
      </c>
      <c r="X288" s="51" t="str">
        <f aca="false">IF(OR($A288="",X$8=""),"",IF($F288="Migré","ROKS",IF($F288="À décommissionner",IF(X$8&lt;$AS288,"IKS","Décom."),IF(OR($AQ288="",$AS288=""),"",IF(X$8&lt;$AQ288,"IKS",IF(X$8&lt;$AS288,IF(X$8=$AR288,"Bascule","Double run"),"ROKS"))))))</f>
        <v/>
      </c>
      <c r="Y288" s="51" t="str">
        <f aca="false">IF(OR($A288="",Y$8=""),"",IF($F288="Migré","ROKS",IF($F288="À décommissionner",IF(Y$8&lt;$AS288,"IKS","Décom."),IF(OR($AQ288="",$AS288=""),"",IF(Y$8&lt;$AQ288,"IKS",IF(Y$8&lt;$AS288,IF(Y$8=$AR288,"Bascule","Double run"),"ROKS"))))))</f>
        <v/>
      </c>
      <c r="Z288" s="51" t="str">
        <f aca="false">IF(OR($A288="",Z$8=""),"",IF($F288="Migré","ROKS",IF($F288="À décommissionner",IF(Z$8&lt;$AS288,"IKS","Décom."),IF(OR($AQ288="",$AS288=""),"",IF(Z$8&lt;$AQ288,"IKS",IF(Z$8&lt;$AS288,IF(Z$8=$AR288,"Bascule","Double run"),"ROKS"))))))</f>
        <v/>
      </c>
      <c r="AA288" s="51" t="str">
        <f aca="false">IF(OR($A288="",AA$8=""),"",IF($F288="Migré","ROKS",IF($F288="À décommissionner",IF(AA$8&lt;$AS288,"IKS","Décom."),IF(OR($AQ288="",$AS288=""),"",IF(AA$8&lt;$AQ288,"IKS",IF(AA$8&lt;$AS288,IF(AA$8=$AR288,"Bascule","Double run"),"ROKS"))))))</f>
        <v/>
      </c>
      <c r="AB288" s="51" t="str">
        <f aca="false">IF(OR($A288="",AB$8=""),"",IF($F288="Migré","ROKS",IF($F288="À décommissionner",IF(AB$8&lt;$AS288,"IKS","Décom."),IF(OR($AQ288="",$AS288=""),"",IF(AB$8&lt;$AQ288,"IKS",IF(AB$8&lt;$AS288,IF(AB$8=$AR288,"Bascule","Double run"),"ROKS"))))))</f>
        <v/>
      </c>
      <c r="AC288" s="51" t="str">
        <f aca="false">IF(OR($A288="",AC$8=""),"",IF($F288="Migré","ROKS",IF($F288="À décommissionner",IF(AC$8&lt;$AS288,"IKS","Décom."),IF(OR($AQ288="",$AS288=""),"",IF(AC$8&lt;$AQ288,"IKS",IF(AC$8&lt;$AS288,IF(AC$8=$AR288,"Bascule","Double run"),"ROKS"))))))</f>
        <v/>
      </c>
      <c r="AD288" s="51" t="str">
        <f aca="false">IF(OR($A288="",AD$8=""),"",IF($F288="Migré","ROKS",IF($F288="À décommissionner",IF(AD$8&lt;$AS288,"IKS","Décom."),IF(OR($AQ288="",$AS288=""),"",IF(AD$8&lt;$AQ288,"IKS",IF(AD$8&lt;$AS288,IF(AD$8=$AR288,"Bascule","Double run"),"ROKS"))))))</f>
        <v/>
      </c>
      <c r="AE288" s="51" t="str">
        <f aca="false">IF(OR($A288="",AE$8=""),"",IF($F288="Migré","ROKS",IF($F288="À décommissionner",IF(AE$8&lt;$AS288,"IKS","Décom."),IF(OR($AQ288="",$AS288=""),"",IF(AE$8&lt;$AQ288,"IKS",IF(AE$8&lt;$AS288,IF(AE$8=$AR288,"Bascule","Double run"),"ROKS"))))))</f>
        <v/>
      </c>
      <c r="AF288" s="51" t="str">
        <f aca="false">IF(OR($A288="",AF$8=""),"",IF($F288="Migré","ROKS",IF($F288="À décommissionner",IF(AF$8&lt;$AS288,"IKS","Décom."),IF(OR($AQ288="",$AS288=""),"",IF(AF$8&lt;$AQ288,"IKS",IF(AF$8&lt;$AS288,IF(AF$8=$AR288,"Bascule","Double run"),"ROKS"))))))</f>
        <v/>
      </c>
      <c r="AG288" s="51" t="str">
        <f aca="false">IF(OR($A288="",AG$8=""),"",IF($F288="Migré","ROKS",IF($F288="À décommissionner",IF(AG$8&lt;$AS288,"IKS","Décom."),IF(OR($AQ288="",$AS288=""),"",IF(AG$8&lt;$AQ288,"IKS",IF(AG$8&lt;$AS288,IF(AG$8=$AR288,"Bascule","Double run"),"ROKS"))))))</f>
        <v/>
      </c>
      <c r="AH288" s="51" t="str">
        <f aca="false">IF(OR($A288="",AH$8=""),"",IF($F288="Migré","ROKS",IF($F288="À décommissionner",IF(AH$8&lt;$AS288,"IKS","Décom."),IF(OR($AQ288="",$AS288=""),"",IF(AH$8&lt;$AQ288,"IKS",IF(AH$8&lt;$AS288,IF(AH$8=$AR288,"Bascule","Double run"),"ROKS"))))))</f>
        <v/>
      </c>
      <c r="AI288" s="51" t="str">
        <f aca="false">IF(OR($A288="",AI$8=""),"",IF($F288="Migré","ROKS",IF($F288="À décommissionner",IF(AI$8&lt;$AS288,"IKS","Décom."),IF(OR($AQ288="",$AS288=""),"",IF(AI$8&lt;$AQ288,"IKS",IF(AI$8&lt;$AS288,IF(AI$8=$AR288,"Bascule","Double run"),"ROKS"))))))</f>
        <v/>
      </c>
      <c r="AJ288" s="51" t="str">
        <f aca="false">IF(OR($A288="",AJ$8=""),"",IF($F288="Migré","ROKS",IF($F288="À décommissionner",IF(AJ$8&lt;$AS288,"IKS","Décom."),IF(OR($AQ288="",$AS288=""),"",IF(AJ$8&lt;$AQ288,"IKS",IF(AJ$8&lt;$AS288,IF(AJ$8=$AR288,"Bascule","Double run"),"ROKS"))))))</f>
        <v/>
      </c>
      <c r="AK288" s="51" t="str">
        <f aca="false">IF(OR($A288="",AK$8=""),"",IF($F288="Migré","ROKS",IF($F288="À décommissionner",IF(AK$8&lt;$AS288,"IKS","Décom."),IF(OR($AQ288="",$AS288=""),"",IF(AK$8&lt;$AQ288,"IKS",IF(AK$8&lt;$AS288,IF(AK$8=$AR288,"Bascule","Double run"),"ROKS"))))))</f>
        <v/>
      </c>
      <c r="AL288" s="51" t="str">
        <f aca="false">IF(OR($A288="",AL$8=""),"",IF($F288="Migré","ROKS",IF($F288="À décommissionner",IF(AL$8&lt;$AS288,"IKS","Décom."),IF(OR($AQ288="",$AS288=""),"",IF(AL$8&lt;$AQ288,"IKS",IF(AL$8&lt;$AS288,IF(AL$8=$AR288,"Bascule","Double run"),"ROKS"))))))</f>
        <v/>
      </c>
      <c r="AM288" s="51" t="str">
        <f aca="false">IF(OR($A288="",AM$8=""),"",IF($F288="Migré","ROKS",IF($F288="À décommissionner",IF(AM$8&lt;$AS288,"IKS","Décom."),IF(OR($AQ288="",$AS288=""),"",IF(AM$8&lt;$AQ288,"IKS",IF(AM$8&lt;$AS288,IF(AM$8=$AR288,"Bascule","Double run"),"ROKS"))))))</f>
        <v/>
      </c>
      <c r="AN288" s="51" t="str">
        <f aca="false">IF(OR($A288="",AN$8=""),"",IF($F288="Migré","ROKS",IF($F288="À décommissionner",IF(AN$8&lt;$AS288,"IKS","Décom."),IF(OR($AQ288="",$AS288=""),"",IF(AN$8&lt;$AQ288,"IKS",IF(AN$8&lt;$AS288,IF(AN$8=$AR288,"Bascule","Double run"),"ROKS"))))))</f>
        <v/>
      </c>
      <c r="AO288" s="51" t="str">
        <f aca="false">IF(OR($A288="",AO$8=""),"",IF($F288="Migré","ROKS",IF($F288="À décommissionner",IF(AO$8&lt;$AS288,"IKS","Décom."),IF(OR($AQ288="",$AS288=""),"",IF(AO$8&lt;$AQ288,"IKS",IF(AO$8&lt;$AS288,IF(AO$8=$AR288,"Bascule","Double run"),"ROKS"))))))</f>
        <v/>
      </c>
      <c r="AP288" s="51" t="str">
        <f aca="false">IF(OR($A288="",AP$8=""),"",IF($F288="Migré","ROKS",IF($F288="À décommissionner",IF(AP$8&lt;$AS288,"IKS","Décom."),IF(OR($AQ288="",$AS288=""),"",IF(AP$8&lt;$AQ288,"IKS",IF(AP$8&lt;$AS288,IF(AP$8=$AR288,"Bascule","Double run"),"ROKS"))))))</f>
        <v/>
      </c>
      <c r="AQ288" s="0" t="str">
        <f aca="false">IF($A288="","",INDEX(TblApplications[Mois prov (calc)],$A288))</f>
        <v/>
      </c>
      <c r="AR288" s="0" t="str">
        <f aca="false">IF($A288="","",IFERROR(DATE(YEAR(INDEX(TblApplications[Mois bascule],$A288)),MONTH(INDEX(TblApplications[Mois bascule],$A288)),1),""))</f>
        <v/>
      </c>
      <c r="AS288" s="0" t="str">
        <f aca="false">IF($A288="","",INDEX(TblApplications[Mois lib (calc)],$A288))</f>
        <v/>
      </c>
    </row>
    <row r="289" customFormat="false" ht="15" hidden="false" customHeight="false" outlineLevel="0" collapsed="false">
      <c r="A289" s="49" t="str">
        <f aca="false">IFERROR(MATCH(281,TblApplications[Rang frise],0),"")</f>
        <v/>
      </c>
      <c r="B289" s="50" t="str">
        <f aca="false">IF($A289="","",INDEX(TblApplications[ID],$A289))</f>
        <v/>
      </c>
      <c r="C289" s="50" t="str">
        <f aca="false">IF($A289="","",INDEX(TblApplications[Application],$A289))</f>
        <v/>
      </c>
      <c r="D289" s="50" t="str">
        <f aca="false">IF($A289="","",INDEX(TblApplications[Environnement],$A289))</f>
        <v/>
      </c>
      <c r="E289" s="50" t="str">
        <f aca="false">IF($A289="","",INDEX(TblApplications[Couloir],$A289))</f>
        <v/>
      </c>
      <c r="F289" s="50" t="str">
        <f aca="false">IF($A289="","",INDEX(TblApplications[Action],$A289))</f>
        <v/>
      </c>
      <c r="G289" s="51" t="str">
        <f aca="false">IF(OR($A289="",G$8=""),"",IF($F289="Migré","ROKS",IF($F289="À décommissionner",IF(G$8&lt;$AS289,"IKS","Décom."),IF(OR($AQ289="",$AS289=""),"",IF(G$8&lt;$AQ289,"IKS",IF(G$8&lt;$AS289,IF(G$8=$AR289,"Bascule","Double run"),"ROKS"))))))</f>
        <v/>
      </c>
      <c r="H289" s="51" t="str">
        <f aca="false">IF(OR($A289="",H$8=""),"",IF($F289="Migré","ROKS",IF($F289="À décommissionner",IF(H$8&lt;$AS289,"IKS","Décom."),IF(OR($AQ289="",$AS289=""),"",IF(H$8&lt;$AQ289,"IKS",IF(H$8&lt;$AS289,IF(H$8=$AR289,"Bascule","Double run"),"ROKS"))))))</f>
        <v/>
      </c>
      <c r="I289" s="51" t="str">
        <f aca="false">IF(OR($A289="",I$8=""),"",IF($F289="Migré","ROKS",IF($F289="À décommissionner",IF(I$8&lt;$AS289,"IKS","Décom."),IF(OR($AQ289="",$AS289=""),"",IF(I$8&lt;$AQ289,"IKS",IF(I$8&lt;$AS289,IF(I$8=$AR289,"Bascule","Double run"),"ROKS"))))))</f>
        <v/>
      </c>
      <c r="J289" s="51" t="str">
        <f aca="false">IF(OR($A289="",J$8=""),"",IF($F289="Migré","ROKS",IF($F289="À décommissionner",IF(J$8&lt;$AS289,"IKS","Décom."),IF(OR($AQ289="",$AS289=""),"",IF(J$8&lt;$AQ289,"IKS",IF(J$8&lt;$AS289,IF(J$8=$AR289,"Bascule","Double run"),"ROKS"))))))</f>
        <v/>
      </c>
      <c r="K289" s="51" t="str">
        <f aca="false">IF(OR($A289="",K$8=""),"",IF($F289="Migré","ROKS",IF($F289="À décommissionner",IF(K$8&lt;$AS289,"IKS","Décom."),IF(OR($AQ289="",$AS289=""),"",IF(K$8&lt;$AQ289,"IKS",IF(K$8&lt;$AS289,IF(K$8=$AR289,"Bascule","Double run"),"ROKS"))))))</f>
        <v/>
      </c>
      <c r="L289" s="51" t="str">
        <f aca="false">IF(OR($A289="",L$8=""),"",IF($F289="Migré","ROKS",IF($F289="À décommissionner",IF(L$8&lt;$AS289,"IKS","Décom."),IF(OR($AQ289="",$AS289=""),"",IF(L$8&lt;$AQ289,"IKS",IF(L$8&lt;$AS289,IF(L$8=$AR289,"Bascule","Double run"),"ROKS"))))))</f>
        <v/>
      </c>
      <c r="M289" s="51" t="str">
        <f aca="false">IF(OR($A289="",M$8=""),"",IF($F289="Migré","ROKS",IF($F289="À décommissionner",IF(M$8&lt;$AS289,"IKS","Décom."),IF(OR($AQ289="",$AS289=""),"",IF(M$8&lt;$AQ289,"IKS",IF(M$8&lt;$AS289,IF(M$8=$AR289,"Bascule","Double run"),"ROKS"))))))</f>
        <v/>
      </c>
      <c r="N289" s="51" t="str">
        <f aca="false">IF(OR($A289="",N$8=""),"",IF($F289="Migré","ROKS",IF($F289="À décommissionner",IF(N$8&lt;$AS289,"IKS","Décom."),IF(OR($AQ289="",$AS289=""),"",IF(N$8&lt;$AQ289,"IKS",IF(N$8&lt;$AS289,IF(N$8=$AR289,"Bascule","Double run"),"ROKS"))))))</f>
        <v/>
      </c>
      <c r="O289" s="51" t="str">
        <f aca="false">IF(OR($A289="",O$8=""),"",IF($F289="Migré","ROKS",IF($F289="À décommissionner",IF(O$8&lt;$AS289,"IKS","Décom."),IF(OR($AQ289="",$AS289=""),"",IF(O$8&lt;$AQ289,"IKS",IF(O$8&lt;$AS289,IF(O$8=$AR289,"Bascule","Double run"),"ROKS"))))))</f>
        <v/>
      </c>
      <c r="P289" s="51" t="str">
        <f aca="false">IF(OR($A289="",P$8=""),"",IF($F289="Migré","ROKS",IF($F289="À décommissionner",IF(P$8&lt;$AS289,"IKS","Décom."),IF(OR($AQ289="",$AS289=""),"",IF(P$8&lt;$AQ289,"IKS",IF(P$8&lt;$AS289,IF(P$8=$AR289,"Bascule","Double run"),"ROKS"))))))</f>
        <v/>
      </c>
      <c r="Q289" s="51" t="str">
        <f aca="false">IF(OR($A289="",Q$8=""),"",IF($F289="Migré","ROKS",IF($F289="À décommissionner",IF(Q$8&lt;$AS289,"IKS","Décom."),IF(OR($AQ289="",$AS289=""),"",IF(Q$8&lt;$AQ289,"IKS",IF(Q$8&lt;$AS289,IF(Q$8=$AR289,"Bascule","Double run"),"ROKS"))))))</f>
        <v/>
      </c>
      <c r="R289" s="51" t="str">
        <f aca="false">IF(OR($A289="",R$8=""),"",IF($F289="Migré","ROKS",IF($F289="À décommissionner",IF(R$8&lt;$AS289,"IKS","Décom."),IF(OR($AQ289="",$AS289=""),"",IF(R$8&lt;$AQ289,"IKS",IF(R$8&lt;$AS289,IF(R$8=$AR289,"Bascule","Double run"),"ROKS"))))))</f>
        <v/>
      </c>
      <c r="S289" s="51" t="str">
        <f aca="false">IF(OR($A289="",S$8=""),"",IF($F289="Migré","ROKS",IF($F289="À décommissionner",IF(S$8&lt;$AS289,"IKS","Décom."),IF(OR($AQ289="",$AS289=""),"",IF(S$8&lt;$AQ289,"IKS",IF(S$8&lt;$AS289,IF(S$8=$AR289,"Bascule","Double run"),"ROKS"))))))</f>
        <v/>
      </c>
      <c r="T289" s="51" t="str">
        <f aca="false">IF(OR($A289="",T$8=""),"",IF($F289="Migré","ROKS",IF($F289="À décommissionner",IF(T$8&lt;$AS289,"IKS","Décom."),IF(OR($AQ289="",$AS289=""),"",IF(T$8&lt;$AQ289,"IKS",IF(T$8&lt;$AS289,IF(T$8=$AR289,"Bascule","Double run"),"ROKS"))))))</f>
        <v/>
      </c>
      <c r="U289" s="51" t="str">
        <f aca="false">IF(OR($A289="",U$8=""),"",IF($F289="Migré","ROKS",IF($F289="À décommissionner",IF(U$8&lt;$AS289,"IKS","Décom."),IF(OR($AQ289="",$AS289=""),"",IF(U$8&lt;$AQ289,"IKS",IF(U$8&lt;$AS289,IF(U$8=$AR289,"Bascule","Double run"),"ROKS"))))))</f>
        <v/>
      </c>
      <c r="V289" s="51" t="str">
        <f aca="false">IF(OR($A289="",V$8=""),"",IF($F289="Migré","ROKS",IF($F289="À décommissionner",IF(V$8&lt;$AS289,"IKS","Décom."),IF(OR($AQ289="",$AS289=""),"",IF(V$8&lt;$AQ289,"IKS",IF(V$8&lt;$AS289,IF(V$8=$AR289,"Bascule","Double run"),"ROKS"))))))</f>
        <v/>
      </c>
      <c r="W289" s="51" t="str">
        <f aca="false">IF(OR($A289="",W$8=""),"",IF($F289="Migré","ROKS",IF($F289="À décommissionner",IF(W$8&lt;$AS289,"IKS","Décom."),IF(OR($AQ289="",$AS289=""),"",IF(W$8&lt;$AQ289,"IKS",IF(W$8&lt;$AS289,IF(W$8=$AR289,"Bascule","Double run"),"ROKS"))))))</f>
        <v/>
      </c>
      <c r="X289" s="51" t="str">
        <f aca="false">IF(OR($A289="",X$8=""),"",IF($F289="Migré","ROKS",IF($F289="À décommissionner",IF(X$8&lt;$AS289,"IKS","Décom."),IF(OR($AQ289="",$AS289=""),"",IF(X$8&lt;$AQ289,"IKS",IF(X$8&lt;$AS289,IF(X$8=$AR289,"Bascule","Double run"),"ROKS"))))))</f>
        <v/>
      </c>
      <c r="Y289" s="51" t="str">
        <f aca="false">IF(OR($A289="",Y$8=""),"",IF($F289="Migré","ROKS",IF($F289="À décommissionner",IF(Y$8&lt;$AS289,"IKS","Décom."),IF(OR($AQ289="",$AS289=""),"",IF(Y$8&lt;$AQ289,"IKS",IF(Y$8&lt;$AS289,IF(Y$8=$AR289,"Bascule","Double run"),"ROKS"))))))</f>
        <v/>
      </c>
      <c r="Z289" s="51" t="str">
        <f aca="false">IF(OR($A289="",Z$8=""),"",IF($F289="Migré","ROKS",IF($F289="À décommissionner",IF(Z$8&lt;$AS289,"IKS","Décom."),IF(OR($AQ289="",$AS289=""),"",IF(Z$8&lt;$AQ289,"IKS",IF(Z$8&lt;$AS289,IF(Z$8=$AR289,"Bascule","Double run"),"ROKS"))))))</f>
        <v/>
      </c>
      <c r="AA289" s="51" t="str">
        <f aca="false">IF(OR($A289="",AA$8=""),"",IF($F289="Migré","ROKS",IF($F289="À décommissionner",IF(AA$8&lt;$AS289,"IKS","Décom."),IF(OR($AQ289="",$AS289=""),"",IF(AA$8&lt;$AQ289,"IKS",IF(AA$8&lt;$AS289,IF(AA$8=$AR289,"Bascule","Double run"),"ROKS"))))))</f>
        <v/>
      </c>
      <c r="AB289" s="51" t="str">
        <f aca="false">IF(OR($A289="",AB$8=""),"",IF($F289="Migré","ROKS",IF($F289="À décommissionner",IF(AB$8&lt;$AS289,"IKS","Décom."),IF(OR($AQ289="",$AS289=""),"",IF(AB$8&lt;$AQ289,"IKS",IF(AB$8&lt;$AS289,IF(AB$8=$AR289,"Bascule","Double run"),"ROKS"))))))</f>
        <v/>
      </c>
      <c r="AC289" s="51" t="str">
        <f aca="false">IF(OR($A289="",AC$8=""),"",IF($F289="Migré","ROKS",IF($F289="À décommissionner",IF(AC$8&lt;$AS289,"IKS","Décom."),IF(OR($AQ289="",$AS289=""),"",IF(AC$8&lt;$AQ289,"IKS",IF(AC$8&lt;$AS289,IF(AC$8=$AR289,"Bascule","Double run"),"ROKS"))))))</f>
        <v/>
      </c>
      <c r="AD289" s="51" t="str">
        <f aca="false">IF(OR($A289="",AD$8=""),"",IF($F289="Migré","ROKS",IF($F289="À décommissionner",IF(AD$8&lt;$AS289,"IKS","Décom."),IF(OR($AQ289="",$AS289=""),"",IF(AD$8&lt;$AQ289,"IKS",IF(AD$8&lt;$AS289,IF(AD$8=$AR289,"Bascule","Double run"),"ROKS"))))))</f>
        <v/>
      </c>
      <c r="AE289" s="51" t="str">
        <f aca="false">IF(OR($A289="",AE$8=""),"",IF($F289="Migré","ROKS",IF($F289="À décommissionner",IF(AE$8&lt;$AS289,"IKS","Décom."),IF(OR($AQ289="",$AS289=""),"",IF(AE$8&lt;$AQ289,"IKS",IF(AE$8&lt;$AS289,IF(AE$8=$AR289,"Bascule","Double run"),"ROKS"))))))</f>
        <v/>
      </c>
      <c r="AF289" s="51" t="str">
        <f aca="false">IF(OR($A289="",AF$8=""),"",IF($F289="Migré","ROKS",IF($F289="À décommissionner",IF(AF$8&lt;$AS289,"IKS","Décom."),IF(OR($AQ289="",$AS289=""),"",IF(AF$8&lt;$AQ289,"IKS",IF(AF$8&lt;$AS289,IF(AF$8=$AR289,"Bascule","Double run"),"ROKS"))))))</f>
        <v/>
      </c>
      <c r="AG289" s="51" t="str">
        <f aca="false">IF(OR($A289="",AG$8=""),"",IF($F289="Migré","ROKS",IF($F289="À décommissionner",IF(AG$8&lt;$AS289,"IKS","Décom."),IF(OR($AQ289="",$AS289=""),"",IF(AG$8&lt;$AQ289,"IKS",IF(AG$8&lt;$AS289,IF(AG$8=$AR289,"Bascule","Double run"),"ROKS"))))))</f>
        <v/>
      </c>
      <c r="AH289" s="51" t="str">
        <f aca="false">IF(OR($A289="",AH$8=""),"",IF($F289="Migré","ROKS",IF($F289="À décommissionner",IF(AH$8&lt;$AS289,"IKS","Décom."),IF(OR($AQ289="",$AS289=""),"",IF(AH$8&lt;$AQ289,"IKS",IF(AH$8&lt;$AS289,IF(AH$8=$AR289,"Bascule","Double run"),"ROKS"))))))</f>
        <v/>
      </c>
      <c r="AI289" s="51" t="str">
        <f aca="false">IF(OR($A289="",AI$8=""),"",IF($F289="Migré","ROKS",IF($F289="À décommissionner",IF(AI$8&lt;$AS289,"IKS","Décom."),IF(OR($AQ289="",$AS289=""),"",IF(AI$8&lt;$AQ289,"IKS",IF(AI$8&lt;$AS289,IF(AI$8=$AR289,"Bascule","Double run"),"ROKS"))))))</f>
        <v/>
      </c>
      <c r="AJ289" s="51" t="str">
        <f aca="false">IF(OR($A289="",AJ$8=""),"",IF($F289="Migré","ROKS",IF($F289="À décommissionner",IF(AJ$8&lt;$AS289,"IKS","Décom."),IF(OR($AQ289="",$AS289=""),"",IF(AJ$8&lt;$AQ289,"IKS",IF(AJ$8&lt;$AS289,IF(AJ$8=$AR289,"Bascule","Double run"),"ROKS"))))))</f>
        <v/>
      </c>
      <c r="AK289" s="51" t="str">
        <f aca="false">IF(OR($A289="",AK$8=""),"",IF($F289="Migré","ROKS",IF($F289="À décommissionner",IF(AK$8&lt;$AS289,"IKS","Décom."),IF(OR($AQ289="",$AS289=""),"",IF(AK$8&lt;$AQ289,"IKS",IF(AK$8&lt;$AS289,IF(AK$8=$AR289,"Bascule","Double run"),"ROKS"))))))</f>
        <v/>
      </c>
      <c r="AL289" s="51" t="str">
        <f aca="false">IF(OR($A289="",AL$8=""),"",IF($F289="Migré","ROKS",IF($F289="À décommissionner",IF(AL$8&lt;$AS289,"IKS","Décom."),IF(OR($AQ289="",$AS289=""),"",IF(AL$8&lt;$AQ289,"IKS",IF(AL$8&lt;$AS289,IF(AL$8=$AR289,"Bascule","Double run"),"ROKS"))))))</f>
        <v/>
      </c>
      <c r="AM289" s="51" t="str">
        <f aca="false">IF(OR($A289="",AM$8=""),"",IF($F289="Migré","ROKS",IF($F289="À décommissionner",IF(AM$8&lt;$AS289,"IKS","Décom."),IF(OR($AQ289="",$AS289=""),"",IF(AM$8&lt;$AQ289,"IKS",IF(AM$8&lt;$AS289,IF(AM$8=$AR289,"Bascule","Double run"),"ROKS"))))))</f>
        <v/>
      </c>
      <c r="AN289" s="51" t="str">
        <f aca="false">IF(OR($A289="",AN$8=""),"",IF($F289="Migré","ROKS",IF($F289="À décommissionner",IF(AN$8&lt;$AS289,"IKS","Décom."),IF(OR($AQ289="",$AS289=""),"",IF(AN$8&lt;$AQ289,"IKS",IF(AN$8&lt;$AS289,IF(AN$8=$AR289,"Bascule","Double run"),"ROKS"))))))</f>
        <v/>
      </c>
      <c r="AO289" s="51" t="str">
        <f aca="false">IF(OR($A289="",AO$8=""),"",IF($F289="Migré","ROKS",IF($F289="À décommissionner",IF(AO$8&lt;$AS289,"IKS","Décom."),IF(OR($AQ289="",$AS289=""),"",IF(AO$8&lt;$AQ289,"IKS",IF(AO$8&lt;$AS289,IF(AO$8=$AR289,"Bascule","Double run"),"ROKS"))))))</f>
        <v/>
      </c>
      <c r="AP289" s="51" t="str">
        <f aca="false">IF(OR($A289="",AP$8=""),"",IF($F289="Migré","ROKS",IF($F289="À décommissionner",IF(AP$8&lt;$AS289,"IKS","Décom."),IF(OR($AQ289="",$AS289=""),"",IF(AP$8&lt;$AQ289,"IKS",IF(AP$8&lt;$AS289,IF(AP$8=$AR289,"Bascule","Double run"),"ROKS"))))))</f>
        <v/>
      </c>
      <c r="AQ289" s="0" t="str">
        <f aca="false">IF($A289="","",INDEX(TblApplications[Mois prov (calc)],$A289))</f>
        <v/>
      </c>
      <c r="AR289" s="0" t="str">
        <f aca="false">IF($A289="","",IFERROR(DATE(YEAR(INDEX(TblApplications[Mois bascule],$A289)),MONTH(INDEX(TblApplications[Mois bascule],$A289)),1),""))</f>
        <v/>
      </c>
      <c r="AS289" s="0" t="str">
        <f aca="false">IF($A289="","",INDEX(TblApplications[Mois lib (calc)],$A289))</f>
        <v/>
      </c>
    </row>
    <row r="290" customFormat="false" ht="15" hidden="false" customHeight="false" outlineLevel="0" collapsed="false">
      <c r="A290" s="49" t="str">
        <f aca="false">IFERROR(MATCH(282,TblApplications[Rang frise],0),"")</f>
        <v/>
      </c>
      <c r="B290" s="50" t="str">
        <f aca="false">IF($A290="","",INDEX(TblApplications[ID],$A290))</f>
        <v/>
      </c>
      <c r="C290" s="50" t="str">
        <f aca="false">IF($A290="","",INDEX(TblApplications[Application],$A290))</f>
        <v/>
      </c>
      <c r="D290" s="50" t="str">
        <f aca="false">IF($A290="","",INDEX(TblApplications[Environnement],$A290))</f>
        <v/>
      </c>
      <c r="E290" s="50" t="str">
        <f aca="false">IF($A290="","",INDEX(TblApplications[Couloir],$A290))</f>
        <v/>
      </c>
      <c r="F290" s="50" t="str">
        <f aca="false">IF($A290="","",INDEX(TblApplications[Action],$A290))</f>
        <v/>
      </c>
      <c r="G290" s="51" t="str">
        <f aca="false">IF(OR($A290="",G$8=""),"",IF($F290="Migré","ROKS",IF($F290="À décommissionner",IF(G$8&lt;$AS290,"IKS","Décom."),IF(OR($AQ290="",$AS290=""),"",IF(G$8&lt;$AQ290,"IKS",IF(G$8&lt;$AS290,IF(G$8=$AR290,"Bascule","Double run"),"ROKS"))))))</f>
        <v/>
      </c>
      <c r="H290" s="51" t="str">
        <f aca="false">IF(OR($A290="",H$8=""),"",IF($F290="Migré","ROKS",IF($F290="À décommissionner",IF(H$8&lt;$AS290,"IKS","Décom."),IF(OR($AQ290="",$AS290=""),"",IF(H$8&lt;$AQ290,"IKS",IF(H$8&lt;$AS290,IF(H$8=$AR290,"Bascule","Double run"),"ROKS"))))))</f>
        <v/>
      </c>
      <c r="I290" s="51" t="str">
        <f aca="false">IF(OR($A290="",I$8=""),"",IF($F290="Migré","ROKS",IF($F290="À décommissionner",IF(I$8&lt;$AS290,"IKS","Décom."),IF(OR($AQ290="",$AS290=""),"",IF(I$8&lt;$AQ290,"IKS",IF(I$8&lt;$AS290,IF(I$8=$AR290,"Bascule","Double run"),"ROKS"))))))</f>
        <v/>
      </c>
      <c r="J290" s="51" t="str">
        <f aca="false">IF(OR($A290="",J$8=""),"",IF($F290="Migré","ROKS",IF($F290="À décommissionner",IF(J$8&lt;$AS290,"IKS","Décom."),IF(OR($AQ290="",$AS290=""),"",IF(J$8&lt;$AQ290,"IKS",IF(J$8&lt;$AS290,IF(J$8=$AR290,"Bascule","Double run"),"ROKS"))))))</f>
        <v/>
      </c>
      <c r="K290" s="51" t="str">
        <f aca="false">IF(OR($A290="",K$8=""),"",IF($F290="Migré","ROKS",IF($F290="À décommissionner",IF(K$8&lt;$AS290,"IKS","Décom."),IF(OR($AQ290="",$AS290=""),"",IF(K$8&lt;$AQ290,"IKS",IF(K$8&lt;$AS290,IF(K$8=$AR290,"Bascule","Double run"),"ROKS"))))))</f>
        <v/>
      </c>
      <c r="L290" s="51" t="str">
        <f aca="false">IF(OR($A290="",L$8=""),"",IF($F290="Migré","ROKS",IF($F290="À décommissionner",IF(L$8&lt;$AS290,"IKS","Décom."),IF(OR($AQ290="",$AS290=""),"",IF(L$8&lt;$AQ290,"IKS",IF(L$8&lt;$AS290,IF(L$8=$AR290,"Bascule","Double run"),"ROKS"))))))</f>
        <v/>
      </c>
      <c r="M290" s="51" t="str">
        <f aca="false">IF(OR($A290="",M$8=""),"",IF($F290="Migré","ROKS",IF($F290="À décommissionner",IF(M$8&lt;$AS290,"IKS","Décom."),IF(OR($AQ290="",$AS290=""),"",IF(M$8&lt;$AQ290,"IKS",IF(M$8&lt;$AS290,IF(M$8=$AR290,"Bascule","Double run"),"ROKS"))))))</f>
        <v/>
      </c>
      <c r="N290" s="51" t="str">
        <f aca="false">IF(OR($A290="",N$8=""),"",IF($F290="Migré","ROKS",IF($F290="À décommissionner",IF(N$8&lt;$AS290,"IKS","Décom."),IF(OR($AQ290="",$AS290=""),"",IF(N$8&lt;$AQ290,"IKS",IF(N$8&lt;$AS290,IF(N$8=$AR290,"Bascule","Double run"),"ROKS"))))))</f>
        <v/>
      </c>
      <c r="O290" s="51" t="str">
        <f aca="false">IF(OR($A290="",O$8=""),"",IF($F290="Migré","ROKS",IF($F290="À décommissionner",IF(O$8&lt;$AS290,"IKS","Décom."),IF(OR($AQ290="",$AS290=""),"",IF(O$8&lt;$AQ290,"IKS",IF(O$8&lt;$AS290,IF(O$8=$AR290,"Bascule","Double run"),"ROKS"))))))</f>
        <v/>
      </c>
      <c r="P290" s="51" t="str">
        <f aca="false">IF(OR($A290="",P$8=""),"",IF($F290="Migré","ROKS",IF($F290="À décommissionner",IF(P$8&lt;$AS290,"IKS","Décom."),IF(OR($AQ290="",$AS290=""),"",IF(P$8&lt;$AQ290,"IKS",IF(P$8&lt;$AS290,IF(P$8=$AR290,"Bascule","Double run"),"ROKS"))))))</f>
        <v/>
      </c>
      <c r="Q290" s="51" t="str">
        <f aca="false">IF(OR($A290="",Q$8=""),"",IF($F290="Migré","ROKS",IF($F290="À décommissionner",IF(Q$8&lt;$AS290,"IKS","Décom."),IF(OR($AQ290="",$AS290=""),"",IF(Q$8&lt;$AQ290,"IKS",IF(Q$8&lt;$AS290,IF(Q$8=$AR290,"Bascule","Double run"),"ROKS"))))))</f>
        <v/>
      </c>
      <c r="R290" s="51" t="str">
        <f aca="false">IF(OR($A290="",R$8=""),"",IF($F290="Migré","ROKS",IF($F290="À décommissionner",IF(R$8&lt;$AS290,"IKS","Décom."),IF(OR($AQ290="",$AS290=""),"",IF(R$8&lt;$AQ290,"IKS",IF(R$8&lt;$AS290,IF(R$8=$AR290,"Bascule","Double run"),"ROKS"))))))</f>
        <v/>
      </c>
      <c r="S290" s="51" t="str">
        <f aca="false">IF(OR($A290="",S$8=""),"",IF($F290="Migré","ROKS",IF($F290="À décommissionner",IF(S$8&lt;$AS290,"IKS","Décom."),IF(OR($AQ290="",$AS290=""),"",IF(S$8&lt;$AQ290,"IKS",IF(S$8&lt;$AS290,IF(S$8=$AR290,"Bascule","Double run"),"ROKS"))))))</f>
        <v/>
      </c>
      <c r="T290" s="51" t="str">
        <f aca="false">IF(OR($A290="",T$8=""),"",IF($F290="Migré","ROKS",IF($F290="À décommissionner",IF(T$8&lt;$AS290,"IKS","Décom."),IF(OR($AQ290="",$AS290=""),"",IF(T$8&lt;$AQ290,"IKS",IF(T$8&lt;$AS290,IF(T$8=$AR290,"Bascule","Double run"),"ROKS"))))))</f>
        <v/>
      </c>
      <c r="U290" s="51" t="str">
        <f aca="false">IF(OR($A290="",U$8=""),"",IF($F290="Migré","ROKS",IF($F290="À décommissionner",IF(U$8&lt;$AS290,"IKS","Décom."),IF(OR($AQ290="",$AS290=""),"",IF(U$8&lt;$AQ290,"IKS",IF(U$8&lt;$AS290,IF(U$8=$AR290,"Bascule","Double run"),"ROKS"))))))</f>
        <v/>
      </c>
      <c r="V290" s="51" t="str">
        <f aca="false">IF(OR($A290="",V$8=""),"",IF($F290="Migré","ROKS",IF($F290="À décommissionner",IF(V$8&lt;$AS290,"IKS","Décom."),IF(OR($AQ290="",$AS290=""),"",IF(V$8&lt;$AQ290,"IKS",IF(V$8&lt;$AS290,IF(V$8=$AR290,"Bascule","Double run"),"ROKS"))))))</f>
        <v/>
      </c>
      <c r="W290" s="51" t="str">
        <f aca="false">IF(OR($A290="",W$8=""),"",IF($F290="Migré","ROKS",IF($F290="À décommissionner",IF(W$8&lt;$AS290,"IKS","Décom."),IF(OR($AQ290="",$AS290=""),"",IF(W$8&lt;$AQ290,"IKS",IF(W$8&lt;$AS290,IF(W$8=$AR290,"Bascule","Double run"),"ROKS"))))))</f>
        <v/>
      </c>
      <c r="X290" s="51" t="str">
        <f aca="false">IF(OR($A290="",X$8=""),"",IF($F290="Migré","ROKS",IF($F290="À décommissionner",IF(X$8&lt;$AS290,"IKS","Décom."),IF(OR($AQ290="",$AS290=""),"",IF(X$8&lt;$AQ290,"IKS",IF(X$8&lt;$AS290,IF(X$8=$AR290,"Bascule","Double run"),"ROKS"))))))</f>
        <v/>
      </c>
      <c r="Y290" s="51" t="str">
        <f aca="false">IF(OR($A290="",Y$8=""),"",IF($F290="Migré","ROKS",IF($F290="À décommissionner",IF(Y$8&lt;$AS290,"IKS","Décom."),IF(OR($AQ290="",$AS290=""),"",IF(Y$8&lt;$AQ290,"IKS",IF(Y$8&lt;$AS290,IF(Y$8=$AR290,"Bascule","Double run"),"ROKS"))))))</f>
        <v/>
      </c>
      <c r="Z290" s="51" t="str">
        <f aca="false">IF(OR($A290="",Z$8=""),"",IF($F290="Migré","ROKS",IF($F290="À décommissionner",IF(Z$8&lt;$AS290,"IKS","Décom."),IF(OR($AQ290="",$AS290=""),"",IF(Z$8&lt;$AQ290,"IKS",IF(Z$8&lt;$AS290,IF(Z$8=$AR290,"Bascule","Double run"),"ROKS"))))))</f>
        <v/>
      </c>
      <c r="AA290" s="51" t="str">
        <f aca="false">IF(OR($A290="",AA$8=""),"",IF($F290="Migré","ROKS",IF($F290="À décommissionner",IF(AA$8&lt;$AS290,"IKS","Décom."),IF(OR($AQ290="",$AS290=""),"",IF(AA$8&lt;$AQ290,"IKS",IF(AA$8&lt;$AS290,IF(AA$8=$AR290,"Bascule","Double run"),"ROKS"))))))</f>
        <v/>
      </c>
      <c r="AB290" s="51" t="str">
        <f aca="false">IF(OR($A290="",AB$8=""),"",IF($F290="Migré","ROKS",IF($F290="À décommissionner",IF(AB$8&lt;$AS290,"IKS","Décom."),IF(OR($AQ290="",$AS290=""),"",IF(AB$8&lt;$AQ290,"IKS",IF(AB$8&lt;$AS290,IF(AB$8=$AR290,"Bascule","Double run"),"ROKS"))))))</f>
        <v/>
      </c>
      <c r="AC290" s="51" t="str">
        <f aca="false">IF(OR($A290="",AC$8=""),"",IF($F290="Migré","ROKS",IF($F290="À décommissionner",IF(AC$8&lt;$AS290,"IKS","Décom."),IF(OR($AQ290="",$AS290=""),"",IF(AC$8&lt;$AQ290,"IKS",IF(AC$8&lt;$AS290,IF(AC$8=$AR290,"Bascule","Double run"),"ROKS"))))))</f>
        <v/>
      </c>
      <c r="AD290" s="51" t="str">
        <f aca="false">IF(OR($A290="",AD$8=""),"",IF($F290="Migré","ROKS",IF($F290="À décommissionner",IF(AD$8&lt;$AS290,"IKS","Décom."),IF(OR($AQ290="",$AS290=""),"",IF(AD$8&lt;$AQ290,"IKS",IF(AD$8&lt;$AS290,IF(AD$8=$AR290,"Bascule","Double run"),"ROKS"))))))</f>
        <v/>
      </c>
      <c r="AE290" s="51" t="str">
        <f aca="false">IF(OR($A290="",AE$8=""),"",IF($F290="Migré","ROKS",IF($F290="À décommissionner",IF(AE$8&lt;$AS290,"IKS","Décom."),IF(OR($AQ290="",$AS290=""),"",IF(AE$8&lt;$AQ290,"IKS",IF(AE$8&lt;$AS290,IF(AE$8=$AR290,"Bascule","Double run"),"ROKS"))))))</f>
        <v/>
      </c>
      <c r="AF290" s="51" t="str">
        <f aca="false">IF(OR($A290="",AF$8=""),"",IF($F290="Migré","ROKS",IF($F290="À décommissionner",IF(AF$8&lt;$AS290,"IKS","Décom."),IF(OR($AQ290="",$AS290=""),"",IF(AF$8&lt;$AQ290,"IKS",IF(AF$8&lt;$AS290,IF(AF$8=$AR290,"Bascule","Double run"),"ROKS"))))))</f>
        <v/>
      </c>
      <c r="AG290" s="51" t="str">
        <f aca="false">IF(OR($A290="",AG$8=""),"",IF($F290="Migré","ROKS",IF($F290="À décommissionner",IF(AG$8&lt;$AS290,"IKS","Décom."),IF(OR($AQ290="",$AS290=""),"",IF(AG$8&lt;$AQ290,"IKS",IF(AG$8&lt;$AS290,IF(AG$8=$AR290,"Bascule","Double run"),"ROKS"))))))</f>
        <v/>
      </c>
      <c r="AH290" s="51" t="str">
        <f aca="false">IF(OR($A290="",AH$8=""),"",IF($F290="Migré","ROKS",IF($F290="À décommissionner",IF(AH$8&lt;$AS290,"IKS","Décom."),IF(OR($AQ290="",$AS290=""),"",IF(AH$8&lt;$AQ290,"IKS",IF(AH$8&lt;$AS290,IF(AH$8=$AR290,"Bascule","Double run"),"ROKS"))))))</f>
        <v/>
      </c>
      <c r="AI290" s="51" t="str">
        <f aca="false">IF(OR($A290="",AI$8=""),"",IF($F290="Migré","ROKS",IF($F290="À décommissionner",IF(AI$8&lt;$AS290,"IKS","Décom."),IF(OR($AQ290="",$AS290=""),"",IF(AI$8&lt;$AQ290,"IKS",IF(AI$8&lt;$AS290,IF(AI$8=$AR290,"Bascule","Double run"),"ROKS"))))))</f>
        <v/>
      </c>
      <c r="AJ290" s="51" t="str">
        <f aca="false">IF(OR($A290="",AJ$8=""),"",IF($F290="Migré","ROKS",IF($F290="À décommissionner",IF(AJ$8&lt;$AS290,"IKS","Décom."),IF(OR($AQ290="",$AS290=""),"",IF(AJ$8&lt;$AQ290,"IKS",IF(AJ$8&lt;$AS290,IF(AJ$8=$AR290,"Bascule","Double run"),"ROKS"))))))</f>
        <v/>
      </c>
      <c r="AK290" s="51" t="str">
        <f aca="false">IF(OR($A290="",AK$8=""),"",IF($F290="Migré","ROKS",IF($F290="À décommissionner",IF(AK$8&lt;$AS290,"IKS","Décom."),IF(OR($AQ290="",$AS290=""),"",IF(AK$8&lt;$AQ290,"IKS",IF(AK$8&lt;$AS290,IF(AK$8=$AR290,"Bascule","Double run"),"ROKS"))))))</f>
        <v/>
      </c>
      <c r="AL290" s="51" t="str">
        <f aca="false">IF(OR($A290="",AL$8=""),"",IF($F290="Migré","ROKS",IF($F290="À décommissionner",IF(AL$8&lt;$AS290,"IKS","Décom."),IF(OR($AQ290="",$AS290=""),"",IF(AL$8&lt;$AQ290,"IKS",IF(AL$8&lt;$AS290,IF(AL$8=$AR290,"Bascule","Double run"),"ROKS"))))))</f>
        <v/>
      </c>
      <c r="AM290" s="51" t="str">
        <f aca="false">IF(OR($A290="",AM$8=""),"",IF($F290="Migré","ROKS",IF($F290="À décommissionner",IF(AM$8&lt;$AS290,"IKS","Décom."),IF(OR($AQ290="",$AS290=""),"",IF(AM$8&lt;$AQ290,"IKS",IF(AM$8&lt;$AS290,IF(AM$8=$AR290,"Bascule","Double run"),"ROKS"))))))</f>
        <v/>
      </c>
      <c r="AN290" s="51" t="str">
        <f aca="false">IF(OR($A290="",AN$8=""),"",IF($F290="Migré","ROKS",IF($F290="À décommissionner",IF(AN$8&lt;$AS290,"IKS","Décom."),IF(OR($AQ290="",$AS290=""),"",IF(AN$8&lt;$AQ290,"IKS",IF(AN$8&lt;$AS290,IF(AN$8=$AR290,"Bascule","Double run"),"ROKS"))))))</f>
        <v/>
      </c>
      <c r="AO290" s="51" t="str">
        <f aca="false">IF(OR($A290="",AO$8=""),"",IF($F290="Migré","ROKS",IF($F290="À décommissionner",IF(AO$8&lt;$AS290,"IKS","Décom."),IF(OR($AQ290="",$AS290=""),"",IF(AO$8&lt;$AQ290,"IKS",IF(AO$8&lt;$AS290,IF(AO$8=$AR290,"Bascule","Double run"),"ROKS"))))))</f>
        <v/>
      </c>
      <c r="AP290" s="51" t="str">
        <f aca="false">IF(OR($A290="",AP$8=""),"",IF($F290="Migré","ROKS",IF($F290="À décommissionner",IF(AP$8&lt;$AS290,"IKS","Décom."),IF(OR($AQ290="",$AS290=""),"",IF(AP$8&lt;$AQ290,"IKS",IF(AP$8&lt;$AS290,IF(AP$8=$AR290,"Bascule","Double run"),"ROKS"))))))</f>
        <v/>
      </c>
      <c r="AQ290" s="0" t="str">
        <f aca="false">IF($A290="","",INDEX(TblApplications[Mois prov (calc)],$A290))</f>
        <v/>
      </c>
      <c r="AR290" s="0" t="str">
        <f aca="false">IF($A290="","",IFERROR(DATE(YEAR(INDEX(TblApplications[Mois bascule],$A290)),MONTH(INDEX(TblApplications[Mois bascule],$A290)),1),""))</f>
        <v/>
      </c>
      <c r="AS290" s="0" t="str">
        <f aca="false">IF($A290="","",INDEX(TblApplications[Mois lib (calc)],$A290))</f>
        <v/>
      </c>
    </row>
    <row r="291" customFormat="false" ht="15" hidden="false" customHeight="false" outlineLevel="0" collapsed="false">
      <c r="A291" s="49" t="str">
        <f aca="false">IFERROR(MATCH(283,TblApplications[Rang frise],0),"")</f>
        <v/>
      </c>
      <c r="B291" s="50" t="str">
        <f aca="false">IF($A291="","",INDEX(TblApplications[ID],$A291))</f>
        <v/>
      </c>
      <c r="C291" s="50" t="str">
        <f aca="false">IF($A291="","",INDEX(TblApplications[Application],$A291))</f>
        <v/>
      </c>
      <c r="D291" s="50" t="str">
        <f aca="false">IF($A291="","",INDEX(TblApplications[Environnement],$A291))</f>
        <v/>
      </c>
      <c r="E291" s="50" t="str">
        <f aca="false">IF($A291="","",INDEX(TblApplications[Couloir],$A291))</f>
        <v/>
      </c>
      <c r="F291" s="50" t="str">
        <f aca="false">IF($A291="","",INDEX(TblApplications[Action],$A291))</f>
        <v/>
      </c>
      <c r="G291" s="51" t="str">
        <f aca="false">IF(OR($A291="",G$8=""),"",IF($F291="Migré","ROKS",IF($F291="À décommissionner",IF(G$8&lt;$AS291,"IKS","Décom."),IF(OR($AQ291="",$AS291=""),"",IF(G$8&lt;$AQ291,"IKS",IF(G$8&lt;$AS291,IF(G$8=$AR291,"Bascule","Double run"),"ROKS"))))))</f>
        <v/>
      </c>
      <c r="H291" s="51" t="str">
        <f aca="false">IF(OR($A291="",H$8=""),"",IF($F291="Migré","ROKS",IF($F291="À décommissionner",IF(H$8&lt;$AS291,"IKS","Décom."),IF(OR($AQ291="",$AS291=""),"",IF(H$8&lt;$AQ291,"IKS",IF(H$8&lt;$AS291,IF(H$8=$AR291,"Bascule","Double run"),"ROKS"))))))</f>
        <v/>
      </c>
      <c r="I291" s="51" t="str">
        <f aca="false">IF(OR($A291="",I$8=""),"",IF($F291="Migré","ROKS",IF($F291="À décommissionner",IF(I$8&lt;$AS291,"IKS","Décom."),IF(OR($AQ291="",$AS291=""),"",IF(I$8&lt;$AQ291,"IKS",IF(I$8&lt;$AS291,IF(I$8=$AR291,"Bascule","Double run"),"ROKS"))))))</f>
        <v/>
      </c>
      <c r="J291" s="51" t="str">
        <f aca="false">IF(OR($A291="",J$8=""),"",IF($F291="Migré","ROKS",IF($F291="À décommissionner",IF(J$8&lt;$AS291,"IKS","Décom."),IF(OR($AQ291="",$AS291=""),"",IF(J$8&lt;$AQ291,"IKS",IF(J$8&lt;$AS291,IF(J$8=$AR291,"Bascule","Double run"),"ROKS"))))))</f>
        <v/>
      </c>
      <c r="K291" s="51" t="str">
        <f aca="false">IF(OR($A291="",K$8=""),"",IF($F291="Migré","ROKS",IF($F291="À décommissionner",IF(K$8&lt;$AS291,"IKS","Décom."),IF(OR($AQ291="",$AS291=""),"",IF(K$8&lt;$AQ291,"IKS",IF(K$8&lt;$AS291,IF(K$8=$AR291,"Bascule","Double run"),"ROKS"))))))</f>
        <v/>
      </c>
      <c r="L291" s="51" t="str">
        <f aca="false">IF(OR($A291="",L$8=""),"",IF($F291="Migré","ROKS",IF($F291="À décommissionner",IF(L$8&lt;$AS291,"IKS","Décom."),IF(OR($AQ291="",$AS291=""),"",IF(L$8&lt;$AQ291,"IKS",IF(L$8&lt;$AS291,IF(L$8=$AR291,"Bascule","Double run"),"ROKS"))))))</f>
        <v/>
      </c>
      <c r="M291" s="51" t="str">
        <f aca="false">IF(OR($A291="",M$8=""),"",IF($F291="Migré","ROKS",IF($F291="À décommissionner",IF(M$8&lt;$AS291,"IKS","Décom."),IF(OR($AQ291="",$AS291=""),"",IF(M$8&lt;$AQ291,"IKS",IF(M$8&lt;$AS291,IF(M$8=$AR291,"Bascule","Double run"),"ROKS"))))))</f>
        <v/>
      </c>
      <c r="N291" s="51" t="str">
        <f aca="false">IF(OR($A291="",N$8=""),"",IF($F291="Migré","ROKS",IF($F291="À décommissionner",IF(N$8&lt;$AS291,"IKS","Décom."),IF(OR($AQ291="",$AS291=""),"",IF(N$8&lt;$AQ291,"IKS",IF(N$8&lt;$AS291,IF(N$8=$AR291,"Bascule","Double run"),"ROKS"))))))</f>
        <v/>
      </c>
      <c r="O291" s="51" t="str">
        <f aca="false">IF(OR($A291="",O$8=""),"",IF($F291="Migré","ROKS",IF($F291="À décommissionner",IF(O$8&lt;$AS291,"IKS","Décom."),IF(OR($AQ291="",$AS291=""),"",IF(O$8&lt;$AQ291,"IKS",IF(O$8&lt;$AS291,IF(O$8=$AR291,"Bascule","Double run"),"ROKS"))))))</f>
        <v/>
      </c>
      <c r="P291" s="51" t="str">
        <f aca="false">IF(OR($A291="",P$8=""),"",IF($F291="Migré","ROKS",IF($F291="À décommissionner",IF(P$8&lt;$AS291,"IKS","Décom."),IF(OR($AQ291="",$AS291=""),"",IF(P$8&lt;$AQ291,"IKS",IF(P$8&lt;$AS291,IF(P$8=$AR291,"Bascule","Double run"),"ROKS"))))))</f>
        <v/>
      </c>
      <c r="Q291" s="51" t="str">
        <f aca="false">IF(OR($A291="",Q$8=""),"",IF($F291="Migré","ROKS",IF($F291="À décommissionner",IF(Q$8&lt;$AS291,"IKS","Décom."),IF(OR($AQ291="",$AS291=""),"",IF(Q$8&lt;$AQ291,"IKS",IF(Q$8&lt;$AS291,IF(Q$8=$AR291,"Bascule","Double run"),"ROKS"))))))</f>
        <v/>
      </c>
      <c r="R291" s="51" t="str">
        <f aca="false">IF(OR($A291="",R$8=""),"",IF($F291="Migré","ROKS",IF($F291="À décommissionner",IF(R$8&lt;$AS291,"IKS","Décom."),IF(OR($AQ291="",$AS291=""),"",IF(R$8&lt;$AQ291,"IKS",IF(R$8&lt;$AS291,IF(R$8=$AR291,"Bascule","Double run"),"ROKS"))))))</f>
        <v/>
      </c>
      <c r="S291" s="51" t="str">
        <f aca="false">IF(OR($A291="",S$8=""),"",IF($F291="Migré","ROKS",IF($F291="À décommissionner",IF(S$8&lt;$AS291,"IKS","Décom."),IF(OR($AQ291="",$AS291=""),"",IF(S$8&lt;$AQ291,"IKS",IF(S$8&lt;$AS291,IF(S$8=$AR291,"Bascule","Double run"),"ROKS"))))))</f>
        <v/>
      </c>
      <c r="T291" s="51" t="str">
        <f aca="false">IF(OR($A291="",T$8=""),"",IF($F291="Migré","ROKS",IF($F291="À décommissionner",IF(T$8&lt;$AS291,"IKS","Décom."),IF(OR($AQ291="",$AS291=""),"",IF(T$8&lt;$AQ291,"IKS",IF(T$8&lt;$AS291,IF(T$8=$AR291,"Bascule","Double run"),"ROKS"))))))</f>
        <v/>
      </c>
      <c r="U291" s="51" t="str">
        <f aca="false">IF(OR($A291="",U$8=""),"",IF($F291="Migré","ROKS",IF($F291="À décommissionner",IF(U$8&lt;$AS291,"IKS","Décom."),IF(OR($AQ291="",$AS291=""),"",IF(U$8&lt;$AQ291,"IKS",IF(U$8&lt;$AS291,IF(U$8=$AR291,"Bascule","Double run"),"ROKS"))))))</f>
        <v/>
      </c>
      <c r="V291" s="51" t="str">
        <f aca="false">IF(OR($A291="",V$8=""),"",IF($F291="Migré","ROKS",IF($F291="À décommissionner",IF(V$8&lt;$AS291,"IKS","Décom."),IF(OR($AQ291="",$AS291=""),"",IF(V$8&lt;$AQ291,"IKS",IF(V$8&lt;$AS291,IF(V$8=$AR291,"Bascule","Double run"),"ROKS"))))))</f>
        <v/>
      </c>
      <c r="W291" s="51" t="str">
        <f aca="false">IF(OR($A291="",W$8=""),"",IF($F291="Migré","ROKS",IF($F291="À décommissionner",IF(W$8&lt;$AS291,"IKS","Décom."),IF(OR($AQ291="",$AS291=""),"",IF(W$8&lt;$AQ291,"IKS",IF(W$8&lt;$AS291,IF(W$8=$AR291,"Bascule","Double run"),"ROKS"))))))</f>
        <v/>
      </c>
      <c r="X291" s="51" t="str">
        <f aca="false">IF(OR($A291="",X$8=""),"",IF($F291="Migré","ROKS",IF($F291="À décommissionner",IF(X$8&lt;$AS291,"IKS","Décom."),IF(OR($AQ291="",$AS291=""),"",IF(X$8&lt;$AQ291,"IKS",IF(X$8&lt;$AS291,IF(X$8=$AR291,"Bascule","Double run"),"ROKS"))))))</f>
        <v/>
      </c>
      <c r="Y291" s="51" t="str">
        <f aca="false">IF(OR($A291="",Y$8=""),"",IF($F291="Migré","ROKS",IF($F291="À décommissionner",IF(Y$8&lt;$AS291,"IKS","Décom."),IF(OR($AQ291="",$AS291=""),"",IF(Y$8&lt;$AQ291,"IKS",IF(Y$8&lt;$AS291,IF(Y$8=$AR291,"Bascule","Double run"),"ROKS"))))))</f>
        <v/>
      </c>
      <c r="Z291" s="51" t="str">
        <f aca="false">IF(OR($A291="",Z$8=""),"",IF($F291="Migré","ROKS",IF($F291="À décommissionner",IF(Z$8&lt;$AS291,"IKS","Décom."),IF(OR($AQ291="",$AS291=""),"",IF(Z$8&lt;$AQ291,"IKS",IF(Z$8&lt;$AS291,IF(Z$8=$AR291,"Bascule","Double run"),"ROKS"))))))</f>
        <v/>
      </c>
      <c r="AA291" s="51" t="str">
        <f aca="false">IF(OR($A291="",AA$8=""),"",IF($F291="Migré","ROKS",IF($F291="À décommissionner",IF(AA$8&lt;$AS291,"IKS","Décom."),IF(OR($AQ291="",$AS291=""),"",IF(AA$8&lt;$AQ291,"IKS",IF(AA$8&lt;$AS291,IF(AA$8=$AR291,"Bascule","Double run"),"ROKS"))))))</f>
        <v/>
      </c>
      <c r="AB291" s="51" t="str">
        <f aca="false">IF(OR($A291="",AB$8=""),"",IF($F291="Migré","ROKS",IF($F291="À décommissionner",IF(AB$8&lt;$AS291,"IKS","Décom."),IF(OR($AQ291="",$AS291=""),"",IF(AB$8&lt;$AQ291,"IKS",IF(AB$8&lt;$AS291,IF(AB$8=$AR291,"Bascule","Double run"),"ROKS"))))))</f>
        <v/>
      </c>
      <c r="AC291" s="51" t="str">
        <f aca="false">IF(OR($A291="",AC$8=""),"",IF($F291="Migré","ROKS",IF($F291="À décommissionner",IF(AC$8&lt;$AS291,"IKS","Décom."),IF(OR($AQ291="",$AS291=""),"",IF(AC$8&lt;$AQ291,"IKS",IF(AC$8&lt;$AS291,IF(AC$8=$AR291,"Bascule","Double run"),"ROKS"))))))</f>
        <v/>
      </c>
      <c r="AD291" s="51" t="str">
        <f aca="false">IF(OR($A291="",AD$8=""),"",IF($F291="Migré","ROKS",IF($F291="À décommissionner",IF(AD$8&lt;$AS291,"IKS","Décom."),IF(OR($AQ291="",$AS291=""),"",IF(AD$8&lt;$AQ291,"IKS",IF(AD$8&lt;$AS291,IF(AD$8=$AR291,"Bascule","Double run"),"ROKS"))))))</f>
        <v/>
      </c>
      <c r="AE291" s="51" t="str">
        <f aca="false">IF(OR($A291="",AE$8=""),"",IF($F291="Migré","ROKS",IF($F291="À décommissionner",IF(AE$8&lt;$AS291,"IKS","Décom."),IF(OR($AQ291="",$AS291=""),"",IF(AE$8&lt;$AQ291,"IKS",IF(AE$8&lt;$AS291,IF(AE$8=$AR291,"Bascule","Double run"),"ROKS"))))))</f>
        <v/>
      </c>
      <c r="AF291" s="51" t="str">
        <f aca="false">IF(OR($A291="",AF$8=""),"",IF($F291="Migré","ROKS",IF($F291="À décommissionner",IF(AF$8&lt;$AS291,"IKS","Décom."),IF(OR($AQ291="",$AS291=""),"",IF(AF$8&lt;$AQ291,"IKS",IF(AF$8&lt;$AS291,IF(AF$8=$AR291,"Bascule","Double run"),"ROKS"))))))</f>
        <v/>
      </c>
      <c r="AG291" s="51" t="str">
        <f aca="false">IF(OR($A291="",AG$8=""),"",IF($F291="Migré","ROKS",IF($F291="À décommissionner",IF(AG$8&lt;$AS291,"IKS","Décom."),IF(OR($AQ291="",$AS291=""),"",IF(AG$8&lt;$AQ291,"IKS",IF(AG$8&lt;$AS291,IF(AG$8=$AR291,"Bascule","Double run"),"ROKS"))))))</f>
        <v/>
      </c>
      <c r="AH291" s="51" t="str">
        <f aca="false">IF(OR($A291="",AH$8=""),"",IF($F291="Migré","ROKS",IF($F291="À décommissionner",IF(AH$8&lt;$AS291,"IKS","Décom."),IF(OR($AQ291="",$AS291=""),"",IF(AH$8&lt;$AQ291,"IKS",IF(AH$8&lt;$AS291,IF(AH$8=$AR291,"Bascule","Double run"),"ROKS"))))))</f>
        <v/>
      </c>
      <c r="AI291" s="51" t="str">
        <f aca="false">IF(OR($A291="",AI$8=""),"",IF($F291="Migré","ROKS",IF($F291="À décommissionner",IF(AI$8&lt;$AS291,"IKS","Décom."),IF(OR($AQ291="",$AS291=""),"",IF(AI$8&lt;$AQ291,"IKS",IF(AI$8&lt;$AS291,IF(AI$8=$AR291,"Bascule","Double run"),"ROKS"))))))</f>
        <v/>
      </c>
      <c r="AJ291" s="51" t="str">
        <f aca="false">IF(OR($A291="",AJ$8=""),"",IF($F291="Migré","ROKS",IF($F291="À décommissionner",IF(AJ$8&lt;$AS291,"IKS","Décom."),IF(OR($AQ291="",$AS291=""),"",IF(AJ$8&lt;$AQ291,"IKS",IF(AJ$8&lt;$AS291,IF(AJ$8=$AR291,"Bascule","Double run"),"ROKS"))))))</f>
        <v/>
      </c>
      <c r="AK291" s="51" t="str">
        <f aca="false">IF(OR($A291="",AK$8=""),"",IF($F291="Migré","ROKS",IF($F291="À décommissionner",IF(AK$8&lt;$AS291,"IKS","Décom."),IF(OR($AQ291="",$AS291=""),"",IF(AK$8&lt;$AQ291,"IKS",IF(AK$8&lt;$AS291,IF(AK$8=$AR291,"Bascule","Double run"),"ROKS"))))))</f>
        <v/>
      </c>
      <c r="AL291" s="51" t="str">
        <f aca="false">IF(OR($A291="",AL$8=""),"",IF($F291="Migré","ROKS",IF($F291="À décommissionner",IF(AL$8&lt;$AS291,"IKS","Décom."),IF(OR($AQ291="",$AS291=""),"",IF(AL$8&lt;$AQ291,"IKS",IF(AL$8&lt;$AS291,IF(AL$8=$AR291,"Bascule","Double run"),"ROKS"))))))</f>
        <v/>
      </c>
      <c r="AM291" s="51" t="str">
        <f aca="false">IF(OR($A291="",AM$8=""),"",IF($F291="Migré","ROKS",IF($F291="À décommissionner",IF(AM$8&lt;$AS291,"IKS","Décom."),IF(OR($AQ291="",$AS291=""),"",IF(AM$8&lt;$AQ291,"IKS",IF(AM$8&lt;$AS291,IF(AM$8=$AR291,"Bascule","Double run"),"ROKS"))))))</f>
        <v/>
      </c>
      <c r="AN291" s="51" t="str">
        <f aca="false">IF(OR($A291="",AN$8=""),"",IF($F291="Migré","ROKS",IF($F291="À décommissionner",IF(AN$8&lt;$AS291,"IKS","Décom."),IF(OR($AQ291="",$AS291=""),"",IF(AN$8&lt;$AQ291,"IKS",IF(AN$8&lt;$AS291,IF(AN$8=$AR291,"Bascule","Double run"),"ROKS"))))))</f>
        <v/>
      </c>
      <c r="AO291" s="51" t="str">
        <f aca="false">IF(OR($A291="",AO$8=""),"",IF($F291="Migré","ROKS",IF($F291="À décommissionner",IF(AO$8&lt;$AS291,"IKS","Décom."),IF(OR($AQ291="",$AS291=""),"",IF(AO$8&lt;$AQ291,"IKS",IF(AO$8&lt;$AS291,IF(AO$8=$AR291,"Bascule","Double run"),"ROKS"))))))</f>
        <v/>
      </c>
      <c r="AP291" s="51" t="str">
        <f aca="false">IF(OR($A291="",AP$8=""),"",IF($F291="Migré","ROKS",IF($F291="À décommissionner",IF(AP$8&lt;$AS291,"IKS","Décom."),IF(OR($AQ291="",$AS291=""),"",IF(AP$8&lt;$AQ291,"IKS",IF(AP$8&lt;$AS291,IF(AP$8=$AR291,"Bascule","Double run"),"ROKS"))))))</f>
        <v/>
      </c>
      <c r="AQ291" s="0" t="str">
        <f aca="false">IF($A291="","",INDEX(TblApplications[Mois prov (calc)],$A291))</f>
        <v/>
      </c>
      <c r="AR291" s="0" t="str">
        <f aca="false">IF($A291="","",IFERROR(DATE(YEAR(INDEX(TblApplications[Mois bascule],$A291)),MONTH(INDEX(TblApplications[Mois bascule],$A291)),1),""))</f>
        <v/>
      </c>
      <c r="AS291" s="0" t="str">
        <f aca="false">IF($A291="","",INDEX(TblApplications[Mois lib (calc)],$A291))</f>
        <v/>
      </c>
    </row>
    <row r="292" customFormat="false" ht="15" hidden="false" customHeight="false" outlineLevel="0" collapsed="false">
      <c r="A292" s="49" t="str">
        <f aca="false">IFERROR(MATCH(284,TblApplications[Rang frise],0),"")</f>
        <v/>
      </c>
      <c r="B292" s="50" t="str">
        <f aca="false">IF($A292="","",INDEX(TblApplications[ID],$A292))</f>
        <v/>
      </c>
      <c r="C292" s="50" t="str">
        <f aca="false">IF($A292="","",INDEX(TblApplications[Application],$A292))</f>
        <v/>
      </c>
      <c r="D292" s="50" t="str">
        <f aca="false">IF($A292="","",INDEX(TblApplications[Environnement],$A292))</f>
        <v/>
      </c>
      <c r="E292" s="50" t="str">
        <f aca="false">IF($A292="","",INDEX(TblApplications[Couloir],$A292))</f>
        <v/>
      </c>
      <c r="F292" s="50" t="str">
        <f aca="false">IF($A292="","",INDEX(TblApplications[Action],$A292))</f>
        <v/>
      </c>
      <c r="G292" s="51" t="str">
        <f aca="false">IF(OR($A292="",G$8=""),"",IF($F292="Migré","ROKS",IF($F292="À décommissionner",IF(G$8&lt;$AS292,"IKS","Décom."),IF(OR($AQ292="",$AS292=""),"",IF(G$8&lt;$AQ292,"IKS",IF(G$8&lt;$AS292,IF(G$8=$AR292,"Bascule","Double run"),"ROKS"))))))</f>
        <v/>
      </c>
      <c r="H292" s="51" t="str">
        <f aca="false">IF(OR($A292="",H$8=""),"",IF($F292="Migré","ROKS",IF($F292="À décommissionner",IF(H$8&lt;$AS292,"IKS","Décom."),IF(OR($AQ292="",$AS292=""),"",IF(H$8&lt;$AQ292,"IKS",IF(H$8&lt;$AS292,IF(H$8=$AR292,"Bascule","Double run"),"ROKS"))))))</f>
        <v/>
      </c>
      <c r="I292" s="51" t="str">
        <f aca="false">IF(OR($A292="",I$8=""),"",IF($F292="Migré","ROKS",IF($F292="À décommissionner",IF(I$8&lt;$AS292,"IKS","Décom."),IF(OR($AQ292="",$AS292=""),"",IF(I$8&lt;$AQ292,"IKS",IF(I$8&lt;$AS292,IF(I$8=$AR292,"Bascule","Double run"),"ROKS"))))))</f>
        <v/>
      </c>
      <c r="J292" s="51" t="str">
        <f aca="false">IF(OR($A292="",J$8=""),"",IF($F292="Migré","ROKS",IF($F292="À décommissionner",IF(J$8&lt;$AS292,"IKS","Décom."),IF(OR($AQ292="",$AS292=""),"",IF(J$8&lt;$AQ292,"IKS",IF(J$8&lt;$AS292,IF(J$8=$AR292,"Bascule","Double run"),"ROKS"))))))</f>
        <v/>
      </c>
      <c r="K292" s="51" t="str">
        <f aca="false">IF(OR($A292="",K$8=""),"",IF($F292="Migré","ROKS",IF($F292="À décommissionner",IF(K$8&lt;$AS292,"IKS","Décom."),IF(OR($AQ292="",$AS292=""),"",IF(K$8&lt;$AQ292,"IKS",IF(K$8&lt;$AS292,IF(K$8=$AR292,"Bascule","Double run"),"ROKS"))))))</f>
        <v/>
      </c>
      <c r="L292" s="51" t="str">
        <f aca="false">IF(OR($A292="",L$8=""),"",IF($F292="Migré","ROKS",IF($F292="À décommissionner",IF(L$8&lt;$AS292,"IKS","Décom."),IF(OR($AQ292="",$AS292=""),"",IF(L$8&lt;$AQ292,"IKS",IF(L$8&lt;$AS292,IF(L$8=$AR292,"Bascule","Double run"),"ROKS"))))))</f>
        <v/>
      </c>
      <c r="M292" s="51" t="str">
        <f aca="false">IF(OR($A292="",M$8=""),"",IF($F292="Migré","ROKS",IF($F292="À décommissionner",IF(M$8&lt;$AS292,"IKS","Décom."),IF(OR($AQ292="",$AS292=""),"",IF(M$8&lt;$AQ292,"IKS",IF(M$8&lt;$AS292,IF(M$8=$AR292,"Bascule","Double run"),"ROKS"))))))</f>
        <v/>
      </c>
      <c r="N292" s="51" t="str">
        <f aca="false">IF(OR($A292="",N$8=""),"",IF($F292="Migré","ROKS",IF($F292="À décommissionner",IF(N$8&lt;$AS292,"IKS","Décom."),IF(OR($AQ292="",$AS292=""),"",IF(N$8&lt;$AQ292,"IKS",IF(N$8&lt;$AS292,IF(N$8=$AR292,"Bascule","Double run"),"ROKS"))))))</f>
        <v/>
      </c>
      <c r="O292" s="51" t="str">
        <f aca="false">IF(OR($A292="",O$8=""),"",IF($F292="Migré","ROKS",IF($F292="À décommissionner",IF(O$8&lt;$AS292,"IKS","Décom."),IF(OR($AQ292="",$AS292=""),"",IF(O$8&lt;$AQ292,"IKS",IF(O$8&lt;$AS292,IF(O$8=$AR292,"Bascule","Double run"),"ROKS"))))))</f>
        <v/>
      </c>
      <c r="P292" s="51" t="str">
        <f aca="false">IF(OR($A292="",P$8=""),"",IF($F292="Migré","ROKS",IF($F292="À décommissionner",IF(P$8&lt;$AS292,"IKS","Décom."),IF(OR($AQ292="",$AS292=""),"",IF(P$8&lt;$AQ292,"IKS",IF(P$8&lt;$AS292,IF(P$8=$AR292,"Bascule","Double run"),"ROKS"))))))</f>
        <v/>
      </c>
      <c r="Q292" s="51" t="str">
        <f aca="false">IF(OR($A292="",Q$8=""),"",IF($F292="Migré","ROKS",IF($F292="À décommissionner",IF(Q$8&lt;$AS292,"IKS","Décom."),IF(OR($AQ292="",$AS292=""),"",IF(Q$8&lt;$AQ292,"IKS",IF(Q$8&lt;$AS292,IF(Q$8=$AR292,"Bascule","Double run"),"ROKS"))))))</f>
        <v/>
      </c>
      <c r="R292" s="51" t="str">
        <f aca="false">IF(OR($A292="",R$8=""),"",IF($F292="Migré","ROKS",IF($F292="À décommissionner",IF(R$8&lt;$AS292,"IKS","Décom."),IF(OR($AQ292="",$AS292=""),"",IF(R$8&lt;$AQ292,"IKS",IF(R$8&lt;$AS292,IF(R$8=$AR292,"Bascule","Double run"),"ROKS"))))))</f>
        <v/>
      </c>
      <c r="S292" s="51" t="str">
        <f aca="false">IF(OR($A292="",S$8=""),"",IF($F292="Migré","ROKS",IF($F292="À décommissionner",IF(S$8&lt;$AS292,"IKS","Décom."),IF(OR($AQ292="",$AS292=""),"",IF(S$8&lt;$AQ292,"IKS",IF(S$8&lt;$AS292,IF(S$8=$AR292,"Bascule","Double run"),"ROKS"))))))</f>
        <v/>
      </c>
      <c r="T292" s="51" t="str">
        <f aca="false">IF(OR($A292="",T$8=""),"",IF($F292="Migré","ROKS",IF($F292="À décommissionner",IF(T$8&lt;$AS292,"IKS","Décom."),IF(OR($AQ292="",$AS292=""),"",IF(T$8&lt;$AQ292,"IKS",IF(T$8&lt;$AS292,IF(T$8=$AR292,"Bascule","Double run"),"ROKS"))))))</f>
        <v/>
      </c>
      <c r="U292" s="51" t="str">
        <f aca="false">IF(OR($A292="",U$8=""),"",IF($F292="Migré","ROKS",IF($F292="À décommissionner",IF(U$8&lt;$AS292,"IKS","Décom."),IF(OR($AQ292="",$AS292=""),"",IF(U$8&lt;$AQ292,"IKS",IF(U$8&lt;$AS292,IF(U$8=$AR292,"Bascule","Double run"),"ROKS"))))))</f>
        <v/>
      </c>
      <c r="V292" s="51" t="str">
        <f aca="false">IF(OR($A292="",V$8=""),"",IF($F292="Migré","ROKS",IF($F292="À décommissionner",IF(V$8&lt;$AS292,"IKS","Décom."),IF(OR($AQ292="",$AS292=""),"",IF(V$8&lt;$AQ292,"IKS",IF(V$8&lt;$AS292,IF(V$8=$AR292,"Bascule","Double run"),"ROKS"))))))</f>
        <v/>
      </c>
      <c r="W292" s="51" t="str">
        <f aca="false">IF(OR($A292="",W$8=""),"",IF($F292="Migré","ROKS",IF($F292="À décommissionner",IF(W$8&lt;$AS292,"IKS","Décom."),IF(OR($AQ292="",$AS292=""),"",IF(W$8&lt;$AQ292,"IKS",IF(W$8&lt;$AS292,IF(W$8=$AR292,"Bascule","Double run"),"ROKS"))))))</f>
        <v/>
      </c>
      <c r="X292" s="51" t="str">
        <f aca="false">IF(OR($A292="",X$8=""),"",IF($F292="Migré","ROKS",IF($F292="À décommissionner",IF(X$8&lt;$AS292,"IKS","Décom."),IF(OR($AQ292="",$AS292=""),"",IF(X$8&lt;$AQ292,"IKS",IF(X$8&lt;$AS292,IF(X$8=$AR292,"Bascule","Double run"),"ROKS"))))))</f>
        <v/>
      </c>
      <c r="Y292" s="51" t="str">
        <f aca="false">IF(OR($A292="",Y$8=""),"",IF($F292="Migré","ROKS",IF($F292="À décommissionner",IF(Y$8&lt;$AS292,"IKS","Décom."),IF(OR($AQ292="",$AS292=""),"",IF(Y$8&lt;$AQ292,"IKS",IF(Y$8&lt;$AS292,IF(Y$8=$AR292,"Bascule","Double run"),"ROKS"))))))</f>
        <v/>
      </c>
      <c r="Z292" s="51" t="str">
        <f aca="false">IF(OR($A292="",Z$8=""),"",IF($F292="Migré","ROKS",IF($F292="À décommissionner",IF(Z$8&lt;$AS292,"IKS","Décom."),IF(OR($AQ292="",$AS292=""),"",IF(Z$8&lt;$AQ292,"IKS",IF(Z$8&lt;$AS292,IF(Z$8=$AR292,"Bascule","Double run"),"ROKS"))))))</f>
        <v/>
      </c>
      <c r="AA292" s="51" t="str">
        <f aca="false">IF(OR($A292="",AA$8=""),"",IF($F292="Migré","ROKS",IF($F292="À décommissionner",IF(AA$8&lt;$AS292,"IKS","Décom."),IF(OR($AQ292="",$AS292=""),"",IF(AA$8&lt;$AQ292,"IKS",IF(AA$8&lt;$AS292,IF(AA$8=$AR292,"Bascule","Double run"),"ROKS"))))))</f>
        <v/>
      </c>
      <c r="AB292" s="51" t="str">
        <f aca="false">IF(OR($A292="",AB$8=""),"",IF($F292="Migré","ROKS",IF($F292="À décommissionner",IF(AB$8&lt;$AS292,"IKS","Décom."),IF(OR($AQ292="",$AS292=""),"",IF(AB$8&lt;$AQ292,"IKS",IF(AB$8&lt;$AS292,IF(AB$8=$AR292,"Bascule","Double run"),"ROKS"))))))</f>
        <v/>
      </c>
      <c r="AC292" s="51" t="str">
        <f aca="false">IF(OR($A292="",AC$8=""),"",IF($F292="Migré","ROKS",IF($F292="À décommissionner",IF(AC$8&lt;$AS292,"IKS","Décom."),IF(OR($AQ292="",$AS292=""),"",IF(AC$8&lt;$AQ292,"IKS",IF(AC$8&lt;$AS292,IF(AC$8=$AR292,"Bascule","Double run"),"ROKS"))))))</f>
        <v/>
      </c>
      <c r="AD292" s="51" t="str">
        <f aca="false">IF(OR($A292="",AD$8=""),"",IF($F292="Migré","ROKS",IF($F292="À décommissionner",IF(AD$8&lt;$AS292,"IKS","Décom."),IF(OR($AQ292="",$AS292=""),"",IF(AD$8&lt;$AQ292,"IKS",IF(AD$8&lt;$AS292,IF(AD$8=$AR292,"Bascule","Double run"),"ROKS"))))))</f>
        <v/>
      </c>
      <c r="AE292" s="51" t="str">
        <f aca="false">IF(OR($A292="",AE$8=""),"",IF($F292="Migré","ROKS",IF($F292="À décommissionner",IF(AE$8&lt;$AS292,"IKS","Décom."),IF(OR($AQ292="",$AS292=""),"",IF(AE$8&lt;$AQ292,"IKS",IF(AE$8&lt;$AS292,IF(AE$8=$AR292,"Bascule","Double run"),"ROKS"))))))</f>
        <v/>
      </c>
      <c r="AF292" s="51" t="str">
        <f aca="false">IF(OR($A292="",AF$8=""),"",IF($F292="Migré","ROKS",IF($F292="À décommissionner",IF(AF$8&lt;$AS292,"IKS","Décom."),IF(OR($AQ292="",$AS292=""),"",IF(AF$8&lt;$AQ292,"IKS",IF(AF$8&lt;$AS292,IF(AF$8=$AR292,"Bascule","Double run"),"ROKS"))))))</f>
        <v/>
      </c>
      <c r="AG292" s="51" t="str">
        <f aca="false">IF(OR($A292="",AG$8=""),"",IF($F292="Migré","ROKS",IF($F292="À décommissionner",IF(AG$8&lt;$AS292,"IKS","Décom."),IF(OR($AQ292="",$AS292=""),"",IF(AG$8&lt;$AQ292,"IKS",IF(AG$8&lt;$AS292,IF(AG$8=$AR292,"Bascule","Double run"),"ROKS"))))))</f>
        <v/>
      </c>
      <c r="AH292" s="51" t="str">
        <f aca="false">IF(OR($A292="",AH$8=""),"",IF($F292="Migré","ROKS",IF($F292="À décommissionner",IF(AH$8&lt;$AS292,"IKS","Décom."),IF(OR($AQ292="",$AS292=""),"",IF(AH$8&lt;$AQ292,"IKS",IF(AH$8&lt;$AS292,IF(AH$8=$AR292,"Bascule","Double run"),"ROKS"))))))</f>
        <v/>
      </c>
      <c r="AI292" s="51" t="str">
        <f aca="false">IF(OR($A292="",AI$8=""),"",IF($F292="Migré","ROKS",IF($F292="À décommissionner",IF(AI$8&lt;$AS292,"IKS","Décom."),IF(OR($AQ292="",$AS292=""),"",IF(AI$8&lt;$AQ292,"IKS",IF(AI$8&lt;$AS292,IF(AI$8=$AR292,"Bascule","Double run"),"ROKS"))))))</f>
        <v/>
      </c>
      <c r="AJ292" s="51" t="str">
        <f aca="false">IF(OR($A292="",AJ$8=""),"",IF($F292="Migré","ROKS",IF($F292="À décommissionner",IF(AJ$8&lt;$AS292,"IKS","Décom."),IF(OR($AQ292="",$AS292=""),"",IF(AJ$8&lt;$AQ292,"IKS",IF(AJ$8&lt;$AS292,IF(AJ$8=$AR292,"Bascule","Double run"),"ROKS"))))))</f>
        <v/>
      </c>
      <c r="AK292" s="51" t="str">
        <f aca="false">IF(OR($A292="",AK$8=""),"",IF($F292="Migré","ROKS",IF($F292="À décommissionner",IF(AK$8&lt;$AS292,"IKS","Décom."),IF(OR($AQ292="",$AS292=""),"",IF(AK$8&lt;$AQ292,"IKS",IF(AK$8&lt;$AS292,IF(AK$8=$AR292,"Bascule","Double run"),"ROKS"))))))</f>
        <v/>
      </c>
      <c r="AL292" s="51" t="str">
        <f aca="false">IF(OR($A292="",AL$8=""),"",IF($F292="Migré","ROKS",IF($F292="À décommissionner",IF(AL$8&lt;$AS292,"IKS","Décom."),IF(OR($AQ292="",$AS292=""),"",IF(AL$8&lt;$AQ292,"IKS",IF(AL$8&lt;$AS292,IF(AL$8=$AR292,"Bascule","Double run"),"ROKS"))))))</f>
        <v/>
      </c>
      <c r="AM292" s="51" t="str">
        <f aca="false">IF(OR($A292="",AM$8=""),"",IF($F292="Migré","ROKS",IF($F292="À décommissionner",IF(AM$8&lt;$AS292,"IKS","Décom."),IF(OR($AQ292="",$AS292=""),"",IF(AM$8&lt;$AQ292,"IKS",IF(AM$8&lt;$AS292,IF(AM$8=$AR292,"Bascule","Double run"),"ROKS"))))))</f>
        <v/>
      </c>
      <c r="AN292" s="51" t="str">
        <f aca="false">IF(OR($A292="",AN$8=""),"",IF($F292="Migré","ROKS",IF($F292="À décommissionner",IF(AN$8&lt;$AS292,"IKS","Décom."),IF(OR($AQ292="",$AS292=""),"",IF(AN$8&lt;$AQ292,"IKS",IF(AN$8&lt;$AS292,IF(AN$8=$AR292,"Bascule","Double run"),"ROKS"))))))</f>
        <v/>
      </c>
      <c r="AO292" s="51" t="str">
        <f aca="false">IF(OR($A292="",AO$8=""),"",IF($F292="Migré","ROKS",IF($F292="À décommissionner",IF(AO$8&lt;$AS292,"IKS","Décom."),IF(OR($AQ292="",$AS292=""),"",IF(AO$8&lt;$AQ292,"IKS",IF(AO$8&lt;$AS292,IF(AO$8=$AR292,"Bascule","Double run"),"ROKS"))))))</f>
        <v/>
      </c>
      <c r="AP292" s="51" t="str">
        <f aca="false">IF(OR($A292="",AP$8=""),"",IF($F292="Migré","ROKS",IF($F292="À décommissionner",IF(AP$8&lt;$AS292,"IKS","Décom."),IF(OR($AQ292="",$AS292=""),"",IF(AP$8&lt;$AQ292,"IKS",IF(AP$8&lt;$AS292,IF(AP$8=$AR292,"Bascule","Double run"),"ROKS"))))))</f>
        <v/>
      </c>
      <c r="AQ292" s="0" t="str">
        <f aca="false">IF($A292="","",INDEX(TblApplications[Mois prov (calc)],$A292))</f>
        <v/>
      </c>
      <c r="AR292" s="0" t="str">
        <f aca="false">IF($A292="","",IFERROR(DATE(YEAR(INDEX(TblApplications[Mois bascule],$A292)),MONTH(INDEX(TblApplications[Mois bascule],$A292)),1),""))</f>
        <v/>
      </c>
      <c r="AS292" s="0" t="str">
        <f aca="false">IF($A292="","",INDEX(TblApplications[Mois lib (calc)],$A292))</f>
        <v/>
      </c>
    </row>
    <row r="293" customFormat="false" ht="15" hidden="false" customHeight="false" outlineLevel="0" collapsed="false">
      <c r="A293" s="49" t="str">
        <f aca="false">IFERROR(MATCH(285,TblApplications[Rang frise],0),"")</f>
        <v/>
      </c>
      <c r="B293" s="50" t="str">
        <f aca="false">IF($A293="","",INDEX(TblApplications[ID],$A293))</f>
        <v/>
      </c>
      <c r="C293" s="50" t="str">
        <f aca="false">IF($A293="","",INDEX(TblApplications[Application],$A293))</f>
        <v/>
      </c>
      <c r="D293" s="50" t="str">
        <f aca="false">IF($A293="","",INDEX(TblApplications[Environnement],$A293))</f>
        <v/>
      </c>
      <c r="E293" s="50" t="str">
        <f aca="false">IF($A293="","",INDEX(TblApplications[Couloir],$A293))</f>
        <v/>
      </c>
      <c r="F293" s="50" t="str">
        <f aca="false">IF($A293="","",INDEX(TblApplications[Action],$A293))</f>
        <v/>
      </c>
      <c r="G293" s="51" t="str">
        <f aca="false">IF(OR($A293="",G$8=""),"",IF($F293="Migré","ROKS",IF($F293="À décommissionner",IF(G$8&lt;$AS293,"IKS","Décom."),IF(OR($AQ293="",$AS293=""),"",IF(G$8&lt;$AQ293,"IKS",IF(G$8&lt;$AS293,IF(G$8=$AR293,"Bascule","Double run"),"ROKS"))))))</f>
        <v/>
      </c>
      <c r="H293" s="51" t="str">
        <f aca="false">IF(OR($A293="",H$8=""),"",IF($F293="Migré","ROKS",IF($F293="À décommissionner",IF(H$8&lt;$AS293,"IKS","Décom."),IF(OR($AQ293="",$AS293=""),"",IF(H$8&lt;$AQ293,"IKS",IF(H$8&lt;$AS293,IF(H$8=$AR293,"Bascule","Double run"),"ROKS"))))))</f>
        <v/>
      </c>
      <c r="I293" s="51" t="str">
        <f aca="false">IF(OR($A293="",I$8=""),"",IF($F293="Migré","ROKS",IF($F293="À décommissionner",IF(I$8&lt;$AS293,"IKS","Décom."),IF(OR($AQ293="",$AS293=""),"",IF(I$8&lt;$AQ293,"IKS",IF(I$8&lt;$AS293,IF(I$8=$AR293,"Bascule","Double run"),"ROKS"))))))</f>
        <v/>
      </c>
      <c r="J293" s="51" t="str">
        <f aca="false">IF(OR($A293="",J$8=""),"",IF($F293="Migré","ROKS",IF($F293="À décommissionner",IF(J$8&lt;$AS293,"IKS","Décom."),IF(OR($AQ293="",$AS293=""),"",IF(J$8&lt;$AQ293,"IKS",IF(J$8&lt;$AS293,IF(J$8=$AR293,"Bascule","Double run"),"ROKS"))))))</f>
        <v/>
      </c>
      <c r="K293" s="51" t="str">
        <f aca="false">IF(OR($A293="",K$8=""),"",IF($F293="Migré","ROKS",IF($F293="À décommissionner",IF(K$8&lt;$AS293,"IKS","Décom."),IF(OR($AQ293="",$AS293=""),"",IF(K$8&lt;$AQ293,"IKS",IF(K$8&lt;$AS293,IF(K$8=$AR293,"Bascule","Double run"),"ROKS"))))))</f>
        <v/>
      </c>
      <c r="L293" s="51" t="str">
        <f aca="false">IF(OR($A293="",L$8=""),"",IF($F293="Migré","ROKS",IF($F293="À décommissionner",IF(L$8&lt;$AS293,"IKS","Décom."),IF(OR($AQ293="",$AS293=""),"",IF(L$8&lt;$AQ293,"IKS",IF(L$8&lt;$AS293,IF(L$8=$AR293,"Bascule","Double run"),"ROKS"))))))</f>
        <v/>
      </c>
      <c r="M293" s="51" t="str">
        <f aca="false">IF(OR($A293="",M$8=""),"",IF($F293="Migré","ROKS",IF($F293="À décommissionner",IF(M$8&lt;$AS293,"IKS","Décom."),IF(OR($AQ293="",$AS293=""),"",IF(M$8&lt;$AQ293,"IKS",IF(M$8&lt;$AS293,IF(M$8=$AR293,"Bascule","Double run"),"ROKS"))))))</f>
        <v/>
      </c>
      <c r="N293" s="51" t="str">
        <f aca="false">IF(OR($A293="",N$8=""),"",IF($F293="Migré","ROKS",IF($F293="À décommissionner",IF(N$8&lt;$AS293,"IKS","Décom."),IF(OR($AQ293="",$AS293=""),"",IF(N$8&lt;$AQ293,"IKS",IF(N$8&lt;$AS293,IF(N$8=$AR293,"Bascule","Double run"),"ROKS"))))))</f>
        <v/>
      </c>
      <c r="O293" s="51" t="str">
        <f aca="false">IF(OR($A293="",O$8=""),"",IF($F293="Migré","ROKS",IF($F293="À décommissionner",IF(O$8&lt;$AS293,"IKS","Décom."),IF(OR($AQ293="",$AS293=""),"",IF(O$8&lt;$AQ293,"IKS",IF(O$8&lt;$AS293,IF(O$8=$AR293,"Bascule","Double run"),"ROKS"))))))</f>
        <v/>
      </c>
      <c r="P293" s="51" t="str">
        <f aca="false">IF(OR($A293="",P$8=""),"",IF($F293="Migré","ROKS",IF($F293="À décommissionner",IF(P$8&lt;$AS293,"IKS","Décom."),IF(OR($AQ293="",$AS293=""),"",IF(P$8&lt;$AQ293,"IKS",IF(P$8&lt;$AS293,IF(P$8=$AR293,"Bascule","Double run"),"ROKS"))))))</f>
        <v/>
      </c>
      <c r="Q293" s="51" t="str">
        <f aca="false">IF(OR($A293="",Q$8=""),"",IF($F293="Migré","ROKS",IF($F293="À décommissionner",IF(Q$8&lt;$AS293,"IKS","Décom."),IF(OR($AQ293="",$AS293=""),"",IF(Q$8&lt;$AQ293,"IKS",IF(Q$8&lt;$AS293,IF(Q$8=$AR293,"Bascule","Double run"),"ROKS"))))))</f>
        <v/>
      </c>
      <c r="R293" s="51" t="str">
        <f aca="false">IF(OR($A293="",R$8=""),"",IF($F293="Migré","ROKS",IF($F293="À décommissionner",IF(R$8&lt;$AS293,"IKS","Décom."),IF(OR($AQ293="",$AS293=""),"",IF(R$8&lt;$AQ293,"IKS",IF(R$8&lt;$AS293,IF(R$8=$AR293,"Bascule","Double run"),"ROKS"))))))</f>
        <v/>
      </c>
      <c r="S293" s="51" t="str">
        <f aca="false">IF(OR($A293="",S$8=""),"",IF($F293="Migré","ROKS",IF($F293="À décommissionner",IF(S$8&lt;$AS293,"IKS","Décom."),IF(OR($AQ293="",$AS293=""),"",IF(S$8&lt;$AQ293,"IKS",IF(S$8&lt;$AS293,IF(S$8=$AR293,"Bascule","Double run"),"ROKS"))))))</f>
        <v/>
      </c>
      <c r="T293" s="51" t="str">
        <f aca="false">IF(OR($A293="",T$8=""),"",IF($F293="Migré","ROKS",IF($F293="À décommissionner",IF(T$8&lt;$AS293,"IKS","Décom."),IF(OR($AQ293="",$AS293=""),"",IF(T$8&lt;$AQ293,"IKS",IF(T$8&lt;$AS293,IF(T$8=$AR293,"Bascule","Double run"),"ROKS"))))))</f>
        <v/>
      </c>
      <c r="U293" s="51" t="str">
        <f aca="false">IF(OR($A293="",U$8=""),"",IF($F293="Migré","ROKS",IF($F293="À décommissionner",IF(U$8&lt;$AS293,"IKS","Décom."),IF(OR($AQ293="",$AS293=""),"",IF(U$8&lt;$AQ293,"IKS",IF(U$8&lt;$AS293,IF(U$8=$AR293,"Bascule","Double run"),"ROKS"))))))</f>
        <v/>
      </c>
      <c r="V293" s="51" t="str">
        <f aca="false">IF(OR($A293="",V$8=""),"",IF($F293="Migré","ROKS",IF($F293="À décommissionner",IF(V$8&lt;$AS293,"IKS","Décom."),IF(OR($AQ293="",$AS293=""),"",IF(V$8&lt;$AQ293,"IKS",IF(V$8&lt;$AS293,IF(V$8=$AR293,"Bascule","Double run"),"ROKS"))))))</f>
        <v/>
      </c>
      <c r="W293" s="51" t="str">
        <f aca="false">IF(OR($A293="",W$8=""),"",IF($F293="Migré","ROKS",IF($F293="À décommissionner",IF(W$8&lt;$AS293,"IKS","Décom."),IF(OR($AQ293="",$AS293=""),"",IF(W$8&lt;$AQ293,"IKS",IF(W$8&lt;$AS293,IF(W$8=$AR293,"Bascule","Double run"),"ROKS"))))))</f>
        <v/>
      </c>
      <c r="X293" s="51" t="str">
        <f aca="false">IF(OR($A293="",X$8=""),"",IF($F293="Migré","ROKS",IF($F293="À décommissionner",IF(X$8&lt;$AS293,"IKS","Décom."),IF(OR($AQ293="",$AS293=""),"",IF(X$8&lt;$AQ293,"IKS",IF(X$8&lt;$AS293,IF(X$8=$AR293,"Bascule","Double run"),"ROKS"))))))</f>
        <v/>
      </c>
      <c r="Y293" s="51" t="str">
        <f aca="false">IF(OR($A293="",Y$8=""),"",IF($F293="Migré","ROKS",IF($F293="À décommissionner",IF(Y$8&lt;$AS293,"IKS","Décom."),IF(OR($AQ293="",$AS293=""),"",IF(Y$8&lt;$AQ293,"IKS",IF(Y$8&lt;$AS293,IF(Y$8=$AR293,"Bascule","Double run"),"ROKS"))))))</f>
        <v/>
      </c>
      <c r="Z293" s="51" t="str">
        <f aca="false">IF(OR($A293="",Z$8=""),"",IF($F293="Migré","ROKS",IF($F293="À décommissionner",IF(Z$8&lt;$AS293,"IKS","Décom."),IF(OR($AQ293="",$AS293=""),"",IF(Z$8&lt;$AQ293,"IKS",IF(Z$8&lt;$AS293,IF(Z$8=$AR293,"Bascule","Double run"),"ROKS"))))))</f>
        <v/>
      </c>
      <c r="AA293" s="51" t="str">
        <f aca="false">IF(OR($A293="",AA$8=""),"",IF($F293="Migré","ROKS",IF($F293="À décommissionner",IF(AA$8&lt;$AS293,"IKS","Décom."),IF(OR($AQ293="",$AS293=""),"",IF(AA$8&lt;$AQ293,"IKS",IF(AA$8&lt;$AS293,IF(AA$8=$AR293,"Bascule","Double run"),"ROKS"))))))</f>
        <v/>
      </c>
      <c r="AB293" s="51" t="str">
        <f aca="false">IF(OR($A293="",AB$8=""),"",IF($F293="Migré","ROKS",IF($F293="À décommissionner",IF(AB$8&lt;$AS293,"IKS","Décom."),IF(OR($AQ293="",$AS293=""),"",IF(AB$8&lt;$AQ293,"IKS",IF(AB$8&lt;$AS293,IF(AB$8=$AR293,"Bascule","Double run"),"ROKS"))))))</f>
        <v/>
      </c>
      <c r="AC293" s="51" t="str">
        <f aca="false">IF(OR($A293="",AC$8=""),"",IF($F293="Migré","ROKS",IF($F293="À décommissionner",IF(AC$8&lt;$AS293,"IKS","Décom."),IF(OR($AQ293="",$AS293=""),"",IF(AC$8&lt;$AQ293,"IKS",IF(AC$8&lt;$AS293,IF(AC$8=$AR293,"Bascule","Double run"),"ROKS"))))))</f>
        <v/>
      </c>
      <c r="AD293" s="51" t="str">
        <f aca="false">IF(OR($A293="",AD$8=""),"",IF($F293="Migré","ROKS",IF($F293="À décommissionner",IF(AD$8&lt;$AS293,"IKS","Décom."),IF(OR($AQ293="",$AS293=""),"",IF(AD$8&lt;$AQ293,"IKS",IF(AD$8&lt;$AS293,IF(AD$8=$AR293,"Bascule","Double run"),"ROKS"))))))</f>
        <v/>
      </c>
      <c r="AE293" s="51" t="str">
        <f aca="false">IF(OR($A293="",AE$8=""),"",IF($F293="Migré","ROKS",IF($F293="À décommissionner",IF(AE$8&lt;$AS293,"IKS","Décom."),IF(OR($AQ293="",$AS293=""),"",IF(AE$8&lt;$AQ293,"IKS",IF(AE$8&lt;$AS293,IF(AE$8=$AR293,"Bascule","Double run"),"ROKS"))))))</f>
        <v/>
      </c>
      <c r="AF293" s="51" t="str">
        <f aca="false">IF(OR($A293="",AF$8=""),"",IF($F293="Migré","ROKS",IF($F293="À décommissionner",IF(AF$8&lt;$AS293,"IKS","Décom."),IF(OR($AQ293="",$AS293=""),"",IF(AF$8&lt;$AQ293,"IKS",IF(AF$8&lt;$AS293,IF(AF$8=$AR293,"Bascule","Double run"),"ROKS"))))))</f>
        <v/>
      </c>
      <c r="AG293" s="51" t="str">
        <f aca="false">IF(OR($A293="",AG$8=""),"",IF($F293="Migré","ROKS",IF($F293="À décommissionner",IF(AG$8&lt;$AS293,"IKS","Décom."),IF(OR($AQ293="",$AS293=""),"",IF(AG$8&lt;$AQ293,"IKS",IF(AG$8&lt;$AS293,IF(AG$8=$AR293,"Bascule","Double run"),"ROKS"))))))</f>
        <v/>
      </c>
      <c r="AH293" s="51" t="str">
        <f aca="false">IF(OR($A293="",AH$8=""),"",IF($F293="Migré","ROKS",IF($F293="À décommissionner",IF(AH$8&lt;$AS293,"IKS","Décom."),IF(OR($AQ293="",$AS293=""),"",IF(AH$8&lt;$AQ293,"IKS",IF(AH$8&lt;$AS293,IF(AH$8=$AR293,"Bascule","Double run"),"ROKS"))))))</f>
        <v/>
      </c>
      <c r="AI293" s="51" t="str">
        <f aca="false">IF(OR($A293="",AI$8=""),"",IF($F293="Migré","ROKS",IF($F293="À décommissionner",IF(AI$8&lt;$AS293,"IKS","Décom."),IF(OR($AQ293="",$AS293=""),"",IF(AI$8&lt;$AQ293,"IKS",IF(AI$8&lt;$AS293,IF(AI$8=$AR293,"Bascule","Double run"),"ROKS"))))))</f>
        <v/>
      </c>
      <c r="AJ293" s="51" t="str">
        <f aca="false">IF(OR($A293="",AJ$8=""),"",IF($F293="Migré","ROKS",IF($F293="À décommissionner",IF(AJ$8&lt;$AS293,"IKS","Décom."),IF(OR($AQ293="",$AS293=""),"",IF(AJ$8&lt;$AQ293,"IKS",IF(AJ$8&lt;$AS293,IF(AJ$8=$AR293,"Bascule","Double run"),"ROKS"))))))</f>
        <v/>
      </c>
      <c r="AK293" s="51" t="str">
        <f aca="false">IF(OR($A293="",AK$8=""),"",IF($F293="Migré","ROKS",IF($F293="À décommissionner",IF(AK$8&lt;$AS293,"IKS","Décom."),IF(OR($AQ293="",$AS293=""),"",IF(AK$8&lt;$AQ293,"IKS",IF(AK$8&lt;$AS293,IF(AK$8=$AR293,"Bascule","Double run"),"ROKS"))))))</f>
        <v/>
      </c>
      <c r="AL293" s="51" t="str">
        <f aca="false">IF(OR($A293="",AL$8=""),"",IF($F293="Migré","ROKS",IF($F293="À décommissionner",IF(AL$8&lt;$AS293,"IKS","Décom."),IF(OR($AQ293="",$AS293=""),"",IF(AL$8&lt;$AQ293,"IKS",IF(AL$8&lt;$AS293,IF(AL$8=$AR293,"Bascule","Double run"),"ROKS"))))))</f>
        <v/>
      </c>
      <c r="AM293" s="51" t="str">
        <f aca="false">IF(OR($A293="",AM$8=""),"",IF($F293="Migré","ROKS",IF($F293="À décommissionner",IF(AM$8&lt;$AS293,"IKS","Décom."),IF(OR($AQ293="",$AS293=""),"",IF(AM$8&lt;$AQ293,"IKS",IF(AM$8&lt;$AS293,IF(AM$8=$AR293,"Bascule","Double run"),"ROKS"))))))</f>
        <v/>
      </c>
      <c r="AN293" s="51" t="str">
        <f aca="false">IF(OR($A293="",AN$8=""),"",IF($F293="Migré","ROKS",IF($F293="À décommissionner",IF(AN$8&lt;$AS293,"IKS","Décom."),IF(OR($AQ293="",$AS293=""),"",IF(AN$8&lt;$AQ293,"IKS",IF(AN$8&lt;$AS293,IF(AN$8=$AR293,"Bascule","Double run"),"ROKS"))))))</f>
        <v/>
      </c>
      <c r="AO293" s="51" t="str">
        <f aca="false">IF(OR($A293="",AO$8=""),"",IF($F293="Migré","ROKS",IF($F293="À décommissionner",IF(AO$8&lt;$AS293,"IKS","Décom."),IF(OR($AQ293="",$AS293=""),"",IF(AO$8&lt;$AQ293,"IKS",IF(AO$8&lt;$AS293,IF(AO$8=$AR293,"Bascule","Double run"),"ROKS"))))))</f>
        <v/>
      </c>
      <c r="AP293" s="51" t="str">
        <f aca="false">IF(OR($A293="",AP$8=""),"",IF($F293="Migré","ROKS",IF($F293="À décommissionner",IF(AP$8&lt;$AS293,"IKS","Décom."),IF(OR($AQ293="",$AS293=""),"",IF(AP$8&lt;$AQ293,"IKS",IF(AP$8&lt;$AS293,IF(AP$8=$AR293,"Bascule","Double run"),"ROKS"))))))</f>
        <v/>
      </c>
      <c r="AQ293" s="0" t="str">
        <f aca="false">IF($A293="","",INDEX(TblApplications[Mois prov (calc)],$A293))</f>
        <v/>
      </c>
      <c r="AR293" s="0" t="str">
        <f aca="false">IF($A293="","",IFERROR(DATE(YEAR(INDEX(TblApplications[Mois bascule],$A293)),MONTH(INDEX(TblApplications[Mois bascule],$A293)),1),""))</f>
        <v/>
      </c>
      <c r="AS293" s="0" t="str">
        <f aca="false">IF($A293="","",INDEX(TblApplications[Mois lib (calc)],$A293))</f>
        <v/>
      </c>
    </row>
    <row r="294" customFormat="false" ht="15" hidden="false" customHeight="false" outlineLevel="0" collapsed="false">
      <c r="A294" s="49" t="str">
        <f aca="false">IFERROR(MATCH(286,TblApplications[Rang frise],0),"")</f>
        <v/>
      </c>
      <c r="B294" s="50" t="str">
        <f aca="false">IF($A294="","",INDEX(TblApplications[ID],$A294))</f>
        <v/>
      </c>
      <c r="C294" s="50" t="str">
        <f aca="false">IF($A294="","",INDEX(TblApplications[Application],$A294))</f>
        <v/>
      </c>
      <c r="D294" s="50" t="str">
        <f aca="false">IF($A294="","",INDEX(TblApplications[Environnement],$A294))</f>
        <v/>
      </c>
      <c r="E294" s="50" t="str">
        <f aca="false">IF($A294="","",INDEX(TblApplications[Couloir],$A294))</f>
        <v/>
      </c>
      <c r="F294" s="50" t="str">
        <f aca="false">IF($A294="","",INDEX(TblApplications[Action],$A294))</f>
        <v/>
      </c>
      <c r="G294" s="51" t="str">
        <f aca="false">IF(OR($A294="",G$8=""),"",IF($F294="Migré","ROKS",IF($F294="À décommissionner",IF(G$8&lt;$AS294,"IKS","Décom."),IF(OR($AQ294="",$AS294=""),"",IF(G$8&lt;$AQ294,"IKS",IF(G$8&lt;$AS294,IF(G$8=$AR294,"Bascule","Double run"),"ROKS"))))))</f>
        <v/>
      </c>
      <c r="H294" s="51" t="str">
        <f aca="false">IF(OR($A294="",H$8=""),"",IF($F294="Migré","ROKS",IF($F294="À décommissionner",IF(H$8&lt;$AS294,"IKS","Décom."),IF(OR($AQ294="",$AS294=""),"",IF(H$8&lt;$AQ294,"IKS",IF(H$8&lt;$AS294,IF(H$8=$AR294,"Bascule","Double run"),"ROKS"))))))</f>
        <v/>
      </c>
      <c r="I294" s="51" t="str">
        <f aca="false">IF(OR($A294="",I$8=""),"",IF($F294="Migré","ROKS",IF($F294="À décommissionner",IF(I$8&lt;$AS294,"IKS","Décom."),IF(OR($AQ294="",$AS294=""),"",IF(I$8&lt;$AQ294,"IKS",IF(I$8&lt;$AS294,IF(I$8=$AR294,"Bascule","Double run"),"ROKS"))))))</f>
        <v/>
      </c>
      <c r="J294" s="51" t="str">
        <f aca="false">IF(OR($A294="",J$8=""),"",IF($F294="Migré","ROKS",IF($F294="À décommissionner",IF(J$8&lt;$AS294,"IKS","Décom."),IF(OR($AQ294="",$AS294=""),"",IF(J$8&lt;$AQ294,"IKS",IF(J$8&lt;$AS294,IF(J$8=$AR294,"Bascule","Double run"),"ROKS"))))))</f>
        <v/>
      </c>
      <c r="K294" s="51" t="str">
        <f aca="false">IF(OR($A294="",K$8=""),"",IF($F294="Migré","ROKS",IF($F294="À décommissionner",IF(K$8&lt;$AS294,"IKS","Décom."),IF(OR($AQ294="",$AS294=""),"",IF(K$8&lt;$AQ294,"IKS",IF(K$8&lt;$AS294,IF(K$8=$AR294,"Bascule","Double run"),"ROKS"))))))</f>
        <v/>
      </c>
      <c r="L294" s="51" t="str">
        <f aca="false">IF(OR($A294="",L$8=""),"",IF($F294="Migré","ROKS",IF($F294="À décommissionner",IF(L$8&lt;$AS294,"IKS","Décom."),IF(OR($AQ294="",$AS294=""),"",IF(L$8&lt;$AQ294,"IKS",IF(L$8&lt;$AS294,IF(L$8=$AR294,"Bascule","Double run"),"ROKS"))))))</f>
        <v/>
      </c>
      <c r="M294" s="51" t="str">
        <f aca="false">IF(OR($A294="",M$8=""),"",IF($F294="Migré","ROKS",IF($F294="À décommissionner",IF(M$8&lt;$AS294,"IKS","Décom."),IF(OR($AQ294="",$AS294=""),"",IF(M$8&lt;$AQ294,"IKS",IF(M$8&lt;$AS294,IF(M$8=$AR294,"Bascule","Double run"),"ROKS"))))))</f>
        <v/>
      </c>
      <c r="N294" s="51" t="str">
        <f aca="false">IF(OR($A294="",N$8=""),"",IF($F294="Migré","ROKS",IF($F294="À décommissionner",IF(N$8&lt;$AS294,"IKS","Décom."),IF(OR($AQ294="",$AS294=""),"",IF(N$8&lt;$AQ294,"IKS",IF(N$8&lt;$AS294,IF(N$8=$AR294,"Bascule","Double run"),"ROKS"))))))</f>
        <v/>
      </c>
      <c r="O294" s="51" t="str">
        <f aca="false">IF(OR($A294="",O$8=""),"",IF($F294="Migré","ROKS",IF($F294="À décommissionner",IF(O$8&lt;$AS294,"IKS","Décom."),IF(OR($AQ294="",$AS294=""),"",IF(O$8&lt;$AQ294,"IKS",IF(O$8&lt;$AS294,IF(O$8=$AR294,"Bascule","Double run"),"ROKS"))))))</f>
        <v/>
      </c>
      <c r="P294" s="51" t="str">
        <f aca="false">IF(OR($A294="",P$8=""),"",IF($F294="Migré","ROKS",IF($F294="À décommissionner",IF(P$8&lt;$AS294,"IKS","Décom."),IF(OR($AQ294="",$AS294=""),"",IF(P$8&lt;$AQ294,"IKS",IF(P$8&lt;$AS294,IF(P$8=$AR294,"Bascule","Double run"),"ROKS"))))))</f>
        <v/>
      </c>
      <c r="Q294" s="51" t="str">
        <f aca="false">IF(OR($A294="",Q$8=""),"",IF($F294="Migré","ROKS",IF($F294="À décommissionner",IF(Q$8&lt;$AS294,"IKS","Décom."),IF(OR($AQ294="",$AS294=""),"",IF(Q$8&lt;$AQ294,"IKS",IF(Q$8&lt;$AS294,IF(Q$8=$AR294,"Bascule","Double run"),"ROKS"))))))</f>
        <v/>
      </c>
      <c r="R294" s="51" t="str">
        <f aca="false">IF(OR($A294="",R$8=""),"",IF($F294="Migré","ROKS",IF($F294="À décommissionner",IF(R$8&lt;$AS294,"IKS","Décom."),IF(OR($AQ294="",$AS294=""),"",IF(R$8&lt;$AQ294,"IKS",IF(R$8&lt;$AS294,IF(R$8=$AR294,"Bascule","Double run"),"ROKS"))))))</f>
        <v/>
      </c>
      <c r="S294" s="51" t="str">
        <f aca="false">IF(OR($A294="",S$8=""),"",IF($F294="Migré","ROKS",IF($F294="À décommissionner",IF(S$8&lt;$AS294,"IKS","Décom."),IF(OR($AQ294="",$AS294=""),"",IF(S$8&lt;$AQ294,"IKS",IF(S$8&lt;$AS294,IF(S$8=$AR294,"Bascule","Double run"),"ROKS"))))))</f>
        <v/>
      </c>
      <c r="T294" s="51" t="str">
        <f aca="false">IF(OR($A294="",T$8=""),"",IF($F294="Migré","ROKS",IF($F294="À décommissionner",IF(T$8&lt;$AS294,"IKS","Décom."),IF(OR($AQ294="",$AS294=""),"",IF(T$8&lt;$AQ294,"IKS",IF(T$8&lt;$AS294,IF(T$8=$AR294,"Bascule","Double run"),"ROKS"))))))</f>
        <v/>
      </c>
      <c r="U294" s="51" t="str">
        <f aca="false">IF(OR($A294="",U$8=""),"",IF($F294="Migré","ROKS",IF($F294="À décommissionner",IF(U$8&lt;$AS294,"IKS","Décom."),IF(OR($AQ294="",$AS294=""),"",IF(U$8&lt;$AQ294,"IKS",IF(U$8&lt;$AS294,IF(U$8=$AR294,"Bascule","Double run"),"ROKS"))))))</f>
        <v/>
      </c>
      <c r="V294" s="51" t="str">
        <f aca="false">IF(OR($A294="",V$8=""),"",IF($F294="Migré","ROKS",IF($F294="À décommissionner",IF(V$8&lt;$AS294,"IKS","Décom."),IF(OR($AQ294="",$AS294=""),"",IF(V$8&lt;$AQ294,"IKS",IF(V$8&lt;$AS294,IF(V$8=$AR294,"Bascule","Double run"),"ROKS"))))))</f>
        <v/>
      </c>
      <c r="W294" s="51" t="str">
        <f aca="false">IF(OR($A294="",W$8=""),"",IF($F294="Migré","ROKS",IF($F294="À décommissionner",IF(W$8&lt;$AS294,"IKS","Décom."),IF(OR($AQ294="",$AS294=""),"",IF(W$8&lt;$AQ294,"IKS",IF(W$8&lt;$AS294,IF(W$8=$AR294,"Bascule","Double run"),"ROKS"))))))</f>
        <v/>
      </c>
      <c r="X294" s="51" t="str">
        <f aca="false">IF(OR($A294="",X$8=""),"",IF($F294="Migré","ROKS",IF($F294="À décommissionner",IF(X$8&lt;$AS294,"IKS","Décom."),IF(OR($AQ294="",$AS294=""),"",IF(X$8&lt;$AQ294,"IKS",IF(X$8&lt;$AS294,IF(X$8=$AR294,"Bascule","Double run"),"ROKS"))))))</f>
        <v/>
      </c>
      <c r="Y294" s="51" t="str">
        <f aca="false">IF(OR($A294="",Y$8=""),"",IF($F294="Migré","ROKS",IF($F294="À décommissionner",IF(Y$8&lt;$AS294,"IKS","Décom."),IF(OR($AQ294="",$AS294=""),"",IF(Y$8&lt;$AQ294,"IKS",IF(Y$8&lt;$AS294,IF(Y$8=$AR294,"Bascule","Double run"),"ROKS"))))))</f>
        <v/>
      </c>
      <c r="Z294" s="51" t="str">
        <f aca="false">IF(OR($A294="",Z$8=""),"",IF($F294="Migré","ROKS",IF($F294="À décommissionner",IF(Z$8&lt;$AS294,"IKS","Décom."),IF(OR($AQ294="",$AS294=""),"",IF(Z$8&lt;$AQ294,"IKS",IF(Z$8&lt;$AS294,IF(Z$8=$AR294,"Bascule","Double run"),"ROKS"))))))</f>
        <v/>
      </c>
      <c r="AA294" s="51" t="str">
        <f aca="false">IF(OR($A294="",AA$8=""),"",IF($F294="Migré","ROKS",IF($F294="À décommissionner",IF(AA$8&lt;$AS294,"IKS","Décom."),IF(OR($AQ294="",$AS294=""),"",IF(AA$8&lt;$AQ294,"IKS",IF(AA$8&lt;$AS294,IF(AA$8=$AR294,"Bascule","Double run"),"ROKS"))))))</f>
        <v/>
      </c>
      <c r="AB294" s="51" t="str">
        <f aca="false">IF(OR($A294="",AB$8=""),"",IF($F294="Migré","ROKS",IF($F294="À décommissionner",IF(AB$8&lt;$AS294,"IKS","Décom."),IF(OR($AQ294="",$AS294=""),"",IF(AB$8&lt;$AQ294,"IKS",IF(AB$8&lt;$AS294,IF(AB$8=$AR294,"Bascule","Double run"),"ROKS"))))))</f>
        <v/>
      </c>
      <c r="AC294" s="51" t="str">
        <f aca="false">IF(OR($A294="",AC$8=""),"",IF($F294="Migré","ROKS",IF($F294="À décommissionner",IF(AC$8&lt;$AS294,"IKS","Décom."),IF(OR($AQ294="",$AS294=""),"",IF(AC$8&lt;$AQ294,"IKS",IF(AC$8&lt;$AS294,IF(AC$8=$AR294,"Bascule","Double run"),"ROKS"))))))</f>
        <v/>
      </c>
      <c r="AD294" s="51" t="str">
        <f aca="false">IF(OR($A294="",AD$8=""),"",IF($F294="Migré","ROKS",IF($F294="À décommissionner",IF(AD$8&lt;$AS294,"IKS","Décom."),IF(OR($AQ294="",$AS294=""),"",IF(AD$8&lt;$AQ294,"IKS",IF(AD$8&lt;$AS294,IF(AD$8=$AR294,"Bascule","Double run"),"ROKS"))))))</f>
        <v/>
      </c>
      <c r="AE294" s="51" t="str">
        <f aca="false">IF(OR($A294="",AE$8=""),"",IF($F294="Migré","ROKS",IF($F294="À décommissionner",IF(AE$8&lt;$AS294,"IKS","Décom."),IF(OR($AQ294="",$AS294=""),"",IF(AE$8&lt;$AQ294,"IKS",IF(AE$8&lt;$AS294,IF(AE$8=$AR294,"Bascule","Double run"),"ROKS"))))))</f>
        <v/>
      </c>
      <c r="AF294" s="51" t="str">
        <f aca="false">IF(OR($A294="",AF$8=""),"",IF($F294="Migré","ROKS",IF($F294="À décommissionner",IF(AF$8&lt;$AS294,"IKS","Décom."),IF(OR($AQ294="",$AS294=""),"",IF(AF$8&lt;$AQ294,"IKS",IF(AF$8&lt;$AS294,IF(AF$8=$AR294,"Bascule","Double run"),"ROKS"))))))</f>
        <v/>
      </c>
      <c r="AG294" s="51" t="str">
        <f aca="false">IF(OR($A294="",AG$8=""),"",IF($F294="Migré","ROKS",IF($F294="À décommissionner",IF(AG$8&lt;$AS294,"IKS","Décom."),IF(OR($AQ294="",$AS294=""),"",IF(AG$8&lt;$AQ294,"IKS",IF(AG$8&lt;$AS294,IF(AG$8=$AR294,"Bascule","Double run"),"ROKS"))))))</f>
        <v/>
      </c>
      <c r="AH294" s="51" t="str">
        <f aca="false">IF(OR($A294="",AH$8=""),"",IF($F294="Migré","ROKS",IF($F294="À décommissionner",IF(AH$8&lt;$AS294,"IKS","Décom."),IF(OR($AQ294="",$AS294=""),"",IF(AH$8&lt;$AQ294,"IKS",IF(AH$8&lt;$AS294,IF(AH$8=$AR294,"Bascule","Double run"),"ROKS"))))))</f>
        <v/>
      </c>
      <c r="AI294" s="51" t="str">
        <f aca="false">IF(OR($A294="",AI$8=""),"",IF($F294="Migré","ROKS",IF($F294="À décommissionner",IF(AI$8&lt;$AS294,"IKS","Décom."),IF(OR($AQ294="",$AS294=""),"",IF(AI$8&lt;$AQ294,"IKS",IF(AI$8&lt;$AS294,IF(AI$8=$AR294,"Bascule","Double run"),"ROKS"))))))</f>
        <v/>
      </c>
      <c r="AJ294" s="51" t="str">
        <f aca="false">IF(OR($A294="",AJ$8=""),"",IF($F294="Migré","ROKS",IF($F294="À décommissionner",IF(AJ$8&lt;$AS294,"IKS","Décom."),IF(OR($AQ294="",$AS294=""),"",IF(AJ$8&lt;$AQ294,"IKS",IF(AJ$8&lt;$AS294,IF(AJ$8=$AR294,"Bascule","Double run"),"ROKS"))))))</f>
        <v/>
      </c>
      <c r="AK294" s="51" t="str">
        <f aca="false">IF(OR($A294="",AK$8=""),"",IF($F294="Migré","ROKS",IF($F294="À décommissionner",IF(AK$8&lt;$AS294,"IKS","Décom."),IF(OR($AQ294="",$AS294=""),"",IF(AK$8&lt;$AQ294,"IKS",IF(AK$8&lt;$AS294,IF(AK$8=$AR294,"Bascule","Double run"),"ROKS"))))))</f>
        <v/>
      </c>
      <c r="AL294" s="51" t="str">
        <f aca="false">IF(OR($A294="",AL$8=""),"",IF($F294="Migré","ROKS",IF($F294="À décommissionner",IF(AL$8&lt;$AS294,"IKS","Décom."),IF(OR($AQ294="",$AS294=""),"",IF(AL$8&lt;$AQ294,"IKS",IF(AL$8&lt;$AS294,IF(AL$8=$AR294,"Bascule","Double run"),"ROKS"))))))</f>
        <v/>
      </c>
      <c r="AM294" s="51" t="str">
        <f aca="false">IF(OR($A294="",AM$8=""),"",IF($F294="Migré","ROKS",IF($F294="À décommissionner",IF(AM$8&lt;$AS294,"IKS","Décom."),IF(OR($AQ294="",$AS294=""),"",IF(AM$8&lt;$AQ294,"IKS",IF(AM$8&lt;$AS294,IF(AM$8=$AR294,"Bascule","Double run"),"ROKS"))))))</f>
        <v/>
      </c>
      <c r="AN294" s="51" t="str">
        <f aca="false">IF(OR($A294="",AN$8=""),"",IF($F294="Migré","ROKS",IF($F294="À décommissionner",IF(AN$8&lt;$AS294,"IKS","Décom."),IF(OR($AQ294="",$AS294=""),"",IF(AN$8&lt;$AQ294,"IKS",IF(AN$8&lt;$AS294,IF(AN$8=$AR294,"Bascule","Double run"),"ROKS"))))))</f>
        <v/>
      </c>
      <c r="AO294" s="51" t="str">
        <f aca="false">IF(OR($A294="",AO$8=""),"",IF($F294="Migré","ROKS",IF($F294="À décommissionner",IF(AO$8&lt;$AS294,"IKS","Décom."),IF(OR($AQ294="",$AS294=""),"",IF(AO$8&lt;$AQ294,"IKS",IF(AO$8&lt;$AS294,IF(AO$8=$AR294,"Bascule","Double run"),"ROKS"))))))</f>
        <v/>
      </c>
      <c r="AP294" s="51" t="str">
        <f aca="false">IF(OR($A294="",AP$8=""),"",IF($F294="Migré","ROKS",IF($F294="À décommissionner",IF(AP$8&lt;$AS294,"IKS","Décom."),IF(OR($AQ294="",$AS294=""),"",IF(AP$8&lt;$AQ294,"IKS",IF(AP$8&lt;$AS294,IF(AP$8=$AR294,"Bascule","Double run"),"ROKS"))))))</f>
        <v/>
      </c>
      <c r="AQ294" s="0" t="str">
        <f aca="false">IF($A294="","",INDEX(TblApplications[Mois prov (calc)],$A294))</f>
        <v/>
      </c>
      <c r="AR294" s="0" t="str">
        <f aca="false">IF($A294="","",IFERROR(DATE(YEAR(INDEX(TblApplications[Mois bascule],$A294)),MONTH(INDEX(TblApplications[Mois bascule],$A294)),1),""))</f>
        <v/>
      </c>
      <c r="AS294" s="0" t="str">
        <f aca="false">IF($A294="","",INDEX(TblApplications[Mois lib (calc)],$A294))</f>
        <v/>
      </c>
    </row>
    <row r="295" customFormat="false" ht="15" hidden="false" customHeight="false" outlineLevel="0" collapsed="false">
      <c r="A295" s="49" t="str">
        <f aca="false">IFERROR(MATCH(287,TblApplications[Rang frise],0),"")</f>
        <v/>
      </c>
      <c r="B295" s="50" t="str">
        <f aca="false">IF($A295="","",INDEX(TblApplications[ID],$A295))</f>
        <v/>
      </c>
      <c r="C295" s="50" t="str">
        <f aca="false">IF($A295="","",INDEX(TblApplications[Application],$A295))</f>
        <v/>
      </c>
      <c r="D295" s="50" t="str">
        <f aca="false">IF($A295="","",INDEX(TblApplications[Environnement],$A295))</f>
        <v/>
      </c>
      <c r="E295" s="50" t="str">
        <f aca="false">IF($A295="","",INDEX(TblApplications[Couloir],$A295))</f>
        <v/>
      </c>
      <c r="F295" s="50" t="str">
        <f aca="false">IF($A295="","",INDEX(TblApplications[Action],$A295))</f>
        <v/>
      </c>
      <c r="G295" s="51" t="str">
        <f aca="false">IF(OR($A295="",G$8=""),"",IF($F295="Migré","ROKS",IF($F295="À décommissionner",IF(G$8&lt;$AS295,"IKS","Décom."),IF(OR($AQ295="",$AS295=""),"",IF(G$8&lt;$AQ295,"IKS",IF(G$8&lt;$AS295,IF(G$8=$AR295,"Bascule","Double run"),"ROKS"))))))</f>
        <v/>
      </c>
      <c r="H295" s="51" t="str">
        <f aca="false">IF(OR($A295="",H$8=""),"",IF($F295="Migré","ROKS",IF($F295="À décommissionner",IF(H$8&lt;$AS295,"IKS","Décom."),IF(OR($AQ295="",$AS295=""),"",IF(H$8&lt;$AQ295,"IKS",IF(H$8&lt;$AS295,IF(H$8=$AR295,"Bascule","Double run"),"ROKS"))))))</f>
        <v/>
      </c>
      <c r="I295" s="51" t="str">
        <f aca="false">IF(OR($A295="",I$8=""),"",IF($F295="Migré","ROKS",IF($F295="À décommissionner",IF(I$8&lt;$AS295,"IKS","Décom."),IF(OR($AQ295="",$AS295=""),"",IF(I$8&lt;$AQ295,"IKS",IF(I$8&lt;$AS295,IF(I$8=$AR295,"Bascule","Double run"),"ROKS"))))))</f>
        <v/>
      </c>
      <c r="J295" s="51" t="str">
        <f aca="false">IF(OR($A295="",J$8=""),"",IF($F295="Migré","ROKS",IF($F295="À décommissionner",IF(J$8&lt;$AS295,"IKS","Décom."),IF(OR($AQ295="",$AS295=""),"",IF(J$8&lt;$AQ295,"IKS",IF(J$8&lt;$AS295,IF(J$8=$AR295,"Bascule","Double run"),"ROKS"))))))</f>
        <v/>
      </c>
      <c r="K295" s="51" t="str">
        <f aca="false">IF(OR($A295="",K$8=""),"",IF($F295="Migré","ROKS",IF($F295="À décommissionner",IF(K$8&lt;$AS295,"IKS","Décom."),IF(OR($AQ295="",$AS295=""),"",IF(K$8&lt;$AQ295,"IKS",IF(K$8&lt;$AS295,IF(K$8=$AR295,"Bascule","Double run"),"ROKS"))))))</f>
        <v/>
      </c>
      <c r="L295" s="51" t="str">
        <f aca="false">IF(OR($A295="",L$8=""),"",IF($F295="Migré","ROKS",IF($F295="À décommissionner",IF(L$8&lt;$AS295,"IKS","Décom."),IF(OR($AQ295="",$AS295=""),"",IF(L$8&lt;$AQ295,"IKS",IF(L$8&lt;$AS295,IF(L$8=$AR295,"Bascule","Double run"),"ROKS"))))))</f>
        <v/>
      </c>
      <c r="M295" s="51" t="str">
        <f aca="false">IF(OR($A295="",M$8=""),"",IF($F295="Migré","ROKS",IF($F295="À décommissionner",IF(M$8&lt;$AS295,"IKS","Décom."),IF(OR($AQ295="",$AS295=""),"",IF(M$8&lt;$AQ295,"IKS",IF(M$8&lt;$AS295,IF(M$8=$AR295,"Bascule","Double run"),"ROKS"))))))</f>
        <v/>
      </c>
      <c r="N295" s="51" t="str">
        <f aca="false">IF(OR($A295="",N$8=""),"",IF($F295="Migré","ROKS",IF($F295="À décommissionner",IF(N$8&lt;$AS295,"IKS","Décom."),IF(OR($AQ295="",$AS295=""),"",IF(N$8&lt;$AQ295,"IKS",IF(N$8&lt;$AS295,IF(N$8=$AR295,"Bascule","Double run"),"ROKS"))))))</f>
        <v/>
      </c>
      <c r="O295" s="51" t="str">
        <f aca="false">IF(OR($A295="",O$8=""),"",IF($F295="Migré","ROKS",IF($F295="À décommissionner",IF(O$8&lt;$AS295,"IKS","Décom."),IF(OR($AQ295="",$AS295=""),"",IF(O$8&lt;$AQ295,"IKS",IF(O$8&lt;$AS295,IF(O$8=$AR295,"Bascule","Double run"),"ROKS"))))))</f>
        <v/>
      </c>
      <c r="P295" s="51" t="str">
        <f aca="false">IF(OR($A295="",P$8=""),"",IF($F295="Migré","ROKS",IF($F295="À décommissionner",IF(P$8&lt;$AS295,"IKS","Décom."),IF(OR($AQ295="",$AS295=""),"",IF(P$8&lt;$AQ295,"IKS",IF(P$8&lt;$AS295,IF(P$8=$AR295,"Bascule","Double run"),"ROKS"))))))</f>
        <v/>
      </c>
      <c r="Q295" s="51" t="str">
        <f aca="false">IF(OR($A295="",Q$8=""),"",IF($F295="Migré","ROKS",IF($F295="À décommissionner",IF(Q$8&lt;$AS295,"IKS","Décom."),IF(OR($AQ295="",$AS295=""),"",IF(Q$8&lt;$AQ295,"IKS",IF(Q$8&lt;$AS295,IF(Q$8=$AR295,"Bascule","Double run"),"ROKS"))))))</f>
        <v/>
      </c>
      <c r="R295" s="51" t="str">
        <f aca="false">IF(OR($A295="",R$8=""),"",IF($F295="Migré","ROKS",IF($F295="À décommissionner",IF(R$8&lt;$AS295,"IKS","Décom."),IF(OR($AQ295="",$AS295=""),"",IF(R$8&lt;$AQ295,"IKS",IF(R$8&lt;$AS295,IF(R$8=$AR295,"Bascule","Double run"),"ROKS"))))))</f>
        <v/>
      </c>
      <c r="S295" s="51" t="str">
        <f aca="false">IF(OR($A295="",S$8=""),"",IF($F295="Migré","ROKS",IF($F295="À décommissionner",IF(S$8&lt;$AS295,"IKS","Décom."),IF(OR($AQ295="",$AS295=""),"",IF(S$8&lt;$AQ295,"IKS",IF(S$8&lt;$AS295,IF(S$8=$AR295,"Bascule","Double run"),"ROKS"))))))</f>
        <v/>
      </c>
      <c r="T295" s="51" t="str">
        <f aca="false">IF(OR($A295="",T$8=""),"",IF($F295="Migré","ROKS",IF($F295="À décommissionner",IF(T$8&lt;$AS295,"IKS","Décom."),IF(OR($AQ295="",$AS295=""),"",IF(T$8&lt;$AQ295,"IKS",IF(T$8&lt;$AS295,IF(T$8=$AR295,"Bascule","Double run"),"ROKS"))))))</f>
        <v/>
      </c>
      <c r="U295" s="51" t="str">
        <f aca="false">IF(OR($A295="",U$8=""),"",IF($F295="Migré","ROKS",IF($F295="À décommissionner",IF(U$8&lt;$AS295,"IKS","Décom."),IF(OR($AQ295="",$AS295=""),"",IF(U$8&lt;$AQ295,"IKS",IF(U$8&lt;$AS295,IF(U$8=$AR295,"Bascule","Double run"),"ROKS"))))))</f>
        <v/>
      </c>
      <c r="V295" s="51" t="str">
        <f aca="false">IF(OR($A295="",V$8=""),"",IF($F295="Migré","ROKS",IF($F295="À décommissionner",IF(V$8&lt;$AS295,"IKS","Décom."),IF(OR($AQ295="",$AS295=""),"",IF(V$8&lt;$AQ295,"IKS",IF(V$8&lt;$AS295,IF(V$8=$AR295,"Bascule","Double run"),"ROKS"))))))</f>
        <v/>
      </c>
      <c r="W295" s="51" t="str">
        <f aca="false">IF(OR($A295="",W$8=""),"",IF($F295="Migré","ROKS",IF($F295="À décommissionner",IF(W$8&lt;$AS295,"IKS","Décom."),IF(OR($AQ295="",$AS295=""),"",IF(W$8&lt;$AQ295,"IKS",IF(W$8&lt;$AS295,IF(W$8=$AR295,"Bascule","Double run"),"ROKS"))))))</f>
        <v/>
      </c>
      <c r="X295" s="51" t="str">
        <f aca="false">IF(OR($A295="",X$8=""),"",IF($F295="Migré","ROKS",IF($F295="À décommissionner",IF(X$8&lt;$AS295,"IKS","Décom."),IF(OR($AQ295="",$AS295=""),"",IF(X$8&lt;$AQ295,"IKS",IF(X$8&lt;$AS295,IF(X$8=$AR295,"Bascule","Double run"),"ROKS"))))))</f>
        <v/>
      </c>
      <c r="Y295" s="51" t="str">
        <f aca="false">IF(OR($A295="",Y$8=""),"",IF($F295="Migré","ROKS",IF($F295="À décommissionner",IF(Y$8&lt;$AS295,"IKS","Décom."),IF(OR($AQ295="",$AS295=""),"",IF(Y$8&lt;$AQ295,"IKS",IF(Y$8&lt;$AS295,IF(Y$8=$AR295,"Bascule","Double run"),"ROKS"))))))</f>
        <v/>
      </c>
      <c r="Z295" s="51" t="str">
        <f aca="false">IF(OR($A295="",Z$8=""),"",IF($F295="Migré","ROKS",IF($F295="À décommissionner",IF(Z$8&lt;$AS295,"IKS","Décom."),IF(OR($AQ295="",$AS295=""),"",IF(Z$8&lt;$AQ295,"IKS",IF(Z$8&lt;$AS295,IF(Z$8=$AR295,"Bascule","Double run"),"ROKS"))))))</f>
        <v/>
      </c>
      <c r="AA295" s="51" t="str">
        <f aca="false">IF(OR($A295="",AA$8=""),"",IF($F295="Migré","ROKS",IF($F295="À décommissionner",IF(AA$8&lt;$AS295,"IKS","Décom."),IF(OR($AQ295="",$AS295=""),"",IF(AA$8&lt;$AQ295,"IKS",IF(AA$8&lt;$AS295,IF(AA$8=$AR295,"Bascule","Double run"),"ROKS"))))))</f>
        <v/>
      </c>
      <c r="AB295" s="51" t="str">
        <f aca="false">IF(OR($A295="",AB$8=""),"",IF($F295="Migré","ROKS",IF($F295="À décommissionner",IF(AB$8&lt;$AS295,"IKS","Décom."),IF(OR($AQ295="",$AS295=""),"",IF(AB$8&lt;$AQ295,"IKS",IF(AB$8&lt;$AS295,IF(AB$8=$AR295,"Bascule","Double run"),"ROKS"))))))</f>
        <v/>
      </c>
      <c r="AC295" s="51" t="str">
        <f aca="false">IF(OR($A295="",AC$8=""),"",IF($F295="Migré","ROKS",IF($F295="À décommissionner",IF(AC$8&lt;$AS295,"IKS","Décom."),IF(OR($AQ295="",$AS295=""),"",IF(AC$8&lt;$AQ295,"IKS",IF(AC$8&lt;$AS295,IF(AC$8=$AR295,"Bascule","Double run"),"ROKS"))))))</f>
        <v/>
      </c>
      <c r="AD295" s="51" t="str">
        <f aca="false">IF(OR($A295="",AD$8=""),"",IF($F295="Migré","ROKS",IF($F295="À décommissionner",IF(AD$8&lt;$AS295,"IKS","Décom."),IF(OR($AQ295="",$AS295=""),"",IF(AD$8&lt;$AQ295,"IKS",IF(AD$8&lt;$AS295,IF(AD$8=$AR295,"Bascule","Double run"),"ROKS"))))))</f>
        <v/>
      </c>
      <c r="AE295" s="51" t="str">
        <f aca="false">IF(OR($A295="",AE$8=""),"",IF($F295="Migré","ROKS",IF($F295="À décommissionner",IF(AE$8&lt;$AS295,"IKS","Décom."),IF(OR($AQ295="",$AS295=""),"",IF(AE$8&lt;$AQ295,"IKS",IF(AE$8&lt;$AS295,IF(AE$8=$AR295,"Bascule","Double run"),"ROKS"))))))</f>
        <v/>
      </c>
      <c r="AF295" s="51" t="str">
        <f aca="false">IF(OR($A295="",AF$8=""),"",IF($F295="Migré","ROKS",IF($F295="À décommissionner",IF(AF$8&lt;$AS295,"IKS","Décom."),IF(OR($AQ295="",$AS295=""),"",IF(AF$8&lt;$AQ295,"IKS",IF(AF$8&lt;$AS295,IF(AF$8=$AR295,"Bascule","Double run"),"ROKS"))))))</f>
        <v/>
      </c>
      <c r="AG295" s="51" t="str">
        <f aca="false">IF(OR($A295="",AG$8=""),"",IF($F295="Migré","ROKS",IF($F295="À décommissionner",IF(AG$8&lt;$AS295,"IKS","Décom."),IF(OR($AQ295="",$AS295=""),"",IF(AG$8&lt;$AQ295,"IKS",IF(AG$8&lt;$AS295,IF(AG$8=$AR295,"Bascule","Double run"),"ROKS"))))))</f>
        <v/>
      </c>
      <c r="AH295" s="51" t="str">
        <f aca="false">IF(OR($A295="",AH$8=""),"",IF($F295="Migré","ROKS",IF($F295="À décommissionner",IF(AH$8&lt;$AS295,"IKS","Décom."),IF(OR($AQ295="",$AS295=""),"",IF(AH$8&lt;$AQ295,"IKS",IF(AH$8&lt;$AS295,IF(AH$8=$AR295,"Bascule","Double run"),"ROKS"))))))</f>
        <v/>
      </c>
      <c r="AI295" s="51" t="str">
        <f aca="false">IF(OR($A295="",AI$8=""),"",IF($F295="Migré","ROKS",IF($F295="À décommissionner",IF(AI$8&lt;$AS295,"IKS","Décom."),IF(OR($AQ295="",$AS295=""),"",IF(AI$8&lt;$AQ295,"IKS",IF(AI$8&lt;$AS295,IF(AI$8=$AR295,"Bascule","Double run"),"ROKS"))))))</f>
        <v/>
      </c>
      <c r="AJ295" s="51" t="str">
        <f aca="false">IF(OR($A295="",AJ$8=""),"",IF($F295="Migré","ROKS",IF($F295="À décommissionner",IF(AJ$8&lt;$AS295,"IKS","Décom."),IF(OR($AQ295="",$AS295=""),"",IF(AJ$8&lt;$AQ295,"IKS",IF(AJ$8&lt;$AS295,IF(AJ$8=$AR295,"Bascule","Double run"),"ROKS"))))))</f>
        <v/>
      </c>
      <c r="AK295" s="51" t="str">
        <f aca="false">IF(OR($A295="",AK$8=""),"",IF($F295="Migré","ROKS",IF($F295="À décommissionner",IF(AK$8&lt;$AS295,"IKS","Décom."),IF(OR($AQ295="",$AS295=""),"",IF(AK$8&lt;$AQ295,"IKS",IF(AK$8&lt;$AS295,IF(AK$8=$AR295,"Bascule","Double run"),"ROKS"))))))</f>
        <v/>
      </c>
      <c r="AL295" s="51" t="str">
        <f aca="false">IF(OR($A295="",AL$8=""),"",IF($F295="Migré","ROKS",IF($F295="À décommissionner",IF(AL$8&lt;$AS295,"IKS","Décom."),IF(OR($AQ295="",$AS295=""),"",IF(AL$8&lt;$AQ295,"IKS",IF(AL$8&lt;$AS295,IF(AL$8=$AR295,"Bascule","Double run"),"ROKS"))))))</f>
        <v/>
      </c>
      <c r="AM295" s="51" t="str">
        <f aca="false">IF(OR($A295="",AM$8=""),"",IF($F295="Migré","ROKS",IF($F295="À décommissionner",IF(AM$8&lt;$AS295,"IKS","Décom."),IF(OR($AQ295="",$AS295=""),"",IF(AM$8&lt;$AQ295,"IKS",IF(AM$8&lt;$AS295,IF(AM$8=$AR295,"Bascule","Double run"),"ROKS"))))))</f>
        <v/>
      </c>
      <c r="AN295" s="51" t="str">
        <f aca="false">IF(OR($A295="",AN$8=""),"",IF($F295="Migré","ROKS",IF($F295="À décommissionner",IF(AN$8&lt;$AS295,"IKS","Décom."),IF(OR($AQ295="",$AS295=""),"",IF(AN$8&lt;$AQ295,"IKS",IF(AN$8&lt;$AS295,IF(AN$8=$AR295,"Bascule","Double run"),"ROKS"))))))</f>
        <v/>
      </c>
      <c r="AO295" s="51" t="str">
        <f aca="false">IF(OR($A295="",AO$8=""),"",IF($F295="Migré","ROKS",IF($F295="À décommissionner",IF(AO$8&lt;$AS295,"IKS","Décom."),IF(OR($AQ295="",$AS295=""),"",IF(AO$8&lt;$AQ295,"IKS",IF(AO$8&lt;$AS295,IF(AO$8=$AR295,"Bascule","Double run"),"ROKS"))))))</f>
        <v/>
      </c>
      <c r="AP295" s="51" t="str">
        <f aca="false">IF(OR($A295="",AP$8=""),"",IF($F295="Migré","ROKS",IF($F295="À décommissionner",IF(AP$8&lt;$AS295,"IKS","Décom."),IF(OR($AQ295="",$AS295=""),"",IF(AP$8&lt;$AQ295,"IKS",IF(AP$8&lt;$AS295,IF(AP$8=$AR295,"Bascule","Double run"),"ROKS"))))))</f>
        <v/>
      </c>
      <c r="AQ295" s="0" t="str">
        <f aca="false">IF($A295="","",INDEX(TblApplications[Mois prov (calc)],$A295))</f>
        <v/>
      </c>
      <c r="AR295" s="0" t="str">
        <f aca="false">IF($A295="","",IFERROR(DATE(YEAR(INDEX(TblApplications[Mois bascule],$A295)),MONTH(INDEX(TblApplications[Mois bascule],$A295)),1),""))</f>
        <v/>
      </c>
      <c r="AS295" s="0" t="str">
        <f aca="false">IF($A295="","",INDEX(TblApplications[Mois lib (calc)],$A295))</f>
        <v/>
      </c>
    </row>
    <row r="296" customFormat="false" ht="15" hidden="false" customHeight="false" outlineLevel="0" collapsed="false">
      <c r="A296" s="49" t="str">
        <f aca="false">IFERROR(MATCH(288,TblApplications[Rang frise],0),"")</f>
        <v/>
      </c>
      <c r="B296" s="50" t="str">
        <f aca="false">IF($A296="","",INDEX(TblApplications[ID],$A296))</f>
        <v/>
      </c>
      <c r="C296" s="50" t="str">
        <f aca="false">IF($A296="","",INDEX(TblApplications[Application],$A296))</f>
        <v/>
      </c>
      <c r="D296" s="50" t="str">
        <f aca="false">IF($A296="","",INDEX(TblApplications[Environnement],$A296))</f>
        <v/>
      </c>
      <c r="E296" s="50" t="str">
        <f aca="false">IF($A296="","",INDEX(TblApplications[Couloir],$A296))</f>
        <v/>
      </c>
      <c r="F296" s="50" t="str">
        <f aca="false">IF($A296="","",INDEX(TblApplications[Action],$A296))</f>
        <v/>
      </c>
      <c r="G296" s="51" t="str">
        <f aca="false">IF(OR($A296="",G$8=""),"",IF($F296="Migré","ROKS",IF($F296="À décommissionner",IF(G$8&lt;$AS296,"IKS","Décom."),IF(OR($AQ296="",$AS296=""),"",IF(G$8&lt;$AQ296,"IKS",IF(G$8&lt;$AS296,IF(G$8=$AR296,"Bascule","Double run"),"ROKS"))))))</f>
        <v/>
      </c>
      <c r="H296" s="51" t="str">
        <f aca="false">IF(OR($A296="",H$8=""),"",IF($F296="Migré","ROKS",IF($F296="À décommissionner",IF(H$8&lt;$AS296,"IKS","Décom."),IF(OR($AQ296="",$AS296=""),"",IF(H$8&lt;$AQ296,"IKS",IF(H$8&lt;$AS296,IF(H$8=$AR296,"Bascule","Double run"),"ROKS"))))))</f>
        <v/>
      </c>
      <c r="I296" s="51" t="str">
        <f aca="false">IF(OR($A296="",I$8=""),"",IF($F296="Migré","ROKS",IF($F296="À décommissionner",IF(I$8&lt;$AS296,"IKS","Décom."),IF(OR($AQ296="",$AS296=""),"",IF(I$8&lt;$AQ296,"IKS",IF(I$8&lt;$AS296,IF(I$8=$AR296,"Bascule","Double run"),"ROKS"))))))</f>
        <v/>
      </c>
      <c r="J296" s="51" t="str">
        <f aca="false">IF(OR($A296="",J$8=""),"",IF($F296="Migré","ROKS",IF($F296="À décommissionner",IF(J$8&lt;$AS296,"IKS","Décom."),IF(OR($AQ296="",$AS296=""),"",IF(J$8&lt;$AQ296,"IKS",IF(J$8&lt;$AS296,IF(J$8=$AR296,"Bascule","Double run"),"ROKS"))))))</f>
        <v/>
      </c>
      <c r="K296" s="51" t="str">
        <f aca="false">IF(OR($A296="",K$8=""),"",IF($F296="Migré","ROKS",IF($F296="À décommissionner",IF(K$8&lt;$AS296,"IKS","Décom."),IF(OR($AQ296="",$AS296=""),"",IF(K$8&lt;$AQ296,"IKS",IF(K$8&lt;$AS296,IF(K$8=$AR296,"Bascule","Double run"),"ROKS"))))))</f>
        <v/>
      </c>
      <c r="L296" s="51" t="str">
        <f aca="false">IF(OR($A296="",L$8=""),"",IF($F296="Migré","ROKS",IF($F296="À décommissionner",IF(L$8&lt;$AS296,"IKS","Décom."),IF(OR($AQ296="",$AS296=""),"",IF(L$8&lt;$AQ296,"IKS",IF(L$8&lt;$AS296,IF(L$8=$AR296,"Bascule","Double run"),"ROKS"))))))</f>
        <v/>
      </c>
      <c r="M296" s="51" t="str">
        <f aca="false">IF(OR($A296="",M$8=""),"",IF($F296="Migré","ROKS",IF($F296="À décommissionner",IF(M$8&lt;$AS296,"IKS","Décom."),IF(OR($AQ296="",$AS296=""),"",IF(M$8&lt;$AQ296,"IKS",IF(M$8&lt;$AS296,IF(M$8=$AR296,"Bascule","Double run"),"ROKS"))))))</f>
        <v/>
      </c>
      <c r="N296" s="51" t="str">
        <f aca="false">IF(OR($A296="",N$8=""),"",IF($F296="Migré","ROKS",IF($F296="À décommissionner",IF(N$8&lt;$AS296,"IKS","Décom."),IF(OR($AQ296="",$AS296=""),"",IF(N$8&lt;$AQ296,"IKS",IF(N$8&lt;$AS296,IF(N$8=$AR296,"Bascule","Double run"),"ROKS"))))))</f>
        <v/>
      </c>
      <c r="O296" s="51" t="str">
        <f aca="false">IF(OR($A296="",O$8=""),"",IF($F296="Migré","ROKS",IF($F296="À décommissionner",IF(O$8&lt;$AS296,"IKS","Décom."),IF(OR($AQ296="",$AS296=""),"",IF(O$8&lt;$AQ296,"IKS",IF(O$8&lt;$AS296,IF(O$8=$AR296,"Bascule","Double run"),"ROKS"))))))</f>
        <v/>
      </c>
      <c r="P296" s="51" t="str">
        <f aca="false">IF(OR($A296="",P$8=""),"",IF($F296="Migré","ROKS",IF($F296="À décommissionner",IF(P$8&lt;$AS296,"IKS","Décom."),IF(OR($AQ296="",$AS296=""),"",IF(P$8&lt;$AQ296,"IKS",IF(P$8&lt;$AS296,IF(P$8=$AR296,"Bascule","Double run"),"ROKS"))))))</f>
        <v/>
      </c>
      <c r="Q296" s="51" t="str">
        <f aca="false">IF(OR($A296="",Q$8=""),"",IF($F296="Migré","ROKS",IF($F296="À décommissionner",IF(Q$8&lt;$AS296,"IKS","Décom."),IF(OR($AQ296="",$AS296=""),"",IF(Q$8&lt;$AQ296,"IKS",IF(Q$8&lt;$AS296,IF(Q$8=$AR296,"Bascule","Double run"),"ROKS"))))))</f>
        <v/>
      </c>
      <c r="R296" s="51" t="str">
        <f aca="false">IF(OR($A296="",R$8=""),"",IF($F296="Migré","ROKS",IF($F296="À décommissionner",IF(R$8&lt;$AS296,"IKS","Décom."),IF(OR($AQ296="",$AS296=""),"",IF(R$8&lt;$AQ296,"IKS",IF(R$8&lt;$AS296,IF(R$8=$AR296,"Bascule","Double run"),"ROKS"))))))</f>
        <v/>
      </c>
      <c r="S296" s="51" t="str">
        <f aca="false">IF(OR($A296="",S$8=""),"",IF($F296="Migré","ROKS",IF($F296="À décommissionner",IF(S$8&lt;$AS296,"IKS","Décom."),IF(OR($AQ296="",$AS296=""),"",IF(S$8&lt;$AQ296,"IKS",IF(S$8&lt;$AS296,IF(S$8=$AR296,"Bascule","Double run"),"ROKS"))))))</f>
        <v/>
      </c>
      <c r="T296" s="51" t="str">
        <f aca="false">IF(OR($A296="",T$8=""),"",IF($F296="Migré","ROKS",IF($F296="À décommissionner",IF(T$8&lt;$AS296,"IKS","Décom."),IF(OR($AQ296="",$AS296=""),"",IF(T$8&lt;$AQ296,"IKS",IF(T$8&lt;$AS296,IF(T$8=$AR296,"Bascule","Double run"),"ROKS"))))))</f>
        <v/>
      </c>
      <c r="U296" s="51" t="str">
        <f aca="false">IF(OR($A296="",U$8=""),"",IF($F296="Migré","ROKS",IF($F296="À décommissionner",IF(U$8&lt;$AS296,"IKS","Décom."),IF(OR($AQ296="",$AS296=""),"",IF(U$8&lt;$AQ296,"IKS",IF(U$8&lt;$AS296,IF(U$8=$AR296,"Bascule","Double run"),"ROKS"))))))</f>
        <v/>
      </c>
      <c r="V296" s="51" t="str">
        <f aca="false">IF(OR($A296="",V$8=""),"",IF($F296="Migré","ROKS",IF($F296="À décommissionner",IF(V$8&lt;$AS296,"IKS","Décom."),IF(OR($AQ296="",$AS296=""),"",IF(V$8&lt;$AQ296,"IKS",IF(V$8&lt;$AS296,IF(V$8=$AR296,"Bascule","Double run"),"ROKS"))))))</f>
        <v/>
      </c>
      <c r="W296" s="51" t="str">
        <f aca="false">IF(OR($A296="",W$8=""),"",IF($F296="Migré","ROKS",IF($F296="À décommissionner",IF(W$8&lt;$AS296,"IKS","Décom."),IF(OR($AQ296="",$AS296=""),"",IF(W$8&lt;$AQ296,"IKS",IF(W$8&lt;$AS296,IF(W$8=$AR296,"Bascule","Double run"),"ROKS"))))))</f>
        <v/>
      </c>
      <c r="X296" s="51" t="str">
        <f aca="false">IF(OR($A296="",X$8=""),"",IF($F296="Migré","ROKS",IF($F296="À décommissionner",IF(X$8&lt;$AS296,"IKS","Décom."),IF(OR($AQ296="",$AS296=""),"",IF(X$8&lt;$AQ296,"IKS",IF(X$8&lt;$AS296,IF(X$8=$AR296,"Bascule","Double run"),"ROKS"))))))</f>
        <v/>
      </c>
      <c r="Y296" s="51" t="str">
        <f aca="false">IF(OR($A296="",Y$8=""),"",IF($F296="Migré","ROKS",IF($F296="À décommissionner",IF(Y$8&lt;$AS296,"IKS","Décom."),IF(OR($AQ296="",$AS296=""),"",IF(Y$8&lt;$AQ296,"IKS",IF(Y$8&lt;$AS296,IF(Y$8=$AR296,"Bascule","Double run"),"ROKS"))))))</f>
        <v/>
      </c>
      <c r="Z296" s="51" t="str">
        <f aca="false">IF(OR($A296="",Z$8=""),"",IF($F296="Migré","ROKS",IF($F296="À décommissionner",IF(Z$8&lt;$AS296,"IKS","Décom."),IF(OR($AQ296="",$AS296=""),"",IF(Z$8&lt;$AQ296,"IKS",IF(Z$8&lt;$AS296,IF(Z$8=$AR296,"Bascule","Double run"),"ROKS"))))))</f>
        <v/>
      </c>
      <c r="AA296" s="51" t="str">
        <f aca="false">IF(OR($A296="",AA$8=""),"",IF($F296="Migré","ROKS",IF($F296="À décommissionner",IF(AA$8&lt;$AS296,"IKS","Décom."),IF(OR($AQ296="",$AS296=""),"",IF(AA$8&lt;$AQ296,"IKS",IF(AA$8&lt;$AS296,IF(AA$8=$AR296,"Bascule","Double run"),"ROKS"))))))</f>
        <v/>
      </c>
      <c r="AB296" s="51" t="str">
        <f aca="false">IF(OR($A296="",AB$8=""),"",IF($F296="Migré","ROKS",IF($F296="À décommissionner",IF(AB$8&lt;$AS296,"IKS","Décom."),IF(OR($AQ296="",$AS296=""),"",IF(AB$8&lt;$AQ296,"IKS",IF(AB$8&lt;$AS296,IF(AB$8=$AR296,"Bascule","Double run"),"ROKS"))))))</f>
        <v/>
      </c>
      <c r="AC296" s="51" t="str">
        <f aca="false">IF(OR($A296="",AC$8=""),"",IF($F296="Migré","ROKS",IF($F296="À décommissionner",IF(AC$8&lt;$AS296,"IKS","Décom."),IF(OR($AQ296="",$AS296=""),"",IF(AC$8&lt;$AQ296,"IKS",IF(AC$8&lt;$AS296,IF(AC$8=$AR296,"Bascule","Double run"),"ROKS"))))))</f>
        <v/>
      </c>
      <c r="AD296" s="51" t="str">
        <f aca="false">IF(OR($A296="",AD$8=""),"",IF($F296="Migré","ROKS",IF($F296="À décommissionner",IF(AD$8&lt;$AS296,"IKS","Décom."),IF(OR($AQ296="",$AS296=""),"",IF(AD$8&lt;$AQ296,"IKS",IF(AD$8&lt;$AS296,IF(AD$8=$AR296,"Bascule","Double run"),"ROKS"))))))</f>
        <v/>
      </c>
      <c r="AE296" s="51" t="str">
        <f aca="false">IF(OR($A296="",AE$8=""),"",IF($F296="Migré","ROKS",IF($F296="À décommissionner",IF(AE$8&lt;$AS296,"IKS","Décom."),IF(OR($AQ296="",$AS296=""),"",IF(AE$8&lt;$AQ296,"IKS",IF(AE$8&lt;$AS296,IF(AE$8=$AR296,"Bascule","Double run"),"ROKS"))))))</f>
        <v/>
      </c>
      <c r="AF296" s="51" t="str">
        <f aca="false">IF(OR($A296="",AF$8=""),"",IF($F296="Migré","ROKS",IF($F296="À décommissionner",IF(AF$8&lt;$AS296,"IKS","Décom."),IF(OR($AQ296="",$AS296=""),"",IF(AF$8&lt;$AQ296,"IKS",IF(AF$8&lt;$AS296,IF(AF$8=$AR296,"Bascule","Double run"),"ROKS"))))))</f>
        <v/>
      </c>
      <c r="AG296" s="51" t="str">
        <f aca="false">IF(OR($A296="",AG$8=""),"",IF($F296="Migré","ROKS",IF($F296="À décommissionner",IF(AG$8&lt;$AS296,"IKS","Décom."),IF(OR($AQ296="",$AS296=""),"",IF(AG$8&lt;$AQ296,"IKS",IF(AG$8&lt;$AS296,IF(AG$8=$AR296,"Bascule","Double run"),"ROKS"))))))</f>
        <v/>
      </c>
      <c r="AH296" s="51" t="str">
        <f aca="false">IF(OR($A296="",AH$8=""),"",IF($F296="Migré","ROKS",IF($F296="À décommissionner",IF(AH$8&lt;$AS296,"IKS","Décom."),IF(OR($AQ296="",$AS296=""),"",IF(AH$8&lt;$AQ296,"IKS",IF(AH$8&lt;$AS296,IF(AH$8=$AR296,"Bascule","Double run"),"ROKS"))))))</f>
        <v/>
      </c>
      <c r="AI296" s="51" t="str">
        <f aca="false">IF(OR($A296="",AI$8=""),"",IF($F296="Migré","ROKS",IF($F296="À décommissionner",IF(AI$8&lt;$AS296,"IKS","Décom."),IF(OR($AQ296="",$AS296=""),"",IF(AI$8&lt;$AQ296,"IKS",IF(AI$8&lt;$AS296,IF(AI$8=$AR296,"Bascule","Double run"),"ROKS"))))))</f>
        <v/>
      </c>
      <c r="AJ296" s="51" t="str">
        <f aca="false">IF(OR($A296="",AJ$8=""),"",IF($F296="Migré","ROKS",IF($F296="À décommissionner",IF(AJ$8&lt;$AS296,"IKS","Décom."),IF(OR($AQ296="",$AS296=""),"",IF(AJ$8&lt;$AQ296,"IKS",IF(AJ$8&lt;$AS296,IF(AJ$8=$AR296,"Bascule","Double run"),"ROKS"))))))</f>
        <v/>
      </c>
      <c r="AK296" s="51" t="str">
        <f aca="false">IF(OR($A296="",AK$8=""),"",IF($F296="Migré","ROKS",IF($F296="À décommissionner",IF(AK$8&lt;$AS296,"IKS","Décom."),IF(OR($AQ296="",$AS296=""),"",IF(AK$8&lt;$AQ296,"IKS",IF(AK$8&lt;$AS296,IF(AK$8=$AR296,"Bascule","Double run"),"ROKS"))))))</f>
        <v/>
      </c>
      <c r="AL296" s="51" t="str">
        <f aca="false">IF(OR($A296="",AL$8=""),"",IF($F296="Migré","ROKS",IF($F296="À décommissionner",IF(AL$8&lt;$AS296,"IKS","Décom."),IF(OR($AQ296="",$AS296=""),"",IF(AL$8&lt;$AQ296,"IKS",IF(AL$8&lt;$AS296,IF(AL$8=$AR296,"Bascule","Double run"),"ROKS"))))))</f>
        <v/>
      </c>
      <c r="AM296" s="51" t="str">
        <f aca="false">IF(OR($A296="",AM$8=""),"",IF($F296="Migré","ROKS",IF($F296="À décommissionner",IF(AM$8&lt;$AS296,"IKS","Décom."),IF(OR($AQ296="",$AS296=""),"",IF(AM$8&lt;$AQ296,"IKS",IF(AM$8&lt;$AS296,IF(AM$8=$AR296,"Bascule","Double run"),"ROKS"))))))</f>
        <v/>
      </c>
      <c r="AN296" s="51" t="str">
        <f aca="false">IF(OR($A296="",AN$8=""),"",IF($F296="Migré","ROKS",IF($F296="À décommissionner",IF(AN$8&lt;$AS296,"IKS","Décom."),IF(OR($AQ296="",$AS296=""),"",IF(AN$8&lt;$AQ296,"IKS",IF(AN$8&lt;$AS296,IF(AN$8=$AR296,"Bascule","Double run"),"ROKS"))))))</f>
        <v/>
      </c>
      <c r="AO296" s="51" t="str">
        <f aca="false">IF(OR($A296="",AO$8=""),"",IF($F296="Migré","ROKS",IF($F296="À décommissionner",IF(AO$8&lt;$AS296,"IKS","Décom."),IF(OR($AQ296="",$AS296=""),"",IF(AO$8&lt;$AQ296,"IKS",IF(AO$8&lt;$AS296,IF(AO$8=$AR296,"Bascule","Double run"),"ROKS"))))))</f>
        <v/>
      </c>
      <c r="AP296" s="51" t="str">
        <f aca="false">IF(OR($A296="",AP$8=""),"",IF($F296="Migré","ROKS",IF($F296="À décommissionner",IF(AP$8&lt;$AS296,"IKS","Décom."),IF(OR($AQ296="",$AS296=""),"",IF(AP$8&lt;$AQ296,"IKS",IF(AP$8&lt;$AS296,IF(AP$8=$AR296,"Bascule","Double run"),"ROKS"))))))</f>
        <v/>
      </c>
      <c r="AQ296" s="0" t="str">
        <f aca="false">IF($A296="","",INDEX(TblApplications[Mois prov (calc)],$A296))</f>
        <v/>
      </c>
      <c r="AR296" s="0" t="str">
        <f aca="false">IF($A296="","",IFERROR(DATE(YEAR(INDEX(TblApplications[Mois bascule],$A296)),MONTH(INDEX(TblApplications[Mois bascule],$A296)),1),""))</f>
        <v/>
      </c>
      <c r="AS296" s="0" t="str">
        <f aca="false">IF($A296="","",INDEX(TblApplications[Mois lib (calc)],$A296))</f>
        <v/>
      </c>
    </row>
    <row r="297" customFormat="false" ht="15" hidden="false" customHeight="false" outlineLevel="0" collapsed="false">
      <c r="A297" s="49" t="str">
        <f aca="false">IFERROR(MATCH(289,TblApplications[Rang frise],0),"")</f>
        <v/>
      </c>
      <c r="B297" s="50" t="str">
        <f aca="false">IF($A297="","",INDEX(TblApplications[ID],$A297))</f>
        <v/>
      </c>
      <c r="C297" s="50" t="str">
        <f aca="false">IF($A297="","",INDEX(TblApplications[Application],$A297))</f>
        <v/>
      </c>
      <c r="D297" s="50" t="str">
        <f aca="false">IF($A297="","",INDEX(TblApplications[Environnement],$A297))</f>
        <v/>
      </c>
      <c r="E297" s="50" t="str">
        <f aca="false">IF($A297="","",INDEX(TblApplications[Couloir],$A297))</f>
        <v/>
      </c>
      <c r="F297" s="50" t="str">
        <f aca="false">IF($A297="","",INDEX(TblApplications[Action],$A297))</f>
        <v/>
      </c>
      <c r="G297" s="51" t="str">
        <f aca="false">IF(OR($A297="",G$8=""),"",IF($F297="Migré","ROKS",IF($F297="À décommissionner",IF(G$8&lt;$AS297,"IKS","Décom."),IF(OR($AQ297="",$AS297=""),"",IF(G$8&lt;$AQ297,"IKS",IF(G$8&lt;$AS297,IF(G$8=$AR297,"Bascule","Double run"),"ROKS"))))))</f>
        <v/>
      </c>
      <c r="H297" s="51" t="str">
        <f aca="false">IF(OR($A297="",H$8=""),"",IF($F297="Migré","ROKS",IF($F297="À décommissionner",IF(H$8&lt;$AS297,"IKS","Décom."),IF(OR($AQ297="",$AS297=""),"",IF(H$8&lt;$AQ297,"IKS",IF(H$8&lt;$AS297,IF(H$8=$AR297,"Bascule","Double run"),"ROKS"))))))</f>
        <v/>
      </c>
      <c r="I297" s="51" t="str">
        <f aca="false">IF(OR($A297="",I$8=""),"",IF($F297="Migré","ROKS",IF($F297="À décommissionner",IF(I$8&lt;$AS297,"IKS","Décom."),IF(OR($AQ297="",$AS297=""),"",IF(I$8&lt;$AQ297,"IKS",IF(I$8&lt;$AS297,IF(I$8=$AR297,"Bascule","Double run"),"ROKS"))))))</f>
        <v/>
      </c>
      <c r="J297" s="51" t="str">
        <f aca="false">IF(OR($A297="",J$8=""),"",IF($F297="Migré","ROKS",IF($F297="À décommissionner",IF(J$8&lt;$AS297,"IKS","Décom."),IF(OR($AQ297="",$AS297=""),"",IF(J$8&lt;$AQ297,"IKS",IF(J$8&lt;$AS297,IF(J$8=$AR297,"Bascule","Double run"),"ROKS"))))))</f>
        <v/>
      </c>
      <c r="K297" s="51" t="str">
        <f aca="false">IF(OR($A297="",K$8=""),"",IF($F297="Migré","ROKS",IF($F297="À décommissionner",IF(K$8&lt;$AS297,"IKS","Décom."),IF(OR($AQ297="",$AS297=""),"",IF(K$8&lt;$AQ297,"IKS",IF(K$8&lt;$AS297,IF(K$8=$AR297,"Bascule","Double run"),"ROKS"))))))</f>
        <v/>
      </c>
      <c r="L297" s="51" t="str">
        <f aca="false">IF(OR($A297="",L$8=""),"",IF($F297="Migré","ROKS",IF($F297="À décommissionner",IF(L$8&lt;$AS297,"IKS","Décom."),IF(OR($AQ297="",$AS297=""),"",IF(L$8&lt;$AQ297,"IKS",IF(L$8&lt;$AS297,IF(L$8=$AR297,"Bascule","Double run"),"ROKS"))))))</f>
        <v/>
      </c>
      <c r="M297" s="51" t="str">
        <f aca="false">IF(OR($A297="",M$8=""),"",IF($F297="Migré","ROKS",IF($F297="À décommissionner",IF(M$8&lt;$AS297,"IKS","Décom."),IF(OR($AQ297="",$AS297=""),"",IF(M$8&lt;$AQ297,"IKS",IF(M$8&lt;$AS297,IF(M$8=$AR297,"Bascule","Double run"),"ROKS"))))))</f>
        <v/>
      </c>
      <c r="N297" s="51" t="str">
        <f aca="false">IF(OR($A297="",N$8=""),"",IF($F297="Migré","ROKS",IF($F297="À décommissionner",IF(N$8&lt;$AS297,"IKS","Décom."),IF(OR($AQ297="",$AS297=""),"",IF(N$8&lt;$AQ297,"IKS",IF(N$8&lt;$AS297,IF(N$8=$AR297,"Bascule","Double run"),"ROKS"))))))</f>
        <v/>
      </c>
      <c r="O297" s="51" t="str">
        <f aca="false">IF(OR($A297="",O$8=""),"",IF($F297="Migré","ROKS",IF($F297="À décommissionner",IF(O$8&lt;$AS297,"IKS","Décom."),IF(OR($AQ297="",$AS297=""),"",IF(O$8&lt;$AQ297,"IKS",IF(O$8&lt;$AS297,IF(O$8=$AR297,"Bascule","Double run"),"ROKS"))))))</f>
        <v/>
      </c>
      <c r="P297" s="51" t="str">
        <f aca="false">IF(OR($A297="",P$8=""),"",IF($F297="Migré","ROKS",IF($F297="À décommissionner",IF(P$8&lt;$AS297,"IKS","Décom."),IF(OR($AQ297="",$AS297=""),"",IF(P$8&lt;$AQ297,"IKS",IF(P$8&lt;$AS297,IF(P$8=$AR297,"Bascule","Double run"),"ROKS"))))))</f>
        <v/>
      </c>
      <c r="Q297" s="51" t="str">
        <f aca="false">IF(OR($A297="",Q$8=""),"",IF($F297="Migré","ROKS",IF($F297="À décommissionner",IF(Q$8&lt;$AS297,"IKS","Décom."),IF(OR($AQ297="",$AS297=""),"",IF(Q$8&lt;$AQ297,"IKS",IF(Q$8&lt;$AS297,IF(Q$8=$AR297,"Bascule","Double run"),"ROKS"))))))</f>
        <v/>
      </c>
      <c r="R297" s="51" t="str">
        <f aca="false">IF(OR($A297="",R$8=""),"",IF($F297="Migré","ROKS",IF($F297="À décommissionner",IF(R$8&lt;$AS297,"IKS","Décom."),IF(OR($AQ297="",$AS297=""),"",IF(R$8&lt;$AQ297,"IKS",IF(R$8&lt;$AS297,IF(R$8=$AR297,"Bascule","Double run"),"ROKS"))))))</f>
        <v/>
      </c>
      <c r="S297" s="51" t="str">
        <f aca="false">IF(OR($A297="",S$8=""),"",IF($F297="Migré","ROKS",IF($F297="À décommissionner",IF(S$8&lt;$AS297,"IKS","Décom."),IF(OR($AQ297="",$AS297=""),"",IF(S$8&lt;$AQ297,"IKS",IF(S$8&lt;$AS297,IF(S$8=$AR297,"Bascule","Double run"),"ROKS"))))))</f>
        <v/>
      </c>
      <c r="T297" s="51" t="str">
        <f aca="false">IF(OR($A297="",T$8=""),"",IF($F297="Migré","ROKS",IF($F297="À décommissionner",IF(T$8&lt;$AS297,"IKS","Décom."),IF(OR($AQ297="",$AS297=""),"",IF(T$8&lt;$AQ297,"IKS",IF(T$8&lt;$AS297,IF(T$8=$AR297,"Bascule","Double run"),"ROKS"))))))</f>
        <v/>
      </c>
      <c r="U297" s="51" t="str">
        <f aca="false">IF(OR($A297="",U$8=""),"",IF($F297="Migré","ROKS",IF($F297="À décommissionner",IF(U$8&lt;$AS297,"IKS","Décom."),IF(OR($AQ297="",$AS297=""),"",IF(U$8&lt;$AQ297,"IKS",IF(U$8&lt;$AS297,IF(U$8=$AR297,"Bascule","Double run"),"ROKS"))))))</f>
        <v/>
      </c>
      <c r="V297" s="51" t="str">
        <f aca="false">IF(OR($A297="",V$8=""),"",IF($F297="Migré","ROKS",IF($F297="À décommissionner",IF(V$8&lt;$AS297,"IKS","Décom."),IF(OR($AQ297="",$AS297=""),"",IF(V$8&lt;$AQ297,"IKS",IF(V$8&lt;$AS297,IF(V$8=$AR297,"Bascule","Double run"),"ROKS"))))))</f>
        <v/>
      </c>
      <c r="W297" s="51" t="str">
        <f aca="false">IF(OR($A297="",W$8=""),"",IF($F297="Migré","ROKS",IF($F297="À décommissionner",IF(W$8&lt;$AS297,"IKS","Décom."),IF(OR($AQ297="",$AS297=""),"",IF(W$8&lt;$AQ297,"IKS",IF(W$8&lt;$AS297,IF(W$8=$AR297,"Bascule","Double run"),"ROKS"))))))</f>
        <v/>
      </c>
      <c r="X297" s="51" t="str">
        <f aca="false">IF(OR($A297="",X$8=""),"",IF($F297="Migré","ROKS",IF($F297="À décommissionner",IF(X$8&lt;$AS297,"IKS","Décom."),IF(OR($AQ297="",$AS297=""),"",IF(X$8&lt;$AQ297,"IKS",IF(X$8&lt;$AS297,IF(X$8=$AR297,"Bascule","Double run"),"ROKS"))))))</f>
        <v/>
      </c>
      <c r="Y297" s="51" t="str">
        <f aca="false">IF(OR($A297="",Y$8=""),"",IF($F297="Migré","ROKS",IF($F297="À décommissionner",IF(Y$8&lt;$AS297,"IKS","Décom."),IF(OR($AQ297="",$AS297=""),"",IF(Y$8&lt;$AQ297,"IKS",IF(Y$8&lt;$AS297,IF(Y$8=$AR297,"Bascule","Double run"),"ROKS"))))))</f>
        <v/>
      </c>
      <c r="Z297" s="51" t="str">
        <f aca="false">IF(OR($A297="",Z$8=""),"",IF($F297="Migré","ROKS",IF($F297="À décommissionner",IF(Z$8&lt;$AS297,"IKS","Décom."),IF(OR($AQ297="",$AS297=""),"",IF(Z$8&lt;$AQ297,"IKS",IF(Z$8&lt;$AS297,IF(Z$8=$AR297,"Bascule","Double run"),"ROKS"))))))</f>
        <v/>
      </c>
      <c r="AA297" s="51" t="str">
        <f aca="false">IF(OR($A297="",AA$8=""),"",IF($F297="Migré","ROKS",IF($F297="À décommissionner",IF(AA$8&lt;$AS297,"IKS","Décom."),IF(OR($AQ297="",$AS297=""),"",IF(AA$8&lt;$AQ297,"IKS",IF(AA$8&lt;$AS297,IF(AA$8=$AR297,"Bascule","Double run"),"ROKS"))))))</f>
        <v/>
      </c>
      <c r="AB297" s="51" t="str">
        <f aca="false">IF(OR($A297="",AB$8=""),"",IF($F297="Migré","ROKS",IF($F297="À décommissionner",IF(AB$8&lt;$AS297,"IKS","Décom."),IF(OR($AQ297="",$AS297=""),"",IF(AB$8&lt;$AQ297,"IKS",IF(AB$8&lt;$AS297,IF(AB$8=$AR297,"Bascule","Double run"),"ROKS"))))))</f>
        <v/>
      </c>
      <c r="AC297" s="51" t="str">
        <f aca="false">IF(OR($A297="",AC$8=""),"",IF($F297="Migré","ROKS",IF($F297="À décommissionner",IF(AC$8&lt;$AS297,"IKS","Décom."),IF(OR($AQ297="",$AS297=""),"",IF(AC$8&lt;$AQ297,"IKS",IF(AC$8&lt;$AS297,IF(AC$8=$AR297,"Bascule","Double run"),"ROKS"))))))</f>
        <v/>
      </c>
      <c r="AD297" s="51" t="str">
        <f aca="false">IF(OR($A297="",AD$8=""),"",IF($F297="Migré","ROKS",IF($F297="À décommissionner",IF(AD$8&lt;$AS297,"IKS","Décom."),IF(OR($AQ297="",$AS297=""),"",IF(AD$8&lt;$AQ297,"IKS",IF(AD$8&lt;$AS297,IF(AD$8=$AR297,"Bascule","Double run"),"ROKS"))))))</f>
        <v/>
      </c>
      <c r="AE297" s="51" t="str">
        <f aca="false">IF(OR($A297="",AE$8=""),"",IF($F297="Migré","ROKS",IF($F297="À décommissionner",IF(AE$8&lt;$AS297,"IKS","Décom."),IF(OR($AQ297="",$AS297=""),"",IF(AE$8&lt;$AQ297,"IKS",IF(AE$8&lt;$AS297,IF(AE$8=$AR297,"Bascule","Double run"),"ROKS"))))))</f>
        <v/>
      </c>
      <c r="AF297" s="51" t="str">
        <f aca="false">IF(OR($A297="",AF$8=""),"",IF($F297="Migré","ROKS",IF($F297="À décommissionner",IF(AF$8&lt;$AS297,"IKS","Décom."),IF(OR($AQ297="",$AS297=""),"",IF(AF$8&lt;$AQ297,"IKS",IF(AF$8&lt;$AS297,IF(AF$8=$AR297,"Bascule","Double run"),"ROKS"))))))</f>
        <v/>
      </c>
      <c r="AG297" s="51" t="str">
        <f aca="false">IF(OR($A297="",AG$8=""),"",IF($F297="Migré","ROKS",IF($F297="À décommissionner",IF(AG$8&lt;$AS297,"IKS","Décom."),IF(OR($AQ297="",$AS297=""),"",IF(AG$8&lt;$AQ297,"IKS",IF(AG$8&lt;$AS297,IF(AG$8=$AR297,"Bascule","Double run"),"ROKS"))))))</f>
        <v/>
      </c>
      <c r="AH297" s="51" t="str">
        <f aca="false">IF(OR($A297="",AH$8=""),"",IF($F297="Migré","ROKS",IF($F297="À décommissionner",IF(AH$8&lt;$AS297,"IKS","Décom."),IF(OR($AQ297="",$AS297=""),"",IF(AH$8&lt;$AQ297,"IKS",IF(AH$8&lt;$AS297,IF(AH$8=$AR297,"Bascule","Double run"),"ROKS"))))))</f>
        <v/>
      </c>
      <c r="AI297" s="51" t="str">
        <f aca="false">IF(OR($A297="",AI$8=""),"",IF($F297="Migré","ROKS",IF($F297="À décommissionner",IF(AI$8&lt;$AS297,"IKS","Décom."),IF(OR($AQ297="",$AS297=""),"",IF(AI$8&lt;$AQ297,"IKS",IF(AI$8&lt;$AS297,IF(AI$8=$AR297,"Bascule","Double run"),"ROKS"))))))</f>
        <v/>
      </c>
      <c r="AJ297" s="51" t="str">
        <f aca="false">IF(OR($A297="",AJ$8=""),"",IF($F297="Migré","ROKS",IF($F297="À décommissionner",IF(AJ$8&lt;$AS297,"IKS","Décom."),IF(OR($AQ297="",$AS297=""),"",IF(AJ$8&lt;$AQ297,"IKS",IF(AJ$8&lt;$AS297,IF(AJ$8=$AR297,"Bascule","Double run"),"ROKS"))))))</f>
        <v/>
      </c>
      <c r="AK297" s="51" t="str">
        <f aca="false">IF(OR($A297="",AK$8=""),"",IF($F297="Migré","ROKS",IF($F297="À décommissionner",IF(AK$8&lt;$AS297,"IKS","Décom."),IF(OR($AQ297="",$AS297=""),"",IF(AK$8&lt;$AQ297,"IKS",IF(AK$8&lt;$AS297,IF(AK$8=$AR297,"Bascule","Double run"),"ROKS"))))))</f>
        <v/>
      </c>
      <c r="AL297" s="51" t="str">
        <f aca="false">IF(OR($A297="",AL$8=""),"",IF($F297="Migré","ROKS",IF($F297="À décommissionner",IF(AL$8&lt;$AS297,"IKS","Décom."),IF(OR($AQ297="",$AS297=""),"",IF(AL$8&lt;$AQ297,"IKS",IF(AL$8&lt;$AS297,IF(AL$8=$AR297,"Bascule","Double run"),"ROKS"))))))</f>
        <v/>
      </c>
      <c r="AM297" s="51" t="str">
        <f aca="false">IF(OR($A297="",AM$8=""),"",IF($F297="Migré","ROKS",IF($F297="À décommissionner",IF(AM$8&lt;$AS297,"IKS","Décom."),IF(OR($AQ297="",$AS297=""),"",IF(AM$8&lt;$AQ297,"IKS",IF(AM$8&lt;$AS297,IF(AM$8=$AR297,"Bascule","Double run"),"ROKS"))))))</f>
        <v/>
      </c>
      <c r="AN297" s="51" t="str">
        <f aca="false">IF(OR($A297="",AN$8=""),"",IF($F297="Migré","ROKS",IF($F297="À décommissionner",IF(AN$8&lt;$AS297,"IKS","Décom."),IF(OR($AQ297="",$AS297=""),"",IF(AN$8&lt;$AQ297,"IKS",IF(AN$8&lt;$AS297,IF(AN$8=$AR297,"Bascule","Double run"),"ROKS"))))))</f>
        <v/>
      </c>
      <c r="AO297" s="51" t="str">
        <f aca="false">IF(OR($A297="",AO$8=""),"",IF($F297="Migré","ROKS",IF($F297="À décommissionner",IF(AO$8&lt;$AS297,"IKS","Décom."),IF(OR($AQ297="",$AS297=""),"",IF(AO$8&lt;$AQ297,"IKS",IF(AO$8&lt;$AS297,IF(AO$8=$AR297,"Bascule","Double run"),"ROKS"))))))</f>
        <v/>
      </c>
      <c r="AP297" s="51" t="str">
        <f aca="false">IF(OR($A297="",AP$8=""),"",IF($F297="Migré","ROKS",IF($F297="À décommissionner",IF(AP$8&lt;$AS297,"IKS","Décom."),IF(OR($AQ297="",$AS297=""),"",IF(AP$8&lt;$AQ297,"IKS",IF(AP$8&lt;$AS297,IF(AP$8=$AR297,"Bascule","Double run"),"ROKS"))))))</f>
        <v/>
      </c>
      <c r="AQ297" s="0" t="str">
        <f aca="false">IF($A297="","",INDEX(TblApplications[Mois prov (calc)],$A297))</f>
        <v/>
      </c>
      <c r="AR297" s="0" t="str">
        <f aca="false">IF($A297="","",IFERROR(DATE(YEAR(INDEX(TblApplications[Mois bascule],$A297)),MONTH(INDEX(TblApplications[Mois bascule],$A297)),1),""))</f>
        <v/>
      </c>
      <c r="AS297" s="0" t="str">
        <f aca="false">IF($A297="","",INDEX(TblApplications[Mois lib (calc)],$A297))</f>
        <v/>
      </c>
    </row>
    <row r="298" customFormat="false" ht="15" hidden="false" customHeight="false" outlineLevel="0" collapsed="false">
      <c r="A298" s="49" t="str">
        <f aca="false">IFERROR(MATCH(290,TblApplications[Rang frise],0),"")</f>
        <v/>
      </c>
      <c r="B298" s="50" t="str">
        <f aca="false">IF($A298="","",INDEX(TblApplications[ID],$A298))</f>
        <v/>
      </c>
      <c r="C298" s="50" t="str">
        <f aca="false">IF($A298="","",INDEX(TblApplications[Application],$A298))</f>
        <v/>
      </c>
      <c r="D298" s="50" t="str">
        <f aca="false">IF($A298="","",INDEX(TblApplications[Environnement],$A298))</f>
        <v/>
      </c>
      <c r="E298" s="50" t="str">
        <f aca="false">IF($A298="","",INDEX(TblApplications[Couloir],$A298))</f>
        <v/>
      </c>
      <c r="F298" s="50" t="str">
        <f aca="false">IF($A298="","",INDEX(TblApplications[Action],$A298))</f>
        <v/>
      </c>
      <c r="G298" s="51" t="str">
        <f aca="false">IF(OR($A298="",G$8=""),"",IF($F298="Migré","ROKS",IF($F298="À décommissionner",IF(G$8&lt;$AS298,"IKS","Décom."),IF(OR($AQ298="",$AS298=""),"",IF(G$8&lt;$AQ298,"IKS",IF(G$8&lt;$AS298,IF(G$8=$AR298,"Bascule","Double run"),"ROKS"))))))</f>
        <v/>
      </c>
      <c r="H298" s="51" t="str">
        <f aca="false">IF(OR($A298="",H$8=""),"",IF($F298="Migré","ROKS",IF($F298="À décommissionner",IF(H$8&lt;$AS298,"IKS","Décom."),IF(OR($AQ298="",$AS298=""),"",IF(H$8&lt;$AQ298,"IKS",IF(H$8&lt;$AS298,IF(H$8=$AR298,"Bascule","Double run"),"ROKS"))))))</f>
        <v/>
      </c>
      <c r="I298" s="51" t="str">
        <f aca="false">IF(OR($A298="",I$8=""),"",IF($F298="Migré","ROKS",IF($F298="À décommissionner",IF(I$8&lt;$AS298,"IKS","Décom."),IF(OR($AQ298="",$AS298=""),"",IF(I$8&lt;$AQ298,"IKS",IF(I$8&lt;$AS298,IF(I$8=$AR298,"Bascule","Double run"),"ROKS"))))))</f>
        <v/>
      </c>
      <c r="J298" s="51" t="str">
        <f aca="false">IF(OR($A298="",J$8=""),"",IF($F298="Migré","ROKS",IF($F298="À décommissionner",IF(J$8&lt;$AS298,"IKS","Décom."),IF(OR($AQ298="",$AS298=""),"",IF(J$8&lt;$AQ298,"IKS",IF(J$8&lt;$AS298,IF(J$8=$AR298,"Bascule","Double run"),"ROKS"))))))</f>
        <v/>
      </c>
      <c r="K298" s="51" t="str">
        <f aca="false">IF(OR($A298="",K$8=""),"",IF($F298="Migré","ROKS",IF($F298="À décommissionner",IF(K$8&lt;$AS298,"IKS","Décom."),IF(OR($AQ298="",$AS298=""),"",IF(K$8&lt;$AQ298,"IKS",IF(K$8&lt;$AS298,IF(K$8=$AR298,"Bascule","Double run"),"ROKS"))))))</f>
        <v/>
      </c>
      <c r="L298" s="51" t="str">
        <f aca="false">IF(OR($A298="",L$8=""),"",IF($F298="Migré","ROKS",IF($F298="À décommissionner",IF(L$8&lt;$AS298,"IKS","Décom."),IF(OR($AQ298="",$AS298=""),"",IF(L$8&lt;$AQ298,"IKS",IF(L$8&lt;$AS298,IF(L$8=$AR298,"Bascule","Double run"),"ROKS"))))))</f>
        <v/>
      </c>
      <c r="M298" s="51" t="str">
        <f aca="false">IF(OR($A298="",M$8=""),"",IF($F298="Migré","ROKS",IF($F298="À décommissionner",IF(M$8&lt;$AS298,"IKS","Décom."),IF(OR($AQ298="",$AS298=""),"",IF(M$8&lt;$AQ298,"IKS",IF(M$8&lt;$AS298,IF(M$8=$AR298,"Bascule","Double run"),"ROKS"))))))</f>
        <v/>
      </c>
      <c r="N298" s="51" t="str">
        <f aca="false">IF(OR($A298="",N$8=""),"",IF($F298="Migré","ROKS",IF($F298="À décommissionner",IF(N$8&lt;$AS298,"IKS","Décom."),IF(OR($AQ298="",$AS298=""),"",IF(N$8&lt;$AQ298,"IKS",IF(N$8&lt;$AS298,IF(N$8=$AR298,"Bascule","Double run"),"ROKS"))))))</f>
        <v/>
      </c>
      <c r="O298" s="51" t="str">
        <f aca="false">IF(OR($A298="",O$8=""),"",IF($F298="Migré","ROKS",IF($F298="À décommissionner",IF(O$8&lt;$AS298,"IKS","Décom."),IF(OR($AQ298="",$AS298=""),"",IF(O$8&lt;$AQ298,"IKS",IF(O$8&lt;$AS298,IF(O$8=$AR298,"Bascule","Double run"),"ROKS"))))))</f>
        <v/>
      </c>
      <c r="P298" s="51" t="str">
        <f aca="false">IF(OR($A298="",P$8=""),"",IF($F298="Migré","ROKS",IF($F298="À décommissionner",IF(P$8&lt;$AS298,"IKS","Décom."),IF(OR($AQ298="",$AS298=""),"",IF(P$8&lt;$AQ298,"IKS",IF(P$8&lt;$AS298,IF(P$8=$AR298,"Bascule","Double run"),"ROKS"))))))</f>
        <v/>
      </c>
      <c r="Q298" s="51" t="str">
        <f aca="false">IF(OR($A298="",Q$8=""),"",IF($F298="Migré","ROKS",IF($F298="À décommissionner",IF(Q$8&lt;$AS298,"IKS","Décom."),IF(OR($AQ298="",$AS298=""),"",IF(Q$8&lt;$AQ298,"IKS",IF(Q$8&lt;$AS298,IF(Q$8=$AR298,"Bascule","Double run"),"ROKS"))))))</f>
        <v/>
      </c>
      <c r="R298" s="51" t="str">
        <f aca="false">IF(OR($A298="",R$8=""),"",IF($F298="Migré","ROKS",IF($F298="À décommissionner",IF(R$8&lt;$AS298,"IKS","Décom."),IF(OR($AQ298="",$AS298=""),"",IF(R$8&lt;$AQ298,"IKS",IF(R$8&lt;$AS298,IF(R$8=$AR298,"Bascule","Double run"),"ROKS"))))))</f>
        <v/>
      </c>
      <c r="S298" s="51" t="str">
        <f aca="false">IF(OR($A298="",S$8=""),"",IF($F298="Migré","ROKS",IF($F298="À décommissionner",IF(S$8&lt;$AS298,"IKS","Décom."),IF(OR($AQ298="",$AS298=""),"",IF(S$8&lt;$AQ298,"IKS",IF(S$8&lt;$AS298,IF(S$8=$AR298,"Bascule","Double run"),"ROKS"))))))</f>
        <v/>
      </c>
      <c r="T298" s="51" t="str">
        <f aca="false">IF(OR($A298="",T$8=""),"",IF($F298="Migré","ROKS",IF($F298="À décommissionner",IF(T$8&lt;$AS298,"IKS","Décom."),IF(OR($AQ298="",$AS298=""),"",IF(T$8&lt;$AQ298,"IKS",IF(T$8&lt;$AS298,IF(T$8=$AR298,"Bascule","Double run"),"ROKS"))))))</f>
        <v/>
      </c>
      <c r="U298" s="51" t="str">
        <f aca="false">IF(OR($A298="",U$8=""),"",IF($F298="Migré","ROKS",IF($F298="À décommissionner",IF(U$8&lt;$AS298,"IKS","Décom."),IF(OR($AQ298="",$AS298=""),"",IF(U$8&lt;$AQ298,"IKS",IF(U$8&lt;$AS298,IF(U$8=$AR298,"Bascule","Double run"),"ROKS"))))))</f>
        <v/>
      </c>
      <c r="V298" s="51" t="str">
        <f aca="false">IF(OR($A298="",V$8=""),"",IF($F298="Migré","ROKS",IF($F298="À décommissionner",IF(V$8&lt;$AS298,"IKS","Décom."),IF(OR($AQ298="",$AS298=""),"",IF(V$8&lt;$AQ298,"IKS",IF(V$8&lt;$AS298,IF(V$8=$AR298,"Bascule","Double run"),"ROKS"))))))</f>
        <v/>
      </c>
      <c r="W298" s="51" t="str">
        <f aca="false">IF(OR($A298="",W$8=""),"",IF($F298="Migré","ROKS",IF($F298="À décommissionner",IF(W$8&lt;$AS298,"IKS","Décom."),IF(OR($AQ298="",$AS298=""),"",IF(W$8&lt;$AQ298,"IKS",IF(W$8&lt;$AS298,IF(W$8=$AR298,"Bascule","Double run"),"ROKS"))))))</f>
        <v/>
      </c>
      <c r="X298" s="51" t="str">
        <f aca="false">IF(OR($A298="",X$8=""),"",IF($F298="Migré","ROKS",IF($F298="À décommissionner",IF(X$8&lt;$AS298,"IKS","Décom."),IF(OR($AQ298="",$AS298=""),"",IF(X$8&lt;$AQ298,"IKS",IF(X$8&lt;$AS298,IF(X$8=$AR298,"Bascule","Double run"),"ROKS"))))))</f>
        <v/>
      </c>
      <c r="Y298" s="51" t="str">
        <f aca="false">IF(OR($A298="",Y$8=""),"",IF($F298="Migré","ROKS",IF($F298="À décommissionner",IF(Y$8&lt;$AS298,"IKS","Décom."),IF(OR($AQ298="",$AS298=""),"",IF(Y$8&lt;$AQ298,"IKS",IF(Y$8&lt;$AS298,IF(Y$8=$AR298,"Bascule","Double run"),"ROKS"))))))</f>
        <v/>
      </c>
      <c r="Z298" s="51" t="str">
        <f aca="false">IF(OR($A298="",Z$8=""),"",IF($F298="Migré","ROKS",IF($F298="À décommissionner",IF(Z$8&lt;$AS298,"IKS","Décom."),IF(OR($AQ298="",$AS298=""),"",IF(Z$8&lt;$AQ298,"IKS",IF(Z$8&lt;$AS298,IF(Z$8=$AR298,"Bascule","Double run"),"ROKS"))))))</f>
        <v/>
      </c>
      <c r="AA298" s="51" t="str">
        <f aca="false">IF(OR($A298="",AA$8=""),"",IF($F298="Migré","ROKS",IF($F298="À décommissionner",IF(AA$8&lt;$AS298,"IKS","Décom."),IF(OR($AQ298="",$AS298=""),"",IF(AA$8&lt;$AQ298,"IKS",IF(AA$8&lt;$AS298,IF(AA$8=$AR298,"Bascule","Double run"),"ROKS"))))))</f>
        <v/>
      </c>
      <c r="AB298" s="51" t="str">
        <f aca="false">IF(OR($A298="",AB$8=""),"",IF($F298="Migré","ROKS",IF($F298="À décommissionner",IF(AB$8&lt;$AS298,"IKS","Décom."),IF(OR($AQ298="",$AS298=""),"",IF(AB$8&lt;$AQ298,"IKS",IF(AB$8&lt;$AS298,IF(AB$8=$AR298,"Bascule","Double run"),"ROKS"))))))</f>
        <v/>
      </c>
      <c r="AC298" s="51" t="str">
        <f aca="false">IF(OR($A298="",AC$8=""),"",IF($F298="Migré","ROKS",IF($F298="À décommissionner",IF(AC$8&lt;$AS298,"IKS","Décom."),IF(OR($AQ298="",$AS298=""),"",IF(AC$8&lt;$AQ298,"IKS",IF(AC$8&lt;$AS298,IF(AC$8=$AR298,"Bascule","Double run"),"ROKS"))))))</f>
        <v/>
      </c>
      <c r="AD298" s="51" t="str">
        <f aca="false">IF(OR($A298="",AD$8=""),"",IF($F298="Migré","ROKS",IF($F298="À décommissionner",IF(AD$8&lt;$AS298,"IKS","Décom."),IF(OR($AQ298="",$AS298=""),"",IF(AD$8&lt;$AQ298,"IKS",IF(AD$8&lt;$AS298,IF(AD$8=$AR298,"Bascule","Double run"),"ROKS"))))))</f>
        <v/>
      </c>
      <c r="AE298" s="51" t="str">
        <f aca="false">IF(OR($A298="",AE$8=""),"",IF($F298="Migré","ROKS",IF($F298="À décommissionner",IF(AE$8&lt;$AS298,"IKS","Décom."),IF(OR($AQ298="",$AS298=""),"",IF(AE$8&lt;$AQ298,"IKS",IF(AE$8&lt;$AS298,IF(AE$8=$AR298,"Bascule","Double run"),"ROKS"))))))</f>
        <v/>
      </c>
      <c r="AF298" s="51" t="str">
        <f aca="false">IF(OR($A298="",AF$8=""),"",IF($F298="Migré","ROKS",IF($F298="À décommissionner",IF(AF$8&lt;$AS298,"IKS","Décom."),IF(OR($AQ298="",$AS298=""),"",IF(AF$8&lt;$AQ298,"IKS",IF(AF$8&lt;$AS298,IF(AF$8=$AR298,"Bascule","Double run"),"ROKS"))))))</f>
        <v/>
      </c>
      <c r="AG298" s="51" t="str">
        <f aca="false">IF(OR($A298="",AG$8=""),"",IF($F298="Migré","ROKS",IF($F298="À décommissionner",IF(AG$8&lt;$AS298,"IKS","Décom."),IF(OR($AQ298="",$AS298=""),"",IF(AG$8&lt;$AQ298,"IKS",IF(AG$8&lt;$AS298,IF(AG$8=$AR298,"Bascule","Double run"),"ROKS"))))))</f>
        <v/>
      </c>
      <c r="AH298" s="51" t="str">
        <f aca="false">IF(OR($A298="",AH$8=""),"",IF($F298="Migré","ROKS",IF($F298="À décommissionner",IF(AH$8&lt;$AS298,"IKS","Décom."),IF(OR($AQ298="",$AS298=""),"",IF(AH$8&lt;$AQ298,"IKS",IF(AH$8&lt;$AS298,IF(AH$8=$AR298,"Bascule","Double run"),"ROKS"))))))</f>
        <v/>
      </c>
      <c r="AI298" s="51" t="str">
        <f aca="false">IF(OR($A298="",AI$8=""),"",IF($F298="Migré","ROKS",IF($F298="À décommissionner",IF(AI$8&lt;$AS298,"IKS","Décom."),IF(OR($AQ298="",$AS298=""),"",IF(AI$8&lt;$AQ298,"IKS",IF(AI$8&lt;$AS298,IF(AI$8=$AR298,"Bascule","Double run"),"ROKS"))))))</f>
        <v/>
      </c>
      <c r="AJ298" s="51" t="str">
        <f aca="false">IF(OR($A298="",AJ$8=""),"",IF($F298="Migré","ROKS",IF($F298="À décommissionner",IF(AJ$8&lt;$AS298,"IKS","Décom."),IF(OR($AQ298="",$AS298=""),"",IF(AJ$8&lt;$AQ298,"IKS",IF(AJ$8&lt;$AS298,IF(AJ$8=$AR298,"Bascule","Double run"),"ROKS"))))))</f>
        <v/>
      </c>
      <c r="AK298" s="51" t="str">
        <f aca="false">IF(OR($A298="",AK$8=""),"",IF($F298="Migré","ROKS",IF($F298="À décommissionner",IF(AK$8&lt;$AS298,"IKS","Décom."),IF(OR($AQ298="",$AS298=""),"",IF(AK$8&lt;$AQ298,"IKS",IF(AK$8&lt;$AS298,IF(AK$8=$AR298,"Bascule","Double run"),"ROKS"))))))</f>
        <v/>
      </c>
      <c r="AL298" s="51" t="str">
        <f aca="false">IF(OR($A298="",AL$8=""),"",IF($F298="Migré","ROKS",IF($F298="À décommissionner",IF(AL$8&lt;$AS298,"IKS","Décom."),IF(OR($AQ298="",$AS298=""),"",IF(AL$8&lt;$AQ298,"IKS",IF(AL$8&lt;$AS298,IF(AL$8=$AR298,"Bascule","Double run"),"ROKS"))))))</f>
        <v/>
      </c>
      <c r="AM298" s="51" t="str">
        <f aca="false">IF(OR($A298="",AM$8=""),"",IF($F298="Migré","ROKS",IF($F298="À décommissionner",IF(AM$8&lt;$AS298,"IKS","Décom."),IF(OR($AQ298="",$AS298=""),"",IF(AM$8&lt;$AQ298,"IKS",IF(AM$8&lt;$AS298,IF(AM$8=$AR298,"Bascule","Double run"),"ROKS"))))))</f>
        <v/>
      </c>
      <c r="AN298" s="51" t="str">
        <f aca="false">IF(OR($A298="",AN$8=""),"",IF($F298="Migré","ROKS",IF($F298="À décommissionner",IF(AN$8&lt;$AS298,"IKS","Décom."),IF(OR($AQ298="",$AS298=""),"",IF(AN$8&lt;$AQ298,"IKS",IF(AN$8&lt;$AS298,IF(AN$8=$AR298,"Bascule","Double run"),"ROKS"))))))</f>
        <v/>
      </c>
      <c r="AO298" s="51" t="str">
        <f aca="false">IF(OR($A298="",AO$8=""),"",IF($F298="Migré","ROKS",IF($F298="À décommissionner",IF(AO$8&lt;$AS298,"IKS","Décom."),IF(OR($AQ298="",$AS298=""),"",IF(AO$8&lt;$AQ298,"IKS",IF(AO$8&lt;$AS298,IF(AO$8=$AR298,"Bascule","Double run"),"ROKS"))))))</f>
        <v/>
      </c>
      <c r="AP298" s="51" t="str">
        <f aca="false">IF(OR($A298="",AP$8=""),"",IF($F298="Migré","ROKS",IF($F298="À décommissionner",IF(AP$8&lt;$AS298,"IKS","Décom."),IF(OR($AQ298="",$AS298=""),"",IF(AP$8&lt;$AQ298,"IKS",IF(AP$8&lt;$AS298,IF(AP$8=$AR298,"Bascule","Double run"),"ROKS"))))))</f>
        <v/>
      </c>
      <c r="AQ298" s="0" t="str">
        <f aca="false">IF($A298="","",INDEX(TblApplications[Mois prov (calc)],$A298))</f>
        <v/>
      </c>
      <c r="AR298" s="0" t="str">
        <f aca="false">IF($A298="","",IFERROR(DATE(YEAR(INDEX(TblApplications[Mois bascule],$A298)),MONTH(INDEX(TblApplications[Mois bascule],$A298)),1),""))</f>
        <v/>
      </c>
      <c r="AS298" s="0" t="str">
        <f aca="false">IF($A298="","",INDEX(TblApplications[Mois lib (calc)],$A298))</f>
        <v/>
      </c>
    </row>
    <row r="299" customFormat="false" ht="15" hidden="false" customHeight="false" outlineLevel="0" collapsed="false">
      <c r="A299" s="49" t="str">
        <f aca="false">IFERROR(MATCH(291,TblApplications[Rang frise],0),"")</f>
        <v/>
      </c>
      <c r="B299" s="50" t="str">
        <f aca="false">IF($A299="","",INDEX(TblApplications[ID],$A299))</f>
        <v/>
      </c>
      <c r="C299" s="50" t="str">
        <f aca="false">IF($A299="","",INDEX(TblApplications[Application],$A299))</f>
        <v/>
      </c>
      <c r="D299" s="50" t="str">
        <f aca="false">IF($A299="","",INDEX(TblApplications[Environnement],$A299))</f>
        <v/>
      </c>
      <c r="E299" s="50" t="str">
        <f aca="false">IF($A299="","",INDEX(TblApplications[Couloir],$A299))</f>
        <v/>
      </c>
      <c r="F299" s="50" t="str">
        <f aca="false">IF($A299="","",INDEX(TblApplications[Action],$A299))</f>
        <v/>
      </c>
      <c r="G299" s="51" t="str">
        <f aca="false">IF(OR($A299="",G$8=""),"",IF($F299="Migré","ROKS",IF($F299="À décommissionner",IF(G$8&lt;$AS299,"IKS","Décom."),IF(OR($AQ299="",$AS299=""),"",IF(G$8&lt;$AQ299,"IKS",IF(G$8&lt;$AS299,IF(G$8=$AR299,"Bascule","Double run"),"ROKS"))))))</f>
        <v/>
      </c>
      <c r="H299" s="51" t="str">
        <f aca="false">IF(OR($A299="",H$8=""),"",IF($F299="Migré","ROKS",IF($F299="À décommissionner",IF(H$8&lt;$AS299,"IKS","Décom."),IF(OR($AQ299="",$AS299=""),"",IF(H$8&lt;$AQ299,"IKS",IF(H$8&lt;$AS299,IF(H$8=$AR299,"Bascule","Double run"),"ROKS"))))))</f>
        <v/>
      </c>
      <c r="I299" s="51" t="str">
        <f aca="false">IF(OR($A299="",I$8=""),"",IF($F299="Migré","ROKS",IF($F299="À décommissionner",IF(I$8&lt;$AS299,"IKS","Décom."),IF(OR($AQ299="",$AS299=""),"",IF(I$8&lt;$AQ299,"IKS",IF(I$8&lt;$AS299,IF(I$8=$AR299,"Bascule","Double run"),"ROKS"))))))</f>
        <v/>
      </c>
      <c r="J299" s="51" t="str">
        <f aca="false">IF(OR($A299="",J$8=""),"",IF($F299="Migré","ROKS",IF($F299="À décommissionner",IF(J$8&lt;$AS299,"IKS","Décom."),IF(OR($AQ299="",$AS299=""),"",IF(J$8&lt;$AQ299,"IKS",IF(J$8&lt;$AS299,IF(J$8=$AR299,"Bascule","Double run"),"ROKS"))))))</f>
        <v/>
      </c>
      <c r="K299" s="51" t="str">
        <f aca="false">IF(OR($A299="",K$8=""),"",IF($F299="Migré","ROKS",IF($F299="À décommissionner",IF(K$8&lt;$AS299,"IKS","Décom."),IF(OR($AQ299="",$AS299=""),"",IF(K$8&lt;$AQ299,"IKS",IF(K$8&lt;$AS299,IF(K$8=$AR299,"Bascule","Double run"),"ROKS"))))))</f>
        <v/>
      </c>
      <c r="L299" s="51" t="str">
        <f aca="false">IF(OR($A299="",L$8=""),"",IF($F299="Migré","ROKS",IF($F299="À décommissionner",IF(L$8&lt;$AS299,"IKS","Décom."),IF(OR($AQ299="",$AS299=""),"",IF(L$8&lt;$AQ299,"IKS",IF(L$8&lt;$AS299,IF(L$8=$AR299,"Bascule","Double run"),"ROKS"))))))</f>
        <v/>
      </c>
      <c r="M299" s="51" t="str">
        <f aca="false">IF(OR($A299="",M$8=""),"",IF($F299="Migré","ROKS",IF($F299="À décommissionner",IF(M$8&lt;$AS299,"IKS","Décom."),IF(OR($AQ299="",$AS299=""),"",IF(M$8&lt;$AQ299,"IKS",IF(M$8&lt;$AS299,IF(M$8=$AR299,"Bascule","Double run"),"ROKS"))))))</f>
        <v/>
      </c>
      <c r="N299" s="51" t="str">
        <f aca="false">IF(OR($A299="",N$8=""),"",IF($F299="Migré","ROKS",IF($F299="À décommissionner",IF(N$8&lt;$AS299,"IKS","Décom."),IF(OR($AQ299="",$AS299=""),"",IF(N$8&lt;$AQ299,"IKS",IF(N$8&lt;$AS299,IF(N$8=$AR299,"Bascule","Double run"),"ROKS"))))))</f>
        <v/>
      </c>
      <c r="O299" s="51" t="str">
        <f aca="false">IF(OR($A299="",O$8=""),"",IF($F299="Migré","ROKS",IF($F299="À décommissionner",IF(O$8&lt;$AS299,"IKS","Décom."),IF(OR($AQ299="",$AS299=""),"",IF(O$8&lt;$AQ299,"IKS",IF(O$8&lt;$AS299,IF(O$8=$AR299,"Bascule","Double run"),"ROKS"))))))</f>
        <v/>
      </c>
      <c r="P299" s="51" t="str">
        <f aca="false">IF(OR($A299="",P$8=""),"",IF($F299="Migré","ROKS",IF($F299="À décommissionner",IF(P$8&lt;$AS299,"IKS","Décom."),IF(OR($AQ299="",$AS299=""),"",IF(P$8&lt;$AQ299,"IKS",IF(P$8&lt;$AS299,IF(P$8=$AR299,"Bascule","Double run"),"ROKS"))))))</f>
        <v/>
      </c>
      <c r="Q299" s="51" t="str">
        <f aca="false">IF(OR($A299="",Q$8=""),"",IF($F299="Migré","ROKS",IF($F299="À décommissionner",IF(Q$8&lt;$AS299,"IKS","Décom."),IF(OR($AQ299="",$AS299=""),"",IF(Q$8&lt;$AQ299,"IKS",IF(Q$8&lt;$AS299,IF(Q$8=$AR299,"Bascule","Double run"),"ROKS"))))))</f>
        <v/>
      </c>
      <c r="R299" s="51" t="str">
        <f aca="false">IF(OR($A299="",R$8=""),"",IF($F299="Migré","ROKS",IF($F299="À décommissionner",IF(R$8&lt;$AS299,"IKS","Décom."),IF(OR($AQ299="",$AS299=""),"",IF(R$8&lt;$AQ299,"IKS",IF(R$8&lt;$AS299,IF(R$8=$AR299,"Bascule","Double run"),"ROKS"))))))</f>
        <v/>
      </c>
      <c r="S299" s="51" t="str">
        <f aca="false">IF(OR($A299="",S$8=""),"",IF($F299="Migré","ROKS",IF($F299="À décommissionner",IF(S$8&lt;$AS299,"IKS","Décom."),IF(OR($AQ299="",$AS299=""),"",IF(S$8&lt;$AQ299,"IKS",IF(S$8&lt;$AS299,IF(S$8=$AR299,"Bascule","Double run"),"ROKS"))))))</f>
        <v/>
      </c>
      <c r="T299" s="51" t="str">
        <f aca="false">IF(OR($A299="",T$8=""),"",IF($F299="Migré","ROKS",IF($F299="À décommissionner",IF(T$8&lt;$AS299,"IKS","Décom."),IF(OR($AQ299="",$AS299=""),"",IF(T$8&lt;$AQ299,"IKS",IF(T$8&lt;$AS299,IF(T$8=$AR299,"Bascule","Double run"),"ROKS"))))))</f>
        <v/>
      </c>
      <c r="U299" s="51" t="str">
        <f aca="false">IF(OR($A299="",U$8=""),"",IF($F299="Migré","ROKS",IF($F299="À décommissionner",IF(U$8&lt;$AS299,"IKS","Décom."),IF(OR($AQ299="",$AS299=""),"",IF(U$8&lt;$AQ299,"IKS",IF(U$8&lt;$AS299,IF(U$8=$AR299,"Bascule","Double run"),"ROKS"))))))</f>
        <v/>
      </c>
      <c r="V299" s="51" t="str">
        <f aca="false">IF(OR($A299="",V$8=""),"",IF($F299="Migré","ROKS",IF($F299="À décommissionner",IF(V$8&lt;$AS299,"IKS","Décom."),IF(OR($AQ299="",$AS299=""),"",IF(V$8&lt;$AQ299,"IKS",IF(V$8&lt;$AS299,IF(V$8=$AR299,"Bascule","Double run"),"ROKS"))))))</f>
        <v/>
      </c>
      <c r="W299" s="51" t="str">
        <f aca="false">IF(OR($A299="",W$8=""),"",IF($F299="Migré","ROKS",IF($F299="À décommissionner",IF(W$8&lt;$AS299,"IKS","Décom."),IF(OR($AQ299="",$AS299=""),"",IF(W$8&lt;$AQ299,"IKS",IF(W$8&lt;$AS299,IF(W$8=$AR299,"Bascule","Double run"),"ROKS"))))))</f>
        <v/>
      </c>
      <c r="X299" s="51" t="str">
        <f aca="false">IF(OR($A299="",X$8=""),"",IF($F299="Migré","ROKS",IF($F299="À décommissionner",IF(X$8&lt;$AS299,"IKS","Décom."),IF(OR($AQ299="",$AS299=""),"",IF(X$8&lt;$AQ299,"IKS",IF(X$8&lt;$AS299,IF(X$8=$AR299,"Bascule","Double run"),"ROKS"))))))</f>
        <v/>
      </c>
      <c r="Y299" s="51" t="str">
        <f aca="false">IF(OR($A299="",Y$8=""),"",IF($F299="Migré","ROKS",IF($F299="À décommissionner",IF(Y$8&lt;$AS299,"IKS","Décom."),IF(OR($AQ299="",$AS299=""),"",IF(Y$8&lt;$AQ299,"IKS",IF(Y$8&lt;$AS299,IF(Y$8=$AR299,"Bascule","Double run"),"ROKS"))))))</f>
        <v/>
      </c>
      <c r="Z299" s="51" t="str">
        <f aca="false">IF(OR($A299="",Z$8=""),"",IF($F299="Migré","ROKS",IF($F299="À décommissionner",IF(Z$8&lt;$AS299,"IKS","Décom."),IF(OR($AQ299="",$AS299=""),"",IF(Z$8&lt;$AQ299,"IKS",IF(Z$8&lt;$AS299,IF(Z$8=$AR299,"Bascule","Double run"),"ROKS"))))))</f>
        <v/>
      </c>
      <c r="AA299" s="51" t="str">
        <f aca="false">IF(OR($A299="",AA$8=""),"",IF($F299="Migré","ROKS",IF($F299="À décommissionner",IF(AA$8&lt;$AS299,"IKS","Décom."),IF(OR($AQ299="",$AS299=""),"",IF(AA$8&lt;$AQ299,"IKS",IF(AA$8&lt;$AS299,IF(AA$8=$AR299,"Bascule","Double run"),"ROKS"))))))</f>
        <v/>
      </c>
      <c r="AB299" s="51" t="str">
        <f aca="false">IF(OR($A299="",AB$8=""),"",IF($F299="Migré","ROKS",IF($F299="À décommissionner",IF(AB$8&lt;$AS299,"IKS","Décom."),IF(OR($AQ299="",$AS299=""),"",IF(AB$8&lt;$AQ299,"IKS",IF(AB$8&lt;$AS299,IF(AB$8=$AR299,"Bascule","Double run"),"ROKS"))))))</f>
        <v/>
      </c>
      <c r="AC299" s="51" t="str">
        <f aca="false">IF(OR($A299="",AC$8=""),"",IF($F299="Migré","ROKS",IF($F299="À décommissionner",IF(AC$8&lt;$AS299,"IKS","Décom."),IF(OR($AQ299="",$AS299=""),"",IF(AC$8&lt;$AQ299,"IKS",IF(AC$8&lt;$AS299,IF(AC$8=$AR299,"Bascule","Double run"),"ROKS"))))))</f>
        <v/>
      </c>
      <c r="AD299" s="51" t="str">
        <f aca="false">IF(OR($A299="",AD$8=""),"",IF($F299="Migré","ROKS",IF($F299="À décommissionner",IF(AD$8&lt;$AS299,"IKS","Décom."),IF(OR($AQ299="",$AS299=""),"",IF(AD$8&lt;$AQ299,"IKS",IF(AD$8&lt;$AS299,IF(AD$8=$AR299,"Bascule","Double run"),"ROKS"))))))</f>
        <v/>
      </c>
      <c r="AE299" s="51" t="str">
        <f aca="false">IF(OR($A299="",AE$8=""),"",IF($F299="Migré","ROKS",IF($F299="À décommissionner",IF(AE$8&lt;$AS299,"IKS","Décom."),IF(OR($AQ299="",$AS299=""),"",IF(AE$8&lt;$AQ299,"IKS",IF(AE$8&lt;$AS299,IF(AE$8=$AR299,"Bascule","Double run"),"ROKS"))))))</f>
        <v/>
      </c>
      <c r="AF299" s="51" t="str">
        <f aca="false">IF(OR($A299="",AF$8=""),"",IF($F299="Migré","ROKS",IF($F299="À décommissionner",IF(AF$8&lt;$AS299,"IKS","Décom."),IF(OR($AQ299="",$AS299=""),"",IF(AF$8&lt;$AQ299,"IKS",IF(AF$8&lt;$AS299,IF(AF$8=$AR299,"Bascule","Double run"),"ROKS"))))))</f>
        <v/>
      </c>
      <c r="AG299" s="51" t="str">
        <f aca="false">IF(OR($A299="",AG$8=""),"",IF($F299="Migré","ROKS",IF($F299="À décommissionner",IF(AG$8&lt;$AS299,"IKS","Décom."),IF(OR($AQ299="",$AS299=""),"",IF(AG$8&lt;$AQ299,"IKS",IF(AG$8&lt;$AS299,IF(AG$8=$AR299,"Bascule","Double run"),"ROKS"))))))</f>
        <v/>
      </c>
      <c r="AH299" s="51" t="str">
        <f aca="false">IF(OR($A299="",AH$8=""),"",IF($F299="Migré","ROKS",IF($F299="À décommissionner",IF(AH$8&lt;$AS299,"IKS","Décom."),IF(OR($AQ299="",$AS299=""),"",IF(AH$8&lt;$AQ299,"IKS",IF(AH$8&lt;$AS299,IF(AH$8=$AR299,"Bascule","Double run"),"ROKS"))))))</f>
        <v/>
      </c>
      <c r="AI299" s="51" t="str">
        <f aca="false">IF(OR($A299="",AI$8=""),"",IF($F299="Migré","ROKS",IF($F299="À décommissionner",IF(AI$8&lt;$AS299,"IKS","Décom."),IF(OR($AQ299="",$AS299=""),"",IF(AI$8&lt;$AQ299,"IKS",IF(AI$8&lt;$AS299,IF(AI$8=$AR299,"Bascule","Double run"),"ROKS"))))))</f>
        <v/>
      </c>
      <c r="AJ299" s="51" t="str">
        <f aca="false">IF(OR($A299="",AJ$8=""),"",IF($F299="Migré","ROKS",IF($F299="À décommissionner",IF(AJ$8&lt;$AS299,"IKS","Décom."),IF(OR($AQ299="",$AS299=""),"",IF(AJ$8&lt;$AQ299,"IKS",IF(AJ$8&lt;$AS299,IF(AJ$8=$AR299,"Bascule","Double run"),"ROKS"))))))</f>
        <v/>
      </c>
      <c r="AK299" s="51" t="str">
        <f aca="false">IF(OR($A299="",AK$8=""),"",IF($F299="Migré","ROKS",IF($F299="À décommissionner",IF(AK$8&lt;$AS299,"IKS","Décom."),IF(OR($AQ299="",$AS299=""),"",IF(AK$8&lt;$AQ299,"IKS",IF(AK$8&lt;$AS299,IF(AK$8=$AR299,"Bascule","Double run"),"ROKS"))))))</f>
        <v/>
      </c>
      <c r="AL299" s="51" t="str">
        <f aca="false">IF(OR($A299="",AL$8=""),"",IF($F299="Migré","ROKS",IF($F299="À décommissionner",IF(AL$8&lt;$AS299,"IKS","Décom."),IF(OR($AQ299="",$AS299=""),"",IF(AL$8&lt;$AQ299,"IKS",IF(AL$8&lt;$AS299,IF(AL$8=$AR299,"Bascule","Double run"),"ROKS"))))))</f>
        <v/>
      </c>
      <c r="AM299" s="51" t="str">
        <f aca="false">IF(OR($A299="",AM$8=""),"",IF($F299="Migré","ROKS",IF($F299="À décommissionner",IF(AM$8&lt;$AS299,"IKS","Décom."),IF(OR($AQ299="",$AS299=""),"",IF(AM$8&lt;$AQ299,"IKS",IF(AM$8&lt;$AS299,IF(AM$8=$AR299,"Bascule","Double run"),"ROKS"))))))</f>
        <v/>
      </c>
      <c r="AN299" s="51" t="str">
        <f aca="false">IF(OR($A299="",AN$8=""),"",IF($F299="Migré","ROKS",IF($F299="À décommissionner",IF(AN$8&lt;$AS299,"IKS","Décom."),IF(OR($AQ299="",$AS299=""),"",IF(AN$8&lt;$AQ299,"IKS",IF(AN$8&lt;$AS299,IF(AN$8=$AR299,"Bascule","Double run"),"ROKS"))))))</f>
        <v/>
      </c>
      <c r="AO299" s="51" t="str">
        <f aca="false">IF(OR($A299="",AO$8=""),"",IF($F299="Migré","ROKS",IF($F299="À décommissionner",IF(AO$8&lt;$AS299,"IKS","Décom."),IF(OR($AQ299="",$AS299=""),"",IF(AO$8&lt;$AQ299,"IKS",IF(AO$8&lt;$AS299,IF(AO$8=$AR299,"Bascule","Double run"),"ROKS"))))))</f>
        <v/>
      </c>
      <c r="AP299" s="51" t="str">
        <f aca="false">IF(OR($A299="",AP$8=""),"",IF($F299="Migré","ROKS",IF($F299="À décommissionner",IF(AP$8&lt;$AS299,"IKS","Décom."),IF(OR($AQ299="",$AS299=""),"",IF(AP$8&lt;$AQ299,"IKS",IF(AP$8&lt;$AS299,IF(AP$8=$AR299,"Bascule","Double run"),"ROKS"))))))</f>
        <v/>
      </c>
      <c r="AQ299" s="0" t="str">
        <f aca="false">IF($A299="","",INDEX(TblApplications[Mois prov (calc)],$A299))</f>
        <v/>
      </c>
      <c r="AR299" s="0" t="str">
        <f aca="false">IF($A299="","",IFERROR(DATE(YEAR(INDEX(TblApplications[Mois bascule],$A299)),MONTH(INDEX(TblApplications[Mois bascule],$A299)),1),""))</f>
        <v/>
      </c>
      <c r="AS299" s="0" t="str">
        <f aca="false">IF($A299="","",INDEX(TblApplications[Mois lib (calc)],$A299))</f>
        <v/>
      </c>
    </row>
    <row r="300" customFormat="false" ht="15" hidden="false" customHeight="false" outlineLevel="0" collapsed="false">
      <c r="A300" s="49" t="str">
        <f aca="false">IFERROR(MATCH(292,TblApplications[Rang frise],0),"")</f>
        <v/>
      </c>
      <c r="B300" s="50" t="str">
        <f aca="false">IF($A300="","",INDEX(TblApplications[ID],$A300))</f>
        <v/>
      </c>
      <c r="C300" s="50" t="str">
        <f aca="false">IF($A300="","",INDEX(TblApplications[Application],$A300))</f>
        <v/>
      </c>
      <c r="D300" s="50" t="str">
        <f aca="false">IF($A300="","",INDEX(TblApplications[Environnement],$A300))</f>
        <v/>
      </c>
      <c r="E300" s="50" t="str">
        <f aca="false">IF($A300="","",INDEX(TblApplications[Couloir],$A300))</f>
        <v/>
      </c>
      <c r="F300" s="50" t="str">
        <f aca="false">IF($A300="","",INDEX(TblApplications[Action],$A300))</f>
        <v/>
      </c>
      <c r="G300" s="51" t="str">
        <f aca="false">IF(OR($A300="",G$8=""),"",IF($F300="Migré","ROKS",IF($F300="À décommissionner",IF(G$8&lt;$AS300,"IKS","Décom."),IF(OR($AQ300="",$AS300=""),"",IF(G$8&lt;$AQ300,"IKS",IF(G$8&lt;$AS300,IF(G$8=$AR300,"Bascule","Double run"),"ROKS"))))))</f>
        <v/>
      </c>
      <c r="H300" s="51" t="str">
        <f aca="false">IF(OR($A300="",H$8=""),"",IF($F300="Migré","ROKS",IF($F300="À décommissionner",IF(H$8&lt;$AS300,"IKS","Décom."),IF(OR($AQ300="",$AS300=""),"",IF(H$8&lt;$AQ300,"IKS",IF(H$8&lt;$AS300,IF(H$8=$AR300,"Bascule","Double run"),"ROKS"))))))</f>
        <v/>
      </c>
      <c r="I300" s="51" t="str">
        <f aca="false">IF(OR($A300="",I$8=""),"",IF($F300="Migré","ROKS",IF($F300="À décommissionner",IF(I$8&lt;$AS300,"IKS","Décom."),IF(OR($AQ300="",$AS300=""),"",IF(I$8&lt;$AQ300,"IKS",IF(I$8&lt;$AS300,IF(I$8=$AR300,"Bascule","Double run"),"ROKS"))))))</f>
        <v/>
      </c>
      <c r="J300" s="51" t="str">
        <f aca="false">IF(OR($A300="",J$8=""),"",IF($F300="Migré","ROKS",IF($F300="À décommissionner",IF(J$8&lt;$AS300,"IKS","Décom."),IF(OR($AQ300="",$AS300=""),"",IF(J$8&lt;$AQ300,"IKS",IF(J$8&lt;$AS300,IF(J$8=$AR300,"Bascule","Double run"),"ROKS"))))))</f>
        <v/>
      </c>
      <c r="K300" s="51" t="str">
        <f aca="false">IF(OR($A300="",K$8=""),"",IF($F300="Migré","ROKS",IF($F300="À décommissionner",IF(K$8&lt;$AS300,"IKS","Décom."),IF(OR($AQ300="",$AS300=""),"",IF(K$8&lt;$AQ300,"IKS",IF(K$8&lt;$AS300,IF(K$8=$AR300,"Bascule","Double run"),"ROKS"))))))</f>
        <v/>
      </c>
      <c r="L300" s="51" t="str">
        <f aca="false">IF(OR($A300="",L$8=""),"",IF($F300="Migré","ROKS",IF($F300="À décommissionner",IF(L$8&lt;$AS300,"IKS","Décom."),IF(OR($AQ300="",$AS300=""),"",IF(L$8&lt;$AQ300,"IKS",IF(L$8&lt;$AS300,IF(L$8=$AR300,"Bascule","Double run"),"ROKS"))))))</f>
        <v/>
      </c>
      <c r="M300" s="51" t="str">
        <f aca="false">IF(OR($A300="",M$8=""),"",IF($F300="Migré","ROKS",IF($F300="À décommissionner",IF(M$8&lt;$AS300,"IKS","Décom."),IF(OR($AQ300="",$AS300=""),"",IF(M$8&lt;$AQ300,"IKS",IF(M$8&lt;$AS300,IF(M$8=$AR300,"Bascule","Double run"),"ROKS"))))))</f>
        <v/>
      </c>
      <c r="N300" s="51" t="str">
        <f aca="false">IF(OR($A300="",N$8=""),"",IF($F300="Migré","ROKS",IF($F300="À décommissionner",IF(N$8&lt;$AS300,"IKS","Décom."),IF(OR($AQ300="",$AS300=""),"",IF(N$8&lt;$AQ300,"IKS",IF(N$8&lt;$AS300,IF(N$8=$AR300,"Bascule","Double run"),"ROKS"))))))</f>
        <v/>
      </c>
      <c r="O300" s="51" t="str">
        <f aca="false">IF(OR($A300="",O$8=""),"",IF($F300="Migré","ROKS",IF($F300="À décommissionner",IF(O$8&lt;$AS300,"IKS","Décom."),IF(OR($AQ300="",$AS300=""),"",IF(O$8&lt;$AQ300,"IKS",IF(O$8&lt;$AS300,IF(O$8=$AR300,"Bascule","Double run"),"ROKS"))))))</f>
        <v/>
      </c>
      <c r="P300" s="51" t="str">
        <f aca="false">IF(OR($A300="",P$8=""),"",IF($F300="Migré","ROKS",IF($F300="À décommissionner",IF(P$8&lt;$AS300,"IKS","Décom."),IF(OR($AQ300="",$AS300=""),"",IF(P$8&lt;$AQ300,"IKS",IF(P$8&lt;$AS300,IF(P$8=$AR300,"Bascule","Double run"),"ROKS"))))))</f>
        <v/>
      </c>
      <c r="Q300" s="51" t="str">
        <f aca="false">IF(OR($A300="",Q$8=""),"",IF($F300="Migré","ROKS",IF($F300="À décommissionner",IF(Q$8&lt;$AS300,"IKS","Décom."),IF(OR($AQ300="",$AS300=""),"",IF(Q$8&lt;$AQ300,"IKS",IF(Q$8&lt;$AS300,IF(Q$8=$AR300,"Bascule","Double run"),"ROKS"))))))</f>
        <v/>
      </c>
      <c r="R300" s="51" t="str">
        <f aca="false">IF(OR($A300="",R$8=""),"",IF($F300="Migré","ROKS",IF($F300="À décommissionner",IF(R$8&lt;$AS300,"IKS","Décom."),IF(OR($AQ300="",$AS300=""),"",IF(R$8&lt;$AQ300,"IKS",IF(R$8&lt;$AS300,IF(R$8=$AR300,"Bascule","Double run"),"ROKS"))))))</f>
        <v/>
      </c>
      <c r="S300" s="51" t="str">
        <f aca="false">IF(OR($A300="",S$8=""),"",IF($F300="Migré","ROKS",IF($F300="À décommissionner",IF(S$8&lt;$AS300,"IKS","Décom."),IF(OR($AQ300="",$AS300=""),"",IF(S$8&lt;$AQ300,"IKS",IF(S$8&lt;$AS300,IF(S$8=$AR300,"Bascule","Double run"),"ROKS"))))))</f>
        <v/>
      </c>
      <c r="T300" s="51" t="str">
        <f aca="false">IF(OR($A300="",T$8=""),"",IF($F300="Migré","ROKS",IF($F300="À décommissionner",IF(T$8&lt;$AS300,"IKS","Décom."),IF(OR($AQ300="",$AS300=""),"",IF(T$8&lt;$AQ300,"IKS",IF(T$8&lt;$AS300,IF(T$8=$AR300,"Bascule","Double run"),"ROKS"))))))</f>
        <v/>
      </c>
      <c r="U300" s="51" t="str">
        <f aca="false">IF(OR($A300="",U$8=""),"",IF($F300="Migré","ROKS",IF($F300="À décommissionner",IF(U$8&lt;$AS300,"IKS","Décom."),IF(OR($AQ300="",$AS300=""),"",IF(U$8&lt;$AQ300,"IKS",IF(U$8&lt;$AS300,IF(U$8=$AR300,"Bascule","Double run"),"ROKS"))))))</f>
        <v/>
      </c>
      <c r="V300" s="51" t="str">
        <f aca="false">IF(OR($A300="",V$8=""),"",IF($F300="Migré","ROKS",IF($F300="À décommissionner",IF(V$8&lt;$AS300,"IKS","Décom."),IF(OR($AQ300="",$AS300=""),"",IF(V$8&lt;$AQ300,"IKS",IF(V$8&lt;$AS300,IF(V$8=$AR300,"Bascule","Double run"),"ROKS"))))))</f>
        <v/>
      </c>
      <c r="W300" s="51" t="str">
        <f aca="false">IF(OR($A300="",W$8=""),"",IF($F300="Migré","ROKS",IF($F300="À décommissionner",IF(W$8&lt;$AS300,"IKS","Décom."),IF(OR($AQ300="",$AS300=""),"",IF(W$8&lt;$AQ300,"IKS",IF(W$8&lt;$AS300,IF(W$8=$AR300,"Bascule","Double run"),"ROKS"))))))</f>
        <v/>
      </c>
      <c r="X300" s="51" t="str">
        <f aca="false">IF(OR($A300="",X$8=""),"",IF($F300="Migré","ROKS",IF($F300="À décommissionner",IF(X$8&lt;$AS300,"IKS","Décom."),IF(OR($AQ300="",$AS300=""),"",IF(X$8&lt;$AQ300,"IKS",IF(X$8&lt;$AS300,IF(X$8=$AR300,"Bascule","Double run"),"ROKS"))))))</f>
        <v/>
      </c>
      <c r="Y300" s="51" t="str">
        <f aca="false">IF(OR($A300="",Y$8=""),"",IF($F300="Migré","ROKS",IF($F300="À décommissionner",IF(Y$8&lt;$AS300,"IKS","Décom."),IF(OR($AQ300="",$AS300=""),"",IF(Y$8&lt;$AQ300,"IKS",IF(Y$8&lt;$AS300,IF(Y$8=$AR300,"Bascule","Double run"),"ROKS"))))))</f>
        <v/>
      </c>
      <c r="Z300" s="51" t="str">
        <f aca="false">IF(OR($A300="",Z$8=""),"",IF($F300="Migré","ROKS",IF($F300="À décommissionner",IF(Z$8&lt;$AS300,"IKS","Décom."),IF(OR($AQ300="",$AS300=""),"",IF(Z$8&lt;$AQ300,"IKS",IF(Z$8&lt;$AS300,IF(Z$8=$AR300,"Bascule","Double run"),"ROKS"))))))</f>
        <v/>
      </c>
      <c r="AA300" s="51" t="str">
        <f aca="false">IF(OR($A300="",AA$8=""),"",IF($F300="Migré","ROKS",IF($F300="À décommissionner",IF(AA$8&lt;$AS300,"IKS","Décom."),IF(OR($AQ300="",$AS300=""),"",IF(AA$8&lt;$AQ300,"IKS",IF(AA$8&lt;$AS300,IF(AA$8=$AR300,"Bascule","Double run"),"ROKS"))))))</f>
        <v/>
      </c>
      <c r="AB300" s="51" t="str">
        <f aca="false">IF(OR($A300="",AB$8=""),"",IF($F300="Migré","ROKS",IF($F300="À décommissionner",IF(AB$8&lt;$AS300,"IKS","Décom."),IF(OR($AQ300="",$AS300=""),"",IF(AB$8&lt;$AQ300,"IKS",IF(AB$8&lt;$AS300,IF(AB$8=$AR300,"Bascule","Double run"),"ROKS"))))))</f>
        <v/>
      </c>
      <c r="AC300" s="51" t="str">
        <f aca="false">IF(OR($A300="",AC$8=""),"",IF($F300="Migré","ROKS",IF($F300="À décommissionner",IF(AC$8&lt;$AS300,"IKS","Décom."),IF(OR($AQ300="",$AS300=""),"",IF(AC$8&lt;$AQ300,"IKS",IF(AC$8&lt;$AS300,IF(AC$8=$AR300,"Bascule","Double run"),"ROKS"))))))</f>
        <v/>
      </c>
      <c r="AD300" s="51" t="str">
        <f aca="false">IF(OR($A300="",AD$8=""),"",IF($F300="Migré","ROKS",IF($F300="À décommissionner",IF(AD$8&lt;$AS300,"IKS","Décom."),IF(OR($AQ300="",$AS300=""),"",IF(AD$8&lt;$AQ300,"IKS",IF(AD$8&lt;$AS300,IF(AD$8=$AR300,"Bascule","Double run"),"ROKS"))))))</f>
        <v/>
      </c>
      <c r="AE300" s="51" t="str">
        <f aca="false">IF(OR($A300="",AE$8=""),"",IF($F300="Migré","ROKS",IF($F300="À décommissionner",IF(AE$8&lt;$AS300,"IKS","Décom."),IF(OR($AQ300="",$AS300=""),"",IF(AE$8&lt;$AQ300,"IKS",IF(AE$8&lt;$AS300,IF(AE$8=$AR300,"Bascule","Double run"),"ROKS"))))))</f>
        <v/>
      </c>
      <c r="AF300" s="51" t="str">
        <f aca="false">IF(OR($A300="",AF$8=""),"",IF($F300="Migré","ROKS",IF($F300="À décommissionner",IF(AF$8&lt;$AS300,"IKS","Décom."),IF(OR($AQ300="",$AS300=""),"",IF(AF$8&lt;$AQ300,"IKS",IF(AF$8&lt;$AS300,IF(AF$8=$AR300,"Bascule","Double run"),"ROKS"))))))</f>
        <v/>
      </c>
      <c r="AG300" s="51" t="str">
        <f aca="false">IF(OR($A300="",AG$8=""),"",IF($F300="Migré","ROKS",IF($F300="À décommissionner",IF(AG$8&lt;$AS300,"IKS","Décom."),IF(OR($AQ300="",$AS300=""),"",IF(AG$8&lt;$AQ300,"IKS",IF(AG$8&lt;$AS300,IF(AG$8=$AR300,"Bascule","Double run"),"ROKS"))))))</f>
        <v/>
      </c>
      <c r="AH300" s="51" t="str">
        <f aca="false">IF(OR($A300="",AH$8=""),"",IF($F300="Migré","ROKS",IF($F300="À décommissionner",IF(AH$8&lt;$AS300,"IKS","Décom."),IF(OR($AQ300="",$AS300=""),"",IF(AH$8&lt;$AQ300,"IKS",IF(AH$8&lt;$AS300,IF(AH$8=$AR300,"Bascule","Double run"),"ROKS"))))))</f>
        <v/>
      </c>
      <c r="AI300" s="51" t="str">
        <f aca="false">IF(OR($A300="",AI$8=""),"",IF($F300="Migré","ROKS",IF($F300="À décommissionner",IF(AI$8&lt;$AS300,"IKS","Décom."),IF(OR($AQ300="",$AS300=""),"",IF(AI$8&lt;$AQ300,"IKS",IF(AI$8&lt;$AS300,IF(AI$8=$AR300,"Bascule","Double run"),"ROKS"))))))</f>
        <v/>
      </c>
      <c r="AJ300" s="51" t="str">
        <f aca="false">IF(OR($A300="",AJ$8=""),"",IF($F300="Migré","ROKS",IF($F300="À décommissionner",IF(AJ$8&lt;$AS300,"IKS","Décom."),IF(OR($AQ300="",$AS300=""),"",IF(AJ$8&lt;$AQ300,"IKS",IF(AJ$8&lt;$AS300,IF(AJ$8=$AR300,"Bascule","Double run"),"ROKS"))))))</f>
        <v/>
      </c>
      <c r="AK300" s="51" t="str">
        <f aca="false">IF(OR($A300="",AK$8=""),"",IF($F300="Migré","ROKS",IF($F300="À décommissionner",IF(AK$8&lt;$AS300,"IKS","Décom."),IF(OR($AQ300="",$AS300=""),"",IF(AK$8&lt;$AQ300,"IKS",IF(AK$8&lt;$AS300,IF(AK$8=$AR300,"Bascule","Double run"),"ROKS"))))))</f>
        <v/>
      </c>
      <c r="AL300" s="51" t="str">
        <f aca="false">IF(OR($A300="",AL$8=""),"",IF($F300="Migré","ROKS",IF($F300="À décommissionner",IF(AL$8&lt;$AS300,"IKS","Décom."),IF(OR($AQ300="",$AS300=""),"",IF(AL$8&lt;$AQ300,"IKS",IF(AL$8&lt;$AS300,IF(AL$8=$AR300,"Bascule","Double run"),"ROKS"))))))</f>
        <v/>
      </c>
      <c r="AM300" s="51" t="str">
        <f aca="false">IF(OR($A300="",AM$8=""),"",IF($F300="Migré","ROKS",IF($F300="À décommissionner",IF(AM$8&lt;$AS300,"IKS","Décom."),IF(OR($AQ300="",$AS300=""),"",IF(AM$8&lt;$AQ300,"IKS",IF(AM$8&lt;$AS300,IF(AM$8=$AR300,"Bascule","Double run"),"ROKS"))))))</f>
        <v/>
      </c>
      <c r="AN300" s="51" t="str">
        <f aca="false">IF(OR($A300="",AN$8=""),"",IF($F300="Migré","ROKS",IF($F300="À décommissionner",IF(AN$8&lt;$AS300,"IKS","Décom."),IF(OR($AQ300="",$AS300=""),"",IF(AN$8&lt;$AQ300,"IKS",IF(AN$8&lt;$AS300,IF(AN$8=$AR300,"Bascule","Double run"),"ROKS"))))))</f>
        <v/>
      </c>
      <c r="AO300" s="51" t="str">
        <f aca="false">IF(OR($A300="",AO$8=""),"",IF($F300="Migré","ROKS",IF($F300="À décommissionner",IF(AO$8&lt;$AS300,"IKS","Décom."),IF(OR($AQ300="",$AS300=""),"",IF(AO$8&lt;$AQ300,"IKS",IF(AO$8&lt;$AS300,IF(AO$8=$AR300,"Bascule","Double run"),"ROKS"))))))</f>
        <v/>
      </c>
      <c r="AP300" s="51" t="str">
        <f aca="false">IF(OR($A300="",AP$8=""),"",IF($F300="Migré","ROKS",IF($F300="À décommissionner",IF(AP$8&lt;$AS300,"IKS","Décom."),IF(OR($AQ300="",$AS300=""),"",IF(AP$8&lt;$AQ300,"IKS",IF(AP$8&lt;$AS300,IF(AP$8=$AR300,"Bascule","Double run"),"ROKS"))))))</f>
        <v/>
      </c>
      <c r="AQ300" s="0" t="str">
        <f aca="false">IF($A300="","",INDEX(TblApplications[Mois prov (calc)],$A300))</f>
        <v/>
      </c>
      <c r="AR300" s="0" t="str">
        <f aca="false">IF($A300="","",IFERROR(DATE(YEAR(INDEX(TblApplications[Mois bascule],$A300)),MONTH(INDEX(TblApplications[Mois bascule],$A300)),1),""))</f>
        <v/>
      </c>
      <c r="AS300" s="0" t="str">
        <f aca="false">IF($A300="","",INDEX(TblApplications[Mois lib (calc)],$A300))</f>
        <v/>
      </c>
    </row>
    <row r="301" customFormat="false" ht="15" hidden="false" customHeight="false" outlineLevel="0" collapsed="false">
      <c r="A301" s="49" t="str">
        <f aca="false">IFERROR(MATCH(293,TblApplications[Rang frise],0),"")</f>
        <v/>
      </c>
      <c r="B301" s="50" t="str">
        <f aca="false">IF($A301="","",INDEX(TblApplications[ID],$A301))</f>
        <v/>
      </c>
      <c r="C301" s="50" t="str">
        <f aca="false">IF($A301="","",INDEX(TblApplications[Application],$A301))</f>
        <v/>
      </c>
      <c r="D301" s="50" t="str">
        <f aca="false">IF($A301="","",INDEX(TblApplications[Environnement],$A301))</f>
        <v/>
      </c>
      <c r="E301" s="50" t="str">
        <f aca="false">IF($A301="","",INDEX(TblApplications[Couloir],$A301))</f>
        <v/>
      </c>
      <c r="F301" s="50" t="str">
        <f aca="false">IF($A301="","",INDEX(TblApplications[Action],$A301))</f>
        <v/>
      </c>
      <c r="G301" s="51" t="str">
        <f aca="false">IF(OR($A301="",G$8=""),"",IF($F301="Migré","ROKS",IF($F301="À décommissionner",IF(G$8&lt;$AS301,"IKS","Décom."),IF(OR($AQ301="",$AS301=""),"",IF(G$8&lt;$AQ301,"IKS",IF(G$8&lt;$AS301,IF(G$8=$AR301,"Bascule","Double run"),"ROKS"))))))</f>
        <v/>
      </c>
      <c r="H301" s="51" t="str">
        <f aca="false">IF(OR($A301="",H$8=""),"",IF($F301="Migré","ROKS",IF($F301="À décommissionner",IF(H$8&lt;$AS301,"IKS","Décom."),IF(OR($AQ301="",$AS301=""),"",IF(H$8&lt;$AQ301,"IKS",IF(H$8&lt;$AS301,IF(H$8=$AR301,"Bascule","Double run"),"ROKS"))))))</f>
        <v/>
      </c>
      <c r="I301" s="51" t="str">
        <f aca="false">IF(OR($A301="",I$8=""),"",IF($F301="Migré","ROKS",IF($F301="À décommissionner",IF(I$8&lt;$AS301,"IKS","Décom."),IF(OR($AQ301="",$AS301=""),"",IF(I$8&lt;$AQ301,"IKS",IF(I$8&lt;$AS301,IF(I$8=$AR301,"Bascule","Double run"),"ROKS"))))))</f>
        <v/>
      </c>
      <c r="J301" s="51" t="str">
        <f aca="false">IF(OR($A301="",J$8=""),"",IF($F301="Migré","ROKS",IF($F301="À décommissionner",IF(J$8&lt;$AS301,"IKS","Décom."),IF(OR($AQ301="",$AS301=""),"",IF(J$8&lt;$AQ301,"IKS",IF(J$8&lt;$AS301,IF(J$8=$AR301,"Bascule","Double run"),"ROKS"))))))</f>
        <v/>
      </c>
      <c r="K301" s="51" t="str">
        <f aca="false">IF(OR($A301="",K$8=""),"",IF($F301="Migré","ROKS",IF($F301="À décommissionner",IF(K$8&lt;$AS301,"IKS","Décom."),IF(OR($AQ301="",$AS301=""),"",IF(K$8&lt;$AQ301,"IKS",IF(K$8&lt;$AS301,IF(K$8=$AR301,"Bascule","Double run"),"ROKS"))))))</f>
        <v/>
      </c>
      <c r="L301" s="51" t="str">
        <f aca="false">IF(OR($A301="",L$8=""),"",IF($F301="Migré","ROKS",IF($F301="À décommissionner",IF(L$8&lt;$AS301,"IKS","Décom."),IF(OR($AQ301="",$AS301=""),"",IF(L$8&lt;$AQ301,"IKS",IF(L$8&lt;$AS301,IF(L$8=$AR301,"Bascule","Double run"),"ROKS"))))))</f>
        <v/>
      </c>
      <c r="M301" s="51" t="str">
        <f aca="false">IF(OR($A301="",M$8=""),"",IF($F301="Migré","ROKS",IF($F301="À décommissionner",IF(M$8&lt;$AS301,"IKS","Décom."),IF(OR($AQ301="",$AS301=""),"",IF(M$8&lt;$AQ301,"IKS",IF(M$8&lt;$AS301,IF(M$8=$AR301,"Bascule","Double run"),"ROKS"))))))</f>
        <v/>
      </c>
      <c r="N301" s="51" t="str">
        <f aca="false">IF(OR($A301="",N$8=""),"",IF($F301="Migré","ROKS",IF($F301="À décommissionner",IF(N$8&lt;$AS301,"IKS","Décom."),IF(OR($AQ301="",$AS301=""),"",IF(N$8&lt;$AQ301,"IKS",IF(N$8&lt;$AS301,IF(N$8=$AR301,"Bascule","Double run"),"ROKS"))))))</f>
        <v/>
      </c>
      <c r="O301" s="51" t="str">
        <f aca="false">IF(OR($A301="",O$8=""),"",IF($F301="Migré","ROKS",IF($F301="À décommissionner",IF(O$8&lt;$AS301,"IKS","Décom."),IF(OR($AQ301="",$AS301=""),"",IF(O$8&lt;$AQ301,"IKS",IF(O$8&lt;$AS301,IF(O$8=$AR301,"Bascule","Double run"),"ROKS"))))))</f>
        <v/>
      </c>
      <c r="P301" s="51" t="str">
        <f aca="false">IF(OR($A301="",P$8=""),"",IF($F301="Migré","ROKS",IF($F301="À décommissionner",IF(P$8&lt;$AS301,"IKS","Décom."),IF(OR($AQ301="",$AS301=""),"",IF(P$8&lt;$AQ301,"IKS",IF(P$8&lt;$AS301,IF(P$8=$AR301,"Bascule","Double run"),"ROKS"))))))</f>
        <v/>
      </c>
      <c r="Q301" s="51" t="str">
        <f aca="false">IF(OR($A301="",Q$8=""),"",IF($F301="Migré","ROKS",IF($F301="À décommissionner",IF(Q$8&lt;$AS301,"IKS","Décom."),IF(OR($AQ301="",$AS301=""),"",IF(Q$8&lt;$AQ301,"IKS",IF(Q$8&lt;$AS301,IF(Q$8=$AR301,"Bascule","Double run"),"ROKS"))))))</f>
        <v/>
      </c>
      <c r="R301" s="51" t="str">
        <f aca="false">IF(OR($A301="",R$8=""),"",IF($F301="Migré","ROKS",IF($F301="À décommissionner",IF(R$8&lt;$AS301,"IKS","Décom."),IF(OR($AQ301="",$AS301=""),"",IF(R$8&lt;$AQ301,"IKS",IF(R$8&lt;$AS301,IF(R$8=$AR301,"Bascule","Double run"),"ROKS"))))))</f>
        <v/>
      </c>
      <c r="S301" s="51" t="str">
        <f aca="false">IF(OR($A301="",S$8=""),"",IF($F301="Migré","ROKS",IF($F301="À décommissionner",IF(S$8&lt;$AS301,"IKS","Décom."),IF(OR($AQ301="",$AS301=""),"",IF(S$8&lt;$AQ301,"IKS",IF(S$8&lt;$AS301,IF(S$8=$AR301,"Bascule","Double run"),"ROKS"))))))</f>
        <v/>
      </c>
      <c r="T301" s="51" t="str">
        <f aca="false">IF(OR($A301="",T$8=""),"",IF($F301="Migré","ROKS",IF($F301="À décommissionner",IF(T$8&lt;$AS301,"IKS","Décom."),IF(OR($AQ301="",$AS301=""),"",IF(T$8&lt;$AQ301,"IKS",IF(T$8&lt;$AS301,IF(T$8=$AR301,"Bascule","Double run"),"ROKS"))))))</f>
        <v/>
      </c>
      <c r="U301" s="51" t="str">
        <f aca="false">IF(OR($A301="",U$8=""),"",IF($F301="Migré","ROKS",IF($F301="À décommissionner",IF(U$8&lt;$AS301,"IKS","Décom."),IF(OR($AQ301="",$AS301=""),"",IF(U$8&lt;$AQ301,"IKS",IF(U$8&lt;$AS301,IF(U$8=$AR301,"Bascule","Double run"),"ROKS"))))))</f>
        <v/>
      </c>
      <c r="V301" s="51" t="str">
        <f aca="false">IF(OR($A301="",V$8=""),"",IF($F301="Migré","ROKS",IF($F301="À décommissionner",IF(V$8&lt;$AS301,"IKS","Décom."),IF(OR($AQ301="",$AS301=""),"",IF(V$8&lt;$AQ301,"IKS",IF(V$8&lt;$AS301,IF(V$8=$AR301,"Bascule","Double run"),"ROKS"))))))</f>
        <v/>
      </c>
      <c r="W301" s="51" t="str">
        <f aca="false">IF(OR($A301="",W$8=""),"",IF($F301="Migré","ROKS",IF($F301="À décommissionner",IF(W$8&lt;$AS301,"IKS","Décom."),IF(OR($AQ301="",$AS301=""),"",IF(W$8&lt;$AQ301,"IKS",IF(W$8&lt;$AS301,IF(W$8=$AR301,"Bascule","Double run"),"ROKS"))))))</f>
        <v/>
      </c>
      <c r="X301" s="51" t="str">
        <f aca="false">IF(OR($A301="",X$8=""),"",IF($F301="Migré","ROKS",IF($F301="À décommissionner",IF(X$8&lt;$AS301,"IKS","Décom."),IF(OR($AQ301="",$AS301=""),"",IF(X$8&lt;$AQ301,"IKS",IF(X$8&lt;$AS301,IF(X$8=$AR301,"Bascule","Double run"),"ROKS"))))))</f>
        <v/>
      </c>
      <c r="Y301" s="51" t="str">
        <f aca="false">IF(OR($A301="",Y$8=""),"",IF($F301="Migré","ROKS",IF($F301="À décommissionner",IF(Y$8&lt;$AS301,"IKS","Décom."),IF(OR($AQ301="",$AS301=""),"",IF(Y$8&lt;$AQ301,"IKS",IF(Y$8&lt;$AS301,IF(Y$8=$AR301,"Bascule","Double run"),"ROKS"))))))</f>
        <v/>
      </c>
      <c r="Z301" s="51" t="str">
        <f aca="false">IF(OR($A301="",Z$8=""),"",IF($F301="Migré","ROKS",IF($F301="À décommissionner",IF(Z$8&lt;$AS301,"IKS","Décom."),IF(OR($AQ301="",$AS301=""),"",IF(Z$8&lt;$AQ301,"IKS",IF(Z$8&lt;$AS301,IF(Z$8=$AR301,"Bascule","Double run"),"ROKS"))))))</f>
        <v/>
      </c>
      <c r="AA301" s="51" t="str">
        <f aca="false">IF(OR($A301="",AA$8=""),"",IF($F301="Migré","ROKS",IF($F301="À décommissionner",IF(AA$8&lt;$AS301,"IKS","Décom."),IF(OR($AQ301="",$AS301=""),"",IF(AA$8&lt;$AQ301,"IKS",IF(AA$8&lt;$AS301,IF(AA$8=$AR301,"Bascule","Double run"),"ROKS"))))))</f>
        <v/>
      </c>
      <c r="AB301" s="51" t="str">
        <f aca="false">IF(OR($A301="",AB$8=""),"",IF($F301="Migré","ROKS",IF($F301="À décommissionner",IF(AB$8&lt;$AS301,"IKS","Décom."),IF(OR($AQ301="",$AS301=""),"",IF(AB$8&lt;$AQ301,"IKS",IF(AB$8&lt;$AS301,IF(AB$8=$AR301,"Bascule","Double run"),"ROKS"))))))</f>
        <v/>
      </c>
      <c r="AC301" s="51" t="str">
        <f aca="false">IF(OR($A301="",AC$8=""),"",IF($F301="Migré","ROKS",IF($F301="À décommissionner",IF(AC$8&lt;$AS301,"IKS","Décom."),IF(OR($AQ301="",$AS301=""),"",IF(AC$8&lt;$AQ301,"IKS",IF(AC$8&lt;$AS301,IF(AC$8=$AR301,"Bascule","Double run"),"ROKS"))))))</f>
        <v/>
      </c>
      <c r="AD301" s="51" t="str">
        <f aca="false">IF(OR($A301="",AD$8=""),"",IF($F301="Migré","ROKS",IF($F301="À décommissionner",IF(AD$8&lt;$AS301,"IKS","Décom."),IF(OR($AQ301="",$AS301=""),"",IF(AD$8&lt;$AQ301,"IKS",IF(AD$8&lt;$AS301,IF(AD$8=$AR301,"Bascule","Double run"),"ROKS"))))))</f>
        <v/>
      </c>
      <c r="AE301" s="51" t="str">
        <f aca="false">IF(OR($A301="",AE$8=""),"",IF($F301="Migré","ROKS",IF($F301="À décommissionner",IF(AE$8&lt;$AS301,"IKS","Décom."),IF(OR($AQ301="",$AS301=""),"",IF(AE$8&lt;$AQ301,"IKS",IF(AE$8&lt;$AS301,IF(AE$8=$AR301,"Bascule","Double run"),"ROKS"))))))</f>
        <v/>
      </c>
      <c r="AF301" s="51" t="str">
        <f aca="false">IF(OR($A301="",AF$8=""),"",IF($F301="Migré","ROKS",IF($F301="À décommissionner",IF(AF$8&lt;$AS301,"IKS","Décom."),IF(OR($AQ301="",$AS301=""),"",IF(AF$8&lt;$AQ301,"IKS",IF(AF$8&lt;$AS301,IF(AF$8=$AR301,"Bascule","Double run"),"ROKS"))))))</f>
        <v/>
      </c>
      <c r="AG301" s="51" t="str">
        <f aca="false">IF(OR($A301="",AG$8=""),"",IF($F301="Migré","ROKS",IF($F301="À décommissionner",IF(AG$8&lt;$AS301,"IKS","Décom."),IF(OR($AQ301="",$AS301=""),"",IF(AG$8&lt;$AQ301,"IKS",IF(AG$8&lt;$AS301,IF(AG$8=$AR301,"Bascule","Double run"),"ROKS"))))))</f>
        <v/>
      </c>
      <c r="AH301" s="51" t="str">
        <f aca="false">IF(OR($A301="",AH$8=""),"",IF($F301="Migré","ROKS",IF($F301="À décommissionner",IF(AH$8&lt;$AS301,"IKS","Décom."),IF(OR($AQ301="",$AS301=""),"",IF(AH$8&lt;$AQ301,"IKS",IF(AH$8&lt;$AS301,IF(AH$8=$AR301,"Bascule","Double run"),"ROKS"))))))</f>
        <v/>
      </c>
      <c r="AI301" s="51" t="str">
        <f aca="false">IF(OR($A301="",AI$8=""),"",IF($F301="Migré","ROKS",IF($F301="À décommissionner",IF(AI$8&lt;$AS301,"IKS","Décom."),IF(OR($AQ301="",$AS301=""),"",IF(AI$8&lt;$AQ301,"IKS",IF(AI$8&lt;$AS301,IF(AI$8=$AR301,"Bascule","Double run"),"ROKS"))))))</f>
        <v/>
      </c>
      <c r="AJ301" s="51" t="str">
        <f aca="false">IF(OR($A301="",AJ$8=""),"",IF($F301="Migré","ROKS",IF($F301="À décommissionner",IF(AJ$8&lt;$AS301,"IKS","Décom."),IF(OR($AQ301="",$AS301=""),"",IF(AJ$8&lt;$AQ301,"IKS",IF(AJ$8&lt;$AS301,IF(AJ$8=$AR301,"Bascule","Double run"),"ROKS"))))))</f>
        <v/>
      </c>
      <c r="AK301" s="51" t="str">
        <f aca="false">IF(OR($A301="",AK$8=""),"",IF($F301="Migré","ROKS",IF($F301="À décommissionner",IF(AK$8&lt;$AS301,"IKS","Décom."),IF(OR($AQ301="",$AS301=""),"",IF(AK$8&lt;$AQ301,"IKS",IF(AK$8&lt;$AS301,IF(AK$8=$AR301,"Bascule","Double run"),"ROKS"))))))</f>
        <v/>
      </c>
      <c r="AL301" s="51" t="str">
        <f aca="false">IF(OR($A301="",AL$8=""),"",IF($F301="Migré","ROKS",IF($F301="À décommissionner",IF(AL$8&lt;$AS301,"IKS","Décom."),IF(OR($AQ301="",$AS301=""),"",IF(AL$8&lt;$AQ301,"IKS",IF(AL$8&lt;$AS301,IF(AL$8=$AR301,"Bascule","Double run"),"ROKS"))))))</f>
        <v/>
      </c>
      <c r="AM301" s="51" t="str">
        <f aca="false">IF(OR($A301="",AM$8=""),"",IF($F301="Migré","ROKS",IF($F301="À décommissionner",IF(AM$8&lt;$AS301,"IKS","Décom."),IF(OR($AQ301="",$AS301=""),"",IF(AM$8&lt;$AQ301,"IKS",IF(AM$8&lt;$AS301,IF(AM$8=$AR301,"Bascule","Double run"),"ROKS"))))))</f>
        <v/>
      </c>
      <c r="AN301" s="51" t="str">
        <f aca="false">IF(OR($A301="",AN$8=""),"",IF($F301="Migré","ROKS",IF($F301="À décommissionner",IF(AN$8&lt;$AS301,"IKS","Décom."),IF(OR($AQ301="",$AS301=""),"",IF(AN$8&lt;$AQ301,"IKS",IF(AN$8&lt;$AS301,IF(AN$8=$AR301,"Bascule","Double run"),"ROKS"))))))</f>
        <v/>
      </c>
      <c r="AO301" s="51" t="str">
        <f aca="false">IF(OR($A301="",AO$8=""),"",IF($F301="Migré","ROKS",IF($F301="À décommissionner",IF(AO$8&lt;$AS301,"IKS","Décom."),IF(OR($AQ301="",$AS301=""),"",IF(AO$8&lt;$AQ301,"IKS",IF(AO$8&lt;$AS301,IF(AO$8=$AR301,"Bascule","Double run"),"ROKS"))))))</f>
        <v/>
      </c>
      <c r="AP301" s="51" t="str">
        <f aca="false">IF(OR($A301="",AP$8=""),"",IF($F301="Migré","ROKS",IF($F301="À décommissionner",IF(AP$8&lt;$AS301,"IKS","Décom."),IF(OR($AQ301="",$AS301=""),"",IF(AP$8&lt;$AQ301,"IKS",IF(AP$8&lt;$AS301,IF(AP$8=$AR301,"Bascule","Double run"),"ROKS"))))))</f>
        <v/>
      </c>
      <c r="AQ301" s="0" t="str">
        <f aca="false">IF($A301="","",INDEX(TblApplications[Mois prov (calc)],$A301))</f>
        <v/>
      </c>
      <c r="AR301" s="0" t="str">
        <f aca="false">IF($A301="","",IFERROR(DATE(YEAR(INDEX(TblApplications[Mois bascule],$A301)),MONTH(INDEX(TblApplications[Mois bascule],$A301)),1),""))</f>
        <v/>
      </c>
      <c r="AS301" s="0" t="str">
        <f aca="false">IF($A301="","",INDEX(TblApplications[Mois lib (calc)],$A301))</f>
        <v/>
      </c>
    </row>
    <row r="302" customFormat="false" ht="15" hidden="false" customHeight="false" outlineLevel="0" collapsed="false">
      <c r="A302" s="49" t="str">
        <f aca="false">IFERROR(MATCH(294,TblApplications[Rang frise],0),"")</f>
        <v/>
      </c>
      <c r="B302" s="50" t="str">
        <f aca="false">IF($A302="","",INDEX(TblApplications[ID],$A302))</f>
        <v/>
      </c>
      <c r="C302" s="50" t="str">
        <f aca="false">IF($A302="","",INDEX(TblApplications[Application],$A302))</f>
        <v/>
      </c>
      <c r="D302" s="50" t="str">
        <f aca="false">IF($A302="","",INDEX(TblApplications[Environnement],$A302))</f>
        <v/>
      </c>
      <c r="E302" s="50" t="str">
        <f aca="false">IF($A302="","",INDEX(TblApplications[Couloir],$A302))</f>
        <v/>
      </c>
      <c r="F302" s="50" t="str">
        <f aca="false">IF($A302="","",INDEX(TblApplications[Action],$A302))</f>
        <v/>
      </c>
      <c r="G302" s="51" t="str">
        <f aca="false">IF(OR($A302="",G$8=""),"",IF($F302="Migré","ROKS",IF($F302="À décommissionner",IF(G$8&lt;$AS302,"IKS","Décom."),IF(OR($AQ302="",$AS302=""),"",IF(G$8&lt;$AQ302,"IKS",IF(G$8&lt;$AS302,IF(G$8=$AR302,"Bascule","Double run"),"ROKS"))))))</f>
        <v/>
      </c>
      <c r="H302" s="51" t="str">
        <f aca="false">IF(OR($A302="",H$8=""),"",IF($F302="Migré","ROKS",IF($F302="À décommissionner",IF(H$8&lt;$AS302,"IKS","Décom."),IF(OR($AQ302="",$AS302=""),"",IF(H$8&lt;$AQ302,"IKS",IF(H$8&lt;$AS302,IF(H$8=$AR302,"Bascule","Double run"),"ROKS"))))))</f>
        <v/>
      </c>
      <c r="I302" s="51" t="str">
        <f aca="false">IF(OR($A302="",I$8=""),"",IF($F302="Migré","ROKS",IF($F302="À décommissionner",IF(I$8&lt;$AS302,"IKS","Décom."),IF(OR($AQ302="",$AS302=""),"",IF(I$8&lt;$AQ302,"IKS",IF(I$8&lt;$AS302,IF(I$8=$AR302,"Bascule","Double run"),"ROKS"))))))</f>
        <v/>
      </c>
      <c r="J302" s="51" t="str">
        <f aca="false">IF(OR($A302="",J$8=""),"",IF($F302="Migré","ROKS",IF($F302="À décommissionner",IF(J$8&lt;$AS302,"IKS","Décom."),IF(OR($AQ302="",$AS302=""),"",IF(J$8&lt;$AQ302,"IKS",IF(J$8&lt;$AS302,IF(J$8=$AR302,"Bascule","Double run"),"ROKS"))))))</f>
        <v/>
      </c>
      <c r="K302" s="51" t="str">
        <f aca="false">IF(OR($A302="",K$8=""),"",IF($F302="Migré","ROKS",IF($F302="À décommissionner",IF(K$8&lt;$AS302,"IKS","Décom."),IF(OR($AQ302="",$AS302=""),"",IF(K$8&lt;$AQ302,"IKS",IF(K$8&lt;$AS302,IF(K$8=$AR302,"Bascule","Double run"),"ROKS"))))))</f>
        <v/>
      </c>
      <c r="L302" s="51" t="str">
        <f aca="false">IF(OR($A302="",L$8=""),"",IF($F302="Migré","ROKS",IF($F302="À décommissionner",IF(L$8&lt;$AS302,"IKS","Décom."),IF(OR($AQ302="",$AS302=""),"",IF(L$8&lt;$AQ302,"IKS",IF(L$8&lt;$AS302,IF(L$8=$AR302,"Bascule","Double run"),"ROKS"))))))</f>
        <v/>
      </c>
      <c r="M302" s="51" t="str">
        <f aca="false">IF(OR($A302="",M$8=""),"",IF($F302="Migré","ROKS",IF($F302="À décommissionner",IF(M$8&lt;$AS302,"IKS","Décom."),IF(OR($AQ302="",$AS302=""),"",IF(M$8&lt;$AQ302,"IKS",IF(M$8&lt;$AS302,IF(M$8=$AR302,"Bascule","Double run"),"ROKS"))))))</f>
        <v/>
      </c>
      <c r="N302" s="51" t="str">
        <f aca="false">IF(OR($A302="",N$8=""),"",IF($F302="Migré","ROKS",IF($F302="À décommissionner",IF(N$8&lt;$AS302,"IKS","Décom."),IF(OR($AQ302="",$AS302=""),"",IF(N$8&lt;$AQ302,"IKS",IF(N$8&lt;$AS302,IF(N$8=$AR302,"Bascule","Double run"),"ROKS"))))))</f>
        <v/>
      </c>
      <c r="O302" s="51" t="str">
        <f aca="false">IF(OR($A302="",O$8=""),"",IF($F302="Migré","ROKS",IF($F302="À décommissionner",IF(O$8&lt;$AS302,"IKS","Décom."),IF(OR($AQ302="",$AS302=""),"",IF(O$8&lt;$AQ302,"IKS",IF(O$8&lt;$AS302,IF(O$8=$AR302,"Bascule","Double run"),"ROKS"))))))</f>
        <v/>
      </c>
      <c r="P302" s="51" t="str">
        <f aca="false">IF(OR($A302="",P$8=""),"",IF($F302="Migré","ROKS",IF($F302="À décommissionner",IF(P$8&lt;$AS302,"IKS","Décom."),IF(OR($AQ302="",$AS302=""),"",IF(P$8&lt;$AQ302,"IKS",IF(P$8&lt;$AS302,IF(P$8=$AR302,"Bascule","Double run"),"ROKS"))))))</f>
        <v/>
      </c>
      <c r="Q302" s="51" t="str">
        <f aca="false">IF(OR($A302="",Q$8=""),"",IF($F302="Migré","ROKS",IF($F302="À décommissionner",IF(Q$8&lt;$AS302,"IKS","Décom."),IF(OR($AQ302="",$AS302=""),"",IF(Q$8&lt;$AQ302,"IKS",IF(Q$8&lt;$AS302,IF(Q$8=$AR302,"Bascule","Double run"),"ROKS"))))))</f>
        <v/>
      </c>
      <c r="R302" s="51" t="str">
        <f aca="false">IF(OR($A302="",R$8=""),"",IF($F302="Migré","ROKS",IF($F302="À décommissionner",IF(R$8&lt;$AS302,"IKS","Décom."),IF(OR($AQ302="",$AS302=""),"",IF(R$8&lt;$AQ302,"IKS",IF(R$8&lt;$AS302,IF(R$8=$AR302,"Bascule","Double run"),"ROKS"))))))</f>
        <v/>
      </c>
      <c r="S302" s="51" t="str">
        <f aca="false">IF(OR($A302="",S$8=""),"",IF($F302="Migré","ROKS",IF($F302="À décommissionner",IF(S$8&lt;$AS302,"IKS","Décom."),IF(OR($AQ302="",$AS302=""),"",IF(S$8&lt;$AQ302,"IKS",IF(S$8&lt;$AS302,IF(S$8=$AR302,"Bascule","Double run"),"ROKS"))))))</f>
        <v/>
      </c>
      <c r="T302" s="51" t="str">
        <f aca="false">IF(OR($A302="",T$8=""),"",IF($F302="Migré","ROKS",IF($F302="À décommissionner",IF(T$8&lt;$AS302,"IKS","Décom."),IF(OR($AQ302="",$AS302=""),"",IF(T$8&lt;$AQ302,"IKS",IF(T$8&lt;$AS302,IF(T$8=$AR302,"Bascule","Double run"),"ROKS"))))))</f>
        <v/>
      </c>
      <c r="U302" s="51" t="str">
        <f aca="false">IF(OR($A302="",U$8=""),"",IF($F302="Migré","ROKS",IF($F302="À décommissionner",IF(U$8&lt;$AS302,"IKS","Décom."),IF(OR($AQ302="",$AS302=""),"",IF(U$8&lt;$AQ302,"IKS",IF(U$8&lt;$AS302,IF(U$8=$AR302,"Bascule","Double run"),"ROKS"))))))</f>
        <v/>
      </c>
      <c r="V302" s="51" t="str">
        <f aca="false">IF(OR($A302="",V$8=""),"",IF($F302="Migré","ROKS",IF($F302="À décommissionner",IF(V$8&lt;$AS302,"IKS","Décom."),IF(OR($AQ302="",$AS302=""),"",IF(V$8&lt;$AQ302,"IKS",IF(V$8&lt;$AS302,IF(V$8=$AR302,"Bascule","Double run"),"ROKS"))))))</f>
        <v/>
      </c>
      <c r="W302" s="51" t="str">
        <f aca="false">IF(OR($A302="",W$8=""),"",IF($F302="Migré","ROKS",IF($F302="À décommissionner",IF(W$8&lt;$AS302,"IKS","Décom."),IF(OR($AQ302="",$AS302=""),"",IF(W$8&lt;$AQ302,"IKS",IF(W$8&lt;$AS302,IF(W$8=$AR302,"Bascule","Double run"),"ROKS"))))))</f>
        <v/>
      </c>
      <c r="X302" s="51" t="str">
        <f aca="false">IF(OR($A302="",X$8=""),"",IF($F302="Migré","ROKS",IF($F302="À décommissionner",IF(X$8&lt;$AS302,"IKS","Décom."),IF(OR($AQ302="",$AS302=""),"",IF(X$8&lt;$AQ302,"IKS",IF(X$8&lt;$AS302,IF(X$8=$AR302,"Bascule","Double run"),"ROKS"))))))</f>
        <v/>
      </c>
      <c r="Y302" s="51" t="str">
        <f aca="false">IF(OR($A302="",Y$8=""),"",IF($F302="Migré","ROKS",IF($F302="À décommissionner",IF(Y$8&lt;$AS302,"IKS","Décom."),IF(OR($AQ302="",$AS302=""),"",IF(Y$8&lt;$AQ302,"IKS",IF(Y$8&lt;$AS302,IF(Y$8=$AR302,"Bascule","Double run"),"ROKS"))))))</f>
        <v/>
      </c>
      <c r="Z302" s="51" t="str">
        <f aca="false">IF(OR($A302="",Z$8=""),"",IF($F302="Migré","ROKS",IF($F302="À décommissionner",IF(Z$8&lt;$AS302,"IKS","Décom."),IF(OR($AQ302="",$AS302=""),"",IF(Z$8&lt;$AQ302,"IKS",IF(Z$8&lt;$AS302,IF(Z$8=$AR302,"Bascule","Double run"),"ROKS"))))))</f>
        <v/>
      </c>
      <c r="AA302" s="51" t="str">
        <f aca="false">IF(OR($A302="",AA$8=""),"",IF($F302="Migré","ROKS",IF($F302="À décommissionner",IF(AA$8&lt;$AS302,"IKS","Décom."),IF(OR($AQ302="",$AS302=""),"",IF(AA$8&lt;$AQ302,"IKS",IF(AA$8&lt;$AS302,IF(AA$8=$AR302,"Bascule","Double run"),"ROKS"))))))</f>
        <v/>
      </c>
      <c r="AB302" s="51" t="str">
        <f aca="false">IF(OR($A302="",AB$8=""),"",IF($F302="Migré","ROKS",IF($F302="À décommissionner",IF(AB$8&lt;$AS302,"IKS","Décom."),IF(OR($AQ302="",$AS302=""),"",IF(AB$8&lt;$AQ302,"IKS",IF(AB$8&lt;$AS302,IF(AB$8=$AR302,"Bascule","Double run"),"ROKS"))))))</f>
        <v/>
      </c>
      <c r="AC302" s="51" t="str">
        <f aca="false">IF(OR($A302="",AC$8=""),"",IF($F302="Migré","ROKS",IF($F302="À décommissionner",IF(AC$8&lt;$AS302,"IKS","Décom."),IF(OR($AQ302="",$AS302=""),"",IF(AC$8&lt;$AQ302,"IKS",IF(AC$8&lt;$AS302,IF(AC$8=$AR302,"Bascule","Double run"),"ROKS"))))))</f>
        <v/>
      </c>
      <c r="AD302" s="51" t="str">
        <f aca="false">IF(OR($A302="",AD$8=""),"",IF($F302="Migré","ROKS",IF($F302="À décommissionner",IF(AD$8&lt;$AS302,"IKS","Décom."),IF(OR($AQ302="",$AS302=""),"",IF(AD$8&lt;$AQ302,"IKS",IF(AD$8&lt;$AS302,IF(AD$8=$AR302,"Bascule","Double run"),"ROKS"))))))</f>
        <v/>
      </c>
      <c r="AE302" s="51" t="str">
        <f aca="false">IF(OR($A302="",AE$8=""),"",IF($F302="Migré","ROKS",IF($F302="À décommissionner",IF(AE$8&lt;$AS302,"IKS","Décom."),IF(OR($AQ302="",$AS302=""),"",IF(AE$8&lt;$AQ302,"IKS",IF(AE$8&lt;$AS302,IF(AE$8=$AR302,"Bascule","Double run"),"ROKS"))))))</f>
        <v/>
      </c>
      <c r="AF302" s="51" t="str">
        <f aca="false">IF(OR($A302="",AF$8=""),"",IF($F302="Migré","ROKS",IF($F302="À décommissionner",IF(AF$8&lt;$AS302,"IKS","Décom."),IF(OR($AQ302="",$AS302=""),"",IF(AF$8&lt;$AQ302,"IKS",IF(AF$8&lt;$AS302,IF(AF$8=$AR302,"Bascule","Double run"),"ROKS"))))))</f>
        <v/>
      </c>
      <c r="AG302" s="51" t="str">
        <f aca="false">IF(OR($A302="",AG$8=""),"",IF($F302="Migré","ROKS",IF($F302="À décommissionner",IF(AG$8&lt;$AS302,"IKS","Décom."),IF(OR($AQ302="",$AS302=""),"",IF(AG$8&lt;$AQ302,"IKS",IF(AG$8&lt;$AS302,IF(AG$8=$AR302,"Bascule","Double run"),"ROKS"))))))</f>
        <v/>
      </c>
      <c r="AH302" s="51" t="str">
        <f aca="false">IF(OR($A302="",AH$8=""),"",IF($F302="Migré","ROKS",IF($F302="À décommissionner",IF(AH$8&lt;$AS302,"IKS","Décom."),IF(OR($AQ302="",$AS302=""),"",IF(AH$8&lt;$AQ302,"IKS",IF(AH$8&lt;$AS302,IF(AH$8=$AR302,"Bascule","Double run"),"ROKS"))))))</f>
        <v/>
      </c>
      <c r="AI302" s="51" t="str">
        <f aca="false">IF(OR($A302="",AI$8=""),"",IF($F302="Migré","ROKS",IF($F302="À décommissionner",IF(AI$8&lt;$AS302,"IKS","Décom."),IF(OR($AQ302="",$AS302=""),"",IF(AI$8&lt;$AQ302,"IKS",IF(AI$8&lt;$AS302,IF(AI$8=$AR302,"Bascule","Double run"),"ROKS"))))))</f>
        <v/>
      </c>
      <c r="AJ302" s="51" t="str">
        <f aca="false">IF(OR($A302="",AJ$8=""),"",IF($F302="Migré","ROKS",IF($F302="À décommissionner",IF(AJ$8&lt;$AS302,"IKS","Décom."),IF(OR($AQ302="",$AS302=""),"",IF(AJ$8&lt;$AQ302,"IKS",IF(AJ$8&lt;$AS302,IF(AJ$8=$AR302,"Bascule","Double run"),"ROKS"))))))</f>
        <v/>
      </c>
      <c r="AK302" s="51" t="str">
        <f aca="false">IF(OR($A302="",AK$8=""),"",IF($F302="Migré","ROKS",IF($F302="À décommissionner",IF(AK$8&lt;$AS302,"IKS","Décom."),IF(OR($AQ302="",$AS302=""),"",IF(AK$8&lt;$AQ302,"IKS",IF(AK$8&lt;$AS302,IF(AK$8=$AR302,"Bascule","Double run"),"ROKS"))))))</f>
        <v/>
      </c>
      <c r="AL302" s="51" t="str">
        <f aca="false">IF(OR($A302="",AL$8=""),"",IF($F302="Migré","ROKS",IF($F302="À décommissionner",IF(AL$8&lt;$AS302,"IKS","Décom."),IF(OR($AQ302="",$AS302=""),"",IF(AL$8&lt;$AQ302,"IKS",IF(AL$8&lt;$AS302,IF(AL$8=$AR302,"Bascule","Double run"),"ROKS"))))))</f>
        <v/>
      </c>
      <c r="AM302" s="51" t="str">
        <f aca="false">IF(OR($A302="",AM$8=""),"",IF($F302="Migré","ROKS",IF($F302="À décommissionner",IF(AM$8&lt;$AS302,"IKS","Décom."),IF(OR($AQ302="",$AS302=""),"",IF(AM$8&lt;$AQ302,"IKS",IF(AM$8&lt;$AS302,IF(AM$8=$AR302,"Bascule","Double run"),"ROKS"))))))</f>
        <v/>
      </c>
      <c r="AN302" s="51" t="str">
        <f aca="false">IF(OR($A302="",AN$8=""),"",IF($F302="Migré","ROKS",IF($F302="À décommissionner",IF(AN$8&lt;$AS302,"IKS","Décom."),IF(OR($AQ302="",$AS302=""),"",IF(AN$8&lt;$AQ302,"IKS",IF(AN$8&lt;$AS302,IF(AN$8=$AR302,"Bascule","Double run"),"ROKS"))))))</f>
        <v/>
      </c>
      <c r="AO302" s="51" t="str">
        <f aca="false">IF(OR($A302="",AO$8=""),"",IF($F302="Migré","ROKS",IF($F302="À décommissionner",IF(AO$8&lt;$AS302,"IKS","Décom."),IF(OR($AQ302="",$AS302=""),"",IF(AO$8&lt;$AQ302,"IKS",IF(AO$8&lt;$AS302,IF(AO$8=$AR302,"Bascule","Double run"),"ROKS"))))))</f>
        <v/>
      </c>
      <c r="AP302" s="51" t="str">
        <f aca="false">IF(OR($A302="",AP$8=""),"",IF($F302="Migré","ROKS",IF($F302="À décommissionner",IF(AP$8&lt;$AS302,"IKS","Décom."),IF(OR($AQ302="",$AS302=""),"",IF(AP$8&lt;$AQ302,"IKS",IF(AP$8&lt;$AS302,IF(AP$8=$AR302,"Bascule","Double run"),"ROKS"))))))</f>
        <v/>
      </c>
      <c r="AQ302" s="0" t="str">
        <f aca="false">IF($A302="","",INDEX(TblApplications[Mois prov (calc)],$A302))</f>
        <v/>
      </c>
      <c r="AR302" s="0" t="str">
        <f aca="false">IF($A302="","",IFERROR(DATE(YEAR(INDEX(TblApplications[Mois bascule],$A302)),MONTH(INDEX(TblApplications[Mois bascule],$A302)),1),""))</f>
        <v/>
      </c>
      <c r="AS302" s="0" t="str">
        <f aca="false">IF($A302="","",INDEX(TblApplications[Mois lib (calc)],$A302))</f>
        <v/>
      </c>
    </row>
    <row r="303" customFormat="false" ht="15" hidden="false" customHeight="false" outlineLevel="0" collapsed="false">
      <c r="A303" s="49" t="str">
        <f aca="false">IFERROR(MATCH(295,TblApplications[Rang frise],0),"")</f>
        <v/>
      </c>
      <c r="B303" s="50" t="str">
        <f aca="false">IF($A303="","",INDEX(TblApplications[ID],$A303))</f>
        <v/>
      </c>
      <c r="C303" s="50" t="str">
        <f aca="false">IF($A303="","",INDEX(TblApplications[Application],$A303))</f>
        <v/>
      </c>
      <c r="D303" s="50" t="str">
        <f aca="false">IF($A303="","",INDEX(TblApplications[Environnement],$A303))</f>
        <v/>
      </c>
      <c r="E303" s="50" t="str">
        <f aca="false">IF($A303="","",INDEX(TblApplications[Couloir],$A303))</f>
        <v/>
      </c>
      <c r="F303" s="50" t="str">
        <f aca="false">IF($A303="","",INDEX(TblApplications[Action],$A303))</f>
        <v/>
      </c>
      <c r="G303" s="51" t="str">
        <f aca="false">IF(OR($A303="",G$8=""),"",IF($F303="Migré","ROKS",IF($F303="À décommissionner",IF(G$8&lt;$AS303,"IKS","Décom."),IF(OR($AQ303="",$AS303=""),"",IF(G$8&lt;$AQ303,"IKS",IF(G$8&lt;$AS303,IF(G$8=$AR303,"Bascule","Double run"),"ROKS"))))))</f>
        <v/>
      </c>
      <c r="H303" s="51" t="str">
        <f aca="false">IF(OR($A303="",H$8=""),"",IF($F303="Migré","ROKS",IF($F303="À décommissionner",IF(H$8&lt;$AS303,"IKS","Décom."),IF(OR($AQ303="",$AS303=""),"",IF(H$8&lt;$AQ303,"IKS",IF(H$8&lt;$AS303,IF(H$8=$AR303,"Bascule","Double run"),"ROKS"))))))</f>
        <v/>
      </c>
      <c r="I303" s="51" t="str">
        <f aca="false">IF(OR($A303="",I$8=""),"",IF($F303="Migré","ROKS",IF($F303="À décommissionner",IF(I$8&lt;$AS303,"IKS","Décom."),IF(OR($AQ303="",$AS303=""),"",IF(I$8&lt;$AQ303,"IKS",IF(I$8&lt;$AS303,IF(I$8=$AR303,"Bascule","Double run"),"ROKS"))))))</f>
        <v/>
      </c>
      <c r="J303" s="51" t="str">
        <f aca="false">IF(OR($A303="",J$8=""),"",IF($F303="Migré","ROKS",IF($F303="À décommissionner",IF(J$8&lt;$AS303,"IKS","Décom."),IF(OR($AQ303="",$AS303=""),"",IF(J$8&lt;$AQ303,"IKS",IF(J$8&lt;$AS303,IF(J$8=$AR303,"Bascule","Double run"),"ROKS"))))))</f>
        <v/>
      </c>
      <c r="K303" s="51" t="str">
        <f aca="false">IF(OR($A303="",K$8=""),"",IF($F303="Migré","ROKS",IF($F303="À décommissionner",IF(K$8&lt;$AS303,"IKS","Décom."),IF(OR($AQ303="",$AS303=""),"",IF(K$8&lt;$AQ303,"IKS",IF(K$8&lt;$AS303,IF(K$8=$AR303,"Bascule","Double run"),"ROKS"))))))</f>
        <v/>
      </c>
      <c r="L303" s="51" t="str">
        <f aca="false">IF(OR($A303="",L$8=""),"",IF($F303="Migré","ROKS",IF($F303="À décommissionner",IF(L$8&lt;$AS303,"IKS","Décom."),IF(OR($AQ303="",$AS303=""),"",IF(L$8&lt;$AQ303,"IKS",IF(L$8&lt;$AS303,IF(L$8=$AR303,"Bascule","Double run"),"ROKS"))))))</f>
        <v/>
      </c>
      <c r="M303" s="51" t="str">
        <f aca="false">IF(OR($A303="",M$8=""),"",IF($F303="Migré","ROKS",IF($F303="À décommissionner",IF(M$8&lt;$AS303,"IKS","Décom."),IF(OR($AQ303="",$AS303=""),"",IF(M$8&lt;$AQ303,"IKS",IF(M$8&lt;$AS303,IF(M$8=$AR303,"Bascule","Double run"),"ROKS"))))))</f>
        <v/>
      </c>
      <c r="N303" s="51" t="str">
        <f aca="false">IF(OR($A303="",N$8=""),"",IF($F303="Migré","ROKS",IF($F303="À décommissionner",IF(N$8&lt;$AS303,"IKS","Décom."),IF(OR($AQ303="",$AS303=""),"",IF(N$8&lt;$AQ303,"IKS",IF(N$8&lt;$AS303,IF(N$8=$AR303,"Bascule","Double run"),"ROKS"))))))</f>
        <v/>
      </c>
      <c r="O303" s="51" t="str">
        <f aca="false">IF(OR($A303="",O$8=""),"",IF($F303="Migré","ROKS",IF($F303="À décommissionner",IF(O$8&lt;$AS303,"IKS","Décom."),IF(OR($AQ303="",$AS303=""),"",IF(O$8&lt;$AQ303,"IKS",IF(O$8&lt;$AS303,IF(O$8=$AR303,"Bascule","Double run"),"ROKS"))))))</f>
        <v/>
      </c>
      <c r="P303" s="51" t="str">
        <f aca="false">IF(OR($A303="",P$8=""),"",IF($F303="Migré","ROKS",IF($F303="À décommissionner",IF(P$8&lt;$AS303,"IKS","Décom."),IF(OR($AQ303="",$AS303=""),"",IF(P$8&lt;$AQ303,"IKS",IF(P$8&lt;$AS303,IF(P$8=$AR303,"Bascule","Double run"),"ROKS"))))))</f>
        <v/>
      </c>
      <c r="Q303" s="51" t="str">
        <f aca="false">IF(OR($A303="",Q$8=""),"",IF($F303="Migré","ROKS",IF($F303="À décommissionner",IF(Q$8&lt;$AS303,"IKS","Décom."),IF(OR($AQ303="",$AS303=""),"",IF(Q$8&lt;$AQ303,"IKS",IF(Q$8&lt;$AS303,IF(Q$8=$AR303,"Bascule","Double run"),"ROKS"))))))</f>
        <v/>
      </c>
      <c r="R303" s="51" t="str">
        <f aca="false">IF(OR($A303="",R$8=""),"",IF($F303="Migré","ROKS",IF($F303="À décommissionner",IF(R$8&lt;$AS303,"IKS","Décom."),IF(OR($AQ303="",$AS303=""),"",IF(R$8&lt;$AQ303,"IKS",IF(R$8&lt;$AS303,IF(R$8=$AR303,"Bascule","Double run"),"ROKS"))))))</f>
        <v/>
      </c>
      <c r="S303" s="51" t="str">
        <f aca="false">IF(OR($A303="",S$8=""),"",IF($F303="Migré","ROKS",IF($F303="À décommissionner",IF(S$8&lt;$AS303,"IKS","Décom."),IF(OR($AQ303="",$AS303=""),"",IF(S$8&lt;$AQ303,"IKS",IF(S$8&lt;$AS303,IF(S$8=$AR303,"Bascule","Double run"),"ROKS"))))))</f>
        <v/>
      </c>
      <c r="T303" s="51" t="str">
        <f aca="false">IF(OR($A303="",T$8=""),"",IF($F303="Migré","ROKS",IF($F303="À décommissionner",IF(T$8&lt;$AS303,"IKS","Décom."),IF(OR($AQ303="",$AS303=""),"",IF(T$8&lt;$AQ303,"IKS",IF(T$8&lt;$AS303,IF(T$8=$AR303,"Bascule","Double run"),"ROKS"))))))</f>
        <v/>
      </c>
      <c r="U303" s="51" t="str">
        <f aca="false">IF(OR($A303="",U$8=""),"",IF($F303="Migré","ROKS",IF($F303="À décommissionner",IF(U$8&lt;$AS303,"IKS","Décom."),IF(OR($AQ303="",$AS303=""),"",IF(U$8&lt;$AQ303,"IKS",IF(U$8&lt;$AS303,IF(U$8=$AR303,"Bascule","Double run"),"ROKS"))))))</f>
        <v/>
      </c>
      <c r="V303" s="51" t="str">
        <f aca="false">IF(OR($A303="",V$8=""),"",IF($F303="Migré","ROKS",IF($F303="À décommissionner",IF(V$8&lt;$AS303,"IKS","Décom."),IF(OR($AQ303="",$AS303=""),"",IF(V$8&lt;$AQ303,"IKS",IF(V$8&lt;$AS303,IF(V$8=$AR303,"Bascule","Double run"),"ROKS"))))))</f>
        <v/>
      </c>
      <c r="W303" s="51" t="str">
        <f aca="false">IF(OR($A303="",W$8=""),"",IF($F303="Migré","ROKS",IF($F303="À décommissionner",IF(W$8&lt;$AS303,"IKS","Décom."),IF(OR($AQ303="",$AS303=""),"",IF(W$8&lt;$AQ303,"IKS",IF(W$8&lt;$AS303,IF(W$8=$AR303,"Bascule","Double run"),"ROKS"))))))</f>
        <v/>
      </c>
      <c r="X303" s="51" t="str">
        <f aca="false">IF(OR($A303="",X$8=""),"",IF($F303="Migré","ROKS",IF($F303="À décommissionner",IF(X$8&lt;$AS303,"IKS","Décom."),IF(OR($AQ303="",$AS303=""),"",IF(X$8&lt;$AQ303,"IKS",IF(X$8&lt;$AS303,IF(X$8=$AR303,"Bascule","Double run"),"ROKS"))))))</f>
        <v/>
      </c>
      <c r="Y303" s="51" t="str">
        <f aca="false">IF(OR($A303="",Y$8=""),"",IF($F303="Migré","ROKS",IF($F303="À décommissionner",IF(Y$8&lt;$AS303,"IKS","Décom."),IF(OR($AQ303="",$AS303=""),"",IF(Y$8&lt;$AQ303,"IKS",IF(Y$8&lt;$AS303,IF(Y$8=$AR303,"Bascule","Double run"),"ROKS"))))))</f>
        <v/>
      </c>
      <c r="Z303" s="51" t="str">
        <f aca="false">IF(OR($A303="",Z$8=""),"",IF($F303="Migré","ROKS",IF($F303="À décommissionner",IF(Z$8&lt;$AS303,"IKS","Décom."),IF(OR($AQ303="",$AS303=""),"",IF(Z$8&lt;$AQ303,"IKS",IF(Z$8&lt;$AS303,IF(Z$8=$AR303,"Bascule","Double run"),"ROKS"))))))</f>
        <v/>
      </c>
      <c r="AA303" s="51" t="str">
        <f aca="false">IF(OR($A303="",AA$8=""),"",IF($F303="Migré","ROKS",IF($F303="À décommissionner",IF(AA$8&lt;$AS303,"IKS","Décom."),IF(OR($AQ303="",$AS303=""),"",IF(AA$8&lt;$AQ303,"IKS",IF(AA$8&lt;$AS303,IF(AA$8=$AR303,"Bascule","Double run"),"ROKS"))))))</f>
        <v/>
      </c>
      <c r="AB303" s="51" t="str">
        <f aca="false">IF(OR($A303="",AB$8=""),"",IF($F303="Migré","ROKS",IF($F303="À décommissionner",IF(AB$8&lt;$AS303,"IKS","Décom."),IF(OR($AQ303="",$AS303=""),"",IF(AB$8&lt;$AQ303,"IKS",IF(AB$8&lt;$AS303,IF(AB$8=$AR303,"Bascule","Double run"),"ROKS"))))))</f>
        <v/>
      </c>
      <c r="AC303" s="51" t="str">
        <f aca="false">IF(OR($A303="",AC$8=""),"",IF($F303="Migré","ROKS",IF($F303="À décommissionner",IF(AC$8&lt;$AS303,"IKS","Décom."),IF(OR($AQ303="",$AS303=""),"",IF(AC$8&lt;$AQ303,"IKS",IF(AC$8&lt;$AS303,IF(AC$8=$AR303,"Bascule","Double run"),"ROKS"))))))</f>
        <v/>
      </c>
      <c r="AD303" s="51" t="str">
        <f aca="false">IF(OR($A303="",AD$8=""),"",IF($F303="Migré","ROKS",IF($F303="À décommissionner",IF(AD$8&lt;$AS303,"IKS","Décom."),IF(OR($AQ303="",$AS303=""),"",IF(AD$8&lt;$AQ303,"IKS",IF(AD$8&lt;$AS303,IF(AD$8=$AR303,"Bascule","Double run"),"ROKS"))))))</f>
        <v/>
      </c>
      <c r="AE303" s="51" t="str">
        <f aca="false">IF(OR($A303="",AE$8=""),"",IF($F303="Migré","ROKS",IF($F303="À décommissionner",IF(AE$8&lt;$AS303,"IKS","Décom."),IF(OR($AQ303="",$AS303=""),"",IF(AE$8&lt;$AQ303,"IKS",IF(AE$8&lt;$AS303,IF(AE$8=$AR303,"Bascule","Double run"),"ROKS"))))))</f>
        <v/>
      </c>
      <c r="AF303" s="51" t="str">
        <f aca="false">IF(OR($A303="",AF$8=""),"",IF($F303="Migré","ROKS",IF($F303="À décommissionner",IF(AF$8&lt;$AS303,"IKS","Décom."),IF(OR($AQ303="",$AS303=""),"",IF(AF$8&lt;$AQ303,"IKS",IF(AF$8&lt;$AS303,IF(AF$8=$AR303,"Bascule","Double run"),"ROKS"))))))</f>
        <v/>
      </c>
      <c r="AG303" s="51" t="str">
        <f aca="false">IF(OR($A303="",AG$8=""),"",IF($F303="Migré","ROKS",IF($F303="À décommissionner",IF(AG$8&lt;$AS303,"IKS","Décom."),IF(OR($AQ303="",$AS303=""),"",IF(AG$8&lt;$AQ303,"IKS",IF(AG$8&lt;$AS303,IF(AG$8=$AR303,"Bascule","Double run"),"ROKS"))))))</f>
        <v/>
      </c>
      <c r="AH303" s="51" t="str">
        <f aca="false">IF(OR($A303="",AH$8=""),"",IF($F303="Migré","ROKS",IF($F303="À décommissionner",IF(AH$8&lt;$AS303,"IKS","Décom."),IF(OR($AQ303="",$AS303=""),"",IF(AH$8&lt;$AQ303,"IKS",IF(AH$8&lt;$AS303,IF(AH$8=$AR303,"Bascule","Double run"),"ROKS"))))))</f>
        <v/>
      </c>
      <c r="AI303" s="51" t="str">
        <f aca="false">IF(OR($A303="",AI$8=""),"",IF($F303="Migré","ROKS",IF($F303="À décommissionner",IF(AI$8&lt;$AS303,"IKS","Décom."),IF(OR($AQ303="",$AS303=""),"",IF(AI$8&lt;$AQ303,"IKS",IF(AI$8&lt;$AS303,IF(AI$8=$AR303,"Bascule","Double run"),"ROKS"))))))</f>
        <v/>
      </c>
      <c r="AJ303" s="51" t="str">
        <f aca="false">IF(OR($A303="",AJ$8=""),"",IF($F303="Migré","ROKS",IF($F303="À décommissionner",IF(AJ$8&lt;$AS303,"IKS","Décom."),IF(OR($AQ303="",$AS303=""),"",IF(AJ$8&lt;$AQ303,"IKS",IF(AJ$8&lt;$AS303,IF(AJ$8=$AR303,"Bascule","Double run"),"ROKS"))))))</f>
        <v/>
      </c>
      <c r="AK303" s="51" t="str">
        <f aca="false">IF(OR($A303="",AK$8=""),"",IF($F303="Migré","ROKS",IF($F303="À décommissionner",IF(AK$8&lt;$AS303,"IKS","Décom."),IF(OR($AQ303="",$AS303=""),"",IF(AK$8&lt;$AQ303,"IKS",IF(AK$8&lt;$AS303,IF(AK$8=$AR303,"Bascule","Double run"),"ROKS"))))))</f>
        <v/>
      </c>
      <c r="AL303" s="51" t="str">
        <f aca="false">IF(OR($A303="",AL$8=""),"",IF($F303="Migré","ROKS",IF($F303="À décommissionner",IF(AL$8&lt;$AS303,"IKS","Décom."),IF(OR($AQ303="",$AS303=""),"",IF(AL$8&lt;$AQ303,"IKS",IF(AL$8&lt;$AS303,IF(AL$8=$AR303,"Bascule","Double run"),"ROKS"))))))</f>
        <v/>
      </c>
      <c r="AM303" s="51" t="str">
        <f aca="false">IF(OR($A303="",AM$8=""),"",IF($F303="Migré","ROKS",IF($F303="À décommissionner",IF(AM$8&lt;$AS303,"IKS","Décom."),IF(OR($AQ303="",$AS303=""),"",IF(AM$8&lt;$AQ303,"IKS",IF(AM$8&lt;$AS303,IF(AM$8=$AR303,"Bascule","Double run"),"ROKS"))))))</f>
        <v/>
      </c>
      <c r="AN303" s="51" t="str">
        <f aca="false">IF(OR($A303="",AN$8=""),"",IF($F303="Migré","ROKS",IF($F303="À décommissionner",IF(AN$8&lt;$AS303,"IKS","Décom."),IF(OR($AQ303="",$AS303=""),"",IF(AN$8&lt;$AQ303,"IKS",IF(AN$8&lt;$AS303,IF(AN$8=$AR303,"Bascule","Double run"),"ROKS"))))))</f>
        <v/>
      </c>
      <c r="AO303" s="51" t="str">
        <f aca="false">IF(OR($A303="",AO$8=""),"",IF($F303="Migré","ROKS",IF($F303="À décommissionner",IF(AO$8&lt;$AS303,"IKS","Décom."),IF(OR($AQ303="",$AS303=""),"",IF(AO$8&lt;$AQ303,"IKS",IF(AO$8&lt;$AS303,IF(AO$8=$AR303,"Bascule","Double run"),"ROKS"))))))</f>
        <v/>
      </c>
      <c r="AP303" s="51" t="str">
        <f aca="false">IF(OR($A303="",AP$8=""),"",IF($F303="Migré","ROKS",IF($F303="À décommissionner",IF(AP$8&lt;$AS303,"IKS","Décom."),IF(OR($AQ303="",$AS303=""),"",IF(AP$8&lt;$AQ303,"IKS",IF(AP$8&lt;$AS303,IF(AP$8=$AR303,"Bascule","Double run"),"ROKS"))))))</f>
        <v/>
      </c>
      <c r="AQ303" s="0" t="str">
        <f aca="false">IF($A303="","",INDEX(TblApplications[Mois prov (calc)],$A303))</f>
        <v/>
      </c>
      <c r="AR303" s="0" t="str">
        <f aca="false">IF($A303="","",IFERROR(DATE(YEAR(INDEX(TblApplications[Mois bascule],$A303)),MONTH(INDEX(TblApplications[Mois bascule],$A303)),1),""))</f>
        <v/>
      </c>
      <c r="AS303" s="0" t="str">
        <f aca="false">IF($A303="","",INDEX(TblApplications[Mois lib (calc)],$A303))</f>
        <v/>
      </c>
    </row>
    <row r="304" customFormat="false" ht="15" hidden="false" customHeight="false" outlineLevel="0" collapsed="false">
      <c r="A304" s="49" t="str">
        <f aca="false">IFERROR(MATCH(296,TblApplications[Rang frise],0),"")</f>
        <v/>
      </c>
      <c r="B304" s="50" t="str">
        <f aca="false">IF($A304="","",INDEX(TblApplications[ID],$A304))</f>
        <v/>
      </c>
      <c r="C304" s="50" t="str">
        <f aca="false">IF($A304="","",INDEX(TblApplications[Application],$A304))</f>
        <v/>
      </c>
      <c r="D304" s="50" t="str">
        <f aca="false">IF($A304="","",INDEX(TblApplications[Environnement],$A304))</f>
        <v/>
      </c>
      <c r="E304" s="50" t="str">
        <f aca="false">IF($A304="","",INDEX(TblApplications[Couloir],$A304))</f>
        <v/>
      </c>
      <c r="F304" s="50" t="str">
        <f aca="false">IF($A304="","",INDEX(TblApplications[Action],$A304))</f>
        <v/>
      </c>
      <c r="G304" s="51" t="str">
        <f aca="false">IF(OR($A304="",G$8=""),"",IF($F304="Migré","ROKS",IF($F304="À décommissionner",IF(G$8&lt;$AS304,"IKS","Décom."),IF(OR($AQ304="",$AS304=""),"",IF(G$8&lt;$AQ304,"IKS",IF(G$8&lt;$AS304,IF(G$8=$AR304,"Bascule","Double run"),"ROKS"))))))</f>
        <v/>
      </c>
      <c r="H304" s="51" t="str">
        <f aca="false">IF(OR($A304="",H$8=""),"",IF($F304="Migré","ROKS",IF($F304="À décommissionner",IF(H$8&lt;$AS304,"IKS","Décom."),IF(OR($AQ304="",$AS304=""),"",IF(H$8&lt;$AQ304,"IKS",IF(H$8&lt;$AS304,IF(H$8=$AR304,"Bascule","Double run"),"ROKS"))))))</f>
        <v/>
      </c>
      <c r="I304" s="51" t="str">
        <f aca="false">IF(OR($A304="",I$8=""),"",IF($F304="Migré","ROKS",IF($F304="À décommissionner",IF(I$8&lt;$AS304,"IKS","Décom."),IF(OR($AQ304="",$AS304=""),"",IF(I$8&lt;$AQ304,"IKS",IF(I$8&lt;$AS304,IF(I$8=$AR304,"Bascule","Double run"),"ROKS"))))))</f>
        <v/>
      </c>
      <c r="J304" s="51" t="str">
        <f aca="false">IF(OR($A304="",J$8=""),"",IF($F304="Migré","ROKS",IF($F304="À décommissionner",IF(J$8&lt;$AS304,"IKS","Décom."),IF(OR($AQ304="",$AS304=""),"",IF(J$8&lt;$AQ304,"IKS",IF(J$8&lt;$AS304,IF(J$8=$AR304,"Bascule","Double run"),"ROKS"))))))</f>
        <v/>
      </c>
      <c r="K304" s="51" t="str">
        <f aca="false">IF(OR($A304="",K$8=""),"",IF($F304="Migré","ROKS",IF($F304="À décommissionner",IF(K$8&lt;$AS304,"IKS","Décom."),IF(OR($AQ304="",$AS304=""),"",IF(K$8&lt;$AQ304,"IKS",IF(K$8&lt;$AS304,IF(K$8=$AR304,"Bascule","Double run"),"ROKS"))))))</f>
        <v/>
      </c>
      <c r="L304" s="51" t="str">
        <f aca="false">IF(OR($A304="",L$8=""),"",IF($F304="Migré","ROKS",IF($F304="À décommissionner",IF(L$8&lt;$AS304,"IKS","Décom."),IF(OR($AQ304="",$AS304=""),"",IF(L$8&lt;$AQ304,"IKS",IF(L$8&lt;$AS304,IF(L$8=$AR304,"Bascule","Double run"),"ROKS"))))))</f>
        <v/>
      </c>
      <c r="M304" s="51" t="str">
        <f aca="false">IF(OR($A304="",M$8=""),"",IF($F304="Migré","ROKS",IF($F304="À décommissionner",IF(M$8&lt;$AS304,"IKS","Décom."),IF(OR($AQ304="",$AS304=""),"",IF(M$8&lt;$AQ304,"IKS",IF(M$8&lt;$AS304,IF(M$8=$AR304,"Bascule","Double run"),"ROKS"))))))</f>
        <v/>
      </c>
      <c r="N304" s="51" t="str">
        <f aca="false">IF(OR($A304="",N$8=""),"",IF($F304="Migré","ROKS",IF($F304="À décommissionner",IF(N$8&lt;$AS304,"IKS","Décom."),IF(OR($AQ304="",$AS304=""),"",IF(N$8&lt;$AQ304,"IKS",IF(N$8&lt;$AS304,IF(N$8=$AR304,"Bascule","Double run"),"ROKS"))))))</f>
        <v/>
      </c>
      <c r="O304" s="51" t="str">
        <f aca="false">IF(OR($A304="",O$8=""),"",IF($F304="Migré","ROKS",IF($F304="À décommissionner",IF(O$8&lt;$AS304,"IKS","Décom."),IF(OR($AQ304="",$AS304=""),"",IF(O$8&lt;$AQ304,"IKS",IF(O$8&lt;$AS304,IF(O$8=$AR304,"Bascule","Double run"),"ROKS"))))))</f>
        <v/>
      </c>
      <c r="P304" s="51" t="str">
        <f aca="false">IF(OR($A304="",P$8=""),"",IF($F304="Migré","ROKS",IF($F304="À décommissionner",IF(P$8&lt;$AS304,"IKS","Décom."),IF(OR($AQ304="",$AS304=""),"",IF(P$8&lt;$AQ304,"IKS",IF(P$8&lt;$AS304,IF(P$8=$AR304,"Bascule","Double run"),"ROKS"))))))</f>
        <v/>
      </c>
      <c r="Q304" s="51" t="str">
        <f aca="false">IF(OR($A304="",Q$8=""),"",IF($F304="Migré","ROKS",IF($F304="À décommissionner",IF(Q$8&lt;$AS304,"IKS","Décom."),IF(OR($AQ304="",$AS304=""),"",IF(Q$8&lt;$AQ304,"IKS",IF(Q$8&lt;$AS304,IF(Q$8=$AR304,"Bascule","Double run"),"ROKS"))))))</f>
        <v/>
      </c>
      <c r="R304" s="51" t="str">
        <f aca="false">IF(OR($A304="",R$8=""),"",IF($F304="Migré","ROKS",IF($F304="À décommissionner",IF(R$8&lt;$AS304,"IKS","Décom."),IF(OR($AQ304="",$AS304=""),"",IF(R$8&lt;$AQ304,"IKS",IF(R$8&lt;$AS304,IF(R$8=$AR304,"Bascule","Double run"),"ROKS"))))))</f>
        <v/>
      </c>
      <c r="S304" s="51" t="str">
        <f aca="false">IF(OR($A304="",S$8=""),"",IF($F304="Migré","ROKS",IF($F304="À décommissionner",IF(S$8&lt;$AS304,"IKS","Décom."),IF(OR($AQ304="",$AS304=""),"",IF(S$8&lt;$AQ304,"IKS",IF(S$8&lt;$AS304,IF(S$8=$AR304,"Bascule","Double run"),"ROKS"))))))</f>
        <v/>
      </c>
      <c r="T304" s="51" t="str">
        <f aca="false">IF(OR($A304="",T$8=""),"",IF($F304="Migré","ROKS",IF($F304="À décommissionner",IF(T$8&lt;$AS304,"IKS","Décom."),IF(OR($AQ304="",$AS304=""),"",IF(T$8&lt;$AQ304,"IKS",IF(T$8&lt;$AS304,IF(T$8=$AR304,"Bascule","Double run"),"ROKS"))))))</f>
        <v/>
      </c>
      <c r="U304" s="51" t="str">
        <f aca="false">IF(OR($A304="",U$8=""),"",IF($F304="Migré","ROKS",IF($F304="À décommissionner",IF(U$8&lt;$AS304,"IKS","Décom."),IF(OR($AQ304="",$AS304=""),"",IF(U$8&lt;$AQ304,"IKS",IF(U$8&lt;$AS304,IF(U$8=$AR304,"Bascule","Double run"),"ROKS"))))))</f>
        <v/>
      </c>
      <c r="V304" s="51" t="str">
        <f aca="false">IF(OR($A304="",V$8=""),"",IF($F304="Migré","ROKS",IF($F304="À décommissionner",IF(V$8&lt;$AS304,"IKS","Décom."),IF(OR($AQ304="",$AS304=""),"",IF(V$8&lt;$AQ304,"IKS",IF(V$8&lt;$AS304,IF(V$8=$AR304,"Bascule","Double run"),"ROKS"))))))</f>
        <v/>
      </c>
      <c r="W304" s="51" t="str">
        <f aca="false">IF(OR($A304="",W$8=""),"",IF($F304="Migré","ROKS",IF($F304="À décommissionner",IF(W$8&lt;$AS304,"IKS","Décom."),IF(OR($AQ304="",$AS304=""),"",IF(W$8&lt;$AQ304,"IKS",IF(W$8&lt;$AS304,IF(W$8=$AR304,"Bascule","Double run"),"ROKS"))))))</f>
        <v/>
      </c>
      <c r="X304" s="51" t="str">
        <f aca="false">IF(OR($A304="",X$8=""),"",IF($F304="Migré","ROKS",IF($F304="À décommissionner",IF(X$8&lt;$AS304,"IKS","Décom."),IF(OR($AQ304="",$AS304=""),"",IF(X$8&lt;$AQ304,"IKS",IF(X$8&lt;$AS304,IF(X$8=$AR304,"Bascule","Double run"),"ROKS"))))))</f>
        <v/>
      </c>
      <c r="Y304" s="51" t="str">
        <f aca="false">IF(OR($A304="",Y$8=""),"",IF($F304="Migré","ROKS",IF($F304="À décommissionner",IF(Y$8&lt;$AS304,"IKS","Décom."),IF(OR($AQ304="",$AS304=""),"",IF(Y$8&lt;$AQ304,"IKS",IF(Y$8&lt;$AS304,IF(Y$8=$AR304,"Bascule","Double run"),"ROKS"))))))</f>
        <v/>
      </c>
      <c r="Z304" s="51" t="str">
        <f aca="false">IF(OR($A304="",Z$8=""),"",IF($F304="Migré","ROKS",IF($F304="À décommissionner",IF(Z$8&lt;$AS304,"IKS","Décom."),IF(OR($AQ304="",$AS304=""),"",IF(Z$8&lt;$AQ304,"IKS",IF(Z$8&lt;$AS304,IF(Z$8=$AR304,"Bascule","Double run"),"ROKS"))))))</f>
        <v/>
      </c>
      <c r="AA304" s="51" t="str">
        <f aca="false">IF(OR($A304="",AA$8=""),"",IF($F304="Migré","ROKS",IF($F304="À décommissionner",IF(AA$8&lt;$AS304,"IKS","Décom."),IF(OR($AQ304="",$AS304=""),"",IF(AA$8&lt;$AQ304,"IKS",IF(AA$8&lt;$AS304,IF(AA$8=$AR304,"Bascule","Double run"),"ROKS"))))))</f>
        <v/>
      </c>
      <c r="AB304" s="51" t="str">
        <f aca="false">IF(OR($A304="",AB$8=""),"",IF($F304="Migré","ROKS",IF($F304="À décommissionner",IF(AB$8&lt;$AS304,"IKS","Décom."),IF(OR($AQ304="",$AS304=""),"",IF(AB$8&lt;$AQ304,"IKS",IF(AB$8&lt;$AS304,IF(AB$8=$AR304,"Bascule","Double run"),"ROKS"))))))</f>
        <v/>
      </c>
      <c r="AC304" s="51" t="str">
        <f aca="false">IF(OR($A304="",AC$8=""),"",IF($F304="Migré","ROKS",IF($F304="À décommissionner",IF(AC$8&lt;$AS304,"IKS","Décom."),IF(OR($AQ304="",$AS304=""),"",IF(AC$8&lt;$AQ304,"IKS",IF(AC$8&lt;$AS304,IF(AC$8=$AR304,"Bascule","Double run"),"ROKS"))))))</f>
        <v/>
      </c>
      <c r="AD304" s="51" t="str">
        <f aca="false">IF(OR($A304="",AD$8=""),"",IF($F304="Migré","ROKS",IF($F304="À décommissionner",IF(AD$8&lt;$AS304,"IKS","Décom."),IF(OR($AQ304="",$AS304=""),"",IF(AD$8&lt;$AQ304,"IKS",IF(AD$8&lt;$AS304,IF(AD$8=$AR304,"Bascule","Double run"),"ROKS"))))))</f>
        <v/>
      </c>
      <c r="AE304" s="51" t="str">
        <f aca="false">IF(OR($A304="",AE$8=""),"",IF($F304="Migré","ROKS",IF($F304="À décommissionner",IF(AE$8&lt;$AS304,"IKS","Décom."),IF(OR($AQ304="",$AS304=""),"",IF(AE$8&lt;$AQ304,"IKS",IF(AE$8&lt;$AS304,IF(AE$8=$AR304,"Bascule","Double run"),"ROKS"))))))</f>
        <v/>
      </c>
      <c r="AF304" s="51" t="str">
        <f aca="false">IF(OR($A304="",AF$8=""),"",IF($F304="Migré","ROKS",IF($F304="À décommissionner",IF(AF$8&lt;$AS304,"IKS","Décom."),IF(OR($AQ304="",$AS304=""),"",IF(AF$8&lt;$AQ304,"IKS",IF(AF$8&lt;$AS304,IF(AF$8=$AR304,"Bascule","Double run"),"ROKS"))))))</f>
        <v/>
      </c>
      <c r="AG304" s="51" t="str">
        <f aca="false">IF(OR($A304="",AG$8=""),"",IF($F304="Migré","ROKS",IF($F304="À décommissionner",IF(AG$8&lt;$AS304,"IKS","Décom."),IF(OR($AQ304="",$AS304=""),"",IF(AG$8&lt;$AQ304,"IKS",IF(AG$8&lt;$AS304,IF(AG$8=$AR304,"Bascule","Double run"),"ROKS"))))))</f>
        <v/>
      </c>
      <c r="AH304" s="51" t="str">
        <f aca="false">IF(OR($A304="",AH$8=""),"",IF($F304="Migré","ROKS",IF($F304="À décommissionner",IF(AH$8&lt;$AS304,"IKS","Décom."),IF(OR($AQ304="",$AS304=""),"",IF(AH$8&lt;$AQ304,"IKS",IF(AH$8&lt;$AS304,IF(AH$8=$AR304,"Bascule","Double run"),"ROKS"))))))</f>
        <v/>
      </c>
      <c r="AI304" s="51" t="str">
        <f aca="false">IF(OR($A304="",AI$8=""),"",IF($F304="Migré","ROKS",IF($F304="À décommissionner",IF(AI$8&lt;$AS304,"IKS","Décom."),IF(OR($AQ304="",$AS304=""),"",IF(AI$8&lt;$AQ304,"IKS",IF(AI$8&lt;$AS304,IF(AI$8=$AR304,"Bascule","Double run"),"ROKS"))))))</f>
        <v/>
      </c>
      <c r="AJ304" s="51" t="str">
        <f aca="false">IF(OR($A304="",AJ$8=""),"",IF($F304="Migré","ROKS",IF($F304="À décommissionner",IF(AJ$8&lt;$AS304,"IKS","Décom."),IF(OR($AQ304="",$AS304=""),"",IF(AJ$8&lt;$AQ304,"IKS",IF(AJ$8&lt;$AS304,IF(AJ$8=$AR304,"Bascule","Double run"),"ROKS"))))))</f>
        <v/>
      </c>
      <c r="AK304" s="51" t="str">
        <f aca="false">IF(OR($A304="",AK$8=""),"",IF($F304="Migré","ROKS",IF($F304="À décommissionner",IF(AK$8&lt;$AS304,"IKS","Décom."),IF(OR($AQ304="",$AS304=""),"",IF(AK$8&lt;$AQ304,"IKS",IF(AK$8&lt;$AS304,IF(AK$8=$AR304,"Bascule","Double run"),"ROKS"))))))</f>
        <v/>
      </c>
      <c r="AL304" s="51" t="str">
        <f aca="false">IF(OR($A304="",AL$8=""),"",IF($F304="Migré","ROKS",IF($F304="À décommissionner",IF(AL$8&lt;$AS304,"IKS","Décom."),IF(OR($AQ304="",$AS304=""),"",IF(AL$8&lt;$AQ304,"IKS",IF(AL$8&lt;$AS304,IF(AL$8=$AR304,"Bascule","Double run"),"ROKS"))))))</f>
        <v/>
      </c>
      <c r="AM304" s="51" t="str">
        <f aca="false">IF(OR($A304="",AM$8=""),"",IF($F304="Migré","ROKS",IF($F304="À décommissionner",IF(AM$8&lt;$AS304,"IKS","Décom."),IF(OR($AQ304="",$AS304=""),"",IF(AM$8&lt;$AQ304,"IKS",IF(AM$8&lt;$AS304,IF(AM$8=$AR304,"Bascule","Double run"),"ROKS"))))))</f>
        <v/>
      </c>
      <c r="AN304" s="51" t="str">
        <f aca="false">IF(OR($A304="",AN$8=""),"",IF($F304="Migré","ROKS",IF($F304="À décommissionner",IF(AN$8&lt;$AS304,"IKS","Décom."),IF(OR($AQ304="",$AS304=""),"",IF(AN$8&lt;$AQ304,"IKS",IF(AN$8&lt;$AS304,IF(AN$8=$AR304,"Bascule","Double run"),"ROKS"))))))</f>
        <v/>
      </c>
      <c r="AO304" s="51" t="str">
        <f aca="false">IF(OR($A304="",AO$8=""),"",IF($F304="Migré","ROKS",IF($F304="À décommissionner",IF(AO$8&lt;$AS304,"IKS","Décom."),IF(OR($AQ304="",$AS304=""),"",IF(AO$8&lt;$AQ304,"IKS",IF(AO$8&lt;$AS304,IF(AO$8=$AR304,"Bascule","Double run"),"ROKS"))))))</f>
        <v/>
      </c>
      <c r="AP304" s="51" t="str">
        <f aca="false">IF(OR($A304="",AP$8=""),"",IF($F304="Migré","ROKS",IF($F304="À décommissionner",IF(AP$8&lt;$AS304,"IKS","Décom."),IF(OR($AQ304="",$AS304=""),"",IF(AP$8&lt;$AQ304,"IKS",IF(AP$8&lt;$AS304,IF(AP$8=$AR304,"Bascule","Double run"),"ROKS"))))))</f>
        <v/>
      </c>
      <c r="AQ304" s="0" t="str">
        <f aca="false">IF($A304="","",INDEX(TblApplications[Mois prov (calc)],$A304))</f>
        <v/>
      </c>
      <c r="AR304" s="0" t="str">
        <f aca="false">IF($A304="","",IFERROR(DATE(YEAR(INDEX(TblApplications[Mois bascule],$A304)),MONTH(INDEX(TblApplications[Mois bascule],$A304)),1),""))</f>
        <v/>
      </c>
      <c r="AS304" s="0" t="str">
        <f aca="false">IF($A304="","",INDEX(TblApplications[Mois lib (calc)],$A304))</f>
        <v/>
      </c>
    </row>
    <row r="305" customFormat="false" ht="15" hidden="false" customHeight="false" outlineLevel="0" collapsed="false">
      <c r="A305" s="49" t="str">
        <f aca="false">IFERROR(MATCH(297,TblApplications[Rang frise],0),"")</f>
        <v/>
      </c>
      <c r="B305" s="50" t="str">
        <f aca="false">IF($A305="","",INDEX(TblApplications[ID],$A305))</f>
        <v/>
      </c>
      <c r="C305" s="50" t="str">
        <f aca="false">IF($A305="","",INDEX(TblApplications[Application],$A305))</f>
        <v/>
      </c>
      <c r="D305" s="50" t="str">
        <f aca="false">IF($A305="","",INDEX(TblApplications[Environnement],$A305))</f>
        <v/>
      </c>
      <c r="E305" s="50" t="str">
        <f aca="false">IF($A305="","",INDEX(TblApplications[Couloir],$A305))</f>
        <v/>
      </c>
      <c r="F305" s="50" t="str">
        <f aca="false">IF($A305="","",INDEX(TblApplications[Action],$A305))</f>
        <v/>
      </c>
      <c r="G305" s="51" t="str">
        <f aca="false">IF(OR($A305="",G$8=""),"",IF($F305="Migré","ROKS",IF($F305="À décommissionner",IF(G$8&lt;$AS305,"IKS","Décom."),IF(OR($AQ305="",$AS305=""),"",IF(G$8&lt;$AQ305,"IKS",IF(G$8&lt;$AS305,IF(G$8=$AR305,"Bascule","Double run"),"ROKS"))))))</f>
        <v/>
      </c>
      <c r="H305" s="51" t="str">
        <f aca="false">IF(OR($A305="",H$8=""),"",IF($F305="Migré","ROKS",IF($F305="À décommissionner",IF(H$8&lt;$AS305,"IKS","Décom."),IF(OR($AQ305="",$AS305=""),"",IF(H$8&lt;$AQ305,"IKS",IF(H$8&lt;$AS305,IF(H$8=$AR305,"Bascule","Double run"),"ROKS"))))))</f>
        <v/>
      </c>
      <c r="I305" s="51" t="str">
        <f aca="false">IF(OR($A305="",I$8=""),"",IF($F305="Migré","ROKS",IF($F305="À décommissionner",IF(I$8&lt;$AS305,"IKS","Décom."),IF(OR($AQ305="",$AS305=""),"",IF(I$8&lt;$AQ305,"IKS",IF(I$8&lt;$AS305,IF(I$8=$AR305,"Bascule","Double run"),"ROKS"))))))</f>
        <v/>
      </c>
      <c r="J305" s="51" t="str">
        <f aca="false">IF(OR($A305="",J$8=""),"",IF($F305="Migré","ROKS",IF($F305="À décommissionner",IF(J$8&lt;$AS305,"IKS","Décom."),IF(OR($AQ305="",$AS305=""),"",IF(J$8&lt;$AQ305,"IKS",IF(J$8&lt;$AS305,IF(J$8=$AR305,"Bascule","Double run"),"ROKS"))))))</f>
        <v/>
      </c>
      <c r="K305" s="51" t="str">
        <f aca="false">IF(OR($A305="",K$8=""),"",IF($F305="Migré","ROKS",IF($F305="À décommissionner",IF(K$8&lt;$AS305,"IKS","Décom."),IF(OR($AQ305="",$AS305=""),"",IF(K$8&lt;$AQ305,"IKS",IF(K$8&lt;$AS305,IF(K$8=$AR305,"Bascule","Double run"),"ROKS"))))))</f>
        <v/>
      </c>
      <c r="L305" s="51" t="str">
        <f aca="false">IF(OR($A305="",L$8=""),"",IF($F305="Migré","ROKS",IF($F305="À décommissionner",IF(L$8&lt;$AS305,"IKS","Décom."),IF(OR($AQ305="",$AS305=""),"",IF(L$8&lt;$AQ305,"IKS",IF(L$8&lt;$AS305,IF(L$8=$AR305,"Bascule","Double run"),"ROKS"))))))</f>
        <v/>
      </c>
      <c r="M305" s="51" t="str">
        <f aca="false">IF(OR($A305="",M$8=""),"",IF($F305="Migré","ROKS",IF($F305="À décommissionner",IF(M$8&lt;$AS305,"IKS","Décom."),IF(OR($AQ305="",$AS305=""),"",IF(M$8&lt;$AQ305,"IKS",IF(M$8&lt;$AS305,IF(M$8=$AR305,"Bascule","Double run"),"ROKS"))))))</f>
        <v/>
      </c>
      <c r="N305" s="51" t="str">
        <f aca="false">IF(OR($A305="",N$8=""),"",IF($F305="Migré","ROKS",IF($F305="À décommissionner",IF(N$8&lt;$AS305,"IKS","Décom."),IF(OR($AQ305="",$AS305=""),"",IF(N$8&lt;$AQ305,"IKS",IF(N$8&lt;$AS305,IF(N$8=$AR305,"Bascule","Double run"),"ROKS"))))))</f>
        <v/>
      </c>
      <c r="O305" s="51" t="str">
        <f aca="false">IF(OR($A305="",O$8=""),"",IF($F305="Migré","ROKS",IF($F305="À décommissionner",IF(O$8&lt;$AS305,"IKS","Décom."),IF(OR($AQ305="",$AS305=""),"",IF(O$8&lt;$AQ305,"IKS",IF(O$8&lt;$AS305,IF(O$8=$AR305,"Bascule","Double run"),"ROKS"))))))</f>
        <v/>
      </c>
      <c r="P305" s="51" t="str">
        <f aca="false">IF(OR($A305="",P$8=""),"",IF($F305="Migré","ROKS",IF($F305="À décommissionner",IF(P$8&lt;$AS305,"IKS","Décom."),IF(OR($AQ305="",$AS305=""),"",IF(P$8&lt;$AQ305,"IKS",IF(P$8&lt;$AS305,IF(P$8=$AR305,"Bascule","Double run"),"ROKS"))))))</f>
        <v/>
      </c>
      <c r="Q305" s="51" t="str">
        <f aca="false">IF(OR($A305="",Q$8=""),"",IF($F305="Migré","ROKS",IF($F305="À décommissionner",IF(Q$8&lt;$AS305,"IKS","Décom."),IF(OR($AQ305="",$AS305=""),"",IF(Q$8&lt;$AQ305,"IKS",IF(Q$8&lt;$AS305,IF(Q$8=$AR305,"Bascule","Double run"),"ROKS"))))))</f>
        <v/>
      </c>
      <c r="R305" s="51" t="str">
        <f aca="false">IF(OR($A305="",R$8=""),"",IF($F305="Migré","ROKS",IF($F305="À décommissionner",IF(R$8&lt;$AS305,"IKS","Décom."),IF(OR($AQ305="",$AS305=""),"",IF(R$8&lt;$AQ305,"IKS",IF(R$8&lt;$AS305,IF(R$8=$AR305,"Bascule","Double run"),"ROKS"))))))</f>
        <v/>
      </c>
      <c r="S305" s="51" t="str">
        <f aca="false">IF(OR($A305="",S$8=""),"",IF($F305="Migré","ROKS",IF($F305="À décommissionner",IF(S$8&lt;$AS305,"IKS","Décom."),IF(OR($AQ305="",$AS305=""),"",IF(S$8&lt;$AQ305,"IKS",IF(S$8&lt;$AS305,IF(S$8=$AR305,"Bascule","Double run"),"ROKS"))))))</f>
        <v/>
      </c>
      <c r="T305" s="51" t="str">
        <f aca="false">IF(OR($A305="",T$8=""),"",IF($F305="Migré","ROKS",IF($F305="À décommissionner",IF(T$8&lt;$AS305,"IKS","Décom."),IF(OR($AQ305="",$AS305=""),"",IF(T$8&lt;$AQ305,"IKS",IF(T$8&lt;$AS305,IF(T$8=$AR305,"Bascule","Double run"),"ROKS"))))))</f>
        <v/>
      </c>
      <c r="U305" s="51" t="str">
        <f aca="false">IF(OR($A305="",U$8=""),"",IF($F305="Migré","ROKS",IF($F305="À décommissionner",IF(U$8&lt;$AS305,"IKS","Décom."),IF(OR($AQ305="",$AS305=""),"",IF(U$8&lt;$AQ305,"IKS",IF(U$8&lt;$AS305,IF(U$8=$AR305,"Bascule","Double run"),"ROKS"))))))</f>
        <v/>
      </c>
      <c r="V305" s="51" t="str">
        <f aca="false">IF(OR($A305="",V$8=""),"",IF($F305="Migré","ROKS",IF($F305="À décommissionner",IF(V$8&lt;$AS305,"IKS","Décom."),IF(OR($AQ305="",$AS305=""),"",IF(V$8&lt;$AQ305,"IKS",IF(V$8&lt;$AS305,IF(V$8=$AR305,"Bascule","Double run"),"ROKS"))))))</f>
        <v/>
      </c>
      <c r="W305" s="51" t="str">
        <f aca="false">IF(OR($A305="",W$8=""),"",IF($F305="Migré","ROKS",IF($F305="À décommissionner",IF(W$8&lt;$AS305,"IKS","Décom."),IF(OR($AQ305="",$AS305=""),"",IF(W$8&lt;$AQ305,"IKS",IF(W$8&lt;$AS305,IF(W$8=$AR305,"Bascule","Double run"),"ROKS"))))))</f>
        <v/>
      </c>
      <c r="X305" s="51" t="str">
        <f aca="false">IF(OR($A305="",X$8=""),"",IF($F305="Migré","ROKS",IF($F305="À décommissionner",IF(X$8&lt;$AS305,"IKS","Décom."),IF(OR($AQ305="",$AS305=""),"",IF(X$8&lt;$AQ305,"IKS",IF(X$8&lt;$AS305,IF(X$8=$AR305,"Bascule","Double run"),"ROKS"))))))</f>
        <v/>
      </c>
      <c r="Y305" s="51" t="str">
        <f aca="false">IF(OR($A305="",Y$8=""),"",IF($F305="Migré","ROKS",IF($F305="À décommissionner",IF(Y$8&lt;$AS305,"IKS","Décom."),IF(OR($AQ305="",$AS305=""),"",IF(Y$8&lt;$AQ305,"IKS",IF(Y$8&lt;$AS305,IF(Y$8=$AR305,"Bascule","Double run"),"ROKS"))))))</f>
        <v/>
      </c>
      <c r="Z305" s="51" t="str">
        <f aca="false">IF(OR($A305="",Z$8=""),"",IF($F305="Migré","ROKS",IF($F305="À décommissionner",IF(Z$8&lt;$AS305,"IKS","Décom."),IF(OR($AQ305="",$AS305=""),"",IF(Z$8&lt;$AQ305,"IKS",IF(Z$8&lt;$AS305,IF(Z$8=$AR305,"Bascule","Double run"),"ROKS"))))))</f>
        <v/>
      </c>
      <c r="AA305" s="51" t="str">
        <f aca="false">IF(OR($A305="",AA$8=""),"",IF($F305="Migré","ROKS",IF($F305="À décommissionner",IF(AA$8&lt;$AS305,"IKS","Décom."),IF(OR($AQ305="",$AS305=""),"",IF(AA$8&lt;$AQ305,"IKS",IF(AA$8&lt;$AS305,IF(AA$8=$AR305,"Bascule","Double run"),"ROKS"))))))</f>
        <v/>
      </c>
      <c r="AB305" s="51" t="str">
        <f aca="false">IF(OR($A305="",AB$8=""),"",IF($F305="Migré","ROKS",IF($F305="À décommissionner",IF(AB$8&lt;$AS305,"IKS","Décom."),IF(OR($AQ305="",$AS305=""),"",IF(AB$8&lt;$AQ305,"IKS",IF(AB$8&lt;$AS305,IF(AB$8=$AR305,"Bascule","Double run"),"ROKS"))))))</f>
        <v/>
      </c>
      <c r="AC305" s="51" t="str">
        <f aca="false">IF(OR($A305="",AC$8=""),"",IF($F305="Migré","ROKS",IF($F305="À décommissionner",IF(AC$8&lt;$AS305,"IKS","Décom."),IF(OR($AQ305="",$AS305=""),"",IF(AC$8&lt;$AQ305,"IKS",IF(AC$8&lt;$AS305,IF(AC$8=$AR305,"Bascule","Double run"),"ROKS"))))))</f>
        <v/>
      </c>
      <c r="AD305" s="51" t="str">
        <f aca="false">IF(OR($A305="",AD$8=""),"",IF($F305="Migré","ROKS",IF($F305="À décommissionner",IF(AD$8&lt;$AS305,"IKS","Décom."),IF(OR($AQ305="",$AS305=""),"",IF(AD$8&lt;$AQ305,"IKS",IF(AD$8&lt;$AS305,IF(AD$8=$AR305,"Bascule","Double run"),"ROKS"))))))</f>
        <v/>
      </c>
      <c r="AE305" s="51" t="str">
        <f aca="false">IF(OR($A305="",AE$8=""),"",IF($F305="Migré","ROKS",IF($F305="À décommissionner",IF(AE$8&lt;$AS305,"IKS","Décom."),IF(OR($AQ305="",$AS305=""),"",IF(AE$8&lt;$AQ305,"IKS",IF(AE$8&lt;$AS305,IF(AE$8=$AR305,"Bascule","Double run"),"ROKS"))))))</f>
        <v/>
      </c>
      <c r="AF305" s="51" t="str">
        <f aca="false">IF(OR($A305="",AF$8=""),"",IF($F305="Migré","ROKS",IF($F305="À décommissionner",IF(AF$8&lt;$AS305,"IKS","Décom."),IF(OR($AQ305="",$AS305=""),"",IF(AF$8&lt;$AQ305,"IKS",IF(AF$8&lt;$AS305,IF(AF$8=$AR305,"Bascule","Double run"),"ROKS"))))))</f>
        <v/>
      </c>
      <c r="AG305" s="51" t="str">
        <f aca="false">IF(OR($A305="",AG$8=""),"",IF($F305="Migré","ROKS",IF($F305="À décommissionner",IF(AG$8&lt;$AS305,"IKS","Décom."),IF(OR($AQ305="",$AS305=""),"",IF(AG$8&lt;$AQ305,"IKS",IF(AG$8&lt;$AS305,IF(AG$8=$AR305,"Bascule","Double run"),"ROKS"))))))</f>
        <v/>
      </c>
      <c r="AH305" s="51" t="str">
        <f aca="false">IF(OR($A305="",AH$8=""),"",IF($F305="Migré","ROKS",IF($F305="À décommissionner",IF(AH$8&lt;$AS305,"IKS","Décom."),IF(OR($AQ305="",$AS305=""),"",IF(AH$8&lt;$AQ305,"IKS",IF(AH$8&lt;$AS305,IF(AH$8=$AR305,"Bascule","Double run"),"ROKS"))))))</f>
        <v/>
      </c>
      <c r="AI305" s="51" t="str">
        <f aca="false">IF(OR($A305="",AI$8=""),"",IF($F305="Migré","ROKS",IF($F305="À décommissionner",IF(AI$8&lt;$AS305,"IKS","Décom."),IF(OR($AQ305="",$AS305=""),"",IF(AI$8&lt;$AQ305,"IKS",IF(AI$8&lt;$AS305,IF(AI$8=$AR305,"Bascule","Double run"),"ROKS"))))))</f>
        <v/>
      </c>
      <c r="AJ305" s="51" t="str">
        <f aca="false">IF(OR($A305="",AJ$8=""),"",IF($F305="Migré","ROKS",IF($F305="À décommissionner",IF(AJ$8&lt;$AS305,"IKS","Décom."),IF(OR($AQ305="",$AS305=""),"",IF(AJ$8&lt;$AQ305,"IKS",IF(AJ$8&lt;$AS305,IF(AJ$8=$AR305,"Bascule","Double run"),"ROKS"))))))</f>
        <v/>
      </c>
      <c r="AK305" s="51" t="str">
        <f aca="false">IF(OR($A305="",AK$8=""),"",IF($F305="Migré","ROKS",IF($F305="À décommissionner",IF(AK$8&lt;$AS305,"IKS","Décom."),IF(OR($AQ305="",$AS305=""),"",IF(AK$8&lt;$AQ305,"IKS",IF(AK$8&lt;$AS305,IF(AK$8=$AR305,"Bascule","Double run"),"ROKS"))))))</f>
        <v/>
      </c>
      <c r="AL305" s="51" t="str">
        <f aca="false">IF(OR($A305="",AL$8=""),"",IF($F305="Migré","ROKS",IF($F305="À décommissionner",IF(AL$8&lt;$AS305,"IKS","Décom."),IF(OR($AQ305="",$AS305=""),"",IF(AL$8&lt;$AQ305,"IKS",IF(AL$8&lt;$AS305,IF(AL$8=$AR305,"Bascule","Double run"),"ROKS"))))))</f>
        <v/>
      </c>
      <c r="AM305" s="51" t="str">
        <f aca="false">IF(OR($A305="",AM$8=""),"",IF($F305="Migré","ROKS",IF($F305="À décommissionner",IF(AM$8&lt;$AS305,"IKS","Décom."),IF(OR($AQ305="",$AS305=""),"",IF(AM$8&lt;$AQ305,"IKS",IF(AM$8&lt;$AS305,IF(AM$8=$AR305,"Bascule","Double run"),"ROKS"))))))</f>
        <v/>
      </c>
      <c r="AN305" s="51" t="str">
        <f aca="false">IF(OR($A305="",AN$8=""),"",IF($F305="Migré","ROKS",IF($F305="À décommissionner",IF(AN$8&lt;$AS305,"IKS","Décom."),IF(OR($AQ305="",$AS305=""),"",IF(AN$8&lt;$AQ305,"IKS",IF(AN$8&lt;$AS305,IF(AN$8=$AR305,"Bascule","Double run"),"ROKS"))))))</f>
        <v/>
      </c>
      <c r="AO305" s="51" t="str">
        <f aca="false">IF(OR($A305="",AO$8=""),"",IF($F305="Migré","ROKS",IF($F305="À décommissionner",IF(AO$8&lt;$AS305,"IKS","Décom."),IF(OR($AQ305="",$AS305=""),"",IF(AO$8&lt;$AQ305,"IKS",IF(AO$8&lt;$AS305,IF(AO$8=$AR305,"Bascule","Double run"),"ROKS"))))))</f>
        <v/>
      </c>
      <c r="AP305" s="51" t="str">
        <f aca="false">IF(OR($A305="",AP$8=""),"",IF($F305="Migré","ROKS",IF($F305="À décommissionner",IF(AP$8&lt;$AS305,"IKS","Décom."),IF(OR($AQ305="",$AS305=""),"",IF(AP$8&lt;$AQ305,"IKS",IF(AP$8&lt;$AS305,IF(AP$8=$AR305,"Bascule","Double run"),"ROKS"))))))</f>
        <v/>
      </c>
      <c r="AQ305" s="0" t="str">
        <f aca="false">IF($A305="","",INDEX(TblApplications[Mois prov (calc)],$A305))</f>
        <v/>
      </c>
      <c r="AR305" s="0" t="str">
        <f aca="false">IF($A305="","",IFERROR(DATE(YEAR(INDEX(TblApplications[Mois bascule],$A305)),MONTH(INDEX(TblApplications[Mois bascule],$A305)),1),""))</f>
        <v/>
      </c>
      <c r="AS305" s="0" t="str">
        <f aca="false">IF($A305="","",INDEX(TblApplications[Mois lib (calc)],$A305))</f>
        <v/>
      </c>
    </row>
    <row r="306" customFormat="false" ht="15" hidden="false" customHeight="false" outlineLevel="0" collapsed="false">
      <c r="A306" s="49" t="str">
        <f aca="false">IFERROR(MATCH(298,TblApplications[Rang frise],0),"")</f>
        <v/>
      </c>
      <c r="B306" s="50" t="str">
        <f aca="false">IF($A306="","",INDEX(TblApplications[ID],$A306))</f>
        <v/>
      </c>
      <c r="C306" s="50" t="str">
        <f aca="false">IF($A306="","",INDEX(TblApplications[Application],$A306))</f>
        <v/>
      </c>
      <c r="D306" s="50" t="str">
        <f aca="false">IF($A306="","",INDEX(TblApplications[Environnement],$A306))</f>
        <v/>
      </c>
      <c r="E306" s="50" t="str">
        <f aca="false">IF($A306="","",INDEX(TblApplications[Couloir],$A306))</f>
        <v/>
      </c>
      <c r="F306" s="50" t="str">
        <f aca="false">IF($A306="","",INDEX(TblApplications[Action],$A306))</f>
        <v/>
      </c>
      <c r="G306" s="51" t="str">
        <f aca="false">IF(OR($A306="",G$8=""),"",IF($F306="Migré","ROKS",IF($F306="À décommissionner",IF(G$8&lt;$AS306,"IKS","Décom."),IF(OR($AQ306="",$AS306=""),"",IF(G$8&lt;$AQ306,"IKS",IF(G$8&lt;$AS306,IF(G$8=$AR306,"Bascule","Double run"),"ROKS"))))))</f>
        <v/>
      </c>
      <c r="H306" s="51" t="str">
        <f aca="false">IF(OR($A306="",H$8=""),"",IF($F306="Migré","ROKS",IF($F306="À décommissionner",IF(H$8&lt;$AS306,"IKS","Décom."),IF(OR($AQ306="",$AS306=""),"",IF(H$8&lt;$AQ306,"IKS",IF(H$8&lt;$AS306,IF(H$8=$AR306,"Bascule","Double run"),"ROKS"))))))</f>
        <v/>
      </c>
      <c r="I306" s="51" t="str">
        <f aca="false">IF(OR($A306="",I$8=""),"",IF($F306="Migré","ROKS",IF($F306="À décommissionner",IF(I$8&lt;$AS306,"IKS","Décom."),IF(OR($AQ306="",$AS306=""),"",IF(I$8&lt;$AQ306,"IKS",IF(I$8&lt;$AS306,IF(I$8=$AR306,"Bascule","Double run"),"ROKS"))))))</f>
        <v/>
      </c>
      <c r="J306" s="51" t="str">
        <f aca="false">IF(OR($A306="",J$8=""),"",IF($F306="Migré","ROKS",IF($F306="À décommissionner",IF(J$8&lt;$AS306,"IKS","Décom."),IF(OR($AQ306="",$AS306=""),"",IF(J$8&lt;$AQ306,"IKS",IF(J$8&lt;$AS306,IF(J$8=$AR306,"Bascule","Double run"),"ROKS"))))))</f>
        <v/>
      </c>
      <c r="K306" s="51" t="str">
        <f aca="false">IF(OR($A306="",K$8=""),"",IF($F306="Migré","ROKS",IF($F306="À décommissionner",IF(K$8&lt;$AS306,"IKS","Décom."),IF(OR($AQ306="",$AS306=""),"",IF(K$8&lt;$AQ306,"IKS",IF(K$8&lt;$AS306,IF(K$8=$AR306,"Bascule","Double run"),"ROKS"))))))</f>
        <v/>
      </c>
      <c r="L306" s="51" t="str">
        <f aca="false">IF(OR($A306="",L$8=""),"",IF($F306="Migré","ROKS",IF($F306="À décommissionner",IF(L$8&lt;$AS306,"IKS","Décom."),IF(OR($AQ306="",$AS306=""),"",IF(L$8&lt;$AQ306,"IKS",IF(L$8&lt;$AS306,IF(L$8=$AR306,"Bascule","Double run"),"ROKS"))))))</f>
        <v/>
      </c>
      <c r="M306" s="51" t="str">
        <f aca="false">IF(OR($A306="",M$8=""),"",IF($F306="Migré","ROKS",IF($F306="À décommissionner",IF(M$8&lt;$AS306,"IKS","Décom."),IF(OR($AQ306="",$AS306=""),"",IF(M$8&lt;$AQ306,"IKS",IF(M$8&lt;$AS306,IF(M$8=$AR306,"Bascule","Double run"),"ROKS"))))))</f>
        <v/>
      </c>
      <c r="N306" s="51" t="str">
        <f aca="false">IF(OR($A306="",N$8=""),"",IF($F306="Migré","ROKS",IF($F306="À décommissionner",IF(N$8&lt;$AS306,"IKS","Décom."),IF(OR($AQ306="",$AS306=""),"",IF(N$8&lt;$AQ306,"IKS",IF(N$8&lt;$AS306,IF(N$8=$AR306,"Bascule","Double run"),"ROKS"))))))</f>
        <v/>
      </c>
      <c r="O306" s="51" t="str">
        <f aca="false">IF(OR($A306="",O$8=""),"",IF($F306="Migré","ROKS",IF($F306="À décommissionner",IF(O$8&lt;$AS306,"IKS","Décom."),IF(OR($AQ306="",$AS306=""),"",IF(O$8&lt;$AQ306,"IKS",IF(O$8&lt;$AS306,IF(O$8=$AR306,"Bascule","Double run"),"ROKS"))))))</f>
        <v/>
      </c>
      <c r="P306" s="51" t="str">
        <f aca="false">IF(OR($A306="",P$8=""),"",IF($F306="Migré","ROKS",IF($F306="À décommissionner",IF(P$8&lt;$AS306,"IKS","Décom."),IF(OR($AQ306="",$AS306=""),"",IF(P$8&lt;$AQ306,"IKS",IF(P$8&lt;$AS306,IF(P$8=$AR306,"Bascule","Double run"),"ROKS"))))))</f>
        <v/>
      </c>
      <c r="Q306" s="51" t="str">
        <f aca="false">IF(OR($A306="",Q$8=""),"",IF($F306="Migré","ROKS",IF($F306="À décommissionner",IF(Q$8&lt;$AS306,"IKS","Décom."),IF(OR($AQ306="",$AS306=""),"",IF(Q$8&lt;$AQ306,"IKS",IF(Q$8&lt;$AS306,IF(Q$8=$AR306,"Bascule","Double run"),"ROKS"))))))</f>
        <v/>
      </c>
      <c r="R306" s="51" t="str">
        <f aca="false">IF(OR($A306="",R$8=""),"",IF($F306="Migré","ROKS",IF($F306="À décommissionner",IF(R$8&lt;$AS306,"IKS","Décom."),IF(OR($AQ306="",$AS306=""),"",IF(R$8&lt;$AQ306,"IKS",IF(R$8&lt;$AS306,IF(R$8=$AR306,"Bascule","Double run"),"ROKS"))))))</f>
        <v/>
      </c>
      <c r="S306" s="51" t="str">
        <f aca="false">IF(OR($A306="",S$8=""),"",IF($F306="Migré","ROKS",IF($F306="À décommissionner",IF(S$8&lt;$AS306,"IKS","Décom."),IF(OR($AQ306="",$AS306=""),"",IF(S$8&lt;$AQ306,"IKS",IF(S$8&lt;$AS306,IF(S$8=$AR306,"Bascule","Double run"),"ROKS"))))))</f>
        <v/>
      </c>
      <c r="T306" s="51" t="str">
        <f aca="false">IF(OR($A306="",T$8=""),"",IF($F306="Migré","ROKS",IF($F306="À décommissionner",IF(T$8&lt;$AS306,"IKS","Décom."),IF(OR($AQ306="",$AS306=""),"",IF(T$8&lt;$AQ306,"IKS",IF(T$8&lt;$AS306,IF(T$8=$AR306,"Bascule","Double run"),"ROKS"))))))</f>
        <v/>
      </c>
      <c r="U306" s="51" t="str">
        <f aca="false">IF(OR($A306="",U$8=""),"",IF($F306="Migré","ROKS",IF($F306="À décommissionner",IF(U$8&lt;$AS306,"IKS","Décom."),IF(OR($AQ306="",$AS306=""),"",IF(U$8&lt;$AQ306,"IKS",IF(U$8&lt;$AS306,IF(U$8=$AR306,"Bascule","Double run"),"ROKS"))))))</f>
        <v/>
      </c>
      <c r="V306" s="51" t="str">
        <f aca="false">IF(OR($A306="",V$8=""),"",IF($F306="Migré","ROKS",IF($F306="À décommissionner",IF(V$8&lt;$AS306,"IKS","Décom."),IF(OR($AQ306="",$AS306=""),"",IF(V$8&lt;$AQ306,"IKS",IF(V$8&lt;$AS306,IF(V$8=$AR306,"Bascule","Double run"),"ROKS"))))))</f>
        <v/>
      </c>
      <c r="W306" s="51" t="str">
        <f aca="false">IF(OR($A306="",W$8=""),"",IF($F306="Migré","ROKS",IF($F306="À décommissionner",IF(W$8&lt;$AS306,"IKS","Décom."),IF(OR($AQ306="",$AS306=""),"",IF(W$8&lt;$AQ306,"IKS",IF(W$8&lt;$AS306,IF(W$8=$AR306,"Bascule","Double run"),"ROKS"))))))</f>
        <v/>
      </c>
      <c r="X306" s="51" t="str">
        <f aca="false">IF(OR($A306="",X$8=""),"",IF($F306="Migré","ROKS",IF($F306="À décommissionner",IF(X$8&lt;$AS306,"IKS","Décom."),IF(OR($AQ306="",$AS306=""),"",IF(X$8&lt;$AQ306,"IKS",IF(X$8&lt;$AS306,IF(X$8=$AR306,"Bascule","Double run"),"ROKS"))))))</f>
        <v/>
      </c>
      <c r="Y306" s="51" t="str">
        <f aca="false">IF(OR($A306="",Y$8=""),"",IF($F306="Migré","ROKS",IF($F306="À décommissionner",IF(Y$8&lt;$AS306,"IKS","Décom."),IF(OR($AQ306="",$AS306=""),"",IF(Y$8&lt;$AQ306,"IKS",IF(Y$8&lt;$AS306,IF(Y$8=$AR306,"Bascule","Double run"),"ROKS"))))))</f>
        <v/>
      </c>
      <c r="Z306" s="51" t="str">
        <f aca="false">IF(OR($A306="",Z$8=""),"",IF($F306="Migré","ROKS",IF($F306="À décommissionner",IF(Z$8&lt;$AS306,"IKS","Décom."),IF(OR($AQ306="",$AS306=""),"",IF(Z$8&lt;$AQ306,"IKS",IF(Z$8&lt;$AS306,IF(Z$8=$AR306,"Bascule","Double run"),"ROKS"))))))</f>
        <v/>
      </c>
      <c r="AA306" s="51" t="str">
        <f aca="false">IF(OR($A306="",AA$8=""),"",IF($F306="Migré","ROKS",IF($F306="À décommissionner",IF(AA$8&lt;$AS306,"IKS","Décom."),IF(OR($AQ306="",$AS306=""),"",IF(AA$8&lt;$AQ306,"IKS",IF(AA$8&lt;$AS306,IF(AA$8=$AR306,"Bascule","Double run"),"ROKS"))))))</f>
        <v/>
      </c>
      <c r="AB306" s="51" t="str">
        <f aca="false">IF(OR($A306="",AB$8=""),"",IF($F306="Migré","ROKS",IF($F306="À décommissionner",IF(AB$8&lt;$AS306,"IKS","Décom."),IF(OR($AQ306="",$AS306=""),"",IF(AB$8&lt;$AQ306,"IKS",IF(AB$8&lt;$AS306,IF(AB$8=$AR306,"Bascule","Double run"),"ROKS"))))))</f>
        <v/>
      </c>
      <c r="AC306" s="51" t="str">
        <f aca="false">IF(OR($A306="",AC$8=""),"",IF($F306="Migré","ROKS",IF($F306="À décommissionner",IF(AC$8&lt;$AS306,"IKS","Décom."),IF(OR($AQ306="",$AS306=""),"",IF(AC$8&lt;$AQ306,"IKS",IF(AC$8&lt;$AS306,IF(AC$8=$AR306,"Bascule","Double run"),"ROKS"))))))</f>
        <v/>
      </c>
      <c r="AD306" s="51" t="str">
        <f aca="false">IF(OR($A306="",AD$8=""),"",IF($F306="Migré","ROKS",IF($F306="À décommissionner",IF(AD$8&lt;$AS306,"IKS","Décom."),IF(OR($AQ306="",$AS306=""),"",IF(AD$8&lt;$AQ306,"IKS",IF(AD$8&lt;$AS306,IF(AD$8=$AR306,"Bascule","Double run"),"ROKS"))))))</f>
        <v/>
      </c>
      <c r="AE306" s="51" t="str">
        <f aca="false">IF(OR($A306="",AE$8=""),"",IF($F306="Migré","ROKS",IF($F306="À décommissionner",IF(AE$8&lt;$AS306,"IKS","Décom."),IF(OR($AQ306="",$AS306=""),"",IF(AE$8&lt;$AQ306,"IKS",IF(AE$8&lt;$AS306,IF(AE$8=$AR306,"Bascule","Double run"),"ROKS"))))))</f>
        <v/>
      </c>
      <c r="AF306" s="51" t="str">
        <f aca="false">IF(OR($A306="",AF$8=""),"",IF($F306="Migré","ROKS",IF($F306="À décommissionner",IF(AF$8&lt;$AS306,"IKS","Décom."),IF(OR($AQ306="",$AS306=""),"",IF(AF$8&lt;$AQ306,"IKS",IF(AF$8&lt;$AS306,IF(AF$8=$AR306,"Bascule","Double run"),"ROKS"))))))</f>
        <v/>
      </c>
      <c r="AG306" s="51" t="str">
        <f aca="false">IF(OR($A306="",AG$8=""),"",IF($F306="Migré","ROKS",IF($F306="À décommissionner",IF(AG$8&lt;$AS306,"IKS","Décom."),IF(OR($AQ306="",$AS306=""),"",IF(AG$8&lt;$AQ306,"IKS",IF(AG$8&lt;$AS306,IF(AG$8=$AR306,"Bascule","Double run"),"ROKS"))))))</f>
        <v/>
      </c>
      <c r="AH306" s="51" t="str">
        <f aca="false">IF(OR($A306="",AH$8=""),"",IF($F306="Migré","ROKS",IF($F306="À décommissionner",IF(AH$8&lt;$AS306,"IKS","Décom."),IF(OR($AQ306="",$AS306=""),"",IF(AH$8&lt;$AQ306,"IKS",IF(AH$8&lt;$AS306,IF(AH$8=$AR306,"Bascule","Double run"),"ROKS"))))))</f>
        <v/>
      </c>
      <c r="AI306" s="51" t="str">
        <f aca="false">IF(OR($A306="",AI$8=""),"",IF($F306="Migré","ROKS",IF($F306="À décommissionner",IF(AI$8&lt;$AS306,"IKS","Décom."),IF(OR($AQ306="",$AS306=""),"",IF(AI$8&lt;$AQ306,"IKS",IF(AI$8&lt;$AS306,IF(AI$8=$AR306,"Bascule","Double run"),"ROKS"))))))</f>
        <v/>
      </c>
      <c r="AJ306" s="51" t="str">
        <f aca="false">IF(OR($A306="",AJ$8=""),"",IF($F306="Migré","ROKS",IF($F306="À décommissionner",IF(AJ$8&lt;$AS306,"IKS","Décom."),IF(OR($AQ306="",$AS306=""),"",IF(AJ$8&lt;$AQ306,"IKS",IF(AJ$8&lt;$AS306,IF(AJ$8=$AR306,"Bascule","Double run"),"ROKS"))))))</f>
        <v/>
      </c>
      <c r="AK306" s="51" t="str">
        <f aca="false">IF(OR($A306="",AK$8=""),"",IF($F306="Migré","ROKS",IF($F306="À décommissionner",IF(AK$8&lt;$AS306,"IKS","Décom."),IF(OR($AQ306="",$AS306=""),"",IF(AK$8&lt;$AQ306,"IKS",IF(AK$8&lt;$AS306,IF(AK$8=$AR306,"Bascule","Double run"),"ROKS"))))))</f>
        <v/>
      </c>
      <c r="AL306" s="51" t="str">
        <f aca="false">IF(OR($A306="",AL$8=""),"",IF($F306="Migré","ROKS",IF($F306="À décommissionner",IF(AL$8&lt;$AS306,"IKS","Décom."),IF(OR($AQ306="",$AS306=""),"",IF(AL$8&lt;$AQ306,"IKS",IF(AL$8&lt;$AS306,IF(AL$8=$AR306,"Bascule","Double run"),"ROKS"))))))</f>
        <v/>
      </c>
      <c r="AM306" s="51" t="str">
        <f aca="false">IF(OR($A306="",AM$8=""),"",IF($F306="Migré","ROKS",IF($F306="À décommissionner",IF(AM$8&lt;$AS306,"IKS","Décom."),IF(OR($AQ306="",$AS306=""),"",IF(AM$8&lt;$AQ306,"IKS",IF(AM$8&lt;$AS306,IF(AM$8=$AR306,"Bascule","Double run"),"ROKS"))))))</f>
        <v/>
      </c>
      <c r="AN306" s="51" t="str">
        <f aca="false">IF(OR($A306="",AN$8=""),"",IF($F306="Migré","ROKS",IF($F306="À décommissionner",IF(AN$8&lt;$AS306,"IKS","Décom."),IF(OR($AQ306="",$AS306=""),"",IF(AN$8&lt;$AQ306,"IKS",IF(AN$8&lt;$AS306,IF(AN$8=$AR306,"Bascule","Double run"),"ROKS"))))))</f>
        <v/>
      </c>
      <c r="AO306" s="51" t="str">
        <f aca="false">IF(OR($A306="",AO$8=""),"",IF($F306="Migré","ROKS",IF($F306="À décommissionner",IF(AO$8&lt;$AS306,"IKS","Décom."),IF(OR($AQ306="",$AS306=""),"",IF(AO$8&lt;$AQ306,"IKS",IF(AO$8&lt;$AS306,IF(AO$8=$AR306,"Bascule","Double run"),"ROKS"))))))</f>
        <v/>
      </c>
      <c r="AP306" s="51" t="str">
        <f aca="false">IF(OR($A306="",AP$8=""),"",IF($F306="Migré","ROKS",IF($F306="À décommissionner",IF(AP$8&lt;$AS306,"IKS","Décom."),IF(OR($AQ306="",$AS306=""),"",IF(AP$8&lt;$AQ306,"IKS",IF(AP$8&lt;$AS306,IF(AP$8=$AR306,"Bascule","Double run"),"ROKS"))))))</f>
        <v/>
      </c>
      <c r="AQ306" s="0" t="str">
        <f aca="false">IF($A306="","",INDEX(TblApplications[Mois prov (calc)],$A306))</f>
        <v/>
      </c>
      <c r="AR306" s="0" t="str">
        <f aca="false">IF($A306="","",IFERROR(DATE(YEAR(INDEX(TblApplications[Mois bascule],$A306)),MONTH(INDEX(TblApplications[Mois bascule],$A306)),1),""))</f>
        <v/>
      </c>
      <c r="AS306" s="0" t="str">
        <f aca="false">IF($A306="","",INDEX(TblApplications[Mois lib (calc)],$A306))</f>
        <v/>
      </c>
    </row>
    <row r="307" customFormat="false" ht="15" hidden="false" customHeight="false" outlineLevel="0" collapsed="false">
      <c r="A307" s="49" t="str">
        <f aca="false">IFERROR(MATCH(299,TblApplications[Rang frise],0),"")</f>
        <v/>
      </c>
      <c r="B307" s="50" t="str">
        <f aca="false">IF($A307="","",INDEX(TblApplications[ID],$A307))</f>
        <v/>
      </c>
      <c r="C307" s="50" t="str">
        <f aca="false">IF($A307="","",INDEX(TblApplications[Application],$A307))</f>
        <v/>
      </c>
      <c r="D307" s="50" t="str">
        <f aca="false">IF($A307="","",INDEX(TblApplications[Environnement],$A307))</f>
        <v/>
      </c>
      <c r="E307" s="50" t="str">
        <f aca="false">IF($A307="","",INDEX(TblApplications[Couloir],$A307))</f>
        <v/>
      </c>
      <c r="F307" s="50" t="str">
        <f aca="false">IF($A307="","",INDEX(TblApplications[Action],$A307))</f>
        <v/>
      </c>
      <c r="G307" s="51" t="str">
        <f aca="false">IF(OR($A307="",G$8=""),"",IF($F307="Migré","ROKS",IF($F307="À décommissionner",IF(G$8&lt;$AS307,"IKS","Décom."),IF(OR($AQ307="",$AS307=""),"",IF(G$8&lt;$AQ307,"IKS",IF(G$8&lt;$AS307,IF(G$8=$AR307,"Bascule","Double run"),"ROKS"))))))</f>
        <v/>
      </c>
      <c r="H307" s="51" t="str">
        <f aca="false">IF(OR($A307="",H$8=""),"",IF($F307="Migré","ROKS",IF($F307="À décommissionner",IF(H$8&lt;$AS307,"IKS","Décom."),IF(OR($AQ307="",$AS307=""),"",IF(H$8&lt;$AQ307,"IKS",IF(H$8&lt;$AS307,IF(H$8=$AR307,"Bascule","Double run"),"ROKS"))))))</f>
        <v/>
      </c>
      <c r="I307" s="51" t="str">
        <f aca="false">IF(OR($A307="",I$8=""),"",IF($F307="Migré","ROKS",IF($F307="À décommissionner",IF(I$8&lt;$AS307,"IKS","Décom."),IF(OR($AQ307="",$AS307=""),"",IF(I$8&lt;$AQ307,"IKS",IF(I$8&lt;$AS307,IF(I$8=$AR307,"Bascule","Double run"),"ROKS"))))))</f>
        <v/>
      </c>
      <c r="J307" s="51" t="str">
        <f aca="false">IF(OR($A307="",J$8=""),"",IF($F307="Migré","ROKS",IF($F307="À décommissionner",IF(J$8&lt;$AS307,"IKS","Décom."),IF(OR($AQ307="",$AS307=""),"",IF(J$8&lt;$AQ307,"IKS",IF(J$8&lt;$AS307,IF(J$8=$AR307,"Bascule","Double run"),"ROKS"))))))</f>
        <v/>
      </c>
      <c r="K307" s="51" t="str">
        <f aca="false">IF(OR($A307="",K$8=""),"",IF($F307="Migré","ROKS",IF($F307="À décommissionner",IF(K$8&lt;$AS307,"IKS","Décom."),IF(OR($AQ307="",$AS307=""),"",IF(K$8&lt;$AQ307,"IKS",IF(K$8&lt;$AS307,IF(K$8=$AR307,"Bascule","Double run"),"ROKS"))))))</f>
        <v/>
      </c>
      <c r="L307" s="51" t="str">
        <f aca="false">IF(OR($A307="",L$8=""),"",IF($F307="Migré","ROKS",IF($F307="À décommissionner",IF(L$8&lt;$AS307,"IKS","Décom."),IF(OR($AQ307="",$AS307=""),"",IF(L$8&lt;$AQ307,"IKS",IF(L$8&lt;$AS307,IF(L$8=$AR307,"Bascule","Double run"),"ROKS"))))))</f>
        <v/>
      </c>
      <c r="M307" s="51" t="str">
        <f aca="false">IF(OR($A307="",M$8=""),"",IF($F307="Migré","ROKS",IF($F307="À décommissionner",IF(M$8&lt;$AS307,"IKS","Décom."),IF(OR($AQ307="",$AS307=""),"",IF(M$8&lt;$AQ307,"IKS",IF(M$8&lt;$AS307,IF(M$8=$AR307,"Bascule","Double run"),"ROKS"))))))</f>
        <v/>
      </c>
      <c r="N307" s="51" t="str">
        <f aca="false">IF(OR($A307="",N$8=""),"",IF($F307="Migré","ROKS",IF($F307="À décommissionner",IF(N$8&lt;$AS307,"IKS","Décom."),IF(OR($AQ307="",$AS307=""),"",IF(N$8&lt;$AQ307,"IKS",IF(N$8&lt;$AS307,IF(N$8=$AR307,"Bascule","Double run"),"ROKS"))))))</f>
        <v/>
      </c>
      <c r="O307" s="51" t="str">
        <f aca="false">IF(OR($A307="",O$8=""),"",IF($F307="Migré","ROKS",IF($F307="À décommissionner",IF(O$8&lt;$AS307,"IKS","Décom."),IF(OR($AQ307="",$AS307=""),"",IF(O$8&lt;$AQ307,"IKS",IF(O$8&lt;$AS307,IF(O$8=$AR307,"Bascule","Double run"),"ROKS"))))))</f>
        <v/>
      </c>
      <c r="P307" s="51" t="str">
        <f aca="false">IF(OR($A307="",P$8=""),"",IF($F307="Migré","ROKS",IF($F307="À décommissionner",IF(P$8&lt;$AS307,"IKS","Décom."),IF(OR($AQ307="",$AS307=""),"",IF(P$8&lt;$AQ307,"IKS",IF(P$8&lt;$AS307,IF(P$8=$AR307,"Bascule","Double run"),"ROKS"))))))</f>
        <v/>
      </c>
      <c r="Q307" s="51" t="str">
        <f aca="false">IF(OR($A307="",Q$8=""),"",IF($F307="Migré","ROKS",IF($F307="À décommissionner",IF(Q$8&lt;$AS307,"IKS","Décom."),IF(OR($AQ307="",$AS307=""),"",IF(Q$8&lt;$AQ307,"IKS",IF(Q$8&lt;$AS307,IF(Q$8=$AR307,"Bascule","Double run"),"ROKS"))))))</f>
        <v/>
      </c>
      <c r="R307" s="51" t="str">
        <f aca="false">IF(OR($A307="",R$8=""),"",IF($F307="Migré","ROKS",IF($F307="À décommissionner",IF(R$8&lt;$AS307,"IKS","Décom."),IF(OR($AQ307="",$AS307=""),"",IF(R$8&lt;$AQ307,"IKS",IF(R$8&lt;$AS307,IF(R$8=$AR307,"Bascule","Double run"),"ROKS"))))))</f>
        <v/>
      </c>
      <c r="S307" s="51" t="str">
        <f aca="false">IF(OR($A307="",S$8=""),"",IF($F307="Migré","ROKS",IF($F307="À décommissionner",IF(S$8&lt;$AS307,"IKS","Décom."),IF(OR($AQ307="",$AS307=""),"",IF(S$8&lt;$AQ307,"IKS",IF(S$8&lt;$AS307,IF(S$8=$AR307,"Bascule","Double run"),"ROKS"))))))</f>
        <v/>
      </c>
      <c r="T307" s="51" t="str">
        <f aca="false">IF(OR($A307="",T$8=""),"",IF($F307="Migré","ROKS",IF($F307="À décommissionner",IF(T$8&lt;$AS307,"IKS","Décom."),IF(OR($AQ307="",$AS307=""),"",IF(T$8&lt;$AQ307,"IKS",IF(T$8&lt;$AS307,IF(T$8=$AR307,"Bascule","Double run"),"ROKS"))))))</f>
        <v/>
      </c>
      <c r="U307" s="51" t="str">
        <f aca="false">IF(OR($A307="",U$8=""),"",IF($F307="Migré","ROKS",IF($F307="À décommissionner",IF(U$8&lt;$AS307,"IKS","Décom."),IF(OR($AQ307="",$AS307=""),"",IF(U$8&lt;$AQ307,"IKS",IF(U$8&lt;$AS307,IF(U$8=$AR307,"Bascule","Double run"),"ROKS"))))))</f>
        <v/>
      </c>
      <c r="V307" s="51" t="str">
        <f aca="false">IF(OR($A307="",V$8=""),"",IF($F307="Migré","ROKS",IF($F307="À décommissionner",IF(V$8&lt;$AS307,"IKS","Décom."),IF(OR($AQ307="",$AS307=""),"",IF(V$8&lt;$AQ307,"IKS",IF(V$8&lt;$AS307,IF(V$8=$AR307,"Bascule","Double run"),"ROKS"))))))</f>
        <v/>
      </c>
      <c r="W307" s="51" t="str">
        <f aca="false">IF(OR($A307="",W$8=""),"",IF($F307="Migré","ROKS",IF($F307="À décommissionner",IF(W$8&lt;$AS307,"IKS","Décom."),IF(OR($AQ307="",$AS307=""),"",IF(W$8&lt;$AQ307,"IKS",IF(W$8&lt;$AS307,IF(W$8=$AR307,"Bascule","Double run"),"ROKS"))))))</f>
        <v/>
      </c>
      <c r="X307" s="51" t="str">
        <f aca="false">IF(OR($A307="",X$8=""),"",IF($F307="Migré","ROKS",IF($F307="À décommissionner",IF(X$8&lt;$AS307,"IKS","Décom."),IF(OR($AQ307="",$AS307=""),"",IF(X$8&lt;$AQ307,"IKS",IF(X$8&lt;$AS307,IF(X$8=$AR307,"Bascule","Double run"),"ROKS"))))))</f>
        <v/>
      </c>
      <c r="Y307" s="51" t="str">
        <f aca="false">IF(OR($A307="",Y$8=""),"",IF($F307="Migré","ROKS",IF($F307="À décommissionner",IF(Y$8&lt;$AS307,"IKS","Décom."),IF(OR($AQ307="",$AS307=""),"",IF(Y$8&lt;$AQ307,"IKS",IF(Y$8&lt;$AS307,IF(Y$8=$AR307,"Bascule","Double run"),"ROKS"))))))</f>
        <v/>
      </c>
      <c r="Z307" s="51" t="str">
        <f aca="false">IF(OR($A307="",Z$8=""),"",IF($F307="Migré","ROKS",IF($F307="À décommissionner",IF(Z$8&lt;$AS307,"IKS","Décom."),IF(OR($AQ307="",$AS307=""),"",IF(Z$8&lt;$AQ307,"IKS",IF(Z$8&lt;$AS307,IF(Z$8=$AR307,"Bascule","Double run"),"ROKS"))))))</f>
        <v/>
      </c>
      <c r="AA307" s="51" t="str">
        <f aca="false">IF(OR($A307="",AA$8=""),"",IF($F307="Migré","ROKS",IF($F307="À décommissionner",IF(AA$8&lt;$AS307,"IKS","Décom."),IF(OR($AQ307="",$AS307=""),"",IF(AA$8&lt;$AQ307,"IKS",IF(AA$8&lt;$AS307,IF(AA$8=$AR307,"Bascule","Double run"),"ROKS"))))))</f>
        <v/>
      </c>
      <c r="AB307" s="51" t="str">
        <f aca="false">IF(OR($A307="",AB$8=""),"",IF($F307="Migré","ROKS",IF($F307="À décommissionner",IF(AB$8&lt;$AS307,"IKS","Décom."),IF(OR($AQ307="",$AS307=""),"",IF(AB$8&lt;$AQ307,"IKS",IF(AB$8&lt;$AS307,IF(AB$8=$AR307,"Bascule","Double run"),"ROKS"))))))</f>
        <v/>
      </c>
      <c r="AC307" s="51" t="str">
        <f aca="false">IF(OR($A307="",AC$8=""),"",IF($F307="Migré","ROKS",IF($F307="À décommissionner",IF(AC$8&lt;$AS307,"IKS","Décom."),IF(OR($AQ307="",$AS307=""),"",IF(AC$8&lt;$AQ307,"IKS",IF(AC$8&lt;$AS307,IF(AC$8=$AR307,"Bascule","Double run"),"ROKS"))))))</f>
        <v/>
      </c>
      <c r="AD307" s="51" t="str">
        <f aca="false">IF(OR($A307="",AD$8=""),"",IF($F307="Migré","ROKS",IF($F307="À décommissionner",IF(AD$8&lt;$AS307,"IKS","Décom."),IF(OR($AQ307="",$AS307=""),"",IF(AD$8&lt;$AQ307,"IKS",IF(AD$8&lt;$AS307,IF(AD$8=$AR307,"Bascule","Double run"),"ROKS"))))))</f>
        <v/>
      </c>
      <c r="AE307" s="51" t="str">
        <f aca="false">IF(OR($A307="",AE$8=""),"",IF($F307="Migré","ROKS",IF($F307="À décommissionner",IF(AE$8&lt;$AS307,"IKS","Décom."),IF(OR($AQ307="",$AS307=""),"",IF(AE$8&lt;$AQ307,"IKS",IF(AE$8&lt;$AS307,IF(AE$8=$AR307,"Bascule","Double run"),"ROKS"))))))</f>
        <v/>
      </c>
      <c r="AF307" s="51" t="str">
        <f aca="false">IF(OR($A307="",AF$8=""),"",IF($F307="Migré","ROKS",IF($F307="À décommissionner",IF(AF$8&lt;$AS307,"IKS","Décom."),IF(OR($AQ307="",$AS307=""),"",IF(AF$8&lt;$AQ307,"IKS",IF(AF$8&lt;$AS307,IF(AF$8=$AR307,"Bascule","Double run"),"ROKS"))))))</f>
        <v/>
      </c>
      <c r="AG307" s="51" t="str">
        <f aca="false">IF(OR($A307="",AG$8=""),"",IF($F307="Migré","ROKS",IF($F307="À décommissionner",IF(AG$8&lt;$AS307,"IKS","Décom."),IF(OR($AQ307="",$AS307=""),"",IF(AG$8&lt;$AQ307,"IKS",IF(AG$8&lt;$AS307,IF(AG$8=$AR307,"Bascule","Double run"),"ROKS"))))))</f>
        <v/>
      </c>
      <c r="AH307" s="51" t="str">
        <f aca="false">IF(OR($A307="",AH$8=""),"",IF($F307="Migré","ROKS",IF($F307="À décommissionner",IF(AH$8&lt;$AS307,"IKS","Décom."),IF(OR($AQ307="",$AS307=""),"",IF(AH$8&lt;$AQ307,"IKS",IF(AH$8&lt;$AS307,IF(AH$8=$AR307,"Bascule","Double run"),"ROKS"))))))</f>
        <v/>
      </c>
      <c r="AI307" s="51" t="str">
        <f aca="false">IF(OR($A307="",AI$8=""),"",IF($F307="Migré","ROKS",IF($F307="À décommissionner",IF(AI$8&lt;$AS307,"IKS","Décom."),IF(OR($AQ307="",$AS307=""),"",IF(AI$8&lt;$AQ307,"IKS",IF(AI$8&lt;$AS307,IF(AI$8=$AR307,"Bascule","Double run"),"ROKS"))))))</f>
        <v/>
      </c>
      <c r="AJ307" s="51" t="str">
        <f aca="false">IF(OR($A307="",AJ$8=""),"",IF($F307="Migré","ROKS",IF($F307="À décommissionner",IF(AJ$8&lt;$AS307,"IKS","Décom."),IF(OR($AQ307="",$AS307=""),"",IF(AJ$8&lt;$AQ307,"IKS",IF(AJ$8&lt;$AS307,IF(AJ$8=$AR307,"Bascule","Double run"),"ROKS"))))))</f>
        <v/>
      </c>
      <c r="AK307" s="51" t="str">
        <f aca="false">IF(OR($A307="",AK$8=""),"",IF($F307="Migré","ROKS",IF($F307="À décommissionner",IF(AK$8&lt;$AS307,"IKS","Décom."),IF(OR($AQ307="",$AS307=""),"",IF(AK$8&lt;$AQ307,"IKS",IF(AK$8&lt;$AS307,IF(AK$8=$AR307,"Bascule","Double run"),"ROKS"))))))</f>
        <v/>
      </c>
      <c r="AL307" s="51" t="str">
        <f aca="false">IF(OR($A307="",AL$8=""),"",IF($F307="Migré","ROKS",IF($F307="À décommissionner",IF(AL$8&lt;$AS307,"IKS","Décom."),IF(OR($AQ307="",$AS307=""),"",IF(AL$8&lt;$AQ307,"IKS",IF(AL$8&lt;$AS307,IF(AL$8=$AR307,"Bascule","Double run"),"ROKS"))))))</f>
        <v/>
      </c>
      <c r="AM307" s="51" t="str">
        <f aca="false">IF(OR($A307="",AM$8=""),"",IF($F307="Migré","ROKS",IF($F307="À décommissionner",IF(AM$8&lt;$AS307,"IKS","Décom."),IF(OR($AQ307="",$AS307=""),"",IF(AM$8&lt;$AQ307,"IKS",IF(AM$8&lt;$AS307,IF(AM$8=$AR307,"Bascule","Double run"),"ROKS"))))))</f>
        <v/>
      </c>
      <c r="AN307" s="51" t="str">
        <f aca="false">IF(OR($A307="",AN$8=""),"",IF($F307="Migré","ROKS",IF($F307="À décommissionner",IF(AN$8&lt;$AS307,"IKS","Décom."),IF(OR($AQ307="",$AS307=""),"",IF(AN$8&lt;$AQ307,"IKS",IF(AN$8&lt;$AS307,IF(AN$8=$AR307,"Bascule","Double run"),"ROKS"))))))</f>
        <v/>
      </c>
      <c r="AO307" s="51" t="str">
        <f aca="false">IF(OR($A307="",AO$8=""),"",IF($F307="Migré","ROKS",IF($F307="À décommissionner",IF(AO$8&lt;$AS307,"IKS","Décom."),IF(OR($AQ307="",$AS307=""),"",IF(AO$8&lt;$AQ307,"IKS",IF(AO$8&lt;$AS307,IF(AO$8=$AR307,"Bascule","Double run"),"ROKS"))))))</f>
        <v/>
      </c>
      <c r="AP307" s="51" t="str">
        <f aca="false">IF(OR($A307="",AP$8=""),"",IF($F307="Migré","ROKS",IF($F307="À décommissionner",IF(AP$8&lt;$AS307,"IKS","Décom."),IF(OR($AQ307="",$AS307=""),"",IF(AP$8&lt;$AQ307,"IKS",IF(AP$8&lt;$AS307,IF(AP$8=$AR307,"Bascule","Double run"),"ROKS"))))))</f>
        <v/>
      </c>
      <c r="AQ307" s="0" t="str">
        <f aca="false">IF($A307="","",INDEX(TblApplications[Mois prov (calc)],$A307))</f>
        <v/>
      </c>
      <c r="AR307" s="0" t="str">
        <f aca="false">IF($A307="","",IFERROR(DATE(YEAR(INDEX(TblApplications[Mois bascule],$A307)),MONTH(INDEX(TblApplications[Mois bascule],$A307)),1),""))</f>
        <v/>
      </c>
      <c r="AS307" s="0" t="str">
        <f aca="false">IF($A307="","",INDEX(TblApplications[Mois lib (calc)],$A307))</f>
        <v/>
      </c>
    </row>
    <row r="308" customFormat="false" ht="15" hidden="false" customHeight="false" outlineLevel="0" collapsed="false">
      <c r="A308" s="49" t="str">
        <f aca="false">IFERROR(MATCH(300,TblApplications[Rang frise],0),"")</f>
        <v/>
      </c>
      <c r="B308" s="50" t="str">
        <f aca="false">IF($A308="","",INDEX(TblApplications[ID],$A308))</f>
        <v/>
      </c>
      <c r="C308" s="50" t="str">
        <f aca="false">IF($A308="","",INDEX(TblApplications[Application],$A308))</f>
        <v/>
      </c>
      <c r="D308" s="50" t="str">
        <f aca="false">IF($A308="","",INDEX(TblApplications[Environnement],$A308))</f>
        <v/>
      </c>
      <c r="E308" s="50" t="str">
        <f aca="false">IF($A308="","",INDEX(TblApplications[Couloir],$A308))</f>
        <v/>
      </c>
      <c r="F308" s="50" t="str">
        <f aca="false">IF($A308="","",INDEX(TblApplications[Action],$A308))</f>
        <v/>
      </c>
      <c r="G308" s="51" t="str">
        <f aca="false">IF(OR($A308="",G$8=""),"",IF($F308="Migré","ROKS",IF($F308="À décommissionner",IF(G$8&lt;$AS308,"IKS","Décom."),IF(OR($AQ308="",$AS308=""),"",IF(G$8&lt;$AQ308,"IKS",IF(G$8&lt;$AS308,IF(G$8=$AR308,"Bascule","Double run"),"ROKS"))))))</f>
        <v/>
      </c>
      <c r="H308" s="51" t="str">
        <f aca="false">IF(OR($A308="",H$8=""),"",IF($F308="Migré","ROKS",IF($F308="À décommissionner",IF(H$8&lt;$AS308,"IKS","Décom."),IF(OR($AQ308="",$AS308=""),"",IF(H$8&lt;$AQ308,"IKS",IF(H$8&lt;$AS308,IF(H$8=$AR308,"Bascule","Double run"),"ROKS"))))))</f>
        <v/>
      </c>
      <c r="I308" s="51" t="str">
        <f aca="false">IF(OR($A308="",I$8=""),"",IF($F308="Migré","ROKS",IF($F308="À décommissionner",IF(I$8&lt;$AS308,"IKS","Décom."),IF(OR($AQ308="",$AS308=""),"",IF(I$8&lt;$AQ308,"IKS",IF(I$8&lt;$AS308,IF(I$8=$AR308,"Bascule","Double run"),"ROKS"))))))</f>
        <v/>
      </c>
      <c r="J308" s="51" t="str">
        <f aca="false">IF(OR($A308="",J$8=""),"",IF($F308="Migré","ROKS",IF($F308="À décommissionner",IF(J$8&lt;$AS308,"IKS","Décom."),IF(OR($AQ308="",$AS308=""),"",IF(J$8&lt;$AQ308,"IKS",IF(J$8&lt;$AS308,IF(J$8=$AR308,"Bascule","Double run"),"ROKS"))))))</f>
        <v/>
      </c>
      <c r="K308" s="51" t="str">
        <f aca="false">IF(OR($A308="",K$8=""),"",IF($F308="Migré","ROKS",IF($F308="À décommissionner",IF(K$8&lt;$AS308,"IKS","Décom."),IF(OR($AQ308="",$AS308=""),"",IF(K$8&lt;$AQ308,"IKS",IF(K$8&lt;$AS308,IF(K$8=$AR308,"Bascule","Double run"),"ROKS"))))))</f>
        <v/>
      </c>
      <c r="L308" s="51" t="str">
        <f aca="false">IF(OR($A308="",L$8=""),"",IF($F308="Migré","ROKS",IF($F308="À décommissionner",IF(L$8&lt;$AS308,"IKS","Décom."),IF(OR($AQ308="",$AS308=""),"",IF(L$8&lt;$AQ308,"IKS",IF(L$8&lt;$AS308,IF(L$8=$AR308,"Bascule","Double run"),"ROKS"))))))</f>
        <v/>
      </c>
      <c r="M308" s="51" t="str">
        <f aca="false">IF(OR($A308="",M$8=""),"",IF($F308="Migré","ROKS",IF($F308="À décommissionner",IF(M$8&lt;$AS308,"IKS","Décom."),IF(OR($AQ308="",$AS308=""),"",IF(M$8&lt;$AQ308,"IKS",IF(M$8&lt;$AS308,IF(M$8=$AR308,"Bascule","Double run"),"ROKS"))))))</f>
        <v/>
      </c>
      <c r="N308" s="51" t="str">
        <f aca="false">IF(OR($A308="",N$8=""),"",IF($F308="Migré","ROKS",IF($F308="À décommissionner",IF(N$8&lt;$AS308,"IKS","Décom."),IF(OR($AQ308="",$AS308=""),"",IF(N$8&lt;$AQ308,"IKS",IF(N$8&lt;$AS308,IF(N$8=$AR308,"Bascule","Double run"),"ROKS"))))))</f>
        <v/>
      </c>
      <c r="O308" s="51" t="str">
        <f aca="false">IF(OR($A308="",O$8=""),"",IF($F308="Migré","ROKS",IF($F308="À décommissionner",IF(O$8&lt;$AS308,"IKS","Décom."),IF(OR($AQ308="",$AS308=""),"",IF(O$8&lt;$AQ308,"IKS",IF(O$8&lt;$AS308,IF(O$8=$AR308,"Bascule","Double run"),"ROKS"))))))</f>
        <v/>
      </c>
      <c r="P308" s="51" t="str">
        <f aca="false">IF(OR($A308="",P$8=""),"",IF($F308="Migré","ROKS",IF($F308="À décommissionner",IF(P$8&lt;$AS308,"IKS","Décom."),IF(OR($AQ308="",$AS308=""),"",IF(P$8&lt;$AQ308,"IKS",IF(P$8&lt;$AS308,IF(P$8=$AR308,"Bascule","Double run"),"ROKS"))))))</f>
        <v/>
      </c>
      <c r="Q308" s="51" t="str">
        <f aca="false">IF(OR($A308="",Q$8=""),"",IF($F308="Migré","ROKS",IF($F308="À décommissionner",IF(Q$8&lt;$AS308,"IKS","Décom."),IF(OR($AQ308="",$AS308=""),"",IF(Q$8&lt;$AQ308,"IKS",IF(Q$8&lt;$AS308,IF(Q$8=$AR308,"Bascule","Double run"),"ROKS"))))))</f>
        <v/>
      </c>
      <c r="R308" s="51" t="str">
        <f aca="false">IF(OR($A308="",R$8=""),"",IF($F308="Migré","ROKS",IF($F308="À décommissionner",IF(R$8&lt;$AS308,"IKS","Décom."),IF(OR($AQ308="",$AS308=""),"",IF(R$8&lt;$AQ308,"IKS",IF(R$8&lt;$AS308,IF(R$8=$AR308,"Bascule","Double run"),"ROKS"))))))</f>
        <v/>
      </c>
      <c r="S308" s="51" t="str">
        <f aca="false">IF(OR($A308="",S$8=""),"",IF($F308="Migré","ROKS",IF($F308="À décommissionner",IF(S$8&lt;$AS308,"IKS","Décom."),IF(OR($AQ308="",$AS308=""),"",IF(S$8&lt;$AQ308,"IKS",IF(S$8&lt;$AS308,IF(S$8=$AR308,"Bascule","Double run"),"ROKS"))))))</f>
        <v/>
      </c>
      <c r="T308" s="51" t="str">
        <f aca="false">IF(OR($A308="",T$8=""),"",IF($F308="Migré","ROKS",IF($F308="À décommissionner",IF(T$8&lt;$AS308,"IKS","Décom."),IF(OR($AQ308="",$AS308=""),"",IF(T$8&lt;$AQ308,"IKS",IF(T$8&lt;$AS308,IF(T$8=$AR308,"Bascule","Double run"),"ROKS"))))))</f>
        <v/>
      </c>
      <c r="U308" s="51" t="str">
        <f aca="false">IF(OR($A308="",U$8=""),"",IF($F308="Migré","ROKS",IF($F308="À décommissionner",IF(U$8&lt;$AS308,"IKS","Décom."),IF(OR($AQ308="",$AS308=""),"",IF(U$8&lt;$AQ308,"IKS",IF(U$8&lt;$AS308,IF(U$8=$AR308,"Bascule","Double run"),"ROKS"))))))</f>
        <v/>
      </c>
      <c r="V308" s="51" t="str">
        <f aca="false">IF(OR($A308="",V$8=""),"",IF($F308="Migré","ROKS",IF($F308="À décommissionner",IF(V$8&lt;$AS308,"IKS","Décom."),IF(OR($AQ308="",$AS308=""),"",IF(V$8&lt;$AQ308,"IKS",IF(V$8&lt;$AS308,IF(V$8=$AR308,"Bascule","Double run"),"ROKS"))))))</f>
        <v/>
      </c>
      <c r="W308" s="51" t="str">
        <f aca="false">IF(OR($A308="",W$8=""),"",IF($F308="Migré","ROKS",IF($F308="À décommissionner",IF(W$8&lt;$AS308,"IKS","Décom."),IF(OR($AQ308="",$AS308=""),"",IF(W$8&lt;$AQ308,"IKS",IF(W$8&lt;$AS308,IF(W$8=$AR308,"Bascule","Double run"),"ROKS"))))))</f>
        <v/>
      </c>
      <c r="X308" s="51" t="str">
        <f aca="false">IF(OR($A308="",X$8=""),"",IF($F308="Migré","ROKS",IF($F308="À décommissionner",IF(X$8&lt;$AS308,"IKS","Décom."),IF(OR($AQ308="",$AS308=""),"",IF(X$8&lt;$AQ308,"IKS",IF(X$8&lt;$AS308,IF(X$8=$AR308,"Bascule","Double run"),"ROKS"))))))</f>
        <v/>
      </c>
      <c r="Y308" s="51" t="str">
        <f aca="false">IF(OR($A308="",Y$8=""),"",IF($F308="Migré","ROKS",IF($F308="À décommissionner",IF(Y$8&lt;$AS308,"IKS","Décom."),IF(OR($AQ308="",$AS308=""),"",IF(Y$8&lt;$AQ308,"IKS",IF(Y$8&lt;$AS308,IF(Y$8=$AR308,"Bascule","Double run"),"ROKS"))))))</f>
        <v/>
      </c>
      <c r="Z308" s="51" t="str">
        <f aca="false">IF(OR($A308="",Z$8=""),"",IF($F308="Migré","ROKS",IF($F308="À décommissionner",IF(Z$8&lt;$AS308,"IKS","Décom."),IF(OR($AQ308="",$AS308=""),"",IF(Z$8&lt;$AQ308,"IKS",IF(Z$8&lt;$AS308,IF(Z$8=$AR308,"Bascule","Double run"),"ROKS"))))))</f>
        <v/>
      </c>
      <c r="AA308" s="51" t="str">
        <f aca="false">IF(OR($A308="",AA$8=""),"",IF($F308="Migré","ROKS",IF($F308="À décommissionner",IF(AA$8&lt;$AS308,"IKS","Décom."),IF(OR($AQ308="",$AS308=""),"",IF(AA$8&lt;$AQ308,"IKS",IF(AA$8&lt;$AS308,IF(AA$8=$AR308,"Bascule","Double run"),"ROKS"))))))</f>
        <v/>
      </c>
      <c r="AB308" s="51" t="str">
        <f aca="false">IF(OR($A308="",AB$8=""),"",IF($F308="Migré","ROKS",IF($F308="À décommissionner",IF(AB$8&lt;$AS308,"IKS","Décom."),IF(OR($AQ308="",$AS308=""),"",IF(AB$8&lt;$AQ308,"IKS",IF(AB$8&lt;$AS308,IF(AB$8=$AR308,"Bascule","Double run"),"ROKS"))))))</f>
        <v/>
      </c>
      <c r="AC308" s="51" t="str">
        <f aca="false">IF(OR($A308="",AC$8=""),"",IF($F308="Migré","ROKS",IF($F308="À décommissionner",IF(AC$8&lt;$AS308,"IKS","Décom."),IF(OR($AQ308="",$AS308=""),"",IF(AC$8&lt;$AQ308,"IKS",IF(AC$8&lt;$AS308,IF(AC$8=$AR308,"Bascule","Double run"),"ROKS"))))))</f>
        <v/>
      </c>
      <c r="AD308" s="51" t="str">
        <f aca="false">IF(OR($A308="",AD$8=""),"",IF($F308="Migré","ROKS",IF($F308="À décommissionner",IF(AD$8&lt;$AS308,"IKS","Décom."),IF(OR($AQ308="",$AS308=""),"",IF(AD$8&lt;$AQ308,"IKS",IF(AD$8&lt;$AS308,IF(AD$8=$AR308,"Bascule","Double run"),"ROKS"))))))</f>
        <v/>
      </c>
      <c r="AE308" s="51" t="str">
        <f aca="false">IF(OR($A308="",AE$8=""),"",IF($F308="Migré","ROKS",IF($F308="À décommissionner",IF(AE$8&lt;$AS308,"IKS","Décom."),IF(OR($AQ308="",$AS308=""),"",IF(AE$8&lt;$AQ308,"IKS",IF(AE$8&lt;$AS308,IF(AE$8=$AR308,"Bascule","Double run"),"ROKS"))))))</f>
        <v/>
      </c>
      <c r="AF308" s="51" t="str">
        <f aca="false">IF(OR($A308="",AF$8=""),"",IF($F308="Migré","ROKS",IF($F308="À décommissionner",IF(AF$8&lt;$AS308,"IKS","Décom."),IF(OR($AQ308="",$AS308=""),"",IF(AF$8&lt;$AQ308,"IKS",IF(AF$8&lt;$AS308,IF(AF$8=$AR308,"Bascule","Double run"),"ROKS"))))))</f>
        <v/>
      </c>
      <c r="AG308" s="51" t="str">
        <f aca="false">IF(OR($A308="",AG$8=""),"",IF($F308="Migré","ROKS",IF($F308="À décommissionner",IF(AG$8&lt;$AS308,"IKS","Décom."),IF(OR($AQ308="",$AS308=""),"",IF(AG$8&lt;$AQ308,"IKS",IF(AG$8&lt;$AS308,IF(AG$8=$AR308,"Bascule","Double run"),"ROKS"))))))</f>
        <v/>
      </c>
      <c r="AH308" s="51" t="str">
        <f aca="false">IF(OR($A308="",AH$8=""),"",IF($F308="Migré","ROKS",IF($F308="À décommissionner",IF(AH$8&lt;$AS308,"IKS","Décom."),IF(OR($AQ308="",$AS308=""),"",IF(AH$8&lt;$AQ308,"IKS",IF(AH$8&lt;$AS308,IF(AH$8=$AR308,"Bascule","Double run"),"ROKS"))))))</f>
        <v/>
      </c>
      <c r="AI308" s="51" t="str">
        <f aca="false">IF(OR($A308="",AI$8=""),"",IF($F308="Migré","ROKS",IF($F308="À décommissionner",IF(AI$8&lt;$AS308,"IKS","Décom."),IF(OR($AQ308="",$AS308=""),"",IF(AI$8&lt;$AQ308,"IKS",IF(AI$8&lt;$AS308,IF(AI$8=$AR308,"Bascule","Double run"),"ROKS"))))))</f>
        <v/>
      </c>
      <c r="AJ308" s="51" t="str">
        <f aca="false">IF(OR($A308="",AJ$8=""),"",IF($F308="Migré","ROKS",IF($F308="À décommissionner",IF(AJ$8&lt;$AS308,"IKS","Décom."),IF(OR($AQ308="",$AS308=""),"",IF(AJ$8&lt;$AQ308,"IKS",IF(AJ$8&lt;$AS308,IF(AJ$8=$AR308,"Bascule","Double run"),"ROKS"))))))</f>
        <v/>
      </c>
      <c r="AK308" s="51" t="str">
        <f aca="false">IF(OR($A308="",AK$8=""),"",IF($F308="Migré","ROKS",IF($F308="À décommissionner",IF(AK$8&lt;$AS308,"IKS","Décom."),IF(OR($AQ308="",$AS308=""),"",IF(AK$8&lt;$AQ308,"IKS",IF(AK$8&lt;$AS308,IF(AK$8=$AR308,"Bascule","Double run"),"ROKS"))))))</f>
        <v/>
      </c>
      <c r="AL308" s="51" t="str">
        <f aca="false">IF(OR($A308="",AL$8=""),"",IF($F308="Migré","ROKS",IF($F308="À décommissionner",IF(AL$8&lt;$AS308,"IKS","Décom."),IF(OR($AQ308="",$AS308=""),"",IF(AL$8&lt;$AQ308,"IKS",IF(AL$8&lt;$AS308,IF(AL$8=$AR308,"Bascule","Double run"),"ROKS"))))))</f>
        <v/>
      </c>
      <c r="AM308" s="51" t="str">
        <f aca="false">IF(OR($A308="",AM$8=""),"",IF($F308="Migré","ROKS",IF($F308="À décommissionner",IF(AM$8&lt;$AS308,"IKS","Décom."),IF(OR($AQ308="",$AS308=""),"",IF(AM$8&lt;$AQ308,"IKS",IF(AM$8&lt;$AS308,IF(AM$8=$AR308,"Bascule","Double run"),"ROKS"))))))</f>
        <v/>
      </c>
      <c r="AN308" s="51" t="str">
        <f aca="false">IF(OR($A308="",AN$8=""),"",IF($F308="Migré","ROKS",IF($F308="À décommissionner",IF(AN$8&lt;$AS308,"IKS","Décom."),IF(OR($AQ308="",$AS308=""),"",IF(AN$8&lt;$AQ308,"IKS",IF(AN$8&lt;$AS308,IF(AN$8=$AR308,"Bascule","Double run"),"ROKS"))))))</f>
        <v/>
      </c>
      <c r="AO308" s="51" t="str">
        <f aca="false">IF(OR($A308="",AO$8=""),"",IF($F308="Migré","ROKS",IF($F308="À décommissionner",IF(AO$8&lt;$AS308,"IKS","Décom."),IF(OR($AQ308="",$AS308=""),"",IF(AO$8&lt;$AQ308,"IKS",IF(AO$8&lt;$AS308,IF(AO$8=$AR308,"Bascule","Double run"),"ROKS"))))))</f>
        <v/>
      </c>
      <c r="AP308" s="51" t="str">
        <f aca="false">IF(OR($A308="",AP$8=""),"",IF($F308="Migré","ROKS",IF($F308="À décommissionner",IF(AP$8&lt;$AS308,"IKS","Décom."),IF(OR($AQ308="",$AS308=""),"",IF(AP$8&lt;$AQ308,"IKS",IF(AP$8&lt;$AS308,IF(AP$8=$AR308,"Bascule","Double run"),"ROKS"))))))</f>
        <v/>
      </c>
      <c r="AQ308" s="0" t="str">
        <f aca="false">IF($A308="","",INDEX(TblApplications[Mois prov (calc)],$A308))</f>
        <v/>
      </c>
      <c r="AR308" s="0" t="str">
        <f aca="false">IF($A308="","",IFERROR(DATE(YEAR(INDEX(TblApplications[Mois bascule],$A308)),MONTH(INDEX(TblApplications[Mois bascule],$A308)),1),""))</f>
        <v/>
      </c>
      <c r="AS308" s="0" t="str">
        <f aca="false">IF($A308="","",INDEX(TblApplications[Mois lib (calc)],$A308))</f>
        <v/>
      </c>
    </row>
  </sheetData>
  <conditionalFormatting sqref="G9:AP308">
    <cfRule type="expression" priority="2" aboveAverage="0" equalAverage="0" bottom="0" percent="0" rank="0" text="" dxfId="0">
      <formula>G9="IKS"</formula>
    </cfRule>
    <cfRule type="expression" priority="3" aboveAverage="0" equalAverage="0" bottom="0" percent="0" rank="0" text="" dxfId="1">
      <formula>G9="Double run"</formula>
    </cfRule>
    <cfRule type="expression" priority="4" aboveAverage="0" equalAverage="0" bottom="0" percent="0" rank="0" text="" dxfId="2">
      <formula>G9="Bascule"</formula>
    </cfRule>
    <cfRule type="expression" priority="5" aboveAverage="0" equalAverage="0" bottom="0" percent="0" rank="0" text="" dxfId="3">
      <formula>G9="ROKS"</formula>
    </cfRule>
    <cfRule type="expression" priority="6" aboveAverage="0" equalAverage="0" bottom="0" percent="0" rank="0" text="" dxfId="4">
      <formula>G9="Décom."</formula>
    </cfRule>
  </conditionalFormatting>
  <conditionalFormatting sqref="G8:AP8">
    <cfRule type="expression" priority="7" aboveAverage="0" equalAverage="0" bottom="0" percent="0" rank="0" text="" dxfId="5">
      <formula>G$8=av_mois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41" min="6" style="0" width="7.5"/>
  </cols>
  <sheetData>
    <row r="1" customFormat="false" ht="19.7" hidden="false" customHeight="false" outlineLevel="0" collapsed="false">
      <c r="B1" s="1" t="s">
        <v>62</v>
      </c>
    </row>
    <row r="2" customFormat="false" ht="15" hidden="false" customHeight="false" outlineLevel="0" collapsed="false">
      <c r="B2" s="2" t="s">
        <v>63</v>
      </c>
    </row>
    <row r="4" customFormat="false" ht="15" hidden="false" customHeight="false" outlineLevel="0" collapsed="false">
      <c r="B4" s="13" t="s">
        <v>26</v>
      </c>
      <c r="C4" s="15" t="s">
        <v>10</v>
      </c>
      <c r="E4" s="13" t="s">
        <v>64</v>
      </c>
      <c r="F4" s="15" t="s">
        <v>65</v>
      </c>
      <c r="H4" s="13" t="s">
        <v>27</v>
      </c>
      <c r="I4" s="23" t="n">
        <v>46722</v>
      </c>
      <c r="AD4" s="24" t="str">
        <f aca="false">IF(C4="Tous","*",C4)</f>
        <v>*</v>
      </c>
      <c r="AE4" s="25" t="n">
        <f aca="false">IFERROR(DATE(YEAR(I4),MONTH(I4),1),p_debut)</f>
        <v>46722</v>
      </c>
    </row>
    <row r="6" customFormat="false" ht="27.75" hidden="false" customHeight="true" outlineLevel="0" collapsed="false">
      <c r="B6" s="54" t="s">
        <v>66</v>
      </c>
      <c r="C6" s="54"/>
      <c r="D6" s="26" t="s">
        <v>67</v>
      </c>
      <c r="E6" s="26"/>
      <c r="F6" s="54" t="s">
        <v>68</v>
      </c>
      <c r="G6" s="54"/>
      <c r="H6" s="26" t="s">
        <v>69</v>
      </c>
      <c r="I6" s="26"/>
      <c r="J6" s="54" t="s">
        <v>70</v>
      </c>
      <c r="K6" s="54"/>
      <c r="L6" s="26" t="s">
        <v>71</v>
      </c>
      <c r="M6" s="26"/>
    </row>
    <row r="7" customFormat="false" ht="36" hidden="false" customHeight="true" outlineLevel="0" collapsed="false">
      <c r="B7" s="55" t="n">
        <f aca="false">SUMIFS(TblCalculs[CPU provisionné],TblCalculs[Mois],ca_mois,TblCalculs[Plateforme],"IKS",TblCalculs[Environnement],ca_envc)</f>
        <v>608</v>
      </c>
      <c r="C7" s="55"/>
      <c r="D7" s="56" t="n">
        <f aca="false">SUMIFS(TblCalculs[CPU provisionné],TblCalculs[Mois],ca_mois,TblCalculs[Plateforme],"ROKS",TblCalculs[Environnement],ca_envc)</f>
        <v>448</v>
      </c>
      <c r="E7" s="56"/>
      <c r="F7" s="55" t="n">
        <f aca="false">SUMIFS(TblCalculs[RAM provisionnée],TblCalculs[Mois],ca_mois,TblCalculs[Plateforme],"IKS",TblCalculs[Environnement],ca_envc)</f>
        <v>2432</v>
      </c>
      <c r="G7" s="55"/>
      <c r="H7" s="56" t="n">
        <f aca="false">SUMIFS(TblCalculs[RAM provisionnée],TblCalculs[Mois],ca_mois,TblCalculs[Plateforme],"ROKS",TblCalculs[Environnement],ca_envc)</f>
        <v>2240</v>
      </c>
      <c r="I7" s="56"/>
      <c r="J7" s="55" t="n">
        <f aca="false">SUMIFS(TblCalculs[Workers],TblCalculs[Mois],ca_mois,TblCalculs[Plateforme],"IKS",TblCalculs[Environnement],ca_envc)</f>
        <v>25</v>
      </c>
      <c r="K7" s="55"/>
      <c r="L7" s="56" t="n">
        <f aca="false">SUMIFS(TblCalculs[Workers],TblCalculs[Mois],ca_mois,TblCalculs[Plateforme],"ROKS",TblCalculs[Environnement],ca_envc)</f>
        <v>19</v>
      </c>
      <c r="M7" s="56"/>
    </row>
    <row r="9" customFormat="false" ht="15" hidden="false" customHeight="false" outlineLevel="0" collapsed="false">
      <c r="B9" s="19" t="s">
        <v>72</v>
      </c>
    </row>
    <row r="11" customFormat="false" ht="15" hidden="false" customHeight="false" outlineLevel="0" collapsed="false">
      <c r="B11" s="17" t="s">
        <v>73</v>
      </c>
    </row>
    <row r="31" customFormat="false" ht="15" hidden="false" customHeight="false" outlineLevel="0" collapsed="false">
      <c r="B31" s="17" t="s">
        <v>74</v>
      </c>
    </row>
    <row r="33" customFormat="false" ht="48" hidden="false" customHeight="true" outlineLevel="0" collapsed="false">
      <c r="B33" s="20" t="s">
        <v>75</v>
      </c>
      <c r="C33" s="20" t="s">
        <v>76</v>
      </c>
      <c r="D33" s="20" t="s">
        <v>59</v>
      </c>
      <c r="E33" s="20" t="s">
        <v>77</v>
      </c>
      <c r="F33" s="48" t="n">
        <f aca="false">IF(1&gt;p_horizon,"",EDATE(p_debut,0))</f>
        <v>46296</v>
      </c>
      <c r="G33" s="48" t="n">
        <f aca="false">IF(2&gt;p_horizon,"",EDATE(p_debut,1))</f>
        <v>46327</v>
      </c>
      <c r="H33" s="48" t="n">
        <f aca="false">IF(3&gt;p_horizon,"",EDATE(p_debut,2))</f>
        <v>46357</v>
      </c>
      <c r="I33" s="48" t="n">
        <f aca="false">IF(4&gt;p_horizon,"",EDATE(p_debut,3))</f>
        <v>46388</v>
      </c>
      <c r="J33" s="48" t="n">
        <f aca="false">IF(5&gt;p_horizon,"",EDATE(p_debut,4))</f>
        <v>46419</v>
      </c>
      <c r="K33" s="48" t="n">
        <f aca="false">IF(6&gt;p_horizon,"",EDATE(p_debut,5))</f>
        <v>46447</v>
      </c>
      <c r="L33" s="48" t="n">
        <f aca="false">IF(7&gt;p_horizon,"",EDATE(p_debut,6))</f>
        <v>46478</v>
      </c>
      <c r="M33" s="48" t="n">
        <f aca="false">IF(8&gt;p_horizon,"",EDATE(p_debut,7))</f>
        <v>46508</v>
      </c>
      <c r="N33" s="48" t="n">
        <f aca="false">IF(9&gt;p_horizon,"",EDATE(p_debut,8))</f>
        <v>46539</v>
      </c>
      <c r="O33" s="48" t="n">
        <f aca="false">IF(10&gt;p_horizon,"",EDATE(p_debut,9))</f>
        <v>46569</v>
      </c>
      <c r="P33" s="48" t="n">
        <f aca="false">IF(11&gt;p_horizon,"",EDATE(p_debut,10))</f>
        <v>46600</v>
      </c>
      <c r="Q33" s="48" t="n">
        <f aca="false">IF(12&gt;p_horizon,"",EDATE(p_debut,11))</f>
        <v>46631</v>
      </c>
      <c r="R33" s="48" t="n">
        <f aca="false">IF(13&gt;p_horizon,"",EDATE(p_debut,12))</f>
        <v>46661</v>
      </c>
      <c r="S33" s="48" t="n">
        <f aca="false">IF(14&gt;p_horizon,"",EDATE(p_debut,13))</f>
        <v>46692</v>
      </c>
      <c r="T33" s="48" t="n">
        <f aca="false">IF(15&gt;p_horizon,"",EDATE(p_debut,14))</f>
        <v>46722</v>
      </c>
      <c r="U33" s="48" t="n">
        <f aca="false">IF(16&gt;p_horizon,"",EDATE(p_debut,15))</f>
        <v>46753</v>
      </c>
      <c r="V33" s="48" t="n">
        <f aca="false">IF(17&gt;p_horizon,"",EDATE(p_debut,16))</f>
        <v>46784</v>
      </c>
      <c r="W33" s="48" t="n">
        <f aca="false">IF(18&gt;p_horizon,"",EDATE(p_debut,17))</f>
        <v>46813</v>
      </c>
      <c r="X33" s="48" t="n">
        <f aca="false">IF(19&gt;p_horizon,"",EDATE(p_debut,18))</f>
        <v>46844</v>
      </c>
      <c r="Y33" s="48" t="n">
        <f aca="false">IF(20&gt;p_horizon,"",EDATE(p_debut,19))</f>
        <v>46874</v>
      </c>
      <c r="Z33" s="48" t="n">
        <f aca="false">IF(21&gt;p_horizon,"",EDATE(p_debut,20))</f>
        <v>46905</v>
      </c>
      <c r="AA33" s="48" t="n">
        <f aca="false">IF(22&gt;p_horizon,"",EDATE(p_debut,21))</f>
        <v>46935</v>
      </c>
      <c r="AB33" s="48" t="n">
        <f aca="false">IF(23&gt;p_horizon,"",EDATE(p_debut,22))</f>
        <v>46966</v>
      </c>
      <c r="AC33" s="48" t="n">
        <f aca="false">IF(24&gt;p_horizon,"",EDATE(p_debut,23))</f>
        <v>46997</v>
      </c>
      <c r="AD33" s="48" t="n">
        <f aca="false">IF(25&gt;p_horizon,"",EDATE(p_debut,24))</f>
        <v>47027</v>
      </c>
      <c r="AE33" s="48" t="n">
        <f aca="false">IF(26&gt;p_horizon,"",EDATE(p_debut,25))</f>
        <v>47058</v>
      </c>
      <c r="AF33" s="48" t="n">
        <f aca="false">IF(27&gt;p_horizon,"",EDATE(p_debut,26))</f>
        <v>47088</v>
      </c>
      <c r="AG33" s="48" t="n">
        <f aca="false">IF(28&gt;p_horizon,"",EDATE(p_debut,27))</f>
        <v>47119</v>
      </c>
      <c r="AH33" s="48" t="n">
        <f aca="false">IF(29&gt;p_horizon,"",EDATE(p_debut,28))</f>
        <v>47150</v>
      </c>
      <c r="AI33" s="48" t="n">
        <f aca="false">IF(30&gt;p_horizon,"",EDATE(p_debut,29))</f>
        <v>47178</v>
      </c>
      <c r="AJ33" s="48" t="n">
        <f aca="false">IF(31&gt;p_horizon,"",EDATE(p_debut,30))</f>
        <v>47209</v>
      </c>
      <c r="AK33" s="48" t="n">
        <f aca="false">IF(32&gt;p_horizon,"",EDATE(p_debut,31))</f>
        <v>47239</v>
      </c>
      <c r="AL33" s="48" t="n">
        <f aca="false">IF(33&gt;p_horizon,"",EDATE(p_debut,32))</f>
        <v>47270</v>
      </c>
      <c r="AM33" s="48" t="n">
        <f aca="false">IF(34&gt;p_horizon,"",EDATE(p_debut,33))</f>
        <v>47300</v>
      </c>
      <c r="AN33" s="48" t="n">
        <f aca="false">IF(35&gt;p_horizon,"",EDATE(p_debut,34))</f>
        <v>47331</v>
      </c>
      <c r="AO33" s="48" t="n">
        <f aca="false">IF(36&gt;p_horizon,"",EDATE(p_debut,35))</f>
        <v>47362</v>
      </c>
    </row>
    <row r="34" customFormat="false" ht="15" hidden="false" customHeight="false" outlineLevel="0" collapsed="false">
      <c r="A34" s="49" t="n">
        <f aca="false">IFERROR(MATCH(1,TblClusters[Rang capacités],0),"")</f>
        <v>1</v>
      </c>
      <c r="B34" s="57" t="str">
        <f aca="false">IF($A34="","",INDEX(TblClusters[Cluster],$A34))</f>
        <v>IKS-PRD-01</v>
      </c>
      <c r="C34" s="50" t="str">
        <f aca="false">IF($A34="","",INDEX(TblClusters[Plateforme],$A34))</f>
        <v>IKS</v>
      </c>
      <c r="D34" s="50" t="str">
        <f aca="false">IF($A34="","",INDEX(TblClusters[Environnement],$A34))</f>
        <v>PRD</v>
      </c>
      <c r="E34" s="50" t="str">
        <f aca="false">IF($A34="","",INDEX(TblClusters[Flavor],$A34))</f>
        <v>bx2-32x128</v>
      </c>
      <c r="F34" s="58" t="n">
        <f aca="false">IF(OR($A34="",F$33=""),"",IF(ca_mesure="CPU",SUMIFS(TblCalculs[CPU provisionné],TblCalculs[Cluster],$B34,TblCalculs[Mois],F$33),IF(ca_mesure="RAM",SUMIFS(TblCalculs[RAM provisionnée],TblCalculs[Cluster],$B34,TblCalculs[Mois],F$33),SUMIFS(TblCalculs[Workers],TblCalculs[Cluster],$B34,TblCalculs[Mois],F$33))))</f>
        <v>18</v>
      </c>
      <c r="G34" s="58" t="n">
        <f aca="false">IF(OR($A34="",G$33=""),"",IF(ca_mesure="CPU",SUMIFS(TblCalculs[CPU provisionné],TblCalculs[Cluster],$B34,TblCalculs[Mois],G$33),IF(ca_mesure="RAM",SUMIFS(TblCalculs[RAM provisionnée],TblCalculs[Cluster],$B34,TblCalculs[Mois],G$33),SUMIFS(TblCalculs[Workers],TblCalculs[Cluster],$B34,TblCalculs[Mois],G$33))))</f>
        <v>18</v>
      </c>
      <c r="H34" s="58" t="n">
        <f aca="false">IF(OR($A34="",H$33=""),"",IF(ca_mesure="CPU",SUMIFS(TblCalculs[CPU provisionné],TblCalculs[Cluster],$B34,TblCalculs[Mois],H$33),IF(ca_mesure="RAM",SUMIFS(TblCalculs[RAM provisionnée],TblCalculs[Cluster],$B34,TblCalculs[Mois],H$33),SUMIFS(TblCalculs[Workers],TblCalculs[Cluster],$B34,TblCalculs[Mois],H$33))))</f>
        <v>18</v>
      </c>
      <c r="I34" s="58" t="n">
        <f aca="false">IF(OR($A34="",I$33=""),"",IF(ca_mesure="CPU",SUMIFS(TblCalculs[CPU provisionné],TblCalculs[Cluster],$B34,TblCalculs[Mois],I$33),IF(ca_mesure="RAM",SUMIFS(TblCalculs[RAM provisionnée],TblCalculs[Cluster],$B34,TblCalculs[Mois],I$33),SUMIFS(TblCalculs[Workers],TblCalculs[Cluster],$B34,TblCalculs[Mois],I$33))))</f>
        <v>18</v>
      </c>
      <c r="J34" s="58" t="n">
        <f aca="false">IF(OR($A34="",J$33=""),"",IF(ca_mesure="CPU",SUMIFS(TblCalculs[CPU provisionné],TblCalculs[Cluster],$B34,TblCalculs[Mois],J$33),IF(ca_mesure="RAM",SUMIFS(TblCalculs[RAM provisionnée],TblCalculs[Cluster],$B34,TblCalculs[Mois],J$33),SUMIFS(TblCalculs[Workers],TblCalculs[Cluster],$B34,TblCalculs[Mois],J$33))))</f>
        <v>18</v>
      </c>
      <c r="K34" s="58" t="n">
        <f aca="false">IF(OR($A34="",K$33=""),"",IF(ca_mesure="CPU",SUMIFS(TblCalculs[CPU provisionné],TblCalculs[Cluster],$B34,TblCalculs[Mois],K$33),IF(ca_mesure="RAM",SUMIFS(TblCalculs[RAM provisionnée],TblCalculs[Cluster],$B34,TblCalculs[Mois],K$33),SUMIFS(TblCalculs[Workers],TblCalculs[Cluster],$B34,TblCalculs[Mois],K$33))))</f>
        <v>18</v>
      </c>
      <c r="L34" s="58" t="n">
        <f aca="false">IF(OR($A34="",L$33=""),"",IF(ca_mesure="CPU",SUMIFS(TblCalculs[CPU provisionné],TblCalculs[Cluster],$B34,TblCalculs[Mois],L$33),IF(ca_mesure="RAM",SUMIFS(TblCalculs[RAM provisionnée],TblCalculs[Cluster],$B34,TblCalculs[Mois],L$33),SUMIFS(TblCalculs[Workers],TblCalculs[Cluster],$B34,TblCalculs[Mois],L$33))))</f>
        <v>18</v>
      </c>
      <c r="M34" s="58" t="n">
        <f aca="false">IF(OR($A34="",M$33=""),"",IF(ca_mesure="CPU",SUMIFS(TblCalculs[CPU provisionné],TblCalculs[Cluster],$B34,TblCalculs[Mois],M$33),IF(ca_mesure="RAM",SUMIFS(TblCalculs[RAM provisionnée],TblCalculs[Cluster],$B34,TblCalculs[Mois],M$33),SUMIFS(TblCalculs[Workers],TblCalculs[Cluster],$B34,TblCalculs[Mois],M$33))))</f>
        <v>18</v>
      </c>
      <c r="N34" s="58" t="n">
        <f aca="false">IF(OR($A34="",N$33=""),"",IF(ca_mesure="CPU",SUMIFS(TblCalculs[CPU provisionné],TblCalculs[Cluster],$B34,TblCalculs[Mois],N$33),IF(ca_mesure="RAM",SUMIFS(TblCalculs[RAM provisionnée],TblCalculs[Cluster],$B34,TblCalculs[Mois],N$33),SUMIFS(TblCalculs[Workers],TblCalculs[Cluster],$B34,TblCalculs[Mois],N$33))))</f>
        <v>18</v>
      </c>
      <c r="O34" s="58" t="n">
        <f aca="false">IF(OR($A34="",O$33=""),"",IF(ca_mesure="CPU",SUMIFS(TblCalculs[CPU provisionné],TblCalculs[Cluster],$B34,TblCalculs[Mois],O$33),IF(ca_mesure="RAM",SUMIFS(TblCalculs[RAM provisionnée],TblCalculs[Cluster],$B34,TblCalculs[Mois],O$33),SUMIFS(TblCalculs[Workers],TblCalculs[Cluster],$B34,TblCalculs[Mois],O$33))))</f>
        <v>13</v>
      </c>
      <c r="P34" s="58" t="n">
        <f aca="false">IF(OR($A34="",P$33=""),"",IF(ca_mesure="CPU",SUMIFS(TblCalculs[CPU provisionné],TblCalculs[Cluster],$B34,TblCalculs[Mois],P$33),IF(ca_mesure="RAM",SUMIFS(TblCalculs[RAM provisionnée],TblCalculs[Cluster],$B34,TblCalculs[Mois],P$33),SUMIFS(TblCalculs[Workers],TblCalculs[Cluster],$B34,TblCalculs[Mois],P$33))))</f>
        <v>13</v>
      </c>
      <c r="Q34" s="58" t="n">
        <f aca="false">IF(OR($A34="",Q$33=""),"",IF(ca_mesure="CPU",SUMIFS(TblCalculs[CPU provisionné],TblCalculs[Cluster],$B34,TblCalculs[Mois],Q$33),IF(ca_mesure="RAM",SUMIFS(TblCalculs[RAM provisionnée],TblCalculs[Cluster],$B34,TblCalculs[Mois],Q$33),SUMIFS(TblCalculs[Workers],TblCalculs[Cluster],$B34,TblCalculs[Mois],Q$33))))</f>
        <v>13</v>
      </c>
      <c r="R34" s="58" t="n">
        <f aca="false">IF(OR($A34="",R$33=""),"",IF(ca_mesure="CPU",SUMIFS(TblCalculs[CPU provisionné],TblCalculs[Cluster],$B34,TblCalculs[Mois],R$33),IF(ca_mesure="RAM",SUMIFS(TblCalculs[RAM provisionnée],TblCalculs[Cluster],$B34,TblCalculs[Mois],R$33),SUMIFS(TblCalculs[Workers],TblCalculs[Cluster],$B34,TblCalculs[Mois],R$33))))</f>
        <v>13</v>
      </c>
      <c r="S34" s="58" t="n">
        <f aca="false">IF(OR($A34="",S$33=""),"",IF(ca_mesure="CPU",SUMIFS(TblCalculs[CPU provisionné],TblCalculs[Cluster],$B34,TblCalculs[Mois],S$33),IF(ca_mesure="RAM",SUMIFS(TblCalculs[RAM provisionnée],TblCalculs[Cluster],$B34,TblCalculs[Mois],S$33),SUMIFS(TblCalculs[Workers],TblCalculs[Cluster],$B34,TblCalculs[Mois],S$33))))</f>
        <v>13</v>
      </c>
      <c r="T34" s="58" t="n">
        <f aca="false">IF(OR($A34="",T$33=""),"",IF(ca_mesure="CPU",SUMIFS(TblCalculs[CPU provisionné],TblCalculs[Cluster],$B34,TblCalculs[Mois],T$33),IF(ca_mesure="RAM",SUMIFS(TblCalculs[RAM provisionnée],TblCalculs[Cluster],$B34,TblCalculs[Mois],T$33),SUMIFS(TblCalculs[Workers],TblCalculs[Cluster],$B34,TblCalculs[Mois],T$33))))</f>
        <v>13</v>
      </c>
      <c r="U34" s="58" t="n">
        <f aca="false">IF(OR($A34="",U$33=""),"",IF(ca_mesure="CPU",SUMIFS(TblCalculs[CPU provisionné],TblCalculs[Cluster],$B34,TblCalculs[Mois],U$33),IF(ca_mesure="RAM",SUMIFS(TblCalculs[RAM provisionnée],TblCalculs[Cluster],$B34,TblCalculs[Mois],U$33),SUMIFS(TblCalculs[Workers],TblCalculs[Cluster],$B34,TblCalculs[Mois],U$33))))</f>
        <v>13</v>
      </c>
      <c r="V34" s="58" t="n">
        <f aca="false">IF(OR($A34="",V$33=""),"",IF(ca_mesure="CPU",SUMIFS(TblCalculs[CPU provisionné],TblCalculs[Cluster],$B34,TblCalculs[Mois],V$33),IF(ca_mesure="RAM",SUMIFS(TblCalculs[RAM provisionnée],TblCalculs[Cluster],$B34,TblCalculs[Mois],V$33),SUMIFS(TblCalculs[Workers],TblCalculs[Cluster],$B34,TblCalculs[Mois],V$33))))</f>
        <v>13</v>
      </c>
      <c r="W34" s="58" t="n">
        <f aca="false">IF(OR($A34="",W$33=""),"",IF(ca_mesure="CPU",SUMIFS(TblCalculs[CPU provisionné],TblCalculs[Cluster],$B34,TblCalculs[Mois],W$33),IF(ca_mesure="RAM",SUMIFS(TblCalculs[RAM provisionnée],TblCalculs[Cluster],$B34,TblCalculs[Mois],W$33),SUMIFS(TblCalculs[Workers],TblCalculs[Cluster],$B34,TblCalculs[Mois],W$33))))</f>
        <v>8</v>
      </c>
      <c r="X34" s="58" t="n">
        <f aca="false">IF(OR($A34="",X$33=""),"",IF(ca_mesure="CPU",SUMIFS(TblCalculs[CPU provisionné],TblCalculs[Cluster],$B34,TblCalculs[Mois],X$33),IF(ca_mesure="RAM",SUMIFS(TblCalculs[RAM provisionnée],TblCalculs[Cluster],$B34,TblCalculs[Mois],X$33),SUMIFS(TblCalculs[Workers],TblCalculs[Cluster],$B34,TblCalculs[Mois],X$33))))</f>
        <v>8</v>
      </c>
      <c r="Y34" s="58" t="n">
        <f aca="false">IF(OR($A34="",Y$33=""),"",IF(ca_mesure="CPU",SUMIFS(TblCalculs[CPU provisionné],TblCalculs[Cluster],$B34,TblCalculs[Mois],Y$33),IF(ca_mesure="RAM",SUMIFS(TblCalculs[RAM provisionnée],TblCalculs[Cluster],$B34,TblCalculs[Mois],Y$33),SUMIFS(TblCalculs[Workers],TblCalculs[Cluster],$B34,TblCalculs[Mois],Y$33))))</f>
        <v>8</v>
      </c>
      <c r="Z34" s="58" t="n">
        <f aca="false">IF(OR($A34="",Z$33=""),"",IF(ca_mesure="CPU",SUMIFS(TblCalculs[CPU provisionné],TblCalculs[Cluster],$B34,TblCalculs[Mois],Z$33),IF(ca_mesure="RAM",SUMIFS(TblCalculs[RAM provisionnée],TblCalculs[Cluster],$B34,TblCalculs[Mois],Z$33),SUMIFS(TblCalculs[Workers],TblCalculs[Cluster],$B34,TblCalculs[Mois],Z$33))))</f>
        <v>8</v>
      </c>
      <c r="AA34" s="58" t="n">
        <f aca="false">IF(OR($A34="",AA$33=""),"",IF(ca_mesure="CPU",SUMIFS(TblCalculs[CPU provisionné],TblCalculs[Cluster],$B34,TblCalculs[Mois],AA$33),IF(ca_mesure="RAM",SUMIFS(TblCalculs[RAM provisionnée],TblCalculs[Cluster],$B34,TblCalculs[Mois],AA$33),SUMIFS(TblCalculs[Workers],TblCalculs[Cluster],$B34,TblCalculs[Mois],AA$33))))</f>
        <v>8</v>
      </c>
      <c r="AB34" s="58" t="n">
        <f aca="false">IF(OR($A34="",AB$33=""),"",IF(ca_mesure="CPU",SUMIFS(TblCalculs[CPU provisionné],TblCalculs[Cluster],$B34,TblCalculs[Mois],AB$33),IF(ca_mesure="RAM",SUMIFS(TblCalculs[RAM provisionnée],TblCalculs[Cluster],$B34,TblCalculs[Mois],AB$33),SUMIFS(TblCalculs[Workers],TblCalculs[Cluster],$B34,TblCalculs[Mois],AB$33))))</f>
        <v>8</v>
      </c>
      <c r="AC34" s="58" t="n">
        <f aca="false">IF(OR($A34="",AC$33=""),"",IF(ca_mesure="CPU",SUMIFS(TblCalculs[CPU provisionné],TblCalculs[Cluster],$B34,TblCalculs[Mois],AC$33),IF(ca_mesure="RAM",SUMIFS(TblCalculs[RAM provisionnée],TblCalculs[Cluster],$B34,TblCalculs[Mois],AC$33),SUMIFS(TblCalculs[Workers],TblCalculs[Cluster],$B34,TblCalculs[Mois],AC$33))))</f>
        <v>8</v>
      </c>
      <c r="AD34" s="58" t="n">
        <f aca="false">IF(OR($A34="",AD$33=""),"",IF(ca_mesure="CPU",SUMIFS(TblCalculs[CPU provisionné],TblCalculs[Cluster],$B34,TblCalculs[Mois],AD$33),IF(ca_mesure="RAM",SUMIFS(TblCalculs[RAM provisionnée],TblCalculs[Cluster],$B34,TblCalculs[Mois],AD$33),SUMIFS(TblCalculs[Workers],TblCalculs[Cluster],$B34,TblCalculs[Mois],AD$33))))</f>
        <v>8</v>
      </c>
      <c r="AE34" s="58" t="n">
        <f aca="false">IF(OR($A34="",AE$33=""),"",IF(ca_mesure="CPU",SUMIFS(TblCalculs[CPU provisionné],TblCalculs[Cluster],$B34,TblCalculs[Mois],AE$33),IF(ca_mesure="RAM",SUMIFS(TblCalculs[RAM provisionnée],TblCalculs[Cluster],$B34,TblCalculs[Mois],AE$33),SUMIFS(TblCalculs[Workers],TblCalculs[Cluster],$B34,TblCalculs[Mois],AE$33))))</f>
        <v>8</v>
      </c>
      <c r="AF34" s="58" t="n">
        <f aca="false">IF(OR($A34="",AF$33=""),"",IF(ca_mesure="CPU",SUMIFS(TblCalculs[CPU provisionné],TblCalculs[Cluster],$B34,TblCalculs[Mois],AF$33),IF(ca_mesure="RAM",SUMIFS(TblCalculs[RAM provisionnée],TblCalculs[Cluster],$B34,TblCalculs[Mois],AF$33),SUMIFS(TblCalculs[Workers],TblCalculs[Cluster],$B34,TblCalculs[Mois],AF$33))))</f>
        <v>0</v>
      </c>
      <c r="AG34" s="58" t="n">
        <f aca="false">IF(OR($A34="",AG$33=""),"",IF(ca_mesure="CPU",SUMIFS(TblCalculs[CPU provisionné],TblCalculs[Cluster],$B34,TblCalculs[Mois],AG$33),IF(ca_mesure="RAM",SUMIFS(TblCalculs[RAM provisionnée],TblCalculs[Cluster],$B34,TblCalculs[Mois],AG$33),SUMIFS(TblCalculs[Workers],TblCalculs[Cluster],$B34,TblCalculs[Mois],AG$33))))</f>
        <v>0</v>
      </c>
      <c r="AH34" s="58" t="n">
        <f aca="false">IF(OR($A34="",AH$33=""),"",IF(ca_mesure="CPU",SUMIFS(TblCalculs[CPU provisionné],TblCalculs[Cluster],$B34,TblCalculs[Mois],AH$33),IF(ca_mesure="RAM",SUMIFS(TblCalculs[RAM provisionnée],TblCalculs[Cluster],$B34,TblCalculs[Mois],AH$33),SUMIFS(TblCalculs[Workers],TblCalculs[Cluster],$B34,TblCalculs[Mois],AH$33))))</f>
        <v>0</v>
      </c>
      <c r="AI34" s="58" t="n">
        <f aca="false">IF(OR($A34="",AI$33=""),"",IF(ca_mesure="CPU",SUMIFS(TblCalculs[CPU provisionné],TblCalculs[Cluster],$B34,TblCalculs[Mois],AI$33),IF(ca_mesure="RAM",SUMIFS(TblCalculs[RAM provisionnée],TblCalculs[Cluster],$B34,TblCalculs[Mois],AI$33),SUMIFS(TblCalculs[Workers],TblCalculs[Cluster],$B34,TblCalculs[Mois],AI$33))))</f>
        <v>0</v>
      </c>
      <c r="AJ34" s="58" t="n">
        <f aca="false">IF(OR($A34="",AJ$33=""),"",IF(ca_mesure="CPU",SUMIFS(TblCalculs[CPU provisionné],TblCalculs[Cluster],$B34,TblCalculs[Mois],AJ$33),IF(ca_mesure="RAM",SUMIFS(TblCalculs[RAM provisionnée],TblCalculs[Cluster],$B34,TblCalculs[Mois],AJ$33),SUMIFS(TblCalculs[Workers],TblCalculs[Cluster],$B34,TblCalculs[Mois],AJ$33))))</f>
        <v>0</v>
      </c>
      <c r="AK34" s="58" t="n">
        <f aca="false">IF(OR($A34="",AK$33=""),"",IF(ca_mesure="CPU",SUMIFS(TblCalculs[CPU provisionné],TblCalculs[Cluster],$B34,TblCalculs[Mois],AK$33),IF(ca_mesure="RAM",SUMIFS(TblCalculs[RAM provisionnée],TblCalculs[Cluster],$B34,TblCalculs[Mois],AK$33),SUMIFS(TblCalculs[Workers],TblCalculs[Cluster],$B34,TblCalculs[Mois],AK$33))))</f>
        <v>0</v>
      </c>
      <c r="AL34" s="58" t="n">
        <f aca="false">IF(OR($A34="",AL$33=""),"",IF(ca_mesure="CPU",SUMIFS(TblCalculs[CPU provisionné],TblCalculs[Cluster],$B34,TblCalculs[Mois],AL$33),IF(ca_mesure="RAM",SUMIFS(TblCalculs[RAM provisionnée],TblCalculs[Cluster],$B34,TblCalculs[Mois],AL$33),SUMIFS(TblCalculs[Workers],TblCalculs[Cluster],$B34,TblCalculs[Mois],AL$33))))</f>
        <v>0</v>
      </c>
      <c r="AM34" s="58" t="n">
        <f aca="false">IF(OR($A34="",AM$33=""),"",IF(ca_mesure="CPU",SUMIFS(TblCalculs[CPU provisionné],TblCalculs[Cluster],$B34,TblCalculs[Mois],AM$33),IF(ca_mesure="RAM",SUMIFS(TblCalculs[RAM provisionnée],TblCalculs[Cluster],$B34,TblCalculs[Mois],AM$33),SUMIFS(TblCalculs[Workers],TblCalculs[Cluster],$B34,TblCalculs[Mois],AM$33))))</f>
        <v>0</v>
      </c>
      <c r="AN34" s="58" t="n">
        <f aca="false">IF(OR($A34="",AN$33=""),"",IF(ca_mesure="CPU",SUMIFS(TblCalculs[CPU provisionné],TblCalculs[Cluster],$B34,TblCalculs[Mois],AN$33),IF(ca_mesure="RAM",SUMIFS(TblCalculs[RAM provisionnée],TblCalculs[Cluster],$B34,TblCalculs[Mois],AN$33),SUMIFS(TblCalculs[Workers],TblCalculs[Cluster],$B34,TblCalculs[Mois],AN$33))))</f>
        <v>0</v>
      </c>
      <c r="AO34" s="58" t="n">
        <f aca="false">IF(OR($A34="",AO$33=""),"",IF(ca_mesure="CPU",SUMIFS(TblCalculs[CPU provisionné],TblCalculs[Cluster],$B34,TblCalculs[Mois],AO$33),IF(ca_mesure="RAM",SUMIFS(TblCalculs[RAM provisionnée],TblCalculs[Cluster],$B34,TblCalculs[Mois],AO$33),SUMIFS(TblCalculs[Workers],TblCalculs[Cluster],$B34,TblCalculs[Mois],AO$33))))</f>
        <v>0</v>
      </c>
    </row>
    <row r="35" customFormat="false" ht="15" hidden="false" customHeight="false" outlineLevel="0" collapsed="false">
      <c r="A35" s="49" t="n">
        <f aca="false">IFERROR(MATCH(2,TblClusters[Rang capacités],0),"")</f>
        <v>2</v>
      </c>
      <c r="B35" s="57" t="str">
        <f aca="false">IF($A35="","",INDEX(TblClusters[Cluster],$A35))</f>
        <v>IKS-NPR-01</v>
      </c>
      <c r="C35" s="50" t="str">
        <f aca="false">IF($A35="","",INDEX(TblClusters[Plateforme],$A35))</f>
        <v>IKS</v>
      </c>
      <c r="D35" s="50" t="str">
        <f aca="false">IF($A35="","",INDEX(TblClusters[Environnement],$A35))</f>
        <v>NPRD</v>
      </c>
      <c r="E35" s="50" t="str">
        <f aca="false">IF($A35="","",INDEX(TblClusters[Flavor],$A35))</f>
        <v>bx2-16x64</v>
      </c>
      <c r="F35" s="58" t="n">
        <f aca="false">IF(OR($A35="",F$33=""),"",IF(ca_mesure="CPU",SUMIFS(TblCalculs[CPU provisionné],TblCalculs[Cluster],$B35,TblCalculs[Mois],F$33),IF(ca_mesure="RAM",SUMIFS(TblCalculs[RAM provisionnée],TblCalculs[Cluster],$B35,TblCalculs[Mois],F$33),SUMIFS(TblCalculs[Workers],TblCalculs[Cluster],$B35,TblCalculs[Mois],F$33))))</f>
        <v>20</v>
      </c>
      <c r="G35" s="58" t="n">
        <f aca="false">IF(OR($A35="",G$33=""),"",IF(ca_mesure="CPU",SUMIFS(TblCalculs[CPU provisionné],TblCalculs[Cluster],$B35,TblCalculs[Mois],G$33),IF(ca_mesure="RAM",SUMIFS(TblCalculs[RAM provisionnée],TblCalculs[Cluster],$B35,TblCalculs[Mois],G$33),SUMIFS(TblCalculs[Workers],TblCalculs[Cluster],$B35,TblCalculs[Mois],G$33))))</f>
        <v>20</v>
      </c>
      <c r="H35" s="58" t="n">
        <f aca="false">IF(OR($A35="",H$33=""),"",IF(ca_mesure="CPU",SUMIFS(TblCalculs[CPU provisionné],TblCalculs[Cluster],$B35,TblCalculs[Mois],H$33),IF(ca_mesure="RAM",SUMIFS(TblCalculs[RAM provisionnée],TblCalculs[Cluster],$B35,TblCalculs[Mois],H$33),SUMIFS(TblCalculs[Workers],TblCalculs[Cluster],$B35,TblCalculs[Mois],H$33))))</f>
        <v>20</v>
      </c>
      <c r="I35" s="58" t="n">
        <f aca="false">IF(OR($A35="",I$33=""),"",IF(ca_mesure="CPU",SUMIFS(TblCalculs[CPU provisionné],TblCalculs[Cluster],$B35,TblCalculs[Mois],I$33),IF(ca_mesure="RAM",SUMIFS(TblCalculs[RAM provisionnée],TblCalculs[Cluster],$B35,TblCalculs[Mois],I$33),SUMIFS(TblCalculs[Workers],TblCalculs[Cluster],$B35,TblCalculs[Mois],I$33))))</f>
        <v>20</v>
      </c>
      <c r="J35" s="58" t="n">
        <f aca="false">IF(OR($A35="",J$33=""),"",IF(ca_mesure="CPU",SUMIFS(TblCalculs[CPU provisionné],TblCalculs[Cluster],$B35,TblCalculs[Mois],J$33),IF(ca_mesure="RAM",SUMIFS(TblCalculs[RAM provisionnée],TblCalculs[Cluster],$B35,TblCalculs[Mois],J$33),SUMIFS(TblCalculs[Workers],TblCalculs[Cluster],$B35,TblCalculs[Mois],J$33))))</f>
        <v>19</v>
      </c>
      <c r="K35" s="58" t="n">
        <f aca="false">IF(OR($A35="",K$33=""),"",IF(ca_mesure="CPU",SUMIFS(TblCalculs[CPU provisionné],TblCalculs[Cluster],$B35,TblCalculs[Mois],K$33),IF(ca_mesure="RAM",SUMIFS(TblCalculs[RAM provisionnée],TblCalculs[Cluster],$B35,TblCalculs[Mois],K$33),SUMIFS(TblCalculs[Workers],TblCalculs[Cluster],$B35,TblCalculs[Mois],K$33))))</f>
        <v>17</v>
      </c>
      <c r="L35" s="58" t="n">
        <f aca="false">IF(OR($A35="",L$33=""),"",IF(ca_mesure="CPU",SUMIFS(TblCalculs[CPU provisionné],TblCalculs[Cluster],$B35,TblCalculs[Mois],L$33),IF(ca_mesure="RAM",SUMIFS(TblCalculs[RAM provisionnée],TblCalculs[Cluster],$B35,TblCalculs[Mois],L$33),SUMIFS(TblCalculs[Workers],TblCalculs[Cluster],$B35,TblCalculs[Mois],L$33))))</f>
        <v>17</v>
      </c>
      <c r="M35" s="58" t="n">
        <f aca="false">IF(OR($A35="",M$33=""),"",IF(ca_mesure="CPU",SUMIFS(TblCalculs[CPU provisionné],TblCalculs[Cluster],$B35,TblCalculs[Mois],M$33),IF(ca_mesure="RAM",SUMIFS(TblCalculs[RAM provisionnée],TblCalculs[Cluster],$B35,TblCalculs[Mois],M$33),SUMIFS(TblCalculs[Workers],TblCalculs[Cluster],$B35,TblCalculs[Mois],M$33))))</f>
        <v>17</v>
      </c>
      <c r="N35" s="58" t="n">
        <f aca="false">IF(OR($A35="",N$33=""),"",IF(ca_mesure="CPU",SUMIFS(TblCalculs[CPU provisionné],TblCalculs[Cluster],$B35,TblCalculs[Mois],N$33),IF(ca_mesure="RAM",SUMIFS(TblCalculs[RAM provisionnée],TblCalculs[Cluster],$B35,TblCalculs[Mois],N$33),SUMIFS(TblCalculs[Workers],TblCalculs[Cluster],$B35,TblCalculs[Mois],N$33))))</f>
        <v>16</v>
      </c>
      <c r="O35" s="58" t="n">
        <f aca="false">IF(OR($A35="",O$33=""),"",IF(ca_mesure="CPU",SUMIFS(TblCalculs[CPU provisionné],TblCalculs[Cluster],$B35,TblCalculs[Mois],O$33),IF(ca_mesure="RAM",SUMIFS(TblCalculs[RAM provisionnée],TblCalculs[Cluster],$B35,TblCalculs[Mois],O$33),SUMIFS(TblCalculs[Workers],TblCalculs[Cluster],$B35,TblCalculs[Mois],O$33))))</f>
        <v>16</v>
      </c>
      <c r="P35" s="58" t="n">
        <f aca="false">IF(OR($A35="",P$33=""),"",IF(ca_mesure="CPU",SUMIFS(TblCalculs[CPU provisionné],TblCalculs[Cluster],$B35,TblCalculs[Mois],P$33),IF(ca_mesure="RAM",SUMIFS(TblCalculs[RAM provisionnée],TblCalculs[Cluster],$B35,TblCalculs[Mois],P$33),SUMIFS(TblCalculs[Workers],TblCalculs[Cluster],$B35,TblCalculs[Mois],P$33))))</f>
        <v>16</v>
      </c>
      <c r="Q35" s="58" t="n">
        <f aca="false">IF(OR($A35="",Q$33=""),"",IF(ca_mesure="CPU",SUMIFS(TblCalculs[CPU provisionné],TblCalculs[Cluster],$B35,TblCalculs[Mois],Q$33),IF(ca_mesure="RAM",SUMIFS(TblCalculs[RAM provisionnée],TblCalculs[Cluster],$B35,TblCalculs[Mois],Q$33),SUMIFS(TblCalculs[Workers],TblCalculs[Cluster],$B35,TblCalculs[Mois],Q$33))))</f>
        <v>16</v>
      </c>
      <c r="R35" s="58" t="n">
        <f aca="false">IF(OR($A35="",R$33=""),"",IF(ca_mesure="CPU",SUMIFS(TblCalculs[CPU provisionné],TblCalculs[Cluster],$B35,TblCalculs[Mois],R$33),IF(ca_mesure="RAM",SUMIFS(TblCalculs[RAM provisionnée],TblCalculs[Cluster],$B35,TblCalculs[Mois],R$33),SUMIFS(TblCalculs[Workers],TblCalculs[Cluster],$B35,TblCalculs[Mois],R$33))))</f>
        <v>14</v>
      </c>
      <c r="S35" s="58" t="n">
        <f aca="false">IF(OR($A35="",S$33=""),"",IF(ca_mesure="CPU",SUMIFS(TblCalculs[CPU provisionné],TblCalculs[Cluster],$B35,TblCalculs[Mois],S$33),IF(ca_mesure="RAM",SUMIFS(TblCalculs[RAM provisionnée],TblCalculs[Cluster],$B35,TblCalculs[Mois],S$33),SUMIFS(TblCalculs[Workers],TblCalculs[Cluster],$B35,TblCalculs[Mois],S$33))))</f>
        <v>12</v>
      </c>
      <c r="T35" s="58" t="n">
        <f aca="false">IF(OR($A35="",T$33=""),"",IF(ca_mesure="CPU",SUMIFS(TblCalculs[CPU provisionné],TblCalculs[Cluster],$B35,TblCalculs[Mois],T$33),IF(ca_mesure="RAM",SUMIFS(TblCalculs[RAM provisionnée],TblCalculs[Cluster],$B35,TblCalculs[Mois],T$33),SUMIFS(TblCalculs[Workers],TblCalculs[Cluster],$B35,TblCalculs[Mois],T$33))))</f>
        <v>12</v>
      </c>
      <c r="U35" s="58" t="n">
        <f aca="false">IF(OR($A35="",U$33=""),"",IF(ca_mesure="CPU",SUMIFS(TblCalculs[CPU provisionné],TblCalculs[Cluster],$B35,TblCalculs[Mois],U$33),IF(ca_mesure="RAM",SUMIFS(TblCalculs[RAM provisionnée],TblCalculs[Cluster],$B35,TblCalculs[Mois],U$33),SUMIFS(TblCalculs[Workers],TblCalculs[Cluster],$B35,TblCalculs[Mois],U$33))))</f>
        <v>12</v>
      </c>
      <c r="V35" s="58" t="n">
        <f aca="false">IF(OR($A35="",V$33=""),"",IF(ca_mesure="CPU",SUMIFS(TblCalculs[CPU provisionné],TblCalculs[Cluster],$B35,TblCalculs[Mois],V$33),IF(ca_mesure="RAM",SUMIFS(TblCalculs[RAM provisionnée],TblCalculs[Cluster],$B35,TblCalculs[Mois],V$33),SUMIFS(TblCalculs[Workers],TblCalculs[Cluster],$B35,TblCalculs[Mois],V$33))))</f>
        <v>12</v>
      </c>
      <c r="W35" s="58" t="n">
        <f aca="false">IF(OR($A35="",W$33=""),"",IF(ca_mesure="CPU",SUMIFS(TblCalculs[CPU provisionné],TblCalculs[Cluster],$B35,TblCalculs[Mois],W$33),IF(ca_mesure="RAM",SUMIFS(TblCalculs[RAM provisionnée],TblCalculs[Cluster],$B35,TblCalculs[Mois],W$33),SUMIFS(TblCalculs[Workers],TblCalculs[Cluster],$B35,TblCalculs[Mois],W$33))))</f>
        <v>12</v>
      </c>
      <c r="X35" s="58" t="n">
        <f aca="false">IF(OR($A35="",X$33=""),"",IF(ca_mesure="CPU",SUMIFS(TblCalculs[CPU provisionné],TblCalculs[Cluster],$B35,TblCalculs[Mois],X$33),IF(ca_mesure="RAM",SUMIFS(TblCalculs[RAM provisionnée],TblCalculs[Cluster],$B35,TblCalculs[Mois],X$33),SUMIFS(TblCalculs[Workers],TblCalculs[Cluster],$B35,TblCalculs[Mois],X$33))))</f>
        <v>12</v>
      </c>
      <c r="Y35" s="58" t="n">
        <f aca="false">IF(OR($A35="",Y$33=""),"",IF(ca_mesure="CPU",SUMIFS(TblCalculs[CPU provisionné],TblCalculs[Cluster],$B35,TblCalculs[Mois],Y$33),IF(ca_mesure="RAM",SUMIFS(TblCalculs[RAM provisionnée],TblCalculs[Cluster],$B35,TblCalculs[Mois],Y$33),SUMIFS(TblCalculs[Workers],TblCalculs[Cluster],$B35,TblCalculs[Mois],Y$33))))</f>
        <v>12</v>
      </c>
      <c r="Z35" s="58" t="n">
        <f aca="false">IF(OR($A35="",Z$33=""),"",IF(ca_mesure="CPU",SUMIFS(TblCalculs[CPU provisionné],TblCalculs[Cluster],$B35,TblCalculs[Mois],Z$33),IF(ca_mesure="RAM",SUMIFS(TblCalculs[RAM provisionnée],TblCalculs[Cluster],$B35,TblCalculs[Mois],Z$33),SUMIFS(TblCalculs[Workers],TblCalculs[Cluster],$B35,TblCalculs[Mois],Z$33))))</f>
        <v>0</v>
      </c>
      <c r="AA35" s="58" t="n">
        <f aca="false">IF(OR($A35="",AA$33=""),"",IF(ca_mesure="CPU",SUMIFS(TblCalculs[CPU provisionné],TblCalculs[Cluster],$B35,TblCalculs[Mois],AA$33),IF(ca_mesure="RAM",SUMIFS(TblCalculs[RAM provisionnée],TblCalculs[Cluster],$B35,TblCalculs[Mois],AA$33),SUMIFS(TblCalculs[Workers],TblCalculs[Cluster],$B35,TblCalculs[Mois],AA$33))))</f>
        <v>0</v>
      </c>
      <c r="AB35" s="58" t="n">
        <f aca="false">IF(OR($A35="",AB$33=""),"",IF(ca_mesure="CPU",SUMIFS(TblCalculs[CPU provisionné],TblCalculs[Cluster],$B35,TblCalculs[Mois],AB$33),IF(ca_mesure="RAM",SUMIFS(TblCalculs[RAM provisionnée],TblCalculs[Cluster],$B35,TblCalculs[Mois],AB$33),SUMIFS(TblCalculs[Workers],TblCalculs[Cluster],$B35,TblCalculs[Mois],AB$33))))</f>
        <v>0</v>
      </c>
      <c r="AC35" s="58" t="n">
        <f aca="false">IF(OR($A35="",AC$33=""),"",IF(ca_mesure="CPU",SUMIFS(TblCalculs[CPU provisionné],TblCalculs[Cluster],$B35,TblCalculs[Mois],AC$33),IF(ca_mesure="RAM",SUMIFS(TblCalculs[RAM provisionnée],TblCalculs[Cluster],$B35,TblCalculs[Mois],AC$33),SUMIFS(TblCalculs[Workers],TblCalculs[Cluster],$B35,TblCalculs[Mois],AC$33))))</f>
        <v>0</v>
      </c>
      <c r="AD35" s="58" t="n">
        <f aca="false">IF(OR($A35="",AD$33=""),"",IF(ca_mesure="CPU",SUMIFS(TblCalculs[CPU provisionné],TblCalculs[Cluster],$B35,TblCalculs[Mois],AD$33),IF(ca_mesure="RAM",SUMIFS(TblCalculs[RAM provisionnée],TblCalculs[Cluster],$B35,TblCalculs[Mois],AD$33),SUMIFS(TblCalculs[Workers],TblCalculs[Cluster],$B35,TblCalculs[Mois],AD$33))))</f>
        <v>0</v>
      </c>
      <c r="AE35" s="58" t="n">
        <f aca="false">IF(OR($A35="",AE$33=""),"",IF(ca_mesure="CPU",SUMIFS(TblCalculs[CPU provisionné],TblCalculs[Cluster],$B35,TblCalculs[Mois],AE$33),IF(ca_mesure="RAM",SUMIFS(TblCalculs[RAM provisionnée],TblCalculs[Cluster],$B35,TblCalculs[Mois],AE$33),SUMIFS(TblCalculs[Workers],TblCalculs[Cluster],$B35,TblCalculs[Mois],AE$33))))</f>
        <v>0</v>
      </c>
      <c r="AF35" s="58" t="n">
        <f aca="false">IF(OR($A35="",AF$33=""),"",IF(ca_mesure="CPU",SUMIFS(TblCalculs[CPU provisionné],TblCalculs[Cluster],$B35,TblCalculs[Mois],AF$33),IF(ca_mesure="RAM",SUMIFS(TblCalculs[RAM provisionnée],TblCalculs[Cluster],$B35,TblCalculs[Mois],AF$33),SUMIFS(TblCalculs[Workers],TblCalculs[Cluster],$B35,TblCalculs[Mois],AF$33))))</f>
        <v>0</v>
      </c>
      <c r="AG35" s="58" t="n">
        <f aca="false">IF(OR($A35="",AG$33=""),"",IF(ca_mesure="CPU",SUMIFS(TblCalculs[CPU provisionné],TblCalculs[Cluster],$B35,TblCalculs[Mois],AG$33),IF(ca_mesure="RAM",SUMIFS(TblCalculs[RAM provisionnée],TblCalculs[Cluster],$B35,TblCalculs[Mois],AG$33),SUMIFS(TblCalculs[Workers],TblCalculs[Cluster],$B35,TblCalculs[Mois],AG$33))))</f>
        <v>0</v>
      </c>
      <c r="AH35" s="58" t="n">
        <f aca="false">IF(OR($A35="",AH$33=""),"",IF(ca_mesure="CPU",SUMIFS(TblCalculs[CPU provisionné],TblCalculs[Cluster],$B35,TblCalculs[Mois],AH$33),IF(ca_mesure="RAM",SUMIFS(TblCalculs[RAM provisionnée],TblCalculs[Cluster],$B35,TblCalculs[Mois],AH$33),SUMIFS(TblCalculs[Workers],TblCalculs[Cluster],$B35,TblCalculs[Mois],AH$33))))</f>
        <v>0</v>
      </c>
      <c r="AI35" s="58" t="n">
        <f aca="false">IF(OR($A35="",AI$33=""),"",IF(ca_mesure="CPU",SUMIFS(TblCalculs[CPU provisionné],TblCalculs[Cluster],$B35,TblCalculs[Mois],AI$33),IF(ca_mesure="RAM",SUMIFS(TblCalculs[RAM provisionnée],TblCalculs[Cluster],$B35,TblCalculs[Mois],AI$33),SUMIFS(TblCalculs[Workers],TblCalculs[Cluster],$B35,TblCalculs[Mois],AI$33))))</f>
        <v>0</v>
      </c>
      <c r="AJ35" s="58" t="n">
        <f aca="false">IF(OR($A35="",AJ$33=""),"",IF(ca_mesure="CPU",SUMIFS(TblCalculs[CPU provisionné],TblCalculs[Cluster],$B35,TblCalculs[Mois],AJ$33),IF(ca_mesure="RAM",SUMIFS(TblCalculs[RAM provisionnée],TblCalculs[Cluster],$B35,TblCalculs[Mois],AJ$33),SUMIFS(TblCalculs[Workers],TblCalculs[Cluster],$B35,TblCalculs[Mois],AJ$33))))</f>
        <v>0</v>
      </c>
      <c r="AK35" s="58" t="n">
        <f aca="false">IF(OR($A35="",AK$33=""),"",IF(ca_mesure="CPU",SUMIFS(TblCalculs[CPU provisionné],TblCalculs[Cluster],$B35,TblCalculs[Mois],AK$33),IF(ca_mesure="RAM",SUMIFS(TblCalculs[RAM provisionnée],TblCalculs[Cluster],$B35,TblCalculs[Mois],AK$33),SUMIFS(TblCalculs[Workers],TblCalculs[Cluster],$B35,TblCalculs[Mois],AK$33))))</f>
        <v>0</v>
      </c>
      <c r="AL35" s="58" t="n">
        <f aca="false">IF(OR($A35="",AL$33=""),"",IF(ca_mesure="CPU",SUMIFS(TblCalculs[CPU provisionné],TblCalculs[Cluster],$B35,TblCalculs[Mois],AL$33),IF(ca_mesure="RAM",SUMIFS(TblCalculs[RAM provisionnée],TblCalculs[Cluster],$B35,TblCalculs[Mois],AL$33),SUMIFS(TblCalculs[Workers],TblCalculs[Cluster],$B35,TblCalculs[Mois],AL$33))))</f>
        <v>0</v>
      </c>
      <c r="AM35" s="58" t="n">
        <f aca="false">IF(OR($A35="",AM$33=""),"",IF(ca_mesure="CPU",SUMIFS(TblCalculs[CPU provisionné],TblCalculs[Cluster],$B35,TblCalculs[Mois],AM$33),IF(ca_mesure="RAM",SUMIFS(TblCalculs[RAM provisionnée],TblCalculs[Cluster],$B35,TblCalculs[Mois],AM$33),SUMIFS(TblCalculs[Workers],TblCalculs[Cluster],$B35,TblCalculs[Mois],AM$33))))</f>
        <v>0</v>
      </c>
      <c r="AN35" s="58" t="n">
        <f aca="false">IF(OR($A35="",AN$33=""),"",IF(ca_mesure="CPU",SUMIFS(TblCalculs[CPU provisionné],TblCalculs[Cluster],$B35,TblCalculs[Mois],AN$33),IF(ca_mesure="RAM",SUMIFS(TblCalculs[RAM provisionnée],TblCalculs[Cluster],$B35,TblCalculs[Mois],AN$33),SUMIFS(TblCalculs[Workers],TblCalculs[Cluster],$B35,TblCalculs[Mois],AN$33))))</f>
        <v>0</v>
      </c>
      <c r="AO35" s="58" t="n">
        <f aca="false">IF(OR($A35="",AO$33=""),"",IF(ca_mesure="CPU",SUMIFS(TblCalculs[CPU provisionné],TblCalculs[Cluster],$B35,TblCalculs[Mois],AO$33),IF(ca_mesure="RAM",SUMIFS(TblCalculs[RAM provisionnée],TblCalculs[Cluster],$B35,TblCalculs[Mois],AO$33),SUMIFS(TblCalculs[Workers],TblCalculs[Cluster],$B35,TblCalculs[Mois],AO$33))))</f>
        <v>0</v>
      </c>
    </row>
    <row r="36" customFormat="false" ht="15" hidden="false" customHeight="false" outlineLevel="0" collapsed="false">
      <c r="A36" s="49" t="n">
        <f aca="false">IFERROR(MATCH(3,TblClusters[Rang capacités],0),"")</f>
        <v>3</v>
      </c>
      <c r="B36" s="57" t="str">
        <f aca="false">IF($A36="","",INDEX(TblClusters[Cluster],$A36))</f>
        <v>ROKS-PRD-01</v>
      </c>
      <c r="C36" s="50" t="str">
        <f aca="false">IF($A36="","",INDEX(TblClusters[Plateforme],$A36))</f>
        <v>ROKS</v>
      </c>
      <c r="D36" s="50" t="str">
        <f aca="false">IF($A36="","",INDEX(TblClusters[Environnement],$A36))</f>
        <v>PRD</v>
      </c>
      <c r="E36" s="50" t="str">
        <f aca="false">IF($A36="","",INDEX(TblClusters[Flavor],$A36))</f>
        <v>bx3d.32x160</v>
      </c>
      <c r="F36" s="58" t="n">
        <f aca="false">IF(OR($A36="",F$33=""),"",IF(ca_mesure="CPU",SUMIFS(TblCalculs[CPU provisionné],TblCalculs[Cluster],$B36,TblCalculs[Mois],F$33),IF(ca_mesure="RAM",SUMIFS(TblCalculs[RAM provisionnée],TblCalculs[Cluster],$B36,TblCalculs[Mois],F$33),SUMIFS(TblCalculs[Workers],TblCalculs[Cluster],$B36,TblCalculs[Mois],F$33))))</f>
        <v>6</v>
      </c>
      <c r="G36" s="58" t="n">
        <f aca="false">IF(OR($A36="",G$33=""),"",IF(ca_mesure="CPU",SUMIFS(TblCalculs[CPU provisionné],TblCalculs[Cluster],$B36,TblCalculs[Mois],G$33),IF(ca_mesure="RAM",SUMIFS(TblCalculs[RAM provisionnée],TblCalculs[Cluster],$B36,TblCalculs[Mois],G$33),SUMIFS(TblCalculs[Workers],TblCalculs[Cluster],$B36,TblCalculs[Mois],G$33))))</f>
        <v>6</v>
      </c>
      <c r="H36" s="58" t="n">
        <f aca="false">IF(OR($A36="",H$33=""),"",IF(ca_mesure="CPU",SUMIFS(TblCalculs[CPU provisionné],TblCalculs[Cluster],$B36,TblCalculs[Mois],H$33),IF(ca_mesure="RAM",SUMIFS(TblCalculs[RAM provisionnée],TblCalculs[Cluster],$B36,TblCalculs[Mois],H$33),SUMIFS(TblCalculs[Workers],TblCalculs[Cluster],$B36,TblCalculs[Mois],H$33))))</f>
        <v>6</v>
      </c>
      <c r="I36" s="58" t="n">
        <f aca="false">IF(OR($A36="",I$33=""),"",IF(ca_mesure="CPU",SUMIFS(TblCalculs[CPU provisionné],TblCalculs[Cluster],$B36,TblCalculs[Mois],I$33),IF(ca_mesure="RAM",SUMIFS(TblCalculs[RAM provisionnée],TblCalculs[Cluster],$B36,TblCalculs[Mois],I$33),SUMIFS(TblCalculs[Workers],TblCalculs[Cluster],$B36,TblCalculs[Mois],I$33))))</f>
        <v>6</v>
      </c>
      <c r="J36" s="58" t="n">
        <f aca="false">IF(OR($A36="",J$33=""),"",IF(ca_mesure="CPU",SUMIFS(TblCalculs[CPU provisionné],TblCalculs[Cluster],$B36,TblCalculs[Mois],J$33),IF(ca_mesure="RAM",SUMIFS(TblCalculs[RAM provisionnée],TblCalculs[Cluster],$B36,TblCalculs[Mois],J$33),SUMIFS(TblCalculs[Workers],TblCalculs[Cluster],$B36,TblCalculs[Mois],J$33))))</f>
        <v>6</v>
      </c>
      <c r="K36" s="58" t="n">
        <f aca="false">IF(OR($A36="",K$33=""),"",IF(ca_mesure="CPU",SUMIFS(TblCalculs[CPU provisionné],TblCalculs[Cluster],$B36,TblCalculs[Mois],K$33),IF(ca_mesure="RAM",SUMIFS(TblCalculs[RAM provisionnée],TblCalculs[Cluster],$B36,TblCalculs[Mois],K$33),SUMIFS(TblCalculs[Workers],TblCalculs[Cluster],$B36,TblCalculs[Mois],K$33))))</f>
        <v>6</v>
      </c>
      <c r="L36" s="58" t="n">
        <f aca="false">IF(OR($A36="",L$33=""),"",IF(ca_mesure="CPU",SUMIFS(TblCalculs[CPU provisionné],TblCalculs[Cluster],$B36,TblCalculs[Mois],L$33),IF(ca_mesure="RAM",SUMIFS(TblCalculs[RAM provisionnée],TblCalculs[Cluster],$B36,TblCalculs[Mois],L$33),SUMIFS(TblCalculs[Workers],TblCalculs[Cluster],$B36,TblCalculs[Mois],L$33))))</f>
        <v>9</v>
      </c>
      <c r="M36" s="58" t="n">
        <f aca="false">IF(OR($A36="",M$33=""),"",IF(ca_mesure="CPU",SUMIFS(TblCalculs[CPU provisionné],TblCalculs[Cluster],$B36,TblCalculs[Mois],M$33),IF(ca_mesure="RAM",SUMIFS(TblCalculs[RAM provisionnée],TblCalculs[Cluster],$B36,TblCalculs[Mois],M$33),SUMIFS(TblCalculs[Workers],TblCalculs[Cluster],$B36,TblCalculs[Mois],M$33))))</f>
        <v>9</v>
      </c>
      <c r="N36" s="58" t="n">
        <f aca="false">IF(OR($A36="",N$33=""),"",IF(ca_mesure="CPU",SUMIFS(TblCalculs[CPU provisionné],TblCalculs[Cluster],$B36,TblCalculs[Mois],N$33),IF(ca_mesure="RAM",SUMIFS(TblCalculs[RAM provisionnée],TblCalculs[Cluster],$B36,TblCalculs[Mois],N$33),SUMIFS(TblCalculs[Workers],TblCalculs[Cluster],$B36,TblCalculs[Mois],N$33))))</f>
        <v>9</v>
      </c>
      <c r="O36" s="58" t="n">
        <f aca="false">IF(OR($A36="",O$33=""),"",IF(ca_mesure="CPU",SUMIFS(TblCalculs[CPU provisionné],TblCalculs[Cluster],$B36,TblCalculs[Mois],O$33),IF(ca_mesure="RAM",SUMIFS(TblCalculs[RAM provisionnée],TblCalculs[Cluster],$B36,TblCalculs[Mois],O$33),SUMIFS(TblCalculs[Workers],TblCalculs[Cluster],$B36,TblCalculs[Mois],O$33))))</f>
        <v>9</v>
      </c>
      <c r="P36" s="58" t="n">
        <f aca="false">IF(OR($A36="",P$33=""),"",IF(ca_mesure="CPU",SUMIFS(TblCalculs[CPU provisionné],TblCalculs[Cluster],$B36,TblCalculs[Mois],P$33),IF(ca_mesure="RAM",SUMIFS(TblCalculs[RAM provisionnée],TblCalculs[Cluster],$B36,TblCalculs[Mois],P$33),SUMIFS(TblCalculs[Workers],TblCalculs[Cluster],$B36,TblCalculs[Mois],P$33))))</f>
        <v>9</v>
      </c>
      <c r="Q36" s="58" t="n">
        <f aca="false">IF(OR($A36="",Q$33=""),"",IF(ca_mesure="CPU",SUMIFS(TblCalculs[CPU provisionné],TblCalculs[Cluster],$B36,TblCalculs[Mois],Q$33),IF(ca_mesure="RAM",SUMIFS(TblCalculs[RAM provisionnée],TblCalculs[Cluster],$B36,TblCalculs[Mois],Q$33),SUMIFS(TblCalculs[Workers],TblCalculs[Cluster],$B36,TblCalculs[Mois],Q$33))))</f>
        <v>9</v>
      </c>
      <c r="R36" s="58" t="n">
        <f aca="false">IF(OR($A36="",R$33=""),"",IF(ca_mesure="CPU",SUMIFS(TblCalculs[CPU provisionné],TblCalculs[Cluster],$B36,TblCalculs[Mois],R$33),IF(ca_mesure="RAM",SUMIFS(TblCalculs[RAM provisionnée],TblCalculs[Cluster],$B36,TblCalculs[Mois],R$33),SUMIFS(TblCalculs[Workers],TblCalculs[Cluster],$B36,TblCalculs[Mois],R$33))))</f>
        <v>9</v>
      </c>
      <c r="S36" s="58" t="n">
        <f aca="false">IF(OR($A36="",S$33=""),"",IF(ca_mesure="CPU",SUMIFS(TblCalculs[CPU provisionné],TblCalculs[Cluster],$B36,TblCalculs[Mois],S$33),IF(ca_mesure="RAM",SUMIFS(TblCalculs[RAM provisionnée],TblCalculs[Cluster],$B36,TblCalculs[Mois],S$33),SUMIFS(TblCalculs[Workers],TblCalculs[Cluster],$B36,TblCalculs[Mois],S$33))))</f>
        <v>9</v>
      </c>
      <c r="T36" s="58" t="n">
        <f aca="false">IF(OR($A36="",T$33=""),"",IF(ca_mesure="CPU",SUMIFS(TblCalculs[CPU provisionné],TblCalculs[Cluster],$B36,TblCalculs[Mois],T$33),IF(ca_mesure="RAM",SUMIFS(TblCalculs[RAM provisionnée],TblCalculs[Cluster],$B36,TblCalculs[Mois],T$33),SUMIFS(TblCalculs[Workers],TblCalculs[Cluster],$B36,TblCalculs[Mois],T$33))))</f>
        <v>9</v>
      </c>
      <c r="U36" s="58" t="n">
        <f aca="false">IF(OR($A36="",U$33=""),"",IF(ca_mesure="CPU",SUMIFS(TblCalculs[CPU provisionné],TblCalculs[Cluster],$B36,TblCalculs[Mois],U$33),IF(ca_mesure="RAM",SUMIFS(TblCalculs[RAM provisionnée],TblCalculs[Cluster],$B36,TblCalculs[Mois],U$33),SUMIFS(TblCalculs[Workers],TblCalculs[Cluster],$B36,TblCalculs[Mois],U$33))))</f>
        <v>11</v>
      </c>
      <c r="V36" s="58" t="n">
        <f aca="false">IF(OR($A36="",V$33=""),"",IF(ca_mesure="CPU",SUMIFS(TblCalculs[CPU provisionné],TblCalculs[Cluster],$B36,TblCalculs[Mois],V$33),IF(ca_mesure="RAM",SUMIFS(TblCalculs[RAM provisionnée],TblCalculs[Cluster],$B36,TblCalculs[Mois],V$33),SUMIFS(TblCalculs[Workers],TblCalculs[Cluster],$B36,TblCalculs[Mois],V$33))))</f>
        <v>11</v>
      </c>
      <c r="W36" s="58" t="n">
        <f aca="false">IF(OR($A36="",W$33=""),"",IF(ca_mesure="CPU",SUMIFS(TblCalculs[CPU provisionné],TblCalculs[Cluster],$B36,TblCalculs[Mois],W$33),IF(ca_mesure="RAM",SUMIFS(TblCalculs[RAM provisionnée],TblCalculs[Cluster],$B36,TblCalculs[Mois],W$33),SUMIFS(TblCalculs[Workers],TblCalculs[Cluster],$B36,TblCalculs[Mois],W$33))))</f>
        <v>11</v>
      </c>
      <c r="X36" s="58" t="n">
        <f aca="false">IF(OR($A36="",X$33=""),"",IF(ca_mesure="CPU",SUMIFS(TblCalculs[CPU provisionné],TblCalculs[Cluster],$B36,TblCalculs[Mois],X$33),IF(ca_mesure="RAM",SUMIFS(TblCalculs[RAM provisionnée],TblCalculs[Cluster],$B36,TblCalculs[Mois],X$33),SUMIFS(TblCalculs[Workers],TblCalculs[Cluster],$B36,TblCalculs[Mois],X$33))))</f>
        <v>11</v>
      </c>
      <c r="Y36" s="58" t="n">
        <f aca="false">IF(OR($A36="",Y$33=""),"",IF(ca_mesure="CPU",SUMIFS(TblCalculs[CPU provisionné],TblCalculs[Cluster],$B36,TblCalculs[Mois],Y$33),IF(ca_mesure="RAM",SUMIFS(TblCalculs[RAM provisionnée],TblCalculs[Cluster],$B36,TblCalculs[Mois],Y$33),SUMIFS(TblCalculs[Workers],TblCalculs[Cluster],$B36,TblCalculs[Mois],Y$33))))</f>
        <v>11</v>
      </c>
      <c r="Z36" s="58" t="n">
        <f aca="false">IF(OR($A36="",Z$33=""),"",IF(ca_mesure="CPU",SUMIFS(TblCalculs[CPU provisionné],TblCalculs[Cluster],$B36,TblCalculs[Mois],Z$33),IF(ca_mesure="RAM",SUMIFS(TblCalculs[RAM provisionnée],TblCalculs[Cluster],$B36,TblCalculs[Mois],Z$33),SUMIFS(TblCalculs[Workers],TblCalculs[Cluster],$B36,TblCalculs[Mois],Z$33))))</f>
        <v>11</v>
      </c>
      <c r="AA36" s="58" t="n">
        <f aca="false">IF(OR($A36="",AA$33=""),"",IF(ca_mesure="CPU",SUMIFS(TblCalculs[CPU provisionné],TblCalculs[Cluster],$B36,TblCalculs[Mois],AA$33),IF(ca_mesure="RAM",SUMIFS(TblCalculs[RAM provisionnée],TblCalculs[Cluster],$B36,TblCalculs[Mois],AA$33),SUMIFS(TblCalculs[Workers],TblCalculs[Cluster],$B36,TblCalculs[Mois],AA$33))))</f>
        <v>11</v>
      </c>
      <c r="AB36" s="58" t="n">
        <f aca="false">IF(OR($A36="",AB$33=""),"",IF(ca_mesure="CPU",SUMIFS(TblCalculs[CPU provisionné],TblCalculs[Cluster],$B36,TblCalculs[Mois],AB$33),IF(ca_mesure="RAM",SUMIFS(TblCalculs[RAM provisionnée],TblCalculs[Cluster],$B36,TblCalculs[Mois],AB$33),SUMIFS(TblCalculs[Workers],TblCalculs[Cluster],$B36,TblCalculs[Mois],AB$33))))</f>
        <v>11</v>
      </c>
      <c r="AC36" s="58" t="n">
        <f aca="false">IF(OR($A36="",AC$33=""),"",IF(ca_mesure="CPU",SUMIFS(TblCalculs[CPU provisionné],TblCalculs[Cluster],$B36,TblCalculs[Mois],AC$33),IF(ca_mesure="RAM",SUMIFS(TblCalculs[RAM provisionnée],TblCalculs[Cluster],$B36,TblCalculs[Mois],AC$33),SUMIFS(TblCalculs[Workers],TblCalculs[Cluster],$B36,TblCalculs[Mois],AC$33))))</f>
        <v>14</v>
      </c>
      <c r="AD36" s="58" t="n">
        <f aca="false">IF(OR($A36="",AD$33=""),"",IF(ca_mesure="CPU",SUMIFS(TblCalculs[CPU provisionné],TblCalculs[Cluster],$B36,TblCalculs[Mois],AD$33),IF(ca_mesure="RAM",SUMIFS(TblCalculs[RAM provisionnée],TblCalculs[Cluster],$B36,TblCalculs[Mois],AD$33),SUMIFS(TblCalculs[Workers],TblCalculs[Cluster],$B36,TblCalculs[Mois],AD$33))))</f>
        <v>14</v>
      </c>
      <c r="AE36" s="58" t="n">
        <f aca="false">IF(OR($A36="",AE$33=""),"",IF(ca_mesure="CPU",SUMIFS(TblCalculs[CPU provisionné],TblCalculs[Cluster],$B36,TblCalculs[Mois],AE$33),IF(ca_mesure="RAM",SUMIFS(TblCalculs[RAM provisionnée],TblCalculs[Cluster],$B36,TblCalculs[Mois],AE$33),SUMIFS(TblCalculs[Workers],TblCalculs[Cluster],$B36,TblCalculs[Mois],AE$33))))</f>
        <v>14</v>
      </c>
      <c r="AF36" s="58" t="n">
        <f aca="false">IF(OR($A36="",AF$33=""),"",IF(ca_mesure="CPU",SUMIFS(TblCalculs[CPU provisionné],TblCalculs[Cluster],$B36,TblCalculs[Mois],AF$33),IF(ca_mesure="RAM",SUMIFS(TblCalculs[RAM provisionnée],TblCalculs[Cluster],$B36,TblCalculs[Mois],AF$33),SUMIFS(TblCalculs[Workers],TblCalculs[Cluster],$B36,TblCalculs[Mois],AF$33))))</f>
        <v>14</v>
      </c>
      <c r="AG36" s="58" t="n">
        <f aca="false">IF(OR($A36="",AG$33=""),"",IF(ca_mesure="CPU",SUMIFS(TblCalculs[CPU provisionné],TblCalculs[Cluster],$B36,TblCalculs[Mois],AG$33),IF(ca_mesure="RAM",SUMIFS(TblCalculs[RAM provisionnée],TblCalculs[Cluster],$B36,TblCalculs[Mois],AG$33),SUMIFS(TblCalculs[Workers],TblCalculs[Cluster],$B36,TblCalculs[Mois],AG$33))))</f>
        <v>14</v>
      </c>
      <c r="AH36" s="58" t="n">
        <f aca="false">IF(OR($A36="",AH$33=""),"",IF(ca_mesure="CPU",SUMIFS(TblCalculs[CPU provisionné],TblCalculs[Cluster],$B36,TblCalculs[Mois],AH$33),IF(ca_mesure="RAM",SUMIFS(TblCalculs[RAM provisionnée],TblCalculs[Cluster],$B36,TblCalculs[Mois],AH$33),SUMIFS(TblCalculs[Workers],TblCalculs[Cluster],$B36,TblCalculs[Mois],AH$33))))</f>
        <v>14</v>
      </c>
      <c r="AI36" s="58" t="n">
        <f aca="false">IF(OR($A36="",AI$33=""),"",IF(ca_mesure="CPU",SUMIFS(TblCalculs[CPU provisionné],TblCalculs[Cluster],$B36,TblCalculs[Mois],AI$33),IF(ca_mesure="RAM",SUMIFS(TblCalculs[RAM provisionnée],TblCalculs[Cluster],$B36,TblCalculs[Mois],AI$33),SUMIFS(TblCalculs[Workers],TblCalculs[Cluster],$B36,TblCalculs[Mois],AI$33))))</f>
        <v>14</v>
      </c>
      <c r="AJ36" s="58" t="n">
        <f aca="false">IF(OR($A36="",AJ$33=""),"",IF(ca_mesure="CPU",SUMIFS(TblCalculs[CPU provisionné],TblCalculs[Cluster],$B36,TblCalculs[Mois],AJ$33),IF(ca_mesure="RAM",SUMIFS(TblCalculs[RAM provisionnée],TblCalculs[Cluster],$B36,TblCalculs[Mois],AJ$33),SUMIFS(TblCalculs[Workers],TblCalculs[Cluster],$B36,TblCalculs[Mois],AJ$33))))</f>
        <v>14</v>
      </c>
      <c r="AK36" s="58" t="n">
        <f aca="false">IF(OR($A36="",AK$33=""),"",IF(ca_mesure="CPU",SUMIFS(TblCalculs[CPU provisionné],TblCalculs[Cluster],$B36,TblCalculs[Mois],AK$33),IF(ca_mesure="RAM",SUMIFS(TblCalculs[RAM provisionnée],TblCalculs[Cluster],$B36,TblCalculs[Mois],AK$33),SUMIFS(TblCalculs[Workers],TblCalculs[Cluster],$B36,TblCalculs[Mois],AK$33))))</f>
        <v>14</v>
      </c>
      <c r="AL36" s="58" t="n">
        <f aca="false">IF(OR($A36="",AL$33=""),"",IF(ca_mesure="CPU",SUMIFS(TblCalculs[CPU provisionné],TblCalculs[Cluster],$B36,TblCalculs[Mois],AL$33),IF(ca_mesure="RAM",SUMIFS(TblCalculs[RAM provisionnée],TblCalculs[Cluster],$B36,TblCalculs[Mois],AL$33),SUMIFS(TblCalculs[Workers],TblCalculs[Cluster],$B36,TblCalculs[Mois],AL$33))))</f>
        <v>14</v>
      </c>
      <c r="AM36" s="58" t="n">
        <f aca="false">IF(OR($A36="",AM$33=""),"",IF(ca_mesure="CPU",SUMIFS(TblCalculs[CPU provisionné],TblCalculs[Cluster],$B36,TblCalculs[Mois],AM$33),IF(ca_mesure="RAM",SUMIFS(TblCalculs[RAM provisionnée],TblCalculs[Cluster],$B36,TblCalculs[Mois],AM$33),SUMIFS(TblCalculs[Workers],TblCalculs[Cluster],$B36,TblCalculs[Mois],AM$33))))</f>
        <v>14</v>
      </c>
      <c r="AN36" s="58" t="n">
        <f aca="false">IF(OR($A36="",AN$33=""),"",IF(ca_mesure="CPU",SUMIFS(TblCalculs[CPU provisionné],TblCalculs[Cluster],$B36,TblCalculs[Mois],AN$33),IF(ca_mesure="RAM",SUMIFS(TblCalculs[RAM provisionnée],TblCalculs[Cluster],$B36,TblCalculs[Mois],AN$33),SUMIFS(TblCalculs[Workers],TblCalculs[Cluster],$B36,TblCalculs[Mois],AN$33))))</f>
        <v>14</v>
      </c>
      <c r="AO36" s="58" t="n">
        <f aca="false">IF(OR($A36="",AO$33=""),"",IF(ca_mesure="CPU",SUMIFS(TblCalculs[CPU provisionné],TblCalculs[Cluster],$B36,TblCalculs[Mois],AO$33),IF(ca_mesure="RAM",SUMIFS(TblCalculs[RAM provisionnée],TblCalculs[Cluster],$B36,TblCalculs[Mois],AO$33),SUMIFS(TblCalculs[Workers],TblCalculs[Cluster],$B36,TblCalculs[Mois],AO$33))))</f>
        <v>14</v>
      </c>
    </row>
    <row r="37" customFormat="false" ht="15" hidden="false" customHeight="false" outlineLevel="0" collapsed="false">
      <c r="A37" s="49" t="n">
        <f aca="false">IFERROR(MATCH(4,TblClusters[Rang capacités],0),"")</f>
        <v>4</v>
      </c>
      <c r="B37" s="57" t="str">
        <f aca="false">IF($A37="","",INDEX(TblClusters[Cluster],$A37))</f>
        <v>ROKS-NPR-01</v>
      </c>
      <c r="C37" s="50" t="str">
        <f aca="false">IF($A37="","",INDEX(TblClusters[Plateforme],$A37))</f>
        <v>ROKS</v>
      </c>
      <c r="D37" s="50" t="str">
        <f aca="false">IF($A37="","",INDEX(TblClusters[Environnement],$A37))</f>
        <v>NPRD</v>
      </c>
      <c r="E37" s="50" t="str">
        <f aca="false">IF($A37="","",INDEX(TblClusters[Flavor],$A37))</f>
        <v>bx3d.16x80</v>
      </c>
      <c r="F37" s="58" t="n">
        <f aca="false">IF(OR($A37="",F$33=""),"",IF(ca_mesure="CPU",SUMIFS(TblCalculs[CPU provisionné],TblCalculs[Cluster],$B37,TblCalculs[Mois],F$33),IF(ca_mesure="RAM",SUMIFS(TblCalculs[RAM provisionnée],TblCalculs[Cluster],$B37,TblCalculs[Mois],F$33),SUMIFS(TblCalculs[Workers],TblCalculs[Cluster],$B37,TblCalculs[Mois],F$33))))</f>
        <v>6</v>
      </c>
      <c r="G37" s="58" t="n">
        <f aca="false">IF(OR($A37="",G$33=""),"",IF(ca_mesure="CPU",SUMIFS(TblCalculs[CPU provisionné],TblCalculs[Cluster],$B37,TblCalculs[Mois],G$33),IF(ca_mesure="RAM",SUMIFS(TblCalculs[RAM provisionnée],TblCalculs[Cluster],$B37,TblCalculs[Mois],G$33),SUMIFS(TblCalculs[Workers],TblCalculs[Cluster],$B37,TblCalculs[Mois],G$33))))</f>
        <v>6</v>
      </c>
      <c r="H37" s="58" t="n">
        <f aca="false">IF(OR($A37="",H$33=""),"",IF(ca_mesure="CPU",SUMIFS(TblCalculs[CPU provisionné],TblCalculs[Cluster],$B37,TblCalculs[Mois],H$33),IF(ca_mesure="RAM",SUMIFS(TblCalculs[RAM provisionnée],TblCalculs[Cluster],$B37,TblCalculs[Mois],H$33),SUMIFS(TblCalculs[Workers],TblCalculs[Cluster],$B37,TblCalculs[Mois],H$33))))</f>
        <v>6</v>
      </c>
      <c r="I37" s="58" t="n">
        <f aca="false">IF(OR($A37="",I$33=""),"",IF(ca_mesure="CPU",SUMIFS(TblCalculs[CPU provisionné],TblCalculs[Cluster],$B37,TblCalculs[Mois],I$33),IF(ca_mesure="RAM",SUMIFS(TblCalculs[RAM provisionnée],TblCalculs[Cluster],$B37,TblCalculs[Mois],I$33),SUMIFS(TblCalculs[Workers],TblCalculs[Cluster],$B37,TblCalculs[Mois],I$33))))</f>
        <v>8</v>
      </c>
      <c r="J37" s="58" t="n">
        <f aca="false">IF(OR($A37="",J$33=""),"",IF(ca_mesure="CPU",SUMIFS(TblCalculs[CPU provisionné],TblCalculs[Cluster],$B37,TblCalculs[Mois],J$33),IF(ca_mesure="RAM",SUMIFS(TblCalculs[RAM provisionnée],TblCalculs[Cluster],$B37,TblCalculs[Mois],J$33),SUMIFS(TblCalculs[Workers],TblCalculs[Cluster],$B37,TblCalculs[Mois],J$33))))</f>
        <v>8</v>
      </c>
      <c r="K37" s="58" t="n">
        <f aca="false">IF(OR($A37="",K$33=""),"",IF(ca_mesure="CPU",SUMIFS(TblCalculs[CPU provisionné],TblCalculs[Cluster],$B37,TblCalculs[Mois],K$33),IF(ca_mesure="RAM",SUMIFS(TblCalculs[RAM provisionnée],TblCalculs[Cluster],$B37,TblCalculs[Mois],K$33),SUMIFS(TblCalculs[Workers],TblCalculs[Cluster],$B37,TblCalculs[Mois],K$33))))</f>
        <v>8</v>
      </c>
      <c r="L37" s="58" t="n">
        <f aca="false">IF(OR($A37="",L$33=""),"",IF(ca_mesure="CPU",SUMIFS(TblCalculs[CPU provisionné],TblCalculs[Cluster],$B37,TblCalculs[Mois],L$33),IF(ca_mesure="RAM",SUMIFS(TblCalculs[RAM provisionnée],TblCalculs[Cluster],$B37,TblCalculs[Mois],L$33),SUMIFS(TblCalculs[Workers],TblCalculs[Cluster],$B37,TblCalculs[Mois],L$33))))</f>
        <v>8</v>
      </c>
      <c r="M37" s="58" t="n">
        <f aca="false">IF(OR($A37="",M$33=""),"",IF(ca_mesure="CPU",SUMIFS(TblCalculs[CPU provisionné],TblCalculs[Cluster],$B37,TblCalculs[Mois],M$33),IF(ca_mesure="RAM",SUMIFS(TblCalculs[RAM provisionnée],TblCalculs[Cluster],$B37,TblCalculs[Mois],M$33),SUMIFS(TblCalculs[Workers],TblCalculs[Cluster],$B37,TblCalculs[Mois],M$33))))</f>
        <v>8</v>
      </c>
      <c r="N37" s="58" t="n">
        <f aca="false">IF(OR($A37="",N$33=""),"",IF(ca_mesure="CPU",SUMIFS(TblCalculs[CPU provisionné],TblCalculs[Cluster],$B37,TblCalculs[Mois],N$33),IF(ca_mesure="RAM",SUMIFS(TblCalculs[RAM provisionnée],TblCalculs[Cluster],$B37,TblCalculs[Mois],N$33),SUMIFS(TblCalculs[Workers],TblCalculs[Cluster],$B37,TblCalculs[Mois],N$33))))</f>
        <v>8</v>
      </c>
      <c r="O37" s="58" t="n">
        <f aca="false">IF(OR($A37="",O$33=""),"",IF(ca_mesure="CPU",SUMIFS(TblCalculs[CPU provisionné],TblCalculs[Cluster],$B37,TblCalculs[Mois],O$33),IF(ca_mesure="RAM",SUMIFS(TblCalculs[RAM provisionnée],TblCalculs[Cluster],$B37,TblCalculs[Mois],O$33),SUMIFS(TblCalculs[Workers],TblCalculs[Cluster],$B37,TblCalculs[Mois],O$33))))</f>
        <v>8</v>
      </c>
      <c r="P37" s="58" t="n">
        <f aca="false">IF(OR($A37="",P$33=""),"",IF(ca_mesure="CPU",SUMIFS(TblCalculs[CPU provisionné],TblCalculs[Cluster],$B37,TblCalculs[Mois],P$33),IF(ca_mesure="RAM",SUMIFS(TblCalculs[RAM provisionnée],TblCalculs[Cluster],$B37,TblCalculs[Mois],P$33),SUMIFS(TblCalculs[Workers],TblCalculs[Cluster],$B37,TblCalculs[Mois],P$33))))</f>
        <v>8</v>
      </c>
      <c r="Q37" s="58" t="n">
        <f aca="false">IF(OR($A37="",Q$33=""),"",IF(ca_mesure="CPU",SUMIFS(TblCalculs[CPU provisionné],TblCalculs[Cluster],$B37,TblCalculs[Mois],Q$33),IF(ca_mesure="RAM",SUMIFS(TblCalculs[RAM provisionnée],TblCalculs[Cluster],$B37,TblCalculs[Mois],Q$33),SUMIFS(TblCalculs[Workers],TblCalculs[Cluster],$B37,TblCalculs[Mois],Q$33))))</f>
        <v>9</v>
      </c>
      <c r="R37" s="58" t="n">
        <f aca="false">IF(OR($A37="",R$33=""),"",IF(ca_mesure="CPU",SUMIFS(TblCalculs[CPU provisionné],TblCalculs[Cluster],$B37,TblCalculs[Mois],R$33),IF(ca_mesure="RAM",SUMIFS(TblCalculs[RAM provisionnée],TblCalculs[Cluster],$B37,TblCalculs[Mois],R$33),SUMIFS(TblCalculs[Workers],TblCalculs[Cluster],$B37,TblCalculs[Mois],R$33))))</f>
        <v>10</v>
      </c>
      <c r="S37" s="58" t="n">
        <f aca="false">IF(OR($A37="",S$33=""),"",IF(ca_mesure="CPU",SUMIFS(TblCalculs[CPU provisionné],TblCalculs[Cluster],$B37,TblCalculs[Mois],S$33),IF(ca_mesure="RAM",SUMIFS(TblCalculs[RAM provisionnée],TblCalculs[Cluster],$B37,TblCalculs[Mois],S$33),SUMIFS(TblCalculs[Workers],TblCalculs[Cluster],$B37,TblCalculs[Mois],S$33))))</f>
        <v>10</v>
      </c>
      <c r="T37" s="58" t="n">
        <f aca="false">IF(OR($A37="",T$33=""),"",IF(ca_mesure="CPU",SUMIFS(TblCalculs[CPU provisionné],TblCalculs[Cluster],$B37,TblCalculs[Mois],T$33),IF(ca_mesure="RAM",SUMIFS(TblCalculs[RAM provisionnée],TblCalculs[Cluster],$B37,TblCalculs[Mois],T$33),SUMIFS(TblCalculs[Workers],TblCalculs[Cluster],$B37,TblCalculs[Mois],T$33))))</f>
        <v>10</v>
      </c>
      <c r="U37" s="58" t="n">
        <f aca="false">IF(OR($A37="",U$33=""),"",IF(ca_mesure="CPU",SUMIFS(TblCalculs[CPU provisionné],TblCalculs[Cluster],$B37,TblCalculs[Mois],U$33),IF(ca_mesure="RAM",SUMIFS(TblCalculs[RAM provisionnée],TblCalculs[Cluster],$B37,TblCalculs[Mois],U$33),SUMIFS(TblCalculs[Workers],TblCalculs[Cluster],$B37,TblCalculs[Mois],U$33))))</f>
        <v>10</v>
      </c>
      <c r="V37" s="58" t="n">
        <f aca="false">IF(OR($A37="",V$33=""),"",IF(ca_mesure="CPU",SUMIFS(TblCalculs[CPU provisionné],TblCalculs[Cluster],$B37,TblCalculs[Mois],V$33),IF(ca_mesure="RAM",SUMIFS(TblCalculs[RAM provisionnée],TblCalculs[Cluster],$B37,TblCalculs[Mois],V$33),SUMIFS(TblCalculs[Workers],TblCalculs[Cluster],$B37,TblCalculs[Mois],V$33))))</f>
        <v>10</v>
      </c>
      <c r="W37" s="58" t="n">
        <f aca="false">IF(OR($A37="",W$33=""),"",IF(ca_mesure="CPU",SUMIFS(TblCalculs[CPU provisionné],TblCalculs[Cluster],$B37,TblCalculs[Mois],W$33),IF(ca_mesure="RAM",SUMIFS(TblCalculs[RAM provisionnée],TblCalculs[Cluster],$B37,TblCalculs[Mois],W$33),SUMIFS(TblCalculs[Workers],TblCalculs[Cluster],$B37,TblCalculs[Mois],W$33))))</f>
        <v>10</v>
      </c>
      <c r="X37" s="58" t="n">
        <f aca="false">IF(OR($A37="",X$33=""),"",IF(ca_mesure="CPU",SUMIFS(TblCalculs[CPU provisionné],TblCalculs[Cluster],$B37,TblCalculs[Mois],X$33),IF(ca_mesure="RAM",SUMIFS(TblCalculs[RAM provisionnée],TblCalculs[Cluster],$B37,TblCalculs[Mois],X$33),SUMIFS(TblCalculs[Workers],TblCalculs[Cluster],$B37,TblCalculs[Mois],X$33))))</f>
        <v>12</v>
      </c>
      <c r="Y37" s="58" t="n">
        <f aca="false">IF(OR($A37="",Y$33=""),"",IF(ca_mesure="CPU",SUMIFS(TblCalculs[CPU provisionné],TblCalculs[Cluster],$B37,TblCalculs[Mois],Y$33),IF(ca_mesure="RAM",SUMIFS(TblCalculs[RAM provisionnée],TblCalculs[Cluster],$B37,TblCalculs[Mois],Y$33),SUMIFS(TblCalculs[Workers],TblCalculs[Cluster],$B37,TblCalculs[Mois],Y$33))))</f>
        <v>12</v>
      </c>
      <c r="Z37" s="58" t="n">
        <f aca="false">IF(OR($A37="",Z$33=""),"",IF(ca_mesure="CPU",SUMIFS(TblCalculs[CPU provisionné],TblCalculs[Cluster],$B37,TblCalculs[Mois],Z$33),IF(ca_mesure="RAM",SUMIFS(TblCalculs[RAM provisionnée],TblCalculs[Cluster],$B37,TblCalculs[Mois],Z$33),SUMIFS(TblCalculs[Workers],TblCalculs[Cluster],$B37,TblCalculs[Mois],Z$33))))</f>
        <v>12</v>
      </c>
      <c r="AA37" s="58" t="n">
        <f aca="false">IF(OR($A37="",AA$33=""),"",IF(ca_mesure="CPU",SUMIFS(TblCalculs[CPU provisionné],TblCalculs[Cluster],$B37,TblCalculs[Mois],AA$33),IF(ca_mesure="RAM",SUMIFS(TblCalculs[RAM provisionnée],TblCalculs[Cluster],$B37,TblCalculs[Mois],AA$33),SUMIFS(TblCalculs[Workers],TblCalculs[Cluster],$B37,TblCalculs[Mois],AA$33))))</f>
        <v>12</v>
      </c>
      <c r="AB37" s="58" t="n">
        <f aca="false">IF(OR($A37="",AB$33=""),"",IF(ca_mesure="CPU",SUMIFS(TblCalculs[CPU provisionné],TblCalculs[Cluster],$B37,TblCalculs[Mois],AB$33),IF(ca_mesure="RAM",SUMIFS(TblCalculs[RAM provisionnée],TblCalculs[Cluster],$B37,TblCalculs[Mois],AB$33),SUMIFS(TblCalculs[Workers],TblCalculs[Cluster],$B37,TblCalculs[Mois],AB$33))))</f>
        <v>12</v>
      </c>
      <c r="AC37" s="58" t="n">
        <f aca="false">IF(OR($A37="",AC$33=""),"",IF(ca_mesure="CPU",SUMIFS(TblCalculs[CPU provisionné],TblCalculs[Cluster],$B37,TblCalculs[Mois],AC$33),IF(ca_mesure="RAM",SUMIFS(TblCalculs[RAM provisionnée],TblCalculs[Cluster],$B37,TblCalculs[Mois],AC$33),SUMIFS(TblCalculs[Workers],TblCalculs[Cluster],$B37,TblCalculs[Mois],AC$33))))</f>
        <v>12</v>
      </c>
      <c r="AD37" s="58" t="n">
        <f aca="false">IF(OR($A37="",AD$33=""),"",IF(ca_mesure="CPU",SUMIFS(TblCalculs[CPU provisionné],TblCalculs[Cluster],$B37,TblCalculs[Mois],AD$33),IF(ca_mesure="RAM",SUMIFS(TblCalculs[RAM provisionnée],TblCalculs[Cluster],$B37,TblCalculs[Mois],AD$33),SUMIFS(TblCalculs[Workers],TblCalculs[Cluster],$B37,TblCalculs[Mois],AD$33))))</f>
        <v>12</v>
      </c>
      <c r="AE37" s="58" t="n">
        <f aca="false">IF(OR($A37="",AE$33=""),"",IF(ca_mesure="CPU",SUMIFS(TblCalculs[CPU provisionné],TblCalculs[Cluster],$B37,TblCalculs[Mois],AE$33),IF(ca_mesure="RAM",SUMIFS(TblCalculs[RAM provisionnée],TblCalculs[Cluster],$B37,TblCalculs[Mois],AE$33),SUMIFS(TblCalculs[Workers],TblCalculs[Cluster],$B37,TblCalculs[Mois],AE$33))))</f>
        <v>12</v>
      </c>
      <c r="AF37" s="58" t="n">
        <f aca="false">IF(OR($A37="",AF$33=""),"",IF(ca_mesure="CPU",SUMIFS(TblCalculs[CPU provisionné],TblCalculs[Cluster],$B37,TblCalculs[Mois],AF$33),IF(ca_mesure="RAM",SUMIFS(TblCalculs[RAM provisionnée],TblCalculs[Cluster],$B37,TblCalculs[Mois],AF$33),SUMIFS(TblCalculs[Workers],TblCalculs[Cluster],$B37,TblCalculs[Mois],AF$33))))</f>
        <v>12</v>
      </c>
      <c r="AG37" s="58" t="n">
        <f aca="false">IF(OR($A37="",AG$33=""),"",IF(ca_mesure="CPU",SUMIFS(TblCalculs[CPU provisionné],TblCalculs[Cluster],$B37,TblCalculs[Mois],AG$33),IF(ca_mesure="RAM",SUMIFS(TblCalculs[RAM provisionnée],TblCalculs[Cluster],$B37,TblCalculs[Mois],AG$33),SUMIFS(TblCalculs[Workers],TblCalculs[Cluster],$B37,TblCalculs[Mois],AG$33))))</f>
        <v>12</v>
      </c>
      <c r="AH37" s="58" t="n">
        <f aca="false">IF(OR($A37="",AH$33=""),"",IF(ca_mesure="CPU",SUMIFS(TblCalculs[CPU provisionné],TblCalculs[Cluster],$B37,TblCalculs[Mois],AH$33),IF(ca_mesure="RAM",SUMIFS(TblCalculs[RAM provisionnée],TblCalculs[Cluster],$B37,TblCalculs[Mois],AH$33),SUMIFS(TblCalculs[Workers],TblCalculs[Cluster],$B37,TblCalculs[Mois],AH$33))))</f>
        <v>12</v>
      </c>
      <c r="AI37" s="58" t="n">
        <f aca="false">IF(OR($A37="",AI$33=""),"",IF(ca_mesure="CPU",SUMIFS(TblCalculs[CPU provisionné],TblCalculs[Cluster],$B37,TblCalculs[Mois],AI$33),IF(ca_mesure="RAM",SUMIFS(TblCalculs[RAM provisionnée],TblCalculs[Cluster],$B37,TblCalculs[Mois],AI$33),SUMIFS(TblCalculs[Workers],TblCalculs[Cluster],$B37,TblCalculs[Mois],AI$33))))</f>
        <v>12</v>
      </c>
      <c r="AJ37" s="58" t="n">
        <f aca="false">IF(OR($A37="",AJ$33=""),"",IF(ca_mesure="CPU",SUMIFS(TblCalculs[CPU provisionné],TblCalculs[Cluster],$B37,TblCalculs[Mois],AJ$33),IF(ca_mesure="RAM",SUMIFS(TblCalculs[RAM provisionnée],TblCalculs[Cluster],$B37,TblCalculs[Mois],AJ$33),SUMIFS(TblCalculs[Workers],TblCalculs[Cluster],$B37,TblCalculs[Mois],AJ$33))))</f>
        <v>12</v>
      </c>
      <c r="AK37" s="58" t="n">
        <f aca="false">IF(OR($A37="",AK$33=""),"",IF(ca_mesure="CPU",SUMIFS(TblCalculs[CPU provisionné],TblCalculs[Cluster],$B37,TblCalculs[Mois],AK$33),IF(ca_mesure="RAM",SUMIFS(TblCalculs[RAM provisionnée],TblCalculs[Cluster],$B37,TblCalculs[Mois],AK$33),SUMIFS(TblCalculs[Workers],TblCalculs[Cluster],$B37,TblCalculs[Mois],AK$33))))</f>
        <v>12</v>
      </c>
      <c r="AL37" s="58" t="n">
        <f aca="false">IF(OR($A37="",AL$33=""),"",IF(ca_mesure="CPU",SUMIFS(TblCalculs[CPU provisionné],TblCalculs[Cluster],$B37,TblCalculs[Mois],AL$33),IF(ca_mesure="RAM",SUMIFS(TblCalculs[RAM provisionnée],TblCalculs[Cluster],$B37,TblCalculs[Mois],AL$33),SUMIFS(TblCalculs[Workers],TblCalculs[Cluster],$B37,TblCalculs[Mois],AL$33))))</f>
        <v>12</v>
      </c>
      <c r="AM37" s="58" t="n">
        <f aca="false">IF(OR($A37="",AM$33=""),"",IF(ca_mesure="CPU",SUMIFS(TblCalculs[CPU provisionné],TblCalculs[Cluster],$B37,TblCalculs[Mois],AM$33),IF(ca_mesure="RAM",SUMIFS(TblCalculs[RAM provisionnée],TblCalculs[Cluster],$B37,TblCalculs[Mois],AM$33),SUMIFS(TblCalculs[Workers],TblCalculs[Cluster],$B37,TblCalculs[Mois],AM$33))))</f>
        <v>12</v>
      </c>
      <c r="AN37" s="58" t="n">
        <f aca="false">IF(OR($A37="",AN$33=""),"",IF(ca_mesure="CPU",SUMIFS(TblCalculs[CPU provisionné],TblCalculs[Cluster],$B37,TblCalculs[Mois],AN$33),IF(ca_mesure="RAM",SUMIFS(TblCalculs[RAM provisionnée],TblCalculs[Cluster],$B37,TblCalculs[Mois],AN$33),SUMIFS(TblCalculs[Workers],TblCalculs[Cluster],$B37,TblCalculs[Mois],AN$33))))</f>
        <v>12</v>
      </c>
      <c r="AO37" s="58" t="n">
        <f aca="false">IF(OR($A37="",AO$33=""),"",IF(ca_mesure="CPU",SUMIFS(TblCalculs[CPU provisionné],TblCalculs[Cluster],$B37,TblCalculs[Mois],AO$33),IF(ca_mesure="RAM",SUMIFS(TblCalculs[RAM provisionnée],TblCalculs[Cluster],$B37,TblCalculs[Mois],AO$33),SUMIFS(TblCalculs[Workers],TblCalculs[Cluster],$B37,TblCalculs[Mois],AO$33))))</f>
        <v>12</v>
      </c>
    </row>
    <row r="38" customFormat="false" ht="15" hidden="false" customHeight="false" outlineLevel="0" collapsed="false">
      <c r="A38" s="49" t="str">
        <f aca="false">IFERROR(MATCH(5,TblClusters[Rang capacités],0),"")</f>
        <v/>
      </c>
      <c r="B38" s="57" t="str">
        <f aca="false">IF($A38="","",INDEX(TblClusters[Cluster],$A38))</f>
        <v/>
      </c>
      <c r="C38" s="50" t="str">
        <f aca="false">IF($A38="","",INDEX(TblClusters[Plateforme],$A38))</f>
        <v/>
      </c>
      <c r="D38" s="50" t="str">
        <f aca="false">IF($A38="","",INDEX(TblClusters[Environnement],$A38))</f>
        <v/>
      </c>
      <c r="E38" s="50" t="str">
        <f aca="false">IF($A38="","",INDEX(TblClusters[Flavor],$A38))</f>
        <v/>
      </c>
      <c r="F38" s="58" t="str">
        <f aca="false">IF(OR($A38="",F$33=""),"",IF(ca_mesure="CPU",SUMIFS(TblCalculs[CPU provisionné],TblCalculs[Cluster],$B38,TblCalculs[Mois],F$33),IF(ca_mesure="RAM",SUMIFS(TblCalculs[RAM provisionnée],TblCalculs[Cluster],$B38,TblCalculs[Mois],F$33),SUMIFS(TblCalculs[Workers],TblCalculs[Cluster],$B38,TblCalculs[Mois],F$33))))</f>
        <v/>
      </c>
      <c r="G38" s="58" t="str">
        <f aca="false">IF(OR($A38="",G$33=""),"",IF(ca_mesure="CPU",SUMIFS(TblCalculs[CPU provisionné],TblCalculs[Cluster],$B38,TblCalculs[Mois],G$33),IF(ca_mesure="RAM",SUMIFS(TblCalculs[RAM provisionnée],TblCalculs[Cluster],$B38,TblCalculs[Mois],G$33),SUMIFS(TblCalculs[Workers],TblCalculs[Cluster],$B38,TblCalculs[Mois],G$33))))</f>
        <v/>
      </c>
      <c r="H38" s="58" t="str">
        <f aca="false">IF(OR($A38="",H$33=""),"",IF(ca_mesure="CPU",SUMIFS(TblCalculs[CPU provisionné],TblCalculs[Cluster],$B38,TblCalculs[Mois],H$33),IF(ca_mesure="RAM",SUMIFS(TblCalculs[RAM provisionnée],TblCalculs[Cluster],$B38,TblCalculs[Mois],H$33),SUMIFS(TblCalculs[Workers],TblCalculs[Cluster],$B38,TblCalculs[Mois],H$33))))</f>
        <v/>
      </c>
      <c r="I38" s="58" t="str">
        <f aca="false">IF(OR($A38="",I$33=""),"",IF(ca_mesure="CPU",SUMIFS(TblCalculs[CPU provisionné],TblCalculs[Cluster],$B38,TblCalculs[Mois],I$33),IF(ca_mesure="RAM",SUMIFS(TblCalculs[RAM provisionnée],TblCalculs[Cluster],$B38,TblCalculs[Mois],I$33),SUMIFS(TblCalculs[Workers],TblCalculs[Cluster],$B38,TblCalculs[Mois],I$33))))</f>
        <v/>
      </c>
      <c r="J38" s="58" t="str">
        <f aca="false">IF(OR($A38="",J$33=""),"",IF(ca_mesure="CPU",SUMIFS(TblCalculs[CPU provisionné],TblCalculs[Cluster],$B38,TblCalculs[Mois],J$33),IF(ca_mesure="RAM",SUMIFS(TblCalculs[RAM provisionnée],TblCalculs[Cluster],$B38,TblCalculs[Mois],J$33),SUMIFS(TblCalculs[Workers],TblCalculs[Cluster],$B38,TblCalculs[Mois],J$33))))</f>
        <v/>
      </c>
      <c r="K38" s="58" t="str">
        <f aca="false">IF(OR($A38="",K$33=""),"",IF(ca_mesure="CPU",SUMIFS(TblCalculs[CPU provisionné],TblCalculs[Cluster],$B38,TblCalculs[Mois],K$33),IF(ca_mesure="RAM",SUMIFS(TblCalculs[RAM provisionnée],TblCalculs[Cluster],$B38,TblCalculs[Mois],K$33),SUMIFS(TblCalculs[Workers],TblCalculs[Cluster],$B38,TblCalculs[Mois],K$33))))</f>
        <v/>
      </c>
      <c r="L38" s="58" t="str">
        <f aca="false">IF(OR($A38="",L$33=""),"",IF(ca_mesure="CPU",SUMIFS(TblCalculs[CPU provisionné],TblCalculs[Cluster],$B38,TblCalculs[Mois],L$33),IF(ca_mesure="RAM",SUMIFS(TblCalculs[RAM provisionnée],TblCalculs[Cluster],$B38,TblCalculs[Mois],L$33),SUMIFS(TblCalculs[Workers],TblCalculs[Cluster],$B38,TblCalculs[Mois],L$33))))</f>
        <v/>
      </c>
      <c r="M38" s="58" t="str">
        <f aca="false">IF(OR($A38="",M$33=""),"",IF(ca_mesure="CPU",SUMIFS(TblCalculs[CPU provisionné],TblCalculs[Cluster],$B38,TblCalculs[Mois],M$33),IF(ca_mesure="RAM",SUMIFS(TblCalculs[RAM provisionnée],TblCalculs[Cluster],$B38,TblCalculs[Mois],M$33),SUMIFS(TblCalculs[Workers],TblCalculs[Cluster],$B38,TblCalculs[Mois],M$33))))</f>
        <v/>
      </c>
      <c r="N38" s="58" t="str">
        <f aca="false">IF(OR($A38="",N$33=""),"",IF(ca_mesure="CPU",SUMIFS(TblCalculs[CPU provisionné],TblCalculs[Cluster],$B38,TblCalculs[Mois],N$33),IF(ca_mesure="RAM",SUMIFS(TblCalculs[RAM provisionnée],TblCalculs[Cluster],$B38,TblCalculs[Mois],N$33),SUMIFS(TblCalculs[Workers],TblCalculs[Cluster],$B38,TblCalculs[Mois],N$33))))</f>
        <v/>
      </c>
      <c r="O38" s="58" t="str">
        <f aca="false">IF(OR($A38="",O$33=""),"",IF(ca_mesure="CPU",SUMIFS(TblCalculs[CPU provisionné],TblCalculs[Cluster],$B38,TblCalculs[Mois],O$33),IF(ca_mesure="RAM",SUMIFS(TblCalculs[RAM provisionnée],TblCalculs[Cluster],$B38,TblCalculs[Mois],O$33),SUMIFS(TblCalculs[Workers],TblCalculs[Cluster],$B38,TblCalculs[Mois],O$33))))</f>
        <v/>
      </c>
      <c r="P38" s="58" t="str">
        <f aca="false">IF(OR($A38="",P$33=""),"",IF(ca_mesure="CPU",SUMIFS(TblCalculs[CPU provisionné],TblCalculs[Cluster],$B38,TblCalculs[Mois],P$33),IF(ca_mesure="RAM",SUMIFS(TblCalculs[RAM provisionnée],TblCalculs[Cluster],$B38,TblCalculs[Mois],P$33),SUMIFS(TblCalculs[Workers],TblCalculs[Cluster],$B38,TblCalculs[Mois],P$33))))</f>
        <v/>
      </c>
      <c r="Q38" s="58" t="str">
        <f aca="false">IF(OR($A38="",Q$33=""),"",IF(ca_mesure="CPU",SUMIFS(TblCalculs[CPU provisionné],TblCalculs[Cluster],$B38,TblCalculs[Mois],Q$33),IF(ca_mesure="RAM",SUMIFS(TblCalculs[RAM provisionnée],TblCalculs[Cluster],$B38,TblCalculs[Mois],Q$33),SUMIFS(TblCalculs[Workers],TblCalculs[Cluster],$B38,TblCalculs[Mois],Q$33))))</f>
        <v/>
      </c>
      <c r="R38" s="58" t="str">
        <f aca="false">IF(OR($A38="",R$33=""),"",IF(ca_mesure="CPU",SUMIFS(TblCalculs[CPU provisionné],TblCalculs[Cluster],$B38,TblCalculs[Mois],R$33),IF(ca_mesure="RAM",SUMIFS(TblCalculs[RAM provisionnée],TblCalculs[Cluster],$B38,TblCalculs[Mois],R$33),SUMIFS(TblCalculs[Workers],TblCalculs[Cluster],$B38,TblCalculs[Mois],R$33))))</f>
        <v/>
      </c>
      <c r="S38" s="58" t="str">
        <f aca="false">IF(OR($A38="",S$33=""),"",IF(ca_mesure="CPU",SUMIFS(TblCalculs[CPU provisionné],TblCalculs[Cluster],$B38,TblCalculs[Mois],S$33),IF(ca_mesure="RAM",SUMIFS(TblCalculs[RAM provisionnée],TblCalculs[Cluster],$B38,TblCalculs[Mois],S$33),SUMIFS(TblCalculs[Workers],TblCalculs[Cluster],$B38,TblCalculs[Mois],S$33))))</f>
        <v/>
      </c>
      <c r="T38" s="58" t="str">
        <f aca="false">IF(OR($A38="",T$33=""),"",IF(ca_mesure="CPU",SUMIFS(TblCalculs[CPU provisionné],TblCalculs[Cluster],$B38,TblCalculs[Mois],T$33),IF(ca_mesure="RAM",SUMIFS(TblCalculs[RAM provisionnée],TblCalculs[Cluster],$B38,TblCalculs[Mois],T$33),SUMIFS(TblCalculs[Workers],TblCalculs[Cluster],$B38,TblCalculs[Mois],T$33))))</f>
        <v/>
      </c>
      <c r="U38" s="58" t="str">
        <f aca="false">IF(OR($A38="",U$33=""),"",IF(ca_mesure="CPU",SUMIFS(TblCalculs[CPU provisionné],TblCalculs[Cluster],$B38,TblCalculs[Mois],U$33),IF(ca_mesure="RAM",SUMIFS(TblCalculs[RAM provisionnée],TblCalculs[Cluster],$B38,TblCalculs[Mois],U$33),SUMIFS(TblCalculs[Workers],TblCalculs[Cluster],$B38,TblCalculs[Mois],U$33))))</f>
        <v/>
      </c>
      <c r="V38" s="58" t="str">
        <f aca="false">IF(OR($A38="",V$33=""),"",IF(ca_mesure="CPU",SUMIFS(TblCalculs[CPU provisionné],TblCalculs[Cluster],$B38,TblCalculs[Mois],V$33),IF(ca_mesure="RAM",SUMIFS(TblCalculs[RAM provisionnée],TblCalculs[Cluster],$B38,TblCalculs[Mois],V$33),SUMIFS(TblCalculs[Workers],TblCalculs[Cluster],$B38,TblCalculs[Mois],V$33))))</f>
        <v/>
      </c>
      <c r="W38" s="58" t="str">
        <f aca="false">IF(OR($A38="",W$33=""),"",IF(ca_mesure="CPU",SUMIFS(TblCalculs[CPU provisionné],TblCalculs[Cluster],$B38,TblCalculs[Mois],W$33),IF(ca_mesure="RAM",SUMIFS(TblCalculs[RAM provisionnée],TblCalculs[Cluster],$B38,TblCalculs[Mois],W$33),SUMIFS(TblCalculs[Workers],TblCalculs[Cluster],$B38,TblCalculs[Mois],W$33))))</f>
        <v/>
      </c>
      <c r="X38" s="58" t="str">
        <f aca="false">IF(OR($A38="",X$33=""),"",IF(ca_mesure="CPU",SUMIFS(TblCalculs[CPU provisionné],TblCalculs[Cluster],$B38,TblCalculs[Mois],X$33),IF(ca_mesure="RAM",SUMIFS(TblCalculs[RAM provisionnée],TblCalculs[Cluster],$B38,TblCalculs[Mois],X$33),SUMIFS(TblCalculs[Workers],TblCalculs[Cluster],$B38,TblCalculs[Mois],X$33))))</f>
        <v/>
      </c>
      <c r="Y38" s="58" t="str">
        <f aca="false">IF(OR($A38="",Y$33=""),"",IF(ca_mesure="CPU",SUMIFS(TblCalculs[CPU provisionné],TblCalculs[Cluster],$B38,TblCalculs[Mois],Y$33),IF(ca_mesure="RAM",SUMIFS(TblCalculs[RAM provisionnée],TblCalculs[Cluster],$B38,TblCalculs[Mois],Y$33),SUMIFS(TblCalculs[Workers],TblCalculs[Cluster],$B38,TblCalculs[Mois],Y$33))))</f>
        <v/>
      </c>
      <c r="Z38" s="58" t="str">
        <f aca="false">IF(OR($A38="",Z$33=""),"",IF(ca_mesure="CPU",SUMIFS(TblCalculs[CPU provisionné],TblCalculs[Cluster],$B38,TblCalculs[Mois],Z$33),IF(ca_mesure="RAM",SUMIFS(TblCalculs[RAM provisionnée],TblCalculs[Cluster],$B38,TblCalculs[Mois],Z$33),SUMIFS(TblCalculs[Workers],TblCalculs[Cluster],$B38,TblCalculs[Mois],Z$33))))</f>
        <v/>
      </c>
      <c r="AA38" s="58" t="str">
        <f aca="false">IF(OR($A38="",AA$33=""),"",IF(ca_mesure="CPU",SUMIFS(TblCalculs[CPU provisionné],TblCalculs[Cluster],$B38,TblCalculs[Mois],AA$33),IF(ca_mesure="RAM",SUMIFS(TblCalculs[RAM provisionnée],TblCalculs[Cluster],$B38,TblCalculs[Mois],AA$33),SUMIFS(TblCalculs[Workers],TblCalculs[Cluster],$B38,TblCalculs[Mois],AA$33))))</f>
        <v/>
      </c>
      <c r="AB38" s="58" t="str">
        <f aca="false">IF(OR($A38="",AB$33=""),"",IF(ca_mesure="CPU",SUMIFS(TblCalculs[CPU provisionné],TblCalculs[Cluster],$B38,TblCalculs[Mois],AB$33),IF(ca_mesure="RAM",SUMIFS(TblCalculs[RAM provisionnée],TblCalculs[Cluster],$B38,TblCalculs[Mois],AB$33),SUMIFS(TblCalculs[Workers],TblCalculs[Cluster],$B38,TblCalculs[Mois],AB$33))))</f>
        <v/>
      </c>
      <c r="AC38" s="58" t="str">
        <f aca="false">IF(OR($A38="",AC$33=""),"",IF(ca_mesure="CPU",SUMIFS(TblCalculs[CPU provisionné],TblCalculs[Cluster],$B38,TblCalculs[Mois],AC$33),IF(ca_mesure="RAM",SUMIFS(TblCalculs[RAM provisionnée],TblCalculs[Cluster],$B38,TblCalculs[Mois],AC$33),SUMIFS(TblCalculs[Workers],TblCalculs[Cluster],$B38,TblCalculs[Mois],AC$33))))</f>
        <v/>
      </c>
      <c r="AD38" s="58" t="str">
        <f aca="false">IF(OR($A38="",AD$33=""),"",IF(ca_mesure="CPU",SUMIFS(TblCalculs[CPU provisionné],TblCalculs[Cluster],$B38,TblCalculs[Mois],AD$33),IF(ca_mesure="RAM",SUMIFS(TblCalculs[RAM provisionnée],TblCalculs[Cluster],$B38,TblCalculs[Mois],AD$33),SUMIFS(TblCalculs[Workers],TblCalculs[Cluster],$B38,TblCalculs[Mois],AD$33))))</f>
        <v/>
      </c>
      <c r="AE38" s="58" t="str">
        <f aca="false">IF(OR($A38="",AE$33=""),"",IF(ca_mesure="CPU",SUMIFS(TblCalculs[CPU provisionné],TblCalculs[Cluster],$B38,TblCalculs[Mois],AE$33),IF(ca_mesure="RAM",SUMIFS(TblCalculs[RAM provisionnée],TblCalculs[Cluster],$B38,TblCalculs[Mois],AE$33),SUMIFS(TblCalculs[Workers],TblCalculs[Cluster],$B38,TblCalculs[Mois],AE$33))))</f>
        <v/>
      </c>
      <c r="AF38" s="58" t="str">
        <f aca="false">IF(OR($A38="",AF$33=""),"",IF(ca_mesure="CPU",SUMIFS(TblCalculs[CPU provisionné],TblCalculs[Cluster],$B38,TblCalculs[Mois],AF$33),IF(ca_mesure="RAM",SUMIFS(TblCalculs[RAM provisionnée],TblCalculs[Cluster],$B38,TblCalculs[Mois],AF$33),SUMIFS(TblCalculs[Workers],TblCalculs[Cluster],$B38,TblCalculs[Mois],AF$33))))</f>
        <v/>
      </c>
      <c r="AG38" s="58" t="str">
        <f aca="false">IF(OR($A38="",AG$33=""),"",IF(ca_mesure="CPU",SUMIFS(TblCalculs[CPU provisionné],TblCalculs[Cluster],$B38,TblCalculs[Mois],AG$33),IF(ca_mesure="RAM",SUMIFS(TblCalculs[RAM provisionnée],TblCalculs[Cluster],$B38,TblCalculs[Mois],AG$33),SUMIFS(TblCalculs[Workers],TblCalculs[Cluster],$B38,TblCalculs[Mois],AG$33))))</f>
        <v/>
      </c>
      <c r="AH38" s="58" t="str">
        <f aca="false">IF(OR($A38="",AH$33=""),"",IF(ca_mesure="CPU",SUMIFS(TblCalculs[CPU provisionné],TblCalculs[Cluster],$B38,TblCalculs[Mois],AH$33),IF(ca_mesure="RAM",SUMIFS(TblCalculs[RAM provisionnée],TblCalculs[Cluster],$B38,TblCalculs[Mois],AH$33),SUMIFS(TblCalculs[Workers],TblCalculs[Cluster],$B38,TblCalculs[Mois],AH$33))))</f>
        <v/>
      </c>
      <c r="AI38" s="58" t="str">
        <f aca="false">IF(OR($A38="",AI$33=""),"",IF(ca_mesure="CPU",SUMIFS(TblCalculs[CPU provisionné],TblCalculs[Cluster],$B38,TblCalculs[Mois],AI$33),IF(ca_mesure="RAM",SUMIFS(TblCalculs[RAM provisionnée],TblCalculs[Cluster],$B38,TblCalculs[Mois],AI$33),SUMIFS(TblCalculs[Workers],TblCalculs[Cluster],$B38,TblCalculs[Mois],AI$33))))</f>
        <v/>
      </c>
      <c r="AJ38" s="58" t="str">
        <f aca="false">IF(OR($A38="",AJ$33=""),"",IF(ca_mesure="CPU",SUMIFS(TblCalculs[CPU provisionné],TblCalculs[Cluster],$B38,TblCalculs[Mois],AJ$33),IF(ca_mesure="RAM",SUMIFS(TblCalculs[RAM provisionnée],TblCalculs[Cluster],$B38,TblCalculs[Mois],AJ$33),SUMIFS(TblCalculs[Workers],TblCalculs[Cluster],$B38,TblCalculs[Mois],AJ$33))))</f>
        <v/>
      </c>
      <c r="AK38" s="58" t="str">
        <f aca="false">IF(OR($A38="",AK$33=""),"",IF(ca_mesure="CPU",SUMIFS(TblCalculs[CPU provisionné],TblCalculs[Cluster],$B38,TblCalculs[Mois],AK$33),IF(ca_mesure="RAM",SUMIFS(TblCalculs[RAM provisionnée],TblCalculs[Cluster],$B38,TblCalculs[Mois],AK$33),SUMIFS(TblCalculs[Workers],TblCalculs[Cluster],$B38,TblCalculs[Mois],AK$33))))</f>
        <v/>
      </c>
      <c r="AL38" s="58" t="str">
        <f aca="false">IF(OR($A38="",AL$33=""),"",IF(ca_mesure="CPU",SUMIFS(TblCalculs[CPU provisionné],TblCalculs[Cluster],$B38,TblCalculs[Mois],AL$33),IF(ca_mesure="RAM",SUMIFS(TblCalculs[RAM provisionnée],TblCalculs[Cluster],$B38,TblCalculs[Mois],AL$33),SUMIFS(TblCalculs[Workers],TblCalculs[Cluster],$B38,TblCalculs[Mois],AL$33))))</f>
        <v/>
      </c>
      <c r="AM38" s="58" t="str">
        <f aca="false">IF(OR($A38="",AM$33=""),"",IF(ca_mesure="CPU",SUMIFS(TblCalculs[CPU provisionné],TblCalculs[Cluster],$B38,TblCalculs[Mois],AM$33),IF(ca_mesure="RAM",SUMIFS(TblCalculs[RAM provisionnée],TblCalculs[Cluster],$B38,TblCalculs[Mois],AM$33),SUMIFS(TblCalculs[Workers],TblCalculs[Cluster],$B38,TblCalculs[Mois],AM$33))))</f>
        <v/>
      </c>
      <c r="AN38" s="58" t="str">
        <f aca="false">IF(OR($A38="",AN$33=""),"",IF(ca_mesure="CPU",SUMIFS(TblCalculs[CPU provisionné],TblCalculs[Cluster],$B38,TblCalculs[Mois],AN$33),IF(ca_mesure="RAM",SUMIFS(TblCalculs[RAM provisionnée],TblCalculs[Cluster],$B38,TblCalculs[Mois],AN$33),SUMIFS(TblCalculs[Workers],TblCalculs[Cluster],$B38,TblCalculs[Mois],AN$33))))</f>
        <v/>
      </c>
      <c r="AO38" s="58" t="str">
        <f aca="false">IF(OR($A38="",AO$33=""),"",IF(ca_mesure="CPU",SUMIFS(TblCalculs[CPU provisionné],TblCalculs[Cluster],$B38,TblCalculs[Mois],AO$33),IF(ca_mesure="RAM",SUMIFS(TblCalculs[RAM provisionnée],TblCalculs[Cluster],$B38,TblCalculs[Mois],AO$33),SUMIFS(TblCalculs[Workers],TblCalculs[Cluster],$B38,TblCalculs[Mois],AO$33))))</f>
        <v/>
      </c>
    </row>
    <row r="39" customFormat="false" ht="15" hidden="false" customHeight="false" outlineLevel="0" collapsed="false">
      <c r="A39" s="49" t="str">
        <f aca="false">IFERROR(MATCH(6,TblClusters[Rang capacités],0),"")</f>
        <v/>
      </c>
      <c r="B39" s="57" t="str">
        <f aca="false">IF($A39="","",INDEX(TblClusters[Cluster],$A39))</f>
        <v/>
      </c>
      <c r="C39" s="50" t="str">
        <f aca="false">IF($A39="","",INDEX(TblClusters[Plateforme],$A39))</f>
        <v/>
      </c>
      <c r="D39" s="50" t="str">
        <f aca="false">IF($A39="","",INDEX(TblClusters[Environnement],$A39))</f>
        <v/>
      </c>
      <c r="E39" s="50" t="str">
        <f aca="false">IF($A39="","",INDEX(TblClusters[Flavor],$A39))</f>
        <v/>
      </c>
      <c r="F39" s="58" t="str">
        <f aca="false">IF(OR($A39="",F$33=""),"",IF(ca_mesure="CPU",SUMIFS(TblCalculs[CPU provisionné],TblCalculs[Cluster],$B39,TblCalculs[Mois],F$33),IF(ca_mesure="RAM",SUMIFS(TblCalculs[RAM provisionnée],TblCalculs[Cluster],$B39,TblCalculs[Mois],F$33),SUMIFS(TblCalculs[Workers],TblCalculs[Cluster],$B39,TblCalculs[Mois],F$33))))</f>
        <v/>
      </c>
      <c r="G39" s="58" t="str">
        <f aca="false">IF(OR($A39="",G$33=""),"",IF(ca_mesure="CPU",SUMIFS(TblCalculs[CPU provisionné],TblCalculs[Cluster],$B39,TblCalculs[Mois],G$33),IF(ca_mesure="RAM",SUMIFS(TblCalculs[RAM provisionnée],TblCalculs[Cluster],$B39,TblCalculs[Mois],G$33),SUMIFS(TblCalculs[Workers],TblCalculs[Cluster],$B39,TblCalculs[Mois],G$33))))</f>
        <v/>
      </c>
      <c r="H39" s="58" t="str">
        <f aca="false">IF(OR($A39="",H$33=""),"",IF(ca_mesure="CPU",SUMIFS(TblCalculs[CPU provisionné],TblCalculs[Cluster],$B39,TblCalculs[Mois],H$33),IF(ca_mesure="RAM",SUMIFS(TblCalculs[RAM provisionnée],TblCalculs[Cluster],$B39,TblCalculs[Mois],H$33),SUMIFS(TblCalculs[Workers],TblCalculs[Cluster],$B39,TblCalculs[Mois],H$33))))</f>
        <v/>
      </c>
      <c r="I39" s="58" t="str">
        <f aca="false">IF(OR($A39="",I$33=""),"",IF(ca_mesure="CPU",SUMIFS(TblCalculs[CPU provisionné],TblCalculs[Cluster],$B39,TblCalculs[Mois],I$33),IF(ca_mesure="RAM",SUMIFS(TblCalculs[RAM provisionnée],TblCalculs[Cluster],$B39,TblCalculs[Mois],I$33),SUMIFS(TblCalculs[Workers],TblCalculs[Cluster],$B39,TblCalculs[Mois],I$33))))</f>
        <v/>
      </c>
      <c r="J39" s="58" t="str">
        <f aca="false">IF(OR($A39="",J$33=""),"",IF(ca_mesure="CPU",SUMIFS(TblCalculs[CPU provisionné],TblCalculs[Cluster],$B39,TblCalculs[Mois],J$33),IF(ca_mesure="RAM",SUMIFS(TblCalculs[RAM provisionnée],TblCalculs[Cluster],$B39,TblCalculs[Mois],J$33),SUMIFS(TblCalculs[Workers],TblCalculs[Cluster],$B39,TblCalculs[Mois],J$33))))</f>
        <v/>
      </c>
      <c r="K39" s="58" t="str">
        <f aca="false">IF(OR($A39="",K$33=""),"",IF(ca_mesure="CPU",SUMIFS(TblCalculs[CPU provisionné],TblCalculs[Cluster],$B39,TblCalculs[Mois],K$33),IF(ca_mesure="RAM",SUMIFS(TblCalculs[RAM provisionnée],TblCalculs[Cluster],$B39,TblCalculs[Mois],K$33),SUMIFS(TblCalculs[Workers],TblCalculs[Cluster],$B39,TblCalculs[Mois],K$33))))</f>
        <v/>
      </c>
      <c r="L39" s="58" t="str">
        <f aca="false">IF(OR($A39="",L$33=""),"",IF(ca_mesure="CPU",SUMIFS(TblCalculs[CPU provisionné],TblCalculs[Cluster],$B39,TblCalculs[Mois],L$33),IF(ca_mesure="RAM",SUMIFS(TblCalculs[RAM provisionnée],TblCalculs[Cluster],$B39,TblCalculs[Mois],L$33),SUMIFS(TblCalculs[Workers],TblCalculs[Cluster],$B39,TblCalculs[Mois],L$33))))</f>
        <v/>
      </c>
      <c r="M39" s="58" t="str">
        <f aca="false">IF(OR($A39="",M$33=""),"",IF(ca_mesure="CPU",SUMIFS(TblCalculs[CPU provisionné],TblCalculs[Cluster],$B39,TblCalculs[Mois],M$33),IF(ca_mesure="RAM",SUMIFS(TblCalculs[RAM provisionnée],TblCalculs[Cluster],$B39,TblCalculs[Mois],M$33),SUMIFS(TblCalculs[Workers],TblCalculs[Cluster],$B39,TblCalculs[Mois],M$33))))</f>
        <v/>
      </c>
      <c r="N39" s="58" t="str">
        <f aca="false">IF(OR($A39="",N$33=""),"",IF(ca_mesure="CPU",SUMIFS(TblCalculs[CPU provisionné],TblCalculs[Cluster],$B39,TblCalculs[Mois],N$33),IF(ca_mesure="RAM",SUMIFS(TblCalculs[RAM provisionnée],TblCalculs[Cluster],$B39,TblCalculs[Mois],N$33),SUMIFS(TblCalculs[Workers],TblCalculs[Cluster],$B39,TblCalculs[Mois],N$33))))</f>
        <v/>
      </c>
      <c r="O39" s="58" t="str">
        <f aca="false">IF(OR($A39="",O$33=""),"",IF(ca_mesure="CPU",SUMIFS(TblCalculs[CPU provisionné],TblCalculs[Cluster],$B39,TblCalculs[Mois],O$33),IF(ca_mesure="RAM",SUMIFS(TblCalculs[RAM provisionnée],TblCalculs[Cluster],$B39,TblCalculs[Mois],O$33),SUMIFS(TblCalculs[Workers],TblCalculs[Cluster],$B39,TblCalculs[Mois],O$33))))</f>
        <v/>
      </c>
      <c r="P39" s="58" t="str">
        <f aca="false">IF(OR($A39="",P$33=""),"",IF(ca_mesure="CPU",SUMIFS(TblCalculs[CPU provisionné],TblCalculs[Cluster],$B39,TblCalculs[Mois],P$33),IF(ca_mesure="RAM",SUMIFS(TblCalculs[RAM provisionnée],TblCalculs[Cluster],$B39,TblCalculs[Mois],P$33),SUMIFS(TblCalculs[Workers],TblCalculs[Cluster],$B39,TblCalculs[Mois],P$33))))</f>
        <v/>
      </c>
      <c r="Q39" s="58" t="str">
        <f aca="false">IF(OR($A39="",Q$33=""),"",IF(ca_mesure="CPU",SUMIFS(TblCalculs[CPU provisionné],TblCalculs[Cluster],$B39,TblCalculs[Mois],Q$33),IF(ca_mesure="RAM",SUMIFS(TblCalculs[RAM provisionnée],TblCalculs[Cluster],$B39,TblCalculs[Mois],Q$33),SUMIFS(TblCalculs[Workers],TblCalculs[Cluster],$B39,TblCalculs[Mois],Q$33))))</f>
        <v/>
      </c>
      <c r="R39" s="58" t="str">
        <f aca="false">IF(OR($A39="",R$33=""),"",IF(ca_mesure="CPU",SUMIFS(TblCalculs[CPU provisionné],TblCalculs[Cluster],$B39,TblCalculs[Mois],R$33),IF(ca_mesure="RAM",SUMIFS(TblCalculs[RAM provisionnée],TblCalculs[Cluster],$B39,TblCalculs[Mois],R$33),SUMIFS(TblCalculs[Workers],TblCalculs[Cluster],$B39,TblCalculs[Mois],R$33))))</f>
        <v/>
      </c>
      <c r="S39" s="58" t="str">
        <f aca="false">IF(OR($A39="",S$33=""),"",IF(ca_mesure="CPU",SUMIFS(TblCalculs[CPU provisionné],TblCalculs[Cluster],$B39,TblCalculs[Mois],S$33),IF(ca_mesure="RAM",SUMIFS(TblCalculs[RAM provisionnée],TblCalculs[Cluster],$B39,TblCalculs[Mois],S$33),SUMIFS(TblCalculs[Workers],TblCalculs[Cluster],$B39,TblCalculs[Mois],S$33))))</f>
        <v/>
      </c>
      <c r="T39" s="58" t="str">
        <f aca="false">IF(OR($A39="",T$33=""),"",IF(ca_mesure="CPU",SUMIFS(TblCalculs[CPU provisionné],TblCalculs[Cluster],$B39,TblCalculs[Mois],T$33),IF(ca_mesure="RAM",SUMIFS(TblCalculs[RAM provisionnée],TblCalculs[Cluster],$B39,TblCalculs[Mois],T$33),SUMIFS(TblCalculs[Workers],TblCalculs[Cluster],$B39,TblCalculs[Mois],T$33))))</f>
        <v/>
      </c>
      <c r="U39" s="58" t="str">
        <f aca="false">IF(OR($A39="",U$33=""),"",IF(ca_mesure="CPU",SUMIFS(TblCalculs[CPU provisionné],TblCalculs[Cluster],$B39,TblCalculs[Mois],U$33),IF(ca_mesure="RAM",SUMIFS(TblCalculs[RAM provisionnée],TblCalculs[Cluster],$B39,TblCalculs[Mois],U$33),SUMIFS(TblCalculs[Workers],TblCalculs[Cluster],$B39,TblCalculs[Mois],U$33))))</f>
        <v/>
      </c>
      <c r="V39" s="58" t="str">
        <f aca="false">IF(OR($A39="",V$33=""),"",IF(ca_mesure="CPU",SUMIFS(TblCalculs[CPU provisionné],TblCalculs[Cluster],$B39,TblCalculs[Mois],V$33),IF(ca_mesure="RAM",SUMIFS(TblCalculs[RAM provisionnée],TblCalculs[Cluster],$B39,TblCalculs[Mois],V$33),SUMIFS(TblCalculs[Workers],TblCalculs[Cluster],$B39,TblCalculs[Mois],V$33))))</f>
        <v/>
      </c>
      <c r="W39" s="58" t="str">
        <f aca="false">IF(OR($A39="",W$33=""),"",IF(ca_mesure="CPU",SUMIFS(TblCalculs[CPU provisionné],TblCalculs[Cluster],$B39,TblCalculs[Mois],W$33),IF(ca_mesure="RAM",SUMIFS(TblCalculs[RAM provisionnée],TblCalculs[Cluster],$B39,TblCalculs[Mois],W$33),SUMIFS(TblCalculs[Workers],TblCalculs[Cluster],$B39,TblCalculs[Mois],W$33))))</f>
        <v/>
      </c>
      <c r="X39" s="58" t="str">
        <f aca="false">IF(OR($A39="",X$33=""),"",IF(ca_mesure="CPU",SUMIFS(TblCalculs[CPU provisionné],TblCalculs[Cluster],$B39,TblCalculs[Mois],X$33),IF(ca_mesure="RAM",SUMIFS(TblCalculs[RAM provisionnée],TblCalculs[Cluster],$B39,TblCalculs[Mois],X$33),SUMIFS(TblCalculs[Workers],TblCalculs[Cluster],$B39,TblCalculs[Mois],X$33))))</f>
        <v/>
      </c>
      <c r="Y39" s="58" t="str">
        <f aca="false">IF(OR($A39="",Y$33=""),"",IF(ca_mesure="CPU",SUMIFS(TblCalculs[CPU provisionné],TblCalculs[Cluster],$B39,TblCalculs[Mois],Y$33),IF(ca_mesure="RAM",SUMIFS(TblCalculs[RAM provisionnée],TblCalculs[Cluster],$B39,TblCalculs[Mois],Y$33),SUMIFS(TblCalculs[Workers],TblCalculs[Cluster],$B39,TblCalculs[Mois],Y$33))))</f>
        <v/>
      </c>
      <c r="Z39" s="58" t="str">
        <f aca="false">IF(OR($A39="",Z$33=""),"",IF(ca_mesure="CPU",SUMIFS(TblCalculs[CPU provisionné],TblCalculs[Cluster],$B39,TblCalculs[Mois],Z$33),IF(ca_mesure="RAM",SUMIFS(TblCalculs[RAM provisionnée],TblCalculs[Cluster],$B39,TblCalculs[Mois],Z$33),SUMIFS(TblCalculs[Workers],TblCalculs[Cluster],$B39,TblCalculs[Mois],Z$33))))</f>
        <v/>
      </c>
      <c r="AA39" s="58" t="str">
        <f aca="false">IF(OR($A39="",AA$33=""),"",IF(ca_mesure="CPU",SUMIFS(TblCalculs[CPU provisionné],TblCalculs[Cluster],$B39,TblCalculs[Mois],AA$33),IF(ca_mesure="RAM",SUMIFS(TblCalculs[RAM provisionnée],TblCalculs[Cluster],$B39,TblCalculs[Mois],AA$33),SUMIFS(TblCalculs[Workers],TblCalculs[Cluster],$B39,TblCalculs[Mois],AA$33))))</f>
        <v/>
      </c>
      <c r="AB39" s="58" t="str">
        <f aca="false">IF(OR($A39="",AB$33=""),"",IF(ca_mesure="CPU",SUMIFS(TblCalculs[CPU provisionné],TblCalculs[Cluster],$B39,TblCalculs[Mois],AB$33),IF(ca_mesure="RAM",SUMIFS(TblCalculs[RAM provisionnée],TblCalculs[Cluster],$B39,TblCalculs[Mois],AB$33),SUMIFS(TblCalculs[Workers],TblCalculs[Cluster],$B39,TblCalculs[Mois],AB$33))))</f>
        <v/>
      </c>
      <c r="AC39" s="58" t="str">
        <f aca="false">IF(OR($A39="",AC$33=""),"",IF(ca_mesure="CPU",SUMIFS(TblCalculs[CPU provisionné],TblCalculs[Cluster],$B39,TblCalculs[Mois],AC$33),IF(ca_mesure="RAM",SUMIFS(TblCalculs[RAM provisionnée],TblCalculs[Cluster],$B39,TblCalculs[Mois],AC$33),SUMIFS(TblCalculs[Workers],TblCalculs[Cluster],$B39,TblCalculs[Mois],AC$33))))</f>
        <v/>
      </c>
      <c r="AD39" s="58" t="str">
        <f aca="false">IF(OR($A39="",AD$33=""),"",IF(ca_mesure="CPU",SUMIFS(TblCalculs[CPU provisionné],TblCalculs[Cluster],$B39,TblCalculs[Mois],AD$33),IF(ca_mesure="RAM",SUMIFS(TblCalculs[RAM provisionnée],TblCalculs[Cluster],$B39,TblCalculs[Mois],AD$33),SUMIFS(TblCalculs[Workers],TblCalculs[Cluster],$B39,TblCalculs[Mois],AD$33))))</f>
        <v/>
      </c>
      <c r="AE39" s="58" t="str">
        <f aca="false">IF(OR($A39="",AE$33=""),"",IF(ca_mesure="CPU",SUMIFS(TblCalculs[CPU provisionné],TblCalculs[Cluster],$B39,TblCalculs[Mois],AE$33),IF(ca_mesure="RAM",SUMIFS(TblCalculs[RAM provisionnée],TblCalculs[Cluster],$B39,TblCalculs[Mois],AE$33),SUMIFS(TblCalculs[Workers],TblCalculs[Cluster],$B39,TblCalculs[Mois],AE$33))))</f>
        <v/>
      </c>
      <c r="AF39" s="58" t="str">
        <f aca="false">IF(OR($A39="",AF$33=""),"",IF(ca_mesure="CPU",SUMIFS(TblCalculs[CPU provisionné],TblCalculs[Cluster],$B39,TblCalculs[Mois],AF$33),IF(ca_mesure="RAM",SUMIFS(TblCalculs[RAM provisionnée],TblCalculs[Cluster],$B39,TblCalculs[Mois],AF$33),SUMIFS(TblCalculs[Workers],TblCalculs[Cluster],$B39,TblCalculs[Mois],AF$33))))</f>
        <v/>
      </c>
      <c r="AG39" s="58" t="str">
        <f aca="false">IF(OR($A39="",AG$33=""),"",IF(ca_mesure="CPU",SUMIFS(TblCalculs[CPU provisionné],TblCalculs[Cluster],$B39,TblCalculs[Mois],AG$33),IF(ca_mesure="RAM",SUMIFS(TblCalculs[RAM provisionnée],TblCalculs[Cluster],$B39,TblCalculs[Mois],AG$33),SUMIFS(TblCalculs[Workers],TblCalculs[Cluster],$B39,TblCalculs[Mois],AG$33))))</f>
        <v/>
      </c>
      <c r="AH39" s="58" t="str">
        <f aca="false">IF(OR($A39="",AH$33=""),"",IF(ca_mesure="CPU",SUMIFS(TblCalculs[CPU provisionné],TblCalculs[Cluster],$B39,TblCalculs[Mois],AH$33),IF(ca_mesure="RAM",SUMIFS(TblCalculs[RAM provisionnée],TblCalculs[Cluster],$B39,TblCalculs[Mois],AH$33),SUMIFS(TblCalculs[Workers],TblCalculs[Cluster],$B39,TblCalculs[Mois],AH$33))))</f>
        <v/>
      </c>
      <c r="AI39" s="58" t="str">
        <f aca="false">IF(OR($A39="",AI$33=""),"",IF(ca_mesure="CPU",SUMIFS(TblCalculs[CPU provisionné],TblCalculs[Cluster],$B39,TblCalculs[Mois],AI$33),IF(ca_mesure="RAM",SUMIFS(TblCalculs[RAM provisionnée],TblCalculs[Cluster],$B39,TblCalculs[Mois],AI$33),SUMIFS(TblCalculs[Workers],TblCalculs[Cluster],$B39,TblCalculs[Mois],AI$33))))</f>
        <v/>
      </c>
      <c r="AJ39" s="58" t="str">
        <f aca="false">IF(OR($A39="",AJ$33=""),"",IF(ca_mesure="CPU",SUMIFS(TblCalculs[CPU provisionné],TblCalculs[Cluster],$B39,TblCalculs[Mois],AJ$33),IF(ca_mesure="RAM",SUMIFS(TblCalculs[RAM provisionnée],TblCalculs[Cluster],$B39,TblCalculs[Mois],AJ$33),SUMIFS(TblCalculs[Workers],TblCalculs[Cluster],$B39,TblCalculs[Mois],AJ$33))))</f>
        <v/>
      </c>
      <c r="AK39" s="58" t="str">
        <f aca="false">IF(OR($A39="",AK$33=""),"",IF(ca_mesure="CPU",SUMIFS(TblCalculs[CPU provisionné],TblCalculs[Cluster],$B39,TblCalculs[Mois],AK$33),IF(ca_mesure="RAM",SUMIFS(TblCalculs[RAM provisionnée],TblCalculs[Cluster],$B39,TblCalculs[Mois],AK$33),SUMIFS(TblCalculs[Workers],TblCalculs[Cluster],$B39,TblCalculs[Mois],AK$33))))</f>
        <v/>
      </c>
      <c r="AL39" s="58" t="str">
        <f aca="false">IF(OR($A39="",AL$33=""),"",IF(ca_mesure="CPU",SUMIFS(TblCalculs[CPU provisionné],TblCalculs[Cluster],$B39,TblCalculs[Mois],AL$33),IF(ca_mesure="RAM",SUMIFS(TblCalculs[RAM provisionnée],TblCalculs[Cluster],$B39,TblCalculs[Mois],AL$33),SUMIFS(TblCalculs[Workers],TblCalculs[Cluster],$B39,TblCalculs[Mois],AL$33))))</f>
        <v/>
      </c>
      <c r="AM39" s="58" t="str">
        <f aca="false">IF(OR($A39="",AM$33=""),"",IF(ca_mesure="CPU",SUMIFS(TblCalculs[CPU provisionné],TblCalculs[Cluster],$B39,TblCalculs[Mois],AM$33),IF(ca_mesure="RAM",SUMIFS(TblCalculs[RAM provisionnée],TblCalculs[Cluster],$B39,TblCalculs[Mois],AM$33),SUMIFS(TblCalculs[Workers],TblCalculs[Cluster],$B39,TblCalculs[Mois],AM$33))))</f>
        <v/>
      </c>
      <c r="AN39" s="58" t="str">
        <f aca="false">IF(OR($A39="",AN$33=""),"",IF(ca_mesure="CPU",SUMIFS(TblCalculs[CPU provisionné],TblCalculs[Cluster],$B39,TblCalculs[Mois],AN$33),IF(ca_mesure="RAM",SUMIFS(TblCalculs[RAM provisionnée],TblCalculs[Cluster],$B39,TblCalculs[Mois],AN$33),SUMIFS(TblCalculs[Workers],TblCalculs[Cluster],$B39,TblCalculs[Mois],AN$33))))</f>
        <v/>
      </c>
      <c r="AO39" s="58" t="str">
        <f aca="false">IF(OR($A39="",AO$33=""),"",IF(ca_mesure="CPU",SUMIFS(TblCalculs[CPU provisionné],TblCalculs[Cluster],$B39,TblCalculs[Mois],AO$33),IF(ca_mesure="RAM",SUMIFS(TblCalculs[RAM provisionnée],TblCalculs[Cluster],$B39,TblCalculs[Mois],AO$33),SUMIFS(TblCalculs[Workers],TblCalculs[Cluster],$B39,TblCalculs[Mois],AO$33))))</f>
        <v/>
      </c>
    </row>
    <row r="40" customFormat="false" ht="15" hidden="false" customHeight="false" outlineLevel="0" collapsed="false">
      <c r="A40" s="49" t="str">
        <f aca="false">IFERROR(MATCH(7,TblClusters[Rang capacités],0),"")</f>
        <v/>
      </c>
      <c r="B40" s="57" t="str">
        <f aca="false">IF($A40="","",INDEX(TblClusters[Cluster],$A40))</f>
        <v/>
      </c>
      <c r="C40" s="50" t="str">
        <f aca="false">IF($A40="","",INDEX(TblClusters[Plateforme],$A40))</f>
        <v/>
      </c>
      <c r="D40" s="50" t="str">
        <f aca="false">IF($A40="","",INDEX(TblClusters[Environnement],$A40))</f>
        <v/>
      </c>
      <c r="E40" s="50" t="str">
        <f aca="false">IF($A40="","",INDEX(TblClusters[Flavor],$A40))</f>
        <v/>
      </c>
      <c r="F40" s="58" t="str">
        <f aca="false">IF(OR($A40="",F$33=""),"",IF(ca_mesure="CPU",SUMIFS(TblCalculs[CPU provisionné],TblCalculs[Cluster],$B40,TblCalculs[Mois],F$33),IF(ca_mesure="RAM",SUMIFS(TblCalculs[RAM provisionnée],TblCalculs[Cluster],$B40,TblCalculs[Mois],F$33),SUMIFS(TblCalculs[Workers],TblCalculs[Cluster],$B40,TblCalculs[Mois],F$33))))</f>
        <v/>
      </c>
      <c r="G40" s="58" t="str">
        <f aca="false">IF(OR($A40="",G$33=""),"",IF(ca_mesure="CPU",SUMIFS(TblCalculs[CPU provisionné],TblCalculs[Cluster],$B40,TblCalculs[Mois],G$33),IF(ca_mesure="RAM",SUMIFS(TblCalculs[RAM provisionnée],TblCalculs[Cluster],$B40,TblCalculs[Mois],G$33),SUMIFS(TblCalculs[Workers],TblCalculs[Cluster],$B40,TblCalculs[Mois],G$33))))</f>
        <v/>
      </c>
      <c r="H40" s="58" t="str">
        <f aca="false">IF(OR($A40="",H$33=""),"",IF(ca_mesure="CPU",SUMIFS(TblCalculs[CPU provisionné],TblCalculs[Cluster],$B40,TblCalculs[Mois],H$33),IF(ca_mesure="RAM",SUMIFS(TblCalculs[RAM provisionnée],TblCalculs[Cluster],$B40,TblCalculs[Mois],H$33),SUMIFS(TblCalculs[Workers],TblCalculs[Cluster],$B40,TblCalculs[Mois],H$33))))</f>
        <v/>
      </c>
      <c r="I40" s="58" t="str">
        <f aca="false">IF(OR($A40="",I$33=""),"",IF(ca_mesure="CPU",SUMIFS(TblCalculs[CPU provisionné],TblCalculs[Cluster],$B40,TblCalculs[Mois],I$33),IF(ca_mesure="RAM",SUMIFS(TblCalculs[RAM provisionnée],TblCalculs[Cluster],$B40,TblCalculs[Mois],I$33),SUMIFS(TblCalculs[Workers],TblCalculs[Cluster],$B40,TblCalculs[Mois],I$33))))</f>
        <v/>
      </c>
      <c r="J40" s="58" t="str">
        <f aca="false">IF(OR($A40="",J$33=""),"",IF(ca_mesure="CPU",SUMIFS(TblCalculs[CPU provisionné],TblCalculs[Cluster],$B40,TblCalculs[Mois],J$33),IF(ca_mesure="RAM",SUMIFS(TblCalculs[RAM provisionnée],TblCalculs[Cluster],$B40,TblCalculs[Mois],J$33),SUMIFS(TblCalculs[Workers],TblCalculs[Cluster],$B40,TblCalculs[Mois],J$33))))</f>
        <v/>
      </c>
      <c r="K40" s="58" t="str">
        <f aca="false">IF(OR($A40="",K$33=""),"",IF(ca_mesure="CPU",SUMIFS(TblCalculs[CPU provisionné],TblCalculs[Cluster],$B40,TblCalculs[Mois],K$33),IF(ca_mesure="RAM",SUMIFS(TblCalculs[RAM provisionnée],TblCalculs[Cluster],$B40,TblCalculs[Mois],K$33),SUMIFS(TblCalculs[Workers],TblCalculs[Cluster],$B40,TblCalculs[Mois],K$33))))</f>
        <v/>
      </c>
      <c r="L40" s="58" t="str">
        <f aca="false">IF(OR($A40="",L$33=""),"",IF(ca_mesure="CPU",SUMIFS(TblCalculs[CPU provisionné],TblCalculs[Cluster],$B40,TblCalculs[Mois],L$33),IF(ca_mesure="RAM",SUMIFS(TblCalculs[RAM provisionnée],TblCalculs[Cluster],$B40,TblCalculs[Mois],L$33),SUMIFS(TblCalculs[Workers],TblCalculs[Cluster],$B40,TblCalculs[Mois],L$33))))</f>
        <v/>
      </c>
      <c r="M40" s="58" t="str">
        <f aca="false">IF(OR($A40="",M$33=""),"",IF(ca_mesure="CPU",SUMIFS(TblCalculs[CPU provisionné],TblCalculs[Cluster],$B40,TblCalculs[Mois],M$33),IF(ca_mesure="RAM",SUMIFS(TblCalculs[RAM provisionnée],TblCalculs[Cluster],$B40,TblCalculs[Mois],M$33),SUMIFS(TblCalculs[Workers],TblCalculs[Cluster],$B40,TblCalculs[Mois],M$33))))</f>
        <v/>
      </c>
      <c r="N40" s="58" t="str">
        <f aca="false">IF(OR($A40="",N$33=""),"",IF(ca_mesure="CPU",SUMIFS(TblCalculs[CPU provisionné],TblCalculs[Cluster],$B40,TblCalculs[Mois],N$33),IF(ca_mesure="RAM",SUMIFS(TblCalculs[RAM provisionnée],TblCalculs[Cluster],$B40,TblCalculs[Mois],N$33),SUMIFS(TblCalculs[Workers],TblCalculs[Cluster],$B40,TblCalculs[Mois],N$33))))</f>
        <v/>
      </c>
      <c r="O40" s="58" t="str">
        <f aca="false">IF(OR($A40="",O$33=""),"",IF(ca_mesure="CPU",SUMIFS(TblCalculs[CPU provisionné],TblCalculs[Cluster],$B40,TblCalculs[Mois],O$33),IF(ca_mesure="RAM",SUMIFS(TblCalculs[RAM provisionnée],TblCalculs[Cluster],$B40,TblCalculs[Mois],O$33),SUMIFS(TblCalculs[Workers],TblCalculs[Cluster],$B40,TblCalculs[Mois],O$33))))</f>
        <v/>
      </c>
      <c r="P40" s="58" t="str">
        <f aca="false">IF(OR($A40="",P$33=""),"",IF(ca_mesure="CPU",SUMIFS(TblCalculs[CPU provisionné],TblCalculs[Cluster],$B40,TblCalculs[Mois],P$33),IF(ca_mesure="RAM",SUMIFS(TblCalculs[RAM provisionnée],TblCalculs[Cluster],$B40,TblCalculs[Mois],P$33),SUMIFS(TblCalculs[Workers],TblCalculs[Cluster],$B40,TblCalculs[Mois],P$33))))</f>
        <v/>
      </c>
      <c r="Q40" s="58" t="str">
        <f aca="false">IF(OR($A40="",Q$33=""),"",IF(ca_mesure="CPU",SUMIFS(TblCalculs[CPU provisionné],TblCalculs[Cluster],$B40,TblCalculs[Mois],Q$33),IF(ca_mesure="RAM",SUMIFS(TblCalculs[RAM provisionnée],TblCalculs[Cluster],$B40,TblCalculs[Mois],Q$33),SUMIFS(TblCalculs[Workers],TblCalculs[Cluster],$B40,TblCalculs[Mois],Q$33))))</f>
        <v/>
      </c>
      <c r="R40" s="58" t="str">
        <f aca="false">IF(OR($A40="",R$33=""),"",IF(ca_mesure="CPU",SUMIFS(TblCalculs[CPU provisionné],TblCalculs[Cluster],$B40,TblCalculs[Mois],R$33),IF(ca_mesure="RAM",SUMIFS(TblCalculs[RAM provisionnée],TblCalculs[Cluster],$B40,TblCalculs[Mois],R$33),SUMIFS(TblCalculs[Workers],TblCalculs[Cluster],$B40,TblCalculs[Mois],R$33))))</f>
        <v/>
      </c>
      <c r="S40" s="58" t="str">
        <f aca="false">IF(OR($A40="",S$33=""),"",IF(ca_mesure="CPU",SUMIFS(TblCalculs[CPU provisionné],TblCalculs[Cluster],$B40,TblCalculs[Mois],S$33),IF(ca_mesure="RAM",SUMIFS(TblCalculs[RAM provisionnée],TblCalculs[Cluster],$B40,TblCalculs[Mois],S$33),SUMIFS(TblCalculs[Workers],TblCalculs[Cluster],$B40,TblCalculs[Mois],S$33))))</f>
        <v/>
      </c>
      <c r="T40" s="58" t="str">
        <f aca="false">IF(OR($A40="",T$33=""),"",IF(ca_mesure="CPU",SUMIFS(TblCalculs[CPU provisionné],TblCalculs[Cluster],$B40,TblCalculs[Mois],T$33),IF(ca_mesure="RAM",SUMIFS(TblCalculs[RAM provisionnée],TblCalculs[Cluster],$B40,TblCalculs[Mois],T$33),SUMIFS(TblCalculs[Workers],TblCalculs[Cluster],$B40,TblCalculs[Mois],T$33))))</f>
        <v/>
      </c>
      <c r="U40" s="58" t="str">
        <f aca="false">IF(OR($A40="",U$33=""),"",IF(ca_mesure="CPU",SUMIFS(TblCalculs[CPU provisionné],TblCalculs[Cluster],$B40,TblCalculs[Mois],U$33),IF(ca_mesure="RAM",SUMIFS(TblCalculs[RAM provisionnée],TblCalculs[Cluster],$B40,TblCalculs[Mois],U$33),SUMIFS(TblCalculs[Workers],TblCalculs[Cluster],$B40,TblCalculs[Mois],U$33))))</f>
        <v/>
      </c>
      <c r="V40" s="58" t="str">
        <f aca="false">IF(OR($A40="",V$33=""),"",IF(ca_mesure="CPU",SUMIFS(TblCalculs[CPU provisionné],TblCalculs[Cluster],$B40,TblCalculs[Mois],V$33),IF(ca_mesure="RAM",SUMIFS(TblCalculs[RAM provisionnée],TblCalculs[Cluster],$B40,TblCalculs[Mois],V$33),SUMIFS(TblCalculs[Workers],TblCalculs[Cluster],$B40,TblCalculs[Mois],V$33))))</f>
        <v/>
      </c>
      <c r="W40" s="58" t="str">
        <f aca="false">IF(OR($A40="",W$33=""),"",IF(ca_mesure="CPU",SUMIFS(TblCalculs[CPU provisionné],TblCalculs[Cluster],$B40,TblCalculs[Mois],W$33),IF(ca_mesure="RAM",SUMIFS(TblCalculs[RAM provisionnée],TblCalculs[Cluster],$B40,TblCalculs[Mois],W$33),SUMIFS(TblCalculs[Workers],TblCalculs[Cluster],$B40,TblCalculs[Mois],W$33))))</f>
        <v/>
      </c>
      <c r="X40" s="58" t="str">
        <f aca="false">IF(OR($A40="",X$33=""),"",IF(ca_mesure="CPU",SUMIFS(TblCalculs[CPU provisionné],TblCalculs[Cluster],$B40,TblCalculs[Mois],X$33),IF(ca_mesure="RAM",SUMIFS(TblCalculs[RAM provisionnée],TblCalculs[Cluster],$B40,TblCalculs[Mois],X$33),SUMIFS(TblCalculs[Workers],TblCalculs[Cluster],$B40,TblCalculs[Mois],X$33))))</f>
        <v/>
      </c>
      <c r="Y40" s="58" t="str">
        <f aca="false">IF(OR($A40="",Y$33=""),"",IF(ca_mesure="CPU",SUMIFS(TblCalculs[CPU provisionné],TblCalculs[Cluster],$B40,TblCalculs[Mois],Y$33),IF(ca_mesure="RAM",SUMIFS(TblCalculs[RAM provisionnée],TblCalculs[Cluster],$B40,TblCalculs[Mois],Y$33),SUMIFS(TblCalculs[Workers],TblCalculs[Cluster],$B40,TblCalculs[Mois],Y$33))))</f>
        <v/>
      </c>
      <c r="Z40" s="58" t="str">
        <f aca="false">IF(OR($A40="",Z$33=""),"",IF(ca_mesure="CPU",SUMIFS(TblCalculs[CPU provisionné],TblCalculs[Cluster],$B40,TblCalculs[Mois],Z$33),IF(ca_mesure="RAM",SUMIFS(TblCalculs[RAM provisionnée],TblCalculs[Cluster],$B40,TblCalculs[Mois],Z$33),SUMIFS(TblCalculs[Workers],TblCalculs[Cluster],$B40,TblCalculs[Mois],Z$33))))</f>
        <v/>
      </c>
      <c r="AA40" s="58" t="str">
        <f aca="false">IF(OR($A40="",AA$33=""),"",IF(ca_mesure="CPU",SUMIFS(TblCalculs[CPU provisionné],TblCalculs[Cluster],$B40,TblCalculs[Mois],AA$33),IF(ca_mesure="RAM",SUMIFS(TblCalculs[RAM provisionnée],TblCalculs[Cluster],$B40,TblCalculs[Mois],AA$33),SUMIFS(TblCalculs[Workers],TblCalculs[Cluster],$B40,TblCalculs[Mois],AA$33))))</f>
        <v/>
      </c>
      <c r="AB40" s="58" t="str">
        <f aca="false">IF(OR($A40="",AB$33=""),"",IF(ca_mesure="CPU",SUMIFS(TblCalculs[CPU provisionné],TblCalculs[Cluster],$B40,TblCalculs[Mois],AB$33),IF(ca_mesure="RAM",SUMIFS(TblCalculs[RAM provisionnée],TblCalculs[Cluster],$B40,TblCalculs[Mois],AB$33),SUMIFS(TblCalculs[Workers],TblCalculs[Cluster],$B40,TblCalculs[Mois],AB$33))))</f>
        <v/>
      </c>
      <c r="AC40" s="58" t="str">
        <f aca="false">IF(OR($A40="",AC$33=""),"",IF(ca_mesure="CPU",SUMIFS(TblCalculs[CPU provisionné],TblCalculs[Cluster],$B40,TblCalculs[Mois],AC$33),IF(ca_mesure="RAM",SUMIFS(TblCalculs[RAM provisionnée],TblCalculs[Cluster],$B40,TblCalculs[Mois],AC$33),SUMIFS(TblCalculs[Workers],TblCalculs[Cluster],$B40,TblCalculs[Mois],AC$33))))</f>
        <v/>
      </c>
      <c r="AD40" s="58" t="str">
        <f aca="false">IF(OR($A40="",AD$33=""),"",IF(ca_mesure="CPU",SUMIFS(TblCalculs[CPU provisionné],TblCalculs[Cluster],$B40,TblCalculs[Mois],AD$33),IF(ca_mesure="RAM",SUMIFS(TblCalculs[RAM provisionnée],TblCalculs[Cluster],$B40,TblCalculs[Mois],AD$33),SUMIFS(TblCalculs[Workers],TblCalculs[Cluster],$B40,TblCalculs[Mois],AD$33))))</f>
        <v/>
      </c>
      <c r="AE40" s="58" t="str">
        <f aca="false">IF(OR($A40="",AE$33=""),"",IF(ca_mesure="CPU",SUMIFS(TblCalculs[CPU provisionné],TblCalculs[Cluster],$B40,TblCalculs[Mois],AE$33),IF(ca_mesure="RAM",SUMIFS(TblCalculs[RAM provisionnée],TblCalculs[Cluster],$B40,TblCalculs[Mois],AE$33),SUMIFS(TblCalculs[Workers],TblCalculs[Cluster],$B40,TblCalculs[Mois],AE$33))))</f>
        <v/>
      </c>
      <c r="AF40" s="58" t="str">
        <f aca="false">IF(OR($A40="",AF$33=""),"",IF(ca_mesure="CPU",SUMIFS(TblCalculs[CPU provisionné],TblCalculs[Cluster],$B40,TblCalculs[Mois],AF$33),IF(ca_mesure="RAM",SUMIFS(TblCalculs[RAM provisionnée],TblCalculs[Cluster],$B40,TblCalculs[Mois],AF$33),SUMIFS(TblCalculs[Workers],TblCalculs[Cluster],$B40,TblCalculs[Mois],AF$33))))</f>
        <v/>
      </c>
      <c r="AG40" s="58" t="str">
        <f aca="false">IF(OR($A40="",AG$33=""),"",IF(ca_mesure="CPU",SUMIFS(TblCalculs[CPU provisionné],TblCalculs[Cluster],$B40,TblCalculs[Mois],AG$33),IF(ca_mesure="RAM",SUMIFS(TblCalculs[RAM provisionnée],TblCalculs[Cluster],$B40,TblCalculs[Mois],AG$33),SUMIFS(TblCalculs[Workers],TblCalculs[Cluster],$B40,TblCalculs[Mois],AG$33))))</f>
        <v/>
      </c>
      <c r="AH40" s="58" t="str">
        <f aca="false">IF(OR($A40="",AH$33=""),"",IF(ca_mesure="CPU",SUMIFS(TblCalculs[CPU provisionné],TblCalculs[Cluster],$B40,TblCalculs[Mois],AH$33),IF(ca_mesure="RAM",SUMIFS(TblCalculs[RAM provisionnée],TblCalculs[Cluster],$B40,TblCalculs[Mois],AH$33),SUMIFS(TblCalculs[Workers],TblCalculs[Cluster],$B40,TblCalculs[Mois],AH$33))))</f>
        <v/>
      </c>
      <c r="AI40" s="58" t="str">
        <f aca="false">IF(OR($A40="",AI$33=""),"",IF(ca_mesure="CPU",SUMIFS(TblCalculs[CPU provisionné],TblCalculs[Cluster],$B40,TblCalculs[Mois],AI$33),IF(ca_mesure="RAM",SUMIFS(TblCalculs[RAM provisionnée],TblCalculs[Cluster],$B40,TblCalculs[Mois],AI$33),SUMIFS(TblCalculs[Workers],TblCalculs[Cluster],$B40,TblCalculs[Mois],AI$33))))</f>
        <v/>
      </c>
      <c r="AJ40" s="58" t="str">
        <f aca="false">IF(OR($A40="",AJ$33=""),"",IF(ca_mesure="CPU",SUMIFS(TblCalculs[CPU provisionné],TblCalculs[Cluster],$B40,TblCalculs[Mois],AJ$33),IF(ca_mesure="RAM",SUMIFS(TblCalculs[RAM provisionnée],TblCalculs[Cluster],$B40,TblCalculs[Mois],AJ$33),SUMIFS(TblCalculs[Workers],TblCalculs[Cluster],$B40,TblCalculs[Mois],AJ$33))))</f>
        <v/>
      </c>
      <c r="AK40" s="58" t="str">
        <f aca="false">IF(OR($A40="",AK$33=""),"",IF(ca_mesure="CPU",SUMIFS(TblCalculs[CPU provisionné],TblCalculs[Cluster],$B40,TblCalculs[Mois],AK$33),IF(ca_mesure="RAM",SUMIFS(TblCalculs[RAM provisionnée],TblCalculs[Cluster],$B40,TblCalculs[Mois],AK$33),SUMIFS(TblCalculs[Workers],TblCalculs[Cluster],$B40,TblCalculs[Mois],AK$33))))</f>
        <v/>
      </c>
      <c r="AL40" s="58" t="str">
        <f aca="false">IF(OR($A40="",AL$33=""),"",IF(ca_mesure="CPU",SUMIFS(TblCalculs[CPU provisionné],TblCalculs[Cluster],$B40,TblCalculs[Mois],AL$33),IF(ca_mesure="RAM",SUMIFS(TblCalculs[RAM provisionnée],TblCalculs[Cluster],$B40,TblCalculs[Mois],AL$33),SUMIFS(TblCalculs[Workers],TblCalculs[Cluster],$B40,TblCalculs[Mois],AL$33))))</f>
        <v/>
      </c>
      <c r="AM40" s="58" t="str">
        <f aca="false">IF(OR($A40="",AM$33=""),"",IF(ca_mesure="CPU",SUMIFS(TblCalculs[CPU provisionné],TblCalculs[Cluster],$B40,TblCalculs[Mois],AM$33),IF(ca_mesure="RAM",SUMIFS(TblCalculs[RAM provisionnée],TblCalculs[Cluster],$B40,TblCalculs[Mois],AM$33),SUMIFS(TblCalculs[Workers],TblCalculs[Cluster],$B40,TblCalculs[Mois],AM$33))))</f>
        <v/>
      </c>
      <c r="AN40" s="58" t="str">
        <f aca="false">IF(OR($A40="",AN$33=""),"",IF(ca_mesure="CPU",SUMIFS(TblCalculs[CPU provisionné],TblCalculs[Cluster],$B40,TblCalculs[Mois],AN$33),IF(ca_mesure="RAM",SUMIFS(TblCalculs[RAM provisionnée],TblCalculs[Cluster],$B40,TblCalculs[Mois],AN$33),SUMIFS(TblCalculs[Workers],TblCalculs[Cluster],$B40,TblCalculs[Mois],AN$33))))</f>
        <v/>
      </c>
      <c r="AO40" s="58" t="str">
        <f aca="false">IF(OR($A40="",AO$33=""),"",IF(ca_mesure="CPU",SUMIFS(TblCalculs[CPU provisionné],TblCalculs[Cluster],$B40,TblCalculs[Mois],AO$33),IF(ca_mesure="RAM",SUMIFS(TblCalculs[RAM provisionnée],TblCalculs[Cluster],$B40,TblCalculs[Mois],AO$33),SUMIFS(TblCalculs[Workers],TblCalculs[Cluster],$B40,TblCalculs[Mois],AO$33))))</f>
        <v/>
      </c>
    </row>
    <row r="41" customFormat="false" ht="15" hidden="false" customHeight="false" outlineLevel="0" collapsed="false">
      <c r="A41" s="49" t="str">
        <f aca="false">IFERROR(MATCH(8,TblClusters[Rang capacités],0),"")</f>
        <v/>
      </c>
      <c r="B41" s="57" t="str">
        <f aca="false">IF($A41="","",INDEX(TblClusters[Cluster],$A41))</f>
        <v/>
      </c>
      <c r="C41" s="50" t="str">
        <f aca="false">IF($A41="","",INDEX(TblClusters[Plateforme],$A41))</f>
        <v/>
      </c>
      <c r="D41" s="50" t="str">
        <f aca="false">IF($A41="","",INDEX(TblClusters[Environnement],$A41))</f>
        <v/>
      </c>
      <c r="E41" s="50" t="str">
        <f aca="false">IF($A41="","",INDEX(TblClusters[Flavor],$A41))</f>
        <v/>
      </c>
      <c r="F41" s="58" t="str">
        <f aca="false">IF(OR($A41="",F$33=""),"",IF(ca_mesure="CPU",SUMIFS(TblCalculs[CPU provisionné],TblCalculs[Cluster],$B41,TblCalculs[Mois],F$33),IF(ca_mesure="RAM",SUMIFS(TblCalculs[RAM provisionnée],TblCalculs[Cluster],$B41,TblCalculs[Mois],F$33),SUMIFS(TblCalculs[Workers],TblCalculs[Cluster],$B41,TblCalculs[Mois],F$33))))</f>
        <v/>
      </c>
      <c r="G41" s="58" t="str">
        <f aca="false">IF(OR($A41="",G$33=""),"",IF(ca_mesure="CPU",SUMIFS(TblCalculs[CPU provisionné],TblCalculs[Cluster],$B41,TblCalculs[Mois],G$33),IF(ca_mesure="RAM",SUMIFS(TblCalculs[RAM provisionnée],TblCalculs[Cluster],$B41,TblCalculs[Mois],G$33),SUMIFS(TblCalculs[Workers],TblCalculs[Cluster],$B41,TblCalculs[Mois],G$33))))</f>
        <v/>
      </c>
      <c r="H41" s="58" t="str">
        <f aca="false">IF(OR($A41="",H$33=""),"",IF(ca_mesure="CPU",SUMIFS(TblCalculs[CPU provisionné],TblCalculs[Cluster],$B41,TblCalculs[Mois],H$33),IF(ca_mesure="RAM",SUMIFS(TblCalculs[RAM provisionnée],TblCalculs[Cluster],$B41,TblCalculs[Mois],H$33),SUMIFS(TblCalculs[Workers],TblCalculs[Cluster],$B41,TblCalculs[Mois],H$33))))</f>
        <v/>
      </c>
      <c r="I41" s="58" t="str">
        <f aca="false">IF(OR($A41="",I$33=""),"",IF(ca_mesure="CPU",SUMIFS(TblCalculs[CPU provisionné],TblCalculs[Cluster],$B41,TblCalculs[Mois],I$33),IF(ca_mesure="RAM",SUMIFS(TblCalculs[RAM provisionnée],TblCalculs[Cluster],$B41,TblCalculs[Mois],I$33),SUMIFS(TblCalculs[Workers],TblCalculs[Cluster],$B41,TblCalculs[Mois],I$33))))</f>
        <v/>
      </c>
      <c r="J41" s="58" t="str">
        <f aca="false">IF(OR($A41="",J$33=""),"",IF(ca_mesure="CPU",SUMIFS(TblCalculs[CPU provisionné],TblCalculs[Cluster],$B41,TblCalculs[Mois],J$33),IF(ca_mesure="RAM",SUMIFS(TblCalculs[RAM provisionnée],TblCalculs[Cluster],$B41,TblCalculs[Mois],J$33),SUMIFS(TblCalculs[Workers],TblCalculs[Cluster],$B41,TblCalculs[Mois],J$33))))</f>
        <v/>
      </c>
      <c r="K41" s="58" t="str">
        <f aca="false">IF(OR($A41="",K$33=""),"",IF(ca_mesure="CPU",SUMIFS(TblCalculs[CPU provisionné],TblCalculs[Cluster],$B41,TblCalculs[Mois],K$33),IF(ca_mesure="RAM",SUMIFS(TblCalculs[RAM provisionnée],TblCalculs[Cluster],$B41,TblCalculs[Mois],K$33),SUMIFS(TblCalculs[Workers],TblCalculs[Cluster],$B41,TblCalculs[Mois],K$33))))</f>
        <v/>
      </c>
      <c r="L41" s="58" t="str">
        <f aca="false">IF(OR($A41="",L$33=""),"",IF(ca_mesure="CPU",SUMIFS(TblCalculs[CPU provisionné],TblCalculs[Cluster],$B41,TblCalculs[Mois],L$33),IF(ca_mesure="RAM",SUMIFS(TblCalculs[RAM provisionnée],TblCalculs[Cluster],$B41,TblCalculs[Mois],L$33),SUMIFS(TblCalculs[Workers],TblCalculs[Cluster],$B41,TblCalculs[Mois],L$33))))</f>
        <v/>
      </c>
      <c r="M41" s="58" t="str">
        <f aca="false">IF(OR($A41="",M$33=""),"",IF(ca_mesure="CPU",SUMIFS(TblCalculs[CPU provisionné],TblCalculs[Cluster],$B41,TblCalculs[Mois],M$33),IF(ca_mesure="RAM",SUMIFS(TblCalculs[RAM provisionnée],TblCalculs[Cluster],$B41,TblCalculs[Mois],M$33),SUMIFS(TblCalculs[Workers],TblCalculs[Cluster],$B41,TblCalculs[Mois],M$33))))</f>
        <v/>
      </c>
      <c r="N41" s="58" t="str">
        <f aca="false">IF(OR($A41="",N$33=""),"",IF(ca_mesure="CPU",SUMIFS(TblCalculs[CPU provisionné],TblCalculs[Cluster],$B41,TblCalculs[Mois],N$33),IF(ca_mesure="RAM",SUMIFS(TblCalculs[RAM provisionnée],TblCalculs[Cluster],$B41,TblCalculs[Mois],N$33),SUMIFS(TblCalculs[Workers],TblCalculs[Cluster],$B41,TblCalculs[Mois],N$33))))</f>
        <v/>
      </c>
      <c r="O41" s="58" t="str">
        <f aca="false">IF(OR($A41="",O$33=""),"",IF(ca_mesure="CPU",SUMIFS(TblCalculs[CPU provisionné],TblCalculs[Cluster],$B41,TblCalculs[Mois],O$33),IF(ca_mesure="RAM",SUMIFS(TblCalculs[RAM provisionnée],TblCalculs[Cluster],$B41,TblCalculs[Mois],O$33),SUMIFS(TblCalculs[Workers],TblCalculs[Cluster],$B41,TblCalculs[Mois],O$33))))</f>
        <v/>
      </c>
      <c r="P41" s="58" t="str">
        <f aca="false">IF(OR($A41="",P$33=""),"",IF(ca_mesure="CPU",SUMIFS(TblCalculs[CPU provisionné],TblCalculs[Cluster],$B41,TblCalculs[Mois],P$33),IF(ca_mesure="RAM",SUMIFS(TblCalculs[RAM provisionnée],TblCalculs[Cluster],$B41,TblCalculs[Mois],P$33),SUMIFS(TblCalculs[Workers],TblCalculs[Cluster],$B41,TblCalculs[Mois],P$33))))</f>
        <v/>
      </c>
      <c r="Q41" s="58" t="str">
        <f aca="false">IF(OR($A41="",Q$33=""),"",IF(ca_mesure="CPU",SUMIFS(TblCalculs[CPU provisionné],TblCalculs[Cluster],$B41,TblCalculs[Mois],Q$33),IF(ca_mesure="RAM",SUMIFS(TblCalculs[RAM provisionnée],TblCalculs[Cluster],$B41,TblCalculs[Mois],Q$33),SUMIFS(TblCalculs[Workers],TblCalculs[Cluster],$B41,TblCalculs[Mois],Q$33))))</f>
        <v/>
      </c>
      <c r="R41" s="58" t="str">
        <f aca="false">IF(OR($A41="",R$33=""),"",IF(ca_mesure="CPU",SUMIFS(TblCalculs[CPU provisionné],TblCalculs[Cluster],$B41,TblCalculs[Mois],R$33),IF(ca_mesure="RAM",SUMIFS(TblCalculs[RAM provisionnée],TblCalculs[Cluster],$B41,TblCalculs[Mois],R$33),SUMIFS(TblCalculs[Workers],TblCalculs[Cluster],$B41,TblCalculs[Mois],R$33))))</f>
        <v/>
      </c>
      <c r="S41" s="58" t="str">
        <f aca="false">IF(OR($A41="",S$33=""),"",IF(ca_mesure="CPU",SUMIFS(TblCalculs[CPU provisionné],TblCalculs[Cluster],$B41,TblCalculs[Mois],S$33),IF(ca_mesure="RAM",SUMIFS(TblCalculs[RAM provisionnée],TblCalculs[Cluster],$B41,TblCalculs[Mois],S$33),SUMIFS(TblCalculs[Workers],TblCalculs[Cluster],$B41,TblCalculs[Mois],S$33))))</f>
        <v/>
      </c>
      <c r="T41" s="58" t="str">
        <f aca="false">IF(OR($A41="",T$33=""),"",IF(ca_mesure="CPU",SUMIFS(TblCalculs[CPU provisionné],TblCalculs[Cluster],$B41,TblCalculs[Mois],T$33),IF(ca_mesure="RAM",SUMIFS(TblCalculs[RAM provisionnée],TblCalculs[Cluster],$B41,TblCalculs[Mois],T$33),SUMIFS(TblCalculs[Workers],TblCalculs[Cluster],$B41,TblCalculs[Mois],T$33))))</f>
        <v/>
      </c>
      <c r="U41" s="58" t="str">
        <f aca="false">IF(OR($A41="",U$33=""),"",IF(ca_mesure="CPU",SUMIFS(TblCalculs[CPU provisionné],TblCalculs[Cluster],$B41,TblCalculs[Mois],U$33),IF(ca_mesure="RAM",SUMIFS(TblCalculs[RAM provisionnée],TblCalculs[Cluster],$B41,TblCalculs[Mois],U$33),SUMIFS(TblCalculs[Workers],TblCalculs[Cluster],$B41,TblCalculs[Mois],U$33))))</f>
        <v/>
      </c>
      <c r="V41" s="58" t="str">
        <f aca="false">IF(OR($A41="",V$33=""),"",IF(ca_mesure="CPU",SUMIFS(TblCalculs[CPU provisionné],TblCalculs[Cluster],$B41,TblCalculs[Mois],V$33),IF(ca_mesure="RAM",SUMIFS(TblCalculs[RAM provisionnée],TblCalculs[Cluster],$B41,TblCalculs[Mois],V$33),SUMIFS(TblCalculs[Workers],TblCalculs[Cluster],$B41,TblCalculs[Mois],V$33))))</f>
        <v/>
      </c>
      <c r="W41" s="58" t="str">
        <f aca="false">IF(OR($A41="",W$33=""),"",IF(ca_mesure="CPU",SUMIFS(TblCalculs[CPU provisionné],TblCalculs[Cluster],$B41,TblCalculs[Mois],W$33),IF(ca_mesure="RAM",SUMIFS(TblCalculs[RAM provisionnée],TblCalculs[Cluster],$B41,TblCalculs[Mois],W$33),SUMIFS(TblCalculs[Workers],TblCalculs[Cluster],$B41,TblCalculs[Mois],W$33))))</f>
        <v/>
      </c>
      <c r="X41" s="58" t="str">
        <f aca="false">IF(OR($A41="",X$33=""),"",IF(ca_mesure="CPU",SUMIFS(TblCalculs[CPU provisionné],TblCalculs[Cluster],$B41,TblCalculs[Mois],X$33),IF(ca_mesure="RAM",SUMIFS(TblCalculs[RAM provisionnée],TblCalculs[Cluster],$B41,TblCalculs[Mois],X$33),SUMIFS(TblCalculs[Workers],TblCalculs[Cluster],$B41,TblCalculs[Mois],X$33))))</f>
        <v/>
      </c>
      <c r="Y41" s="58" t="str">
        <f aca="false">IF(OR($A41="",Y$33=""),"",IF(ca_mesure="CPU",SUMIFS(TblCalculs[CPU provisionné],TblCalculs[Cluster],$B41,TblCalculs[Mois],Y$33),IF(ca_mesure="RAM",SUMIFS(TblCalculs[RAM provisionnée],TblCalculs[Cluster],$B41,TblCalculs[Mois],Y$33),SUMIFS(TblCalculs[Workers],TblCalculs[Cluster],$B41,TblCalculs[Mois],Y$33))))</f>
        <v/>
      </c>
      <c r="Z41" s="58" t="str">
        <f aca="false">IF(OR($A41="",Z$33=""),"",IF(ca_mesure="CPU",SUMIFS(TblCalculs[CPU provisionné],TblCalculs[Cluster],$B41,TblCalculs[Mois],Z$33),IF(ca_mesure="RAM",SUMIFS(TblCalculs[RAM provisionnée],TblCalculs[Cluster],$B41,TblCalculs[Mois],Z$33),SUMIFS(TblCalculs[Workers],TblCalculs[Cluster],$B41,TblCalculs[Mois],Z$33))))</f>
        <v/>
      </c>
      <c r="AA41" s="58" t="str">
        <f aca="false">IF(OR($A41="",AA$33=""),"",IF(ca_mesure="CPU",SUMIFS(TblCalculs[CPU provisionné],TblCalculs[Cluster],$B41,TblCalculs[Mois],AA$33),IF(ca_mesure="RAM",SUMIFS(TblCalculs[RAM provisionnée],TblCalculs[Cluster],$B41,TblCalculs[Mois],AA$33),SUMIFS(TblCalculs[Workers],TblCalculs[Cluster],$B41,TblCalculs[Mois],AA$33))))</f>
        <v/>
      </c>
      <c r="AB41" s="58" t="str">
        <f aca="false">IF(OR($A41="",AB$33=""),"",IF(ca_mesure="CPU",SUMIFS(TblCalculs[CPU provisionné],TblCalculs[Cluster],$B41,TblCalculs[Mois],AB$33),IF(ca_mesure="RAM",SUMIFS(TblCalculs[RAM provisionnée],TblCalculs[Cluster],$B41,TblCalculs[Mois],AB$33),SUMIFS(TblCalculs[Workers],TblCalculs[Cluster],$B41,TblCalculs[Mois],AB$33))))</f>
        <v/>
      </c>
      <c r="AC41" s="58" t="str">
        <f aca="false">IF(OR($A41="",AC$33=""),"",IF(ca_mesure="CPU",SUMIFS(TblCalculs[CPU provisionné],TblCalculs[Cluster],$B41,TblCalculs[Mois],AC$33),IF(ca_mesure="RAM",SUMIFS(TblCalculs[RAM provisionnée],TblCalculs[Cluster],$B41,TblCalculs[Mois],AC$33),SUMIFS(TblCalculs[Workers],TblCalculs[Cluster],$B41,TblCalculs[Mois],AC$33))))</f>
        <v/>
      </c>
      <c r="AD41" s="58" t="str">
        <f aca="false">IF(OR($A41="",AD$33=""),"",IF(ca_mesure="CPU",SUMIFS(TblCalculs[CPU provisionné],TblCalculs[Cluster],$B41,TblCalculs[Mois],AD$33),IF(ca_mesure="RAM",SUMIFS(TblCalculs[RAM provisionnée],TblCalculs[Cluster],$B41,TblCalculs[Mois],AD$33),SUMIFS(TblCalculs[Workers],TblCalculs[Cluster],$B41,TblCalculs[Mois],AD$33))))</f>
        <v/>
      </c>
      <c r="AE41" s="58" t="str">
        <f aca="false">IF(OR($A41="",AE$33=""),"",IF(ca_mesure="CPU",SUMIFS(TblCalculs[CPU provisionné],TblCalculs[Cluster],$B41,TblCalculs[Mois],AE$33),IF(ca_mesure="RAM",SUMIFS(TblCalculs[RAM provisionnée],TblCalculs[Cluster],$B41,TblCalculs[Mois],AE$33),SUMIFS(TblCalculs[Workers],TblCalculs[Cluster],$B41,TblCalculs[Mois],AE$33))))</f>
        <v/>
      </c>
      <c r="AF41" s="58" t="str">
        <f aca="false">IF(OR($A41="",AF$33=""),"",IF(ca_mesure="CPU",SUMIFS(TblCalculs[CPU provisionné],TblCalculs[Cluster],$B41,TblCalculs[Mois],AF$33),IF(ca_mesure="RAM",SUMIFS(TblCalculs[RAM provisionnée],TblCalculs[Cluster],$B41,TblCalculs[Mois],AF$33),SUMIFS(TblCalculs[Workers],TblCalculs[Cluster],$B41,TblCalculs[Mois],AF$33))))</f>
        <v/>
      </c>
      <c r="AG41" s="58" t="str">
        <f aca="false">IF(OR($A41="",AG$33=""),"",IF(ca_mesure="CPU",SUMIFS(TblCalculs[CPU provisionné],TblCalculs[Cluster],$B41,TblCalculs[Mois],AG$33),IF(ca_mesure="RAM",SUMIFS(TblCalculs[RAM provisionnée],TblCalculs[Cluster],$B41,TblCalculs[Mois],AG$33),SUMIFS(TblCalculs[Workers],TblCalculs[Cluster],$B41,TblCalculs[Mois],AG$33))))</f>
        <v/>
      </c>
      <c r="AH41" s="58" t="str">
        <f aca="false">IF(OR($A41="",AH$33=""),"",IF(ca_mesure="CPU",SUMIFS(TblCalculs[CPU provisionné],TblCalculs[Cluster],$B41,TblCalculs[Mois],AH$33),IF(ca_mesure="RAM",SUMIFS(TblCalculs[RAM provisionnée],TblCalculs[Cluster],$B41,TblCalculs[Mois],AH$33),SUMIFS(TblCalculs[Workers],TblCalculs[Cluster],$B41,TblCalculs[Mois],AH$33))))</f>
        <v/>
      </c>
      <c r="AI41" s="58" t="str">
        <f aca="false">IF(OR($A41="",AI$33=""),"",IF(ca_mesure="CPU",SUMIFS(TblCalculs[CPU provisionné],TblCalculs[Cluster],$B41,TblCalculs[Mois],AI$33),IF(ca_mesure="RAM",SUMIFS(TblCalculs[RAM provisionnée],TblCalculs[Cluster],$B41,TblCalculs[Mois],AI$33),SUMIFS(TblCalculs[Workers],TblCalculs[Cluster],$B41,TblCalculs[Mois],AI$33))))</f>
        <v/>
      </c>
      <c r="AJ41" s="58" t="str">
        <f aca="false">IF(OR($A41="",AJ$33=""),"",IF(ca_mesure="CPU",SUMIFS(TblCalculs[CPU provisionné],TblCalculs[Cluster],$B41,TblCalculs[Mois],AJ$33),IF(ca_mesure="RAM",SUMIFS(TblCalculs[RAM provisionnée],TblCalculs[Cluster],$B41,TblCalculs[Mois],AJ$33),SUMIFS(TblCalculs[Workers],TblCalculs[Cluster],$B41,TblCalculs[Mois],AJ$33))))</f>
        <v/>
      </c>
      <c r="AK41" s="58" t="str">
        <f aca="false">IF(OR($A41="",AK$33=""),"",IF(ca_mesure="CPU",SUMIFS(TblCalculs[CPU provisionné],TblCalculs[Cluster],$B41,TblCalculs[Mois],AK$33),IF(ca_mesure="RAM",SUMIFS(TblCalculs[RAM provisionnée],TblCalculs[Cluster],$B41,TblCalculs[Mois],AK$33),SUMIFS(TblCalculs[Workers],TblCalculs[Cluster],$B41,TblCalculs[Mois],AK$33))))</f>
        <v/>
      </c>
      <c r="AL41" s="58" t="str">
        <f aca="false">IF(OR($A41="",AL$33=""),"",IF(ca_mesure="CPU",SUMIFS(TblCalculs[CPU provisionné],TblCalculs[Cluster],$B41,TblCalculs[Mois],AL$33),IF(ca_mesure="RAM",SUMIFS(TblCalculs[RAM provisionnée],TblCalculs[Cluster],$B41,TblCalculs[Mois],AL$33),SUMIFS(TblCalculs[Workers],TblCalculs[Cluster],$B41,TblCalculs[Mois],AL$33))))</f>
        <v/>
      </c>
      <c r="AM41" s="58" t="str">
        <f aca="false">IF(OR($A41="",AM$33=""),"",IF(ca_mesure="CPU",SUMIFS(TblCalculs[CPU provisionné],TblCalculs[Cluster],$B41,TblCalculs[Mois],AM$33),IF(ca_mesure="RAM",SUMIFS(TblCalculs[RAM provisionnée],TblCalculs[Cluster],$B41,TblCalculs[Mois],AM$33),SUMIFS(TblCalculs[Workers],TblCalculs[Cluster],$B41,TblCalculs[Mois],AM$33))))</f>
        <v/>
      </c>
      <c r="AN41" s="58" t="str">
        <f aca="false">IF(OR($A41="",AN$33=""),"",IF(ca_mesure="CPU",SUMIFS(TblCalculs[CPU provisionné],TblCalculs[Cluster],$B41,TblCalculs[Mois],AN$33),IF(ca_mesure="RAM",SUMIFS(TblCalculs[RAM provisionnée],TblCalculs[Cluster],$B41,TblCalculs[Mois],AN$33),SUMIFS(TblCalculs[Workers],TblCalculs[Cluster],$B41,TblCalculs[Mois],AN$33))))</f>
        <v/>
      </c>
      <c r="AO41" s="58" t="str">
        <f aca="false">IF(OR($A41="",AO$33=""),"",IF(ca_mesure="CPU",SUMIFS(TblCalculs[CPU provisionné],TblCalculs[Cluster],$B41,TblCalculs[Mois],AO$33),IF(ca_mesure="RAM",SUMIFS(TblCalculs[RAM provisionnée],TblCalculs[Cluster],$B41,TblCalculs[Mois],AO$33),SUMIFS(TblCalculs[Workers],TblCalculs[Cluster],$B41,TblCalculs[Mois],AO$33))))</f>
        <v/>
      </c>
    </row>
    <row r="42" customFormat="false" ht="15" hidden="false" customHeight="false" outlineLevel="0" collapsed="false">
      <c r="A42" s="49" t="str">
        <f aca="false">IFERROR(MATCH(9,TblClusters[Rang capacités],0),"")</f>
        <v/>
      </c>
      <c r="B42" s="57" t="str">
        <f aca="false">IF($A42="","",INDEX(TblClusters[Cluster],$A42))</f>
        <v/>
      </c>
      <c r="C42" s="50" t="str">
        <f aca="false">IF($A42="","",INDEX(TblClusters[Plateforme],$A42))</f>
        <v/>
      </c>
      <c r="D42" s="50" t="str">
        <f aca="false">IF($A42="","",INDEX(TblClusters[Environnement],$A42))</f>
        <v/>
      </c>
      <c r="E42" s="50" t="str">
        <f aca="false">IF($A42="","",INDEX(TblClusters[Flavor],$A42))</f>
        <v/>
      </c>
      <c r="F42" s="58" t="str">
        <f aca="false">IF(OR($A42="",F$33=""),"",IF(ca_mesure="CPU",SUMIFS(TblCalculs[CPU provisionné],TblCalculs[Cluster],$B42,TblCalculs[Mois],F$33),IF(ca_mesure="RAM",SUMIFS(TblCalculs[RAM provisionnée],TblCalculs[Cluster],$B42,TblCalculs[Mois],F$33),SUMIFS(TblCalculs[Workers],TblCalculs[Cluster],$B42,TblCalculs[Mois],F$33))))</f>
        <v/>
      </c>
      <c r="G42" s="58" t="str">
        <f aca="false">IF(OR($A42="",G$33=""),"",IF(ca_mesure="CPU",SUMIFS(TblCalculs[CPU provisionné],TblCalculs[Cluster],$B42,TblCalculs[Mois],G$33),IF(ca_mesure="RAM",SUMIFS(TblCalculs[RAM provisionnée],TblCalculs[Cluster],$B42,TblCalculs[Mois],G$33),SUMIFS(TblCalculs[Workers],TblCalculs[Cluster],$B42,TblCalculs[Mois],G$33))))</f>
        <v/>
      </c>
      <c r="H42" s="58" t="str">
        <f aca="false">IF(OR($A42="",H$33=""),"",IF(ca_mesure="CPU",SUMIFS(TblCalculs[CPU provisionné],TblCalculs[Cluster],$B42,TblCalculs[Mois],H$33),IF(ca_mesure="RAM",SUMIFS(TblCalculs[RAM provisionnée],TblCalculs[Cluster],$B42,TblCalculs[Mois],H$33),SUMIFS(TblCalculs[Workers],TblCalculs[Cluster],$B42,TblCalculs[Mois],H$33))))</f>
        <v/>
      </c>
      <c r="I42" s="58" t="str">
        <f aca="false">IF(OR($A42="",I$33=""),"",IF(ca_mesure="CPU",SUMIFS(TblCalculs[CPU provisionné],TblCalculs[Cluster],$B42,TblCalculs[Mois],I$33),IF(ca_mesure="RAM",SUMIFS(TblCalculs[RAM provisionnée],TblCalculs[Cluster],$B42,TblCalculs[Mois],I$33),SUMIFS(TblCalculs[Workers],TblCalculs[Cluster],$B42,TblCalculs[Mois],I$33))))</f>
        <v/>
      </c>
      <c r="J42" s="58" t="str">
        <f aca="false">IF(OR($A42="",J$33=""),"",IF(ca_mesure="CPU",SUMIFS(TblCalculs[CPU provisionné],TblCalculs[Cluster],$B42,TblCalculs[Mois],J$33),IF(ca_mesure="RAM",SUMIFS(TblCalculs[RAM provisionnée],TblCalculs[Cluster],$B42,TblCalculs[Mois],J$33),SUMIFS(TblCalculs[Workers],TblCalculs[Cluster],$B42,TblCalculs[Mois],J$33))))</f>
        <v/>
      </c>
      <c r="K42" s="58" t="str">
        <f aca="false">IF(OR($A42="",K$33=""),"",IF(ca_mesure="CPU",SUMIFS(TblCalculs[CPU provisionné],TblCalculs[Cluster],$B42,TblCalculs[Mois],K$33),IF(ca_mesure="RAM",SUMIFS(TblCalculs[RAM provisionnée],TblCalculs[Cluster],$B42,TblCalculs[Mois],K$33),SUMIFS(TblCalculs[Workers],TblCalculs[Cluster],$B42,TblCalculs[Mois],K$33))))</f>
        <v/>
      </c>
      <c r="L42" s="58" t="str">
        <f aca="false">IF(OR($A42="",L$33=""),"",IF(ca_mesure="CPU",SUMIFS(TblCalculs[CPU provisionné],TblCalculs[Cluster],$B42,TblCalculs[Mois],L$33),IF(ca_mesure="RAM",SUMIFS(TblCalculs[RAM provisionnée],TblCalculs[Cluster],$B42,TblCalculs[Mois],L$33),SUMIFS(TblCalculs[Workers],TblCalculs[Cluster],$B42,TblCalculs[Mois],L$33))))</f>
        <v/>
      </c>
      <c r="M42" s="58" t="str">
        <f aca="false">IF(OR($A42="",M$33=""),"",IF(ca_mesure="CPU",SUMIFS(TblCalculs[CPU provisionné],TblCalculs[Cluster],$B42,TblCalculs[Mois],M$33),IF(ca_mesure="RAM",SUMIFS(TblCalculs[RAM provisionnée],TblCalculs[Cluster],$B42,TblCalculs[Mois],M$33),SUMIFS(TblCalculs[Workers],TblCalculs[Cluster],$B42,TblCalculs[Mois],M$33))))</f>
        <v/>
      </c>
      <c r="N42" s="58" t="str">
        <f aca="false">IF(OR($A42="",N$33=""),"",IF(ca_mesure="CPU",SUMIFS(TblCalculs[CPU provisionné],TblCalculs[Cluster],$B42,TblCalculs[Mois],N$33),IF(ca_mesure="RAM",SUMIFS(TblCalculs[RAM provisionnée],TblCalculs[Cluster],$B42,TblCalculs[Mois],N$33),SUMIFS(TblCalculs[Workers],TblCalculs[Cluster],$B42,TblCalculs[Mois],N$33))))</f>
        <v/>
      </c>
      <c r="O42" s="58" t="str">
        <f aca="false">IF(OR($A42="",O$33=""),"",IF(ca_mesure="CPU",SUMIFS(TblCalculs[CPU provisionné],TblCalculs[Cluster],$B42,TblCalculs[Mois],O$33),IF(ca_mesure="RAM",SUMIFS(TblCalculs[RAM provisionnée],TblCalculs[Cluster],$B42,TblCalculs[Mois],O$33),SUMIFS(TblCalculs[Workers],TblCalculs[Cluster],$B42,TblCalculs[Mois],O$33))))</f>
        <v/>
      </c>
      <c r="P42" s="58" t="str">
        <f aca="false">IF(OR($A42="",P$33=""),"",IF(ca_mesure="CPU",SUMIFS(TblCalculs[CPU provisionné],TblCalculs[Cluster],$B42,TblCalculs[Mois],P$33),IF(ca_mesure="RAM",SUMIFS(TblCalculs[RAM provisionnée],TblCalculs[Cluster],$B42,TblCalculs[Mois],P$33),SUMIFS(TblCalculs[Workers],TblCalculs[Cluster],$B42,TblCalculs[Mois],P$33))))</f>
        <v/>
      </c>
      <c r="Q42" s="58" t="str">
        <f aca="false">IF(OR($A42="",Q$33=""),"",IF(ca_mesure="CPU",SUMIFS(TblCalculs[CPU provisionné],TblCalculs[Cluster],$B42,TblCalculs[Mois],Q$33),IF(ca_mesure="RAM",SUMIFS(TblCalculs[RAM provisionnée],TblCalculs[Cluster],$B42,TblCalculs[Mois],Q$33),SUMIFS(TblCalculs[Workers],TblCalculs[Cluster],$B42,TblCalculs[Mois],Q$33))))</f>
        <v/>
      </c>
      <c r="R42" s="58" t="str">
        <f aca="false">IF(OR($A42="",R$33=""),"",IF(ca_mesure="CPU",SUMIFS(TblCalculs[CPU provisionné],TblCalculs[Cluster],$B42,TblCalculs[Mois],R$33),IF(ca_mesure="RAM",SUMIFS(TblCalculs[RAM provisionnée],TblCalculs[Cluster],$B42,TblCalculs[Mois],R$33),SUMIFS(TblCalculs[Workers],TblCalculs[Cluster],$B42,TblCalculs[Mois],R$33))))</f>
        <v/>
      </c>
      <c r="S42" s="58" t="str">
        <f aca="false">IF(OR($A42="",S$33=""),"",IF(ca_mesure="CPU",SUMIFS(TblCalculs[CPU provisionné],TblCalculs[Cluster],$B42,TblCalculs[Mois],S$33),IF(ca_mesure="RAM",SUMIFS(TblCalculs[RAM provisionnée],TblCalculs[Cluster],$B42,TblCalculs[Mois],S$33),SUMIFS(TblCalculs[Workers],TblCalculs[Cluster],$B42,TblCalculs[Mois],S$33))))</f>
        <v/>
      </c>
      <c r="T42" s="58" t="str">
        <f aca="false">IF(OR($A42="",T$33=""),"",IF(ca_mesure="CPU",SUMIFS(TblCalculs[CPU provisionné],TblCalculs[Cluster],$B42,TblCalculs[Mois],T$33),IF(ca_mesure="RAM",SUMIFS(TblCalculs[RAM provisionnée],TblCalculs[Cluster],$B42,TblCalculs[Mois],T$33),SUMIFS(TblCalculs[Workers],TblCalculs[Cluster],$B42,TblCalculs[Mois],T$33))))</f>
        <v/>
      </c>
      <c r="U42" s="58" t="str">
        <f aca="false">IF(OR($A42="",U$33=""),"",IF(ca_mesure="CPU",SUMIFS(TblCalculs[CPU provisionné],TblCalculs[Cluster],$B42,TblCalculs[Mois],U$33),IF(ca_mesure="RAM",SUMIFS(TblCalculs[RAM provisionnée],TblCalculs[Cluster],$B42,TblCalculs[Mois],U$33),SUMIFS(TblCalculs[Workers],TblCalculs[Cluster],$B42,TblCalculs[Mois],U$33))))</f>
        <v/>
      </c>
      <c r="V42" s="58" t="str">
        <f aca="false">IF(OR($A42="",V$33=""),"",IF(ca_mesure="CPU",SUMIFS(TblCalculs[CPU provisionné],TblCalculs[Cluster],$B42,TblCalculs[Mois],V$33),IF(ca_mesure="RAM",SUMIFS(TblCalculs[RAM provisionnée],TblCalculs[Cluster],$B42,TblCalculs[Mois],V$33),SUMIFS(TblCalculs[Workers],TblCalculs[Cluster],$B42,TblCalculs[Mois],V$33))))</f>
        <v/>
      </c>
      <c r="W42" s="58" t="str">
        <f aca="false">IF(OR($A42="",W$33=""),"",IF(ca_mesure="CPU",SUMIFS(TblCalculs[CPU provisionné],TblCalculs[Cluster],$B42,TblCalculs[Mois],W$33),IF(ca_mesure="RAM",SUMIFS(TblCalculs[RAM provisionnée],TblCalculs[Cluster],$B42,TblCalculs[Mois],W$33),SUMIFS(TblCalculs[Workers],TblCalculs[Cluster],$B42,TblCalculs[Mois],W$33))))</f>
        <v/>
      </c>
      <c r="X42" s="58" t="str">
        <f aca="false">IF(OR($A42="",X$33=""),"",IF(ca_mesure="CPU",SUMIFS(TblCalculs[CPU provisionné],TblCalculs[Cluster],$B42,TblCalculs[Mois],X$33),IF(ca_mesure="RAM",SUMIFS(TblCalculs[RAM provisionnée],TblCalculs[Cluster],$B42,TblCalculs[Mois],X$33),SUMIFS(TblCalculs[Workers],TblCalculs[Cluster],$B42,TblCalculs[Mois],X$33))))</f>
        <v/>
      </c>
      <c r="Y42" s="58" t="str">
        <f aca="false">IF(OR($A42="",Y$33=""),"",IF(ca_mesure="CPU",SUMIFS(TblCalculs[CPU provisionné],TblCalculs[Cluster],$B42,TblCalculs[Mois],Y$33),IF(ca_mesure="RAM",SUMIFS(TblCalculs[RAM provisionnée],TblCalculs[Cluster],$B42,TblCalculs[Mois],Y$33),SUMIFS(TblCalculs[Workers],TblCalculs[Cluster],$B42,TblCalculs[Mois],Y$33))))</f>
        <v/>
      </c>
      <c r="Z42" s="58" t="str">
        <f aca="false">IF(OR($A42="",Z$33=""),"",IF(ca_mesure="CPU",SUMIFS(TblCalculs[CPU provisionné],TblCalculs[Cluster],$B42,TblCalculs[Mois],Z$33),IF(ca_mesure="RAM",SUMIFS(TblCalculs[RAM provisionnée],TblCalculs[Cluster],$B42,TblCalculs[Mois],Z$33),SUMIFS(TblCalculs[Workers],TblCalculs[Cluster],$B42,TblCalculs[Mois],Z$33))))</f>
        <v/>
      </c>
      <c r="AA42" s="58" t="str">
        <f aca="false">IF(OR($A42="",AA$33=""),"",IF(ca_mesure="CPU",SUMIFS(TblCalculs[CPU provisionné],TblCalculs[Cluster],$B42,TblCalculs[Mois],AA$33),IF(ca_mesure="RAM",SUMIFS(TblCalculs[RAM provisionnée],TblCalculs[Cluster],$B42,TblCalculs[Mois],AA$33),SUMIFS(TblCalculs[Workers],TblCalculs[Cluster],$B42,TblCalculs[Mois],AA$33))))</f>
        <v/>
      </c>
      <c r="AB42" s="58" t="str">
        <f aca="false">IF(OR($A42="",AB$33=""),"",IF(ca_mesure="CPU",SUMIFS(TblCalculs[CPU provisionné],TblCalculs[Cluster],$B42,TblCalculs[Mois],AB$33),IF(ca_mesure="RAM",SUMIFS(TblCalculs[RAM provisionnée],TblCalculs[Cluster],$B42,TblCalculs[Mois],AB$33),SUMIFS(TblCalculs[Workers],TblCalculs[Cluster],$B42,TblCalculs[Mois],AB$33))))</f>
        <v/>
      </c>
      <c r="AC42" s="58" t="str">
        <f aca="false">IF(OR($A42="",AC$33=""),"",IF(ca_mesure="CPU",SUMIFS(TblCalculs[CPU provisionné],TblCalculs[Cluster],$B42,TblCalculs[Mois],AC$33),IF(ca_mesure="RAM",SUMIFS(TblCalculs[RAM provisionnée],TblCalculs[Cluster],$B42,TblCalculs[Mois],AC$33),SUMIFS(TblCalculs[Workers],TblCalculs[Cluster],$B42,TblCalculs[Mois],AC$33))))</f>
        <v/>
      </c>
      <c r="AD42" s="58" t="str">
        <f aca="false">IF(OR($A42="",AD$33=""),"",IF(ca_mesure="CPU",SUMIFS(TblCalculs[CPU provisionné],TblCalculs[Cluster],$B42,TblCalculs[Mois],AD$33),IF(ca_mesure="RAM",SUMIFS(TblCalculs[RAM provisionnée],TblCalculs[Cluster],$B42,TblCalculs[Mois],AD$33),SUMIFS(TblCalculs[Workers],TblCalculs[Cluster],$B42,TblCalculs[Mois],AD$33))))</f>
        <v/>
      </c>
      <c r="AE42" s="58" t="str">
        <f aca="false">IF(OR($A42="",AE$33=""),"",IF(ca_mesure="CPU",SUMIFS(TblCalculs[CPU provisionné],TblCalculs[Cluster],$B42,TblCalculs[Mois],AE$33),IF(ca_mesure="RAM",SUMIFS(TblCalculs[RAM provisionnée],TblCalculs[Cluster],$B42,TblCalculs[Mois],AE$33),SUMIFS(TblCalculs[Workers],TblCalculs[Cluster],$B42,TblCalculs[Mois],AE$33))))</f>
        <v/>
      </c>
      <c r="AF42" s="58" t="str">
        <f aca="false">IF(OR($A42="",AF$33=""),"",IF(ca_mesure="CPU",SUMIFS(TblCalculs[CPU provisionné],TblCalculs[Cluster],$B42,TblCalculs[Mois],AF$33),IF(ca_mesure="RAM",SUMIFS(TblCalculs[RAM provisionnée],TblCalculs[Cluster],$B42,TblCalculs[Mois],AF$33),SUMIFS(TblCalculs[Workers],TblCalculs[Cluster],$B42,TblCalculs[Mois],AF$33))))</f>
        <v/>
      </c>
      <c r="AG42" s="58" t="str">
        <f aca="false">IF(OR($A42="",AG$33=""),"",IF(ca_mesure="CPU",SUMIFS(TblCalculs[CPU provisionné],TblCalculs[Cluster],$B42,TblCalculs[Mois],AG$33),IF(ca_mesure="RAM",SUMIFS(TblCalculs[RAM provisionnée],TblCalculs[Cluster],$B42,TblCalculs[Mois],AG$33),SUMIFS(TblCalculs[Workers],TblCalculs[Cluster],$B42,TblCalculs[Mois],AG$33))))</f>
        <v/>
      </c>
      <c r="AH42" s="58" t="str">
        <f aca="false">IF(OR($A42="",AH$33=""),"",IF(ca_mesure="CPU",SUMIFS(TblCalculs[CPU provisionné],TblCalculs[Cluster],$B42,TblCalculs[Mois],AH$33),IF(ca_mesure="RAM",SUMIFS(TblCalculs[RAM provisionnée],TblCalculs[Cluster],$B42,TblCalculs[Mois],AH$33),SUMIFS(TblCalculs[Workers],TblCalculs[Cluster],$B42,TblCalculs[Mois],AH$33))))</f>
        <v/>
      </c>
      <c r="AI42" s="58" t="str">
        <f aca="false">IF(OR($A42="",AI$33=""),"",IF(ca_mesure="CPU",SUMIFS(TblCalculs[CPU provisionné],TblCalculs[Cluster],$B42,TblCalculs[Mois],AI$33),IF(ca_mesure="RAM",SUMIFS(TblCalculs[RAM provisionnée],TblCalculs[Cluster],$B42,TblCalculs[Mois],AI$33),SUMIFS(TblCalculs[Workers],TblCalculs[Cluster],$B42,TblCalculs[Mois],AI$33))))</f>
        <v/>
      </c>
      <c r="AJ42" s="58" t="str">
        <f aca="false">IF(OR($A42="",AJ$33=""),"",IF(ca_mesure="CPU",SUMIFS(TblCalculs[CPU provisionné],TblCalculs[Cluster],$B42,TblCalculs[Mois],AJ$33),IF(ca_mesure="RAM",SUMIFS(TblCalculs[RAM provisionnée],TblCalculs[Cluster],$B42,TblCalculs[Mois],AJ$33),SUMIFS(TblCalculs[Workers],TblCalculs[Cluster],$B42,TblCalculs[Mois],AJ$33))))</f>
        <v/>
      </c>
      <c r="AK42" s="58" t="str">
        <f aca="false">IF(OR($A42="",AK$33=""),"",IF(ca_mesure="CPU",SUMIFS(TblCalculs[CPU provisionné],TblCalculs[Cluster],$B42,TblCalculs[Mois],AK$33),IF(ca_mesure="RAM",SUMIFS(TblCalculs[RAM provisionnée],TblCalculs[Cluster],$B42,TblCalculs[Mois],AK$33),SUMIFS(TblCalculs[Workers],TblCalculs[Cluster],$B42,TblCalculs[Mois],AK$33))))</f>
        <v/>
      </c>
      <c r="AL42" s="58" t="str">
        <f aca="false">IF(OR($A42="",AL$33=""),"",IF(ca_mesure="CPU",SUMIFS(TblCalculs[CPU provisionné],TblCalculs[Cluster],$B42,TblCalculs[Mois],AL$33),IF(ca_mesure="RAM",SUMIFS(TblCalculs[RAM provisionnée],TblCalculs[Cluster],$B42,TblCalculs[Mois],AL$33),SUMIFS(TblCalculs[Workers],TblCalculs[Cluster],$B42,TblCalculs[Mois],AL$33))))</f>
        <v/>
      </c>
      <c r="AM42" s="58" t="str">
        <f aca="false">IF(OR($A42="",AM$33=""),"",IF(ca_mesure="CPU",SUMIFS(TblCalculs[CPU provisionné],TblCalculs[Cluster],$B42,TblCalculs[Mois],AM$33),IF(ca_mesure="RAM",SUMIFS(TblCalculs[RAM provisionnée],TblCalculs[Cluster],$B42,TblCalculs[Mois],AM$33),SUMIFS(TblCalculs[Workers],TblCalculs[Cluster],$B42,TblCalculs[Mois],AM$33))))</f>
        <v/>
      </c>
      <c r="AN42" s="58" t="str">
        <f aca="false">IF(OR($A42="",AN$33=""),"",IF(ca_mesure="CPU",SUMIFS(TblCalculs[CPU provisionné],TblCalculs[Cluster],$B42,TblCalculs[Mois],AN$33),IF(ca_mesure="RAM",SUMIFS(TblCalculs[RAM provisionnée],TblCalculs[Cluster],$B42,TblCalculs[Mois],AN$33),SUMIFS(TblCalculs[Workers],TblCalculs[Cluster],$B42,TblCalculs[Mois],AN$33))))</f>
        <v/>
      </c>
      <c r="AO42" s="58" t="str">
        <f aca="false">IF(OR($A42="",AO$33=""),"",IF(ca_mesure="CPU",SUMIFS(TblCalculs[CPU provisionné],TblCalculs[Cluster],$B42,TblCalculs[Mois],AO$33),IF(ca_mesure="RAM",SUMIFS(TblCalculs[RAM provisionnée],TblCalculs[Cluster],$B42,TblCalculs[Mois],AO$33),SUMIFS(TblCalculs[Workers],TblCalculs[Cluster],$B42,TblCalculs[Mois],AO$33))))</f>
        <v/>
      </c>
    </row>
    <row r="43" customFormat="false" ht="15" hidden="false" customHeight="false" outlineLevel="0" collapsed="false">
      <c r="A43" s="49" t="str">
        <f aca="false">IFERROR(MATCH(10,TblClusters[Rang capacités],0),"")</f>
        <v/>
      </c>
      <c r="B43" s="57" t="str">
        <f aca="false">IF($A43="","",INDEX(TblClusters[Cluster],$A43))</f>
        <v/>
      </c>
      <c r="C43" s="50" t="str">
        <f aca="false">IF($A43="","",INDEX(TblClusters[Plateforme],$A43))</f>
        <v/>
      </c>
      <c r="D43" s="50" t="str">
        <f aca="false">IF($A43="","",INDEX(TblClusters[Environnement],$A43))</f>
        <v/>
      </c>
      <c r="E43" s="50" t="str">
        <f aca="false">IF($A43="","",INDEX(TblClusters[Flavor],$A43))</f>
        <v/>
      </c>
      <c r="F43" s="58" t="str">
        <f aca="false">IF(OR($A43="",F$33=""),"",IF(ca_mesure="CPU",SUMIFS(TblCalculs[CPU provisionné],TblCalculs[Cluster],$B43,TblCalculs[Mois],F$33),IF(ca_mesure="RAM",SUMIFS(TblCalculs[RAM provisionnée],TblCalculs[Cluster],$B43,TblCalculs[Mois],F$33),SUMIFS(TblCalculs[Workers],TblCalculs[Cluster],$B43,TblCalculs[Mois],F$33))))</f>
        <v/>
      </c>
      <c r="G43" s="58" t="str">
        <f aca="false">IF(OR($A43="",G$33=""),"",IF(ca_mesure="CPU",SUMIFS(TblCalculs[CPU provisionné],TblCalculs[Cluster],$B43,TblCalculs[Mois],G$33),IF(ca_mesure="RAM",SUMIFS(TblCalculs[RAM provisionnée],TblCalculs[Cluster],$B43,TblCalculs[Mois],G$33),SUMIFS(TblCalculs[Workers],TblCalculs[Cluster],$B43,TblCalculs[Mois],G$33))))</f>
        <v/>
      </c>
      <c r="H43" s="58" t="str">
        <f aca="false">IF(OR($A43="",H$33=""),"",IF(ca_mesure="CPU",SUMIFS(TblCalculs[CPU provisionné],TblCalculs[Cluster],$B43,TblCalculs[Mois],H$33),IF(ca_mesure="RAM",SUMIFS(TblCalculs[RAM provisionnée],TblCalculs[Cluster],$B43,TblCalculs[Mois],H$33),SUMIFS(TblCalculs[Workers],TblCalculs[Cluster],$B43,TblCalculs[Mois],H$33))))</f>
        <v/>
      </c>
      <c r="I43" s="58" t="str">
        <f aca="false">IF(OR($A43="",I$33=""),"",IF(ca_mesure="CPU",SUMIFS(TblCalculs[CPU provisionné],TblCalculs[Cluster],$B43,TblCalculs[Mois],I$33),IF(ca_mesure="RAM",SUMIFS(TblCalculs[RAM provisionnée],TblCalculs[Cluster],$B43,TblCalculs[Mois],I$33),SUMIFS(TblCalculs[Workers],TblCalculs[Cluster],$B43,TblCalculs[Mois],I$33))))</f>
        <v/>
      </c>
      <c r="J43" s="58" t="str">
        <f aca="false">IF(OR($A43="",J$33=""),"",IF(ca_mesure="CPU",SUMIFS(TblCalculs[CPU provisionné],TblCalculs[Cluster],$B43,TblCalculs[Mois],J$33),IF(ca_mesure="RAM",SUMIFS(TblCalculs[RAM provisionnée],TblCalculs[Cluster],$B43,TblCalculs[Mois],J$33),SUMIFS(TblCalculs[Workers],TblCalculs[Cluster],$B43,TblCalculs[Mois],J$33))))</f>
        <v/>
      </c>
      <c r="K43" s="58" t="str">
        <f aca="false">IF(OR($A43="",K$33=""),"",IF(ca_mesure="CPU",SUMIFS(TblCalculs[CPU provisionné],TblCalculs[Cluster],$B43,TblCalculs[Mois],K$33),IF(ca_mesure="RAM",SUMIFS(TblCalculs[RAM provisionnée],TblCalculs[Cluster],$B43,TblCalculs[Mois],K$33),SUMIFS(TblCalculs[Workers],TblCalculs[Cluster],$B43,TblCalculs[Mois],K$33))))</f>
        <v/>
      </c>
      <c r="L43" s="58" t="str">
        <f aca="false">IF(OR($A43="",L$33=""),"",IF(ca_mesure="CPU",SUMIFS(TblCalculs[CPU provisionné],TblCalculs[Cluster],$B43,TblCalculs[Mois],L$33),IF(ca_mesure="RAM",SUMIFS(TblCalculs[RAM provisionnée],TblCalculs[Cluster],$B43,TblCalculs[Mois],L$33),SUMIFS(TblCalculs[Workers],TblCalculs[Cluster],$B43,TblCalculs[Mois],L$33))))</f>
        <v/>
      </c>
      <c r="M43" s="58" t="str">
        <f aca="false">IF(OR($A43="",M$33=""),"",IF(ca_mesure="CPU",SUMIFS(TblCalculs[CPU provisionné],TblCalculs[Cluster],$B43,TblCalculs[Mois],M$33),IF(ca_mesure="RAM",SUMIFS(TblCalculs[RAM provisionnée],TblCalculs[Cluster],$B43,TblCalculs[Mois],M$33),SUMIFS(TblCalculs[Workers],TblCalculs[Cluster],$B43,TblCalculs[Mois],M$33))))</f>
        <v/>
      </c>
      <c r="N43" s="58" t="str">
        <f aca="false">IF(OR($A43="",N$33=""),"",IF(ca_mesure="CPU",SUMIFS(TblCalculs[CPU provisionné],TblCalculs[Cluster],$B43,TblCalculs[Mois],N$33),IF(ca_mesure="RAM",SUMIFS(TblCalculs[RAM provisionnée],TblCalculs[Cluster],$B43,TblCalculs[Mois],N$33),SUMIFS(TblCalculs[Workers],TblCalculs[Cluster],$B43,TblCalculs[Mois],N$33))))</f>
        <v/>
      </c>
      <c r="O43" s="58" t="str">
        <f aca="false">IF(OR($A43="",O$33=""),"",IF(ca_mesure="CPU",SUMIFS(TblCalculs[CPU provisionné],TblCalculs[Cluster],$B43,TblCalculs[Mois],O$33),IF(ca_mesure="RAM",SUMIFS(TblCalculs[RAM provisionnée],TblCalculs[Cluster],$B43,TblCalculs[Mois],O$33),SUMIFS(TblCalculs[Workers],TblCalculs[Cluster],$B43,TblCalculs[Mois],O$33))))</f>
        <v/>
      </c>
      <c r="P43" s="58" t="str">
        <f aca="false">IF(OR($A43="",P$33=""),"",IF(ca_mesure="CPU",SUMIFS(TblCalculs[CPU provisionné],TblCalculs[Cluster],$B43,TblCalculs[Mois],P$33),IF(ca_mesure="RAM",SUMIFS(TblCalculs[RAM provisionnée],TblCalculs[Cluster],$B43,TblCalculs[Mois],P$33),SUMIFS(TblCalculs[Workers],TblCalculs[Cluster],$B43,TblCalculs[Mois],P$33))))</f>
        <v/>
      </c>
      <c r="Q43" s="58" t="str">
        <f aca="false">IF(OR($A43="",Q$33=""),"",IF(ca_mesure="CPU",SUMIFS(TblCalculs[CPU provisionné],TblCalculs[Cluster],$B43,TblCalculs[Mois],Q$33),IF(ca_mesure="RAM",SUMIFS(TblCalculs[RAM provisionnée],TblCalculs[Cluster],$B43,TblCalculs[Mois],Q$33),SUMIFS(TblCalculs[Workers],TblCalculs[Cluster],$B43,TblCalculs[Mois],Q$33))))</f>
        <v/>
      </c>
      <c r="R43" s="58" t="str">
        <f aca="false">IF(OR($A43="",R$33=""),"",IF(ca_mesure="CPU",SUMIFS(TblCalculs[CPU provisionné],TblCalculs[Cluster],$B43,TblCalculs[Mois],R$33),IF(ca_mesure="RAM",SUMIFS(TblCalculs[RAM provisionnée],TblCalculs[Cluster],$B43,TblCalculs[Mois],R$33),SUMIFS(TblCalculs[Workers],TblCalculs[Cluster],$B43,TblCalculs[Mois],R$33))))</f>
        <v/>
      </c>
      <c r="S43" s="58" t="str">
        <f aca="false">IF(OR($A43="",S$33=""),"",IF(ca_mesure="CPU",SUMIFS(TblCalculs[CPU provisionné],TblCalculs[Cluster],$B43,TblCalculs[Mois],S$33),IF(ca_mesure="RAM",SUMIFS(TblCalculs[RAM provisionnée],TblCalculs[Cluster],$B43,TblCalculs[Mois],S$33),SUMIFS(TblCalculs[Workers],TblCalculs[Cluster],$B43,TblCalculs[Mois],S$33))))</f>
        <v/>
      </c>
      <c r="T43" s="58" t="str">
        <f aca="false">IF(OR($A43="",T$33=""),"",IF(ca_mesure="CPU",SUMIFS(TblCalculs[CPU provisionné],TblCalculs[Cluster],$B43,TblCalculs[Mois],T$33),IF(ca_mesure="RAM",SUMIFS(TblCalculs[RAM provisionnée],TblCalculs[Cluster],$B43,TblCalculs[Mois],T$33),SUMIFS(TblCalculs[Workers],TblCalculs[Cluster],$B43,TblCalculs[Mois],T$33))))</f>
        <v/>
      </c>
      <c r="U43" s="58" t="str">
        <f aca="false">IF(OR($A43="",U$33=""),"",IF(ca_mesure="CPU",SUMIFS(TblCalculs[CPU provisionné],TblCalculs[Cluster],$B43,TblCalculs[Mois],U$33),IF(ca_mesure="RAM",SUMIFS(TblCalculs[RAM provisionnée],TblCalculs[Cluster],$B43,TblCalculs[Mois],U$33),SUMIFS(TblCalculs[Workers],TblCalculs[Cluster],$B43,TblCalculs[Mois],U$33))))</f>
        <v/>
      </c>
      <c r="V43" s="58" t="str">
        <f aca="false">IF(OR($A43="",V$33=""),"",IF(ca_mesure="CPU",SUMIFS(TblCalculs[CPU provisionné],TblCalculs[Cluster],$B43,TblCalculs[Mois],V$33),IF(ca_mesure="RAM",SUMIFS(TblCalculs[RAM provisionnée],TblCalculs[Cluster],$B43,TblCalculs[Mois],V$33),SUMIFS(TblCalculs[Workers],TblCalculs[Cluster],$B43,TblCalculs[Mois],V$33))))</f>
        <v/>
      </c>
      <c r="W43" s="58" t="str">
        <f aca="false">IF(OR($A43="",W$33=""),"",IF(ca_mesure="CPU",SUMIFS(TblCalculs[CPU provisionné],TblCalculs[Cluster],$B43,TblCalculs[Mois],W$33),IF(ca_mesure="RAM",SUMIFS(TblCalculs[RAM provisionnée],TblCalculs[Cluster],$B43,TblCalculs[Mois],W$33),SUMIFS(TblCalculs[Workers],TblCalculs[Cluster],$B43,TblCalculs[Mois],W$33))))</f>
        <v/>
      </c>
      <c r="X43" s="58" t="str">
        <f aca="false">IF(OR($A43="",X$33=""),"",IF(ca_mesure="CPU",SUMIFS(TblCalculs[CPU provisionné],TblCalculs[Cluster],$B43,TblCalculs[Mois],X$33),IF(ca_mesure="RAM",SUMIFS(TblCalculs[RAM provisionnée],TblCalculs[Cluster],$B43,TblCalculs[Mois],X$33),SUMIFS(TblCalculs[Workers],TblCalculs[Cluster],$B43,TblCalculs[Mois],X$33))))</f>
        <v/>
      </c>
      <c r="Y43" s="58" t="str">
        <f aca="false">IF(OR($A43="",Y$33=""),"",IF(ca_mesure="CPU",SUMIFS(TblCalculs[CPU provisionné],TblCalculs[Cluster],$B43,TblCalculs[Mois],Y$33),IF(ca_mesure="RAM",SUMIFS(TblCalculs[RAM provisionnée],TblCalculs[Cluster],$B43,TblCalculs[Mois],Y$33),SUMIFS(TblCalculs[Workers],TblCalculs[Cluster],$B43,TblCalculs[Mois],Y$33))))</f>
        <v/>
      </c>
      <c r="Z43" s="58" t="str">
        <f aca="false">IF(OR($A43="",Z$33=""),"",IF(ca_mesure="CPU",SUMIFS(TblCalculs[CPU provisionné],TblCalculs[Cluster],$B43,TblCalculs[Mois],Z$33),IF(ca_mesure="RAM",SUMIFS(TblCalculs[RAM provisionnée],TblCalculs[Cluster],$B43,TblCalculs[Mois],Z$33),SUMIFS(TblCalculs[Workers],TblCalculs[Cluster],$B43,TblCalculs[Mois],Z$33))))</f>
        <v/>
      </c>
      <c r="AA43" s="58" t="str">
        <f aca="false">IF(OR($A43="",AA$33=""),"",IF(ca_mesure="CPU",SUMIFS(TblCalculs[CPU provisionné],TblCalculs[Cluster],$B43,TblCalculs[Mois],AA$33),IF(ca_mesure="RAM",SUMIFS(TblCalculs[RAM provisionnée],TblCalculs[Cluster],$B43,TblCalculs[Mois],AA$33),SUMIFS(TblCalculs[Workers],TblCalculs[Cluster],$B43,TblCalculs[Mois],AA$33))))</f>
        <v/>
      </c>
      <c r="AB43" s="58" t="str">
        <f aca="false">IF(OR($A43="",AB$33=""),"",IF(ca_mesure="CPU",SUMIFS(TblCalculs[CPU provisionné],TblCalculs[Cluster],$B43,TblCalculs[Mois],AB$33),IF(ca_mesure="RAM",SUMIFS(TblCalculs[RAM provisionnée],TblCalculs[Cluster],$B43,TblCalculs[Mois],AB$33),SUMIFS(TblCalculs[Workers],TblCalculs[Cluster],$B43,TblCalculs[Mois],AB$33))))</f>
        <v/>
      </c>
      <c r="AC43" s="58" t="str">
        <f aca="false">IF(OR($A43="",AC$33=""),"",IF(ca_mesure="CPU",SUMIFS(TblCalculs[CPU provisionné],TblCalculs[Cluster],$B43,TblCalculs[Mois],AC$33),IF(ca_mesure="RAM",SUMIFS(TblCalculs[RAM provisionnée],TblCalculs[Cluster],$B43,TblCalculs[Mois],AC$33),SUMIFS(TblCalculs[Workers],TblCalculs[Cluster],$B43,TblCalculs[Mois],AC$33))))</f>
        <v/>
      </c>
      <c r="AD43" s="58" t="str">
        <f aca="false">IF(OR($A43="",AD$33=""),"",IF(ca_mesure="CPU",SUMIFS(TblCalculs[CPU provisionné],TblCalculs[Cluster],$B43,TblCalculs[Mois],AD$33),IF(ca_mesure="RAM",SUMIFS(TblCalculs[RAM provisionnée],TblCalculs[Cluster],$B43,TblCalculs[Mois],AD$33),SUMIFS(TblCalculs[Workers],TblCalculs[Cluster],$B43,TblCalculs[Mois],AD$33))))</f>
        <v/>
      </c>
      <c r="AE43" s="58" t="str">
        <f aca="false">IF(OR($A43="",AE$33=""),"",IF(ca_mesure="CPU",SUMIFS(TblCalculs[CPU provisionné],TblCalculs[Cluster],$B43,TblCalculs[Mois],AE$33),IF(ca_mesure="RAM",SUMIFS(TblCalculs[RAM provisionnée],TblCalculs[Cluster],$B43,TblCalculs[Mois],AE$33),SUMIFS(TblCalculs[Workers],TblCalculs[Cluster],$B43,TblCalculs[Mois],AE$33))))</f>
        <v/>
      </c>
      <c r="AF43" s="58" t="str">
        <f aca="false">IF(OR($A43="",AF$33=""),"",IF(ca_mesure="CPU",SUMIFS(TblCalculs[CPU provisionné],TblCalculs[Cluster],$B43,TblCalculs[Mois],AF$33),IF(ca_mesure="RAM",SUMIFS(TblCalculs[RAM provisionnée],TblCalculs[Cluster],$B43,TblCalculs[Mois],AF$33),SUMIFS(TblCalculs[Workers],TblCalculs[Cluster],$B43,TblCalculs[Mois],AF$33))))</f>
        <v/>
      </c>
      <c r="AG43" s="58" t="str">
        <f aca="false">IF(OR($A43="",AG$33=""),"",IF(ca_mesure="CPU",SUMIFS(TblCalculs[CPU provisionné],TblCalculs[Cluster],$B43,TblCalculs[Mois],AG$33),IF(ca_mesure="RAM",SUMIFS(TblCalculs[RAM provisionnée],TblCalculs[Cluster],$B43,TblCalculs[Mois],AG$33),SUMIFS(TblCalculs[Workers],TblCalculs[Cluster],$B43,TblCalculs[Mois],AG$33))))</f>
        <v/>
      </c>
      <c r="AH43" s="58" t="str">
        <f aca="false">IF(OR($A43="",AH$33=""),"",IF(ca_mesure="CPU",SUMIFS(TblCalculs[CPU provisionné],TblCalculs[Cluster],$B43,TblCalculs[Mois],AH$33),IF(ca_mesure="RAM",SUMIFS(TblCalculs[RAM provisionnée],TblCalculs[Cluster],$B43,TblCalculs[Mois],AH$33),SUMIFS(TblCalculs[Workers],TblCalculs[Cluster],$B43,TblCalculs[Mois],AH$33))))</f>
        <v/>
      </c>
      <c r="AI43" s="58" t="str">
        <f aca="false">IF(OR($A43="",AI$33=""),"",IF(ca_mesure="CPU",SUMIFS(TblCalculs[CPU provisionné],TblCalculs[Cluster],$B43,TblCalculs[Mois],AI$33),IF(ca_mesure="RAM",SUMIFS(TblCalculs[RAM provisionnée],TblCalculs[Cluster],$B43,TblCalculs[Mois],AI$33),SUMIFS(TblCalculs[Workers],TblCalculs[Cluster],$B43,TblCalculs[Mois],AI$33))))</f>
        <v/>
      </c>
      <c r="AJ43" s="58" t="str">
        <f aca="false">IF(OR($A43="",AJ$33=""),"",IF(ca_mesure="CPU",SUMIFS(TblCalculs[CPU provisionné],TblCalculs[Cluster],$B43,TblCalculs[Mois],AJ$33),IF(ca_mesure="RAM",SUMIFS(TblCalculs[RAM provisionnée],TblCalculs[Cluster],$B43,TblCalculs[Mois],AJ$33),SUMIFS(TblCalculs[Workers],TblCalculs[Cluster],$B43,TblCalculs[Mois],AJ$33))))</f>
        <v/>
      </c>
      <c r="AK43" s="58" t="str">
        <f aca="false">IF(OR($A43="",AK$33=""),"",IF(ca_mesure="CPU",SUMIFS(TblCalculs[CPU provisionné],TblCalculs[Cluster],$B43,TblCalculs[Mois],AK$33),IF(ca_mesure="RAM",SUMIFS(TblCalculs[RAM provisionnée],TblCalculs[Cluster],$B43,TblCalculs[Mois],AK$33),SUMIFS(TblCalculs[Workers],TblCalculs[Cluster],$B43,TblCalculs[Mois],AK$33))))</f>
        <v/>
      </c>
      <c r="AL43" s="58" t="str">
        <f aca="false">IF(OR($A43="",AL$33=""),"",IF(ca_mesure="CPU",SUMIFS(TblCalculs[CPU provisionné],TblCalculs[Cluster],$B43,TblCalculs[Mois],AL$33),IF(ca_mesure="RAM",SUMIFS(TblCalculs[RAM provisionnée],TblCalculs[Cluster],$B43,TblCalculs[Mois],AL$33),SUMIFS(TblCalculs[Workers],TblCalculs[Cluster],$B43,TblCalculs[Mois],AL$33))))</f>
        <v/>
      </c>
      <c r="AM43" s="58" t="str">
        <f aca="false">IF(OR($A43="",AM$33=""),"",IF(ca_mesure="CPU",SUMIFS(TblCalculs[CPU provisionné],TblCalculs[Cluster],$B43,TblCalculs[Mois],AM$33),IF(ca_mesure="RAM",SUMIFS(TblCalculs[RAM provisionnée],TblCalculs[Cluster],$B43,TblCalculs[Mois],AM$33),SUMIFS(TblCalculs[Workers],TblCalculs[Cluster],$B43,TblCalculs[Mois],AM$33))))</f>
        <v/>
      </c>
      <c r="AN43" s="58" t="str">
        <f aca="false">IF(OR($A43="",AN$33=""),"",IF(ca_mesure="CPU",SUMIFS(TblCalculs[CPU provisionné],TblCalculs[Cluster],$B43,TblCalculs[Mois],AN$33),IF(ca_mesure="RAM",SUMIFS(TblCalculs[RAM provisionnée],TblCalculs[Cluster],$B43,TblCalculs[Mois],AN$33),SUMIFS(TblCalculs[Workers],TblCalculs[Cluster],$B43,TblCalculs[Mois],AN$33))))</f>
        <v/>
      </c>
      <c r="AO43" s="58" t="str">
        <f aca="false">IF(OR($A43="",AO$33=""),"",IF(ca_mesure="CPU",SUMIFS(TblCalculs[CPU provisionné],TblCalculs[Cluster],$B43,TblCalculs[Mois],AO$33),IF(ca_mesure="RAM",SUMIFS(TblCalculs[RAM provisionnée],TblCalculs[Cluster],$B43,TblCalculs[Mois],AO$33),SUMIFS(TblCalculs[Workers],TblCalculs[Cluster],$B43,TblCalculs[Mois],AO$33))))</f>
        <v/>
      </c>
    </row>
    <row r="44" customFormat="false" ht="15" hidden="false" customHeight="false" outlineLevel="0" collapsed="false">
      <c r="A44" s="49" t="str">
        <f aca="false">IFERROR(MATCH(11,TblClusters[Rang capacités],0),"")</f>
        <v/>
      </c>
      <c r="B44" s="57" t="str">
        <f aca="false">IF($A44="","",INDEX(TblClusters[Cluster],$A44))</f>
        <v/>
      </c>
      <c r="C44" s="50" t="str">
        <f aca="false">IF($A44="","",INDEX(TblClusters[Plateforme],$A44))</f>
        <v/>
      </c>
      <c r="D44" s="50" t="str">
        <f aca="false">IF($A44="","",INDEX(TblClusters[Environnement],$A44))</f>
        <v/>
      </c>
      <c r="E44" s="50" t="str">
        <f aca="false">IF($A44="","",INDEX(TblClusters[Flavor],$A44))</f>
        <v/>
      </c>
      <c r="F44" s="58" t="str">
        <f aca="false">IF(OR($A44="",F$33=""),"",IF(ca_mesure="CPU",SUMIFS(TblCalculs[CPU provisionné],TblCalculs[Cluster],$B44,TblCalculs[Mois],F$33),IF(ca_mesure="RAM",SUMIFS(TblCalculs[RAM provisionnée],TblCalculs[Cluster],$B44,TblCalculs[Mois],F$33),SUMIFS(TblCalculs[Workers],TblCalculs[Cluster],$B44,TblCalculs[Mois],F$33))))</f>
        <v/>
      </c>
      <c r="G44" s="58" t="str">
        <f aca="false">IF(OR($A44="",G$33=""),"",IF(ca_mesure="CPU",SUMIFS(TblCalculs[CPU provisionné],TblCalculs[Cluster],$B44,TblCalculs[Mois],G$33),IF(ca_mesure="RAM",SUMIFS(TblCalculs[RAM provisionnée],TblCalculs[Cluster],$B44,TblCalculs[Mois],G$33),SUMIFS(TblCalculs[Workers],TblCalculs[Cluster],$B44,TblCalculs[Mois],G$33))))</f>
        <v/>
      </c>
      <c r="H44" s="58" t="str">
        <f aca="false">IF(OR($A44="",H$33=""),"",IF(ca_mesure="CPU",SUMIFS(TblCalculs[CPU provisionné],TblCalculs[Cluster],$B44,TblCalculs[Mois],H$33),IF(ca_mesure="RAM",SUMIFS(TblCalculs[RAM provisionnée],TblCalculs[Cluster],$B44,TblCalculs[Mois],H$33),SUMIFS(TblCalculs[Workers],TblCalculs[Cluster],$B44,TblCalculs[Mois],H$33))))</f>
        <v/>
      </c>
      <c r="I44" s="58" t="str">
        <f aca="false">IF(OR($A44="",I$33=""),"",IF(ca_mesure="CPU",SUMIFS(TblCalculs[CPU provisionné],TblCalculs[Cluster],$B44,TblCalculs[Mois],I$33),IF(ca_mesure="RAM",SUMIFS(TblCalculs[RAM provisionnée],TblCalculs[Cluster],$B44,TblCalculs[Mois],I$33),SUMIFS(TblCalculs[Workers],TblCalculs[Cluster],$B44,TblCalculs[Mois],I$33))))</f>
        <v/>
      </c>
      <c r="J44" s="58" t="str">
        <f aca="false">IF(OR($A44="",J$33=""),"",IF(ca_mesure="CPU",SUMIFS(TblCalculs[CPU provisionné],TblCalculs[Cluster],$B44,TblCalculs[Mois],J$33),IF(ca_mesure="RAM",SUMIFS(TblCalculs[RAM provisionnée],TblCalculs[Cluster],$B44,TblCalculs[Mois],J$33),SUMIFS(TblCalculs[Workers],TblCalculs[Cluster],$B44,TblCalculs[Mois],J$33))))</f>
        <v/>
      </c>
      <c r="K44" s="58" t="str">
        <f aca="false">IF(OR($A44="",K$33=""),"",IF(ca_mesure="CPU",SUMIFS(TblCalculs[CPU provisionné],TblCalculs[Cluster],$B44,TblCalculs[Mois],K$33),IF(ca_mesure="RAM",SUMIFS(TblCalculs[RAM provisionnée],TblCalculs[Cluster],$B44,TblCalculs[Mois],K$33),SUMIFS(TblCalculs[Workers],TblCalculs[Cluster],$B44,TblCalculs[Mois],K$33))))</f>
        <v/>
      </c>
      <c r="L44" s="58" t="str">
        <f aca="false">IF(OR($A44="",L$33=""),"",IF(ca_mesure="CPU",SUMIFS(TblCalculs[CPU provisionné],TblCalculs[Cluster],$B44,TblCalculs[Mois],L$33),IF(ca_mesure="RAM",SUMIFS(TblCalculs[RAM provisionnée],TblCalculs[Cluster],$B44,TblCalculs[Mois],L$33),SUMIFS(TblCalculs[Workers],TblCalculs[Cluster],$B44,TblCalculs[Mois],L$33))))</f>
        <v/>
      </c>
      <c r="M44" s="58" t="str">
        <f aca="false">IF(OR($A44="",M$33=""),"",IF(ca_mesure="CPU",SUMIFS(TblCalculs[CPU provisionné],TblCalculs[Cluster],$B44,TblCalculs[Mois],M$33),IF(ca_mesure="RAM",SUMIFS(TblCalculs[RAM provisionnée],TblCalculs[Cluster],$B44,TblCalculs[Mois],M$33),SUMIFS(TblCalculs[Workers],TblCalculs[Cluster],$B44,TblCalculs[Mois],M$33))))</f>
        <v/>
      </c>
      <c r="N44" s="58" t="str">
        <f aca="false">IF(OR($A44="",N$33=""),"",IF(ca_mesure="CPU",SUMIFS(TblCalculs[CPU provisionné],TblCalculs[Cluster],$B44,TblCalculs[Mois],N$33),IF(ca_mesure="RAM",SUMIFS(TblCalculs[RAM provisionnée],TblCalculs[Cluster],$B44,TblCalculs[Mois],N$33),SUMIFS(TblCalculs[Workers],TblCalculs[Cluster],$B44,TblCalculs[Mois],N$33))))</f>
        <v/>
      </c>
      <c r="O44" s="58" t="str">
        <f aca="false">IF(OR($A44="",O$33=""),"",IF(ca_mesure="CPU",SUMIFS(TblCalculs[CPU provisionné],TblCalculs[Cluster],$B44,TblCalculs[Mois],O$33),IF(ca_mesure="RAM",SUMIFS(TblCalculs[RAM provisionnée],TblCalculs[Cluster],$B44,TblCalculs[Mois],O$33),SUMIFS(TblCalculs[Workers],TblCalculs[Cluster],$B44,TblCalculs[Mois],O$33))))</f>
        <v/>
      </c>
      <c r="P44" s="58" t="str">
        <f aca="false">IF(OR($A44="",P$33=""),"",IF(ca_mesure="CPU",SUMIFS(TblCalculs[CPU provisionné],TblCalculs[Cluster],$B44,TblCalculs[Mois],P$33),IF(ca_mesure="RAM",SUMIFS(TblCalculs[RAM provisionnée],TblCalculs[Cluster],$B44,TblCalculs[Mois],P$33),SUMIFS(TblCalculs[Workers],TblCalculs[Cluster],$B44,TblCalculs[Mois],P$33))))</f>
        <v/>
      </c>
      <c r="Q44" s="58" t="str">
        <f aca="false">IF(OR($A44="",Q$33=""),"",IF(ca_mesure="CPU",SUMIFS(TblCalculs[CPU provisionné],TblCalculs[Cluster],$B44,TblCalculs[Mois],Q$33),IF(ca_mesure="RAM",SUMIFS(TblCalculs[RAM provisionnée],TblCalculs[Cluster],$B44,TblCalculs[Mois],Q$33),SUMIFS(TblCalculs[Workers],TblCalculs[Cluster],$B44,TblCalculs[Mois],Q$33))))</f>
        <v/>
      </c>
      <c r="R44" s="58" t="str">
        <f aca="false">IF(OR($A44="",R$33=""),"",IF(ca_mesure="CPU",SUMIFS(TblCalculs[CPU provisionné],TblCalculs[Cluster],$B44,TblCalculs[Mois],R$33),IF(ca_mesure="RAM",SUMIFS(TblCalculs[RAM provisionnée],TblCalculs[Cluster],$B44,TblCalculs[Mois],R$33),SUMIFS(TblCalculs[Workers],TblCalculs[Cluster],$B44,TblCalculs[Mois],R$33))))</f>
        <v/>
      </c>
      <c r="S44" s="58" t="str">
        <f aca="false">IF(OR($A44="",S$33=""),"",IF(ca_mesure="CPU",SUMIFS(TblCalculs[CPU provisionné],TblCalculs[Cluster],$B44,TblCalculs[Mois],S$33),IF(ca_mesure="RAM",SUMIFS(TblCalculs[RAM provisionnée],TblCalculs[Cluster],$B44,TblCalculs[Mois],S$33),SUMIFS(TblCalculs[Workers],TblCalculs[Cluster],$B44,TblCalculs[Mois],S$33))))</f>
        <v/>
      </c>
      <c r="T44" s="58" t="str">
        <f aca="false">IF(OR($A44="",T$33=""),"",IF(ca_mesure="CPU",SUMIFS(TblCalculs[CPU provisionné],TblCalculs[Cluster],$B44,TblCalculs[Mois],T$33),IF(ca_mesure="RAM",SUMIFS(TblCalculs[RAM provisionnée],TblCalculs[Cluster],$B44,TblCalculs[Mois],T$33),SUMIFS(TblCalculs[Workers],TblCalculs[Cluster],$B44,TblCalculs[Mois],T$33))))</f>
        <v/>
      </c>
      <c r="U44" s="58" t="str">
        <f aca="false">IF(OR($A44="",U$33=""),"",IF(ca_mesure="CPU",SUMIFS(TblCalculs[CPU provisionné],TblCalculs[Cluster],$B44,TblCalculs[Mois],U$33),IF(ca_mesure="RAM",SUMIFS(TblCalculs[RAM provisionnée],TblCalculs[Cluster],$B44,TblCalculs[Mois],U$33),SUMIFS(TblCalculs[Workers],TblCalculs[Cluster],$B44,TblCalculs[Mois],U$33))))</f>
        <v/>
      </c>
      <c r="V44" s="58" t="str">
        <f aca="false">IF(OR($A44="",V$33=""),"",IF(ca_mesure="CPU",SUMIFS(TblCalculs[CPU provisionné],TblCalculs[Cluster],$B44,TblCalculs[Mois],V$33),IF(ca_mesure="RAM",SUMIFS(TblCalculs[RAM provisionnée],TblCalculs[Cluster],$B44,TblCalculs[Mois],V$33),SUMIFS(TblCalculs[Workers],TblCalculs[Cluster],$B44,TblCalculs[Mois],V$33))))</f>
        <v/>
      </c>
      <c r="W44" s="58" t="str">
        <f aca="false">IF(OR($A44="",W$33=""),"",IF(ca_mesure="CPU",SUMIFS(TblCalculs[CPU provisionné],TblCalculs[Cluster],$B44,TblCalculs[Mois],W$33),IF(ca_mesure="RAM",SUMIFS(TblCalculs[RAM provisionnée],TblCalculs[Cluster],$B44,TblCalculs[Mois],W$33),SUMIFS(TblCalculs[Workers],TblCalculs[Cluster],$B44,TblCalculs[Mois],W$33))))</f>
        <v/>
      </c>
      <c r="X44" s="58" t="str">
        <f aca="false">IF(OR($A44="",X$33=""),"",IF(ca_mesure="CPU",SUMIFS(TblCalculs[CPU provisionné],TblCalculs[Cluster],$B44,TblCalculs[Mois],X$33),IF(ca_mesure="RAM",SUMIFS(TblCalculs[RAM provisionnée],TblCalculs[Cluster],$B44,TblCalculs[Mois],X$33),SUMIFS(TblCalculs[Workers],TblCalculs[Cluster],$B44,TblCalculs[Mois],X$33))))</f>
        <v/>
      </c>
      <c r="Y44" s="58" t="str">
        <f aca="false">IF(OR($A44="",Y$33=""),"",IF(ca_mesure="CPU",SUMIFS(TblCalculs[CPU provisionné],TblCalculs[Cluster],$B44,TblCalculs[Mois],Y$33),IF(ca_mesure="RAM",SUMIFS(TblCalculs[RAM provisionnée],TblCalculs[Cluster],$B44,TblCalculs[Mois],Y$33),SUMIFS(TblCalculs[Workers],TblCalculs[Cluster],$B44,TblCalculs[Mois],Y$33))))</f>
        <v/>
      </c>
      <c r="Z44" s="58" t="str">
        <f aca="false">IF(OR($A44="",Z$33=""),"",IF(ca_mesure="CPU",SUMIFS(TblCalculs[CPU provisionné],TblCalculs[Cluster],$B44,TblCalculs[Mois],Z$33),IF(ca_mesure="RAM",SUMIFS(TblCalculs[RAM provisionnée],TblCalculs[Cluster],$B44,TblCalculs[Mois],Z$33),SUMIFS(TblCalculs[Workers],TblCalculs[Cluster],$B44,TblCalculs[Mois],Z$33))))</f>
        <v/>
      </c>
      <c r="AA44" s="58" t="str">
        <f aca="false">IF(OR($A44="",AA$33=""),"",IF(ca_mesure="CPU",SUMIFS(TblCalculs[CPU provisionné],TblCalculs[Cluster],$B44,TblCalculs[Mois],AA$33),IF(ca_mesure="RAM",SUMIFS(TblCalculs[RAM provisionnée],TblCalculs[Cluster],$B44,TblCalculs[Mois],AA$33),SUMIFS(TblCalculs[Workers],TblCalculs[Cluster],$B44,TblCalculs[Mois],AA$33))))</f>
        <v/>
      </c>
      <c r="AB44" s="58" t="str">
        <f aca="false">IF(OR($A44="",AB$33=""),"",IF(ca_mesure="CPU",SUMIFS(TblCalculs[CPU provisionné],TblCalculs[Cluster],$B44,TblCalculs[Mois],AB$33),IF(ca_mesure="RAM",SUMIFS(TblCalculs[RAM provisionnée],TblCalculs[Cluster],$B44,TblCalculs[Mois],AB$33),SUMIFS(TblCalculs[Workers],TblCalculs[Cluster],$B44,TblCalculs[Mois],AB$33))))</f>
        <v/>
      </c>
      <c r="AC44" s="58" t="str">
        <f aca="false">IF(OR($A44="",AC$33=""),"",IF(ca_mesure="CPU",SUMIFS(TblCalculs[CPU provisionné],TblCalculs[Cluster],$B44,TblCalculs[Mois],AC$33),IF(ca_mesure="RAM",SUMIFS(TblCalculs[RAM provisionnée],TblCalculs[Cluster],$B44,TblCalculs[Mois],AC$33),SUMIFS(TblCalculs[Workers],TblCalculs[Cluster],$B44,TblCalculs[Mois],AC$33))))</f>
        <v/>
      </c>
      <c r="AD44" s="58" t="str">
        <f aca="false">IF(OR($A44="",AD$33=""),"",IF(ca_mesure="CPU",SUMIFS(TblCalculs[CPU provisionné],TblCalculs[Cluster],$B44,TblCalculs[Mois],AD$33),IF(ca_mesure="RAM",SUMIFS(TblCalculs[RAM provisionnée],TblCalculs[Cluster],$B44,TblCalculs[Mois],AD$33),SUMIFS(TblCalculs[Workers],TblCalculs[Cluster],$B44,TblCalculs[Mois],AD$33))))</f>
        <v/>
      </c>
      <c r="AE44" s="58" t="str">
        <f aca="false">IF(OR($A44="",AE$33=""),"",IF(ca_mesure="CPU",SUMIFS(TblCalculs[CPU provisionné],TblCalculs[Cluster],$B44,TblCalculs[Mois],AE$33),IF(ca_mesure="RAM",SUMIFS(TblCalculs[RAM provisionnée],TblCalculs[Cluster],$B44,TblCalculs[Mois],AE$33),SUMIFS(TblCalculs[Workers],TblCalculs[Cluster],$B44,TblCalculs[Mois],AE$33))))</f>
        <v/>
      </c>
      <c r="AF44" s="58" t="str">
        <f aca="false">IF(OR($A44="",AF$33=""),"",IF(ca_mesure="CPU",SUMIFS(TblCalculs[CPU provisionné],TblCalculs[Cluster],$B44,TblCalculs[Mois],AF$33),IF(ca_mesure="RAM",SUMIFS(TblCalculs[RAM provisionnée],TblCalculs[Cluster],$B44,TblCalculs[Mois],AF$33),SUMIFS(TblCalculs[Workers],TblCalculs[Cluster],$B44,TblCalculs[Mois],AF$33))))</f>
        <v/>
      </c>
      <c r="AG44" s="58" t="str">
        <f aca="false">IF(OR($A44="",AG$33=""),"",IF(ca_mesure="CPU",SUMIFS(TblCalculs[CPU provisionné],TblCalculs[Cluster],$B44,TblCalculs[Mois],AG$33),IF(ca_mesure="RAM",SUMIFS(TblCalculs[RAM provisionnée],TblCalculs[Cluster],$B44,TblCalculs[Mois],AG$33),SUMIFS(TblCalculs[Workers],TblCalculs[Cluster],$B44,TblCalculs[Mois],AG$33))))</f>
        <v/>
      </c>
      <c r="AH44" s="58" t="str">
        <f aca="false">IF(OR($A44="",AH$33=""),"",IF(ca_mesure="CPU",SUMIFS(TblCalculs[CPU provisionné],TblCalculs[Cluster],$B44,TblCalculs[Mois],AH$33),IF(ca_mesure="RAM",SUMIFS(TblCalculs[RAM provisionnée],TblCalculs[Cluster],$B44,TblCalculs[Mois],AH$33),SUMIFS(TblCalculs[Workers],TblCalculs[Cluster],$B44,TblCalculs[Mois],AH$33))))</f>
        <v/>
      </c>
      <c r="AI44" s="58" t="str">
        <f aca="false">IF(OR($A44="",AI$33=""),"",IF(ca_mesure="CPU",SUMIFS(TblCalculs[CPU provisionné],TblCalculs[Cluster],$B44,TblCalculs[Mois],AI$33),IF(ca_mesure="RAM",SUMIFS(TblCalculs[RAM provisionnée],TblCalculs[Cluster],$B44,TblCalculs[Mois],AI$33),SUMIFS(TblCalculs[Workers],TblCalculs[Cluster],$B44,TblCalculs[Mois],AI$33))))</f>
        <v/>
      </c>
      <c r="AJ44" s="58" t="str">
        <f aca="false">IF(OR($A44="",AJ$33=""),"",IF(ca_mesure="CPU",SUMIFS(TblCalculs[CPU provisionné],TblCalculs[Cluster],$B44,TblCalculs[Mois],AJ$33),IF(ca_mesure="RAM",SUMIFS(TblCalculs[RAM provisionnée],TblCalculs[Cluster],$B44,TblCalculs[Mois],AJ$33),SUMIFS(TblCalculs[Workers],TblCalculs[Cluster],$B44,TblCalculs[Mois],AJ$33))))</f>
        <v/>
      </c>
      <c r="AK44" s="58" t="str">
        <f aca="false">IF(OR($A44="",AK$33=""),"",IF(ca_mesure="CPU",SUMIFS(TblCalculs[CPU provisionné],TblCalculs[Cluster],$B44,TblCalculs[Mois],AK$33),IF(ca_mesure="RAM",SUMIFS(TblCalculs[RAM provisionnée],TblCalculs[Cluster],$B44,TblCalculs[Mois],AK$33),SUMIFS(TblCalculs[Workers],TblCalculs[Cluster],$B44,TblCalculs[Mois],AK$33))))</f>
        <v/>
      </c>
      <c r="AL44" s="58" t="str">
        <f aca="false">IF(OR($A44="",AL$33=""),"",IF(ca_mesure="CPU",SUMIFS(TblCalculs[CPU provisionné],TblCalculs[Cluster],$B44,TblCalculs[Mois],AL$33),IF(ca_mesure="RAM",SUMIFS(TblCalculs[RAM provisionnée],TblCalculs[Cluster],$B44,TblCalculs[Mois],AL$33),SUMIFS(TblCalculs[Workers],TblCalculs[Cluster],$B44,TblCalculs[Mois],AL$33))))</f>
        <v/>
      </c>
      <c r="AM44" s="58" t="str">
        <f aca="false">IF(OR($A44="",AM$33=""),"",IF(ca_mesure="CPU",SUMIFS(TblCalculs[CPU provisionné],TblCalculs[Cluster],$B44,TblCalculs[Mois],AM$33),IF(ca_mesure="RAM",SUMIFS(TblCalculs[RAM provisionnée],TblCalculs[Cluster],$B44,TblCalculs[Mois],AM$33),SUMIFS(TblCalculs[Workers],TblCalculs[Cluster],$B44,TblCalculs[Mois],AM$33))))</f>
        <v/>
      </c>
      <c r="AN44" s="58" t="str">
        <f aca="false">IF(OR($A44="",AN$33=""),"",IF(ca_mesure="CPU",SUMIFS(TblCalculs[CPU provisionné],TblCalculs[Cluster],$B44,TblCalculs[Mois],AN$33),IF(ca_mesure="RAM",SUMIFS(TblCalculs[RAM provisionnée],TblCalculs[Cluster],$B44,TblCalculs[Mois],AN$33),SUMIFS(TblCalculs[Workers],TblCalculs[Cluster],$B44,TblCalculs[Mois],AN$33))))</f>
        <v/>
      </c>
      <c r="AO44" s="58" t="str">
        <f aca="false">IF(OR($A44="",AO$33=""),"",IF(ca_mesure="CPU",SUMIFS(TblCalculs[CPU provisionné],TblCalculs[Cluster],$B44,TblCalculs[Mois],AO$33),IF(ca_mesure="RAM",SUMIFS(TblCalculs[RAM provisionnée],TblCalculs[Cluster],$B44,TblCalculs[Mois],AO$33),SUMIFS(TblCalculs[Workers],TblCalculs[Cluster],$B44,TblCalculs[Mois],AO$33))))</f>
        <v/>
      </c>
    </row>
    <row r="45" customFormat="false" ht="15" hidden="false" customHeight="false" outlineLevel="0" collapsed="false">
      <c r="A45" s="49" t="str">
        <f aca="false">IFERROR(MATCH(12,TblClusters[Rang capacités],0),"")</f>
        <v/>
      </c>
      <c r="B45" s="57" t="str">
        <f aca="false">IF($A45="","",INDEX(TblClusters[Cluster],$A45))</f>
        <v/>
      </c>
      <c r="C45" s="50" t="str">
        <f aca="false">IF($A45="","",INDEX(TblClusters[Plateforme],$A45))</f>
        <v/>
      </c>
      <c r="D45" s="50" t="str">
        <f aca="false">IF($A45="","",INDEX(TblClusters[Environnement],$A45))</f>
        <v/>
      </c>
      <c r="E45" s="50" t="str">
        <f aca="false">IF($A45="","",INDEX(TblClusters[Flavor],$A45))</f>
        <v/>
      </c>
      <c r="F45" s="58" t="str">
        <f aca="false">IF(OR($A45="",F$33=""),"",IF(ca_mesure="CPU",SUMIFS(TblCalculs[CPU provisionné],TblCalculs[Cluster],$B45,TblCalculs[Mois],F$33),IF(ca_mesure="RAM",SUMIFS(TblCalculs[RAM provisionnée],TblCalculs[Cluster],$B45,TblCalculs[Mois],F$33),SUMIFS(TblCalculs[Workers],TblCalculs[Cluster],$B45,TblCalculs[Mois],F$33))))</f>
        <v/>
      </c>
      <c r="G45" s="58" t="str">
        <f aca="false">IF(OR($A45="",G$33=""),"",IF(ca_mesure="CPU",SUMIFS(TblCalculs[CPU provisionné],TblCalculs[Cluster],$B45,TblCalculs[Mois],G$33),IF(ca_mesure="RAM",SUMIFS(TblCalculs[RAM provisionnée],TblCalculs[Cluster],$B45,TblCalculs[Mois],G$33),SUMIFS(TblCalculs[Workers],TblCalculs[Cluster],$B45,TblCalculs[Mois],G$33))))</f>
        <v/>
      </c>
      <c r="H45" s="58" t="str">
        <f aca="false">IF(OR($A45="",H$33=""),"",IF(ca_mesure="CPU",SUMIFS(TblCalculs[CPU provisionné],TblCalculs[Cluster],$B45,TblCalculs[Mois],H$33),IF(ca_mesure="RAM",SUMIFS(TblCalculs[RAM provisionnée],TblCalculs[Cluster],$B45,TblCalculs[Mois],H$33),SUMIFS(TblCalculs[Workers],TblCalculs[Cluster],$B45,TblCalculs[Mois],H$33))))</f>
        <v/>
      </c>
      <c r="I45" s="58" t="str">
        <f aca="false">IF(OR($A45="",I$33=""),"",IF(ca_mesure="CPU",SUMIFS(TblCalculs[CPU provisionné],TblCalculs[Cluster],$B45,TblCalculs[Mois],I$33),IF(ca_mesure="RAM",SUMIFS(TblCalculs[RAM provisionnée],TblCalculs[Cluster],$B45,TblCalculs[Mois],I$33),SUMIFS(TblCalculs[Workers],TblCalculs[Cluster],$B45,TblCalculs[Mois],I$33))))</f>
        <v/>
      </c>
      <c r="J45" s="58" t="str">
        <f aca="false">IF(OR($A45="",J$33=""),"",IF(ca_mesure="CPU",SUMIFS(TblCalculs[CPU provisionné],TblCalculs[Cluster],$B45,TblCalculs[Mois],J$33),IF(ca_mesure="RAM",SUMIFS(TblCalculs[RAM provisionnée],TblCalculs[Cluster],$B45,TblCalculs[Mois],J$33),SUMIFS(TblCalculs[Workers],TblCalculs[Cluster],$B45,TblCalculs[Mois],J$33))))</f>
        <v/>
      </c>
      <c r="K45" s="58" t="str">
        <f aca="false">IF(OR($A45="",K$33=""),"",IF(ca_mesure="CPU",SUMIFS(TblCalculs[CPU provisionné],TblCalculs[Cluster],$B45,TblCalculs[Mois],K$33),IF(ca_mesure="RAM",SUMIFS(TblCalculs[RAM provisionnée],TblCalculs[Cluster],$B45,TblCalculs[Mois],K$33),SUMIFS(TblCalculs[Workers],TblCalculs[Cluster],$B45,TblCalculs[Mois],K$33))))</f>
        <v/>
      </c>
      <c r="L45" s="58" t="str">
        <f aca="false">IF(OR($A45="",L$33=""),"",IF(ca_mesure="CPU",SUMIFS(TblCalculs[CPU provisionné],TblCalculs[Cluster],$B45,TblCalculs[Mois],L$33),IF(ca_mesure="RAM",SUMIFS(TblCalculs[RAM provisionnée],TblCalculs[Cluster],$B45,TblCalculs[Mois],L$33),SUMIFS(TblCalculs[Workers],TblCalculs[Cluster],$B45,TblCalculs[Mois],L$33))))</f>
        <v/>
      </c>
      <c r="M45" s="58" t="str">
        <f aca="false">IF(OR($A45="",M$33=""),"",IF(ca_mesure="CPU",SUMIFS(TblCalculs[CPU provisionné],TblCalculs[Cluster],$B45,TblCalculs[Mois],M$33),IF(ca_mesure="RAM",SUMIFS(TblCalculs[RAM provisionnée],TblCalculs[Cluster],$B45,TblCalculs[Mois],M$33),SUMIFS(TblCalculs[Workers],TblCalculs[Cluster],$B45,TblCalculs[Mois],M$33))))</f>
        <v/>
      </c>
      <c r="N45" s="58" t="str">
        <f aca="false">IF(OR($A45="",N$33=""),"",IF(ca_mesure="CPU",SUMIFS(TblCalculs[CPU provisionné],TblCalculs[Cluster],$B45,TblCalculs[Mois],N$33),IF(ca_mesure="RAM",SUMIFS(TblCalculs[RAM provisionnée],TblCalculs[Cluster],$B45,TblCalculs[Mois],N$33),SUMIFS(TblCalculs[Workers],TblCalculs[Cluster],$B45,TblCalculs[Mois],N$33))))</f>
        <v/>
      </c>
      <c r="O45" s="58" t="str">
        <f aca="false">IF(OR($A45="",O$33=""),"",IF(ca_mesure="CPU",SUMIFS(TblCalculs[CPU provisionné],TblCalculs[Cluster],$B45,TblCalculs[Mois],O$33),IF(ca_mesure="RAM",SUMIFS(TblCalculs[RAM provisionnée],TblCalculs[Cluster],$B45,TblCalculs[Mois],O$33),SUMIFS(TblCalculs[Workers],TblCalculs[Cluster],$B45,TblCalculs[Mois],O$33))))</f>
        <v/>
      </c>
      <c r="P45" s="58" t="str">
        <f aca="false">IF(OR($A45="",P$33=""),"",IF(ca_mesure="CPU",SUMIFS(TblCalculs[CPU provisionné],TblCalculs[Cluster],$B45,TblCalculs[Mois],P$33),IF(ca_mesure="RAM",SUMIFS(TblCalculs[RAM provisionnée],TblCalculs[Cluster],$B45,TblCalculs[Mois],P$33),SUMIFS(TblCalculs[Workers],TblCalculs[Cluster],$B45,TblCalculs[Mois],P$33))))</f>
        <v/>
      </c>
      <c r="Q45" s="58" t="str">
        <f aca="false">IF(OR($A45="",Q$33=""),"",IF(ca_mesure="CPU",SUMIFS(TblCalculs[CPU provisionné],TblCalculs[Cluster],$B45,TblCalculs[Mois],Q$33),IF(ca_mesure="RAM",SUMIFS(TblCalculs[RAM provisionnée],TblCalculs[Cluster],$B45,TblCalculs[Mois],Q$33),SUMIFS(TblCalculs[Workers],TblCalculs[Cluster],$B45,TblCalculs[Mois],Q$33))))</f>
        <v/>
      </c>
      <c r="R45" s="58" t="str">
        <f aca="false">IF(OR($A45="",R$33=""),"",IF(ca_mesure="CPU",SUMIFS(TblCalculs[CPU provisionné],TblCalculs[Cluster],$B45,TblCalculs[Mois],R$33),IF(ca_mesure="RAM",SUMIFS(TblCalculs[RAM provisionnée],TblCalculs[Cluster],$B45,TblCalculs[Mois],R$33),SUMIFS(TblCalculs[Workers],TblCalculs[Cluster],$B45,TblCalculs[Mois],R$33))))</f>
        <v/>
      </c>
      <c r="S45" s="58" t="str">
        <f aca="false">IF(OR($A45="",S$33=""),"",IF(ca_mesure="CPU",SUMIFS(TblCalculs[CPU provisionné],TblCalculs[Cluster],$B45,TblCalculs[Mois],S$33),IF(ca_mesure="RAM",SUMIFS(TblCalculs[RAM provisionnée],TblCalculs[Cluster],$B45,TblCalculs[Mois],S$33),SUMIFS(TblCalculs[Workers],TblCalculs[Cluster],$B45,TblCalculs[Mois],S$33))))</f>
        <v/>
      </c>
      <c r="T45" s="58" t="str">
        <f aca="false">IF(OR($A45="",T$33=""),"",IF(ca_mesure="CPU",SUMIFS(TblCalculs[CPU provisionné],TblCalculs[Cluster],$B45,TblCalculs[Mois],T$33),IF(ca_mesure="RAM",SUMIFS(TblCalculs[RAM provisionnée],TblCalculs[Cluster],$B45,TblCalculs[Mois],T$33),SUMIFS(TblCalculs[Workers],TblCalculs[Cluster],$B45,TblCalculs[Mois],T$33))))</f>
        <v/>
      </c>
      <c r="U45" s="58" t="str">
        <f aca="false">IF(OR($A45="",U$33=""),"",IF(ca_mesure="CPU",SUMIFS(TblCalculs[CPU provisionné],TblCalculs[Cluster],$B45,TblCalculs[Mois],U$33),IF(ca_mesure="RAM",SUMIFS(TblCalculs[RAM provisionnée],TblCalculs[Cluster],$B45,TblCalculs[Mois],U$33),SUMIFS(TblCalculs[Workers],TblCalculs[Cluster],$B45,TblCalculs[Mois],U$33))))</f>
        <v/>
      </c>
      <c r="V45" s="58" t="str">
        <f aca="false">IF(OR($A45="",V$33=""),"",IF(ca_mesure="CPU",SUMIFS(TblCalculs[CPU provisionné],TblCalculs[Cluster],$B45,TblCalculs[Mois],V$33),IF(ca_mesure="RAM",SUMIFS(TblCalculs[RAM provisionnée],TblCalculs[Cluster],$B45,TblCalculs[Mois],V$33),SUMIFS(TblCalculs[Workers],TblCalculs[Cluster],$B45,TblCalculs[Mois],V$33))))</f>
        <v/>
      </c>
      <c r="W45" s="58" t="str">
        <f aca="false">IF(OR($A45="",W$33=""),"",IF(ca_mesure="CPU",SUMIFS(TblCalculs[CPU provisionné],TblCalculs[Cluster],$B45,TblCalculs[Mois],W$33),IF(ca_mesure="RAM",SUMIFS(TblCalculs[RAM provisionnée],TblCalculs[Cluster],$B45,TblCalculs[Mois],W$33),SUMIFS(TblCalculs[Workers],TblCalculs[Cluster],$B45,TblCalculs[Mois],W$33))))</f>
        <v/>
      </c>
      <c r="X45" s="58" t="str">
        <f aca="false">IF(OR($A45="",X$33=""),"",IF(ca_mesure="CPU",SUMIFS(TblCalculs[CPU provisionné],TblCalculs[Cluster],$B45,TblCalculs[Mois],X$33),IF(ca_mesure="RAM",SUMIFS(TblCalculs[RAM provisionnée],TblCalculs[Cluster],$B45,TblCalculs[Mois],X$33),SUMIFS(TblCalculs[Workers],TblCalculs[Cluster],$B45,TblCalculs[Mois],X$33))))</f>
        <v/>
      </c>
      <c r="Y45" s="58" t="str">
        <f aca="false">IF(OR($A45="",Y$33=""),"",IF(ca_mesure="CPU",SUMIFS(TblCalculs[CPU provisionné],TblCalculs[Cluster],$B45,TblCalculs[Mois],Y$33),IF(ca_mesure="RAM",SUMIFS(TblCalculs[RAM provisionnée],TblCalculs[Cluster],$B45,TblCalculs[Mois],Y$33),SUMIFS(TblCalculs[Workers],TblCalculs[Cluster],$B45,TblCalculs[Mois],Y$33))))</f>
        <v/>
      </c>
      <c r="Z45" s="58" t="str">
        <f aca="false">IF(OR($A45="",Z$33=""),"",IF(ca_mesure="CPU",SUMIFS(TblCalculs[CPU provisionné],TblCalculs[Cluster],$B45,TblCalculs[Mois],Z$33),IF(ca_mesure="RAM",SUMIFS(TblCalculs[RAM provisionnée],TblCalculs[Cluster],$B45,TblCalculs[Mois],Z$33),SUMIFS(TblCalculs[Workers],TblCalculs[Cluster],$B45,TblCalculs[Mois],Z$33))))</f>
        <v/>
      </c>
      <c r="AA45" s="58" t="str">
        <f aca="false">IF(OR($A45="",AA$33=""),"",IF(ca_mesure="CPU",SUMIFS(TblCalculs[CPU provisionné],TblCalculs[Cluster],$B45,TblCalculs[Mois],AA$33),IF(ca_mesure="RAM",SUMIFS(TblCalculs[RAM provisionnée],TblCalculs[Cluster],$B45,TblCalculs[Mois],AA$33),SUMIFS(TblCalculs[Workers],TblCalculs[Cluster],$B45,TblCalculs[Mois],AA$33))))</f>
        <v/>
      </c>
      <c r="AB45" s="58" t="str">
        <f aca="false">IF(OR($A45="",AB$33=""),"",IF(ca_mesure="CPU",SUMIFS(TblCalculs[CPU provisionné],TblCalculs[Cluster],$B45,TblCalculs[Mois],AB$33),IF(ca_mesure="RAM",SUMIFS(TblCalculs[RAM provisionnée],TblCalculs[Cluster],$B45,TblCalculs[Mois],AB$33),SUMIFS(TblCalculs[Workers],TblCalculs[Cluster],$B45,TblCalculs[Mois],AB$33))))</f>
        <v/>
      </c>
      <c r="AC45" s="58" t="str">
        <f aca="false">IF(OR($A45="",AC$33=""),"",IF(ca_mesure="CPU",SUMIFS(TblCalculs[CPU provisionné],TblCalculs[Cluster],$B45,TblCalculs[Mois],AC$33),IF(ca_mesure="RAM",SUMIFS(TblCalculs[RAM provisionnée],TblCalculs[Cluster],$B45,TblCalculs[Mois],AC$33),SUMIFS(TblCalculs[Workers],TblCalculs[Cluster],$B45,TblCalculs[Mois],AC$33))))</f>
        <v/>
      </c>
      <c r="AD45" s="58" t="str">
        <f aca="false">IF(OR($A45="",AD$33=""),"",IF(ca_mesure="CPU",SUMIFS(TblCalculs[CPU provisionné],TblCalculs[Cluster],$B45,TblCalculs[Mois],AD$33),IF(ca_mesure="RAM",SUMIFS(TblCalculs[RAM provisionnée],TblCalculs[Cluster],$B45,TblCalculs[Mois],AD$33),SUMIFS(TblCalculs[Workers],TblCalculs[Cluster],$B45,TblCalculs[Mois],AD$33))))</f>
        <v/>
      </c>
      <c r="AE45" s="58" t="str">
        <f aca="false">IF(OR($A45="",AE$33=""),"",IF(ca_mesure="CPU",SUMIFS(TblCalculs[CPU provisionné],TblCalculs[Cluster],$B45,TblCalculs[Mois],AE$33),IF(ca_mesure="RAM",SUMIFS(TblCalculs[RAM provisionnée],TblCalculs[Cluster],$B45,TblCalculs[Mois],AE$33),SUMIFS(TblCalculs[Workers],TblCalculs[Cluster],$B45,TblCalculs[Mois],AE$33))))</f>
        <v/>
      </c>
      <c r="AF45" s="58" t="str">
        <f aca="false">IF(OR($A45="",AF$33=""),"",IF(ca_mesure="CPU",SUMIFS(TblCalculs[CPU provisionné],TblCalculs[Cluster],$B45,TblCalculs[Mois],AF$33),IF(ca_mesure="RAM",SUMIFS(TblCalculs[RAM provisionnée],TblCalculs[Cluster],$B45,TblCalculs[Mois],AF$33),SUMIFS(TblCalculs[Workers],TblCalculs[Cluster],$B45,TblCalculs[Mois],AF$33))))</f>
        <v/>
      </c>
      <c r="AG45" s="58" t="str">
        <f aca="false">IF(OR($A45="",AG$33=""),"",IF(ca_mesure="CPU",SUMIFS(TblCalculs[CPU provisionné],TblCalculs[Cluster],$B45,TblCalculs[Mois],AG$33),IF(ca_mesure="RAM",SUMIFS(TblCalculs[RAM provisionnée],TblCalculs[Cluster],$B45,TblCalculs[Mois],AG$33),SUMIFS(TblCalculs[Workers],TblCalculs[Cluster],$B45,TblCalculs[Mois],AG$33))))</f>
        <v/>
      </c>
      <c r="AH45" s="58" t="str">
        <f aca="false">IF(OR($A45="",AH$33=""),"",IF(ca_mesure="CPU",SUMIFS(TblCalculs[CPU provisionné],TblCalculs[Cluster],$B45,TblCalculs[Mois],AH$33),IF(ca_mesure="RAM",SUMIFS(TblCalculs[RAM provisionnée],TblCalculs[Cluster],$B45,TblCalculs[Mois],AH$33),SUMIFS(TblCalculs[Workers],TblCalculs[Cluster],$B45,TblCalculs[Mois],AH$33))))</f>
        <v/>
      </c>
      <c r="AI45" s="58" t="str">
        <f aca="false">IF(OR($A45="",AI$33=""),"",IF(ca_mesure="CPU",SUMIFS(TblCalculs[CPU provisionné],TblCalculs[Cluster],$B45,TblCalculs[Mois],AI$33),IF(ca_mesure="RAM",SUMIFS(TblCalculs[RAM provisionnée],TblCalculs[Cluster],$B45,TblCalculs[Mois],AI$33),SUMIFS(TblCalculs[Workers],TblCalculs[Cluster],$B45,TblCalculs[Mois],AI$33))))</f>
        <v/>
      </c>
      <c r="AJ45" s="58" t="str">
        <f aca="false">IF(OR($A45="",AJ$33=""),"",IF(ca_mesure="CPU",SUMIFS(TblCalculs[CPU provisionné],TblCalculs[Cluster],$B45,TblCalculs[Mois],AJ$33),IF(ca_mesure="RAM",SUMIFS(TblCalculs[RAM provisionnée],TblCalculs[Cluster],$B45,TblCalculs[Mois],AJ$33),SUMIFS(TblCalculs[Workers],TblCalculs[Cluster],$B45,TblCalculs[Mois],AJ$33))))</f>
        <v/>
      </c>
      <c r="AK45" s="58" t="str">
        <f aca="false">IF(OR($A45="",AK$33=""),"",IF(ca_mesure="CPU",SUMIFS(TblCalculs[CPU provisionné],TblCalculs[Cluster],$B45,TblCalculs[Mois],AK$33),IF(ca_mesure="RAM",SUMIFS(TblCalculs[RAM provisionnée],TblCalculs[Cluster],$B45,TblCalculs[Mois],AK$33),SUMIFS(TblCalculs[Workers],TblCalculs[Cluster],$B45,TblCalculs[Mois],AK$33))))</f>
        <v/>
      </c>
      <c r="AL45" s="58" t="str">
        <f aca="false">IF(OR($A45="",AL$33=""),"",IF(ca_mesure="CPU",SUMIFS(TblCalculs[CPU provisionné],TblCalculs[Cluster],$B45,TblCalculs[Mois],AL$33),IF(ca_mesure="RAM",SUMIFS(TblCalculs[RAM provisionnée],TblCalculs[Cluster],$B45,TblCalculs[Mois],AL$33),SUMIFS(TblCalculs[Workers],TblCalculs[Cluster],$B45,TblCalculs[Mois],AL$33))))</f>
        <v/>
      </c>
      <c r="AM45" s="58" t="str">
        <f aca="false">IF(OR($A45="",AM$33=""),"",IF(ca_mesure="CPU",SUMIFS(TblCalculs[CPU provisionné],TblCalculs[Cluster],$B45,TblCalculs[Mois],AM$33),IF(ca_mesure="RAM",SUMIFS(TblCalculs[RAM provisionnée],TblCalculs[Cluster],$B45,TblCalculs[Mois],AM$33),SUMIFS(TblCalculs[Workers],TblCalculs[Cluster],$B45,TblCalculs[Mois],AM$33))))</f>
        <v/>
      </c>
      <c r="AN45" s="58" t="str">
        <f aca="false">IF(OR($A45="",AN$33=""),"",IF(ca_mesure="CPU",SUMIFS(TblCalculs[CPU provisionné],TblCalculs[Cluster],$B45,TblCalculs[Mois],AN$33),IF(ca_mesure="RAM",SUMIFS(TblCalculs[RAM provisionnée],TblCalculs[Cluster],$B45,TblCalculs[Mois],AN$33),SUMIFS(TblCalculs[Workers],TblCalculs[Cluster],$B45,TblCalculs[Mois],AN$33))))</f>
        <v/>
      </c>
      <c r="AO45" s="58" t="str">
        <f aca="false">IF(OR($A45="",AO$33=""),"",IF(ca_mesure="CPU",SUMIFS(TblCalculs[CPU provisionné],TblCalculs[Cluster],$B45,TblCalculs[Mois],AO$33),IF(ca_mesure="RAM",SUMIFS(TblCalculs[RAM provisionnée],TblCalculs[Cluster],$B45,TblCalculs[Mois],AO$33),SUMIFS(TblCalculs[Workers],TblCalculs[Cluster],$B45,TblCalculs[Mois],AO$33))))</f>
        <v/>
      </c>
    </row>
    <row r="46" customFormat="false" ht="15" hidden="false" customHeight="false" outlineLevel="0" collapsed="false">
      <c r="A46" s="49" t="str">
        <f aca="false">IFERROR(MATCH(13,TblClusters[Rang capacités],0),"")</f>
        <v/>
      </c>
      <c r="B46" s="57" t="str">
        <f aca="false">IF($A46="","",INDEX(TblClusters[Cluster],$A46))</f>
        <v/>
      </c>
      <c r="C46" s="50" t="str">
        <f aca="false">IF($A46="","",INDEX(TblClusters[Plateforme],$A46))</f>
        <v/>
      </c>
      <c r="D46" s="50" t="str">
        <f aca="false">IF($A46="","",INDEX(TblClusters[Environnement],$A46))</f>
        <v/>
      </c>
      <c r="E46" s="50" t="str">
        <f aca="false">IF($A46="","",INDEX(TblClusters[Flavor],$A46))</f>
        <v/>
      </c>
      <c r="F46" s="58" t="str">
        <f aca="false">IF(OR($A46="",F$33=""),"",IF(ca_mesure="CPU",SUMIFS(TblCalculs[CPU provisionné],TblCalculs[Cluster],$B46,TblCalculs[Mois],F$33),IF(ca_mesure="RAM",SUMIFS(TblCalculs[RAM provisionnée],TblCalculs[Cluster],$B46,TblCalculs[Mois],F$33),SUMIFS(TblCalculs[Workers],TblCalculs[Cluster],$B46,TblCalculs[Mois],F$33))))</f>
        <v/>
      </c>
      <c r="G46" s="58" t="str">
        <f aca="false">IF(OR($A46="",G$33=""),"",IF(ca_mesure="CPU",SUMIFS(TblCalculs[CPU provisionné],TblCalculs[Cluster],$B46,TblCalculs[Mois],G$33),IF(ca_mesure="RAM",SUMIFS(TblCalculs[RAM provisionnée],TblCalculs[Cluster],$B46,TblCalculs[Mois],G$33),SUMIFS(TblCalculs[Workers],TblCalculs[Cluster],$B46,TblCalculs[Mois],G$33))))</f>
        <v/>
      </c>
      <c r="H46" s="58" t="str">
        <f aca="false">IF(OR($A46="",H$33=""),"",IF(ca_mesure="CPU",SUMIFS(TblCalculs[CPU provisionné],TblCalculs[Cluster],$B46,TblCalculs[Mois],H$33),IF(ca_mesure="RAM",SUMIFS(TblCalculs[RAM provisionnée],TblCalculs[Cluster],$B46,TblCalculs[Mois],H$33),SUMIFS(TblCalculs[Workers],TblCalculs[Cluster],$B46,TblCalculs[Mois],H$33))))</f>
        <v/>
      </c>
      <c r="I46" s="58" t="str">
        <f aca="false">IF(OR($A46="",I$33=""),"",IF(ca_mesure="CPU",SUMIFS(TblCalculs[CPU provisionné],TblCalculs[Cluster],$B46,TblCalculs[Mois],I$33),IF(ca_mesure="RAM",SUMIFS(TblCalculs[RAM provisionnée],TblCalculs[Cluster],$B46,TblCalculs[Mois],I$33),SUMIFS(TblCalculs[Workers],TblCalculs[Cluster],$B46,TblCalculs[Mois],I$33))))</f>
        <v/>
      </c>
      <c r="J46" s="58" t="str">
        <f aca="false">IF(OR($A46="",J$33=""),"",IF(ca_mesure="CPU",SUMIFS(TblCalculs[CPU provisionné],TblCalculs[Cluster],$B46,TblCalculs[Mois],J$33),IF(ca_mesure="RAM",SUMIFS(TblCalculs[RAM provisionnée],TblCalculs[Cluster],$B46,TblCalculs[Mois],J$33),SUMIFS(TblCalculs[Workers],TblCalculs[Cluster],$B46,TblCalculs[Mois],J$33))))</f>
        <v/>
      </c>
      <c r="K46" s="58" t="str">
        <f aca="false">IF(OR($A46="",K$33=""),"",IF(ca_mesure="CPU",SUMIFS(TblCalculs[CPU provisionné],TblCalculs[Cluster],$B46,TblCalculs[Mois],K$33),IF(ca_mesure="RAM",SUMIFS(TblCalculs[RAM provisionnée],TblCalculs[Cluster],$B46,TblCalculs[Mois],K$33),SUMIFS(TblCalculs[Workers],TblCalculs[Cluster],$B46,TblCalculs[Mois],K$33))))</f>
        <v/>
      </c>
      <c r="L46" s="58" t="str">
        <f aca="false">IF(OR($A46="",L$33=""),"",IF(ca_mesure="CPU",SUMIFS(TblCalculs[CPU provisionné],TblCalculs[Cluster],$B46,TblCalculs[Mois],L$33),IF(ca_mesure="RAM",SUMIFS(TblCalculs[RAM provisionnée],TblCalculs[Cluster],$B46,TblCalculs[Mois],L$33),SUMIFS(TblCalculs[Workers],TblCalculs[Cluster],$B46,TblCalculs[Mois],L$33))))</f>
        <v/>
      </c>
      <c r="M46" s="58" t="str">
        <f aca="false">IF(OR($A46="",M$33=""),"",IF(ca_mesure="CPU",SUMIFS(TblCalculs[CPU provisionné],TblCalculs[Cluster],$B46,TblCalculs[Mois],M$33),IF(ca_mesure="RAM",SUMIFS(TblCalculs[RAM provisionnée],TblCalculs[Cluster],$B46,TblCalculs[Mois],M$33),SUMIFS(TblCalculs[Workers],TblCalculs[Cluster],$B46,TblCalculs[Mois],M$33))))</f>
        <v/>
      </c>
      <c r="N46" s="58" t="str">
        <f aca="false">IF(OR($A46="",N$33=""),"",IF(ca_mesure="CPU",SUMIFS(TblCalculs[CPU provisionné],TblCalculs[Cluster],$B46,TblCalculs[Mois],N$33),IF(ca_mesure="RAM",SUMIFS(TblCalculs[RAM provisionnée],TblCalculs[Cluster],$B46,TblCalculs[Mois],N$33),SUMIFS(TblCalculs[Workers],TblCalculs[Cluster],$B46,TblCalculs[Mois],N$33))))</f>
        <v/>
      </c>
      <c r="O46" s="58" t="str">
        <f aca="false">IF(OR($A46="",O$33=""),"",IF(ca_mesure="CPU",SUMIFS(TblCalculs[CPU provisionné],TblCalculs[Cluster],$B46,TblCalculs[Mois],O$33),IF(ca_mesure="RAM",SUMIFS(TblCalculs[RAM provisionnée],TblCalculs[Cluster],$B46,TblCalculs[Mois],O$33),SUMIFS(TblCalculs[Workers],TblCalculs[Cluster],$B46,TblCalculs[Mois],O$33))))</f>
        <v/>
      </c>
      <c r="P46" s="58" t="str">
        <f aca="false">IF(OR($A46="",P$33=""),"",IF(ca_mesure="CPU",SUMIFS(TblCalculs[CPU provisionné],TblCalculs[Cluster],$B46,TblCalculs[Mois],P$33),IF(ca_mesure="RAM",SUMIFS(TblCalculs[RAM provisionnée],TblCalculs[Cluster],$B46,TblCalculs[Mois],P$33),SUMIFS(TblCalculs[Workers],TblCalculs[Cluster],$B46,TblCalculs[Mois],P$33))))</f>
        <v/>
      </c>
      <c r="Q46" s="58" t="str">
        <f aca="false">IF(OR($A46="",Q$33=""),"",IF(ca_mesure="CPU",SUMIFS(TblCalculs[CPU provisionné],TblCalculs[Cluster],$B46,TblCalculs[Mois],Q$33),IF(ca_mesure="RAM",SUMIFS(TblCalculs[RAM provisionnée],TblCalculs[Cluster],$B46,TblCalculs[Mois],Q$33),SUMIFS(TblCalculs[Workers],TblCalculs[Cluster],$B46,TblCalculs[Mois],Q$33))))</f>
        <v/>
      </c>
      <c r="R46" s="58" t="str">
        <f aca="false">IF(OR($A46="",R$33=""),"",IF(ca_mesure="CPU",SUMIFS(TblCalculs[CPU provisionné],TblCalculs[Cluster],$B46,TblCalculs[Mois],R$33),IF(ca_mesure="RAM",SUMIFS(TblCalculs[RAM provisionnée],TblCalculs[Cluster],$B46,TblCalculs[Mois],R$33),SUMIFS(TblCalculs[Workers],TblCalculs[Cluster],$B46,TblCalculs[Mois],R$33))))</f>
        <v/>
      </c>
      <c r="S46" s="58" t="str">
        <f aca="false">IF(OR($A46="",S$33=""),"",IF(ca_mesure="CPU",SUMIFS(TblCalculs[CPU provisionné],TblCalculs[Cluster],$B46,TblCalculs[Mois],S$33),IF(ca_mesure="RAM",SUMIFS(TblCalculs[RAM provisionnée],TblCalculs[Cluster],$B46,TblCalculs[Mois],S$33),SUMIFS(TblCalculs[Workers],TblCalculs[Cluster],$B46,TblCalculs[Mois],S$33))))</f>
        <v/>
      </c>
      <c r="T46" s="58" t="str">
        <f aca="false">IF(OR($A46="",T$33=""),"",IF(ca_mesure="CPU",SUMIFS(TblCalculs[CPU provisionné],TblCalculs[Cluster],$B46,TblCalculs[Mois],T$33),IF(ca_mesure="RAM",SUMIFS(TblCalculs[RAM provisionnée],TblCalculs[Cluster],$B46,TblCalculs[Mois],T$33),SUMIFS(TblCalculs[Workers],TblCalculs[Cluster],$B46,TblCalculs[Mois],T$33))))</f>
        <v/>
      </c>
      <c r="U46" s="58" t="str">
        <f aca="false">IF(OR($A46="",U$33=""),"",IF(ca_mesure="CPU",SUMIFS(TblCalculs[CPU provisionné],TblCalculs[Cluster],$B46,TblCalculs[Mois],U$33),IF(ca_mesure="RAM",SUMIFS(TblCalculs[RAM provisionnée],TblCalculs[Cluster],$B46,TblCalculs[Mois],U$33),SUMIFS(TblCalculs[Workers],TblCalculs[Cluster],$B46,TblCalculs[Mois],U$33))))</f>
        <v/>
      </c>
      <c r="V46" s="58" t="str">
        <f aca="false">IF(OR($A46="",V$33=""),"",IF(ca_mesure="CPU",SUMIFS(TblCalculs[CPU provisionné],TblCalculs[Cluster],$B46,TblCalculs[Mois],V$33),IF(ca_mesure="RAM",SUMIFS(TblCalculs[RAM provisionnée],TblCalculs[Cluster],$B46,TblCalculs[Mois],V$33),SUMIFS(TblCalculs[Workers],TblCalculs[Cluster],$B46,TblCalculs[Mois],V$33))))</f>
        <v/>
      </c>
      <c r="W46" s="58" t="str">
        <f aca="false">IF(OR($A46="",W$33=""),"",IF(ca_mesure="CPU",SUMIFS(TblCalculs[CPU provisionné],TblCalculs[Cluster],$B46,TblCalculs[Mois],W$33),IF(ca_mesure="RAM",SUMIFS(TblCalculs[RAM provisionnée],TblCalculs[Cluster],$B46,TblCalculs[Mois],W$33),SUMIFS(TblCalculs[Workers],TblCalculs[Cluster],$B46,TblCalculs[Mois],W$33))))</f>
        <v/>
      </c>
      <c r="X46" s="58" t="str">
        <f aca="false">IF(OR($A46="",X$33=""),"",IF(ca_mesure="CPU",SUMIFS(TblCalculs[CPU provisionné],TblCalculs[Cluster],$B46,TblCalculs[Mois],X$33),IF(ca_mesure="RAM",SUMIFS(TblCalculs[RAM provisionnée],TblCalculs[Cluster],$B46,TblCalculs[Mois],X$33),SUMIFS(TblCalculs[Workers],TblCalculs[Cluster],$B46,TblCalculs[Mois],X$33))))</f>
        <v/>
      </c>
      <c r="Y46" s="58" t="str">
        <f aca="false">IF(OR($A46="",Y$33=""),"",IF(ca_mesure="CPU",SUMIFS(TblCalculs[CPU provisionné],TblCalculs[Cluster],$B46,TblCalculs[Mois],Y$33),IF(ca_mesure="RAM",SUMIFS(TblCalculs[RAM provisionnée],TblCalculs[Cluster],$B46,TblCalculs[Mois],Y$33),SUMIFS(TblCalculs[Workers],TblCalculs[Cluster],$B46,TblCalculs[Mois],Y$33))))</f>
        <v/>
      </c>
      <c r="Z46" s="58" t="str">
        <f aca="false">IF(OR($A46="",Z$33=""),"",IF(ca_mesure="CPU",SUMIFS(TblCalculs[CPU provisionné],TblCalculs[Cluster],$B46,TblCalculs[Mois],Z$33),IF(ca_mesure="RAM",SUMIFS(TblCalculs[RAM provisionnée],TblCalculs[Cluster],$B46,TblCalculs[Mois],Z$33),SUMIFS(TblCalculs[Workers],TblCalculs[Cluster],$B46,TblCalculs[Mois],Z$33))))</f>
        <v/>
      </c>
      <c r="AA46" s="58" t="str">
        <f aca="false">IF(OR($A46="",AA$33=""),"",IF(ca_mesure="CPU",SUMIFS(TblCalculs[CPU provisionné],TblCalculs[Cluster],$B46,TblCalculs[Mois],AA$33),IF(ca_mesure="RAM",SUMIFS(TblCalculs[RAM provisionnée],TblCalculs[Cluster],$B46,TblCalculs[Mois],AA$33),SUMIFS(TblCalculs[Workers],TblCalculs[Cluster],$B46,TblCalculs[Mois],AA$33))))</f>
        <v/>
      </c>
      <c r="AB46" s="58" t="str">
        <f aca="false">IF(OR($A46="",AB$33=""),"",IF(ca_mesure="CPU",SUMIFS(TblCalculs[CPU provisionné],TblCalculs[Cluster],$B46,TblCalculs[Mois],AB$33),IF(ca_mesure="RAM",SUMIFS(TblCalculs[RAM provisionnée],TblCalculs[Cluster],$B46,TblCalculs[Mois],AB$33),SUMIFS(TblCalculs[Workers],TblCalculs[Cluster],$B46,TblCalculs[Mois],AB$33))))</f>
        <v/>
      </c>
      <c r="AC46" s="58" t="str">
        <f aca="false">IF(OR($A46="",AC$33=""),"",IF(ca_mesure="CPU",SUMIFS(TblCalculs[CPU provisionné],TblCalculs[Cluster],$B46,TblCalculs[Mois],AC$33),IF(ca_mesure="RAM",SUMIFS(TblCalculs[RAM provisionnée],TblCalculs[Cluster],$B46,TblCalculs[Mois],AC$33),SUMIFS(TblCalculs[Workers],TblCalculs[Cluster],$B46,TblCalculs[Mois],AC$33))))</f>
        <v/>
      </c>
      <c r="AD46" s="58" t="str">
        <f aca="false">IF(OR($A46="",AD$33=""),"",IF(ca_mesure="CPU",SUMIFS(TblCalculs[CPU provisionné],TblCalculs[Cluster],$B46,TblCalculs[Mois],AD$33),IF(ca_mesure="RAM",SUMIFS(TblCalculs[RAM provisionnée],TblCalculs[Cluster],$B46,TblCalculs[Mois],AD$33),SUMIFS(TblCalculs[Workers],TblCalculs[Cluster],$B46,TblCalculs[Mois],AD$33))))</f>
        <v/>
      </c>
      <c r="AE46" s="58" t="str">
        <f aca="false">IF(OR($A46="",AE$33=""),"",IF(ca_mesure="CPU",SUMIFS(TblCalculs[CPU provisionné],TblCalculs[Cluster],$B46,TblCalculs[Mois],AE$33),IF(ca_mesure="RAM",SUMIFS(TblCalculs[RAM provisionnée],TblCalculs[Cluster],$B46,TblCalculs[Mois],AE$33),SUMIFS(TblCalculs[Workers],TblCalculs[Cluster],$B46,TblCalculs[Mois],AE$33))))</f>
        <v/>
      </c>
      <c r="AF46" s="58" t="str">
        <f aca="false">IF(OR($A46="",AF$33=""),"",IF(ca_mesure="CPU",SUMIFS(TblCalculs[CPU provisionné],TblCalculs[Cluster],$B46,TblCalculs[Mois],AF$33),IF(ca_mesure="RAM",SUMIFS(TblCalculs[RAM provisionnée],TblCalculs[Cluster],$B46,TblCalculs[Mois],AF$33),SUMIFS(TblCalculs[Workers],TblCalculs[Cluster],$B46,TblCalculs[Mois],AF$33))))</f>
        <v/>
      </c>
      <c r="AG46" s="58" t="str">
        <f aca="false">IF(OR($A46="",AG$33=""),"",IF(ca_mesure="CPU",SUMIFS(TblCalculs[CPU provisionné],TblCalculs[Cluster],$B46,TblCalculs[Mois],AG$33),IF(ca_mesure="RAM",SUMIFS(TblCalculs[RAM provisionnée],TblCalculs[Cluster],$B46,TblCalculs[Mois],AG$33),SUMIFS(TblCalculs[Workers],TblCalculs[Cluster],$B46,TblCalculs[Mois],AG$33))))</f>
        <v/>
      </c>
      <c r="AH46" s="58" t="str">
        <f aca="false">IF(OR($A46="",AH$33=""),"",IF(ca_mesure="CPU",SUMIFS(TblCalculs[CPU provisionné],TblCalculs[Cluster],$B46,TblCalculs[Mois],AH$33),IF(ca_mesure="RAM",SUMIFS(TblCalculs[RAM provisionnée],TblCalculs[Cluster],$B46,TblCalculs[Mois],AH$33),SUMIFS(TblCalculs[Workers],TblCalculs[Cluster],$B46,TblCalculs[Mois],AH$33))))</f>
        <v/>
      </c>
      <c r="AI46" s="58" t="str">
        <f aca="false">IF(OR($A46="",AI$33=""),"",IF(ca_mesure="CPU",SUMIFS(TblCalculs[CPU provisionné],TblCalculs[Cluster],$B46,TblCalculs[Mois],AI$33),IF(ca_mesure="RAM",SUMIFS(TblCalculs[RAM provisionnée],TblCalculs[Cluster],$B46,TblCalculs[Mois],AI$33),SUMIFS(TblCalculs[Workers],TblCalculs[Cluster],$B46,TblCalculs[Mois],AI$33))))</f>
        <v/>
      </c>
      <c r="AJ46" s="58" t="str">
        <f aca="false">IF(OR($A46="",AJ$33=""),"",IF(ca_mesure="CPU",SUMIFS(TblCalculs[CPU provisionné],TblCalculs[Cluster],$B46,TblCalculs[Mois],AJ$33),IF(ca_mesure="RAM",SUMIFS(TblCalculs[RAM provisionnée],TblCalculs[Cluster],$B46,TblCalculs[Mois],AJ$33),SUMIFS(TblCalculs[Workers],TblCalculs[Cluster],$B46,TblCalculs[Mois],AJ$33))))</f>
        <v/>
      </c>
      <c r="AK46" s="58" t="str">
        <f aca="false">IF(OR($A46="",AK$33=""),"",IF(ca_mesure="CPU",SUMIFS(TblCalculs[CPU provisionné],TblCalculs[Cluster],$B46,TblCalculs[Mois],AK$33),IF(ca_mesure="RAM",SUMIFS(TblCalculs[RAM provisionnée],TblCalculs[Cluster],$B46,TblCalculs[Mois],AK$33),SUMIFS(TblCalculs[Workers],TblCalculs[Cluster],$B46,TblCalculs[Mois],AK$33))))</f>
        <v/>
      </c>
      <c r="AL46" s="58" t="str">
        <f aca="false">IF(OR($A46="",AL$33=""),"",IF(ca_mesure="CPU",SUMIFS(TblCalculs[CPU provisionné],TblCalculs[Cluster],$B46,TblCalculs[Mois],AL$33),IF(ca_mesure="RAM",SUMIFS(TblCalculs[RAM provisionnée],TblCalculs[Cluster],$B46,TblCalculs[Mois],AL$33),SUMIFS(TblCalculs[Workers],TblCalculs[Cluster],$B46,TblCalculs[Mois],AL$33))))</f>
        <v/>
      </c>
      <c r="AM46" s="58" t="str">
        <f aca="false">IF(OR($A46="",AM$33=""),"",IF(ca_mesure="CPU",SUMIFS(TblCalculs[CPU provisionné],TblCalculs[Cluster],$B46,TblCalculs[Mois],AM$33),IF(ca_mesure="RAM",SUMIFS(TblCalculs[RAM provisionnée],TblCalculs[Cluster],$B46,TblCalculs[Mois],AM$33),SUMIFS(TblCalculs[Workers],TblCalculs[Cluster],$B46,TblCalculs[Mois],AM$33))))</f>
        <v/>
      </c>
      <c r="AN46" s="58" t="str">
        <f aca="false">IF(OR($A46="",AN$33=""),"",IF(ca_mesure="CPU",SUMIFS(TblCalculs[CPU provisionné],TblCalculs[Cluster],$B46,TblCalculs[Mois],AN$33),IF(ca_mesure="RAM",SUMIFS(TblCalculs[RAM provisionnée],TblCalculs[Cluster],$B46,TblCalculs[Mois],AN$33),SUMIFS(TblCalculs[Workers],TblCalculs[Cluster],$B46,TblCalculs[Mois],AN$33))))</f>
        <v/>
      </c>
      <c r="AO46" s="58" t="str">
        <f aca="false">IF(OR($A46="",AO$33=""),"",IF(ca_mesure="CPU",SUMIFS(TblCalculs[CPU provisionné],TblCalculs[Cluster],$B46,TblCalculs[Mois],AO$33),IF(ca_mesure="RAM",SUMIFS(TblCalculs[RAM provisionnée],TblCalculs[Cluster],$B46,TblCalculs[Mois],AO$33),SUMIFS(TblCalculs[Workers],TblCalculs[Cluster],$B46,TblCalculs[Mois],AO$33))))</f>
        <v/>
      </c>
    </row>
    <row r="47" customFormat="false" ht="15" hidden="false" customHeight="false" outlineLevel="0" collapsed="false">
      <c r="A47" s="49" t="str">
        <f aca="false">IFERROR(MATCH(14,TblClusters[Rang capacités],0),"")</f>
        <v/>
      </c>
      <c r="B47" s="57" t="str">
        <f aca="false">IF($A47="","",INDEX(TblClusters[Cluster],$A47))</f>
        <v/>
      </c>
      <c r="C47" s="50" t="str">
        <f aca="false">IF($A47="","",INDEX(TblClusters[Plateforme],$A47))</f>
        <v/>
      </c>
      <c r="D47" s="50" t="str">
        <f aca="false">IF($A47="","",INDEX(TblClusters[Environnement],$A47))</f>
        <v/>
      </c>
      <c r="E47" s="50" t="str">
        <f aca="false">IF($A47="","",INDEX(TblClusters[Flavor],$A47))</f>
        <v/>
      </c>
      <c r="F47" s="58" t="str">
        <f aca="false">IF(OR($A47="",F$33=""),"",IF(ca_mesure="CPU",SUMIFS(TblCalculs[CPU provisionné],TblCalculs[Cluster],$B47,TblCalculs[Mois],F$33),IF(ca_mesure="RAM",SUMIFS(TblCalculs[RAM provisionnée],TblCalculs[Cluster],$B47,TblCalculs[Mois],F$33),SUMIFS(TblCalculs[Workers],TblCalculs[Cluster],$B47,TblCalculs[Mois],F$33))))</f>
        <v/>
      </c>
      <c r="G47" s="58" t="str">
        <f aca="false">IF(OR($A47="",G$33=""),"",IF(ca_mesure="CPU",SUMIFS(TblCalculs[CPU provisionné],TblCalculs[Cluster],$B47,TblCalculs[Mois],G$33),IF(ca_mesure="RAM",SUMIFS(TblCalculs[RAM provisionnée],TblCalculs[Cluster],$B47,TblCalculs[Mois],G$33),SUMIFS(TblCalculs[Workers],TblCalculs[Cluster],$B47,TblCalculs[Mois],G$33))))</f>
        <v/>
      </c>
      <c r="H47" s="58" t="str">
        <f aca="false">IF(OR($A47="",H$33=""),"",IF(ca_mesure="CPU",SUMIFS(TblCalculs[CPU provisionné],TblCalculs[Cluster],$B47,TblCalculs[Mois],H$33),IF(ca_mesure="RAM",SUMIFS(TblCalculs[RAM provisionnée],TblCalculs[Cluster],$B47,TblCalculs[Mois],H$33),SUMIFS(TblCalculs[Workers],TblCalculs[Cluster],$B47,TblCalculs[Mois],H$33))))</f>
        <v/>
      </c>
      <c r="I47" s="58" t="str">
        <f aca="false">IF(OR($A47="",I$33=""),"",IF(ca_mesure="CPU",SUMIFS(TblCalculs[CPU provisionné],TblCalculs[Cluster],$B47,TblCalculs[Mois],I$33),IF(ca_mesure="RAM",SUMIFS(TblCalculs[RAM provisionnée],TblCalculs[Cluster],$B47,TblCalculs[Mois],I$33),SUMIFS(TblCalculs[Workers],TblCalculs[Cluster],$B47,TblCalculs[Mois],I$33))))</f>
        <v/>
      </c>
      <c r="J47" s="58" t="str">
        <f aca="false">IF(OR($A47="",J$33=""),"",IF(ca_mesure="CPU",SUMIFS(TblCalculs[CPU provisionné],TblCalculs[Cluster],$B47,TblCalculs[Mois],J$33),IF(ca_mesure="RAM",SUMIFS(TblCalculs[RAM provisionnée],TblCalculs[Cluster],$B47,TblCalculs[Mois],J$33),SUMIFS(TblCalculs[Workers],TblCalculs[Cluster],$B47,TblCalculs[Mois],J$33))))</f>
        <v/>
      </c>
      <c r="K47" s="58" t="str">
        <f aca="false">IF(OR($A47="",K$33=""),"",IF(ca_mesure="CPU",SUMIFS(TblCalculs[CPU provisionné],TblCalculs[Cluster],$B47,TblCalculs[Mois],K$33),IF(ca_mesure="RAM",SUMIFS(TblCalculs[RAM provisionnée],TblCalculs[Cluster],$B47,TblCalculs[Mois],K$33),SUMIFS(TblCalculs[Workers],TblCalculs[Cluster],$B47,TblCalculs[Mois],K$33))))</f>
        <v/>
      </c>
      <c r="L47" s="58" t="str">
        <f aca="false">IF(OR($A47="",L$33=""),"",IF(ca_mesure="CPU",SUMIFS(TblCalculs[CPU provisionné],TblCalculs[Cluster],$B47,TblCalculs[Mois],L$33),IF(ca_mesure="RAM",SUMIFS(TblCalculs[RAM provisionnée],TblCalculs[Cluster],$B47,TblCalculs[Mois],L$33),SUMIFS(TblCalculs[Workers],TblCalculs[Cluster],$B47,TblCalculs[Mois],L$33))))</f>
        <v/>
      </c>
      <c r="M47" s="58" t="str">
        <f aca="false">IF(OR($A47="",M$33=""),"",IF(ca_mesure="CPU",SUMIFS(TblCalculs[CPU provisionné],TblCalculs[Cluster],$B47,TblCalculs[Mois],M$33),IF(ca_mesure="RAM",SUMIFS(TblCalculs[RAM provisionnée],TblCalculs[Cluster],$B47,TblCalculs[Mois],M$33),SUMIFS(TblCalculs[Workers],TblCalculs[Cluster],$B47,TblCalculs[Mois],M$33))))</f>
        <v/>
      </c>
      <c r="N47" s="58" t="str">
        <f aca="false">IF(OR($A47="",N$33=""),"",IF(ca_mesure="CPU",SUMIFS(TblCalculs[CPU provisionné],TblCalculs[Cluster],$B47,TblCalculs[Mois],N$33),IF(ca_mesure="RAM",SUMIFS(TblCalculs[RAM provisionnée],TblCalculs[Cluster],$B47,TblCalculs[Mois],N$33),SUMIFS(TblCalculs[Workers],TblCalculs[Cluster],$B47,TblCalculs[Mois],N$33))))</f>
        <v/>
      </c>
      <c r="O47" s="58" t="str">
        <f aca="false">IF(OR($A47="",O$33=""),"",IF(ca_mesure="CPU",SUMIFS(TblCalculs[CPU provisionné],TblCalculs[Cluster],$B47,TblCalculs[Mois],O$33),IF(ca_mesure="RAM",SUMIFS(TblCalculs[RAM provisionnée],TblCalculs[Cluster],$B47,TblCalculs[Mois],O$33),SUMIFS(TblCalculs[Workers],TblCalculs[Cluster],$B47,TblCalculs[Mois],O$33))))</f>
        <v/>
      </c>
      <c r="P47" s="58" t="str">
        <f aca="false">IF(OR($A47="",P$33=""),"",IF(ca_mesure="CPU",SUMIFS(TblCalculs[CPU provisionné],TblCalculs[Cluster],$B47,TblCalculs[Mois],P$33),IF(ca_mesure="RAM",SUMIFS(TblCalculs[RAM provisionnée],TblCalculs[Cluster],$B47,TblCalculs[Mois],P$33),SUMIFS(TblCalculs[Workers],TblCalculs[Cluster],$B47,TblCalculs[Mois],P$33))))</f>
        <v/>
      </c>
      <c r="Q47" s="58" t="str">
        <f aca="false">IF(OR($A47="",Q$33=""),"",IF(ca_mesure="CPU",SUMIFS(TblCalculs[CPU provisionné],TblCalculs[Cluster],$B47,TblCalculs[Mois],Q$33),IF(ca_mesure="RAM",SUMIFS(TblCalculs[RAM provisionnée],TblCalculs[Cluster],$B47,TblCalculs[Mois],Q$33),SUMIFS(TblCalculs[Workers],TblCalculs[Cluster],$B47,TblCalculs[Mois],Q$33))))</f>
        <v/>
      </c>
      <c r="R47" s="58" t="str">
        <f aca="false">IF(OR($A47="",R$33=""),"",IF(ca_mesure="CPU",SUMIFS(TblCalculs[CPU provisionné],TblCalculs[Cluster],$B47,TblCalculs[Mois],R$33),IF(ca_mesure="RAM",SUMIFS(TblCalculs[RAM provisionnée],TblCalculs[Cluster],$B47,TblCalculs[Mois],R$33),SUMIFS(TblCalculs[Workers],TblCalculs[Cluster],$B47,TblCalculs[Mois],R$33))))</f>
        <v/>
      </c>
      <c r="S47" s="58" t="str">
        <f aca="false">IF(OR($A47="",S$33=""),"",IF(ca_mesure="CPU",SUMIFS(TblCalculs[CPU provisionné],TblCalculs[Cluster],$B47,TblCalculs[Mois],S$33),IF(ca_mesure="RAM",SUMIFS(TblCalculs[RAM provisionnée],TblCalculs[Cluster],$B47,TblCalculs[Mois],S$33),SUMIFS(TblCalculs[Workers],TblCalculs[Cluster],$B47,TblCalculs[Mois],S$33))))</f>
        <v/>
      </c>
      <c r="T47" s="58" t="str">
        <f aca="false">IF(OR($A47="",T$33=""),"",IF(ca_mesure="CPU",SUMIFS(TblCalculs[CPU provisionné],TblCalculs[Cluster],$B47,TblCalculs[Mois],T$33),IF(ca_mesure="RAM",SUMIFS(TblCalculs[RAM provisionnée],TblCalculs[Cluster],$B47,TblCalculs[Mois],T$33),SUMIFS(TblCalculs[Workers],TblCalculs[Cluster],$B47,TblCalculs[Mois],T$33))))</f>
        <v/>
      </c>
      <c r="U47" s="58" t="str">
        <f aca="false">IF(OR($A47="",U$33=""),"",IF(ca_mesure="CPU",SUMIFS(TblCalculs[CPU provisionné],TblCalculs[Cluster],$B47,TblCalculs[Mois],U$33),IF(ca_mesure="RAM",SUMIFS(TblCalculs[RAM provisionnée],TblCalculs[Cluster],$B47,TblCalculs[Mois],U$33),SUMIFS(TblCalculs[Workers],TblCalculs[Cluster],$B47,TblCalculs[Mois],U$33))))</f>
        <v/>
      </c>
      <c r="V47" s="58" t="str">
        <f aca="false">IF(OR($A47="",V$33=""),"",IF(ca_mesure="CPU",SUMIFS(TblCalculs[CPU provisionné],TblCalculs[Cluster],$B47,TblCalculs[Mois],V$33),IF(ca_mesure="RAM",SUMIFS(TblCalculs[RAM provisionnée],TblCalculs[Cluster],$B47,TblCalculs[Mois],V$33),SUMIFS(TblCalculs[Workers],TblCalculs[Cluster],$B47,TblCalculs[Mois],V$33))))</f>
        <v/>
      </c>
      <c r="W47" s="58" t="str">
        <f aca="false">IF(OR($A47="",W$33=""),"",IF(ca_mesure="CPU",SUMIFS(TblCalculs[CPU provisionné],TblCalculs[Cluster],$B47,TblCalculs[Mois],W$33),IF(ca_mesure="RAM",SUMIFS(TblCalculs[RAM provisionnée],TblCalculs[Cluster],$B47,TblCalculs[Mois],W$33),SUMIFS(TblCalculs[Workers],TblCalculs[Cluster],$B47,TblCalculs[Mois],W$33))))</f>
        <v/>
      </c>
      <c r="X47" s="58" t="str">
        <f aca="false">IF(OR($A47="",X$33=""),"",IF(ca_mesure="CPU",SUMIFS(TblCalculs[CPU provisionné],TblCalculs[Cluster],$B47,TblCalculs[Mois],X$33),IF(ca_mesure="RAM",SUMIFS(TblCalculs[RAM provisionnée],TblCalculs[Cluster],$B47,TblCalculs[Mois],X$33),SUMIFS(TblCalculs[Workers],TblCalculs[Cluster],$B47,TblCalculs[Mois],X$33))))</f>
        <v/>
      </c>
      <c r="Y47" s="58" t="str">
        <f aca="false">IF(OR($A47="",Y$33=""),"",IF(ca_mesure="CPU",SUMIFS(TblCalculs[CPU provisionné],TblCalculs[Cluster],$B47,TblCalculs[Mois],Y$33),IF(ca_mesure="RAM",SUMIFS(TblCalculs[RAM provisionnée],TblCalculs[Cluster],$B47,TblCalculs[Mois],Y$33),SUMIFS(TblCalculs[Workers],TblCalculs[Cluster],$B47,TblCalculs[Mois],Y$33))))</f>
        <v/>
      </c>
      <c r="Z47" s="58" t="str">
        <f aca="false">IF(OR($A47="",Z$33=""),"",IF(ca_mesure="CPU",SUMIFS(TblCalculs[CPU provisionné],TblCalculs[Cluster],$B47,TblCalculs[Mois],Z$33),IF(ca_mesure="RAM",SUMIFS(TblCalculs[RAM provisionnée],TblCalculs[Cluster],$B47,TblCalculs[Mois],Z$33),SUMIFS(TblCalculs[Workers],TblCalculs[Cluster],$B47,TblCalculs[Mois],Z$33))))</f>
        <v/>
      </c>
      <c r="AA47" s="58" t="str">
        <f aca="false">IF(OR($A47="",AA$33=""),"",IF(ca_mesure="CPU",SUMIFS(TblCalculs[CPU provisionné],TblCalculs[Cluster],$B47,TblCalculs[Mois],AA$33),IF(ca_mesure="RAM",SUMIFS(TblCalculs[RAM provisionnée],TblCalculs[Cluster],$B47,TblCalculs[Mois],AA$33),SUMIFS(TblCalculs[Workers],TblCalculs[Cluster],$B47,TblCalculs[Mois],AA$33))))</f>
        <v/>
      </c>
      <c r="AB47" s="58" t="str">
        <f aca="false">IF(OR($A47="",AB$33=""),"",IF(ca_mesure="CPU",SUMIFS(TblCalculs[CPU provisionné],TblCalculs[Cluster],$B47,TblCalculs[Mois],AB$33),IF(ca_mesure="RAM",SUMIFS(TblCalculs[RAM provisionnée],TblCalculs[Cluster],$B47,TblCalculs[Mois],AB$33),SUMIFS(TblCalculs[Workers],TblCalculs[Cluster],$B47,TblCalculs[Mois],AB$33))))</f>
        <v/>
      </c>
      <c r="AC47" s="58" t="str">
        <f aca="false">IF(OR($A47="",AC$33=""),"",IF(ca_mesure="CPU",SUMIFS(TblCalculs[CPU provisionné],TblCalculs[Cluster],$B47,TblCalculs[Mois],AC$33),IF(ca_mesure="RAM",SUMIFS(TblCalculs[RAM provisionnée],TblCalculs[Cluster],$B47,TblCalculs[Mois],AC$33),SUMIFS(TblCalculs[Workers],TblCalculs[Cluster],$B47,TblCalculs[Mois],AC$33))))</f>
        <v/>
      </c>
      <c r="AD47" s="58" t="str">
        <f aca="false">IF(OR($A47="",AD$33=""),"",IF(ca_mesure="CPU",SUMIFS(TblCalculs[CPU provisionné],TblCalculs[Cluster],$B47,TblCalculs[Mois],AD$33),IF(ca_mesure="RAM",SUMIFS(TblCalculs[RAM provisionnée],TblCalculs[Cluster],$B47,TblCalculs[Mois],AD$33),SUMIFS(TblCalculs[Workers],TblCalculs[Cluster],$B47,TblCalculs[Mois],AD$33))))</f>
        <v/>
      </c>
      <c r="AE47" s="58" t="str">
        <f aca="false">IF(OR($A47="",AE$33=""),"",IF(ca_mesure="CPU",SUMIFS(TblCalculs[CPU provisionné],TblCalculs[Cluster],$B47,TblCalculs[Mois],AE$33),IF(ca_mesure="RAM",SUMIFS(TblCalculs[RAM provisionnée],TblCalculs[Cluster],$B47,TblCalculs[Mois],AE$33),SUMIFS(TblCalculs[Workers],TblCalculs[Cluster],$B47,TblCalculs[Mois],AE$33))))</f>
        <v/>
      </c>
      <c r="AF47" s="58" t="str">
        <f aca="false">IF(OR($A47="",AF$33=""),"",IF(ca_mesure="CPU",SUMIFS(TblCalculs[CPU provisionné],TblCalculs[Cluster],$B47,TblCalculs[Mois],AF$33),IF(ca_mesure="RAM",SUMIFS(TblCalculs[RAM provisionnée],TblCalculs[Cluster],$B47,TblCalculs[Mois],AF$33),SUMIFS(TblCalculs[Workers],TblCalculs[Cluster],$B47,TblCalculs[Mois],AF$33))))</f>
        <v/>
      </c>
      <c r="AG47" s="58" t="str">
        <f aca="false">IF(OR($A47="",AG$33=""),"",IF(ca_mesure="CPU",SUMIFS(TblCalculs[CPU provisionné],TblCalculs[Cluster],$B47,TblCalculs[Mois],AG$33),IF(ca_mesure="RAM",SUMIFS(TblCalculs[RAM provisionnée],TblCalculs[Cluster],$B47,TblCalculs[Mois],AG$33),SUMIFS(TblCalculs[Workers],TblCalculs[Cluster],$B47,TblCalculs[Mois],AG$33))))</f>
        <v/>
      </c>
      <c r="AH47" s="58" t="str">
        <f aca="false">IF(OR($A47="",AH$33=""),"",IF(ca_mesure="CPU",SUMIFS(TblCalculs[CPU provisionné],TblCalculs[Cluster],$B47,TblCalculs[Mois],AH$33),IF(ca_mesure="RAM",SUMIFS(TblCalculs[RAM provisionnée],TblCalculs[Cluster],$B47,TblCalculs[Mois],AH$33),SUMIFS(TblCalculs[Workers],TblCalculs[Cluster],$B47,TblCalculs[Mois],AH$33))))</f>
        <v/>
      </c>
      <c r="AI47" s="58" t="str">
        <f aca="false">IF(OR($A47="",AI$33=""),"",IF(ca_mesure="CPU",SUMIFS(TblCalculs[CPU provisionné],TblCalculs[Cluster],$B47,TblCalculs[Mois],AI$33),IF(ca_mesure="RAM",SUMIFS(TblCalculs[RAM provisionnée],TblCalculs[Cluster],$B47,TblCalculs[Mois],AI$33),SUMIFS(TblCalculs[Workers],TblCalculs[Cluster],$B47,TblCalculs[Mois],AI$33))))</f>
        <v/>
      </c>
      <c r="AJ47" s="58" t="str">
        <f aca="false">IF(OR($A47="",AJ$33=""),"",IF(ca_mesure="CPU",SUMIFS(TblCalculs[CPU provisionné],TblCalculs[Cluster],$B47,TblCalculs[Mois],AJ$33),IF(ca_mesure="RAM",SUMIFS(TblCalculs[RAM provisionnée],TblCalculs[Cluster],$B47,TblCalculs[Mois],AJ$33),SUMIFS(TblCalculs[Workers],TblCalculs[Cluster],$B47,TblCalculs[Mois],AJ$33))))</f>
        <v/>
      </c>
      <c r="AK47" s="58" t="str">
        <f aca="false">IF(OR($A47="",AK$33=""),"",IF(ca_mesure="CPU",SUMIFS(TblCalculs[CPU provisionné],TblCalculs[Cluster],$B47,TblCalculs[Mois],AK$33),IF(ca_mesure="RAM",SUMIFS(TblCalculs[RAM provisionnée],TblCalculs[Cluster],$B47,TblCalculs[Mois],AK$33),SUMIFS(TblCalculs[Workers],TblCalculs[Cluster],$B47,TblCalculs[Mois],AK$33))))</f>
        <v/>
      </c>
      <c r="AL47" s="58" t="str">
        <f aca="false">IF(OR($A47="",AL$33=""),"",IF(ca_mesure="CPU",SUMIFS(TblCalculs[CPU provisionné],TblCalculs[Cluster],$B47,TblCalculs[Mois],AL$33),IF(ca_mesure="RAM",SUMIFS(TblCalculs[RAM provisionnée],TblCalculs[Cluster],$B47,TblCalculs[Mois],AL$33),SUMIFS(TblCalculs[Workers],TblCalculs[Cluster],$B47,TblCalculs[Mois],AL$33))))</f>
        <v/>
      </c>
      <c r="AM47" s="58" t="str">
        <f aca="false">IF(OR($A47="",AM$33=""),"",IF(ca_mesure="CPU",SUMIFS(TblCalculs[CPU provisionné],TblCalculs[Cluster],$B47,TblCalculs[Mois],AM$33),IF(ca_mesure="RAM",SUMIFS(TblCalculs[RAM provisionnée],TblCalculs[Cluster],$B47,TblCalculs[Mois],AM$33),SUMIFS(TblCalculs[Workers],TblCalculs[Cluster],$B47,TblCalculs[Mois],AM$33))))</f>
        <v/>
      </c>
      <c r="AN47" s="58" t="str">
        <f aca="false">IF(OR($A47="",AN$33=""),"",IF(ca_mesure="CPU",SUMIFS(TblCalculs[CPU provisionné],TblCalculs[Cluster],$B47,TblCalculs[Mois],AN$33),IF(ca_mesure="RAM",SUMIFS(TblCalculs[RAM provisionnée],TblCalculs[Cluster],$B47,TblCalculs[Mois],AN$33),SUMIFS(TblCalculs[Workers],TblCalculs[Cluster],$B47,TblCalculs[Mois],AN$33))))</f>
        <v/>
      </c>
      <c r="AO47" s="58" t="str">
        <f aca="false">IF(OR($A47="",AO$33=""),"",IF(ca_mesure="CPU",SUMIFS(TblCalculs[CPU provisionné],TblCalculs[Cluster],$B47,TblCalculs[Mois],AO$33),IF(ca_mesure="RAM",SUMIFS(TblCalculs[RAM provisionnée],TblCalculs[Cluster],$B47,TblCalculs[Mois],AO$33),SUMIFS(TblCalculs[Workers],TblCalculs[Cluster],$B47,TblCalculs[Mois],AO$33))))</f>
        <v/>
      </c>
    </row>
    <row r="48" customFormat="false" ht="15" hidden="false" customHeight="false" outlineLevel="0" collapsed="false">
      <c r="A48" s="49" t="str">
        <f aca="false">IFERROR(MATCH(15,TblClusters[Rang capacités],0),"")</f>
        <v/>
      </c>
      <c r="B48" s="57" t="str">
        <f aca="false">IF($A48="","",INDEX(TblClusters[Cluster],$A48))</f>
        <v/>
      </c>
      <c r="C48" s="50" t="str">
        <f aca="false">IF($A48="","",INDEX(TblClusters[Plateforme],$A48))</f>
        <v/>
      </c>
      <c r="D48" s="50" t="str">
        <f aca="false">IF($A48="","",INDEX(TblClusters[Environnement],$A48))</f>
        <v/>
      </c>
      <c r="E48" s="50" t="str">
        <f aca="false">IF($A48="","",INDEX(TblClusters[Flavor],$A48))</f>
        <v/>
      </c>
      <c r="F48" s="58" t="str">
        <f aca="false">IF(OR($A48="",F$33=""),"",IF(ca_mesure="CPU",SUMIFS(TblCalculs[CPU provisionné],TblCalculs[Cluster],$B48,TblCalculs[Mois],F$33),IF(ca_mesure="RAM",SUMIFS(TblCalculs[RAM provisionnée],TblCalculs[Cluster],$B48,TblCalculs[Mois],F$33),SUMIFS(TblCalculs[Workers],TblCalculs[Cluster],$B48,TblCalculs[Mois],F$33))))</f>
        <v/>
      </c>
      <c r="G48" s="58" t="str">
        <f aca="false">IF(OR($A48="",G$33=""),"",IF(ca_mesure="CPU",SUMIFS(TblCalculs[CPU provisionné],TblCalculs[Cluster],$B48,TblCalculs[Mois],G$33),IF(ca_mesure="RAM",SUMIFS(TblCalculs[RAM provisionnée],TblCalculs[Cluster],$B48,TblCalculs[Mois],G$33),SUMIFS(TblCalculs[Workers],TblCalculs[Cluster],$B48,TblCalculs[Mois],G$33))))</f>
        <v/>
      </c>
      <c r="H48" s="58" t="str">
        <f aca="false">IF(OR($A48="",H$33=""),"",IF(ca_mesure="CPU",SUMIFS(TblCalculs[CPU provisionné],TblCalculs[Cluster],$B48,TblCalculs[Mois],H$33),IF(ca_mesure="RAM",SUMIFS(TblCalculs[RAM provisionnée],TblCalculs[Cluster],$B48,TblCalculs[Mois],H$33),SUMIFS(TblCalculs[Workers],TblCalculs[Cluster],$B48,TblCalculs[Mois],H$33))))</f>
        <v/>
      </c>
      <c r="I48" s="58" t="str">
        <f aca="false">IF(OR($A48="",I$33=""),"",IF(ca_mesure="CPU",SUMIFS(TblCalculs[CPU provisionné],TblCalculs[Cluster],$B48,TblCalculs[Mois],I$33),IF(ca_mesure="RAM",SUMIFS(TblCalculs[RAM provisionnée],TblCalculs[Cluster],$B48,TblCalculs[Mois],I$33),SUMIFS(TblCalculs[Workers],TblCalculs[Cluster],$B48,TblCalculs[Mois],I$33))))</f>
        <v/>
      </c>
      <c r="J48" s="58" t="str">
        <f aca="false">IF(OR($A48="",J$33=""),"",IF(ca_mesure="CPU",SUMIFS(TblCalculs[CPU provisionné],TblCalculs[Cluster],$B48,TblCalculs[Mois],J$33),IF(ca_mesure="RAM",SUMIFS(TblCalculs[RAM provisionnée],TblCalculs[Cluster],$B48,TblCalculs[Mois],J$33),SUMIFS(TblCalculs[Workers],TblCalculs[Cluster],$B48,TblCalculs[Mois],J$33))))</f>
        <v/>
      </c>
      <c r="K48" s="58" t="str">
        <f aca="false">IF(OR($A48="",K$33=""),"",IF(ca_mesure="CPU",SUMIFS(TblCalculs[CPU provisionné],TblCalculs[Cluster],$B48,TblCalculs[Mois],K$33),IF(ca_mesure="RAM",SUMIFS(TblCalculs[RAM provisionnée],TblCalculs[Cluster],$B48,TblCalculs[Mois],K$33),SUMIFS(TblCalculs[Workers],TblCalculs[Cluster],$B48,TblCalculs[Mois],K$33))))</f>
        <v/>
      </c>
      <c r="L48" s="58" t="str">
        <f aca="false">IF(OR($A48="",L$33=""),"",IF(ca_mesure="CPU",SUMIFS(TblCalculs[CPU provisionné],TblCalculs[Cluster],$B48,TblCalculs[Mois],L$33),IF(ca_mesure="RAM",SUMIFS(TblCalculs[RAM provisionnée],TblCalculs[Cluster],$B48,TblCalculs[Mois],L$33),SUMIFS(TblCalculs[Workers],TblCalculs[Cluster],$B48,TblCalculs[Mois],L$33))))</f>
        <v/>
      </c>
      <c r="M48" s="58" t="str">
        <f aca="false">IF(OR($A48="",M$33=""),"",IF(ca_mesure="CPU",SUMIFS(TblCalculs[CPU provisionné],TblCalculs[Cluster],$B48,TblCalculs[Mois],M$33),IF(ca_mesure="RAM",SUMIFS(TblCalculs[RAM provisionnée],TblCalculs[Cluster],$B48,TblCalculs[Mois],M$33),SUMIFS(TblCalculs[Workers],TblCalculs[Cluster],$B48,TblCalculs[Mois],M$33))))</f>
        <v/>
      </c>
      <c r="N48" s="58" t="str">
        <f aca="false">IF(OR($A48="",N$33=""),"",IF(ca_mesure="CPU",SUMIFS(TblCalculs[CPU provisionné],TblCalculs[Cluster],$B48,TblCalculs[Mois],N$33),IF(ca_mesure="RAM",SUMIFS(TblCalculs[RAM provisionnée],TblCalculs[Cluster],$B48,TblCalculs[Mois],N$33),SUMIFS(TblCalculs[Workers],TblCalculs[Cluster],$B48,TblCalculs[Mois],N$33))))</f>
        <v/>
      </c>
      <c r="O48" s="58" t="str">
        <f aca="false">IF(OR($A48="",O$33=""),"",IF(ca_mesure="CPU",SUMIFS(TblCalculs[CPU provisionné],TblCalculs[Cluster],$B48,TblCalculs[Mois],O$33),IF(ca_mesure="RAM",SUMIFS(TblCalculs[RAM provisionnée],TblCalculs[Cluster],$B48,TblCalculs[Mois],O$33),SUMIFS(TblCalculs[Workers],TblCalculs[Cluster],$B48,TblCalculs[Mois],O$33))))</f>
        <v/>
      </c>
      <c r="P48" s="58" t="str">
        <f aca="false">IF(OR($A48="",P$33=""),"",IF(ca_mesure="CPU",SUMIFS(TblCalculs[CPU provisionné],TblCalculs[Cluster],$B48,TblCalculs[Mois],P$33),IF(ca_mesure="RAM",SUMIFS(TblCalculs[RAM provisionnée],TblCalculs[Cluster],$B48,TblCalculs[Mois],P$33),SUMIFS(TblCalculs[Workers],TblCalculs[Cluster],$B48,TblCalculs[Mois],P$33))))</f>
        <v/>
      </c>
      <c r="Q48" s="58" t="str">
        <f aca="false">IF(OR($A48="",Q$33=""),"",IF(ca_mesure="CPU",SUMIFS(TblCalculs[CPU provisionné],TblCalculs[Cluster],$B48,TblCalculs[Mois],Q$33),IF(ca_mesure="RAM",SUMIFS(TblCalculs[RAM provisionnée],TblCalculs[Cluster],$B48,TblCalculs[Mois],Q$33),SUMIFS(TblCalculs[Workers],TblCalculs[Cluster],$B48,TblCalculs[Mois],Q$33))))</f>
        <v/>
      </c>
      <c r="R48" s="58" t="str">
        <f aca="false">IF(OR($A48="",R$33=""),"",IF(ca_mesure="CPU",SUMIFS(TblCalculs[CPU provisionné],TblCalculs[Cluster],$B48,TblCalculs[Mois],R$33),IF(ca_mesure="RAM",SUMIFS(TblCalculs[RAM provisionnée],TblCalculs[Cluster],$B48,TblCalculs[Mois],R$33),SUMIFS(TblCalculs[Workers],TblCalculs[Cluster],$B48,TblCalculs[Mois],R$33))))</f>
        <v/>
      </c>
      <c r="S48" s="58" t="str">
        <f aca="false">IF(OR($A48="",S$33=""),"",IF(ca_mesure="CPU",SUMIFS(TblCalculs[CPU provisionné],TblCalculs[Cluster],$B48,TblCalculs[Mois],S$33),IF(ca_mesure="RAM",SUMIFS(TblCalculs[RAM provisionnée],TblCalculs[Cluster],$B48,TblCalculs[Mois],S$33),SUMIFS(TblCalculs[Workers],TblCalculs[Cluster],$B48,TblCalculs[Mois],S$33))))</f>
        <v/>
      </c>
      <c r="T48" s="58" t="str">
        <f aca="false">IF(OR($A48="",T$33=""),"",IF(ca_mesure="CPU",SUMIFS(TblCalculs[CPU provisionné],TblCalculs[Cluster],$B48,TblCalculs[Mois],T$33),IF(ca_mesure="RAM",SUMIFS(TblCalculs[RAM provisionnée],TblCalculs[Cluster],$B48,TblCalculs[Mois],T$33),SUMIFS(TblCalculs[Workers],TblCalculs[Cluster],$B48,TblCalculs[Mois],T$33))))</f>
        <v/>
      </c>
      <c r="U48" s="58" t="str">
        <f aca="false">IF(OR($A48="",U$33=""),"",IF(ca_mesure="CPU",SUMIFS(TblCalculs[CPU provisionné],TblCalculs[Cluster],$B48,TblCalculs[Mois],U$33),IF(ca_mesure="RAM",SUMIFS(TblCalculs[RAM provisionnée],TblCalculs[Cluster],$B48,TblCalculs[Mois],U$33),SUMIFS(TblCalculs[Workers],TblCalculs[Cluster],$B48,TblCalculs[Mois],U$33))))</f>
        <v/>
      </c>
      <c r="V48" s="58" t="str">
        <f aca="false">IF(OR($A48="",V$33=""),"",IF(ca_mesure="CPU",SUMIFS(TblCalculs[CPU provisionné],TblCalculs[Cluster],$B48,TblCalculs[Mois],V$33),IF(ca_mesure="RAM",SUMIFS(TblCalculs[RAM provisionnée],TblCalculs[Cluster],$B48,TblCalculs[Mois],V$33),SUMIFS(TblCalculs[Workers],TblCalculs[Cluster],$B48,TblCalculs[Mois],V$33))))</f>
        <v/>
      </c>
      <c r="W48" s="58" t="str">
        <f aca="false">IF(OR($A48="",W$33=""),"",IF(ca_mesure="CPU",SUMIFS(TblCalculs[CPU provisionné],TblCalculs[Cluster],$B48,TblCalculs[Mois],W$33),IF(ca_mesure="RAM",SUMIFS(TblCalculs[RAM provisionnée],TblCalculs[Cluster],$B48,TblCalculs[Mois],W$33),SUMIFS(TblCalculs[Workers],TblCalculs[Cluster],$B48,TblCalculs[Mois],W$33))))</f>
        <v/>
      </c>
      <c r="X48" s="58" t="str">
        <f aca="false">IF(OR($A48="",X$33=""),"",IF(ca_mesure="CPU",SUMIFS(TblCalculs[CPU provisionné],TblCalculs[Cluster],$B48,TblCalculs[Mois],X$33),IF(ca_mesure="RAM",SUMIFS(TblCalculs[RAM provisionnée],TblCalculs[Cluster],$B48,TblCalculs[Mois],X$33),SUMIFS(TblCalculs[Workers],TblCalculs[Cluster],$B48,TblCalculs[Mois],X$33))))</f>
        <v/>
      </c>
      <c r="Y48" s="58" t="str">
        <f aca="false">IF(OR($A48="",Y$33=""),"",IF(ca_mesure="CPU",SUMIFS(TblCalculs[CPU provisionné],TblCalculs[Cluster],$B48,TblCalculs[Mois],Y$33),IF(ca_mesure="RAM",SUMIFS(TblCalculs[RAM provisionnée],TblCalculs[Cluster],$B48,TblCalculs[Mois],Y$33),SUMIFS(TblCalculs[Workers],TblCalculs[Cluster],$B48,TblCalculs[Mois],Y$33))))</f>
        <v/>
      </c>
      <c r="Z48" s="58" t="str">
        <f aca="false">IF(OR($A48="",Z$33=""),"",IF(ca_mesure="CPU",SUMIFS(TblCalculs[CPU provisionné],TblCalculs[Cluster],$B48,TblCalculs[Mois],Z$33),IF(ca_mesure="RAM",SUMIFS(TblCalculs[RAM provisionnée],TblCalculs[Cluster],$B48,TblCalculs[Mois],Z$33),SUMIFS(TblCalculs[Workers],TblCalculs[Cluster],$B48,TblCalculs[Mois],Z$33))))</f>
        <v/>
      </c>
      <c r="AA48" s="58" t="str">
        <f aca="false">IF(OR($A48="",AA$33=""),"",IF(ca_mesure="CPU",SUMIFS(TblCalculs[CPU provisionné],TblCalculs[Cluster],$B48,TblCalculs[Mois],AA$33),IF(ca_mesure="RAM",SUMIFS(TblCalculs[RAM provisionnée],TblCalculs[Cluster],$B48,TblCalculs[Mois],AA$33),SUMIFS(TblCalculs[Workers],TblCalculs[Cluster],$B48,TblCalculs[Mois],AA$33))))</f>
        <v/>
      </c>
      <c r="AB48" s="58" t="str">
        <f aca="false">IF(OR($A48="",AB$33=""),"",IF(ca_mesure="CPU",SUMIFS(TblCalculs[CPU provisionné],TblCalculs[Cluster],$B48,TblCalculs[Mois],AB$33),IF(ca_mesure="RAM",SUMIFS(TblCalculs[RAM provisionnée],TblCalculs[Cluster],$B48,TblCalculs[Mois],AB$33),SUMIFS(TblCalculs[Workers],TblCalculs[Cluster],$B48,TblCalculs[Mois],AB$33))))</f>
        <v/>
      </c>
      <c r="AC48" s="58" t="str">
        <f aca="false">IF(OR($A48="",AC$33=""),"",IF(ca_mesure="CPU",SUMIFS(TblCalculs[CPU provisionné],TblCalculs[Cluster],$B48,TblCalculs[Mois],AC$33),IF(ca_mesure="RAM",SUMIFS(TblCalculs[RAM provisionnée],TblCalculs[Cluster],$B48,TblCalculs[Mois],AC$33),SUMIFS(TblCalculs[Workers],TblCalculs[Cluster],$B48,TblCalculs[Mois],AC$33))))</f>
        <v/>
      </c>
      <c r="AD48" s="58" t="str">
        <f aca="false">IF(OR($A48="",AD$33=""),"",IF(ca_mesure="CPU",SUMIFS(TblCalculs[CPU provisionné],TblCalculs[Cluster],$B48,TblCalculs[Mois],AD$33),IF(ca_mesure="RAM",SUMIFS(TblCalculs[RAM provisionnée],TblCalculs[Cluster],$B48,TblCalculs[Mois],AD$33),SUMIFS(TblCalculs[Workers],TblCalculs[Cluster],$B48,TblCalculs[Mois],AD$33))))</f>
        <v/>
      </c>
      <c r="AE48" s="58" t="str">
        <f aca="false">IF(OR($A48="",AE$33=""),"",IF(ca_mesure="CPU",SUMIFS(TblCalculs[CPU provisionné],TblCalculs[Cluster],$B48,TblCalculs[Mois],AE$33),IF(ca_mesure="RAM",SUMIFS(TblCalculs[RAM provisionnée],TblCalculs[Cluster],$B48,TblCalculs[Mois],AE$33),SUMIFS(TblCalculs[Workers],TblCalculs[Cluster],$B48,TblCalculs[Mois],AE$33))))</f>
        <v/>
      </c>
      <c r="AF48" s="58" t="str">
        <f aca="false">IF(OR($A48="",AF$33=""),"",IF(ca_mesure="CPU",SUMIFS(TblCalculs[CPU provisionné],TblCalculs[Cluster],$B48,TblCalculs[Mois],AF$33),IF(ca_mesure="RAM",SUMIFS(TblCalculs[RAM provisionnée],TblCalculs[Cluster],$B48,TblCalculs[Mois],AF$33),SUMIFS(TblCalculs[Workers],TblCalculs[Cluster],$B48,TblCalculs[Mois],AF$33))))</f>
        <v/>
      </c>
      <c r="AG48" s="58" t="str">
        <f aca="false">IF(OR($A48="",AG$33=""),"",IF(ca_mesure="CPU",SUMIFS(TblCalculs[CPU provisionné],TblCalculs[Cluster],$B48,TblCalculs[Mois],AG$33),IF(ca_mesure="RAM",SUMIFS(TblCalculs[RAM provisionnée],TblCalculs[Cluster],$B48,TblCalculs[Mois],AG$33),SUMIFS(TblCalculs[Workers],TblCalculs[Cluster],$B48,TblCalculs[Mois],AG$33))))</f>
        <v/>
      </c>
      <c r="AH48" s="58" t="str">
        <f aca="false">IF(OR($A48="",AH$33=""),"",IF(ca_mesure="CPU",SUMIFS(TblCalculs[CPU provisionné],TblCalculs[Cluster],$B48,TblCalculs[Mois],AH$33),IF(ca_mesure="RAM",SUMIFS(TblCalculs[RAM provisionnée],TblCalculs[Cluster],$B48,TblCalculs[Mois],AH$33),SUMIFS(TblCalculs[Workers],TblCalculs[Cluster],$B48,TblCalculs[Mois],AH$33))))</f>
        <v/>
      </c>
      <c r="AI48" s="58" t="str">
        <f aca="false">IF(OR($A48="",AI$33=""),"",IF(ca_mesure="CPU",SUMIFS(TblCalculs[CPU provisionné],TblCalculs[Cluster],$B48,TblCalculs[Mois],AI$33),IF(ca_mesure="RAM",SUMIFS(TblCalculs[RAM provisionnée],TblCalculs[Cluster],$B48,TblCalculs[Mois],AI$33),SUMIFS(TblCalculs[Workers],TblCalculs[Cluster],$B48,TblCalculs[Mois],AI$33))))</f>
        <v/>
      </c>
      <c r="AJ48" s="58" t="str">
        <f aca="false">IF(OR($A48="",AJ$33=""),"",IF(ca_mesure="CPU",SUMIFS(TblCalculs[CPU provisionné],TblCalculs[Cluster],$B48,TblCalculs[Mois],AJ$33),IF(ca_mesure="RAM",SUMIFS(TblCalculs[RAM provisionnée],TblCalculs[Cluster],$B48,TblCalculs[Mois],AJ$33),SUMIFS(TblCalculs[Workers],TblCalculs[Cluster],$B48,TblCalculs[Mois],AJ$33))))</f>
        <v/>
      </c>
      <c r="AK48" s="58" t="str">
        <f aca="false">IF(OR($A48="",AK$33=""),"",IF(ca_mesure="CPU",SUMIFS(TblCalculs[CPU provisionné],TblCalculs[Cluster],$B48,TblCalculs[Mois],AK$33),IF(ca_mesure="RAM",SUMIFS(TblCalculs[RAM provisionnée],TblCalculs[Cluster],$B48,TblCalculs[Mois],AK$33),SUMIFS(TblCalculs[Workers],TblCalculs[Cluster],$B48,TblCalculs[Mois],AK$33))))</f>
        <v/>
      </c>
      <c r="AL48" s="58" t="str">
        <f aca="false">IF(OR($A48="",AL$33=""),"",IF(ca_mesure="CPU",SUMIFS(TblCalculs[CPU provisionné],TblCalculs[Cluster],$B48,TblCalculs[Mois],AL$33),IF(ca_mesure="RAM",SUMIFS(TblCalculs[RAM provisionnée],TblCalculs[Cluster],$B48,TblCalculs[Mois],AL$33),SUMIFS(TblCalculs[Workers],TblCalculs[Cluster],$B48,TblCalculs[Mois],AL$33))))</f>
        <v/>
      </c>
      <c r="AM48" s="58" t="str">
        <f aca="false">IF(OR($A48="",AM$33=""),"",IF(ca_mesure="CPU",SUMIFS(TblCalculs[CPU provisionné],TblCalculs[Cluster],$B48,TblCalculs[Mois],AM$33),IF(ca_mesure="RAM",SUMIFS(TblCalculs[RAM provisionnée],TblCalculs[Cluster],$B48,TblCalculs[Mois],AM$33),SUMIFS(TblCalculs[Workers],TblCalculs[Cluster],$B48,TblCalculs[Mois],AM$33))))</f>
        <v/>
      </c>
      <c r="AN48" s="58" t="str">
        <f aca="false">IF(OR($A48="",AN$33=""),"",IF(ca_mesure="CPU",SUMIFS(TblCalculs[CPU provisionné],TblCalculs[Cluster],$B48,TblCalculs[Mois],AN$33),IF(ca_mesure="RAM",SUMIFS(TblCalculs[RAM provisionnée],TblCalculs[Cluster],$B48,TblCalculs[Mois],AN$33),SUMIFS(TblCalculs[Workers],TblCalculs[Cluster],$B48,TblCalculs[Mois],AN$33))))</f>
        <v/>
      </c>
      <c r="AO48" s="58" t="str">
        <f aca="false">IF(OR($A48="",AO$33=""),"",IF(ca_mesure="CPU",SUMIFS(TblCalculs[CPU provisionné],TblCalculs[Cluster],$B48,TblCalculs[Mois],AO$33),IF(ca_mesure="RAM",SUMIFS(TblCalculs[RAM provisionnée],TblCalculs[Cluster],$B48,TblCalculs[Mois],AO$33),SUMIFS(TblCalculs[Workers],TblCalculs[Cluster],$B48,TblCalculs[Mois],AO$33))))</f>
        <v/>
      </c>
    </row>
    <row r="49" customFormat="false" ht="15" hidden="false" customHeight="false" outlineLevel="0" collapsed="false">
      <c r="A49" s="49" t="str">
        <f aca="false">IFERROR(MATCH(16,TblClusters[Rang capacités],0),"")</f>
        <v/>
      </c>
      <c r="B49" s="57" t="str">
        <f aca="false">IF($A49="","",INDEX(TblClusters[Cluster],$A49))</f>
        <v/>
      </c>
      <c r="C49" s="50" t="str">
        <f aca="false">IF($A49="","",INDEX(TblClusters[Plateforme],$A49))</f>
        <v/>
      </c>
      <c r="D49" s="50" t="str">
        <f aca="false">IF($A49="","",INDEX(TblClusters[Environnement],$A49))</f>
        <v/>
      </c>
      <c r="E49" s="50" t="str">
        <f aca="false">IF($A49="","",INDEX(TblClusters[Flavor],$A49))</f>
        <v/>
      </c>
      <c r="F49" s="58" t="str">
        <f aca="false">IF(OR($A49="",F$33=""),"",IF(ca_mesure="CPU",SUMIFS(TblCalculs[CPU provisionné],TblCalculs[Cluster],$B49,TblCalculs[Mois],F$33),IF(ca_mesure="RAM",SUMIFS(TblCalculs[RAM provisionnée],TblCalculs[Cluster],$B49,TblCalculs[Mois],F$33),SUMIFS(TblCalculs[Workers],TblCalculs[Cluster],$B49,TblCalculs[Mois],F$33))))</f>
        <v/>
      </c>
      <c r="G49" s="58" t="str">
        <f aca="false">IF(OR($A49="",G$33=""),"",IF(ca_mesure="CPU",SUMIFS(TblCalculs[CPU provisionné],TblCalculs[Cluster],$B49,TblCalculs[Mois],G$33),IF(ca_mesure="RAM",SUMIFS(TblCalculs[RAM provisionnée],TblCalculs[Cluster],$B49,TblCalculs[Mois],G$33),SUMIFS(TblCalculs[Workers],TblCalculs[Cluster],$B49,TblCalculs[Mois],G$33))))</f>
        <v/>
      </c>
      <c r="H49" s="58" t="str">
        <f aca="false">IF(OR($A49="",H$33=""),"",IF(ca_mesure="CPU",SUMIFS(TblCalculs[CPU provisionné],TblCalculs[Cluster],$B49,TblCalculs[Mois],H$33),IF(ca_mesure="RAM",SUMIFS(TblCalculs[RAM provisionnée],TblCalculs[Cluster],$B49,TblCalculs[Mois],H$33),SUMIFS(TblCalculs[Workers],TblCalculs[Cluster],$B49,TblCalculs[Mois],H$33))))</f>
        <v/>
      </c>
      <c r="I49" s="58" t="str">
        <f aca="false">IF(OR($A49="",I$33=""),"",IF(ca_mesure="CPU",SUMIFS(TblCalculs[CPU provisionné],TblCalculs[Cluster],$B49,TblCalculs[Mois],I$33),IF(ca_mesure="RAM",SUMIFS(TblCalculs[RAM provisionnée],TblCalculs[Cluster],$B49,TblCalculs[Mois],I$33),SUMIFS(TblCalculs[Workers],TblCalculs[Cluster],$B49,TblCalculs[Mois],I$33))))</f>
        <v/>
      </c>
      <c r="J49" s="58" t="str">
        <f aca="false">IF(OR($A49="",J$33=""),"",IF(ca_mesure="CPU",SUMIFS(TblCalculs[CPU provisionné],TblCalculs[Cluster],$B49,TblCalculs[Mois],J$33),IF(ca_mesure="RAM",SUMIFS(TblCalculs[RAM provisionnée],TblCalculs[Cluster],$B49,TblCalculs[Mois],J$33),SUMIFS(TblCalculs[Workers],TblCalculs[Cluster],$B49,TblCalculs[Mois],J$33))))</f>
        <v/>
      </c>
      <c r="K49" s="58" t="str">
        <f aca="false">IF(OR($A49="",K$33=""),"",IF(ca_mesure="CPU",SUMIFS(TblCalculs[CPU provisionné],TblCalculs[Cluster],$B49,TblCalculs[Mois],K$33),IF(ca_mesure="RAM",SUMIFS(TblCalculs[RAM provisionnée],TblCalculs[Cluster],$B49,TblCalculs[Mois],K$33),SUMIFS(TblCalculs[Workers],TblCalculs[Cluster],$B49,TblCalculs[Mois],K$33))))</f>
        <v/>
      </c>
      <c r="L49" s="58" t="str">
        <f aca="false">IF(OR($A49="",L$33=""),"",IF(ca_mesure="CPU",SUMIFS(TblCalculs[CPU provisionné],TblCalculs[Cluster],$B49,TblCalculs[Mois],L$33),IF(ca_mesure="RAM",SUMIFS(TblCalculs[RAM provisionnée],TblCalculs[Cluster],$B49,TblCalculs[Mois],L$33),SUMIFS(TblCalculs[Workers],TblCalculs[Cluster],$B49,TblCalculs[Mois],L$33))))</f>
        <v/>
      </c>
      <c r="M49" s="58" t="str">
        <f aca="false">IF(OR($A49="",M$33=""),"",IF(ca_mesure="CPU",SUMIFS(TblCalculs[CPU provisionné],TblCalculs[Cluster],$B49,TblCalculs[Mois],M$33),IF(ca_mesure="RAM",SUMIFS(TblCalculs[RAM provisionnée],TblCalculs[Cluster],$B49,TblCalculs[Mois],M$33),SUMIFS(TblCalculs[Workers],TblCalculs[Cluster],$B49,TblCalculs[Mois],M$33))))</f>
        <v/>
      </c>
      <c r="N49" s="58" t="str">
        <f aca="false">IF(OR($A49="",N$33=""),"",IF(ca_mesure="CPU",SUMIFS(TblCalculs[CPU provisionné],TblCalculs[Cluster],$B49,TblCalculs[Mois],N$33),IF(ca_mesure="RAM",SUMIFS(TblCalculs[RAM provisionnée],TblCalculs[Cluster],$B49,TblCalculs[Mois],N$33),SUMIFS(TblCalculs[Workers],TblCalculs[Cluster],$B49,TblCalculs[Mois],N$33))))</f>
        <v/>
      </c>
      <c r="O49" s="58" t="str">
        <f aca="false">IF(OR($A49="",O$33=""),"",IF(ca_mesure="CPU",SUMIFS(TblCalculs[CPU provisionné],TblCalculs[Cluster],$B49,TblCalculs[Mois],O$33),IF(ca_mesure="RAM",SUMIFS(TblCalculs[RAM provisionnée],TblCalculs[Cluster],$B49,TblCalculs[Mois],O$33),SUMIFS(TblCalculs[Workers],TblCalculs[Cluster],$B49,TblCalculs[Mois],O$33))))</f>
        <v/>
      </c>
      <c r="P49" s="58" t="str">
        <f aca="false">IF(OR($A49="",P$33=""),"",IF(ca_mesure="CPU",SUMIFS(TblCalculs[CPU provisionné],TblCalculs[Cluster],$B49,TblCalculs[Mois],P$33),IF(ca_mesure="RAM",SUMIFS(TblCalculs[RAM provisionnée],TblCalculs[Cluster],$B49,TblCalculs[Mois],P$33),SUMIFS(TblCalculs[Workers],TblCalculs[Cluster],$B49,TblCalculs[Mois],P$33))))</f>
        <v/>
      </c>
      <c r="Q49" s="58" t="str">
        <f aca="false">IF(OR($A49="",Q$33=""),"",IF(ca_mesure="CPU",SUMIFS(TblCalculs[CPU provisionné],TblCalculs[Cluster],$B49,TblCalculs[Mois],Q$33),IF(ca_mesure="RAM",SUMIFS(TblCalculs[RAM provisionnée],TblCalculs[Cluster],$B49,TblCalculs[Mois],Q$33),SUMIFS(TblCalculs[Workers],TblCalculs[Cluster],$B49,TblCalculs[Mois],Q$33))))</f>
        <v/>
      </c>
      <c r="R49" s="58" t="str">
        <f aca="false">IF(OR($A49="",R$33=""),"",IF(ca_mesure="CPU",SUMIFS(TblCalculs[CPU provisionné],TblCalculs[Cluster],$B49,TblCalculs[Mois],R$33),IF(ca_mesure="RAM",SUMIFS(TblCalculs[RAM provisionnée],TblCalculs[Cluster],$B49,TblCalculs[Mois],R$33),SUMIFS(TblCalculs[Workers],TblCalculs[Cluster],$B49,TblCalculs[Mois],R$33))))</f>
        <v/>
      </c>
      <c r="S49" s="58" t="str">
        <f aca="false">IF(OR($A49="",S$33=""),"",IF(ca_mesure="CPU",SUMIFS(TblCalculs[CPU provisionné],TblCalculs[Cluster],$B49,TblCalculs[Mois],S$33),IF(ca_mesure="RAM",SUMIFS(TblCalculs[RAM provisionnée],TblCalculs[Cluster],$B49,TblCalculs[Mois],S$33),SUMIFS(TblCalculs[Workers],TblCalculs[Cluster],$B49,TblCalculs[Mois],S$33))))</f>
        <v/>
      </c>
      <c r="T49" s="58" t="str">
        <f aca="false">IF(OR($A49="",T$33=""),"",IF(ca_mesure="CPU",SUMIFS(TblCalculs[CPU provisionné],TblCalculs[Cluster],$B49,TblCalculs[Mois],T$33),IF(ca_mesure="RAM",SUMIFS(TblCalculs[RAM provisionnée],TblCalculs[Cluster],$B49,TblCalculs[Mois],T$33),SUMIFS(TblCalculs[Workers],TblCalculs[Cluster],$B49,TblCalculs[Mois],T$33))))</f>
        <v/>
      </c>
      <c r="U49" s="58" t="str">
        <f aca="false">IF(OR($A49="",U$33=""),"",IF(ca_mesure="CPU",SUMIFS(TblCalculs[CPU provisionné],TblCalculs[Cluster],$B49,TblCalculs[Mois],U$33),IF(ca_mesure="RAM",SUMIFS(TblCalculs[RAM provisionnée],TblCalculs[Cluster],$B49,TblCalculs[Mois],U$33),SUMIFS(TblCalculs[Workers],TblCalculs[Cluster],$B49,TblCalculs[Mois],U$33))))</f>
        <v/>
      </c>
      <c r="V49" s="58" t="str">
        <f aca="false">IF(OR($A49="",V$33=""),"",IF(ca_mesure="CPU",SUMIFS(TblCalculs[CPU provisionné],TblCalculs[Cluster],$B49,TblCalculs[Mois],V$33),IF(ca_mesure="RAM",SUMIFS(TblCalculs[RAM provisionnée],TblCalculs[Cluster],$B49,TblCalculs[Mois],V$33),SUMIFS(TblCalculs[Workers],TblCalculs[Cluster],$B49,TblCalculs[Mois],V$33))))</f>
        <v/>
      </c>
      <c r="W49" s="58" t="str">
        <f aca="false">IF(OR($A49="",W$33=""),"",IF(ca_mesure="CPU",SUMIFS(TblCalculs[CPU provisionné],TblCalculs[Cluster],$B49,TblCalculs[Mois],W$33),IF(ca_mesure="RAM",SUMIFS(TblCalculs[RAM provisionnée],TblCalculs[Cluster],$B49,TblCalculs[Mois],W$33),SUMIFS(TblCalculs[Workers],TblCalculs[Cluster],$B49,TblCalculs[Mois],W$33))))</f>
        <v/>
      </c>
      <c r="X49" s="58" t="str">
        <f aca="false">IF(OR($A49="",X$33=""),"",IF(ca_mesure="CPU",SUMIFS(TblCalculs[CPU provisionné],TblCalculs[Cluster],$B49,TblCalculs[Mois],X$33),IF(ca_mesure="RAM",SUMIFS(TblCalculs[RAM provisionnée],TblCalculs[Cluster],$B49,TblCalculs[Mois],X$33),SUMIFS(TblCalculs[Workers],TblCalculs[Cluster],$B49,TblCalculs[Mois],X$33))))</f>
        <v/>
      </c>
      <c r="Y49" s="58" t="str">
        <f aca="false">IF(OR($A49="",Y$33=""),"",IF(ca_mesure="CPU",SUMIFS(TblCalculs[CPU provisionné],TblCalculs[Cluster],$B49,TblCalculs[Mois],Y$33),IF(ca_mesure="RAM",SUMIFS(TblCalculs[RAM provisionnée],TblCalculs[Cluster],$B49,TblCalculs[Mois],Y$33),SUMIFS(TblCalculs[Workers],TblCalculs[Cluster],$B49,TblCalculs[Mois],Y$33))))</f>
        <v/>
      </c>
      <c r="Z49" s="58" t="str">
        <f aca="false">IF(OR($A49="",Z$33=""),"",IF(ca_mesure="CPU",SUMIFS(TblCalculs[CPU provisionné],TblCalculs[Cluster],$B49,TblCalculs[Mois],Z$33),IF(ca_mesure="RAM",SUMIFS(TblCalculs[RAM provisionnée],TblCalculs[Cluster],$B49,TblCalculs[Mois],Z$33),SUMIFS(TblCalculs[Workers],TblCalculs[Cluster],$B49,TblCalculs[Mois],Z$33))))</f>
        <v/>
      </c>
      <c r="AA49" s="58" t="str">
        <f aca="false">IF(OR($A49="",AA$33=""),"",IF(ca_mesure="CPU",SUMIFS(TblCalculs[CPU provisionné],TblCalculs[Cluster],$B49,TblCalculs[Mois],AA$33),IF(ca_mesure="RAM",SUMIFS(TblCalculs[RAM provisionnée],TblCalculs[Cluster],$B49,TblCalculs[Mois],AA$33),SUMIFS(TblCalculs[Workers],TblCalculs[Cluster],$B49,TblCalculs[Mois],AA$33))))</f>
        <v/>
      </c>
      <c r="AB49" s="58" t="str">
        <f aca="false">IF(OR($A49="",AB$33=""),"",IF(ca_mesure="CPU",SUMIFS(TblCalculs[CPU provisionné],TblCalculs[Cluster],$B49,TblCalculs[Mois],AB$33),IF(ca_mesure="RAM",SUMIFS(TblCalculs[RAM provisionnée],TblCalculs[Cluster],$B49,TblCalculs[Mois],AB$33),SUMIFS(TblCalculs[Workers],TblCalculs[Cluster],$B49,TblCalculs[Mois],AB$33))))</f>
        <v/>
      </c>
      <c r="AC49" s="58" t="str">
        <f aca="false">IF(OR($A49="",AC$33=""),"",IF(ca_mesure="CPU",SUMIFS(TblCalculs[CPU provisionné],TblCalculs[Cluster],$B49,TblCalculs[Mois],AC$33),IF(ca_mesure="RAM",SUMIFS(TblCalculs[RAM provisionnée],TblCalculs[Cluster],$B49,TblCalculs[Mois],AC$33),SUMIFS(TblCalculs[Workers],TblCalculs[Cluster],$B49,TblCalculs[Mois],AC$33))))</f>
        <v/>
      </c>
      <c r="AD49" s="58" t="str">
        <f aca="false">IF(OR($A49="",AD$33=""),"",IF(ca_mesure="CPU",SUMIFS(TblCalculs[CPU provisionné],TblCalculs[Cluster],$B49,TblCalculs[Mois],AD$33),IF(ca_mesure="RAM",SUMIFS(TblCalculs[RAM provisionnée],TblCalculs[Cluster],$B49,TblCalculs[Mois],AD$33),SUMIFS(TblCalculs[Workers],TblCalculs[Cluster],$B49,TblCalculs[Mois],AD$33))))</f>
        <v/>
      </c>
      <c r="AE49" s="58" t="str">
        <f aca="false">IF(OR($A49="",AE$33=""),"",IF(ca_mesure="CPU",SUMIFS(TblCalculs[CPU provisionné],TblCalculs[Cluster],$B49,TblCalculs[Mois],AE$33),IF(ca_mesure="RAM",SUMIFS(TblCalculs[RAM provisionnée],TblCalculs[Cluster],$B49,TblCalculs[Mois],AE$33),SUMIFS(TblCalculs[Workers],TblCalculs[Cluster],$B49,TblCalculs[Mois],AE$33))))</f>
        <v/>
      </c>
      <c r="AF49" s="58" t="str">
        <f aca="false">IF(OR($A49="",AF$33=""),"",IF(ca_mesure="CPU",SUMIFS(TblCalculs[CPU provisionné],TblCalculs[Cluster],$B49,TblCalculs[Mois],AF$33),IF(ca_mesure="RAM",SUMIFS(TblCalculs[RAM provisionnée],TblCalculs[Cluster],$B49,TblCalculs[Mois],AF$33),SUMIFS(TblCalculs[Workers],TblCalculs[Cluster],$B49,TblCalculs[Mois],AF$33))))</f>
        <v/>
      </c>
      <c r="AG49" s="58" t="str">
        <f aca="false">IF(OR($A49="",AG$33=""),"",IF(ca_mesure="CPU",SUMIFS(TblCalculs[CPU provisionné],TblCalculs[Cluster],$B49,TblCalculs[Mois],AG$33),IF(ca_mesure="RAM",SUMIFS(TblCalculs[RAM provisionnée],TblCalculs[Cluster],$B49,TblCalculs[Mois],AG$33),SUMIFS(TblCalculs[Workers],TblCalculs[Cluster],$B49,TblCalculs[Mois],AG$33))))</f>
        <v/>
      </c>
      <c r="AH49" s="58" t="str">
        <f aca="false">IF(OR($A49="",AH$33=""),"",IF(ca_mesure="CPU",SUMIFS(TblCalculs[CPU provisionné],TblCalculs[Cluster],$B49,TblCalculs[Mois],AH$33),IF(ca_mesure="RAM",SUMIFS(TblCalculs[RAM provisionnée],TblCalculs[Cluster],$B49,TblCalculs[Mois],AH$33),SUMIFS(TblCalculs[Workers],TblCalculs[Cluster],$B49,TblCalculs[Mois],AH$33))))</f>
        <v/>
      </c>
      <c r="AI49" s="58" t="str">
        <f aca="false">IF(OR($A49="",AI$33=""),"",IF(ca_mesure="CPU",SUMIFS(TblCalculs[CPU provisionné],TblCalculs[Cluster],$B49,TblCalculs[Mois],AI$33),IF(ca_mesure="RAM",SUMIFS(TblCalculs[RAM provisionnée],TblCalculs[Cluster],$B49,TblCalculs[Mois],AI$33),SUMIFS(TblCalculs[Workers],TblCalculs[Cluster],$B49,TblCalculs[Mois],AI$33))))</f>
        <v/>
      </c>
      <c r="AJ49" s="58" t="str">
        <f aca="false">IF(OR($A49="",AJ$33=""),"",IF(ca_mesure="CPU",SUMIFS(TblCalculs[CPU provisionné],TblCalculs[Cluster],$B49,TblCalculs[Mois],AJ$33),IF(ca_mesure="RAM",SUMIFS(TblCalculs[RAM provisionnée],TblCalculs[Cluster],$B49,TblCalculs[Mois],AJ$33),SUMIFS(TblCalculs[Workers],TblCalculs[Cluster],$B49,TblCalculs[Mois],AJ$33))))</f>
        <v/>
      </c>
      <c r="AK49" s="58" t="str">
        <f aca="false">IF(OR($A49="",AK$33=""),"",IF(ca_mesure="CPU",SUMIFS(TblCalculs[CPU provisionné],TblCalculs[Cluster],$B49,TblCalculs[Mois],AK$33),IF(ca_mesure="RAM",SUMIFS(TblCalculs[RAM provisionnée],TblCalculs[Cluster],$B49,TblCalculs[Mois],AK$33),SUMIFS(TblCalculs[Workers],TblCalculs[Cluster],$B49,TblCalculs[Mois],AK$33))))</f>
        <v/>
      </c>
      <c r="AL49" s="58" t="str">
        <f aca="false">IF(OR($A49="",AL$33=""),"",IF(ca_mesure="CPU",SUMIFS(TblCalculs[CPU provisionné],TblCalculs[Cluster],$B49,TblCalculs[Mois],AL$33),IF(ca_mesure="RAM",SUMIFS(TblCalculs[RAM provisionnée],TblCalculs[Cluster],$B49,TblCalculs[Mois],AL$33),SUMIFS(TblCalculs[Workers],TblCalculs[Cluster],$B49,TblCalculs[Mois],AL$33))))</f>
        <v/>
      </c>
      <c r="AM49" s="58" t="str">
        <f aca="false">IF(OR($A49="",AM$33=""),"",IF(ca_mesure="CPU",SUMIFS(TblCalculs[CPU provisionné],TblCalculs[Cluster],$B49,TblCalculs[Mois],AM$33),IF(ca_mesure="RAM",SUMIFS(TblCalculs[RAM provisionnée],TblCalculs[Cluster],$B49,TblCalculs[Mois],AM$33),SUMIFS(TblCalculs[Workers],TblCalculs[Cluster],$B49,TblCalculs[Mois],AM$33))))</f>
        <v/>
      </c>
      <c r="AN49" s="58" t="str">
        <f aca="false">IF(OR($A49="",AN$33=""),"",IF(ca_mesure="CPU",SUMIFS(TblCalculs[CPU provisionné],TblCalculs[Cluster],$B49,TblCalculs[Mois],AN$33),IF(ca_mesure="RAM",SUMIFS(TblCalculs[RAM provisionnée],TblCalculs[Cluster],$B49,TblCalculs[Mois],AN$33),SUMIFS(TblCalculs[Workers],TblCalculs[Cluster],$B49,TblCalculs[Mois],AN$33))))</f>
        <v/>
      </c>
      <c r="AO49" s="58" t="str">
        <f aca="false">IF(OR($A49="",AO$33=""),"",IF(ca_mesure="CPU",SUMIFS(TblCalculs[CPU provisionné],TblCalculs[Cluster],$B49,TblCalculs[Mois],AO$33),IF(ca_mesure="RAM",SUMIFS(TblCalculs[RAM provisionnée],TblCalculs[Cluster],$B49,TblCalculs[Mois],AO$33),SUMIFS(TblCalculs[Workers],TblCalculs[Cluster],$B49,TblCalculs[Mois],AO$33))))</f>
        <v/>
      </c>
    </row>
    <row r="50" customFormat="false" ht="15" hidden="false" customHeight="false" outlineLevel="0" collapsed="false">
      <c r="A50" s="49" t="str">
        <f aca="false">IFERROR(MATCH(17,TblClusters[Rang capacités],0),"")</f>
        <v/>
      </c>
      <c r="B50" s="57" t="str">
        <f aca="false">IF($A50="","",INDEX(TblClusters[Cluster],$A50))</f>
        <v/>
      </c>
      <c r="C50" s="50" t="str">
        <f aca="false">IF($A50="","",INDEX(TblClusters[Plateforme],$A50))</f>
        <v/>
      </c>
      <c r="D50" s="50" t="str">
        <f aca="false">IF($A50="","",INDEX(TblClusters[Environnement],$A50))</f>
        <v/>
      </c>
      <c r="E50" s="50" t="str">
        <f aca="false">IF($A50="","",INDEX(TblClusters[Flavor],$A50))</f>
        <v/>
      </c>
      <c r="F50" s="58" t="str">
        <f aca="false">IF(OR($A50="",F$33=""),"",IF(ca_mesure="CPU",SUMIFS(TblCalculs[CPU provisionné],TblCalculs[Cluster],$B50,TblCalculs[Mois],F$33),IF(ca_mesure="RAM",SUMIFS(TblCalculs[RAM provisionnée],TblCalculs[Cluster],$B50,TblCalculs[Mois],F$33),SUMIFS(TblCalculs[Workers],TblCalculs[Cluster],$B50,TblCalculs[Mois],F$33))))</f>
        <v/>
      </c>
      <c r="G50" s="58" t="str">
        <f aca="false">IF(OR($A50="",G$33=""),"",IF(ca_mesure="CPU",SUMIFS(TblCalculs[CPU provisionné],TblCalculs[Cluster],$B50,TblCalculs[Mois],G$33),IF(ca_mesure="RAM",SUMIFS(TblCalculs[RAM provisionnée],TblCalculs[Cluster],$B50,TblCalculs[Mois],G$33),SUMIFS(TblCalculs[Workers],TblCalculs[Cluster],$B50,TblCalculs[Mois],G$33))))</f>
        <v/>
      </c>
      <c r="H50" s="58" t="str">
        <f aca="false">IF(OR($A50="",H$33=""),"",IF(ca_mesure="CPU",SUMIFS(TblCalculs[CPU provisionné],TblCalculs[Cluster],$B50,TblCalculs[Mois],H$33),IF(ca_mesure="RAM",SUMIFS(TblCalculs[RAM provisionnée],TblCalculs[Cluster],$B50,TblCalculs[Mois],H$33),SUMIFS(TblCalculs[Workers],TblCalculs[Cluster],$B50,TblCalculs[Mois],H$33))))</f>
        <v/>
      </c>
      <c r="I50" s="58" t="str">
        <f aca="false">IF(OR($A50="",I$33=""),"",IF(ca_mesure="CPU",SUMIFS(TblCalculs[CPU provisionné],TblCalculs[Cluster],$B50,TblCalculs[Mois],I$33),IF(ca_mesure="RAM",SUMIFS(TblCalculs[RAM provisionnée],TblCalculs[Cluster],$B50,TblCalculs[Mois],I$33),SUMIFS(TblCalculs[Workers],TblCalculs[Cluster],$B50,TblCalculs[Mois],I$33))))</f>
        <v/>
      </c>
      <c r="J50" s="58" t="str">
        <f aca="false">IF(OR($A50="",J$33=""),"",IF(ca_mesure="CPU",SUMIFS(TblCalculs[CPU provisionné],TblCalculs[Cluster],$B50,TblCalculs[Mois],J$33),IF(ca_mesure="RAM",SUMIFS(TblCalculs[RAM provisionnée],TblCalculs[Cluster],$B50,TblCalculs[Mois],J$33),SUMIFS(TblCalculs[Workers],TblCalculs[Cluster],$B50,TblCalculs[Mois],J$33))))</f>
        <v/>
      </c>
      <c r="K50" s="58" t="str">
        <f aca="false">IF(OR($A50="",K$33=""),"",IF(ca_mesure="CPU",SUMIFS(TblCalculs[CPU provisionné],TblCalculs[Cluster],$B50,TblCalculs[Mois],K$33),IF(ca_mesure="RAM",SUMIFS(TblCalculs[RAM provisionnée],TblCalculs[Cluster],$B50,TblCalculs[Mois],K$33),SUMIFS(TblCalculs[Workers],TblCalculs[Cluster],$B50,TblCalculs[Mois],K$33))))</f>
        <v/>
      </c>
      <c r="L50" s="58" t="str">
        <f aca="false">IF(OR($A50="",L$33=""),"",IF(ca_mesure="CPU",SUMIFS(TblCalculs[CPU provisionné],TblCalculs[Cluster],$B50,TblCalculs[Mois],L$33),IF(ca_mesure="RAM",SUMIFS(TblCalculs[RAM provisionnée],TblCalculs[Cluster],$B50,TblCalculs[Mois],L$33),SUMIFS(TblCalculs[Workers],TblCalculs[Cluster],$B50,TblCalculs[Mois],L$33))))</f>
        <v/>
      </c>
      <c r="M50" s="58" t="str">
        <f aca="false">IF(OR($A50="",M$33=""),"",IF(ca_mesure="CPU",SUMIFS(TblCalculs[CPU provisionné],TblCalculs[Cluster],$B50,TblCalculs[Mois],M$33),IF(ca_mesure="RAM",SUMIFS(TblCalculs[RAM provisionnée],TblCalculs[Cluster],$B50,TblCalculs[Mois],M$33),SUMIFS(TblCalculs[Workers],TblCalculs[Cluster],$B50,TblCalculs[Mois],M$33))))</f>
        <v/>
      </c>
      <c r="N50" s="58" t="str">
        <f aca="false">IF(OR($A50="",N$33=""),"",IF(ca_mesure="CPU",SUMIFS(TblCalculs[CPU provisionné],TblCalculs[Cluster],$B50,TblCalculs[Mois],N$33),IF(ca_mesure="RAM",SUMIFS(TblCalculs[RAM provisionnée],TblCalculs[Cluster],$B50,TblCalculs[Mois],N$33),SUMIFS(TblCalculs[Workers],TblCalculs[Cluster],$B50,TblCalculs[Mois],N$33))))</f>
        <v/>
      </c>
      <c r="O50" s="58" t="str">
        <f aca="false">IF(OR($A50="",O$33=""),"",IF(ca_mesure="CPU",SUMIFS(TblCalculs[CPU provisionné],TblCalculs[Cluster],$B50,TblCalculs[Mois],O$33),IF(ca_mesure="RAM",SUMIFS(TblCalculs[RAM provisionnée],TblCalculs[Cluster],$B50,TblCalculs[Mois],O$33),SUMIFS(TblCalculs[Workers],TblCalculs[Cluster],$B50,TblCalculs[Mois],O$33))))</f>
        <v/>
      </c>
      <c r="P50" s="58" t="str">
        <f aca="false">IF(OR($A50="",P$33=""),"",IF(ca_mesure="CPU",SUMIFS(TblCalculs[CPU provisionné],TblCalculs[Cluster],$B50,TblCalculs[Mois],P$33),IF(ca_mesure="RAM",SUMIFS(TblCalculs[RAM provisionnée],TblCalculs[Cluster],$B50,TblCalculs[Mois],P$33),SUMIFS(TblCalculs[Workers],TblCalculs[Cluster],$B50,TblCalculs[Mois],P$33))))</f>
        <v/>
      </c>
      <c r="Q50" s="58" t="str">
        <f aca="false">IF(OR($A50="",Q$33=""),"",IF(ca_mesure="CPU",SUMIFS(TblCalculs[CPU provisionné],TblCalculs[Cluster],$B50,TblCalculs[Mois],Q$33),IF(ca_mesure="RAM",SUMIFS(TblCalculs[RAM provisionnée],TblCalculs[Cluster],$B50,TblCalculs[Mois],Q$33),SUMIFS(TblCalculs[Workers],TblCalculs[Cluster],$B50,TblCalculs[Mois],Q$33))))</f>
        <v/>
      </c>
      <c r="R50" s="58" t="str">
        <f aca="false">IF(OR($A50="",R$33=""),"",IF(ca_mesure="CPU",SUMIFS(TblCalculs[CPU provisionné],TblCalculs[Cluster],$B50,TblCalculs[Mois],R$33),IF(ca_mesure="RAM",SUMIFS(TblCalculs[RAM provisionnée],TblCalculs[Cluster],$B50,TblCalculs[Mois],R$33),SUMIFS(TblCalculs[Workers],TblCalculs[Cluster],$B50,TblCalculs[Mois],R$33))))</f>
        <v/>
      </c>
      <c r="S50" s="58" t="str">
        <f aca="false">IF(OR($A50="",S$33=""),"",IF(ca_mesure="CPU",SUMIFS(TblCalculs[CPU provisionné],TblCalculs[Cluster],$B50,TblCalculs[Mois],S$33),IF(ca_mesure="RAM",SUMIFS(TblCalculs[RAM provisionnée],TblCalculs[Cluster],$B50,TblCalculs[Mois],S$33),SUMIFS(TblCalculs[Workers],TblCalculs[Cluster],$B50,TblCalculs[Mois],S$33))))</f>
        <v/>
      </c>
      <c r="T50" s="58" t="str">
        <f aca="false">IF(OR($A50="",T$33=""),"",IF(ca_mesure="CPU",SUMIFS(TblCalculs[CPU provisionné],TblCalculs[Cluster],$B50,TblCalculs[Mois],T$33),IF(ca_mesure="RAM",SUMIFS(TblCalculs[RAM provisionnée],TblCalculs[Cluster],$B50,TblCalculs[Mois],T$33),SUMIFS(TblCalculs[Workers],TblCalculs[Cluster],$B50,TblCalculs[Mois],T$33))))</f>
        <v/>
      </c>
      <c r="U50" s="58" t="str">
        <f aca="false">IF(OR($A50="",U$33=""),"",IF(ca_mesure="CPU",SUMIFS(TblCalculs[CPU provisionné],TblCalculs[Cluster],$B50,TblCalculs[Mois],U$33),IF(ca_mesure="RAM",SUMIFS(TblCalculs[RAM provisionnée],TblCalculs[Cluster],$B50,TblCalculs[Mois],U$33),SUMIFS(TblCalculs[Workers],TblCalculs[Cluster],$B50,TblCalculs[Mois],U$33))))</f>
        <v/>
      </c>
      <c r="V50" s="58" t="str">
        <f aca="false">IF(OR($A50="",V$33=""),"",IF(ca_mesure="CPU",SUMIFS(TblCalculs[CPU provisionné],TblCalculs[Cluster],$B50,TblCalculs[Mois],V$33),IF(ca_mesure="RAM",SUMIFS(TblCalculs[RAM provisionnée],TblCalculs[Cluster],$B50,TblCalculs[Mois],V$33),SUMIFS(TblCalculs[Workers],TblCalculs[Cluster],$B50,TblCalculs[Mois],V$33))))</f>
        <v/>
      </c>
      <c r="W50" s="58" t="str">
        <f aca="false">IF(OR($A50="",W$33=""),"",IF(ca_mesure="CPU",SUMIFS(TblCalculs[CPU provisionné],TblCalculs[Cluster],$B50,TblCalculs[Mois],W$33),IF(ca_mesure="RAM",SUMIFS(TblCalculs[RAM provisionnée],TblCalculs[Cluster],$B50,TblCalculs[Mois],W$33),SUMIFS(TblCalculs[Workers],TblCalculs[Cluster],$B50,TblCalculs[Mois],W$33))))</f>
        <v/>
      </c>
      <c r="X50" s="58" t="str">
        <f aca="false">IF(OR($A50="",X$33=""),"",IF(ca_mesure="CPU",SUMIFS(TblCalculs[CPU provisionné],TblCalculs[Cluster],$B50,TblCalculs[Mois],X$33),IF(ca_mesure="RAM",SUMIFS(TblCalculs[RAM provisionnée],TblCalculs[Cluster],$B50,TblCalculs[Mois],X$33),SUMIFS(TblCalculs[Workers],TblCalculs[Cluster],$B50,TblCalculs[Mois],X$33))))</f>
        <v/>
      </c>
      <c r="Y50" s="58" t="str">
        <f aca="false">IF(OR($A50="",Y$33=""),"",IF(ca_mesure="CPU",SUMIFS(TblCalculs[CPU provisionné],TblCalculs[Cluster],$B50,TblCalculs[Mois],Y$33),IF(ca_mesure="RAM",SUMIFS(TblCalculs[RAM provisionnée],TblCalculs[Cluster],$B50,TblCalculs[Mois],Y$33),SUMIFS(TblCalculs[Workers],TblCalculs[Cluster],$B50,TblCalculs[Mois],Y$33))))</f>
        <v/>
      </c>
      <c r="Z50" s="58" t="str">
        <f aca="false">IF(OR($A50="",Z$33=""),"",IF(ca_mesure="CPU",SUMIFS(TblCalculs[CPU provisionné],TblCalculs[Cluster],$B50,TblCalculs[Mois],Z$33),IF(ca_mesure="RAM",SUMIFS(TblCalculs[RAM provisionnée],TblCalculs[Cluster],$B50,TblCalculs[Mois],Z$33),SUMIFS(TblCalculs[Workers],TblCalculs[Cluster],$B50,TblCalculs[Mois],Z$33))))</f>
        <v/>
      </c>
      <c r="AA50" s="58" t="str">
        <f aca="false">IF(OR($A50="",AA$33=""),"",IF(ca_mesure="CPU",SUMIFS(TblCalculs[CPU provisionné],TblCalculs[Cluster],$B50,TblCalculs[Mois],AA$33),IF(ca_mesure="RAM",SUMIFS(TblCalculs[RAM provisionnée],TblCalculs[Cluster],$B50,TblCalculs[Mois],AA$33),SUMIFS(TblCalculs[Workers],TblCalculs[Cluster],$B50,TblCalculs[Mois],AA$33))))</f>
        <v/>
      </c>
      <c r="AB50" s="58" t="str">
        <f aca="false">IF(OR($A50="",AB$33=""),"",IF(ca_mesure="CPU",SUMIFS(TblCalculs[CPU provisionné],TblCalculs[Cluster],$B50,TblCalculs[Mois],AB$33),IF(ca_mesure="RAM",SUMIFS(TblCalculs[RAM provisionnée],TblCalculs[Cluster],$B50,TblCalculs[Mois],AB$33),SUMIFS(TblCalculs[Workers],TblCalculs[Cluster],$B50,TblCalculs[Mois],AB$33))))</f>
        <v/>
      </c>
      <c r="AC50" s="58" t="str">
        <f aca="false">IF(OR($A50="",AC$33=""),"",IF(ca_mesure="CPU",SUMIFS(TblCalculs[CPU provisionné],TblCalculs[Cluster],$B50,TblCalculs[Mois],AC$33),IF(ca_mesure="RAM",SUMIFS(TblCalculs[RAM provisionnée],TblCalculs[Cluster],$B50,TblCalculs[Mois],AC$33),SUMIFS(TblCalculs[Workers],TblCalculs[Cluster],$B50,TblCalculs[Mois],AC$33))))</f>
        <v/>
      </c>
      <c r="AD50" s="58" t="str">
        <f aca="false">IF(OR($A50="",AD$33=""),"",IF(ca_mesure="CPU",SUMIFS(TblCalculs[CPU provisionné],TblCalculs[Cluster],$B50,TblCalculs[Mois],AD$33),IF(ca_mesure="RAM",SUMIFS(TblCalculs[RAM provisionnée],TblCalculs[Cluster],$B50,TblCalculs[Mois],AD$33),SUMIFS(TblCalculs[Workers],TblCalculs[Cluster],$B50,TblCalculs[Mois],AD$33))))</f>
        <v/>
      </c>
      <c r="AE50" s="58" t="str">
        <f aca="false">IF(OR($A50="",AE$33=""),"",IF(ca_mesure="CPU",SUMIFS(TblCalculs[CPU provisionné],TblCalculs[Cluster],$B50,TblCalculs[Mois],AE$33),IF(ca_mesure="RAM",SUMIFS(TblCalculs[RAM provisionnée],TblCalculs[Cluster],$B50,TblCalculs[Mois],AE$33),SUMIFS(TblCalculs[Workers],TblCalculs[Cluster],$B50,TblCalculs[Mois],AE$33))))</f>
        <v/>
      </c>
      <c r="AF50" s="58" t="str">
        <f aca="false">IF(OR($A50="",AF$33=""),"",IF(ca_mesure="CPU",SUMIFS(TblCalculs[CPU provisionné],TblCalculs[Cluster],$B50,TblCalculs[Mois],AF$33),IF(ca_mesure="RAM",SUMIFS(TblCalculs[RAM provisionnée],TblCalculs[Cluster],$B50,TblCalculs[Mois],AF$33),SUMIFS(TblCalculs[Workers],TblCalculs[Cluster],$B50,TblCalculs[Mois],AF$33))))</f>
        <v/>
      </c>
      <c r="AG50" s="58" t="str">
        <f aca="false">IF(OR($A50="",AG$33=""),"",IF(ca_mesure="CPU",SUMIFS(TblCalculs[CPU provisionné],TblCalculs[Cluster],$B50,TblCalculs[Mois],AG$33),IF(ca_mesure="RAM",SUMIFS(TblCalculs[RAM provisionnée],TblCalculs[Cluster],$B50,TblCalculs[Mois],AG$33),SUMIFS(TblCalculs[Workers],TblCalculs[Cluster],$B50,TblCalculs[Mois],AG$33))))</f>
        <v/>
      </c>
      <c r="AH50" s="58" t="str">
        <f aca="false">IF(OR($A50="",AH$33=""),"",IF(ca_mesure="CPU",SUMIFS(TblCalculs[CPU provisionné],TblCalculs[Cluster],$B50,TblCalculs[Mois],AH$33),IF(ca_mesure="RAM",SUMIFS(TblCalculs[RAM provisionnée],TblCalculs[Cluster],$B50,TblCalculs[Mois],AH$33),SUMIFS(TblCalculs[Workers],TblCalculs[Cluster],$B50,TblCalculs[Mois],AH$33))))</f>
        <v/>
      </c>
      <c r="AI50" s="58" t="str">
        <f aca="false">IF(OR($A50="",AI$33=""),"",IF(ca_mesure="CPU",SUMIFS(TblCalculs[CPU provisionné],TblCalculs[Cluster],$B50,TblCalculs[Mois],AI$33),IF(ca_mesure="RAM",SUMIFS(TblCalculs[RAM provisionnée],TblCalculs[Cluster],$B50,TblCalculs[Mois],AI$33),SUMIFS(TblCalculs[Workers],TblCalculs[Cluster],$B50,TblCalculs[Mois],AI$33))))</f>
        <v/>
      </c>
      <c r="AJ50" s="58" t="str">
        <f aca="false">IF(OR($A50="",AJ$33=""),"",IF(ca_mesure="CPU",SUMIFS(TblCalculs[CPU provisionné],TblCalculs[Cluster],$B50,TblCalculs[Mois],AJ$33),IF(ca_mesure="RAM",SUMIFS(TblCalculs[RAM provisionnée],TblCalculs[Cluster],$B50,TblCalculs[Mois],AJ$33),SUMIFS(TblCalculs[Workers],TblCalculs[Cluster],$B50,TblCalculs[Mois],AJ$33))))</f>
        <v/>
      </c>
      <c r="AK50" s="58" t="str">
        <f aca="false">IF(OR($A50="",AK$33=""),"",IF(ca_mesure="CPU",SUMIFS(TblCalculs[CPU provisionné],TblCalculs[Cluster],$B50,TblCalculs[Mois],AK$33),IF(ca_mesure="RAM",SUMIFS(TblCalculs[RAM provisionnée],TblCalculs[Cluster],$B50,TblCalculs[Mois],AK$33),SUMIFS(TblCalculs[Workers],TblCalculs[Cluster],$B50,TblCalculs[Mois],AK$33))))</f>
        <v/>
      </c>
      <c r="AL50" s="58" t="str">
        <f aca="false">IF(OR($A50="",AL$33=""),"",IF(ca_mesure="CPU",SUMIFS(TblCalculs[CPU provisionné],TblCalculs[Cluster],$B50,TblCalculs[Mois],AL$33),IF(ca_mesure="RAM",SUMIFS(TblCalculs[RAM provisionnée],TblCalculs[Cluster],$B50,TblCalculs[Mois],AL$33),SUMIFS(TblCalculs[Workers],TblCalculs[Cluster],$B50,TblCalculs[Mois],AL$33))))</f>
        <v/>
      </c>
      <c r="AM50" s="58" t="str">
        <f aca="false">IF(OR($A50="",AM$33=""),"",IF(ca_mesure="CPU",SUMIFS(TblCalculs[CPU provisionné],TblCalculs[Cluster],$B50,TblCalculs[Mois],AM$33),IF(ca_mesure="RAM",SUMIFS(TblCalculs[RAM provisionnée],TblCalculs[Cluster],$B50,TblCalculs[Mois],AM$33),SUMIFS(TblCalculs[Workers],TblCalculs[Cluster],$B50,TblCalculs[Mois],AM$33))))</f>
        <v/>
      </c>
      <c r="AN50" s="58" t="str">
        <f aca="false">IF(OR($A50="",AN$33=""),"",IF(ca_mesure="CPU",SUMIFS(TblCalculs[CPU provisionné],TblCalculs[Cluster],$B50,TblCalculs[Mois],AN$33),IF(ca_mesure="RAM",SUMIFS(TblCalculs[RAM provisionnée],TblCalculs[Cluster],$B50,TblCalculs[Mois],AN$33),SUMIFS(TblCalculs[Workers],TblCalculs[Cluster],$B50,TblCalculs[Mois],AN$33))))</f>
        <v/>
      </c>
      <c r="AO50" s="58" t="str">
        <f aca="false">IF(OR($A50="",AO$33=""),"",IF(ca_mesure="CPU",SUMIFS(TblCalculs[CPU provisionné],TblCalculs[Cluster],$B50,TblCalculs[Mois],AO$33),IF(ca_mesure="RAM",SUMIFS(TblCalculs[RAM provisionnée],TblCalculs[Cluster],$B50,TblCalculs[Mois],AO$33),SUMIFS(TblCalculs[Workers],TblCalculs[Cluster],$B50,TblCalculs[Mois],AO$33))))</f>
        <v/>
      </c>
    </row>
    <row r="51" customFormat="false" ht="15" hidden="false" customHeight="false" outlineLevel="0" collapsed="false">
      <c r="A51" s="49" t="str">
        <f aca="false">IFERROR(MATCH(18,TblClusters[Rang capacités],0),"")</f>
        <v/>
      </c>
      <c r="B51" s="57" t="str">
        <f aca="false">IF($A51="","",INDEX(TblClusters[Cluster],$A51))</f>
        <v/>
      </c>
      <c r="C51" s="50" t="str">
        <f aca="false">IF($A51="","",INDEX(TblClusters[Plateforme],$A51))</f>
        <v/>
      </c>
      <c r="D51" s="50" t="str">
        <f aca="false">IF($A51="","",INDEX(TblClusters[Environnement],$A51))</f>
        <v/>
      </c>
      <c r="E51" s="50" t="str">
        <f aca="false">IF($A51="","",INDEX(TblClusters[Flavor],$A51))</f>
        <v/>
      </c>
      <c r="F51" s="58" t="str">
        <f aca="false">IF(OR($A51="",F$33=""),"",IF(ca_mesure="CPU",SUMIFS(TblCalculs[CPU provisionné],TblCalculs[Cluster],$B51,TblCalculs[Mois],F$33),IF(ca_mesure="RAM",SUMIFS(TblCalculs[RAM provisionnée],TblCalculs[Cluster],$B51,TblCalculs[Mois],F$33),SUMIFS(TblCalculs[Workers],TblCalculs[Cluster],$B51,TblCalculs[Mois],F$33))))</f>
        <v/>
      </c>
      <c r="G51" s="58" t="str">
        <f aca="false">IF(OR($A51="",G$33=""),"",IF(ca_mesure="CPU",SUMIFS(TblCalculs[CPU provisionné],TblCalculs[Cluster],$B51,TblCalculs[Mois],G$33),IF(ca_mesure="RAM",SUMIFS(TblCalculs[RAM provisionnée],TblCalculs[Cluster],$B51,TblCalculs[Mois],G$33),SUMIFS(TblCalculs[Workers],TblCalculs[Cluster],$B51,TblCalculs[Mois],G$33))))</f>
        <v/>
      </c>
      <c r="H51" s="58" t="str">
        <f aca="false">IF(OR($A51="",H$33=""),"",IF(ca_mesure="CPU",SUMIFS(TblCalculs[CPU provisionné],TblCalculs[Cluster],$B51,TblCalculs[Mois],H$33),IF(ca_mesure="RAM",SUMIFS(TblCalculs[RAM provisionnée],TblCalculs[Cluster],$B51,TblCalculs[Mois],H$33),SUMIFS(TblCalculs[Workers],TblCalculs[Cluster],$B51,TblCalculs[Mois],H$33))))</f>
        <v/>
      </c>
      <c r="I51" s="58" t="str">
        <f aca="false">IF(OR($A51="",I$33=""),"",IF(ca_mesure="CPU",SUMIFS(TblCalculs[CPU provisionné],TblCalculs[Cluster],$B51,TblCalculs[Mois],I$33),IF(ca_mesure="RAM",SUMIFS(TblCalculs[RAM provisionnée],TblCalculs[Cluster],$B51,TblCalculs[Mois],I$33),SUMIFS(TblCalculs[Workers],TblCalculs[Cluster],$B51,TblCalculs[Mois],I$33))))</f>
        <v/>
      </c>
      <c r="J51" s="58" t="str">
        <f aca="false">IF(OR($A51="",J$33=""),"",IF(ca_mesure="CPU",SUMIFS(TblCalculs[CPU provisionné],TblCalculs[Cluster],$B51,TblCalculs[Mois],J$33),IF(ca_mesure="RAM",SUMIFS(TblCalculs[RAM provisionnée],TblCalculs[Cluster],$B51,TblCalculs[Mois],J$33),SUMIFS(TblCalculs[Workers],TblCalculs[Cluster],$B51,TblCalculs[Mois],J$33))))</f>
        <v/>
      </c>
      <c r="K51" s="58" t="str">
        <f aca="false">IF(OR($A51="",K$33=""),"",IF(ca_mesure="CPU",SUMIFS(TblCalculs[CPU provisionné],TblCalculs[Cluster],$B51,TblCalculs[Mois],K$33),IF(ca_mesure="RAM",SUMIFS(TblCalculs[RAM provisionnée],TblCalculs[Cluster],$B51,TblCalculs[Mois],K$33),SUMIFS(TblCalculs[Workers],TblCalculs[Cluster],$B51,TblCalculs[Mois],K$33))))</f>
        <v/>
      </c>
      <c r="L51" s="58" t="str">
        <f aca="false">IF(OR($A51="",L$33=""),"",IF(ca_mesure="CPU",SUMIFS(TblCalculs[CPU provisionné],TblCalculs[Cluster],$B51,TblCalculs[Mois],L$33),IF(ca_mesure="RAM",SUMIFS(TblCalculs[RAM provisionnée],TblCalculs[Cluster],$B51,TblCalculs[Mois],L$33),SUMIFS(TblCalculs[Workers],TblCalculs[Cluster],$B51,TblCalculs[Mois],L$33))))</f>
        <v/>
      </c>
      <c r="M51" s="58" t="str">
        <f aca="false">IF(OR($A51="",M$33=""),"",IF(ca_mesure="CPU",SUMIFS(TblCalculs[CPU provisionné],TblCalculs[Cluster],$B51,TblCalculs[Mois],M$33),IF(ca_mesure="RAM",SUMIFS(TblCalculs[RAM provisionnée],TblCalculs[Cluster],$B51,TblCalculs[Mois],M$33),SUMIFS(TblCalculs[Workers],TblCalculs[Cluster],$B51,TblCalculs[Mois],M$33))))</f>
        <v/>
      </c>
      <c r="N51" s="58" t="str">
        <f aca="false">IF(OR($A51="",N$33=""),"",IF(ca_mesure="CPU",SUMIFS(TblCalculs[CPU provisionné],TblCalculs[Cluster],$B51,TblCalculs[Mois],N$33),IF(ca_mesure="RAM",SUMIFS(TblCalculs[RAM provisionnée],TblCalculs[Cluster],$B51,TblCalculs[Mois],N$33),SUMIFS(TblCalculs[Workers],TblCalculs[Cluster],$B51,TblCalculs[Mois],N$33))))</f>
        <v/>
      </c>
      <c r="O51" s="58" t="str">
        <f aca="false">IF(OR($A51="",O$33=""),"",IF(ca_mesure="CPU",SUMIFS(TblCalculs[CPU provisionné],TblCalculs[Cluster],$B51,TblCalculs[Mois],O$33),IF(ca_mesure="RAM",SUMIFS(TblCalculs[RAM provisionnée],TblCalculs[Cluster],$B51,TblCalculs[Mois],O$33),SUMIFS(TblCalculs[Workers],TblCalculs[Cluster],$B51,TblCalculs[Mois],O$33))))</f>
        <v/>
      </c>
      <c r="P51" s="58" t="str">
        <f aca="false">IF(OR($A51="",P$33=""),"",IF(ca_mesure="CPU",SUMIFS(TblCalculs[CPU provisionné],TblCalculs[Cluster],$B51,TblCalculs[Mois],P$33),IF(ca_mesure="RAM",SUMIFS(TblCalculs[RAM provisionnée],TblCalculs[Cluster],$B51,TblCalculs[Mois],P$33),SUMIFS(TblCalculs[Workers],TblCalculs[Cluster],$B51,TblCalculs[Mois],P$33))))</f>
        <v/>
      </c>
      <c r="Q51" s="58" t="str">
        <f aca="false">IF(OR($A51="",Q$33=""),"",IF(ca_mesure="CPU",SUMIFS(TblCalculs[CPU provisionné],TblCalculs[Cluster],$B51,TblCalculs[Mois],Q$33),IF(ca_mesure="RAM",SUMIFS(TblCalculs[RAM provisionnée],TblCalculs[Cluster],$B51,TblCalculs[Mois],Q$33),SUMIFS(TblCalculs[Workers],TblCalculs[Cluster],$B51,TblCalculs[Mois],Q$33))))</f>
        <v/>
      </c>
      <c r="R51" s="58" t="str">
        <f aca="false">IF(OR($A51="",R$33=""),"",IF(ca_mesure="CPU",SUMIFS(TblCalculs[CPU provisionné],TblCalculs[Cluster],$B51,TblCalculs[Mois],R$33),IF(ca_mesure="RAM",SUMIFS(TblCalculs[RAM provisionnée],TblCalculs[Cluster],$B51,TblCalculs[Mois],R$33),SUMIFS(TblCalculs[Workers],TblCalculs[Cluster],$B51,TblCalculs[Mois],R$33))))</f>
        <v/>
      </c>
      <c r="S51" s="58" t="str">
        <f aca="false">IF(OR($A51="",S$33=""),"",IF(ca_mesure="CPU",SUMIFS(TblCalculs[CPU provisionné],TblCalculs[Cluster],$B51,TblCalculs[Mois],S$33),IF(ca_mesure="RAM",SUMIFS(TblCalculs[RAM provisionnée],TblCalculs[Cluster],$B51,TblCalculs[Mois],S$33),SUMIFS(TblCalculs[Workers],TblCalculs[Cluster],$B51,TblCalculs[Mois],S$33))))</f>
        <v/>
      </c>
      <c r="T51" s="58" t="str">
        <f aca="false">IF(OR($A51="",T$33=""),"",IF(ca_mesure="CPU",SUMIFS(TblCalculs[CPU provisionné],TblCalculs[Cluster],$B51,TblCalculs[Mois],T$33),IF(ca_mesure="RAM",SUMIFS(TblCalculs[RAM provisionnée],TblCalculs[Cluster],$B51,TblCalculs[Mois],T$33),SUMIFS(TblCalculs[Workers],TblCalculs[Cluster],$B51,TblCalculs[Mois],T$33))))</f>
        <v/>
      </c>
      <c r="U51" s="58" t="str">
        <f aca="false">IF(OR($A51="",U$33=""),"",IF(ca_mesure="CPU",SUMIFS(TblCalculs[CPU provisionné],TblCalculs[Cluster],$B51,TblCalculs[Mois],U$33),IF(ca_mesure="RAM",SUMIFS(TblCalculs[RAM provisionnée],TblCalculs[Cluster],$B51,TblCalculs[Mois],U$33),SUMIFS(TblCalculs[Workers],TblCalculs[Cluster],$B51,TblCalculs[Mois],U$33))))</f>
        <v/>
      </c>
      <c r="V51" s="58" t="str">
        <f aca="false">IF(OR($A51="",V$33=""),"",IF(ca_mesure="CPU",SUMIFS(TblCalculs[CPU provisionné],TblCalculs[Cluster],$B51,TblCalculs[Mois],V$33),IF(ca_mesure="RAM",SUMIFS(TblCalculs[RAM provisionnée],TblCalculs[Cluster],$B51,TblCalculs[Mois],V$33),SUMIFS(TblCalculs[Workers],TblCalculs[Cluster],$B51,TblCalculs[Mois],V$33))))</f>
        <v/>
      </c>
      <c r="W51" s="58" t="str">
        <f aca="false">IF(OR($A51="",W$33=""),"",IF(ca_mesure="CPU",SUMIFS(TblCalculs[CPU provisionné],TblCalculs[Cluster],$B51,TblCalculs[Mois],W$33),IF(ca_mesure="RAM",SUMIFS(TblCalculs[RAM provisionnée],TblCalculs[Cluster],$B51,TblCalculs[Mois],W$33),SUMIFS(TblCalculs[Workers],TblCalculs[Cluster],$B51,TblCalculs[Mois],W$33))))</f>
        <v/>
      </c>
      <c r="X51" s="58" t="str">
        <f aca="false">IF(OR($A51="",X$33=""),"",IF(ca_mesure="CPU",SUMIFS(TblCalculs[CPU provisionné],TblCalculs[Cluster],$B51,TblCalculs[Mois],X$33),IF(ca_mesure="RAM",SUMIFS(TblCalculs[RAM provisionnée],TblCalculs[Cluster],$B51,TblCalculs[Mois],X$33),SUMIFS(TblCalculs[Workers],TblCalculs[Cluster],$B51,TblCalculs[Mois],X$33))))</f>
        <v/>
      </c>
      <c r="Y51" s="58" t="str">
        <f aca="false">IF(OR($A51="",Y$33=""),"",IF(ca_mesure="CPU",SUMIFS(TblCalculs[CPU provisionné],TblCalculs[Cluster],$B51,TblCalculs[Mois],Y$33),IF(ca_mesure="RAM",SUMIFS(TblCalculs[RAM provisionnée],TblCalculs[Cluster],$B51,TblCalculs[Mois],Y$33),SUMIFS(TblCalculs[Workers],TblCalculs[Cluster],$B51,TblCalculs[Mois],Y$33))))</f>
        <v/>
      </c>
      <c r="Z51" s="58" t="str">
        <f aca="false">IF(OR($A51="",Z$33=""),"",IF(ca_mesure="CPU",SUMIFS(TblCalculs[CPU provisionné],TblCalculs[Cluster],$B51,TblCalculs[Mois],Z$33),IF(ca_mesure="RAM",SUMIFS(TblCalculs[RAM provisionnée],TblCalculs[Cluster],$B51,TblCalculs[Mois],Z$33),SUMIFS(TblCalculs[Workers],TblCalculs[Cluster],$B51,TblCalculs[Mois],Z$33))))</f>
        <v/>
      </c>
      <c r="AA51" s="58" t="str">
        <f aca="false">IF(OR($A51="",AA$33=""),"",IF(ca_mesure="CPU",SUMIFS(TblCalculs[CPU provisionné],TblCalculs[Cluster],$B51,TblCalculs[Mois],AA$33),IF(ca_mesure="RAM",SUMIFS(TblCalculs[RAM provisionnée],TblCalculs[Cluster],$B51,TblCalculs[Mois],AA$33),SUMIFS(TblCalculs[Workers],TblCalculs[Cluster],$B51,TblCalculs[Mois],AA$33))))</f>
        <v/>
      </c>
      <c r="AB51" s="58" t="str">
        <f aca="false">IF(OR($A51="",AB$33=""),"",IF(ca_mesure="CPU",SUMIFS(TblCalculs[CPU provisionné],TblCalculs[Cluster],$B51,TblCalculs[Mois],AB$33),IF(ca_mesure="RAM",SUMIFS(TblCalculs[RAM provisionnée],TblCalculs[Cluster],$B51,TblCalculs[Mois],AB$33),SUMIFS(TblCalculs[Workers],TblCalculs[Cluster],$B51,TblCalculs[Mois],AB$33))))</f>
        <v/>
      </c>
      <c r="AC51" s="58" t="str">
        <f aca="false">IF(OR($A51="",AC$33=""),"",IF(ca_mesure="CPU",SUMIFS(TblCalculs[CPU provisionné],TblCalculs[Cluster],$B51,TblCalculs[Mois],AC$33),IF(ca_mesure="RAM",SUMIFS(TblCalculs[RAM provisionnée],TblCalculs[Cluster],$B51,TblCalculs[Mois],AC$33),SUMIFS(TblCalculs[Workers],TblCalculs[Cluster],$B51,TblCalculs[Mois],AC$33))))</f>
        <v/>
      </c>
      <c r="AD51" s="58" t="str">
        <f aca="false">IF(OR($A51="",AD$33=""),"",IF(ca_mesure="CPU",SUMIFS(TblCalculs[CPU provisionné],TblCalculs[Cluster],$B51,TblCalculs[Mois],AD$33),IF(ca_mesure="RAM",SUMIFS(TblCalculs[RAM provisionnée],TblCalculs[Cluster],$B51,TblCalculs[Mois],AD$33),SUMIFS(TblCalculs[Workers],TblCalculs[Cluster],$B51,TblCalculs[Mois],AD$33))))</f>
        <v/>
      </c>
      <c r="AE51" s="58" t="str">
        <f aca="false">IF(OR($A51="",AE$33=""),"",IF(ca_mesure="CPU",SUMIFS(TblCalculs[CPU provisionné],TblCalculs[Cluster],$B51,TblCalculs[Mois],AE$33),IF(ca_mesure="RAM",SUMIFS(TblCalculs[RAM provisionnée],TblCalculs[Cluster],$B51,TblCalculs[Mois],AE$33),SUMIFS(TblCalculs[Workers],TblCalculs[Cluster],$B51,TblCalculs[Mois],AE$33))))</f>
        <v/>
      </c>
      <c r="AF51" s="58" t="str">
        <f aca="false">IF(OR($A51="",AF$33=""),"",IF(ca_mesure="CPU",SUMIFS(TblCalculs[CPU provisionné],TblCalculs[Cluster],$B51,TblCalculs[Mois],AF$33),IF(ca_mesure="RAM",SUMIFS(TblCalculs[RAM provisionnée],TblCalculs[Cluster],$B51,TblCalculs[Mois],AF$33),SUMIFS(TblCalculs[Workers],TblCalculs[Cluster],$B51,TblCalculs[Mois],AF$33))))</f>
        <v/>
      </c>
      <c r="AG51" s="58" t="str">
        <f aca="false">IF(OR($A51="",AG$33=""),"",IF(ca_mesure="CPU",SUMIFS(TblCalculs[CPU provisionné],TblCalculs[Cluster],$B51,TblCalculs[Mois],AG$33),IF(ca_mesure="RAM",SUMIFS(TblCalculs[RAM provisionnée],TblCalculs[Cluster],$B51,TblCalculs[Mois],AG$33),SUMIFS(TblCalculs[Workers],TblCalculs[Cluster],$B51,TblCalculs[Mois],AG$33))))</f>
        <v/>
      </c>
      <c r="AH51" s="58" t="str">
        <f aca="false">IF(OR($A51="",AH$33=""),"",IF(ca_mesure="CPU",SUMIFS(TblCalculs[CPU provisionné],TblCalculs[Cluster],$B51,TblCalculs[Mois],AH$33),IF(ca_mesure="RAM",SUMIFS(TblCalculs[RAM provisionnée],TblCalculs[Cluster],$B51,TblCalculs[Mois],AH$33),SUMIFS(TblCalculs[Workers],TblCalculs[Cluster],$B51,TblCalculs[Mois],AH$33))))</f>
        <v/>
      </c>
      <c r="AI51" s="58" t="str">
        <f aca="false">IF(OR($A51="",AI$33=""),"",IF(ca_mesure="CPU",SUMIFS(TblCalculs[CPU provisionné],TblCalculs[Cluster],$B51,TblCalculs[Mois],AI$33),IF(ca_mesure="RAM",SUMIFS(TblCalculs[RAM provisionnée],TblCalculs[Cluster],$B51,TblCalculs[Mois],AI$33),SUMIFS(TblCalculs[Workers],TblCalculs[Cluster],$B51,TblCalculs[Mois],AI$33))))</f>
        <v/>
      </c>
      <c r="AJ51" s="58" t="str">
        <f aca="false">IF(OR($A51="",AJ$33=""),"",IF(ca_mesure="CPU",SUMIFS(TblCalculs[CPU provisionné],TblCalculs[Cluster],$B51,TblCalculs[Mois],AJ$33),IF(ca_mesure="RAM",SUMIFS(TblCalculs[RAM provisionnée],TblCalculs[Cluster],$B51,TblCalculs[Mois],AJ$33),SUMIFS(TblCalculs[Workers],TblCalculs[Cluster],$B51,TblCalculs[Mois],AJ$33))))</f>
        <v/>
      </c>
      <c r="AK51" s="58" t="str">
        <f aca="false">IF(OR($A51="",AK$33=""),"",IF(ca_mesure="CPU",SUMIFS(TblCalculs[CPU provisionné],TblCalculs[Cluster],$B51,TblCalculs[Mois],AK$33),IF(ca_mesure="RAM",SUMIFS(TblCalculs[RAM provisionnée],TblCalculs[Cluster],$B51,TblCalculs[Mois],AK$33),SUMIFS(TblCalculs[Workers],TblCalculs[Cluster],$B51,TblCalculs[Mois],AK$33))))</f>
        <v/>
      </c>
      <c r="AL51" s="58" t="str">
        <f aca="false">IF(OR($A51="",AL$33=""),"",IF(ca_mesure="CPU",SUMIFS(TblCalculs[CPU provisionné],TblCalculs[Cluster],$B51,TblCalculs[Mois],AL$33),IF(ca_mesure="RAM",SUMIFS(TblCalculs[RAM provisionnée],TblCalculs[Cluster],$B51,TblCalculs[Mois],AL$33),SUMIFS(TblCalculs[Workers],TblCalculs[Cluster],$B51,TblCalculs[Mois],AL$33))))</f>
        <v/>
      </c>
      <c r="AM51" s="58" t="str">
        <f aca="false">IF(OR($A51="",AM$33=""),"",IF(ca_mesure="CPU",SUMIFS(TblCalculs[CPU provisionné],TblCalculs[Cluster],$B51,TblCalculs[Mois],AM$33),IF(ca_mesure="RAM",SUMIFS(TblCalculs[RAM provisionnée],TblCalculs[Cluster],$B51,TblCalculs[Mois],AM$33),SUMIFS(TblCalculs[Workers],TblCalculs[Cluster],$B51,TblCalculs[Mois],AM$33))))</f>
        <v/>
      </c>
      <c r="AN51" s="58" t="str">
        <f aca="false">IF(OR($A51="",AN$33=""),"",IF(ca_mesure="CPU",SUMIFS(TblCalculs[CPU provisionné],TblCalculs[Cluster],$B51,TblCalculs[Mois],AN$33),IF(ca_mesure="RAM",SUMIFS(TblCalculs[RAM provisionnée],TblCalculs[Cluster],$B51,TblCalculs[Mois],AN$33),SUMIFS(TblCalculs[Workers],TblCalculs[Cluster],$B51,TblCalculs[Mois],AN$33))))</f>
        <v/>
      </c>
      <c r="AO51" s="58" t="str">
        <f aca="false">IF(OR($A51="",AO$33=""),"",IF(ca_mesure="CPU",SUMIFS(TblCalculs[CPU provisionné],TblCalculs[Cluster],$B51,TblCalculs[Mois],AO$33),IF(ca_mesure="RAM",SUMIFS(TblCalculs[RAM provisionnée],TblCalculs[Cluster],$B51,TblCalculs[Mois],AO$33),SUMIFS(TblCalculs[Workers],TblCalculs[Cluster],$B51,TblCalculs[Mois],AO$33))))</f>
        <v/>
      </c>
    </row>
    <row r="52" customFormat="false" ht="15" hidden="false" customHeight="false" outlineLevel="0" collapsed="false">
      <c r="A52" s="49" t="str">
        <f aca="false">IFERROR(MATCH(19,TblClusters[Rang capacités],0),"")</f>
        <v/>
      </c>
      <c r="B52" s="57" t="str">
        <f aca="false">IF($A52="","",INDEX(TblClusters[Cluster],$A52))</f>
        <v/>
      </c>
      <c r="C52" s="50" t="str">
        <f aca="false">IF($A52="","",INDEX(TblClusters[Plateforme],$A52))</f>
        <v/>
      </c>
      <c r="D52" s="50" t="str">
        <f aca="false">IF($A52="","",INDEX(TblClusters[Environnement],$A52))</f>
        <v/>
      </c>
      <c r="E52" s="50" t="str">
        <f aca="false">IF($A52="","",INDEX(TblClusters[Flavor],$A52))</f>
        <v/>
      </c>
      <c r="F52" s="58" t="str">
        <f aca="false">IF(OR($A52="",F$33=""),"",IF(ca_mesure="CPU",SUMIFS(TblCalculs[CPU provisionné],TblCalculs[Cluster],$B52,TblCalculs[Mois],F$33),IF(ca_mesure="RAM",SUMIFS(TblCalculs[RAM provisionnée],TblCalculs[Cluster],$B52,TblCalculs[Mois],F$33),SUMIFS(TblCalculs[Workers],TblCalculs[Cluster],$B52,TblCalculs[Mois],F$33))))</f>
        <v/>
      </c>
      <c r="G52" s="58" t="str">
        <f aca="false">IF(OR($A52="",G$33=""),"",IF(ca_mesure="CPU",SUMIFS(TblCalculs[CPU provisionné],TblCalculs[Cluster],$B52,TblCalculs[Mois],G$33),IF(ca_mesure="RAM",SUMIFS(TblCalculs[RAM provisionnée],TblCalculs[Cluster],$B52,TblCalculs[Mois],G$33),SUMIFS(TblCalculs[Workers],TblCalculs[Cluster],$B52,TblCalculs[Mois],G$33))))</f>
        <v/>
      </c>
      <c r="H52" s="58" t="str">
        <f aca="false">IF(OR($A52="",H$33=""),"",IF(ca_mesure="CPU",SUMIFS(TblCalculs[CPU provisionné],TblCalculs[Cluster],$B52,TblCalculs[Mois],H$33),IF(ca_mesure="RAM",SUMIFS(TblCalculs[RAM provisionnée],TblCalculs[Cluster],$B52,TblCalculs[Mois],H$33),SUMIFS(TblCalculs[Workers],TblCalculs[Cluster],$B52,TblCalculs[Mois],H$33))))</f>
        <v/>
      </c>
      <c r="I52" s="58" t="str">
        <f aca="false">IF(OR($A52="",I$33=""),"",IF(ca_mesure="CPU",SUMIFS(TblCalculs[CPU provisionné],TblCalculs[Cluster],$B52,TblCalculs[Mois],I$33),IF(ca_mesure="RAM",SUMIFS(TblCalculs[RAM provisionnée],TblCalculs[Cluster],$B52,TblCalculs[Mois],I$33),SUMIFS(TblCalculs[Workers],TblCalculs[Cluster],$B52,TblCalculs[Mois],I$33))))</f>
        <v/>
      </c>
      <c r="J52" s="58" t="str">
        <f aca="false">IF(OR($A52="",J$33=""),"",IF(ca_mesure="CPU",SUMIFS(TblCalculs[CPU provisionné],TblCalculs[Cluster],$B52,TblCalculs[Mois],J$33),IF(ca_mesure="RAM",SUMIFS(TblCalculs[RAM provisionnée],TblCalculs[Cluster],$B52,TblCalculs[Mois],J$33),SUMIFS(TblCalculs[Workers],TblCalculs[Cluster],$B52,TblCalculs[Mois],J$33))))</f>
        <v/>
      </c>
      <c r="K52" s="58" t="str">
        <f aca="false">IF(OR($A52="",K$33=""),"",IF(ca_mesure="CPU",SUMIFS(TblCalculs[CPU provisionné],TblCalculs[Cluster],$B52,TblCalculs[Mois],K$33),IF(ca_mesure="RAM",SUMIFS(TblCalculs[RAM provisionnée],TblCalculs[Cluster],$B52,TblCalculs[Mois],K$33),SUMIFS(TblCalculs[Workers],TblCalculs[Cluster],$B52,TblCalculs[Mois],K$33))))</f>
        <v/>
      </c>
      <c r="L52" s="58" t="str">
        <f aca="false">IF(OR($A52="",L$33=""),"",IF(ca_mesure="CPU",SUMIFS(TblCalculs[CPU provisionné],TblCalculs[Cluster],$B52,TblCalculs[Mois],L$33),IF(ca_mesure="RAM",SUMIFS(TblCalculs[RAM provisionnée],TblCalculs[Cluster],$B52,TblCalculs[Mois],L$33),SUMIFS(TblCalculs[Workers],TblCalculs[Cluster],$B52,TblCalculs[Mois],L$33))))</f>
        <v/>
      </c>
      <c r="M52" s="58" t="str">
        <f aca="false">IF(OR($A52="",M$33=""),"",IF(ca_mesure="CPU",SUMIFS(TblCalculs[CPU provisionné],TblCalculs[Cluster],$B52,TblCalculs[Mois],M$33),IF(ca_mesure="RAM",SUMIFS(TblCalculs[RAM provisionnée],TblCalculs[Cluster],$B52,TblCalculs[Mois],M$33),SUMIFS(TblCalculs[Workers],TblCalculs[Cluster],$B52,TblCalculs[Mois],M$33))))</f>
        <v/>
      </c>
      <c r="N52" s="58" t="str">
        <f aca="false">IF(OR($A52="",N$33=""),"",IF(ca_mesure="CPU",SUMIFS(TblCalculs[CPU provisionné],TblCalculs[Cluster],$B52,TblCalculs[Mois],N$33),IF(ca_mesure="RAM",SUMIFS(TblCalculs[RAM provisionnée],TblCalculs[Cluster],$B52,TblCalculs[Mois],N$33),SUMIFS(TblCalculs[Workers],TblCalculs[Cluster],$B52,TblCalculs[Mois],N$33))))</f>
        <v/>
      </c>
      <c r="O52" s="58" t="str">
        <f aca="false">IF(OR($A52="",O$33=""),"",IF(ca_mesure="CPU",SUMIFS(TblCalculs[CPU provisionné],TblCalculs[Cluster],$B52,TblCalculs[Mois],O$33),IF(ca_mesure="RAM",SUMIFS(TblCalculs[RAM provisionnée],TblCalculs[Cluster],$B52,TblCalculs[Mois],O$33),SUMIFS(TblCalculs[Workers],TblCalculs[Cluster],$B52,TblCalculs[Mois],O$33))))</f>
        <v/>
      </c>
      <c r="P52" s="58" t="str">
        <f aca="false">IF(OR($A52="",P$33=""),"",IF(ca_mesure="CPU",SUMIFS(TblCalculs[CPU provisionné],TblCalculs[Cluster],$B52,TblCalculs[Mois],P$33),IF(ca_mesure="RAM",SUMIFS(TblCalculs[RAM provisionnée],TblCalculs[Cluster],$B52,TblCalculs[Mois],P$33),SUMIFS(TblCalculs[Workers],TblCalculs[Cluster],$B52,TblCalculs[Mois],P$33))))</f>
        <v/>
      </c>
      <c r="Q52" s="58" t="str">
        <f aca="false">IF(OR($A52="",Q$33=""),"",IF(ca_mesure="CPU",SUMIFS(TblCalculs[CPU provisionné],TblCalculs[Cluster],$B52,TblCalculs[Mois],Q$33),IF(ca_mesure="RAM",SUMIFS(TblCalculs[RAM provisionnée],TblCalculs[Cluster],$B52,TblCalculs[Mois],Q$33),SUMIFS(TblCalculs[Workers],TblCalculs[Cluster],$B52,TblCalculs[Mois],Q$33))))</f>
        <v/>
      </c>
      <c r="R52" s="58" t="str">
        <f aca="false">IF(OR($A52="",R$33=""),"",IF(ca_mesure="CPU",SUMIFS(TblCalculs[CPU provisionné],TblCalculs[Cluster],$B52,TblCalculs[Mois],R$33),IF(ca_mesure="RAM",SUMIFS(TblCalculs[RAM provisionnée],TblCalculs[Cluster],$B52,TblCalculs[Mois],R$33),SUMIFS(TblCalculs[Workers],TblCalculs[Cluster],$B52,TblCalculs[Mois],R$33))))</f>
        <v/>
      </c>
      <c r="S52" s="58" t="str">
        <f aca="false">IF(OR($A52="",S$33=""),"",IF(ca_mesure="CPU",SUMIFS(TblCalculs[CPU provisionné],TblCalculs[Cluster],$B52,TblCalculs[Mois],S$33),IF(ca_mesure="RAM",SUMIFS(TblCalculs[RAM provisionnée],TblCalculs[Cluster],$B52,TblCalculs[Mois],S$33),SUMIFS(TblCalculs[Workers],TblCalculs[Cluster],$B52,TblCalculs[Mois],S$33))))</f>
        <v/>
      </c>
      <c r="T52" s="58" t="str">
        <f aca="false">IF(OR($A52="",T$33=""),"",IF(ca_mesure="CPU",SUMIFS(TblCalculs[CPU provisionné],TblCalculs[Cluster],$B52,TblCalculs[Mois],T$33),IF(ca_mesure="RAM",SUMIFS(TblCalculs[RAM provisionnée],TblCalculs[Cluster],$B52,TblCalculs[Mois],T$33),SUMIFS(TblCalculs[Workers],TblCalculs[Cluster],$B52,TblCalculs[Mois],T$33))))</f>
        <v/>
      </c>
      <c r="U52" s="58" t="str">
        <f aca="false">IF(OR($A52="",U$33=""),"",IF(ca_mesure="CPU",SUMIFS(TblCalculs[CPU provisionné],TblCalculs[Cluster],$B52,TblCalculs[Mois],U$33),IF(ca_mesure="RAM",SUMIFS(TblCalculs[RAM provisionnée],TblCalculs[Cluster],$B52,TblCalculs[Mois],U$33),SUMIFS(TblCalculs[Workers],TblCalculs[Cluster],$B52,TblCalculs[Mois],U$33))))</f>
        <v/>
      </c>
      <c r="V52" s="58" t="str">
        <f aca="false">IF(OR($A52="",V$33=""),"",IF(ca_mesure="CPU",SUMIFS(TblCalculs[CPU provisionné],TblCalculs[Cluster],$B52,TblCalculs[Mois],V$33),IF(ca_mesure="RAM",SUMIFS(TblCalculs[RAM provisionnée],TblCalculs[Cluster],$B52,TblCalculs[Mois],V$33),SUMIFS(TblCalculs[Workers],TblCalculs[Cluster],$B52,TblCalculs[Mois],V$33))))</f>
        <v/>
      </c>
      <c r="W52" s="58" t="str">
        <f aca="false">IF(OR($A52="",W$33=""),"",IF(ca_mesure="CPU",SUMIFS(TblCalculs[CPU provisionné],TblCalculs[Cluster],$B52,TblCalculs[Mois],W$33),IF(ca_mesure="RAM",SUMIFS(TblCalculs[RAM provisionnée],TblCalculs[Cluster],$B52,TblCalculs[Mois],W$33),SUMIFS(TblCalculs[Workers],TblCalculs[Cluster],$B52,TblCalculs[Mois],W$33))))</f>
        <v/>
      </c>
      <c r="X52" s="58" t="str">
        <f aca="false">IF(OR($A52="",X$33=""),"",IF(ca_mesure="CPU",SUMIFS(TblCalculs[CPU provisionné],TblCalculs[Cluster],$B52,TblCalculs[Mois],X$33),IF(ca_mesure="RAM",SUMIFS(TblCalculs[RAM provisionnée],TblCalculs[Cluster],$B52,TblCalculs[Mois],X$33),SUMIFS(TblCalculs[Workers],TblCalculs[Cluster],$B52,TblCalculs[Mois],X$33))))</f>
        <v/>
      </c>
      <c r="Y52" s="58" t="str">
        <f aca="false">IF(OR($A52="",Y$33=""),"",IF(ca_mesure="CPU",SUMIFS(TblCalculs[CPU provisionné],TblCalculs[Cluster],$B52,TblCalculs[Mois],Y$33),IF(ca_mesure="RAM",SUMIFS(TblCalculs[RAM provisionnée],TblCalculs[Cluster],$B52,TblCalculs[Mois],Y$33),SUMIFS(TblCalculs[Workers],TblCalculs[Cluster],$B52,TblCalculs[Mois],Y$33))))</f>
        <v/>
      </c>
      <c r="Z52" s="58" t="str">
        <f aca="false">IF(OR($A52="",Z$33=""),"",IF(ca_mesure="CPU",SUMIFS(TblCalculs[CPU provisionné],TblCalculs[Cluster],$B52,TblCalculs[Mois],Z$33),IF(ca_mesure="RAM",SUMIFS(TblCalculs[RAM provisionnée],TblCalculs[Cluster],$B52,TblCalculs[Mois],Z$33),SUMIFS(TblCalculs[Workers],TblCalculs[Cluster],$B52,TblCalculs[Mois],Z$33))))</f>
        <v/>
      </c>
      <c r="AA52" s="58" t="str">
        <f aca="false">IF(OR($A52="",AA$33=""),"",IF(ca_mesure="CPU",SUMIFS(TblCalculs[CPU provisionné],TblCalculs[Cluster],$B52,TblCalculs[Mois],AA$33),IF(ca_mesure="RAM",SUMIFS(TblCalculs[RAM provisionnée],TblCalculs[Cluster],$B52,TblCalculs[Mois],AA$33),SUMIFS(TblCalculs[Workers],TblCalculs[Cluster],$B52,TblCalculs[Mois],AA$33))))</f>
        <v/>
      </c>
      <c r="AB52" s="58" t="str">
        <f aca="false">IF(OR($A52="",AB$33=""),"",IF(ca_mesure="CPU",SUMIFS(TblCalculs[CPU provisionné],TblCalculs[Cluster],$B52,TblCalculs[Mois],AB$33),IF(ca_mesure="RAM",SUMIFS(TblCalculs[RAM provisionnée],TblCalculs[Cluster],$B52,TblCalculs[Mois],AB$33),SUMIFS(TblCalculs[Workers],TblCalculs[Cluster],$B52,TblCalculs[Mois],AB$33))))</f>
        <v/>
      </c>
      <c r="AC52" s="58" t="str">
        <f aca="false">IF(OR($A52="",AC$33=""),"",IF(ca_mesure="CPU",SUMIFS(TblCalculs[CPU provisionné],TblCalculs[Cluster],$B52,TblCalculs[Mois],AC$33),IF(ca_mesure="RAM",SUMIFS(TblCalculs[RAM provisionnée],TblCalculs[Cluster],$B52,TblCalculs[Mois],AC$33),SUMIFS(TblCalculs[Workers],TblCalculs[Cluster],$B52,TblCalculs[Mois],AC$33))))</f>
        <v/>
      </c>
      <c r="AD52" s="58" t="str">
        <f aca="false">IF(OR($A52="",AD$33=""),"",IF(ca_mesure="CPU",SUMIFS(TblCalculs[CPU provisionné],TblCalculs[Cluster],$B52,TblCalculs[Mois],AD$33),IF(ca_mesure="RAM",SUMIFS(TblCalculs[RAM provisionnée],TblCalculs[Cluster],$B52,TblCalculs[Mois],AD$33),SUMIFS(TblCalculs[Workers],TblCalculs[Cluster],$B52,TblCalculs[Mois],AD$33))))</f>
        <v/>
      </c>
      <c r="AE52" s="58" t="str">
        <f aca="false">IF(OR($A52="",AE$33=""),"",IF(ca_mesure="CPU",SUMIFS(TblCalculs[CPU provisionné],TblCalculs[Cluster],$B52,TblCalculs[Mois],AE$33),IF(ca_mesure="RAM",SUMIFS(TblCalculs[RAM provisionnée],TblCalculs[Cluster],$B52,TblCalculs[Mois],AE$33),SUMIFS(TblCalculs[Workers],TblCalculs[Cluster],$B52,TblCalculs[Mois],AE$33))))</f>
        <v/>
      </c>
      <c r="AF52" s="58" t="str">
        <f aca="false">IF(OR($A52="",AF$33=""),"",IF(ca_mesure="CPU",SUMIFS(TblCalculs[CPU provisionné],TblCalculs[Cluster],$B52,TblCalculs[Mois],AF$33),IF(ca_mesure="RAM",SUMIFS(TblCalculs[RAM provisionnée],TblCalculs[Cluster],$B52,TblCalculs[Mois],AF$33),SUMIFS(TblCalculs[Workers],TblCalculs[Cluster],$B52,TblCalculs[Mois],AF$33))))</f>
        <v/>
      </c>
      <c r="AG52" s="58" t="str">
        <f aca="false">IF(OR($A52="",AG$33=""),"",IF(ca_mesure="CPU",SUMIFS(TblCalculs[CPU provisionné],TblCalculs[Cluster],$B52,TblCalculs[Mois],AG$33),IF(ca_mesure="RAM",SUMIFS(TblCalculs[RAM provisionnée],TblCalculs[Cluster],$B52,TblCalculs[Mois],AG$33),SUMIFS(TblCalculs[Workers],TblCalculs[Cluster],$B52,TblCalculs[Mois],AG$33))))</f>
        <v/>
      </c>
      <c r="AH52" s="58" t="str">
        <f aca="false">IF(OR($A52="",AH$33=""),"",IF(ca_mesure="CPU",SUMIFS(TblCalculs[CPU provisionné],TblCalculs[Cluster],$B52,TblCalculs[Mois],AH$33),IF(ca_mesure="RAM",SUMIFS(TblCalculs[RAM provisionnée],TblCalculs[Cluster],$B52,TblCalculs[Mois],AH$33),SUMIFS(TblCalculs[Workers],TblCalculs[Cluster],$B52,TblCalculs[Mois],AH$33))))</f>
        <v/>
      </c>
      <c r="AI52" s="58" t="str">
        <f aca="false">IF(OR($A52="",AI$33=""),"",IF(ca_mesure="CPU",SUMIFS(TblCalculs[CPU provisionné],TblCalculs[Cluster],$B52,TblCalculs[Mois],AI$33),IF(ca_mesure="RAM",SUMIFS(TblCalculs[RAM provisionnée],TblCalculs[Cluster],$B52,TblCalculs[Mois],AI$33),SUMIFS(TblCalculs[Workers],TblCalculs[Cluster],$B52,TblCalculs[Mois],AI$33))))</f>
        <v/>
      </c>
      <c r="AJ52" s="58" t="str">
        <f aca="false">IF(OR($A52="",AJ$33=""),"",IF(ca_mesure="CPU",SUMIFS(TblCalculs[CPU provisionné],TblCalculs[Cluster],$B52,TblCalculs[Mois],AJ$33),IF(ca_mesure="RAM",SUMIFS(TblCalculs[RAM provisionnée],TblCalculs[Cluster],$B52,TblCalculs[Mois],AJ$33),SUMIFS(TblCalculs[Workers],TblCalculs[Cluster],$B52,TblCalculs[Mois],AJ$33))))</f>
        <v/>
      </c>
      <c r="AK52" s="58" t="str">
        <f aca="false">IF(OR($A52="",AK$33=""),"",IF(ca_mesure="CPU",SUMIFS(TblCalculs[CPU provisionné],TblCalculs[Cluster],$B52,TblCalculs[Mois],AK$33),IF(ca_mesure="RAM",SUMIFS(TblCalculs[RAM provisionnée],TblCalculs[Cluster],$B52,TblCalculs[Mois],AK$33),SUMIFS(TblCalculs[Workers],TblCalculs[Cluster],$B52,TblCalculs[Mois],AK$33))))</f>
        <v/>
      </c>
      <c r="AL52" s="58" t="str">
        <f aca="false">IF(OR($A52="",AL$33=""),"",IF(ca_mesure="CPU",SUMIFS(TblCalculs[CPU provisionné],TblCalculs[Cluster],$B52,TblCalculs[Mois],AL$33),IF(ca_mesure="RAM",SUMIFS(TblCalculs[RAM provisionnée],TblCalculs[Cluster],$B52,TblCalculs[Mois],AL$33),SUMIFS(TblCalculs[Workers],TblCalculs[Cluster],$B52,TblCalculs[Mois],AL$33))))</f>
        <v/>
      </c>
      <c r="AM52" s="58" t="str">
        <f aca="false">IF(OR($A52="",AM$33=""),"",IF(ca_mesure="CPU",SUMIFS(TblCalculs[CPU provisionné],TblCalculs[Cluster],$B52,TblCalculs[Mois],AM$33),IF(ca_mesure="RAM",SUMIFS(TblCalculs[RAM provisionnée],TblCalculs[Cluster],$B52,TblCalculs[Mois],AM$33),SUMIFS(TblCalculs[Workers],TblCalculs[Cluster],$B52,TblCalculs[Mois],AM$33))))</f>
        <v/>
      </c>
      <c r="AN52" s="58" t="str">
        <f aca="false">IF(OR($A52="",AN$33=""),"",IF(ca_mesure="CPU",SUMIFS(TblCalculs[CPU provisionné],TblCalculs[Cluster],$B52,TblCalculs[Mois],AN$33),IF(ca_mesure="RAM",SUMIFS(TblCalculs[RAM provisionnée],TblCalculs[Cluster],$B52,TblCalculs[Mois],AN$33),SUMIFS(TblCalculs[Workers],TblCalculs[Cluster],$B52,TblCalculs[Mois],AN$33))))</f>
        <v/>
      </c>
      <c r="AO52" s="58" t="str">
        <f aca="false">IF(OR($A52="",AO$33=""),"",IF(ca_mesure="CPU",SUMIFS(TblCalculs[CPU provisionné],TblCalculs[Cluster],$B52,TblCalculs[Mois],AO$33),IF(ca_mesure="RAM",SUMIFS(TblCalculs[RAM provisionnée],TblCalculs[Cluster],$B52,TblCalculs[Mois],AO$33),SUMIFS(TblCalculs[Workers],TblCalculs[Cluster],$B52,TblCalculs[Mois],AO$33))))</f>
        <v/>
      </c>
    </row>
    <row r="53" customFormat="false" ht="15" hidden="false" customHeight="false" outlineLevel="0" collapsed="false">
      <c r="A53" s="49" t="str">
        <f aca="false">IFERROR(MATCH(20,TblClusters[Rang capacités],0),"")</f>
        <v/>
      </c>
      <c r="B53" s="57" t="str">
        <f aca="false">IF($A53="","",INDEX(TblClusters[Cluster],$A53))</f>
        <v/>
      </c>
      <c r="C53" s="50" t="str">
        <f aca="false">IF($A53="","",INDEX(TblClusters[Plateforme],$A53))</f>
        <v/>
      </c>
      <c r="D53" s="50" t="str">
        <f aca="false">IF($A53="","",INDEX(TblClusters[Environnement],$A53))</f>
        <v/>
      </c>
      <c r="E53" s="50" t="str">
        <f aca="false">IF($A53="","",INDEX(TblClusters[Flavor],$A53))</f>
        <v/>
      </c>
      <c r="F53" s="58" t="str">
        <f aca="false">IF(OR($A53="",F$33=""),"",IF(ca_mesure="CPU",SUMIFS(TblCalculs[CPU provisionné],TblCalculs[Cluster],$B53,TblCalculs[Mois],F$33),IF(ca_mesure="RAM",SUMIFS(TblCalculs[RAM provisionnée],TblCalculs[Cluster],$B53,TblCalculs[Mois],F$33),SUMIFS(TblCalculs[Workers],TblCalculs[Cluster],$B53,TblCalculs[Mois],F$33))))</f>
        <v/>
      </c>
      <c r="G53" s="58" t="str">
        <f aca="false">IF(OR($A53="",G$33=""),"",IF(ca_mesure="CPU",SUMIFS(TblCalculs[CPU provisionné],TblCalculs[Cluster],$B53,TblCalculs[Mois],G$33),IF(ca_mesure="RAM",SUMIFS(TblCalculs[RAM provisionnée],TblCalculs[Cluster],$B53,TblCalculs[Mois],G$33),SUMIFS(TblCalculs[Workers],TblCalculs[Cluster],$B53,TblCalculs[Mois],G$33))))</f>
        <v/>
      </c>
      <c r="H53" s="58" t="str">
        <f aca="false">IF(OR($A53="",H$33=""),"",IF(ca_mesure="CPU",SUMIFS(TblCalculs[CPU provisionné],TblCalculs[Cluster],$B53,TblCalculs[Mois],H$33),IF(ca_mesure="RAM",SUMIFS(TblCalculs[RAM provisionnée],TblCalculs[Cluster],$B53,TblCalculs[Mois],H$33),SUMIFS(TblCalculs[Workers],TblCalculs[Cluster],$B53,TblCalculs[Mois],H$33))))</f>
        <v/>
      </c>
      <c r="I53" s="58" t="str">
        <f aca="false">IF(OR($A53="",I$33=""),"",IF(ca_mesure="CPU",SUMIFS(TblCalculs[CPU provisionné],TblCalculs[Cluster],$B53,TblCalculs[Mois],I$33),IF(ca_mesure="RAM",SUMIFS(TblCalculs[RAM provisionnée],TblCalculs[Cluster],$B53,TblCalculs[Mois],I$33),SUMIFS(TblCalculs[Workers],TblCalculs[Cluster],$B53,TblCalculs[Mois],I$33))))</f>
        <v/>
      </c>
      <c r="J53" s="58" t="str">
        <f aca="false">IF(OR($A53="",J$33=""),"",IF(ca_mesure="CPU",SUMIFS(TblCalculs[CPU provisionné],TblCalculs[Cluster],$B53,TblCalculs[Mois],J$33),IF(ca_mesure="RAM",SUMIFS(TblCalculs[RAM provisionnée],TblCalculs[Cluster],$B53,TblCalculs[Mois],J$33),SUMIFS(TblCalculs[Workers],TblCalculs[Cluster],$B53,TblCalculs[Mois],J$33))))</f>
        <v/>
      </c>
      <c r="K53" s="58" t="str">
        <f aca="false">IF(OR($A53="",K$33=""),"",IF(ca_mesure="CPU",SUMIFS(TblCalculs[CPU provisionné],TblCalculs[Cluster],$B53,TblCalculs[Mois],K$33),IF(ca_mesure="RAM",SUMIFS(TblCalculs[RAM provisionnée],TblCalculs[Cluster],$B53,TblCalculs[Mois],K$33),SUMIFS(TblCalculs[Workers],TblCalculs[Cluster],$B53,TblCalculs[Mois],K$33))))</f>
        <v/>
      </c>
      <c r="L53" s="58" t="str">
        <f aca="false">IF(OR($A53="",L$33=""),"",IF(ca_mesure="CPU",SUMIFS(TblCalculs[CPU provisionné],TblCalculs[Cluster],$B53,TblCalculs[Mois],L$33),IF(ca_mesure="RAM",SUMIFS(TblCalculs[RAM provisionnée],TblCalculs[Cluster],$B53,TblCalculs[Mois],L$33),SUMIFS(TblCalculs[Workers],TblCalculs[Cluster],$B53,TblCalculs[Mois],L$33))))</f>
        <v/>
      </c>
      <c r="M53" s="58" t="str">
        <f aca="false">IF(OR($A53="",M$33=""),"",IF(ca_mesure="CPU",SUMIFS(TblCalculs[CPU provisionné],TblCalculs[Cluster],$B53,TblCalculs[Mois],M$33),IF(ca_mesure="RAM",SUMIFS(TblCalculs[RAM provisionnée],TblCalculs[Cluster],$B53,TblCalculs[Mois],M$33),SUMIFS(TblCalculs[Workers],TblCalculs[Cluster],$B53,TblCalculs[Mois],M$33))))</f>
        <v/>
      </c>
      <c r="N53" s="58" t="str">
        <f aca="false">IF(OR($A53="",N$33=""),"",IF(ca_mesure="CPU",SUMIFS(TblCalculs[CPU provisionné],TblCalculs[Cluster],$B53,TblCalculs[Mois],N$33),IF(ca_mesure="RAM",SUMIFS(TblCalculs[RAM provisionnée],TblCalculs[Cluster],$B53,TblCalculs[Mois],N$33),SUMIFS(TblCalculs[Workers],TblCalculs[Cluster],$B53,TblCalculs[Mois],N$33))))</f>
        <v/>
      </c>
      <c r="O53" s="58" t="str">
        <f aca="false">IF(OR($A53="",O$33=""),"",IF(ca_mesure="CPU",SUMIFS(TblCalculs[CPU provisionné],TblCalculs[Cluster],$B53,TblCalculs[Mois],O$33),IF(ca_mesure="RAM",SUMIFS(TblCalculs[RAM provisionnée],TblCalculs[Cluster],$B53,TblCalculs[Mois],O$33),SUMIFS(TblCalculs[Workers],TblCalculs[Cluster],$B53,TblCalculs[Mois],O$33))))</f>
        <v/>
      </c>
      <c r="P53" s="58" t="str">
        <f aca="false">IF(OR($A53="",P$33=""),"",IF(ca_mesure="CPU",SUMIFS(TblCalculs[CPU provisionné],TblCalculs[Cluster],$B53,TblCalculs[Mois],P$33),IF(ca_mesure="RAM",SUMIFS(TblCalculs[RAM provisionnée],TblCalculs[Cluster],$B53,TblCalculs[Mois],P$33),SUMIFS(TblCalculs[Workers],TblCalculs[Cluster],$B53,TblCalculs[Mois],P$33))))</f>
        <v/>
      </c>
      <c r="Q53" s="58" t="str">
        <f aca="false">IF(OR($A53="",Q$33=""),"",IF(ca_mesure="CPU",SUMIFS(TblCalculs[CPU provisionné],TblCalculs[Cluster],$B53,TblCalculs[Mois],Q$33),IF(ca_mesure="RAM",SUMIFS(TblCalculs[RAM provisionnée],TblCalculs[Cluster],$B53,TblCalculs[Mois],Q$33),SUMIFS(TblCalculs[Workers],TblCalculs[Cluster],$B53,TblCalculs[Mois],Q$33))))</f>
        <v/>
      </c>
      <c r="R53" s="58" t="str">
        <f aca="false">IF(OR($A53="",R$33=""),"",IF(ca_mesure="CPU",SUMIFS(TblCalculs[CPU provisionné],TblCalculs[Cluster],$B53,TblCalculs[Mois],R$33),IF(ca_mesure="RAM",SUMIFS(TblCalculs[RAM provisionnée],TblCalculs[Cluster],$B53,TblCalculs[Mois],R$33),SUMIFS(TblCalculs[Workers],TblCalculs[Cluster],$B53,TblCalculs[Mois],R$33))))</f>
        <v/>
      </c>
      <c r="S53" s="58" t="str">
        <f aca="false">IF(OR($A53="",S$33=""),"",IF(ca_mesure="CPU",SUMIFS(TblCalculs[CPU provisionné],TblCalculs[Cluster],$B53,TblCalculs[Mois],S$33),IF(ca_mesure="RAM",SUMIFS(TblCalculs[RAM provisionnée],TblCalculs[Cluster],$B53,TblCalculs[Mois],S$33),SUMIFS(TblCalculs[Workers],TblCalculs[Cluster],$B53,TblCalculs[Mois],S$33))))</f>
        <v/>
      </c>
      <c r="T53" s="58" t="str">
        <f aca="false">IF(OR($A53="",T$33=""),"",IF(ca_mesure="CPU",SUMIFS(TblCalculs[CPU provisionné],TblCalculs[Cluster],$B53,TblCalculs[Mois],T$33),IF(ca_mesure="RAM",SUMIFS(TblCalculs[RAM provisionnée],TblCalculs[Cluster],$B53,TblCalculs[Mois],T$33),SUMIFS(TblCalculs[Workers],TblCalculs[Cluster],$B53,TblCalculs[Mois],T$33))))</f>
        <v/>
      </c>
      <c r="U53" s="58" t="str">
        <f aca="false">IF(OR($A53="",U$33=""),"",IF(ca_mesure="CPU",SUMIFS(TblCalculs[CPU provisionné],TblCalculs[Cluster],$B53,TblCalculs[Mois],U$33),IF(ca_mesure="RAM",SUMIFS(TblCalculs[RAM provisionnée],TblCalculs[Cluster],$B53,TblCalculs[Mois],U$33),SUMIFS(TblCalculs[Workers],TblCalculs[Cluster],$B53,TblCalculs[Mois],U$33))))</f>
        <v/>
      </c>
      <c r="V53" s="58" t="str">
        <f aca="false">IF(OR($A53="",V$33=""),"",IF(ca_mesure="CPU",SUMIFS(TblCalculs[CPU provisionné],TblCalculs[Cluster],$B53,TblCalculs[Mois],V$33),IF(ca_mesure="RAM",SUMIFS(TblCalculs[RAM provisionnée],TblCalculs[Cluster],$B53,TblCalculs[Mois],V$33),SUMIFS(TblCalculs[Workers],TblCalculs[Cluster],$B53,TblCalculs[Mois],V$33))))</f>
        <v/>
      </c>
      <c r="W53" s="58" t="str">
        <f aca="false">IF(OR($A53="",W$33=""),"",IF(ca_mesure="CPU",SUMIFS(TblCalculs[CPU provisionné],TblCalculs[Cluster],$B53,TblCalculs[Mois],W$33),IF(ca_mesure="RAM",SUMIFS(TblCalculs[RAM provisionnée],TblCalculs[Cluster],$B53,TblCalculs[Mois],W$33),SUMIFS(TblCalculs[Workers],TblCalculs[Cluster],$B53,TblCalculs[Mois],W$33))))</f>
        <v/>
      </c>
      <c r="X53" s="58" t="str">
        <f aca="false">IF(OR($A53="",X$33=""),"",IF(ca_mesure="CPU",SUMIFS(TblCalculs[CPU provisionné],TblCalculs[Cluster],$B53,TblCalculs[Mois],X$33),IF(ca_mesure="RAM",SUMIFS(TblCalculs[RAM provisionnée],TblCalculs[Cluster],$B53,TblCalculs[Mois],X$33),SUMIFS(TblCalculs[Workers],TblCalculs[Cluster],$B53,TblCalculs[Mois],X$33))))</f>
        <v/>
      </c>
      <c r="Y53" s="58" t="str">
        <f aca="false">IF(OR($A53="",Y$33=""),"",IF(ca_mesure="CPU",SUMIFS(TblCalculs[CPU provisionné],TblCalculs[Cluster],$B53,TblCalculs[Mois],Y$33),IF(ca_mesure="RAM",SUMIFS(TblCalculs[RAM provisionnée],TblCalculs[Cluster],$B53,TblCalculs[Mois],Y$33),SUMIFS(TblCalculs[Workers],TblCalculs[Cluster],$B53,TblCalculs[Mois],Y$33))))</f>
        <v/>
      </c>
      <c r="Z53" s="58" t="str">
        <f aca="false">IF(OR($A53="",Z$33=""),"",IF(ca_mesure="CPU",SUMIFS(TblCalculs[CPU provisionné],TblCalculs[Cluster],$B53,TblCalculs[Mois],Z$33),IF(ca_mesure="RAM",SUMIFS(TblCalculs[RAM provisionnée],TblCalculs[Cluster],$B53,TblCalculs[Mois],Z$33),SUMIFS(TblCalculs[Workers],TblCalculs[Cluster],$B53,TblCalculs[Mois],Z$33))))</f>
        <v/>
      </c>
      <c r="AA53" s="58" t="str">
        <f aca="false">IF(OR($A53="",AA$33=""),"",IF(ca_mesure="CPU",SUMIFS(TblCalculs[CPU provisionné],TblCalculs[Cluster],$B53,TblCalculs[Mois],AA$33),IF(ca_mesure="RAM",SUMIFS(TblCalculs[RAM provisionnée],TblCalculs[Cluster],$B53,TblCalculs[Mois],AA$33),SUMIFS(TblCalculs[Workers],TblCalculs[Cluster],$B53,TblCalculs[Mois],AA$33))))</f>
        <v/>
      </c>
      <c r="AB53" s="58" t="str">
        <f aca="false">IF(OR($A53="",AB$33=""),"",IF(ca_mesure="CPU",SUMIFS(TblCalculs[CPU provisionné],TblCalculs[Cluster],$B53,TblCalculs[Mois],AB$33),IF(ca_mesure="RAM",SUMIFS(TblCalculs[RAM provisionnée],TblCalculs[Cluster],$B53,TblCalculs[Mois],AB$33),SUMIFS(TblCalculs[Workers],TblCalculs[Cluster],$B53,TblCalculs[Mois],AB$33))))</f>
        <v/>
      </c>
      <c r="AC53" s="58" t="str">
        <f aca="false">IF(OR($A53="",AC$33=""),"",IF(ca_mesure="CPU",SUMIFS(TblCalculs[CPU provisionné],TblCalculs[Cluster],$B53,TblCalculs[Mois],AC$33),IF(ca_mesure="RAM",SUMIFS(TblCalculs[RAM provisionnée],TblCalculs[Cluster],$B53,TblCalculs[Mois],AC$33),SUMIFS(TblCalculs[Workers],TblCalculs[Cluster],$B53,TblCalculs[Mois],AC$33))))</f>
        <v/>
      </c>
      <c r="AD53" s="58" t="str">
        <f aca="false">IF(OR($A53="",AD$33=""),"",IF(ca_mesure="CPU",SUMIFS(TblCalculs[CPU provisionné],TblCalculs[Cluster],$B53,TblCalculs[Mois],AD$33),IF(ca_mesure="RAM",SUMIFS(TblCalculs[RAM provisionnée],TblCalculs[Cluster],$B53,TblCalculs[Mois],AD$33),SUMIFS(TblCalculs[Workers],TblCalculs[Cluster],$B53,TblCalculs[Mois],AD$33))))</f>
        <v/>
      </c>
      <c r="AE53" s="58" t="str">
        <f aca="false">IF(OR($A53="",AE$33=""),"",IF(ca_mesure="CPU",SUMIFS(TblCalculs[CPU provisionné],TblCalculs[Cluster],$B53,TblCalculs[Mois],AE$33),IF(ca_mesure="RAM",SUMIFS(TblCalculs[RAM provisionnée],TblCalculs[Cluster],$B53,TblCalculs[Mois],AE$33),SUMIFS(TblCalculs[Workers],TblCalculs[Cluster],$B53,TblCalculs[Mois],AE$33))))</f>
        <v/>
      </c>
      <c r="AF53" s="58" t="str">
        <f aca="false">IF(OR($A53="",AF$33=""),"",IF(ca_mesure="CPU",SUMIFS(TblCalculs[CPU provisionné],TblCalculs[Cluster],$B53,TblCalculs[Mois],AF$33),IF(ca_mesure="RAM",SUMIFS(TblCalculs[RAM provisionnée],TblCalculs[Cluster],$B53,TblCalculs[Mois],AF$33),SUMIFS(TblCalculs[Workers],TblCalculs[Cluster],$B53,TblCalculs[Mois],AF$33))))</f>
        <v/>
      </c>
      <c r="AG53" s="58" t="str">
        <f aca="false">IF(OR($A53="",AG$33=""),"",IF(ca_mesure="CPU",SUMIFS(TblCalculs[CPU provisionné],TblCalculs[Cluster],$B53,TblCalculs[Mois],AG$33),IF(ca_mesure="RAM",SUMIFS(TblCalculs[RAM provisionnée],TblCalculs[Cluster],$B53,TblCalculs[Mois],AG$33),SUMIFS(TblCalculs[Workers],TblCalculs[Cluster],$B53,TblCalculs[Mois],AG$33))))</f>
        <v/>
      </c>
      <c r="AH53" s="58" t="str">
        <f aca="false">IF(OR($A53="",AH$33=""),"",IF(ca_mesure="CPU",SUMIFS(TblCalculs[CPU provisionné],TblCalculs[Cluster],$B53,TblCalculs[Mois],AH$33),IF(ca_mesure="RAM",SUMIFS(TblCalculs[RAM provisionnée],TblCalculs[Cluster],$B53,TblCalculs[Mois],AH$33),SUMIFS(TblCalculs[Workers],TblCalculs[Cluster],$B53,TblCalculs[Mois],AH$33))))</f>
        <v/>
      </c>
      <c r="AI53" s="58" t="str">
        <f aca="false">IF(OR($A53="",AI$33=""),"",IF(ca_mesure="CPU",SUMIFS(TblCalculs[CPU provisionné],TblCalculs[Cluster],$B53,TblCalculs[Mois],AI$33),IF(ca_mesure="RAM",SUMIFS(TblCalculs[RAM provisionnée],TblCalculs[Cluster],$B53,TblCalculs[Mois],AI$33),SUMIFS(TblCalculs[Workers],TblCalculs[Cluster],$B53,TblCalculs[Mois],AI$33))))</f>
        <v/>
      </c>
      <c r="AJ53" s="58" t="str">
        <f aca="false">IF(OR($A53="",AJ$33=""),"",IF(ca_mesure="CPU",SUMIFS(TblCalculs[CPU provisionné],TblCalculs[Cluster],$B53,TblCalculs[Mois],AJ$33),IF(ca_mesure="RAM",SUMIFS(TblCalculs[RAM provisionnée],TblCalculs[Cluster],$B53,TblCalculs[Mois],AJ$33),SUMIFS(TblCalculs[Workers],TblCalculs[Cluster],$B53,TblCalculs[Mois],AJ$33))))</f>
        <v/>
      </c>
      <c r="AK53" s="58" t="str">
        <f aca="false">IF(OR($A53="",AK$33=""),"",IF(ca_mesure="CPU",SUMIFS(TblCalculs[CPU provisionné],TblCalculs[Cluster],$B53,TblCalculs[Mois],AK$33),IF(ca_mesure="RAM",SUMIFS(TblCalculs[RAM provisionnée],TblCalculs[Cluster],$B53,TblCalculs[Mois],AK$33),SUMIFS(TblCalculs[Workers],TblCalculs[Cluster],$B53,TblCalculs[Mois],AK$33))))</f>
        <v/>
      </c>
      <c r="AL53" s="58" t="str">
        <f aca="false">IF(OR($A53="",AL$33=""),"",IF(ca_mesure="CPU",SUMIFS(TblCalculs[CPU provisionné],TblCalculs[Cluster],$B53,TblCalculs[Mois],AL$33),IF(ca_mesure="RAM",SUMIFS(TblCalculs[RAM provisionnée],TblCalculs[Cluster],$B53,TblCalculs[Mois],AL$33),SUMIFS(TblCalculs[Workers],TblCalculs[Cluster],$B53,TblCalculs[Mois],AL$33))))</f>
        <v/>
      </c>
      <c r="AM53" s="58" t="str">
        <f aca="false">IF(OR($A53="",AM$33=""),"",IF(ca_mesure="CPU",SUMIFS(TblCalculs[CPU provisionné],TblCalculs[Cluster],$B53,TblCalculs[Mois],AM$33),IF(ca_mesure="RAM",SUMIFS(TblCalculs[RAM provisionnée],TblCalculs[Cluster],$B53,TblCalculs[Mois],AM$33),SUMIFS(TblCalculs[Workers],TblCalculs[Cluster],$B53,TblCalculs[Mois],AM$33))))</f>
        <v/>
      </c>
      <c r="AN53" s="58" t="str">
        <f aca="false">IF(OR($A53="",AN$33=""),"",IF(ca_mesure="CPU",SUMIFS(TblCalculs[CPU provisionné],TblCalculs[Cluster],$B53,TblCalculs[Mois],AN$33),IF(ca_mesure="RAM",SUMIFS(TblCalculs[RAM provisionnée],TblCalculs[Cluster],$B53,TblCalculs[Mois],AN$33),SUMIFS(TblCalculs[Workers],TblCalculs[Cluster],$B53,TblCalculs[Mois],AN$33))))</f>
        <v/>
      </c>
      <c r="AO53" s="58" t="str">
        <f aca="false">IF(OR($A53="",AO$33=""),"",IF(ca_mesure="CPU",SUMIFS(TblCalculs[CPU provisionné],TblCalculs[Cluster],$B53,TblCalculs[Mois],AO$33),IF(ca_mesure="RAM",SUMIFS(TblCalculs[RAM provisionnée],TblCalculs[Cluster],$B53,TblCalculs[Mois],AO$33),SUMIFS(TblCalculs[Workers],TblCalculs[Cluster],$B53,TblCalculs[Mois],AO$33))))</f>
        <v/>
      </c>
    </row>
    <row r="54" customFormat="false" ht="15" hidden="false" customHeight="false" outlineLevel="0" collapsed="false">
      <c r="A54" s="49" t="str">
        <f aca="false">IFERROR(MATCH(21,TblClusters[Rang capacités],0),"")</f>
        <v/>
      </c>
      <c r="B54" s="57" t="str">
        <f aca="false">IF($A54="","",INDEX(TblClusters[Cluster],$A54))</f>
        <v/>
      </c>
      <c r="C54" s="50" t="str">
        <f aca="false">IF($A54="","",INDEX(TblClusters[Plateforme],$A54))</f>
        <v/>
      </c>
      <c r="D54" s="50" t="str">
        <f aca="false">IF($A54="","",INDEX(TblClusters[Environnement],$A54))</f>
        <v/>
      </c>
      <c r="E54" s="50" t="str">
        <f aca="false">IF($A54="","",INDEX(TblClusters[Flavor],$A54))</f>
        <v/>
      </c>
      <c r="F54" s="58" t="str">
        <f aca="false">IF(OR($A54="",F$33=""),"",IF(ca_mesure="CPU",SUMIFS(TblCalculs[CPU provisionné],TblCalculs[Cluster],$B54,TblCalculs[Mois],F$33),IF(ca_mesure="RAM",SUMIFS(TblCalculs[RAM provisionnée],TblCalculs[Cluster],$B54,TblCalculs[Mois],F$33),SUMIFS(TblCalculs[Workers],TblCalculs[Cluster],$B54,TblCalculs[Mois],F$33))))</f>
        <v/>
      </c>
      <c r="G54" s="58" t="str">
        <f aca="false">IF(OR($A54="",G$33=""),"",IF(ca_mesure="CPU",SUMIFS(TblCalculs[CPU provisionné],TblCalculs[Cluster],$B54,TblCalculs[Mois],G$33),IF(ca_mesure="RAM",SUMIFS(TblCalculs[RAM provisionnée],TblCalculs[Cluster],$B54,TblCalculs[Mois],G$33),SUMIFS(TblCalculs[Workers],TblCalculs[Cluster],$B54,TblCalculs[Mois],G$33))))</f>
        <v/>
      </c>
      <c r="H54" s="58" t="str">
        <f aca="false">IF(OR($A54="",H$33=""),"",IF(ca_mesure="CPU",SUMIFS(TblCalculs[CPU provisionné],TblCalculs[Cluster],$B54,TblCalculs[Mois],H$33),IF(ca_mesure="RAM",SUMIFS(TblCalculs[RAM provisionnée],TblCalculs[Cluster],$B54,TblCalculs[Mois],H$33),SUMIFS(TblCalculs[Workers],TblCalculs[Cluster],$B54,TblCalculs[Mois],H$33))))</f>
        <v/>
      </c>
      <c r="I54" s="58" t="str">
        <f aca="false">IF(OR($A54="",I$33=""),"",IF(ca_mesure="CPU",SUMIFS(TblCalculs[CPU provisionné],TblCalculs[Cluster],$B54,TblCalculs[Mois],I$33),IF(ca_mesure="RAM",SUMIFS(TblCalculs[RAM provisionnée],TblCalculs[Cluster],$B54,TblCalculs[Mois],I$33),SUMIFS(TblCalculs[Workers],TblCalculs[Cluster],$B54,TblCalculs[Mois],I$33))))</f>
        <v/>
      </c>
      <c r="J54" s="58" t="str">
        <f aca="false">IF(OR($A54="",J$33=""),"",IF(ca_mesure="CPU",SUMIFS(TblCalculs[CPU provisionné],TblCalculs[Cluster],$B54,TblCalculs[Mois],J$33),IF(ca_mesure="RAM",SUMIFS(TblCalculs[RAM provisionnée],TblCalculs[Cluster],$B54,TblCalculs[Mois],J$33),SUMIFS(TblCalculs[Workers],TblCalculs[Cluster],$B54,TblCalculs[Mois],J$33))))</f>
        <v/>
      </c>
      <c r="K54" s="58" t="str">
        <f aca="false">IF(OR($A54="",K$33=""),"",IF(ca_mesure="CPU",SUMIFS(TblCalculs[CPU provisionné],TblCalculs[Cluster],$B54,TblCalculs[Mois],K$33),IF(ca_mesure="RAM",SUMIFS(TblCalculs[RAM provisionnée],TblCalculs[Cluster],$B54,TblCalculs[Mois],K$33),SUMIFS(TblCalculs[Workers],TblCalculs[Cluster],$B54,TblCalculs[Mois],K$33))))</f>
        <v/>
      </c>
      <c r="L54" s="58" t="str">
        <f aca="false">IF(OR($A54="",L$33=""),"",IF(ca_mesure="CPU",SUMIFS(TblCalculs[CPU provisionné],TblCalculs[Cluster],$B54,TblCalculs[Mois],L$33),IF(ca_mesure="RAM",SUMIFS(TblCalculs[RAM provisionnée],TblCalculs[Cluster],$B54,TblCalculs[Mois],L$33),SUMIFS(TblCalculs[Workers],TblCalculs[Cluster],$B54,TblCalculs[Mois],L$33))))</f>
        <v/>
      </c>
      <c r="M54" s="58" t="str">
        <f aca="false">IF(OR($A54="",M$33=""),"",IF(ca_mesure="CPU",SUMIFS(TblCalculs[CPU provisionné],TblCalculs[Cluster],$B54,TblCalculs[Mois],M$33),IF(ca_mesure="RAM",SUMIFS(TblCalculs[RAM provisionnée],TblCalculs[Cluster],$B54,TblCalculs[Mois],M$33),SUMIFS(TblCalculs[Workers],TblCalculs[Cluster],$B54,TblCalculs[Mois],M$33))))</f>
        <v/>
      </c>
      <c r="N54" s="58" t="str">
        <f aca="false">IF(OR($A54="",N$33=""),"",IF(ca_mesure="CPU",SUMIFS(TblCalculs[CPU provisionné],TblCalculs[Cluster],$B54,TblCalculs[Mois],N$33),IF(ca_mesure="RAM",SUMIFS(TblCalculs[RAM provisionnée],TblCalculs[Cluster],$B54,TblCalculs[Mois],N$33),SUMIFS(TblCalculs[Workers],TblCalculs[Cluster],$B54,TblCalculs[Mois],N$33))))</f>
        <v/>
      </c>
      <c r="O54" s="58" t="str">
        <f aca="false">IF(OR($A54="",O$33=""),"",IF(ca_mesure="CPU",SUMIFS(TblCalculs[CPU provisionné],TblCalculs[Cluster],$B54,TblCalculs[Mois],O$33),IF(ca_mesure="RAM",SUMIFS(TblCalculs[RAM provisionnée],TblCalculs[Cluster],$B54,TblCalculs[Mois],O$33),SUMIFS(TblCalculs[Workers],TblCalculs[Cluster],$B54,TblCalculs[Mois],O$33))))</f>
        <v/>
      </c>
      <c r="P54" s="58" t="str">
        <f aca="false">IF(OR($A54="",P$33=""),"",IF(ca_mesure="CPU",SUMIFS(TblCalculs[CPU provisionné],TblCalculs[Cluster],$B54,TblCalculs[Mois],P$33),IF(ca_mesure="RAM",SUMIFS(TblCalculs[RAM provisionnée],TblCalculs[Cluster],$B54,TblCalculs[Mois],P$33),SUMIFS(TblCalculs[Workers],TblCalculs[Cluster],$B54,TblCalculs[Mois],P$33))))</f>
        <v/>
      </c>
      <c r="Q54" s="58" t="str">
        <f aca="false">IF(OR($A54="",Q$33=""),"",IF(ca_mesure="CPU",SUMIFS(TblCalculs[CPU provisionné],TblCalculs[Cluster],$B54,TblCalculs[Mois],Q$33),IF(ca_mesure="RAM",SUMIFS(TblCalculs[RAM provisionnée],TblCalculs[Cluster],$B54,TblCalculs[Mois],Q$33),SUMIFS(TblCalculs[Workers],TblCalculs[Cluster],$B54,TblCalculs[Mois],Q$33))))</f>
        <v/>
      </c>
      <c r="R54" s="58" t="str">
        <f aca="false">IF(OR($A54="",R$33=""),"",IF(ca_mesure="CPU",SUMIFS(TblCalculs[CPU provisionné],TblCalculs[Cluster],$B54,TblCalculs[Mois],R$33),IF(ca_mesure="RAM",SUMIFS(TblCalculs[RAM provisionnée],TblCalculs[Cluster],$B54,TblCalculs[Mois],R$33),SUMIFS(TblCalculs[Workers],TblCalculs[Cluster],$B54,TblCalculs[Mois],R$33))))</f>
        <v/>
      </c>
      <c r="S54" s="58" t="str">
        <f aca="false">IF(OR($A54="",S$33=""),"",IF(ca_mesure="CPU",SUMIFS(TblCalculs[CPU provisionné],TblCalculs[Cluster],$B54,TblCalculs[Mois],S$33),IF(ca_mesure="RAM",SUMIFS(TblCalculs[RAM provisionnée],TblCalculs[Cluster],$B54,TblCalculs[Mois],S$33),SUMIFS(TblCalculs[Workers],TblCalculs[Cluster],$B54,TblCalculs[Mois],S$33))))</f>
        <v/>
      </c>
      <c r="T54" s="58" t="str">
        <f aca="false">IF(OR($A54="",T$33=""),"",IF(ca_mesure="CPU",SUMIFS(TblCalculs[CPU provisionné],TblCalculs[Cluster],$B54,TblCalculs[Mois],T$33),IF(ca_mesure="RAM",SUMIFS(TblCalculs[RAM provisionnée],TblCalculs[Cluster],$B54,TblCalculs[Mois],T$33),SUMIFS(TblCalculs[Workers],TblCalculs[Cluster],$B54,TblCalculs[Mois],T$33))))</f>
        <v/>
      </c>
      <c r="U54" s="58" t="str">
        <f aca="false">IF(OR($A54="",U$33=""),"",IF(ca_mesure="CPU",SUMIFS(TblCalculs[CPU provisionné],TblCalculs[Cluster],$B54,TblCalculs[Mois],U$33),IF(ca_mesure="RAM",SUMIFS(TblCalculs[RAM provisionnée],TblCalculs[Cluster],$B54,TblCalculs[Mois],U$33),SUMIFS(TblCalculs[Workers],TblCalculs[Cluster],$B54,TblCalculs[Mois],U$33))))</f>
        <v/>
      </c>
      <c r="V54" s="58" t="str">
        <f aca="false">IF(OR($A54="",V$33=""),"",IF(ca_mesure="CPU",SUMIFS(TblCalculs[CPU provisionné],TblCalculs[Cluster],$B54,TblCalculs[Mois],V$33),IF(ca_mesure="RAM",SUMIFS(TblCalculs[RAM provisionnée],TblCalculs[Cluster],$B54,TblCalculs[Mois],V$33),SUMIFS(TblCalculs[Workers],TblCalculs[Cluster],$B54,TblCalculs[Mois],V$33))))</f>
        <v/>
      </c>
      <c r="W54" s="58" t="str">
        <f aca="false">IF(OR($A54="",W$33=""),"",IF(ca_mesure="CPU",SUMIFS(TblCalculs[CPU provisionné],TblCalculs[Cluster],$B54,TblCalculs[Mois],W$33),IF(ca_mesure="RAM",SUMIFS(TblCalculs[RAM provisionnée],TblCalculs[Cluster],$B54,TblCalculs[Mois],W$33),SUMIFS(TblCalculs[Workers],TblCalculs[Cluster],$B54,TblCalculs[Mois],W$33))))</f>
        <v/>
      </c>
      <c r="X54" s="58" t="str">
        <f aca="false">IF(OR($A54="",X$33=""),"",IF(ca_mesure="CPU",SUMIFS(TblCalculs[CPU provisionné],TblCalculs[Cluster],$B54,TblCalculs[Mois],X$33),IF(ca_mesure="RAM",SUMIFS(TblCalculs[RAM provisionnée],TblCalculs[Cluster],$B54,TblCalculs[Mois],X$33),SUMIFS(TblCalculs[Workers],TblCalculs[Cluster],$B54,TblCalculs[Mois],X$33))))</f>
        <v/>
      </c>
      <c r="Y54" s="58" t="str">
        <f aca="false">IF(OR($A54="",Y$33=""),"",IF(ca_mesure="CPU",SUMIFS(TblCalculs[CPU provisionné],TblCalculs[Cluster],$B54,TblCalculs[Mois],Y$33),IF(ca_mesure="RAM",SUMIFS(TblCalculs[RAM provisionnée],TblCalculs[Cluster],$B54,TblCalculs[Mois],Y$33),SUMIFS(TblCalculs[Workers],TblCalculs[Cluster],$B54,TblCalculs[Mois],Y$33))))</f>
        <v/>
      </c>
      <c r="Z54" s="58" t="str">
        <f aca="false">IF(OR($A54="",Z$33=""),"",IF(ca_mesure="CPU",SUMIFS(TblCalculs[CPU provisionné],TblCalculs[Cluster],$B54,TblCalculs[Mois],Z$33),IF(ca_mesure="RAM",SUMIFS(TblCalculs[RAM provisionnée],TblCalculs[Cluster],$B54,TblCalculs[Mois],Z$33),SUMIFS(TblCalculs[Workers],TblCalculs[Cluster],$B54,TblCalculs[Mois],Z$33))))</f>
        <v/>
      </c>
      <c r="AA54" s="58" t="str">
        <f aca="false">IF(OR($A54="",AA$33=""),"",IF(ca_mesure="CPU",SUMIFS(TblCalculs[CPU provisionné],TblCalculs[Cluster],$B54,TblCalculs[Mois],AA$33),IF(ca_mesure="RAM",SUMIFS(TblCalculs[RAM provisionnée],TblCalculs[Cluster],$B54,TblCalculs[Mois],AA$33),SUMIFS(TblCalculs[Workers],TblCalculs[Cluster],$B54,TblCalculs[Mois],AA$33))))</f>
        <v/>
      </c>
      <c r="AB54" s="58" t="str">
        <f aca="false">IF(OR($A54="",AB$33=""),"",IF(ca_mesure="CPU",SUMIFS(TblCalculs[CPU provisionné],TblCalculs[Cluster],$B54,TblCalculs[Mois],AB$33),IF(ca_mesure="RAM",SUMIFS(TblCalculs[RAM provisionnée],TblCalculs[Cluster],$B54,TblCalculs[Mois],AB$33),SUMIFS(TblCalculs[Workers],TblCalculs[Cluster],$B54,TblCalculs[Mois],AB$33))))</f>
        <v/>
      </c>
      <c r="AC54" s="58" t="str">
        <f aca="false">IF(OR($A54="",AC$33=""),"",IF(ca_mesure="CPU",SUMIFS(TblCalculs[CPU provisionné],TblCalculs[Cluster],$B54,TblCalculs[Mois],AC$33),IF(ca_mesure="RAM",SUMIFS(TblCalculs[RAM provisionnée],TblCalculs[Cluster],$B54,TblCalculs[Mois],AC$33),SUMIFS(TblCalculs[Workers],TblCalculs[Cluster],$B54,TblCalculs[Mois],AC$33))))</f>
        <v/>
      </c>
      <c r="AD54" s="58" t="str">
        <f aca="false">IF(OR($A54="",AD$33=""),"",IF(ca_mesure="CPU",SUMIFS(TblCalculs[CPU provisionné],TblCalculs[Cluster],$B54,TblCalculs[Mois],AD$33),IF(ca_mesure="RAM",SUMIFS(TblCalculs[RAM provisionnée],TblCalculs[Cluster],$B54,TblCalculs[Mois],AD$33),SUMIFS(TblCalculs[Workers],TblCalculs[Cluster],$B54,TblCalculs[Mois],AD$33))))</f>
        <v/>
      </c>
      <c r="AE54" s="58" t="str">
        <f aca="false">IF(OR($A54="",AE$33=""),"",IF(ca_mesure="CPU",SUMIFS(TblCalculs[CPU provisionné],TblCalculs[Cluster],$B54,TblCalculs[Mois],AE$33),IF(ca_mesure="RAM",SUMIFS(TblCalculs[RAM provisionnée],TblCalculs[Cluster],$B54,TblCalculs[Mois],AE$33),SUMIFS(TblCalculs[Workers],TblCalculs[Cluster],$B54,TblCalculs[Mois],AE$33))))</f>
        <v/>
      </c>
      <c r="AF54" s="58" t="str">
        <f aca="false">IF(OR($A54="",AF$33=""),"",IF(ca_mesure="CPU",SUMIFS(TblCalculs[CPU provisionné],TblCalculs[Cluster],$B54,TblCalculs[Mois],AF$33),IF(ca_mesure="RAM",SUMIFS(TblCalculs[RAM provisionnée],TblCalculs[Cluster],$B54,TblCalculs[Mois],AF$33),SUMIFS(TblCalculs[Workers],TblCalculs[Cluster],$B54,TblCalculs[Mois],AF$33))))</f>
        <v/>
      </c>
      <c r="AG54" s="58" t="str">
        <f aca="false">IF(OR($A54="",AG$33=""),"",IF(ca_mesure="CPU",SUMIFS(TblCalculs[CPU provisionné],TblCalculs[Cluster],$B54,TblCalculs[Mois],AG$33),IF(ca_mesure="RAM",SUMIFS(TblCalculs[RAM provisionnée],TblCalculs[Cluster],$B54,TblCalculs[Mois],AG$33),SUMIFS(TblCalculs[Workers],TblCalculs[Cluster],$B54,TblCalculs[Mois],AG$33))))</f>
        <v/>
      </c>
      <c r="AH54" s="58" t="str">
        <f aca="false">IF(OR($A54="",AH$33=""),"",IF(ca_mesure="CPU",SUMIFS(TblCalculs[CPU provisionné],TblCalculs[Cluster],$B54,TblCalculs[Mois],AH$33),IF(ca_mesure="RAM",SUMIFS(TblCalculs[RAM provisionnée],TblCalculs[Cluster],$B54,TblCalculs[Mois],AH$33),SUMIFS(TblCalculs[Workers],TblCalculs[Cluster],$B54,TblCalculs[Mois],AH$33))))</f>
        <v/>
      </c>
      <c r="AI54" s="58" t="str">
        <f aca="false">IF(OR($A54="",AI$33=""),"",IF(ca_mesure="CPU",SUMIFS(TblCalculs[CPU provisionné],TblCalculs[Cluster],$B54,TblCalculs[Mois],AI$33),IF(ca_mesure="RAM",SUMIFS(TblCalculs[RAM provisionnée],TblCalculs[Cluster],$B54,TblCalculs[Mois],AI$33),SUMIFS(TblCalculs[Workers],TblCalculs[Cluster],$B54,TblCalculs[Mois],AI$33))))</f>
        <v/>
      </c>
      <c r="AJ54" s="58" t="str">
        <f aca="false">IF(OR($A54="",AJ$33=""),"",IF(ca_mesure="CPU",SUMIFS(TblCalculs[CPU provisionné],TblCalculs[Cluster],$B54,TblCalculs[Mois],AJ$33),IF(ca_mesure="RAM",SUMIFS(TblCalculs[RAM provisionnée],TblCalculs[Cluster],$B54,TblCalculs[Mois],AJ$33),SUMIFS(TblCalculs[Workers],TblCalculs[Cluster],$B54,TblCalculs[Mois],AJ$33))))</f>
        <v/>
      </c>
      <c r="AK54" s="58" t="str">
        <f aca="false">IF(OR($A54="",AK$33=""),"",IF(ca_mesure="CPU",SUMIFS(TblCalculs[CPU provisionné],TblCalculs[Cluster],$B54,TblCalculs[Mois],AK$33),IF(ca_mesure="RAM",SUMIFS(TblCalculs[RAM provisionnée],TblCalculs[Cluster],$B54,TblCalculs[Mois],AK$33),SUMIFS(TblCalculs[Workers],TblCalculs[Cluster],$B54,TblCalculs[Mois],AK$33))))</f>
        <v/>
      </c>
      <c r="AL54" s="58" t="str">
        <f aca="false">IF(OR($A54="",AL$33=""),"",IF(ca_mesure="CPU",SUMIFS(TblCalculs[CPU provisionné],TblCalculs[Cluster],$B54,TblCalculs[Mois],AL$33),IF(ca_mesure="RAM",SUMIFS(TblCalculs[RAM provisionnée],TblCalculs[Cluster],$B54,TblCalculs[Mois],AL$33),SUMIFS(TblCalculs[Workers],TblCalculs[Cluster],$B54,TblCalculs[Mois],AL$33))))</f>
        <v/>
      </c>
      <c r="AM54" s="58" t="str">
        <f aca="false">IF(OR($A54="",AM$33=""),"",IF(ca_mesure="CPU",SUMIFS(TblCalculs[CPU provisionné],TblCalculs[Cluster],$B54,TblCalculs[Mois],AM$33),IF(ca_mesure="RAM",SUMIFS(TblCalculs[RAM provisionnée],TblCalculs[Cluster],$B54,TblCalculs[Mois],AM$33),SUMIFS(TblCalculs[Workers],TblCalculs[Cluster],$B54,TblCalculs[Mois],AM$33))))</f>
        <v/>
      </c>
      <c r="AN54" s="58" t="str">
        <f aca="false">IF(OR($A54="",AN$33=""),"",IF(ca_mesure="CPU",SUMIFS(TblCalculs[CPU provisionné],TblCalculs[Cluster],$B54,TblCalculs[Mois],AN$33),IF(ca_mesure="RAM",SUMIFS(TblCalculs[RAM provisionnée],TblCalculs[Cluster],$B54,TblCalculs[Mois],AN$33),SUMIFS(TblCalculs[Workers],TblCalculs[Cluster],$B54,TblCalculs[Mois],AN$33))))</f>
        <v/>
      </c>
      <c r="AO54" s="58" t="str">
        <f aca="false">IF(OR($A54="",AO$33=""),"",IF(ca_mesure="CPU",SUMIFS(TblCalculs[CPU provisionné],TblCalculs[Cluster],$B54,TblCalculs[Mois],AO$33),IF(ca_mesure="RAM",SUMIFS(TblCalculs[RAM provisionnée],TblCalculs[Cluster],$B54,TblCalculs[Mois],AO$33),SUMIFS(TblCalculs[Workers],TblCalculs[Cluster],$B54,TblCalculs[Mois],AO$33))))</f>
        <v/>
      </c>
    </row>
    <row r="55" customFormat="false" ht="15" hidden="false" customHeight="false" outlineLevel="0" collapsed="false">
      <c r="A55" s="49" t="str">
        <f aca="false">IFERROR(MATCH(22,TblClusters[Rang capacités],0),"")</f>
        <v/>
      </c>
      <c r="B55" s="57" t="str">
        <f aca="false">IF($A55="","",INDEX(TblClusters[Cluster],$A55))</f>
        <v/>
      </c>
      <c r="C55" s="50" t="str">
        <f aca="false">IF($A55="","",INDEX(TblClusters[Plateforme],$A55))</f>
        <v/>
      </c>
      <c r="D55" s="50" t="str">
        <f aca="false">IF($A55="","",INDEX(TblClusters[Environnement],$A55))</f>
        <v/>
      </c>
      <c r="E55" s="50" t="str">
        <f aca="false">IF($A55="","",INDEX(TblClusters[Flavor],$A55))</f>
        <v/>
      </c>
      <c r="F55" s="58" t="str">
        <f aca="false">IF(OR($A55="",F$33=""),"",IF(ca_mesure="CPU",SUMIFS(TblCalculs[CPU provisionné],TblCalculs[Cluster],$B55,TblCalculs[Mois],F$33),IF(ca_mesure="RAM",SUMIFS(TblCalculs[RAM provisionnée],TblCalculs[Cluster],$B55,TblCalculs[Mois],F$33),SUMIFS(TblCalculs[Workers],TblCalculs[Cluster],$B55,TblCalculs[Mois],F$33))))</f>
        <v/>
      </c>
      <c r="G55" s="58" t="str">
        <f aca="false">IF(OR($A55="",G$33=""),"",IF(ca_mesure="CPU",SUMIFS(TblCalculs[CPU provisionné],TblCalculs[Cluster],$B55,TblCalculs[Mois],G$33),IF(ca_mesure="RAM",SUMIFS(TblCalculs[RAM provisionnée],TblCalculs[Cluster],$B55,TblCalculs[Mois],G$33),SUMIFS(TblCalculs[Workers],TblCalculs[Cluster],$B55,TblCalculs[Mois],G$33))))</f>
        <v/>
      </c>
      <c r="H55" s="58" t="str">
        <f aca="false">IF(OR($A55="",H$33=""),"",IF(ca_mesure="CPU",SUMIFS(TblCalculs[CPU provisionné],TblCalculs[Cluster],$B55,TblCalculs[Mois],H$33),IF(ca_mesure="RAM",SUMIFS(TblCalculs[RAM provisionnée],TblCalculs[Cluster],$B55,TblCalculs[Mois],H$33),SUMIFS(TblCalculs[Workers],TblCalculs[Cluster],$B55,TblCalculs[Mois],H$33))))</f>
        <v/>
      </c>
      <c r="I55" s="58" t="str">
        <f aca="false">IF(OR($A55="",I$33=""),"",IF(ca_mesure="CPU",SUMIFS(TblCalculs[CPU provisionné],TblCalculs[Cluster],$B55,TblCalculs[Mois],I$33),IF(ca_mesure="RAM",SUMIFS(TblCalculs[RAM provisionnée],TblCalculs[Cluster],$B55,TblCalculs[Mois],I$33),SUMIFS(TblCalculs[Workers],TblCalculs[Cluster],$B55,TblCalculs[Mois],I$33))))</f>
        <v/>
      </c>
      <c r="J55" s="58" t="str">
        <f aca="false">IF(OR($A55="",J$33=""),"",IF(ca_mesure="CPU",SUMIFS(TblCalculs[CPU provisionné],TblCalculs[Cluster],$B55,TblCalculs[Mois],J$33),IF(ca_mesure="RAM",SUMIFS(TblCalculs[RAM provisionnée],TblCalculs[Cluster],$B55,TblCalculs[Mois],J$33),SUMIFS(TblCalculs[Workers],TblCalculs[Cluster],$B55,TblCalculs[Mois],J$33))))</f>
        <v/>
      </c>
      <c r="K55" s="58" t="str">
        <f aca="false">IF(OR($A55="",K$33=""),"",IF(ca_mesure="CPU",SUMIFS(TblCalculs[CPU provisionné],TblCalculs[Cluster],$B55,TblCalculs[Mois],K$33),IF(ca_mesure="RAM",SUMIFS(TblCalculs[RAM provisionnée],TblCalculs[Cluster],$B55,TblCalculs[Mois],K$33),SUMIFS(TblCalculs[Workers],TblCalculs[Cluster],$B55,TblCalculs[Mois],K$33))))</f>
        <v/>
      </c>
      <c r="L55" s="58" t="str">
        <f aca="false">IF(OR($A55="",L$33=""),"",IF(ca_mesure="CPU",SUMIFS(TblCalculs[CPU provisionné],TblCalculs[Cluster],$B55,TblCalculs[Mois],L$33),IF(ca_mesure="RAM",SUMIFS(TblCalculs[RAM provisionnée],TblCalculs[Cluster],$B55,TblCalculs[Mois],L$33),SUMIFS(TblCalculs[Workers],TblCalculs[Cluster],$B55,TblCalculs[Mois],L$33))))</f>
        <v/>
      </c>
      <c r="M55" s="58" t="str">
        <f aca="false">IF(OR($A55="",M$33=""),"",IF(ca_mesure="CPU",SUMIFS(TblCalculs[CPU provisionné],TblCalculs[Cluster],$B55,TblCalculs[Mois],M$33),IF(ca_mesure="RAM",SUMIFS(TblCalculs[RAM provisionnée],TblCalculs[Cluster],$B55,TblCalculs[Mois],M$33),SUMIFS(TblCalculs[Workers],TblCalculs[Cluster],$B55,TblCalculs[Mois],M$33))))</f>
        <v/>
      </c>
      <c r="N55" s="58" t="str">
        <f aca="false">IF(OR($A55="",N$33=""),"",IF(ca_mesure="CPU",SUMIFS(TblCalculs[CPU provisionné],TblCalculs[Cluster],$B55,TblCalculs[Mois],N$33),IF(ca_mesure="RAM",SUMIFS(TblCalculs[RAM provisionnée],TblCalculs[Cluster],$B55,TblCalculs[Mois],N$33),SUMIFS(TblCalculs[Workers],TblCalculs[Cluster],$B55,TblCalculs[Mois],N$33))))</f>
        <v/>
      </c>
      <c r="O55" s="58" t="str">
        <f aca="false">IF(OR($A55="",O$33=""),"",IF(ca_mesure="CPU",SUMIFS(TblCalculs[CPU provisionné],TblCalculs[Cluster],$B55,TblCalculs[Mois],O$33),IF(ca_mesure="RAM",SUMIFS(TblCalculs[RAM provisionnée],TblCalculs[Cluster],$B55,TblCalculs[Mois],O$33),SUMIFS(TblCalculs[Workers],TblCalculs[Cluster],$B55,TblCalculs[Mois],O$33))))</f>
        <v/>
      </c>
      <c r="P55" s="58" t="str">
        <f aca="false">IF(OR($A55="",P$33=""),"",IF(ca_mesure="CPU",SUMIFS(TblCalculs[CPU provisionné],TblCalculs[Cluster],$B55,TblCalculs[Mois],P$33),IF(ca_mesure="RAM",SUMIFS(TblCalculs[RAM provisionnée],TblCalculs[Cluster],$B55,TblCalculs[Mois],P$33),SUMIFS(TblCalculs[Workers],TblCalculs[Cluster],$B55,TblCalculs[Mois],P$33))))</f>
        <v/>
      </c>
      <c r="Q55" s="58" t="str">
        <f aca="false">IF(OR($A55="",Q$33=""),"",IF(ca_mesure="CPU",SUMIFS(TblCalculs[CPU provisionné],TblCalculs[Cluster],$B55,TblCalculs[Mois],Q$33),IF(ca_mesure="RAM",SUMIFS(TblCalculs[RAM provisionnée],TblCalculs[Cluster],$B55,TblCalculs[Mois],Q$33),SUMIFS(TblCalculs[Workers],TblCalculs[Cluster],$B55,TblCalculs[Mois],Q$33))))</f>
        <v/>
      </c>
      <c r="R55" s="58" t="str">
        <f aca="false">IF(OR($A55="",R$33=""),"",IF(ca_mesure="CPU",SUMIFS(TblCalculs[CPU provisionné],TblCalculs[Cluster],$B55,TblCalculs[Mois],R$33),IF(ca_mesure="RAM",SUMIFS(TblCalculs[RAM provisionnée],TblCalculs[Cluster],$B55,TblCalculs[Mois],R$33),SUMIFS(TblCalculs[Workers],TblCalculs[Cluster],$B55,TblCalculs[Mois],R$33))))</f>
        <v/>
      </c>
      <c r="S55" s="58" t="str">
        <f aca="false">IF(OR($A55="",S$33=""),"",IF(ca_mesure="CPU",SUMIFS(TblCalculs[CPU provisionné],TblCalculs[Cluster],$B55,TblCalculs[Mois],S$33),IF(ca_mesure="RAM",SUMIFS(TblCalculs[RAM provisionnée],TblCalculs[Cluster],$B55,TblCalculs[Mois],S$33),SUMIFS(TblCalculs[Workers],TblCalculs[Cluster],$B55,TblCalculs[Mois],S$33))))</f>
        <v/>
      </c>
      <c r="T55" s="58" t="str">
        <f aca="false">IF(OR($A55="",T$33=""),"",IF(ca_mesure="CPU",SUMIFS(TblCalculs[CPU provisionné],TblCalculs[Cluster],$B55,TblCalculs[Mois],T$33),IF(ca_mesure="RAM",SUMIFS(TblCalculs[RAM provisionnée],TblCalculs[Cluster],$B55,TblCalculs[Mois],T$33),SUMIFS(TblCalculs[Workers],TblCalculs[Cluster],$B55,TblCalculs[Mois],T$33))))</f>
        <v/>
      </c>
      <c r="U55" s="58" t="str">
        <f aca="false">IF(OR($A55="",U$33=""),"",IF(ca_mesure="CPU",SUMIFS(TblCalculs[CPU provisionné],TblCalculs[Cluster],$B55,TblCalculs[Mois],U$33),IF(ca_mesure="RAM",SUMIFS(TblCalculs[RAM provisionnée],TblCalculs[Cluster],$B55,TblCalculs[Mois],U$33),SUMIFS(TblCalculs[Workers],TblCalculs[Cluster],$B55,TblCalculs[Mois],U$33))))</f>
        <v/>
      </c>
      <c r="V55" s="58" t="str">
        <f aca="false">IF(OR($A55="",V$33=""),"",IF(ca_mesure="CPU",SUMIFS(TblCalculs[CPU provisionné],TblCalculs[Cluster],$B55,TblCalculs[Mois],V$33),IF(ca_mesure="RAM",SUMIFS(TblCalculs[RAM provisionnée],TblCalculs[Cluster],$B55,TblCalculs[Mois],V$33),SUMIFS(TblCalculs[Workers],TblCalculs[Cluster],$B55,TblCalculs[Mois],V$33))))</f>
        <v/>
      </c>
      <c r="W55" s="58" t="str">
        <f aca="false">IF(OR($A55="",W$33=""),"",IF(ca_mesure="CPU",SUMIFS(TblCalculs[CPU provisionné],TblCalculs[Cluster],$B55,TblCalculs[Mois],W$33),IF(ca_mesure="RAM",SUMIFS(TblCalculs[RAM provisionnée],TblCalculs[Cluster],$B55,TblCalculs[Mois],W$33),SUMIFS(TblCalculs[Workers],TblCalculs[Cluster],$B55,TblCalculs[Mois],W$33))))</f>
        <v/>
      </c>
      <c r="X55" s="58" t="str">
        <f aca="false">IF(OR($A55="",X$33=""),"",IF(ca_mesure="CPU",SUMIFS(TblCalculs[CPU provisionné],TblCalculs[Cluster],$B55,TblCalculs[Mois],X$33),IF(ca_mesure="RAM",SUMIFS(TblCalculs[RAM provisionnée],TblCalculs[Cluster],$B55,TblCalculs[Mois],X$33),SUMIFS(TblCalculs[Workers],TblCalculs[Cluster],$B55,TblCalculs[Mois],X$33))))</f>
        <v/>
      </c>
      <c r="Y55" s="58" t="str">
        <f aca="false">IF(OR($A55="",Y$33=""),"",IF(ca_mesure="CPU",SUMIFS(TblCalculs[CPU provisionné],TblCalculs[Cluster],$B55,TblCalculs[Mois],Y$33),IF(ca_mesure="RAM",SUMIFS(TblCalculs[RAM provisionnée],TblCalculs[Cluster],$B55,TblCalculs[Mois],Y$33),SUMIFS(TblCalculs[Workers],TblCalculs[Cluster],$B55,TblCalculs[Mois],Y$33))))</f>
        <v/>
      </c>
      <c r="Z55" s="58" t="str">
        <f aca="false">IF(OR($A55="",Z$33=""),"",IF(ca_mesure="CPU",SUMIFS(TblCalculs[CPU provisionné],TblCalculs[Cluster],$B55,TblCalculs[Mois],Z$33),IF(ca_mesure="RAM",SUMIFS(TblCalculs[RAM provisionnée],TblCalculs[Cluster],$B55,TblCalculs[Mois],Z$33),SUMIFS(TblCalculs[Workers],TblCalculs[Cluster],$B55,TblCalculs[Mois],Z$33))))</f>
        <v/>
      </c>
      <c r="AA55" s="58" t="str">
        <f aca="false">IF(OR($A55="",AA$33=""),"",IF(ca_mesure="CPU",SUMIFS(TblCalculs[CPU provisionné],TblCalculs[Cluster],$B55,TblCalculs[Mois],AA$33),IF(ca_mesure="RAM",SUMIFS(TblCalculs[RAM provisionnée],TblCalculs[Cluster],$B55,TblCalculs[Mois],AA$33),SUMIFS(TblCalculs[Workers],TblCalculs[Cluster],$B55,TblCalculs[Mois],AA$33))))</f>
        <v/>
      </c>
      <c r="AB55" s="58" t="str">
        <f aca="false">IF(OR($A55="",AB$33=""),"",IF(ca_mesure="CPU",SUMIFS(TblCalculs[CPU provisionné],TblCalculs[Cluster],$B55,TblCalculs[Mois],AB$33),IF(ca_mesure="RAM",SUMIFS(TblCalculs[RAM provisionnée],TblCalculs[Cluster],$B55,TblCalculs[Mois],AB$33),SUMIFS(TblCalculs[Workers],TblCalculs[Cluster],$B55,TblCalculs[Mois],AB$33))))</f>
        <v/>
      </c>
      <c r="AC55" s="58" t="str">
        <f aca="false">IF(OR($A55="",AC$33=""),"",IF(ca_mesure="CPU",SUMIFS(TblCalculs[CPU provisionné],TblCalculs[Cluster],$B55,TblCalculs[Mois],AC$33),IF(ca_mesure="RAM",SUMIFS(TblCalculs[RAM provisionnée],TblCalculs[Cluster],$B55,TblCalculs[Mois],AC$33),SUMIFS(TblCalculs[Workers],TblCalculs[Cluster],$B55,TblCalculs[Mois],AC$33))))</f>
        <v/>
      </c>
      <c r="AD55" s="58" t="str">
        <f aca="false">IF(OR($A55="",AD$33=""),"",IF(ca_mesure="CPU",SUMIFS(TblCalculs[CPU provisionné],TblCalculs[Cluster],$B55,TblCalculs[Mois],AD$33),IF(ca_mesure="RAM",SUMIFS(TblCalculs[RAM provisionnée],TblCalculs[Cluster],$B55,TblCalculs[Mois],AD$33),SUMIFS(TblCalculs[Workers],TblCalculs[Cluster],$B55,TblCalculs[Mois],AD$33))))</f>
        <v/>
      </c>
      <c r="AE55" s="58" t="str">
        <f aca="false">IF(OR($A55="",AE$33=""),"",IF(ca_mesure="CPU",SUMIFS(TblCalculs[CPU provisionné],TblCalculs[Cluster],$B55,TblCalculs[Mois],AE$33),IF(ca_mesure="RAM",SUMIFS(TblCalculs[RAM provisionnée],TblCalculs[Cluster],$B55,TblCalculs[Mois],AE$33),SUMIFS(TblCalculs[Workers],TblCalculs[Cluster],$B55,TblCalculs[Mois],AE$33))))</f>
        <v/>
      </c>
      <c r="AF55" s="58" t="str">
        <f aca="false">IF(OR($A55="",AF$33=""),"",IF(ca_mesure="CPU",SUMIFS(TblCalculs[CPU provisionné],TblCalculs[Cluster],$B55,TblCalculs[Mois],AF$33),IF(ca_mesure="RAM",SUMIFS(TblCalculs[RAM provisionnée],TblCalculs[Cluster],$B55,TblCalculs[Mois],AF$33),SUMIFS(TblCalculs[Workers],TblCalculs[Cluster],$B55,TblCalculs[Mois],AF$33))))</f>
        <v/>
      </c>
      <c r="AG55" s="58" t="str">
        <f aca="false">IF(OR($A55="",AG$33=""),"",IF(ca_mesure="CPU",SUMIFS(TblCalculs[CPU provisionné],TblCalculs[Cluster],$B55,TblCalculs[Mois],AG$33),IF(ca_mesure="RAM",SUMIFS(TblCalculs[RAM provisionnée],TblCalculs[Cluster],$B55,TblCalculs[Mois],AG$33),SUMIFS(TblCalculs[Workers],TblCalculs[Cluster],$B55,TblCalculs[Mois],AG$33))))</f>
        <v/>
      </c>
      <c r="AH55" s="58" t="str">
        <f aca="false">IF(OR($A55="",AH$33=""),"",IF(ca_mesure="CPU",SUMIFS(TblCalculs[CPU provisionné],TblCalculs[Cluster],$B55,TblCalculs[Mois],AH$33),IF(ca_mesure="RAM",SUMIFS(TblCalculs[RAM provisionnée],TblCalculs[Cluster],$B55,TblCalculs[Mois],AH$33),SUMIFS(TblCalculs[Workers],TblCalculs[Cluster],$B55,TblCalculs[Mois],AH$33))))</f>
        <v/>
      </c>
      <c r="AI55" s="58" t="str">
        <f aca="false">IF(OR($A55="",AI$33=""),"",IF(ca_mesure="CPU",SUMIFS(TblCalculs[CPU provisionné],TblCalculs[Cluster],$B55,TblCalculs[Mois],AI$33),IF(ca_mesure="RAM",SUMIFS(TblCalculs[RAM provisionnée],TblCalculs[Cluster],$B55,TblCalculs[Mois],AI$33),SUMIFS(TblCalculs[Workers],TblCalculs[Cluster],$B55,TblCalculs[Mois],AI$33))))</f>
        <v/>
      </c>
      <c r="AJ55" s="58" t="str">
        <f aca="false">IF(OR($A55="",AJ$33=""),"",IF(ca_mesure="CPU",SUMIFS(TblCalculs[CPU provisionné],TblCalculs[Cluster],$B55,TblCalculs[Mois],AJ$33),IF(ca_mesure="RAM",SUMIFS(TblCalculs[RAM provisionnée],TblCalculs[Cluster],$B55,TblCalculs[Mois],AJ$33),SUMIFS(TblCalculs[Workers],TblCalculs[Cluster],$B55,TblCalculs[Mois],AJ$33))))</f>
        <v/>
      </c>
      <c r="AK55" s="58" t="str">
        <f aca="false">IF(OR($A55="",AK$33=""),"",IF(ca_mesure="CPU",SUMIFS(TblCalculs[CPU provisionné],TblCalculs[Cluster],$B55,TblCalculs[Mois],AK$33),IF(ca_mesure="RAM",SUMIFS(TblCalculs[RAM provisionnée],TblCalculs[Cluster],$B55,TblCalculs[Mois],AK$33),SUMIFS(TblCalculs[Workers],TblCalculs[Cluster],$B55,TblCalculs[Mois],AK$33))))</f>
        <v/>
      </c>
      <c r="AL55" s="58" t="str">
        <f aca="false">IF(OR($A55="",AL$33=""),"",IF(ca_mesure="CPU",SUMIFS(TblCalculs[CPU provisionné],TblCalculs[Cluster],$B55,TblCalculs[Mois],AL$33),IF(ca_mesure="RAM",SUMIFS(TblCalculs[RAM provisionnée],TblCalculs[Cluster],$B55,TblCalculs[Mois],AL$33),SUMIFS(TblCalculs[Workers],TblCalculs[Cluster],$B55,TblCalculs[Mois],AL$33))))</f>
        <v/>
      </c>
      <c r="AM55" s="58" t="str">
        <f aca="false">IF(OR($A55="",AM$33=""),"",IF(ca_mesure="CPU",SUMIFS(TblCalculs[CPU provisionné],TblCalculs[Cluster],$B55,TblCalculs[Mois],AM$33),IF(ca_mesure="RAM",SUMIFS(TblCalculs[RAM provisionnée],TblCalculs[Cluster],$B55,TblCalculs[Mois],AM$33),SUMIFS(TblCalculs[Workers],TblCalculs[Cluster],$B55,TblCalculs[Mois],AM$33))))</f>
        <v/>
      </c>
      <c r="AN55" s="58" t="str">
        <f aca="false">IF(OR($A55="",AN$33=""),"",IF(ca_mesure="CPU",SUMIFS(TblCalculs[CPU provisionné],TblCalculs[Cluster],$B55,TblCalculs[Mois],AN$33),IF(ca_mesure="RAM",SUMIFS(TblCalculs[RAM provisionnée],TblCalculs[Cluster],$B55,TblCalculs[Mois],AN$33),SUMIFS(TblCalculs[Workers],TblCalculs[Cluster],$B55,TblCalculs[Mois],AN$33))))</f>
        <v/>
      </c>
      <c r="AO55" s="58" t="str">
        <f aca="false">IF(OR($A55="",AO$33=""),"",IF(ca_mesure="CPU",SUMIFS(TblCalculs[CPU provisionné],TblCalculs[Cluster],$B55,TblCalculs[Mois],AO$33),IF(ca_mesure="RAM",SUMIFS(TblCalculs[RAM provisionnée],TblCalculs[Cluster],$B55,TblCalculs[Mois],AO$33),SUMIFS(TblCalculs[Workers],TblCalculs[Cluster],$B55,TblCalculs[Mois],AO$33))))</f>
        <v/>
      </c>
    </row>
    <row r="56" customFormat="false" ht="15" hidden="false" customHeight="false" outlineLevel="0" collapsed="false">
      <c r="A56" s="49" t="str">
        <f aca="false">IFERROR(MATCH(23,TblClusters[Rang capacités],0),"")</f>
        <v/>
      </c>
      <c r="B56" s="57" t="str">
        <f aca="false">IF($A56="","",INDEX(TblClusters[Cluster],$A56))</f>
        <v/>
      </c>
      <c r="C56" s="50" t="str">
        <f aca="false">IF($A56="","",INDEX(TblClusters[Plateforme],$A56))</f>
        <v/>
      </c>
      <c r="D56" s="50" t="str">
        <f aca="false">IF($A56="","",INDEX(TblClusters[Environnement],$A56))</f>
        <v/>
      </c>
      <c r="E56" s="50" t="str">
        <f aca="false">IF($A56="","",INDEX(TblClusters[Flavor],$A56))</f>
        <v/>
      </c>
      <c r="F56" s="58" t="str">
        <f aca="false">IF(OR($A56="",F$33=""),"",IF(ca_mesure="CPU",SUMIFS(TblCalculs[CPU provisionné],TblCalculs[Cluster],$B56,TblCalculs[Mois],F$33),IF(ca_mesure="RAM",SUMIFS(TblCalculs[RAM provisionnée],TblCalculs[Cluster],$B56,TblCalculs[Mois],F$33),SUMIFS(TblCalculs[Workers],TblCalculs[Cluster],$B56,TblCalculs[Mois],F$33))))</f>
        <v/>
      </c>
      <c r="G56" s="58" t="str">
        <f aca="false">IF(OR($A56="",G$33=""),"",IF(ca_mesure="CPU",SUMIFS(TblCalculs[CPU provisionné],TblCalculs[Cluster],$B56,TblCalculs[Mois],G$33),IF(ca_mesure="RAM",SUMIFS(TblCalculs[RAM provisionnée],TblCalculs[Cluster],$B56,TblCalculs[Mois],G$33),SUMIFS(TblCalculs[Workers],TblCalculs[Cluster],$B56,TblCalculs[Mois],G$33))))</f>
        <v/>
      </c>
      <c r="H56" s="58" t="str">
        <f aca="false">IF(OR($A56="",H$33=""),"",IF(ca_mesure="CPU",SUMIFS(TblCalculs[CPU provisionné],TblCalculs[Cluster],$B56,TblCalculs[Mois],H$33),IF(ca_mesure="RAM",SUMIFS(TblCalculs[RAM provisionnée],TblCalculs[Cluster],$B56,TblCalculs[Mois],H$33),SUMIFS(TblCalculs[Workers],TblCalculs[Cluster],$B56,TblCalculs[Mois],H$33))))</f>
        <v/>
      </c>
      <c r="I56" s="58" t="str">
        <f aca="false">IF(OR($A56="",I$33=""),"",IF(ca_mesure="CPU",SUMIFS(TblCalculs[CPU provisionné],TblCalculs[Cluster],$B56,TblCalculs[Mois],I$33),IF(ca_mesure="RAM",SUMIFS(TblCalculs[RAM provisionnée],TblCalculs[Cluster],$B56,TblCalculs[Mois],I$33),SUMIFS(TblCalculs[Workers],TblCalculs[Cluster],$B56,TblCalculs[Mois],I$33))))</f>
        <v/>
      </c>
      <c r="J56" s="58" t="str">
        <f aca="false">IF(OR($A56="",J$33=""),"",IF(ca_mesure="CPU",SUMIFS(TblCalculs[CPU provisionné],TblCalculs[Cluster],$B56,TblCalculs[Mois],J$33),IF(ca_mesure="RAM",SUMIFS(TblCalculs[RAM provisionnée],TblCalculs[Cluster],$B56,TblCalculs[Mois],J$33),SUMIFS(TblCalculs[Workers],TblCalculs[Cluster],$B56,TblCalculs[Mois],J$33))))</f>
        <v/>
      </c>
      <c r="K56" s="58" t="str">
        <f aca="false">IF(OR($A56="",K$33=""),"",IF(ca_mesure="CPU",SUMIFS(TblCalculs[CPU provisionné],TblCalculs[Cluster],$B56,TblCalculs[Mois],K$33),IF(ca_mesure="RAM",SUMIFS(TblCalculs[RAM provisionnée],TblCalculs[Cluster],$B56,TblCalculs[Mois],K$33),SUMIFS(TblCalculs[Workers],TblCalculs[Cluster],$B56,TblCalculs[Mois],K$33))))</f>
        <v/>
      </c>
      <c r="L56" s="58" t="str">
        <f aca="false">IF(OR($A56="",L$33=""),"",IF(ca_mesure="CPU",SUMIFS(TblCalculs[CPU provisionné],TblCalculs[Cluster],$B56,TblCalculs[Mois],L$33),IF(ca_mesure="RAM",SUMIFS(TblCalculs[RAM provisionnée],TblCalculs[Cluster],$B56,TblCalculs[Mois],L$33),SUMIFS(TblCalculs[Workers],TblCalculs[Cluster],$B56,TblCalculs[Mois],L$33))))</f>
        <v/>
      </c>
      <c r="M56" s="58" t="str">
        <f aca="false">IF(OR($A56="",M$33=""),"",IF(ca_mesure="CPU",SUMIFS(TblCalculs[CPU provisionné],TblCalculs[Cluster],$B56,TblCalculs[Mois],M$33),IF(ca_mesure="RAM",SUMIFS(TblCalculs[RAM provisionnée],TblCalculs[Cluster],$B56,TblCalculs[Mois],M$33),SUMIFS(TblCalculs[Workers],TblCalculs[Cluster],$B56,TblCalculs[Mois],M$33))))</f>
        <v/>
      </c>
      <c r="N56" s="58" t="str">
        <f aca="false">IF(OR($A56="",N$33=""),"",IF(ca_mesure="CPU",SUMIFS(TblCalculs[CPU provisionné],TblCalculs[Cluster],$B56,TblCalculs[Mois],N$33),IF(ca_mesure="RAM",SUMIFS(TblCalculs[RAM provisionnée],TblCalculs[Cluster],$B56,TblCalculs[Mois],N$33),SUMIFS(TblCalculs[Workers],TblCalculs[Cluster],$B56,TblCalculs[Mois],N$33))))</f>
        <v/>
      </c>
      <c r="O56" s="58" t="str">
        <f aca="false">IF(OR($A56="",O$33=""),"",IF(ca_mesure="CPU",SUMIFS(TblCalculs[CPU provisionné],TblCalculs[Cluster],$B56,TblCalculs[Mois],O$33),IF(ca_mesure="RAM",SUMIFS(TblCalculs[RAM provisionnée],TblCalculs[Cluster],$B56,TblCalculs[Mois],O$33),SUMIFS(TblCalculs[Workers],TblCalculs[Cluster],$B56,TblCalculs[Mois],O$33))))</f>
        <v/>
      </c>
      <c r="P56" s="58" t="str">
        <f aca="false">IF(OR($A56="",P$33=""),"",IF(ca_mesure="CPU",SUMIFS(TblCalculs[CPU provisionné],TblCalculs[Cluster],$B56,TblCalculs[Mois],P$33),IF(ca_mesure="RAM",SUMIFS(TblCalculs[RAM provisionnée],TblCalculs[Cluster],$B56,TblCalculs[Mois],P$33),SUMIFS(TblCalculs[Workers],TblCalculs[Cluster],$B56,TblCalculs[Mois],P$33))))</f>
        <v/>
      </c>
      <c r="Q56" s="58" t="str">
        <f aca="false">IF(OR($A56="",Q$33=""),"",IF(ca_mesure="CPU",SUMIFS(TblCalculs[CPU provisionné],TblCalculs[Cluster],$B56,TblCalculs[Mois],Q$33),IF(ca_mesure="RAM",SUMIFS(TblCalculs[RAM provisionnée],TblCalculs[Cluster],$B56,TblCalculs[Mois],Q$33),SUMIFS(TblCalculs[Workers],TblCalculs[Cluster],$B56,TblCalculs[Mois],Q$33))))</f>
        <v/>
      </c>
      <c r="R56" s="58" t="str">
        <f aca="false">IF(OR($A56="",R$33=""),"",IF(ca_mesure="CPU",SUMIFS(TblCalculs[CPU provisionné],TblCalculs[Cluster],$B56,TblCalculs[Mois],R$33),IF(ca_mesure="RAM",SUMIFS(TblCalculs[RAM provisionnée],TblCalculs[Cluster],$B56,TblCalculs[Mois],R$33),SUMIFS(TblCalculs[Workers],TblCalculs[Cluster],$B56,TblCalculs[Mois],R$33))))</f>
        <v/>
      </c>
      <c r="S56" s="58" t="str">
        <f aca="false">IF(OR($A56="",S$33=""),"",IF(ca_mesure="CPU",SUMIFS(TblCalculs[CPU provisionné],TblCalculs[Cluster],$B56,TblCalculs[Mois],S$33),IF(ca_mesure="RAM",SUMIFS(TblCalculs[RAM provisionnée],TblCalculs[Cluster],$B56,TblCalculs[Mois],S$33),SUMIFS(TblCalculs[Workers],TblCalculs[Cluster],$B56,TblCalculs[Mois],S$33))))</f>
        <v/>
      </c>
      <c r="T56" s="58" t="str">
        <f aca="false">IF(OR($A56="",T$33=""),"",IF(ca_mesure="CPU",SUMIFS(TblCalculs[CPU provisionné],TblCalculs[Cluster],$B56,TblCalculs[Mois],T$33),IF(ca_mesure="RAM",SUMIFS(TblCalculs[RAM provisionnée],TblCalculs[Cluster],$B56,TblCalculs[Mois],T$33),SUMIFS(TblCalculs[Workers],TblCalculs[Cluster],$B56,TblCalculs[Mois],T$33))))</f>
        <v/>
      </c>
      <c r="U56" s="58" t="str">
        <f aca="false">IF(OR($A56="",U$33=""),"",IF(ca_mesure="CPU",SUMIFS(TblCalculs[CPU provisionné],TblCalculs[Cluster],$B56,TblCalculs[Mois],U$33),IF(ca_mesure="RAM",SUMIFS(TblCalculs[RAM provisionnée],TblCalculs[Cluster],$B56,TblCalculs[Mois],U$33),SUMIFS(TblCalculs[Workers],TblCalculs[Cluster],$B56,TblCalculs[Mois],U$33))))</f>
        <v/>
      </c>
      <c r="V56" s="58" t="str">
        <f aca="false">IF(OR($A56="",V$33=""),"",IF(ca_mesure="CPU",SUMIFS(TblCalculs[CPU provisionné],TblCalculs[Cluster],$B56,TblCalculs[Mois],V$33),IF(ca_mesure="RAM",SUMIFS(TblCalculs[RAM provisionnée],TblCalculs[Cluster],$B56,TblCalculs[Mois],V$33),SUMIFS(TblCalculs[Workers],TblCalculs[Cluster],$B56,TblCalculs[Mois],V$33))))</f>
        <v/>
      </c>
      <c r="W56" s="58" t="str">
        <f aca="false">IF(OR($A56="",W$33=""),"",IF(ca_mesure="CPU",SUMIFS(TblCalculs[CPU provisionné],TblCalculs[Cluster],$B56,TblCalculs[Mois],W$33),IF(ca_mesure="RAM",SUMIFS(TblCalculs[RAM provisionnée],TblCalculs[Cluster],$B56,TblCalculs[Mois],W$33),SUMIFS(TblCalculs[Workers],TblCalculs[Cluster],$B56,TblCalculs[Mois],W$33))))</f>
        <v/>
      </c>
      <c r="X56" s="58" t="str">
        <f aca="false">IF(OR($A56="",X$33=""),"",IF(ca_mesure="CPU",SUMIFS(TblCalculs[CPU provisionné],TblCalculs[Cluster],$B56,TblCalculs[Mois],X$33),IF(ca_mesure="RAM",SUMIFS(TblCalculs[RAM provisionnée],TblCalculs[Cluster],$B56,TblCalculs[Mois],X$33),SUMIFS(TblCalculs[Workers],TblCalculs[Cluster],$B56,TblCalculs[Mois],X$33))))</f>
        <v/>
      </c>
      <c r="Y56" s="58" t="str">
        <f aca="false">IF(OR($A56="",Y$33=""),"",IF(ca_mesure="CPU",SUMIFS(TblCalculs[CPU provisionné],TblCalculs[Cluster],$B56,TblCalculs[Mois],Y$33),IF(ca_mesure="RAM",SUMIFS(TblCalculs[RAM provisionnée],TblCalculs[Cluster],$B56,TblCalculs[Mois],Y$33),SUMIFS(TblCalculs[Workers],TblCalculs[Cluster],$B56,TblCalculs[Mois],Y$33))))</f>
        <v/>
      </c>
      <c r="Z56" s="58" t="str">
        <f aca="false">IF(OR($A56="",Z$33=""),"",IF(ca_mesure="CPU",SUMIFS(TblCalculs[CPU provisionné],TblCalculs[Cluster],$B56,TblCalculs[Mois],Z$33),IF(ca_mesure="RAM",SUMIFS(TblCalculs[RAM provisionnée],TblCalculs[Cluster],$B56,TblCalculs[Mois],Z$33),SUMIFS(TblCalculs[Workers],TblCalculs[Cluster],$B56,TblCalculs[Mois],Z$33))))</f>
        <v/>
      </c>
      <c r="AA56" s="58" t="str">
        <f aca="false">IF(OR($A56="",AA$33=""),"",IF(ca_mesure="CPU",SUMIFS(TblCalculs[CPU provisionné],TblCalculs[Cluster],$B56,TblCalculs[Mois],AA$33),IF(ca_mesure="RAM",SUMIFS(TblCalculs[RAM provisionnée],TblCalculs[Cluster],$B56,TblCalculs[Mois],AA$33),SUMIFS(TblCalculs[Workers],TblCalculs[Cluster],$B56,TblCalculs[Mois],AA$33))))</f>
        <v/>
      </c>
      <c r="AB56" s="58" t="str">
        <f aca="false">IF(OR($A56="",AB$33=""),"",IF(ca_mesure="CPU",SUMIFS(TblCalculs[CPU provisionné],TblCalculs[Cluster],$B56,TblCalculs[Mois],AB$33),IF(ca_mesure="RAM",SUMIFS(TblCalculs[RAM provisionnée],TblCalculs[Cluster],$B56,TblCalculs[Mois],AB$33),SUMIFS(TblCalculs[Workers],TblCalculs[Cluster],$B56,TblCalculs[Mois],AB$33))))</f>
        <v/>
      </c>
      <c r="AC56" s="58" t="str">
        <f aca="false">IF(OR($A56="",AC$33=""),"",IF(ca_mesure="CPU",SUMIFS(TblCalculs[CPU provisionné],TblCalculs[Cluster],$B56,TblCalculs[Mois],AC$33),IF(ca_mesure="RAM",SUMIFS(TblCalculs[RAM provisionnée],TblCalculs[Cluster],$B56,TblCalculs[Mois],AC$33),SUMIFS(TblCalculs[Workers],TblCalculs[Cluster],$B56,TblCalculs[Mois],AC$33))))</f>
        <v/>
      </c>
      <c r="AD56" s="58" t="str">
        <f aca="false">IF(OR($A56="",AD$33=""),"",IF(ca_mesure="CPU",SUMIFS(TblCalculs[CPU provisionné],TblCalculs[Cluster],$B56,TblCalculs[Mois],AD$33),IF(ca_mesure="RAM",SUMIFS(TblCalculs[RAM provisionnée],TblCalculs[Cluster],$B56,TblCalculs[Mois],AD$33),SUMIFS(TblCalculs[Workers],TblCalculs[Cluster],$B56,TblCalculs[Mois],AD$33))))</f>
        <v/>
      </c>
      <c r="AE56" s="58" t="str">
        <f aca="false">IF(OR($A56="",AE$33=""),"",IF(ca_mesure="CPU",SUMIFS(TblCalculs[CPU provisionné],TblCalculs[Cluster],$B56,TblCalculs[Mois],AE$33),IF(ca_mesure="RAM",SUMIFS(TblCalculs[RAM provisionnée],TblCalculs[Cluster],$B56,TblCalculs[Mois],AE$33),SUMIFS(TblCalculs[Workers],TblCalculs[Cluster],$B56,TblCalculs[Mois],AE$33))))</f>
        <v/>
      </c>
      <c r="AF56" s="58" t="str">
        <f aca="false">IF(OR($A56="",AF$33=""),"",IF(ca_mesure="CPU",SUMIFS(TblCalculs[CPU provisionné],TblCalculs[Cluster],$B56,TblCalculs[Mois],AF$33),IF(ca_mesure="RAM",SUMIFS(TblCalculs[RAM provisionnée],TblCalculs[Cluster],$B56,TblCalculs[Mois],AF$33),SUMIFS(TblCalculs[Workers],TblCalculs[Cluster],$B56,TblCalculs[Mois],AF$33))))</f>
        <v/>
      </c>
      <c r="AG56" s="58" t="str">
        <f aca="false">IF(OR($A56="",AG$33=""),"",IF(ca_mesure="CPU",SUMIFS(TblCalculs[CPU provisionné],TblCalculs[Cluster],$B56,TblCalculs[Mois],AG$33),IF(ca_mesure="RAM",SUMIFS(TblCalculs[RAM provisionnée],TblCalculs[Cluster],$B56,TblCalculs[Mois],AG$33),SUMIFS(TblCalculs[Workers],TblCalculs[Cluster],$B56,TblCalculs[Mois],AG$33))))</f>
        <v/>
      </c>
      <c r="AH56" s="58" t="str">
        <f aca="false">IF(OR($A56="",AH$33=""),"",IF(ca_mesure="CPU",SUMIFS(TblCalculs[CPU provisionné],TblCalculs[Cluster],$B56,TblCalculs[Mois],AH$33),IF(ca_mesure="RAM",SUMIFS(TblCalculs[RAM provisionnée],TblCalculs[Cluster],$B56,TblCalculs[Mois],AH$33),SUMIFS(TblCalculs[Workers],TblCalculs[Cluster],$B56,TblCalculs[Mois],AH$33))))</f>
        <v/>
      </c>
      <c r="AI56" s="58" t="str">
        <f aca="false">IF(OR($A56="",AI$33=""),"",IF(ca_mesure="CPU",SUMIFS(TblCalculs[CPU provisionné],TblCalculs[Cluster],$B56,TblCalculs[Mois],AI$33),IF(ca_mesure="RAM",SUMIFS(TblCalculs[RAM provisionnée],TblCalculs[Cluster],$B56,TblCalculs[Mois],AI$33),SUMIFS(TblCalculs[Workers],TblCalculs[Cluster],$B56,TblCalculs[Mois],AI$33))))</f>
        <v/>
      </c>
      <c r="AJ56" s="58" t="str">
        <f aca="false">IF(OR($A56="",AJ$33=""),"",IF(ca_mesure="CPU",SUMIFS(TblCalculs[CPU provisionné],TblCalculs[Cluster],$B56,TblCalculs[Mois],AJ$33),IF(ca_mesure="RAM",SUMIFS(TblCalculs[RAM provisionnée],TblCalculs[Cluster],$B56,TblCalculs[Mois],AJ$33),SUMIFS(TblCalculs[Workers],TblCalculs[Cluster],$B56,TblCalculs[Mois],AJ$33))))</f>
        <v/>
      </c>
      <c r="AK56" s="58" t="str">
        <f aca="false">IF(OR($A56="",AK$33=""),"",IF(ca_mesure="CPU",SUMIFS(TblCalculs[CPU provisionné],TblCalculs[Cluster],$B56,TblCalculs[Mois],AK$33),IF(ca_mesure="RAM",SUMIFS(TblCalculs[RAM provisionnée],TblCalculs[Cluster],$B56,TblCalculs[Mois],AK$33),SUMIFS(TblCalculs[Workers],TblCalculs[Cluster],$B56,TblCalculs[Mois],AK$33))))</f>
        <v/>
      </c>
      <c r="AL56" s="58" t="str">
        <f aca="false">IF(OR($A56="",AL$33=""),"",IF(ca_mesure="CPU",SUMIFS(TblCalculs[CPU provisionné],TblCalculs[Cluster],$B56,TblCalculs[Mois],AL$33),IF(ca_mesure="RAM",SUMIFS(TblCalculs[RAM provisionnée],TblCalculs[Cluster],$B56,TblCalculs[Mois],AL$33),SUMIFS(TblCalculs[Workers],TblCalculs[Cluster],$B56,TblCalculs[Mois],AL$33))))</f>
        <v/>
      </c>
      <c r="AM56" s="58" t="str">
        <f aca="false">IF(OR($A56="",AM$33=""),"",IF(ca_mesure="CPU",SUMIFS(TblCalculs[CPU provisionné],TblCalculs[Cluster],$B56,TblCalculs[Mois],AM$33),IF(ca_mesure="RAM",SUMIFS(TblCalculs[RAM provisionnée],TblCalculs[Cluster],$B56,TblCalculs[Mois],AM$33),SUMIFS(TblCalculs[Workers],TblCalculs[Cluster],$B56,TblCalculs[Mois],AM$33))))</f>
        <v/>
      </c>
      <c r="AN56" s="58" t="str">
        <f aca="false">IF(OR($A56="",AN$33=""),"",IF(ca_mesure="CPU",SUMIFS(TblCalculs[CPU provisionné],TblCalculs[Cluster],$B56,TblCalculs[Mois],AN$33),IF(ca_mesure="RAM",SUMIFS(TblCalculs[RAM provisionnée],TblCalculs[Cluster],$B56,TblCalculs[Mois],AN$33),SUMIFS(TblCalculs[Workers],TblCalculs[Cluster],$B56,TblCalculs[Mois],AN$33))))</f>
        <v/>
      </c>
      <c r="AO56" s="58" t="str">
        <f aca="false">IF(OR($A56="",AO$33=""),"",IF(ca_mesure="CPU",SUMIFS(TblCalculs[CPU provisionné],TblCalculs[Cluster],$B56,TblCalculs[Mois],AO$33),IF(ca_mesure="RAM",SUMIFS(TblCalculs[RAM provisionnée],TblCalculs[Cluster],$B56,TblCalculs[Mois],AO$33),SUMIFS(TblCalculs[Workers],TblCalculs[Cluster],$B56,TblCalculs[Mois],AO$33))))</f>
        <v/>
      </c>
    </row>
    <row r="57" customFormat="false" ht="15" hidden="false" customHeight="false" outlineLevel="0" collapsed="false">
      <c r="A57" s="49" t="str">
        <f aca="false">IFERROR(MATCH(24,TblClusters[Rang capacités],0),"")</f>
        <v/>
      </c>
      <c r="B57" s="57" t="str">
        <f aca="false">IF($A57="","",INDEX(TblClusters[Cluster],$A57))</f>
        <v/>
      </c>
      <c r="C57" s="50" t="str">
        <f aca="false">IF($A57="","",INDEX(TblClusters[Plateforme],$A57))</f>
        <v/>
      </c>
      <c r="D57" s="50" t="str">
        <f aca="false">IF($A57="","",INDEX(TblClusters[Environnement],$A57))</f>
        <v/>
      </c>
      <c r="E57" s="50" t="str">
        <f aca="false">IF($A57="","",INDEX(TblClusters[Flavor],$A57))</f>
        <v/>
      </c>
      <c r="F57" s="58" t="str">
        <f aca="false">IF(OR($A57="",F$33=""),"",IF(ca_mesure="CPU",SUMIFS(TblCalculs[CPU provisionné],TblCalculs[Cluster],$B57,TblCalculs[Mois],F$33),IF(ca_mesure="RAM",SUMIFS(TblCalculs[RAM provisionnée],TblCalculs[Cluster],$B57,TblCalculs[Mois],F$33),SUMIFS(TblCalculs[Workers],TblCalculs[Cluster],$B57,TblCalculs[Mois],F$33))))</f>
        <v/>
      </c>
      <c r="G57" s="58" t="str">
        <f aca="false">IF(OR($A57="",G$33=""),"",IF(ca_mesure="CPU",SUMIFS(TblCalculs[CPU provisionné],TblCalculs[Cluster],$B57,TblCalculs[Mois],G$33),IF(ca_mesure="RAM",SUMIFS(TblCalculs[RAM provisionnée],TblCalculs[Cluster],$B57,TblCalculs[Mois],G$33),SUMIFS(TblCalculs[Workers],TblCalculs[Cluster],$B57,TblCalculs[Mois],G$33))))</f>
        <v/>
      </c>
      <c r="H57" s="58" t="str">
        <f aca="false">IF(OR($A57="",H$33=""),"",IF(ca_mesure="CPU",SUMIFS(TblCalculs[CPU provisionné],TblCalculs[Cluster],$B57,TblCalculs[Mois],H$33),IF(ca_mesure="RAM",SUMIFS(TblCalculs[RAM provisionnée],TblCalculs[Cluster],$B57,TblCalculs[Mois],H$33),SUMIFS(TblCalculs[Workers],TblCalculs[Cluster],$B57,TblCalculs[Mois],H$33))))</f>
        <v/>
      </c>
      <c r="I57" s="58" t="str">
        <f aca="false">IF(OR($A57="",I$33=""),"",IF(ca_mesure="CPU",SUMIFS(TblCalculs[CPU provisionné],TblCalculs[Cluster],$B57,TblCalculs[Mois],I$33),IF(ca_mesure="RAM",SUMIFS(TblCalculs[RAM provisionnée],TblCalculs[Cluster],$B57,TblCalculs[Mois],I$33),SUMIFS(TblCalculs[Workers],TblCalculs[Cluster],$B57,TblCalculs[Mois],I$33))))</f>
        <v/>
      </c>
      <c r="J57" s="58" t="str">
        <f aca="false">IF(OR($A57="",J$33=""),"",IF(ca_mesure="CPU",SUMIFS(TblCalculs[CPU provisionné],TblCalculs[Cluster],$B57,TblCalculs[Mois],J$33),IF(ca_mesure="RAM",SUMIFS(TblCalculs[RAM provisionnée],TblCalculs[Cluster],$B57,TblCalculs[Mois],J$33),SUMIFS(TblCalculs[Workers],TblCalculs[Cluster],$B57,TblCalculs[Mois],J$33))))</f>
        <v/>
      </c>
      <c r="K57" s="58" t="str">
        <f aca="false">IF(OR($A57="",K$33=""),"",IF(ca_mesure="CPU",SUMIFS(TblCalculs[CPU provisionné],TblCalculs[Cluster],$B57,TblCalculs[Mois],K$33),IF(ca_mesure="RAM",SUMIFS(TblCalculs[RAM provisionnée],TblCalculs[Cluster],$B57,TblCalculs[Mois],K$33),SUMIFS(TblCalculs[Workers],TblCalculs[Cluster],$B57,TblCalculs[Mois],K$33))))</f>
        <v/>
      </c>
      <c r="L57" s="58" t="str">
        <f aca="false">IF(OR($A57="",L$33=""),"",IF(ca_mesure="CPU",SUMIFS(TblCalculs[CPU provisionné],TblCalculs[Cluster],$B57,TblCalculs[Mois],L$33),IF(ca_mesure="RAM",SUMIFS(TblCalculs[RAM provisionnée],TblCalculs[Cluster],$B57,TblCalculs[Mois],L$33),SUMIFS(TblCalculs[Workers],TblCalculs[Cluster],$B57,TblCalculs[Mois],L$33))))</f>
        <v/>
      </c>
      <c r="M57" s="58" t="str">
        <f aca="false">IF(OR($A57="",M$33=""),"",IF(ca_mesure="CPU",SUMIFS(TblCalculs[CPU provisionné],TblCalculs[Cluster],$B57,TblCalculs[Mois],M$33),IF(ca_mesure="RAM",SUMIFS(TblCalculs[RAM provisionnée],TblCalculs[Cluster],$B57,TblCalculs[Mois],M$33),SUMIFS(TblCalculs[Workers],TblCalculs[Cluster],$B57,TblCalculs[Mois],M$33))))</f>
        <v/>
      </c>
      <c r="N57" s="58" t="str">
        <f aca="false">IF(OR($A57="",N$33=""),"",IF(ca_mesure="CPU",SUMIFS(TblCalculs[CPU provisionné],TblCalculs[Cluster],$B57,TblCalculs[Mois],N$33),IF(ca_mesure="RAM",SUMIFS(TblCalculs[RAM provisionnée],TblCalculs[Cluster],$B57,TblCalculs[Mois],N$33),SUMIFS(TblCalculs[Workers],TblCalculs[Cluster],$B57,TblCalculs[Mois],N$33))))</f>
        <v/>
      </c>
      <c r="O57" s="58" t="str">
        <f aca="false">IF(OR($A57="",O$33=""),"",IF(ca_mesure="CPU",SUMIFS(TblCalculs[CPU provisionné],TblCalculs[Cluster],$B57,TblCalculs[Mois],O$33),IF(ca_mesure="RAM",SUMIFS(TblCalculs[RAM provisionnée],TblCalculs[Cluster],$B57,TblCalculs[Mois],O$33),SUMIFS(TblCalculs[Workers],TblCalculs[Cluster],$B57,TblCalculs[Mois],O$33))))</f>
        <v/>
      </c>
      <c r="P57" s="58" t="str">
        <f aca="false">IF(OR($A57="",P$33=""),"",IF(ca_mesure="CPU",SUMIFS(TblCalculs[CPU provisionné],TblCalculs[Cluster],$B57,TblCalculs[Mois],P$33),IF(ca_mesure="RAM",SUMIFS(TblCalculs[RAM provisionnée],TblCalculs[Cluster],$B57,TblCalculs[Mois],P$33),SUMIFS(TblCalculs[Workers],TblCalculs[Cluster],$B57,TblCalculs[Mois],P$33))))</f>
        <v/>
      </c>
      <c r="Q57" s="58" t="str">
        <f aca="false">IF(OR($A57="",Q$33=""),"",IF(ca_mesure="CPU",SUMIFS(TblCalculs[CPU provisionné],TblCalculs[Cluster],$B57,TblCalculs[Mois],Q$33),IF(ca_mesure="RAM",SUMIFS(TblCalculs[RAM provisionnée],TblCalculs[Cluster],$B57,TblCalculs[Mois],Q$33),SUMIFS(TblCalculs[Workers],TblCalculs[Cluster],$B57,TblCalculs[Mois],Q$33))))</f>
        <v/>
      </c>
      <c r="R57" s="58" t="str">
        <f aca="false">IF(OR($A57="",R$33=""),"",IF(ca_mesure="CPU",SUMIFS(TblCalculs[CPU provisionné],TblCalculs[Cluster],$B57,TblCalculs[Mois],R$33),IF(ca_mesure="RAM",SUMIFS(TblCalculs[RAM provisionnée],TblCalculs[Cluster],$B57,TblCalculs[Mois],R$33),SUMIFS(TblCalculs[Workers],TblCalculs[Cluster],$B57,TblCalculs[Mois],R$33))))</f>
        <v/>
      </c>
      <c r="S57" s="58" t="str">
        <f aca="false">IF(OR($A57="",S$33=""),"",IF(ca_mesure="CPU",SUMIFS(TblCalculs[CPU provisionné],TblCalculs[Cluster],$B57,TblCalculs[Mois],S$33),IF(ca_mesure="RAM",SUMIFS(TblCalculs[RAM provisionnée],TblCalculs[Cluster],$B57,TblCalculs[Mois],S$33),SUMIFS(TblCalculs[Workers],TblCalculs[Cluster],$B57,TblCalculs[Mois],S$33))))</f>
        <v/>
      </c>
      <c r="T57" s="58" t="str">
        <f aca="false">IF(OR($A57="",T$33=""),"",IF(ca_mesure="CPU",SUMIFS(TblCalculs[CPU provisionné],TblCalculs[Cluster],$B57,TblCalculs[Mois],T$33),IF(ca_mesure="RAM",SUMIFS(TblCalculs[RAM provisionnée],TblCalculs[Cluster],$B57,TblCalculs[Mois],T$33),SUMIFS(TblCalculs[Workers],TblCalculs[Cluster],$B57,TblCalculs[Mois],T$33))))</f>
        <v/>
      </c>
      <c r="U57" s="58" t="str">
        <f aca="false">IF(OR($A57="",U$33=""),"",IF(ca_mesure="CPU",SUMIFS(TblCalculs[CPU provisionné],TblCalculs[Cluster],$B57,TblCalculs[Mois],U$33),IF(ca_mesure="RAM",SUMIFS(TblCalculs[RAM provisionnée],TblCalculs[Cluster],$B57,TblCalculs[Mois],U$33),SUMIFS(TblCalculs[Workers],TblCalculs[Cluster],$B57,TblCalculs[Mois],U$33))))</f>
        <v/>
      </c>
      <c r="V57" s="58" t="str">
        <f aca="false">IF(OR($A57="",V$33=""),"",IF(ca_mesure="CPU",SUMIFS(TblCalculs[CPU provisionné],TblCalculs[Cluster],$B57,TblCalculs[Mois],V$33),IF(ca_mesure="RAM",SUMIFS(TblCalculs[RAM provisionnée],TblCalculs[Cluster],$B57,TblCalculs[Mois],V$33),SUMIFS(TblCalculs[Workers],TblCalculs[Cluster],$B57,TblCalculs[Mois],V$33))))</f>
        <v/>
      </c>
      <c r="W57" s="58" t="str">
        <f aca="false">IF(OR($A57="",W$33=""),"",IF(ca_mesure="CPU",SUMIFS(TblCalculs[CPU provisionné],TblCalculs[Cluster],$B57,TblCalculs[Mois],W$33),IF(ca_mesure="RAM",SUMIFS(TblCalculs[RAM provisionnée],TblCalculs[Cluster],$B57,TblCalculs[Mois],W$33),SUMIFS(TblCalculs[Workers],TblCalculs[Cluster],$B57,TblCalculs[Mois],W$33))))</f>
        <v/>
      </c>
      <c r="X57" s="58" t="str">
        <f aca="false">IF(OR($A57="",X$33=""),"",IF(ca_mesure="CPU",SUMIFS(TblCalculs[CPU provisionné],TblCalculs[Cluster],$B57,TblCalculs[Mois],X$33),IF(ca_mesure="RAM",SUMIFS(TblCalculs[RAM provisionnée],TblCalculs[Cluster],$B57,TblCalculs[Mois],X$33),SUMIFS(TblCalculs[Workers],TblCalculs[Cluster],$B57,TblCalculs[Mois],X$33))))</f>
        <v/>
      </c>
      <c r="Y57" s="58" t="str">
        <f aca="false">IF(OR($A57="",Y$33=""),"",IF(ca_mesure="CPU",SUMIFS(TblCalculs[CPU provisionné],TblCalculs[Cluster],$B57,TblCalculs[Mois],Y$33),IF(ca_mesure="RAM",SUMIFS(TblCalculs[RAM provisionnée],TblCalculs[Cluster],$B57,TblCalculs[Mois],Y$33),SUMIFS(TblCalculs[Workers],TblCalculs[Cluster],$B57,TblCalculs[Mois],Y$33))))</f>
        <v/>
      </c>
      <c r="Z57" s="58" t="str">
        <f aca="false">IF(OR($A57="",Z$33=""),"",IF(ca_mesure="CPU",SUMIFS(TblCalculs[CPU provisionné],TblCalculs[Cluster],$B57,TblCalculs[Mois],Z$33),IF(ca_mesure="RAM",SUMIFS(TblCalculs[RAM provisionnée],TblCalculs[Cluster],$B57,TblCalculs[Mois],Z$33),SUMIFS(TblCalculs[Workers],TblCalculs[Cluster],$B57,TblCalculs[Mois],Z$33))))</f>
        <v/>
      </c>
      <c r="AA57" s="58" t="str">
        <f aca="false">IF(OR($A57="",AA$33=""),"",IF(ca_mesure="CPU",SUMIFS(TblCalculs[CPU provisionné],TblCalculs[Cluster],$B57,TblCalculs[Mois],AA$33),IF(ca_mesure="RAM",SUMIFS(TblCalculs[RAM provisionnée],TblCalculs[Cluster],$B57,TblCalculs[Mois],AA$33),SUMIFS(TblCalculs[Workers],TblCalculs[Cluster],$B57,TblCalculs[Mois],AA$33))))</f>
        <v/>
      </c>
      <c r="AB57" s="58" t="str">
        <f aca="false">IF(OR($A57="",AB$33=""),"",IF(ca_mesure="CPU",SUMIFS(TblCalculs[CPU provisionné],TblCalculs[Cluster],$B57,TblCalculs[Mois],AB$33),IF(ca_mesure="RAM",SUMIFS(TblCalculs[RAM provisionnée],TblCalculs[Cluster],$B57,TblCalculs[Mois],AB$33),SUMIFS(TblCalculs[Workers],TblCalculs[Cluster],$B57,TblCalculs[Mois],AB$33))))</f>
        <v/>
      </c>
      <c r="AC57" s="58" t="str">
        <f aca="false">IF(OR($A57="",AC$33=""),"",IF(ca_mesure="CPU",SUMIFS(TblCalculs[CPU provisionné],TblCalculs[Cluster],$B57,TblCalculs[Mois],AC$33),IF(ca_mesure="RAM",SUMIFS(TblCalculs[RAM provisionnée],TblCalculs[Cluster],$B57,TblCalculs[Mois],AC$33),SUMIFS(TblCalculs[Workers],TblCalculs[Cluster],$B57,TblCalculs[Mois],AC$33))))</f>
        <v/>
      </c>
      <c r="AD57" s="58" t="str">
        <f aca="false">IF(OR($A57="",AD$33=""),"",IF(ca_mesure="CPU",SUMIFS(TblCalculs[CPU provisionné],TblCalculs[Cluster],$B57,TblCalculs[Mois],AD$33),IF(ca_mesure="RAM",SUMIFS(TblCalculs[RAM provisionnée],TblCalculs[Cluster],$B57,TblCalculs[Mois],AD$33),SUMIFS(TblCalculs[Workers],TblCalculs[Cluster],$B57,TblCalculs[Mois],AD$33))))</f>
        <v/>
      </c>
      <c r="AE57" s="58" t="str">
        <f aca="false">IF(OR($A57="",AE$33=""),"",IF(ca_mesure="CPU",SUMIFS(TblCalculs[CPU provisionné],TblCalculs[Cluster],$B57,TblCalculs[Mois],AE$33),IF(ca_mesure="RAM",SUMIFS(TblCalculs[RAM provisionnée],TblCalculs[Cluster],$B57,TblCalculs[Mois],AE$33),SUMIFS(TblCalculs[Workers],TblCalculs[Cluster],$B57,TblCalculs[Mois],AE$33))))</f>
        <v/>
      </c>
      <c r="AF57" s="58" t="str">
        <f aca="false">IF(OR($A57="",AF$33=""),"",IF(ca_mesure="CPU",SUMIFS(TblCalculs[CPU provisionné],TblCalculs[Cluster],$B57,TblCalculs[Mois],AF$33),IF(ca_mesure="RAM",SUMIFS(TblCalculs[RAM provisionnée],TblCalculs[Cluster],$B57,TblCalculs[Mois],AF$33),SUMIFS(TblCalculs[Workers],TblCalculs[Cluster],$B57,TblCalculs[Mois],AF$33))))</f>
        <v/>
      </c>
      <c r="AG57" s="58" t="str">
        <f aca="false">IF(OR($A57="",AG$33=""),"",IF(ca_mesure="CPU",SUMIFS(TblCalculs[CPU provisionné],TblCalculs[Cluster],$B57,TblCalculs[Mois],AG$33),IF(ca_mesure="RAM",SUMIFS(TblCalculs[RAM provisionnée],TblCalculs[Cluster],$B57,TblCalculs[Mois],AG$33),SUMIFS(TblCalculs[Workers],TblCalculs[Cluster],$B57,TblCalculs[Mois],AG$33))))</f>
        <v/>
      </c>
      <c r="AH57" s="58" t="str">
        <f aca="false">IF(OR($A57="",AH$33=""),"",IF(ca_mesure="CPU",SUMIFS(TblCalculs[CPU provisionné],TblCalculs[Cluster],$B57,TblCalculs[Mois],AH$33),IF(ca_mesure="RAM",SUMIFS(TblCalculs[RAM provisionnée],TblCalculs[Cluster],$B57,TblCalculs[Mois],AH$33),SUMIFS(TblCalculs[Workers],TblCalculs[Cluster],$B57,TblCalculs[Mois],AH$33))))</f>
        <v/>
      </c>
      <c r="AI57" s="58" t="str">
        <f aca="false">IF(OR($A57="",AI$33=""),"",IF(ca_mesure="CPU",SUMIFS(TblCalculs[CPU provisionné],TblCalculs[Cluster],$B57,TblCalculs[Mois],AI$33),IF(ca_mesure="RAM",SUMIFS(TblCalculs[RAM provisionnée],TblCalculs[Cluster],$B57,TblCalculs[Mois],AI$33),SUMIFS(TblCalculs[Workers],TblCalculs[Cluster],$B57,TblCalculs[Mois],AI$33))))</f>
        <v/>
      </c>
      <c r="AJ57" s="58" t="str">
        <f aca="false">IF(OR($A57="",AJ$33=""),"",IF(ca_mesure="CPU",SUMIFS(TblCalculs[CPU provisionné],TblCalculs[Cluster],$B57,TblCalculs[Mois],AJ$33),IF(ca_mesure="RAM",SUMIFS(TblCalculs[RAM provisionnée],TblCalculs[Cluster],$B57,TblCalculs[Mois],AJ$33),SUMIFS(TblCalculs[Workers],TblCalculs[Cluster],$B57,TblCalculs[Mois],AJ$33))))</f>
        <v/>
      </c>
      <c r="AK57" s="58" t="str">
        <f aca="false">IF(OR($A57="",AK$33=""),"",IF(ca_mesure="CPU",SUMIFS(TblCalculs[CPU provisionné],TblCalculs[Cluster],$B57,TblCalculs[Mois],AK$33),IF(ca_mesure="RAM",SUMIFS(TblCalculs[RAM provisionnée],TblCalculs[Cluster],$B57,TblCalculs[Mois],AK$33),SUMIFS(TblCalculs[Workers],TblCalculs[Cluster],$B57,TblCalculs[Mois],AK$33))))</f>
        <v/>
      </c>
      <c r="AL57" s="58" t="str">
        <f aca="false">IF(OR($A57="",AL$33=""),"",IF(ca_mesure="CPU",SUMIFS(TblCalculs[CPU provisionné],TblCalculs[Cluster],$B57,TblCalculs[Mois],AL$33),IF(ca_mesure="RAM",SUMIFS(TblCalculs[RAM provisionnée],TblCalculs[Cluster],$B57,TblCalculs[Mois],AL$33),SUMIFS(TblCalculs[Workers],TblCalculs[Cluster],$B57,TblCalculs[Mois],AL$33))))</f>
        <v/>
      </c>
      <c r="AM57" s="58" t="str">
        <f aca="false">IF(OR($A57="",AM$33=""),"",IF(ca_mesure="CPU",SUMIFS(TblCalculs[CPU provisionné],TblCalculs[Cluster],$B57,TblCalculs[Mois],AM$33),IF(ca_mesure="RAM",SUMIFS(TblCalculs[RAM provisionnée],TblCalculs[Cluster],$B57,TblCalculs[Mois],AM$33),SUMIFS(TblCalculs[Workers],TblCalculs[Cluster],$B57,TblCalculs[Mois],AM$33))))</f>
        <v/>
      </c>
      <c r="AN57" s="58" t="str">
        <f aca="false">IF(OR($A57="",AN$33=""),"",IF(ca_mesure="CPU",SUMIFS(TblCalculs[CPU provisionné],TblCalculs[Cluster],$B57,TblCalculs[Mois],AN$33),IF(ca_mesure="RAM",SUMIFS(TblCalculs[RAM provisionnée],TblCalculs[Cluster],$B57,TblCalculs[Mois],AN$33),SUMIFS(TblCalculs[Workers],TblCalculs[Cluster],$B57,TblCalculs[Mois],AN$33))))</f>
        <v/>
      </c>
      <c r="AO57" s="58" t="str">
        <f aca="false">IF(OR($A57="",AO$33=""),"",IF(ca_mesure="CPU",SUMIFS(TblCalculs[CPU provisionné],TblCalculs[Cluster],$B57,TblCalculs[Mois],AO$33),IF(ca_mesure="RAM",SUMIFS(TblCalculs[RAM provisionnée],TblCalculs[Cluster],$B57,TblCalculs[Mois],AO$33),SUMIFS(TblCalculs[Workers],TblCalculs[Cluster],$B57,TblCalculs[Mois],AO$33))))</f>
        <v/>
      </c>
    </row>
    <row r="58" customFormat="false" ht="15" hidden="false" customHeight="false" outlineLevel="0" collapsed="false">
      <c r="A58" s="49" t="str">
        <f aca="false">IFERROR(MATCH(25,TblClusters[Rang capacités],0),"")</f>
        <v/>
      </c>
      <c r="B58" s="57" t="str">
        <f aca="false">IF($A58="","",INDEX(TblClusters[Cluster],$A58))</f>
        <v/>
      </c>
      <c r="C58" s="50" t="str">
        <f aca="false">IF($A58="","",INDEX(TblClusters[Plateforme],$A58))</f>
        <v/>
      </c>
      <c r="D58" s="50" t="str">
        <f aca="false">IF($A58="","",INDEX(TblClusters[Environnement],$A58))</f>
        <v/>
      </c>
      <c r="E58" s="50" t="str">
        <f aca="false">IF($A58="","",INDEX(TblClusters[Flavor],$A58))</f>
        <v/>
      </c>
      <c r="F58" s="58" t="str">
        <f aca="false">IF(OR($A58="",F$33=""),"",IF(ca_mesure="CPU",SUMIFS(TblCalculs[CPU provisionné],TblCalculs[Cluster],$B58,TblCalculs[Mois],F$33),IF(ca_mesure="RAM",SUMIFS(TblCalculs[RAM provisionnée],TblCalculs[Cluster],$B58,TblCalculs[Mois],F$33),SUMIFS(TblCalculs[Workers],TblCalculs[Cluster],$B58,TblCalculs[Mois],F$33))))</f>
        <v/>
      </c>
      <c r="G58" s="58" t="str">
        <f aca="false">IF(OR($A58="",G$33=""),"",IF(ca_mesure="CPU",SUMIFS(TblCalculs[CPU provisionné],TblCalculs[Cluster],$B58,TblCalculs[Mois],G$33),IF(ca_mesure="RAM",SUMIFS(TblCalculs[RAM provisionnée],TblCalculs[Cluster],$B58,TblCalculs[Mois],G$33),SUMIFS(TblCalculs[Workers],TblCalculs[Cluster],$B58,TblCalculs[Mois],G$33))))</f>
        <v/>
      </c>
      <c r="H58" s="58" t="str">
        <f aca="false">IF(OR($A58="",H$33=""),"",IF(ca_mesure="CPU",SUMIFS(TblCalculs[CPU provisionné],TblCalculs[Cluster],$B58,TblCalculs[Mois],H$33),IF(ca_mesure="RAM",SUMIFS(TblCalculs[RAM provisionnée],TblCalculs[Cluster],$B58,TblCalculs[Mois],H$33),SUMIFS(TblCalculs[Workers],TblCalculs[Cluster],$B58,TblCalculs[Mois],H$33))))</f>
        <v/>
      </c>
      <c r="I58" s="58" t="str">
        <f aca="false">IF(OR($A58="",I$33=""),"",IF(ca_mesure="CPU",SUMIFS(TblCalculs[CPU provisionné],TblCalculs[Cluster],$B58,TblCalculs[Mois],I$33),IF(ca_mesure="RAM",SUMIFS(TblCalculs[RAM provisionnée],TblCalculs[Cluster],$B58,TblCalculs[Mois],I$33),SUMIFS(TblCalculs[Workers],TblCalculs[Cluster],$B58,TblCalculs[Mois],I$33))))</f>
        <v/>
      </c>
      <c r="J58" s="58" t="str">
        <f aca="false">IF(OR($A58="",J$33=""),"",IF(ca_mesure="CPU",SUMIFS(TblCalculs[CPU provisionné],TblCalculs[Cluster],$B58,TblCalculs[Mois],J$33),IF(ca_mesure="RAM",SUMIFS(TblCalculs[RAM provisionnée],TblCalculs[Cluster],$B58,TblCalculs[Mois],J$33),SUMIFS(TblCalculs[Workers],TblCalculs[Cluster],$B58,TblCalculs[Mois],J$33))))</f>
        <v/>
      </c>
      <c r="K58" s="58" t="str">
        <f aca="false">IF(OR($A58="",K$33=""),"",IF(ca_mesure="CPU",SUMIFS(TblCalculs[CPU provisionné],TblCalculs[Cluster],$B58,TblCalculs[Mois],K$33),IF(ca_mesure="RAM",SUMIFS(TblCalculs[RAM provisionnée],TblCalculs[Cluster],$B58,TblCalculs[Mois],K$33),SUMIFS(TblCalculs[Workers],TblCalculs[Cluster],$B58,TblCalculs[Mois],K$33))))</f>
        <v/>
      </c>
      <c r="L58" s="58" t="str">
        <f aca="false">IF(OR($A58="",L$33=""),"",IF(ca_mesure="CPU",SUMIFS(TblCalculs[CPU provisionné],TblCalculs[Cluster],$B58,TblCalculs[Mois],L$33),IF(ca_mesure="RAM",SUMIFS(TblCalculs[RAM provisionnée],TblCalculs[Cluster],$B58,TblCalculs[Mois],L$33),SUMIFS(TblCalculs[Workers],TblCalculs[Cluster],$B58,TblCalculs[Mois],L$33))))</f>
        <v/>
      </c>
      <c r="M58" s="58" t="str">
        <f aca="false">IF(OR($A58="",M$33=""),"",IF(ca_mesure="CPU",SUMIFS(TblCalculs[CPU provisionné],TblCalculs[Cluster],$B58,TblCalculs[Mois],M$33),IF(ca_mesure="RAM",SUMIFS(TblCalculs[RAM provisionnée],TblCalculs[Cluster],$B58,TblCalculs[Mois],M$33),SUMIFS(TblCalculs[Workers],TblCalculs[Cluster],$B58,TblCalculs[Mois],M$33))))</f>
        <v/>
      </c>
      <c r="N58" s="58" t="str">
        <f aca="false">IF(OR($A58="",N$33=""),"",IF(ca_mesure="CPU",SUMIFS(TblCalculs[CPU provisionné],TblCalculs[Cluster],$B58,TblCalculs[Mois],N$33),IF(ca_mesure="RAM",SUMIFS(TblCalculs[RAM provisionnée],TblCalculs[Cluster],$B58,TblCalculs[Mois],N$33),SUMIFS(TblCalculs[Workers],TblCalculs[Cluster],$B58,TblCalculs[Mois],N$33))))</f>
        <v/>
      </c>
      <c r="O58" s="58" t="str">
        <f aca="false">IF(OR($A58="",O$33=""),"",IF(ca_mesure="CPU",SUMIFS(TblCalculs[CPU provisionné],TblCalculs[Cluster],$B58,TblCalculs[Mois],O$33),IF(ca_mesure="RAM",SUMIFS(TblCalculs[RAM provisionnée],TblCalculs[Cluster],$B58,TblCalculs[Mois],O$33),SUMIFS(TblCalculs[Workers],TblCalculs[Cluster],$B58,TblCalculs[Mois],O$33))))</f>
        <v/>
      </c>
      <c r="P58" s="58" t="str">
        <f aca="false">IF(OR($A58="",P$33=""),"",IF(ca_mesure="CPU",SUMIFS(TblCalculs[CPU provisionné],TblCalculs[Cluster],$B58,TblCalculs[Mois],P$33),IF(ca_mesure="RAM",SUMIFS(TblCalculs[RAM provisionnée],TblCalculs[Cluster],$B58,TblCalculs[Mois],P$33),SUMIFS(TblCalculs[Workers],TblCalculs[Cluster],$B58,TblCalculs[Mois],P$33))))</f>
        <v/>
      </c>
      <c r="Q58" s="58" t="str">
        <f aca="false">IF(OR($A58="",Q$33=""),"",IF(ca_mesure="CPU",SUMIFS(TblCalculs[CPU provisionné],TblCalculs[Cluster],$B58,TblCalculs[Mois],Q$33),IF(ca_mesure="RAM",SUMIFS(TblCalculs[RAM provisionnée],TblCalculs[Cluster],$B58,TblCalculs[Mois],Q$33),SUMIFS(TblCalculs[Workers],TblCalculs[Cluster],$B58,TblCalculs[Mois],Q$33))))</f>
        <v/>
      </c>
      <c r="R58" s="58" t="str">
        <f aca="false">IF(OR($A58="",R$33=""),"",IF(ca_mesure="CPU",SUMIFS(TblCalculs[CPU provisionné],TblCalculs[Cluster],$B58,TblCalculs[Mois],R$33),IF(ca_mesure="RAM",SUMIFS(TblCalculs[RAM provisionnée],TblCalculs[Cluster],$B58,TblCalculs[Mois],R$33),SUMIFS(TblCalculs[Workers],TblCalculs[Cluster],$B58,TblCalculs[Mois],R$33))))</f>
        <v/>
      </c>
      <c r="S58" s="58" t="str">
        <f aca="false">IF(OR($A58="",S$33=""),"",IF(ca_mesure="CPU",SUMIFS(TblCalculs[CPU provisionné],TblCalculs[Cluster],$B58,TblCalculs[Mois],S$33),IF(ca_mesure="RAM",SUMIFS(TblCalculs[RAM provisionnée],TblCalculs[Cluster],$B58,TblCalculs[Mois],S$33),SUMIFS(TblCalculs[Workers],TblCalculs[Cluster],$B58,TblCalculs[Mois],S$33))))</f>
        <v/>
      </c>
      <c r="T58" s="58" t="str">
        <f aca="false">IF(OR($A58="",T$33=""),"",IF(ca_mesure="CPU",SUMIFS(TblCalculs[CPU provisionné],TblCalculs[Cluster],$B58,TblCalculs[Mois],T$33),IF(ca_mesure="RAM",SUMIFS(TblCalculs[RAM provisionnée],TblCalculs[Cluster],$B58,TblCalculs[Mois],T$33),SUMIFS(TblCalculs[Workers],TblCalculs[Cluster],$B58,TblCalculs[Mois],T$33))))</f>
        <v/>
      </c>
      <c r="U58" s="58" t="str">
        <f aca="false">IF(OR($A58="",U$33=""),"",IF(ca_mesure="CPU",SUMIFS(TblCalculs[CPU provisionné],TblCalculs[Cluster],$B58,TblCalculs[Mois],U$33),IF(ca_mesure="RAM",SUMIFS(TblCalculs[RAM provisionnée],TblCalculs[Cluster],$B58,TblCalculs[Mois],U$33),SUMIFS(TblCalculs[Workers],TblCalculs[Cluster],$B58,TblCalculs[Mois],U$33))))</f>
        <v/>
      </c>
      <c r="V58" s="58" t="str">
        <f aca="false">IF(OR($A58="",V$33=""),"",IF(ca_mesure="CPU",SUMIFS(TblCalculs[CPU provisionné],TblCalculs[Cluster],$B58,TblCalculs[Mois],V$33),IF(ca_mesure="RAM",SUMIFS(TblCalculs[RAM provisionnée],TblCalculs[Cluster],$B58,TblCalculs[Mois],V$33),SUMIFS(TblCalculs[Workers],TblCalculs[Cluster],$B58,TblCalculs[Mois],V$33))))</f>
        <v/>
      </c>
      <c r="W58" s="58" t="str">
        <f aca="false">IF(OR($A58="",W$33=""),"",IF(ca_mesure="CPU",SUMIFS(TblCalculs[CPU provisionné],TblCalculs[Cluster],$B58,TblCalculs[Mois],W$33),IF(ca_mesure="RAM",SUMIFS(TblCalculs[RAM provisionnée],TblCalculs[Cluster],$B58,TblCalculs[Mois],W$33),SUMIFS(TblCalculs[Workers],TblCalculs[Cluster],$B58,TblCalculs[Mois],W$33))))</f>
        <v/>
      </c>
      <c r="X58" s="58" t="str">
        <f aca="false">IF(OR($A58="",X$33=""),"",IF(ca_mesure="CPU",SUMIFS(TblCalculs[CPU provisionné],TblCalculs[Cluster],$B58,TblCalculs[Mois],X$33),IF(ca_mesure="RAM",SUMIFS(TblCalculs[RAM provisionnée],TblCalculs[Cluster],$B58,TblCalculs[Mois],X$33),SUMIFS(TblCalculs[Workers],TblCalculs[Cluster],$B58,TblCalculs[Mois],X$33))))</f>
        <v/>
      </c>
      <c r="Y58" s="58" t="str">
        <f aca="false">IF(OR($A58="",Y$33=""),"",IF(ca_mesure="CPU",SUMIFS(TblCalculs[CPU provisionné],TblCalculs[Cluster],$B58,TblCalculs[Mois],Y$33),IF(ca_mesure="RAM",SUMIFS(TblCalculs[RAM provisionnée],TblCalculs[Cluster],$B58,TblCalculs[Mois],Y$33),SUMIFS(TblCalculs[Workers],TblCalculs[Cluster],$B58,TblCalculs[Mois],Y$33))))</f>
        <v/>
      </c>
      <c r="Z58" s="58" t="str">
        <f aca="false">IF(OR($A58="",Z$33=""),"",IF(ca_mesure="CPU",SUMIFS(TblCalculs[CPU provisionné],TblCalculs[Cluster],$B58,TblCalculs[Mois],Z$33),IF(ca_mesure="RAM",SUMIFS(TblCalculs[RAM provisionnée],TblCalculs[Cluster],$B58,TblCalculs[Mois],Z$33),SUMIFS(TblCalculs[Workers],TblCalculs[Cluster],$B58,TblCalculs[Mois],Z$33))))</f>
        <v/>
      </c>
      <c r="AA58" s="58" t="str">
        <f aca="false">IF(OR($A58="",AA$33=""),"",IF(ca_mesure="CPU",SUMIFS(TblCalculs[CPU provisionné],TblCalculs[Cluster],$B58,TblCalculs[Mois],AA$33),IF(ca_mesure="RAM",SUMIFS(TblCalculs[RAM provisionnée],TblCalculs[Cluster],$B58,TblCalculs[Mois],AA$33),SUMIFS(TblCalculs[Workers],TblCalculs[Cluster],$B58,TblCalculs[Mois],AA$33))))</f>
        <v/>
      </c>
      <c r="AB58" s="58" t="str">
        <f aca="false">IF(OR($A58="",AB$33=""),"",IF(ca_mesure="CPU",SUMIFS(TblCalculs[CPU provisionné],TblCalculs[Cluster],$B58,TblCalculs[Mois],AB$33),IF(ca_mesure="RAM",SUMIFS(TblCalculs[RAM provisionnée],TblCalculs[Cluster],$B58,TblCalculs[Mois],AB$33),SUMIFS(TblCalculs[Workers],TblCalculs[Cluster],$B58,TblCalculs[Mois],AB$33))))</f>
        <v/>
      </c>
      <c r="AC58" s="58" t="str">
        <f aca="false">IF(OR($A58="",AC$33=""),"",IF(ca_mesure="CPU",SUMIFS(TblCalculs[CPU provisionné],TblCalculs[Cluster],$B58,TblCalculs[Mois],AC$33),IF(ca_mesure="RAM",SUMIFS(TblCalculs[RAM provisionnée],TblCalculs[Cluster],$B58,TblCalculs[Mois],AC$33),SUMIFS(TblCalculs[Workers],TblCalculs[Cluster],$B58,TblCalculs[Mois],AC$33))))</f>
        <v/>
      </c>
      <c r="AD58" s="58" t="str">
        <f aca="false">IF(OR($A58="",AD$33=""),"",IF(ca_mesure="CPU",SUMIFS(TblCalculs[CPU provisionné],TblCalculs[Cluster],$B58,TblCalculs[Mois],AD$33),IF(ca_mesure="RAM",SUMIFS(TblCalculs[RAM provisionnée],TblCalculs[Cluster],$B58,TblCalculs[Mois],AD$33),SUMIFS(TblCalculs[Workers],TblCalculs[Cluster],$B58,TblCalculs[Mois],AD$33))))</f>
        <v/>
      </c>
      <c r="AE58" s="58" t="str">
        <f aca="false">IF(OR($A58="",AE$33=""),"",IF(ca_mesure="CPU",SUMIFS(TblCalculs[CPU provisionné],TblCalculs[Cluster],$B58,TblCalculs[Mois],AE$33),IF(ca_mesure="RAM",SUMIFS(TblCalculs[RAM provisionnée],TblCalculs[Cluster],$B58,TblCalculs[Mois],AE$33),SUMIFS(TblCalculs[Workers],TblCalculs[Cluster],$B58,TblCalculs[Mois],AE$33))))</f>
        <v/>
      </c>
      <c r="AF58" s="58" t="str">
        <f aca="false">IF(OR($A58="",AF$33=""),"",IF(ca_mesure="CPU",SUMIFS(TblCalculs[CPU provisionné],TblCalculs[Cluster],$B58,TblCalculs[Mois],AF$33),IF(ca_mesure="RAM",SUMIFS(TblCalculs[RAM provisionnée],TblCalculs[Cluster],$B58,TblCalculs[Mois],AF$33),SUMIFS(TblCalculs[Workers],TblCalculs[Cluster],$B58,TblCalculs[Mois],AF$33))))</f>
        <v/>
      </c>
      <c r="AG58" s="58" t="str">
        <f aca="false">IF(OR($A58="",AG$33=""),"",IF(ca_mesure="CPU",SUMIFS(TblCalculs[CPU provisionné],TblCalculs[Cluster],$B58,TblCalculs[Mois],AG$33),IF(ca_mesure="RAM",SUMIFS(TblCalculs[RAM provisionnée],TblCalculs[Cluster],$B58,TblCalculs[Mois],AG$33),SUMIFS(TblCalculs[Workers],TblCalculs[Cluster],$B58,TblCalculs[Mois],AG$33))))</f>
        <v/>
      </c>
      <c r="AH58" s="58" t="str">
        <f aca="false">IF(OR($A58="",AH$33=""),"",IF(ca_mesure="CPU",SUMIFS(TblCalculs[CPU provisionné],TblCalculs[Cluster],$B58,TblCalculs[Mois],AH$33),IF(ca_mesure="RAM",SUMIFS(TblCalculs[RAM provisionnée],TblCalculs[Cluster],$B58,TblCalculs[Mois],AH$33),SUMIFS(TblCalculs[Workers],TblCalculs[Cluster],$B58,TblCalculs[Mois],AH$33))))</f>
        <v/>
      </c>
      <c r="AI58" s="58" t="str">
        <f aca="false">IF(OR($A58="",AI$33=""),"",IF(ca_mesure="CPU",SUMIFS(TblCalculs[CPU provisionné],TblCalculs[Cluster],$B58,TblCalculs[Mois],AI$33),IF(ca_mesure="RAM",SUMIFS(TblCalculs[RAM provisionnée],TblCalculs[Cluster],$B58,TblCalculs[Mois],AI$33),SUMIFS(TblCalculs[Workers],TblCalculs[Cluster],$B58,TblCalculs[Mois],AI$33))))</f>
        <v/>
      </c>
      <c r="AJ58" s="58" t="str">
        <f aca="false">IF(OR($A58="",AJ$33=""),"",IF(ca_mesure="CPU",SUMIFS(TblCalculs[CPU provisionné],TblCalculs[Cluster],$B58,TblCalculs[Mois],AJ$33),IF(ca_mesure="RAM",SUMIFS(TblCalculs[RAM provisionnée],TblCalculs[Cluster],$B58,TblCalculs[Mois],AJ$33),SUMIFS(TblCalculs[Workers],TblCalculs[Cluster],$B58,TblCalculs[Mois],AJ$33))))</f>
        <v/>
      </c>
      <c r="AK58" s="58" t="str">
        <f aca="false">IF(OR($A58="",AK$33=""),"",IF(ca_mesure="CPU",SUMIFS(TblCalculs[CPU provisionné],TblCalculs[Cluster],$B58,TblCalculs[Mois],AK$33),IF(ca_mesure="RAM",SUMIFS(TblCalculs[RAM provisionnée],TblCalculs[Cluster],$B58,TblCalculs[Mois],AK$33),SUMIFS(TblCalculs[Workers],TblCalculs[Cluster],$B58,TblCalculs[Mois],AK$33))))</f>
        <v/>
      </c>
      <c r="AL58" s="58" t="str">
        <f aca="false">IF(OR($A58="",AL$33=""),"",IF(ca_mesure="CPU",SUMIFS(TblCalculs[CPU provisionné],TblCalculs[Cluster],$B58,TblCalculs[Mois],AL$33),IF(ca_mesure="RAM",SUMIFS(TblCalculs[RAM provisionnée],TblCalculs[Cluster],$B58,TblCalculs[Mois],AL$33),SUMIFS(TblCalculs[Workers],TblCalculs[Cluster],$B58,TblCalculs[Mois],AL$33))))</f>
        <v/>
      </c>
      <c r="AM58" s="58" t="str">
        <f aca="false">IF(OR($A58="",AM$33=""),"",IF(ca_mesure="CPU",SUMIFS(TblCalculs[CPU provisionné],TblCalculs[Cluster],$B58,TblCalculs[Mois],AM$33),IF(ca_mesure="RAM",SUMIFS(TblCalculs[RAM provisionnée],TblCalculs[Cluster],$B58,TblCalculs[Mois],AM$33),SUMIFS(TblCalculs[Workers],TblCalculs[Cluster],$B58,TblCalculs[Mois],AM$33))))</f>
        <v/>
      </c>
      <c r="AN58" s="58" t="str">
        <f aca="false">IF(OR($A58="",AN$33=""),"",IF(ca_mesure="CPU",SUMIFS(TblCalculs[CPU provisionné],TblCalculs[Cluster],$B58,TblCalculs[Mois],AN$33),IF(ca_mesure="RAM",SUMIFS(TblCalculs[RAM provisionnée],TblCalculs[Cluster],$B58,TblCalculs[Mois],AN$33),SUMIFS(TblCalculs[Workers],TblCalculs[Cluster],$B58,TblCalculs[Mois],AN$33))))</f>
        <v/>
      </c>
      <c r="AO58" s="58" t="str">
        <f aca="false">IF(OR($A58="",AO$33=""),"",IF(ca_mesure="CPU",SUMIFS(TblCalculs[CPU provisionné],TblCalculs[Cluster],$B58,TblCalculs[Mois],AO$33),IF(ca_mesure="RAM",SUMIFS(TblCalculs[RAM provisionnée],TblCalculs[Cluster],$B58,TblCalculs[Mois],AO$33),SUMIFS(TblCalculs[Workers],TblCalculs[Cluster],$B58,TblCalculs[Mois],AO$33))))</f>
        <v/>
      </c>
    </row>
    <row r="59" customFormat="false" ht="15" hidden="false" customHeight="false" outlineLevel="0" collapsed="false">
      <c r="A59" s="49" t="str">
        <f aca="false">IFERROR(MATCH(26,TblClusters[Rang capacités],0),"")</f>
        <v/>
      </c>
      <c r="B59" s="57" t="str">
        <f aca="false">IF($A59="","",INDEX(TblClusters[Cluster],$A59))</f>
        <v/>
      </c>
      <c r="C59" s="50" t="str">
        <f aca="false">IF($A59="","",INDEX(TblClusters[Plateforme],$A59))</f>
        <v/>
      </c>
      <c r="D59" s="50" t="str">
        <f aca="false">IF($A59="","",INDEX(TblClusters[Environnement],$A59))</f>
        <v/>
      </c>
      <c r="E59" s="50" t="str">
        <f aca="false">IF($A59="","",INDEX(TblClusters[Flavor],$A59))</f>
        <v/>
      </c>
      <c r="F59" s="58" t="str">
        <f aca="false">IF(OR($A59="",F$33=""),"",IF(ca_mesure="CPU",SUMIFS(TblCalculs[CPU provisionné],TblCalculs[Cluster],$B59,TblCalculs[Mois],F$33),IF(ca_mesure="RAM",SUMIFS(TblCalculs[RAM provisionnée],TblCalculs[Cluster],$B59,TblCalculs[Mois],F$33),SUMIFS(TblCalculs[Workers],TblCalculs[Cluster],$B59,TblCalculs[Mois],F$33))))</f>
        <v/>
      </c>
      <c r="G59" s="58" t="str">
        <f aca="false">IF(OR($A59="",G$33=""),"",IF(ca_mesure="CPU",SUMIFS(TblCalculs[CPU provisionné],TblCalculs[Cluster],$B59,TblCalculs[Mois],G$33),IF(ca_mesure="RAM",SUMIFS(TblCalculs[RAM provisionnée],TblCalculs[Cluster],$B59,TblCalculs[Mois],G$33),SUMIFS(TblCalculs[Workers],TblCalculs[Cluster],$B59,TblCalculs[Mois],G$33))))</f>
        <v/>
      </c>
      <c r="H59" s="58" t="str">
        <f aca="false">IF(OR($A59="",H$33=""),"",IF(ca_mesure="CPU",SUMIFS(TblCalculs[CPU provisionné],TblCalculs[Cluster],$B59,TblCalculs[Mois],H$33),IF(ca_mesure="RAM",SUMIFS(TblCalculs[RAM provisionnée],TblCalculs[Cluster],$B59,TblCalculs[Mois],H$33),SUMIFS(TblCalculs[Workers],TblCalculs[Cluster],$B59,TblCalculs[Mois],H$33))))</f>
        <v/>
      </c>
      <c r="I59" s="58" t="str">
        <f aca="false">IF(OR($A59="",I$33=""),"",IF(ca_mesure="CPU",SUMIFS(TblCalculs[CPU provisionné],TblCalculs[Cluster],$B59,TblCalculs[Mois],I$33),IF(ca_mesure="RAM",SUMIFS(TblCalculs[RAM provisionnée],TblCalculs[Cluster],$B59,TblCalculs[Mois],I$33),SUMIFS(TblCalculs[Workers],TblCalculs[Cluster],$B59,TblCalculs[Mois],I$33))))</f>
        <v/>
      </c>
      <c r="J59" s="58" t="str">
        <f aca="false">IF(OR($A59="",J$33=""),"",IF(ca_mesure="CPU",SUMIFS(TblCalculs[CPU provisionné],TblCalculs[Cluster],$B59,TblCalculs[Mois],J$33),IF(ca_mesure="RAM",SUMIFS(TblCalculs[RAM provisionnée],TblCalculs[Cluster],$B59,TblCalculs[Mois],J$33),SUMIFS(TblCalculs[Workers],TblCalculs[Cluster],$B59,TblCalculs[Mois],J$33))))</f>
        <v/>
      </c>
      <c r="K59" s="58" t="str">
        <f aca="false">IF(OR($A59="",K$33=""),"",IF(ca_mesure="CPU",SUMIFS(TblCalculs[CPU provisionné],TblCalculs[Cluster],$B59,TblCalculs[Mois],K$33),IF(ca_mesure="RAM",SUMIFS(TblCalculs[RAM provisionnée],TblCalculs[Cluster],$B59,TblCalculs[Mois],K$33),SUMIFS(TblCalculs[Workers],TblCalculs[Cluster],$B59,TblCalculs[Mois],K$33))))</f>
        <v/>
      </c>
      <c r="L59" s="58" t="str">
        <f aca="false">IF(OR($A59="",L$33=""),"",IF(ca_mesure="CPU",SUMIFS(TblCalculs[CPU provisionné],TblCalculs[Cluster],$B59,TblCalculs[Mois],L$33),IF(ca_mesure="RAM",SUMIFS(TblCalculs[RAM provisionnée],TblCalculs[Cluster],$B59,TblCalculs[Mois],L$33),SUMIFS(TblCalculs[Workers],TblCalculs[Cluster],$B59,TblCalculs[Mois],L$33))))</f>
        <v/>
      </c>
      <c r="M59" s="58" t="str">
        <f aca="false">IF(OR($A59="",M$33=""),"",IF(ca_mesure="CPU",SUMIFS(TblCalculs[CPU provisionné],TblCalculs[Cluster],$B59,TblCalculs[Mois],M$33),IF(ca_mesure="RAM",SUMIFS(TblCalculs[RAM provisionnée],TblCalculs[Cluster],$B59,TblCalculs[Mois],M$33),SUMIFS(TblCalculs[Workers],TblCalculs[Cluster],$B59,TblCalculs[Mois],M$33))))</f>
        <v/>
      </c>
      <c r="N59" s="58" t="str">
        <f aca="false">IF(OR($A59="",N$33=""),"",IF(ca_mesure="CPU",SUMIFS(TblCalculs[CPU provisionné],TblCalculs[Cluster],$B59,TblCalculs[Mois],N$33),IF(ca_mesure="RAM",SUMIFS(TblCalculs[RAM provisionnée],TblCalculs[Cluster],$B59,TblCalculs[Mois],N$33),SUMIFS(TblCalculs[Workers],TblCalculs[Cluster],$B59,TblCalculs[Mois],N$33))))</f>
        <v/>
      </c>
      <c r="O59" s="58" t="str">
        <f aca="false">IF(OR($A59="",O$33=""),"",IF(ca_mesure="CPU",SUMIFS(TblCalculs[CPU provisionné],TblCalculs[Cluster],$B59,TblCalculs[Mois],O$33),IF(ca_mesure="RAM",SUMIFS(TblCalculs[RAM provisionnée],TblCalculs[Cluster],$B59,TblCalculs[Mois],O$33),SUMIFS(TblCalculs[Workers],TblCalculs[Cluster],$B59,TblCalculs[Mois],O$33))))</f>
        <v/>
      </c>
      <c r="P59" s="58" t="str">
        <f aca="false">IF(OR($A59="",P$33=""),"",IF(ca_mesure="CPU",SUMIFS(TblCalculs[CPU provisionné],TblCalculs[Cluster],$B59,TblCalculs[Mois],P$33),IF(ca_mesure="RAM",SUMIFS(TblCalculs[RAM provisionnée],TblCalculs[Cluster],$B59,TblCalculs[Mois],P$33),SUMIFS(TblCalculs[Workers],TblCalculs[Cluster],$B59,TblCalculs[Mois],P$33))))</f>
        <v/>
      </c>
      <c r="Q59" s="58" t="str">
        <f aca="false">IF(OR($A59="",Q$33=""),"",IF(ca_mesure="CPU",SUMIFS(TblCalculs[CPU provisionné],TblCalculs[Cluster],$B59,TblCalculs[Mois],Q$33),IF(ca_mesure="RAM",SUMIFS(TblCalculs[RAM provisionnée],TblCalculs[Cluster],$B59,TblCalculs[Mois],Q$33),SUMIFS(TblCalculs[Workers],TblCalculs[Cluster],$B59,TblCalculs[Mois],Q$33))))</f>
        <v/>
      </c>
      <c r="R59" s="58" t="str">
        <f aca="false">IF(OR($A59="",R$33=""),"",IF(ca_mesure="CPU",SUMIFS(TblCalculs[CPU provisionné],TblCalculs[Cluster],$B59,TblCalculs[Mois],R$33),IF(ca_mesure="RAM",SUMIFS(TblCalculs[RAM provisionnée],TblCalculs[Cluster],$B59,TblCalculs[Mois],R$33),SUMIFS(TblCalculs[Workers],TblCalculs[Cluster],$B59,TblCalculs[Mois],R$33))))</f>
        <v/>
      </c>
      <c r="S59" s="58" t="str">
        <f aca="false">IF(OR($A59="",S$33=""),"",IF(ca_mesure="CPU",SUMIFS(TblCalculs[CPU provisionné],TblCalculs[Cluster],$B59,TblCalculs[Mois],S$33),IF(ca_mesure="RAM",SUMIFS(TblCalculs[RAM provisionnée],TblCalculs[Cluster],$B59,TblCalculs[Mois],S$33),SUMIFS(TblCalculs[Workers],TblCalculs[Cluster],$B59,TblCalculs[Mois],S$33))))</f>
        <v/>
      </c>
      <c r="T59" s="58" t="str">
        <f aca="false">IF(OR($A59="",T$33=""),"",IF(ca_mesure="CPU",SUMIFS(TblCalculs[CPU provisionné],TblCalculs[Cluster],$B59,TblCalculs[Mois],T$33),IF(ca_mesure="RAM",SUMIFS(TblCalculs[RAM provisionnée],TblCalculs[Cluster],$B59,TblCalculs[Mois],T$33),SUMIFS(TblCalculs[Workers],TblCalculs[Cluster],$B59,TblCalculs[Mois],T$33))))</f>
        <v/>
      </c>
      <c r="U59" s="58" t="str">
        <f aca="false">IF(OR($A59="",U$33=""),"",IF(ca_mesure="CPU",SUMIFS(TblCalculs[CPU provisionné],TblCalculs[Cluster],$B59,TblCalculs[Mois],U$33),IF(ca_mesure="RAM",SUMIFS(TblCalculs[RAM provisionnée],TblCalculs[Cluster],$B59,TblCalculs[Mois],U$33),SUMIFS(TblCalculs[Workers],TblCalculs[Cluster],$B59,TblCalculs[Mois],U$33))))</f>
        <v/>
      </c>
      <c r="V59" s="58" t="str">
        <f aca="false">IF(OR($A59="",V$33=""),"",IF(ca_mesure="CPU",SUMIFS(TblCalculs[CPU provisionné],TblCalculs[Cluster],$B59,TblCalculs[Mois],V$33),IF(ca_mesure="RAM",SUMIFS(TblCalculs[RAM provisionnée],TblCalculs[Cluster],$B59,TblCalculs[Mois],V$33),SUMIFS(TblCalculs[Workers],TblCalculs[Cluster],$B59,TblCalculs[Mois],V$33))))</f>
        <v/>
      </c>
      <c r="W59" s="58" t="str">
        <f aca="false">IF(OR($A59="",W$33=""),"",IF(ca_mesure="CPU",SUMIFS(TblCalculs[CPU provisionné],TblCalculs[Cluster],$B59,TblCalculs[Mois],W$33),IF(ca_mesure="RAM",SUMIFS(TblCalculs[RAM provisionnée],TblCalculs[Cluster],$B59,TblCalculs[Mois],W$33),SUMIFS(TblCalculs[Workers],TblCalculs[Cluster],$B59,TblCalculs[Mois],W$33))))</f>
        <v/>
      </c>
      <c r="X59" s="58" t="str">
        <f aca="false">IF(OR($A59="",X$33=""),"",IF(ca_mesure="CPU",SUMIFS(TblCalculs[CPU provisionné],TblCalculs[Cluster],$B59,TblCalculs[Mois],X$33),IF(ca_mesure="RAM",SUMIFS(TblCalculs[RAM provisionnée],TblCalculs[Cluster],$B59,TblCalculs[Mois],X$33),SUMIFS(TblCalculs[Workers],TblCalculs[Cluster],$B59,TblCalculs[Mois],X$33))))</f>
        <v/>
      </c>
      <c r="Y59" s="58" t="str">
        <f aca="false">IF(OR($A59="",Y$33=""),"",IF(ca_mesure="CPU",SUMIFS(TblCalculs[CPU provisionné],TblCalculs[Cluster],$B59,TblCalculs[Mois],Y$33),IF(ca_mesure="RAM",SUMIFS(TblCalculs[RAM provisionnée],TblCalculs[Cluster],$B59,TblCalculs[Mois],Y$33),SUMIFS(TblCalculs[Workers],TblCalculs[Cluster],$B59,TblCalculs[Mois],Y$33))))</f>
        <v/>
      </c>
      <c r="Z59" s="58" t="str">
        <f aca="false">IF(OR($A59="",Z$33=""),"",IF(ca_mesure="CPU",SUMIFS(TblCalculs[CPU provisionné],TblCalculs[Cluster],$B59,TblCalculs[Mois],Z$33),IF(ca_mesure="RAM",SUMIFS(TblCalculs[RAM provisionnée],TblCalculs[Cluster],$B59,TblCalculs[Mois],Z$33),SUMIFS(TblCalculs[Workers],TblCalculs[Cluster],$B59,TblCalculs[Mois],Z$33))))</f>
        <v/>
      </c>
      <c r="AA59" s="58" t="str">
        <f aca="false">IF(OR($A59="",AA$33=""),"",IF(ca_mesure="CPU",SUMIFS(TblCalculs[CPU provisionné],TblCalculs[Cluster],$B59,TblCalculs[Mois],AA$33),IF(ca_mesure="RAM",SUMIFS(TblCalculs[RAM provisionnée],TblCalculs[Cluster],$B59,TblCalculs[Mois],AA$33),SUMIFS(TblCalculs[Workers],TblCalculs[Cluster],$B59,TblCalculs[Mois],AA$33))))</f>
        <v/>
      </c>
      <c r="AB59" s="58" t="str">
        <f aca="false">IF(OR($A59="",AB$33=""),"",IF(ca_mesure="CPU",SUMIFS(TblCalculs[CPU provisionné],TblCalculs[Cluster],$B59,TblCalculs[Mois],AB$33),IF(ca_mesure="RAM",SUMIFS(TblCalculs[RAM provisionnée],TblCalculs[Cluster],$B59,TblCalculs[Mois],AB$33),SUMIFS(TblCalculs[Workers],TblCalculs[Cluster],$B59,TblCalculs[Mois],AB$33))))</f>
        <v/>
      </c>
      <c r="AC59" s="58" t="str">
        <f aca="false">IF(OR($A59="",AC$33=""),"",IF(ca_mesure="CPU",SUMIFS(TblCalculs[CPU provisionné],TblCalculs[Cluster],$B59,TblCalculs[Mois],AC$33),IF(ca_mesure="RAM",SUMIFS(TblCalculs[RAM provisionnée],TblCalculs[Cluster],$B59,TblCalculs[Mois],AC$33),SUMIFS(TblCalculs[Workers],TblCalculs[Cluster],$B59,TblCalculs[Mois],AC$33))))</f>
        <v/>
      </c>
      <c r="AD59" s="58" t="str">
        <f aca="false">IF(OR($A59="",AD$33=""),"",IF(ca_mesure="CPU",SUMIFS(TblCalculs[CPU provisionné],TblCalculs[Cluster],$B59,TblCalculs[Mois],AD$33),IF(ca_mesure="RAM",SUMIFS(TblCalculs[RAM provisionnée],TblCalculs[Cluster],$B59,TblCalculs[Mois],AD$33),SUMIFS(TblCalculs[Workers],TblCalculs[Cluster],$B59,TblCalculs[Mois],AD$33))))</f>
        <v/>
      </c>
      <c r="AE59" s="58" t="str">
        <f aca="false">IF(OR($A59="",AE$33=""),"",IF(ca_mesure="CPU",SUMIFS(TblCalculs[CPU provisionné],TblCalculs[Cluster],$B59,TblCalculs[Mois],AE$33),IF(ca_mesure="RAM",SUMIFS(TblCalculs[RAM provisionnée],TblCalculs[Cluster],$B59,TblCalculs[Mois],AE$33),SUMIFS(TblCalculs[Workers],TblCalculs[Cluster],$B59,TblCalculs[Mois],AE$33))))</f>
        <v/>
      </c>
      <c r="AF59" s="58" t="str">
        <f aca="false">IF(OR($A59="",AF$33=""),"",IF(ca_mesure="CPU",SUMIFS(TblCalculs[CPU provisionné],TblCalculs[Cluster],$B59,TblCalculs[Mois],AF$33),IF(ca_mesure="RAM",SUMIFS(TblCalculs[RAM provisionnée],TblCalculs[Cluster],$B59,TblCalculs[Mois],AF$33),SUMIFS(TblCalculs[Workers],TblCalculs[Cluster],$B59,TblCalculs[Mois],AF$33))))</f>
        <v/>
      </c>
      <c r="AG59" s="58" t="str">
        <f aca="false">IF(OR($A59="",AG$33=""),"",IF(ca_mesure="CPU",SUMIFS(TblCalculs[CPU provisionné],TblCalculs[Cluster],$B59,TblCalculs[Mois],AG$33),IF(ca_mesure="RAM",SUMIFS(TblCalculs[RAM provisionnée],TblCalculs[Cluster],$B59,TblCalculs[Mois],AG$33),SUMIFS(TblCalculs[Workers],TblCalculs[Cluster],$B59,TblCalculs[Mois],AG$33))))</f>
        <v/>
      </c>
      <c r="AH59" s="58" t="str">
        <f aca="false">IF(OR($A59="",AH$33=""),"",IF(ca_mesure="CPU",SUMIFS(TblCalculs[CPU provisionné],TblCalculs[Cluster],$B59,TblCalculs[Mois],AH$33),IF(ca_mesure="RAM",SUMIFS(TblCalculs[RAM provisionnée],TblCalculs[Cluster],$B59,TblCalculs[Mois],AH$33),SUMIFS(TblCalculs[Workers],TblCalculs[Cluster],$B59,TblCalculs[Mois],AH$33))))</f>
        <v/>
      </c>
      <c r="AI59" s="58" t="str">
        <f aca="false">IF(OR($A59="",AI$33=""),"",IF(ca_mesure="CPU",SUMIFS(TblCalculs[CPU provisionné],TblCalculs[Cluster],$B59,TblCalculs[Mois],AI$33),IF(ca_mesure="RAM",SUMIFS(TblCalculs[RAM provisionnée],TblCalculs[Cluster],$B59,TblCalculs[Mois],AI$33),SUMIFS(TblCalculs[Workers],TblCalculs[Cluster],$B59,TblCalculs[Mois],AI$33))))</f>
        <v/>
      </c>
      <c r="AJ59" s="58" t="str">
        <f aca="false">IF(OR($A59="",AJ$33=""),"",IF(ca_mesure="CPU",SUMIFS(TblCalculs[CPU provisionné],TblCalculs[Cluster],$B59,TblCalculs[Mois],AJ$33),IF(ca_mesure="RAM",SUMIFS(TblCalculs[RAM provisionnée],TblCalculs[Cluster],$B59,TblCalculs[Mois],AJ$33),SUMIFS(TblCalculs[Workers],TblCalculs[Cluster],$B59,TblCalculs[Mois],AJ$33))))</f>
        <v/>
      </c>
      <c r="AK59" s="58" t="str">
        <f aca="false">IF(OR($A59="",AK$33=""),"",IF(ca_mesure="CPU",SUMIFS(TblCalculs[CPU provisionné],TblCalculs[Cluster],$B59,TblCalculs[Mois],AK$33),IF(ca_mesure="RAM",SUMIFS(TblCalculs[RAM provisionnée],TblCalculs[Cluster],$B59,TblCalculs[Mois],AK$33),SUMIFS(TblCalculs[Workers],TblCalculs[Cluster],$B59,TblCalculs[Mois],AK$33))))</f>
        <v/>
      </c>
      <c r="AL59" s="58" t="str">
        <f aca="false">IF(OR($A59="",AL$33=""),"",IF(ca_mesure="CPU",SUMIFS(TblCalculs[CPU provisionné],TblCalculs[Cluster],$B59,TblCalculs[Mois],AL$33),IF(ca_mesure="RAM",SUMIFS(TblCalculs[RAM provisionnée],TblCalculs[Cluster],$B59,TblCalculs[Mois],AL$33),SUMIFS(TblCalculs[Workers],TblCalculs[Cluster],$B59,TblCalculs[Mois],AL$33))))</f>
        <v/>
      </c>
      <c r="AM59" s="58" t="str">
        <f aca="false">IF(OR($A59="",AM$33=""),"",IF(ca_mesure="CPU",SUMIFS(TblCalculs[CPU provisionné],TblCalculs[Cluster],$B59,TblCalculs[Mois],AM$33),IF(ca_mesure="RAM",SUMIFS(TblCalculs[RAM provisionnée],TblCalculs[Cluster],$B59,TblCalculs[Mois],AM$33),SUMIFS(TblCalculs[Workers],TblCalculs[Cluster],$B59,TblCalculs[Mois],AM$33))))</f>
        <v/>
      </c>
      <c r="AN59" s="58" t="str">
        <f aca="false">IF(OR($A59="",AN$33=""),"",IF(ca_mesure="CPU",SUMIFS(TblCalculs[CPU provisionné],TblCalculs[Cluster],$B59,TblCalculs[Mois],AN$33),IF(ca_mesure="RAM",SUMIFS(TblCalculs[RAM provisionnée],TblCalculs[Cluster],$B59,TblCalculs[Mois],AN$33),SUMIFS(TblCalculs[Workers],TblCalculs[Cluster],$B59,TblCalculs[Mois],AN$33))))</f>
        <v/>
      </c>
      <c r="AO59" s="58" t="str">
        <f aca="false">IF(OR($A59="",AO$33=""),"",IF(ca_mesure="CPU",SUMIFS(TblCalculs[CPU provisionné],TblCalculs[Cluster],$B59,TblCalculs[Mois],AO$33),IF(ca_mesure="RAM",SUMIFS(TblCalculs[RAM provisionnée],TblCalculs[Cluster],$B59,TblCalculs[Mois],AO$33),SUMIFS(TblCalculs[Workers],TblCalculs[Cluster],$B59,TblCalculs[Mois],AO$33))))</f>
        <v/>
      </c>
    </row>
    <row r="60" customFormat="false" ht="15" hidden="false" customHeight="false" outlineLevel="0" collapsed="false">
      <c r="A60" s="49" t="str">
        <f aca="false">IFERROR(MATCH(27,TblClusters[Rang capacités],0),"")</f>
        <v/>
      </c>
      <c r="B60" s="57" t="str">
        <f aca="false">IF($A60="","",INDEX(TblClusters[Cluster],$A60))</f>
        <v/>
      </c>
      <c r="C60" s="50" t="str">
        <f aca="false">IF($A60="","",INDEX(TblClusters[Plateforme],$A60))</f>
        <v/>
      </c>
      <c r="D60" s="50" t="str">
        <f aca="false">IF($A60="","",INDEX(TblClusters[Environnement],$A60))</f>
        <v/>
      </c>
      <c r="E60" s="50" t="str">
        <f aca="false">IF($A60="","",INDEX(TblClusters[Flavor],$A60))</f>
        <v/>
      </c>
      <c r="F60" s="58" t="str">
        <f aca="false">IF(OR($A60="",F$33=""),"",IF(ca_mesure="CPU",SUMIFS(TblCalculs[CPU provisionné],TblCalculs[Cluster],$B60,TblCalculs[Mois],F$33),IF(ca_mesure="RAM",SUMIFS(TblCalculs[RAM provisionnée],TblCalculs[Cluster],$B60,TblCalculs[Mois],F$33),SUMIFS(TblCalculs[Workers],TblCalculs[Cluster],$B60,TblCalculs[Mois],F$33))))</f>
        <v/>
      </c>
      <c r="G60" s="58" t="str">
        <f aca="false">IF(OR($A60="",G$33=""),"",IF(ca_mesure="CPU",SUMIFS(TblCalculs[CPU provisionné],TblCalculs[Cluster],$B60,TblCalculs[Mois],G$33),IF(ca_mesure="RAM",SUMIFS(TblCalculs[RAM provisionnée],TblCalculs[Cluster],$B60,TblCalculs[Mois],G$33),SUMIFS(TblCalculs[Workers],TblCalculs[Cluster],$B60,TblCalculs[Mois],G$33))))</f>
        <v/>
      </c>
      <c r="H60" s="58" t="str">
        <f aca="false">IF(OR($A60="",H$33=""),"",IF(ca_mesure="CPU",SUMIFS(TblCalculs[CPU provisionné],TblCalculs[Cluster],$B60,TblCalculs[Mois],H$33),IF(ca_mesure="RAM",SUMIFS(TblCalculs[RAM provisionnée],TblCalculs[Cluster],$B60,TblCalculs[Mois],H$33),SUMIFS(TblCalculs[Workers],TblCalculs[Cluster],$B60,TblCalculs[Mois],H$33))))</f>
        <v/>
      </c>
      <c r="I60" s="58" t="str">
        <f aca="false">IF(OR($A60="",I$33=""),"",IF(ca_mesure="CPU",SUMIFS(TblCalculs[CPU provisionné],TblCalculs[Cluster],$B60,TblCalculs[Mois],I$33),IF(ca_mesure="RAM",SUMIFS(TblCalculs[RAM provisionnée],TblCalculs[Cluster],$B60,TblCalculs[Mois],I$33),SUMIFS(TblCalculs[Workers],TblCalculs[Cluster],$B60,TblCalculs[Mois],I$33))))</f>
        <v/>
      </c>
      <c r="J60" s="58" t="str">
        <f aca="false">IF(OR($A60="",J$33=""),"",IF(ca_mesure="CPU",SUMIFS(TblCalculs[CPU provisionné],TblCalculs[Cluster],$B60,TblCalculs[Mois],J$33),IF(ca_mesure="RAM",SUMIFS(TblCalculs[RAM provisionnée],TblCalculs[Cluster],$B60,TblCalculs[Mois],J$33),SUMIFS(TblCalculs[Workers],TblCalculs[Cluster],$B60,TblCalculs[Mois],J$33))))</f>
        <v/>
      </c>
      <c r="K60" s="58" t="str">
        <f aca="false">IF(OR($A60="",K$33=""),"",IF(ca_mesure="CPU",SUMIFS(TblCalculs[CPU provisionné],TblCalculs[Cluster],$B60,TblCalculs[Mois],K$33),IF(ca_mesure="RAM",SUMIFS(TblCalculs[RAM provisionnée],TblCalculs[Cluster],$B60,TblCalculs[Mois],K$33),SUMIFS(TblCalculs[Workers],TblCalculs[Cluster],$B60,TblCalculs[Mois],K$33))))</f>
        <v/>
      </c>
      <c r="L60" s="58" t="str">
        <f aca="false">IF(OR($A60="",L$33=""),"",IF(ca_mesure="CPU",SUMIFS(TblCalculs[CPU provisionné],TblCalculs[Cluster],$B60,TblCalculs[Mois],L$33),IF(ca_mesure="RAM",SUMIFS(TblCalculs[RAM provisionnée],TblCalculs[Cluster],$B60,TblCalculs[Mois],L$33),SUMIFS(TblCalculs[Workers],TblCalculs[Cluster],$B60,TblCalculs[Mois],L$33))))</f>
        <v/>
      </c>
      <c r="M60" s="58" t="str">
        <f aca="false">IF(OR($A60="",M$33=""),"",IF(ca_mesure="CPU",SUMIFS(TblCalculs[CPU provisionné],TblCalculs[Cluster],$B60,TblCalculs[Mois],M$33),IF(ca_mesure="RAM",SUMIFS(TblCalculs[RAM provisionnée],TblCalculs[Cluster],$B60,TblCalculs[Mois],M$33),SUMIFS(TblCalculs[Workers],TblCalculs[Cluster],$B60,TblCalculs[Mois],M$33))))</f>
        <v/>
      </c>
      <c r="N60" s="58" t="str">
        <f aca="false">IF(OR($A60="",N$33=""),"",IF(ca_mesure="CPU",SUMIFS(TblCalculs[CPU provisionné],TblCalculs[Cluster],$B60,TblCalculs[Mois],N$33),IF(ca_mesure="RAM",SUMIFS(TblCalculs[RAM provisionnée],TblCalculs[Cluster],$B60,TblCalculs[Mois],N$33),SUMIFS(TblCalculs[Workers],TblCalculs[Cluster],$B60,TblCalculs[Mois],N$33))))</f>
        <v/>
      </c>
      <c r="O60" s="58" t="str">
        <f aca="false">IF(OR($A60="",O$33=""),"",IF(ca_mesure="CPU",SUMIFS(TblCalculs[CPU provisionné],TblCalculs[Cluster],$B60,TblCalculs[Mois],O$33),IF(ca_mesure="RAM",SUMIFS(TblCalculs[RAM provisionnée],TblCalculs[Cluster],$B60,TblCalculs[Mois],O$33),SUMIFS(TblCalculs[Workers],TblCalculs[Cluster],$B60,TblCalculs[Mois],O$33))))</f>
        <v/>
      </c>
      <c r="P60" s="58" t="str">
        <f aca="false">IF(OR($A60="",P$33=""),"",IF(ca_mesure="CPU",SUMIFS(TblCalculs[CPU provisionné],TblCalculs[Cluster],$B60,TblCalculs[Mois],P$33),IF(ca_mesure="RAM",SUMIFS(TblCalculs[RAM provisionnée],TblCalculs[Cluster],$B60,TblCalculs[Mois],P$33),SUMIFS(TblCalculs[Workers],TblCalculs[Cluster],$B60,TblCalculs[Mois],P$33))))</f>
        <v/>
      </c>
      <c r="Q60" s="58" t="str">
        <f aca="false">IF(OR($A60="",Q$33=""),"",IF(ca_mesure="CPU",SUMIFS(TblCalculs[CPU provisionné],TblCalculs[Cluster],$B60,TblCalculs[Mois],Q$33),IF(ca_mesure="RAM",SUMIFS(TblCalculs[RAM provisionnée],TblCalculs[Cluster],$B60,TblCalculs[Mois],Q$33),SUMIFS(TblCalculs[Workers],TblCalculs[Cluster],$B60,TblCalculs[Mois],Q$33))))</f>
        <v/>
      </c>
      <c r="R60" s="58" t="str">
        <f aca="false">IF(OR($A60="",R$33=""),"",IF(ca_mesure="CPU",SUMIFS(TblCalculs[CPU provisionné],TblCalculs[Cluster],$B60,TblCalculs[Mois],R$33),IF(ca_mesure="RAM",SUMIFS(TblCalculs[RAM provisionnée],TblCalculs[Cluster],$B60,TblCalculs[Mois],R$33),SUMIFS(TblCalculs[Workers],TblCalculs[Cluster],$B60,TblCalculs[Mois],R$33))))</f>
        <v/>
      </c>
      <c r="S60" s="58" t="str">
        <f aca="false">IF(OR($A60="",S$33=""),"",IF(ca_mesure="CPU",SUMIFS(TblCalculs[CPU provisionné],TblCalculs[Cluster],$B60,TblCalculs[Mois],S$33),IF(ca_mesure="RAM",SUMIFS(TblCalculs[RAM provisionnée],TblCalculs[Cluster],$B60,TblCalculs[Mois],S$33),SUMIFS(TblCalculs[Workers],TblCalculs[Cluster],$B60,TblCalculs[Mois],S$33))))</f>
        <v/>
      </c>
      <c r="T60" s="58" t="str">
        <f aca="false">IF(OR($A60="",T$33=""),"",IF(ca_mesure="CPU",SUMIFS(TblCalculs[CPU provisionné],TblCalculs[Cluster],$B60,TblCalculs[Mois],T$33),IF(ca_mesure="RAM",SUMIFS(TblCalculs[RAM provisionnée],TblCalculs[Cluster],$B60,TblCalculs[Mois],T$33),SUMIFS(TblCalculs[Workers],TblCalculs[Cluster],$B60,TblCalculs[Mois],T$33))))</f>
        <v/>
      </c>
      <c r="U60" s="58" t="str">
        <f aca="false">IF(OR($A60="",U$33=""),"",IF(ca_mesure="CPU",SUMIFS(TblCalculs[CPU provisionné],TblCalculs[Cluster],$B60,TblCalculs[Mois],U$33),IF(ca_mesure="RAM",SUMIFS(TblCalculs[RAM provisionnée],TblCalculs[Cluster],$B60,TblCalculs[Mois],U$33),SUMIFS(TblCalculs[Workers],TblCalculs[Cluster],$B60,TblCalculs[Mois],U$33))))</f>
        <v/>
      </c>
      <c r="V60" s="58" t="str">
        <f aca="false">IF(OR($A60="",V$33=""),"",IF(ca_mesure="CPU",SUMIFS(TblCalculs[CPU provisionné],TblCalculs[Cluster],$B60,TblCalculs[Mois],V$33),IF(ca_mesure="RAM",SUMIFS(TblCalculs[RAM provisionnée],TblCalculs[Cluster],$B60,TblCalculs[Mois],V$33),SUMIFS(TblCalculs[Workers],TblCalculs[Cluster],$B60,TblCalculs[Mois],V$33))))</f>
        <v/>
      </c>
      <c r="W60" s="58" t="str">
        <f aca="false">IF(OR($A60="",W$33=""),"",IF(ca_mesure="CPU",SUMIFS(TblCalculs[CPU provisionné],TblCalculs[Cluster],$B60,TblCalculs[Mois],W$33),IF(ca_mesure="RAM",SUMIFS(TblCalculs[RAM provisionnée],TblCalculs[Cluster],$B60,TblCalculs[Mois],W$33),SUMIFS(TblCalculs[Workers],TblCalculs[Cluster],$B60,TblCalculs[Mois],W$33))))</f>
        <v/>
      </c>
      <c r="X60" s="58" t="str">
        <f aca="false">IF(OR($A60="",X$33=""),"",IF(ca_mesure="CPU",SUMIFS(TblCalculs[CPU provisionné],TblCalculs[Cluster],$B60,TblCalculs[Mois],X$33),IF(ca_mesure="RAM",SUMIFS(TblCalculs[RAM provisionnée],TblCalculs[Cluster],$B60,TblCalculs[Mois],X$33),SUMIFS(TblCalculs[Workers],TblCalculs[Cluster],$B60,TblCalculs[Mois],X$33))))</f>
        <v/>
      </c>
      <c r="Y60" s="58" t="str">
        <f aca="false">IF(OR($A60="",Y$33=""),"",IF(ca_mesure="CPU",SUMIFS(TblCalculs[CPU provisionné],TblCalculs[Cluster],$B60,TblCalculs[Mois],Y$33),IF(ca_mesure="RAM",SUMIFS(TblCalculs[RAM provisionnée],TblCalculs[Cluster],$B60,TblCalculs[Mois],Y$33),SUMIFS(TblCalculs[Workers],TblCalculs[Cluster],$B60,TblCalculs[Mois],Y$33))))</f>
        <v/>
      </c>
      <c r="Z60" s="58" t="str">
        <f aca="false">IF(OR($A60="",Z$33=""),"",IF(ca_mesure="CPU",SUMIFS(TblCalculs[CPU provisionné],TblCalculs[Cluster],$B60,TblCalculs[Mois],Z$33),IF(ca_mesure="RAM",SUMIFS(TblCalculs[RAM provisionnée],TblCalculs[Cluster],$B60,TblCalculs[Mois],Z$33),SUMIFS(TblCalculs[Workers],TblCalculs[Cluster],$B60,TblCalculs[Mois],Z$33))))</f>
        <v/>
      </c>
      <c r="AA60" s="58" t="str">
        <f aca="false">IF(OR($A60="",AA$33=""),"",IF(ca_mesure="CPU",SUMIFS(TblCalculs[CPU provisionné],TblCalculs[Cluster],$B60,TblCalculs[Mois],AA$33),IF(ca_mesure="RAM",SUMIFS(TblCalculs[RAM provisionnée],TblCalculs[Cluster],$B60,TblCalculs[Mois],AA$33),SUMIFS(TblCalculs[Workers],TblCalculs[Cluster],$B60,TblCalculs[Mois],AA$33))))</f>
        <v/>
      </c>
      <c r="AB60" s="58" t="str">
        <f aca="false">IF(OR($A60="",AB$33=""),"",IF(ca_mesure="CPU",SUMIFS(TblCalculs[CPU provisionné],TblCalculs[Cluster],$B60,TblCalculs[Mois],AB$33),IF(ca_mesure="RAM",SUMIFS(TblCalculs[RAM provisionnée],TblCalculs[Cluster],$B60,TblCalculs[Mois],AB$33),SUMIFS(TblCalculs[Workers],TblCalculs[Cluster],$B60,TblCalculs[Mois],AB$33))))</f>
        <v/>
      </c>
      <c r="AC60" s="58" t="str">
        <f aca="false">IF(OR($A60="",AC$33=""),"",IF(ca_mesure="CPU",SUMIFS(TblCalculs[CPU provisionné],TblCalculs[Cluster],$B60,TblCalculs[Mois],AC$33),IF(ca_mesure="RAM",SUMIFS(TblCalculs[RAM provisionnée],TblCalculs[Cluster],$B60,TblCalculs[Mois],AC$33),SUMIFS(TblCalculs[Workers],TblCalculs[Cluster],$B60,TblCalculs[Mois],AC$33))))</f>
        <v/>
      </c>
      <c r="AD60" s="58" t="str">
        <f aca="false">IF(OR($A60="",AD$33=""),"",IF(ca_mesure="CPU",SUMIFS(TblCalculs[CPU provisionné],TblCalculs[Cluster],$B60,TblCalculs[Mois],AD$33),IF(ca_mesure="RAM",SUMIFS(TblCalculs[RAM provisionnée],TblCalculs[Cluster],$B60,TblCalculs[Mois],AD$33),SUMIFS(TblCalculs[Workers],TblCalculs[Cluster],$B60,TblCalculs[Mois],AD$33))))</f>
        <v/>
      </c>
      <c r="AE60" s="58" t="str">
        <f aca="false">IF(OR($A60="",AE$33=""),"",IF(ca_mesure="CPU",SUMIFS(TblCalculs[CPU provisionné],TblCalculs[Cluster],$B60,TblCalculs[Mois],AE$33),IF(ca_mesure="RAM",SUMIFS(TblCalculs[RAM provisionnée],TblCalculs[Cluster],$B60,TblCalculs[Mois],AE$33),SUMIFS(TblCalculs[Workers],TblCalculs[Cluster],$B60,TblCalculs[Mois],AE$33))))</f>
        <v/>
      </c>
      <c r="AF60" s="58" t="str">
        <f aca="false">IF(OR($A60="",AF$33=""),"",IF(ca_mesure="CPU",SUMIFS(TblCalculs[CPU provisionné],TblCalculs[Cluster],$B60,TblCalculs[Mois],AF$33),IF(ca_mesure="RAM",SUMIFS(TblCalculs[RAM provisionnée],TblCalculs[Cluster],$B60,TblCalculs[Mois],AF$33),SUMIFS(TblCalculs[Workers],TblCalculs[Cluster],$B60,TblCalculs[Mois],AF$33))))</f>
        <v/>
      </c>
      <c r="AG60" s="58" t="str">
        <f aca="false">IF(OR($A60="",AG$33=""),"",IF(ca_mesure="CPU",SUMIFS(TblCalculs[CPU provisionné],TblCalculs[Cluster],$B60,TblCalculs[Mois],AG$33),IF(ca_mesure="RAM",SUMIFS(TblCalculs[RAM provisionnée],TblCalculs[Cluster],$B60,TblCalculs[Mois],AG$33),SUMIFS(TblCalculs[Workers],TblCalculs[Cluster],$B60,TblCalculs[Mois],AG$33))))</f>
        <v/>
      </c>
      <c r="AH60" s="58" t="str">
        <f aca="false">IF(OR($A60="",AH$33=""),"",IF(ca_mesure="CPU",SUMIFS(TblCalculs[CPU provisionné],TblCalculs[Cluster],$B60,TblCalculs[Mois],AH$33),IF(ca_mesure="RAM",SUMIFS(TblCalculs[RAM provisionnée],TblCalculs[Cluster],$B60,TblCalculs[Mois],AH$33),SUMIFS(TblCalculs[Workers],TblCalculs[Cluster],$B60,TblCalculs[Mois],AH$33))))</f>
        <v/>
      </c>
      <c r="AI60" s="58" t="str">
        <f aca="false">IF(OR($A60="",AI$33=""),"",IF(ca_mesure="CPU",SUMIFS(TblCalculs[CPU provisionné],TblCalculs[Cluster],$B60,TblCalculs[Mois],AI$33),IF(ca_mesure="RAM",SUMIFS(TblCalculs[RAM provisionnée],TblCalculs[Cluster],$B60,TblCalculs[Mois],AI$33),SUMIFS(TblCalculs[Workers],TblCalculs[Cluster],$B60,TblCalculs[Mois],AI$33))))</f>
        <v/>
      </c>
      <c r="AJ60" s="58" t="str">
        <f aca="false">IF(OR($A60="",AJ$33=""),"",IF(ca_mesure="CPU",SUMIFS(TblCalculs[CPU provisionné],TblCalculs[Cluster],$B60,TblCalculs[Mois],AJ$33),IF(ca_mesure="RAM",SUMIFS(TblCalculs[RAM provisionnée],TblCalculs[Cluster],$B60,TblCalculs[Mois],AJ$33),SUMIFS(TblCalculs[Workers],TblCalculs[Cluster],$B60,TblCalculs[Mois],AJ$33))))</f>
        <v/>
      </c>
      <c r="AK60" s="58" t="str">
        <f aca="false">IF(OR($A60="",AK$33=""),"",IF(ca_mesure="CPU",SUMIFS(TblCalculs[CPU provisionné],TblCalculs[Cluster],$B60,TblCalculs[Mois],AK$33),IF(ca_mesure="RAM",SUMIFS(TblCalculs[RAM provisionnée],TblCalculs[Cluster],$B60,TblCalculs[Mois],AK$33),SUMIFS(TblCalculs[Workers],TblCalculs[Cluster],$B60,TblCalculs[Mois],AK$33))))</f>
        <v/>
      </c>
      <c r="AL60" s="58" t="str">
        <f aca="false">IF(OR($A60="",AL$33=""),"",IF(ca_mesure="CPU",SUMIFS(TblCalculs[CPU provisionné],TblCalculs[Cluster],$B60,TblCalculs[Mois],AL$33),IF(ca_mesure="RAM",SUMIFS(TblCalculs[RAM provisionnée],TblCalculs[Cluster],$B60,TblCalculs[Mois],AL$33),SUMIFS(TblCalculs[Workers],TblCalculs[Cluster],$B60,TblCalculs[Mois],AL$33))))</f>
        <v/>
      </c>
      <c r="AM60" s="58" t="str">
        <f aca="false">IF(OR($A60="",AM$33=""),"",IF(ca_mesure="CPU",SUMIFS(TblCalculs[CPU provisionné],TblCalculs[Cluster],$B60,TblCalculs[Mois],AM$33),IF(ca_mesure="RAM",SUMIFS(TblCalculs[RAM provisionnée],TblCalculs[Cluster],$B60,TblCalculs[Mois],AM$33),SUMIFS(TblCalculs[Workers],TblCalculs[Cluster],$B60,TblCalculs[Mois],AM$33))))</f>
        <v/>
      </c>
      <c r="AN60" s="58" t="str">
        <f aca="false">IF(OR($A60="",AN$33=""),"",IF(ca_mesure="CPU",SUMIFS(TblCalculs[CPU provisionné],TblCalculs[Cluster],$B60,TblCalculs[Mois],AN$33),IF(ca_mesure="RAM",SUMIFS(TblCalculs[RAM provisionnée],TblCalculs[Cluster],$B60,TblCalculs[Mois],AN$33),SUMIFS(TblCalculs[Workers],TblCalculs[Cluster],$B60,TblCalculs[Mois],AN$33))))</f>
        <v/>
      </c>
      <c r="AO60" s="58" t="str">
        <f aca="false">IF(OR($A60="",AO$33=""),"",IF(ca_mesure="CPU",SUMIFS(TblCalculs[CPU provisionné],TblCalculs[Cluster],$B60,TblCalculs[Mois],AO$33),IF(ca_mesure="RAM",SUMIFS(TblCalculs[RAM provisionnée],TblCalculs[Cluster],$B60,TblCalculs[Mois],AO$33),SUMIFS(TblCalculs[Workers],TblCalculs[Cluster],$B60,TblCalculs[Mois],AO$33))))</f>
        <v/>
      </c>
    </row>
    <row r="61" customFormat="false" ht="15" hidden="false" customHeight="false" outlineLevel="0" collapsed="false">
      <c r="A61" s="49" t="str">
        <f aca="false">IFERROR(MATCH(28,TblClusters[Rang capacités],0),"")</f>
        <v/>
      </c>
      <c r="B61" s="57" t="str">
        <f aca="false">IF($A61="","",INDEX(TblClusters[Cluster],$A61))</f>
        <v/>
      </c>
      <c r="C61" s="50" t="str">
        <f aca="false">IF($A61="","",INDEX(TblClusters[Plateforme],$A61))</f>
        <v/>
      </c>
      <c r="D61" s="50" t="str">
        <f aca="false">IF($A61="","",INDEX(TblClusters[Environnement],$A61))</f>
        <v/>
      </c>
      <c r="E61" s="50" t="str">
        <f aca="false">IF($A61="","",INDEX(TblClusters[Flavor],$A61))</f>
        <v/>
      </c>
      <c r="F61" s="58" t="str">
        <f aca="false">IF(OR($A61="",F$33=""),"",IF(ca_mesure="CPU",SUMIFS(TblCalculs[CPU provisionné],TblCalculs[Cluster],$B61,TblCalculs[Mois],F$33),IF(ca_mesure="RAM",SUMIFS(TblCalculs[RAM provisionnée],TblCalculs[Cluster],$B61,TblCalculs[Mois],F$33),SUMIFS(TblCalculs[Workers],TblCalculs[Cluster],$B61,TblCalculs[Mois],F$33))))</f>
        <v/>
      </c>
      <c r="G61" s="58" t="str">
        <f aca="false">IF(OR($A61="",G$33=""),"",IF(ca_mesure="CPU",SUMIFS(TblCalculs[CPU provisionné],TblCalculs[Cluster],$B61,TblCalculs[Mois],G$33),IF(ca_mesure="RAM",SUMIFS(TblCalculs[RAM provisionnée],TblCalculs[Cluster],$B61,TblCalculs[Mois],G$33),SUMIFS(TblCalculs[Workers],TblCalculs[Cluster],$B61,TblCalculs[Mois],G$33))))</f>
        <v/>
      </c>
      <c r="H61" s="58" t="str">
        <f aca="false">IF(OR($A61="",H$33=""),"",IF(ca_mesure="CPU",SUMIFS(TblCalculs[CPU provisionné],TblCalculs[Cluster],$B61,TblCalculs[Mois],H$33),IF(ca_mesure="RAM",SUMIFS(TblCalculs[RAM provisionnée],TblCalculs[Cluster],$B61,TblCalculs[Mois],H$33),SUMIFS(TblCalculs[Workers],TblCalculs[Cluster],$B61,TblCalculs[Mois],H$33))))</f>
        <v/>
      </c>
      <c r="I61" s="58" t="str">
        <f aca="false">IF(OR($A61="",I$33=""),"",IF(ca_mesure="CPU",SUMIFS(TblCalculs[CPU provisionné],TblCalculs[Cluster],$B61,TblCalculs[Mois],I$33),IF(ca_mesure="RAM",SUMIFS(TblCalculs[RAM provisionnée],TblCalculs[Cluster],$B61,TblCalculs[Mois],I$33),SUMIFS(TblCalculs[Workers],TblCalculs[Cluster],$B61,TblCalculs[Mois],I$33))))</f>
        <v/>
      </c>
      <c r="J61" s="58" t="str">
        <f aca="false">IF(OR($A61="",J$33=""),"",IF(ca_mesure="CPU",SUMIFS(TblCalculs[CPU provisionné],TblCalculs[Cluster],$B61,TblCalculs[Mois],J$33),IF(ca_mesure="RAM",SUMIFS(TblCalculs[RAM provisionnée],TblCalculs[Cluster],$B61,TblCalculs[Mois],J$33),SUMIFS(TblCalculs[Workers],TblCalculs[Cluster],$B61,TblCalculs[Mois],J$33))))</f>
        <v/>
      </c>
      <c r="K61" s="58" t="str">
        <f aca="false">IF(OR($A61="",K$33=""),"",IF(ca_mesure="CPU",SUMIFS(TblCalculs[CPU provisionné],TblCalculs[Cluster],$B61,TblCalculs[Mois],K$33),IF(ca_mesure="RAM",SUMIFS(TblCalculs[RAM provisionnée],TblCalculs[Cluster],$B61,TblCalculs[Mois],K$33),SUMIFS(TblCalculs[Workers],TblCalculs[Cluster],$B61,TblCalculs[Mois],K$33))))</f>
        <v/>
      </c>
      <c r="L61" s="58" t="str">
        <f aca="false">IF(OR($A61="",L$33=""),"",IF(ca_mesure="CPU",SUMIFS(TblCalculs[CPU provisionné],TblCalculs[Cluster],$B61,TblCalculs[Mois],L$33),IF(ca_mesure="RAM",SUMIFS(TblCalculs[RAM provisionnée],TblCalculs[Cluster],$B61,TblCalculs[Mois],L$33),SUMIFS(TblCalculs[Workers],TblCalculs[Cluster],$B61,TblCalculs[Mois],L$33))))</f>
        <v/>
      </c>
      <c r="M61" s="58" t="str">
        <f aca="false">IF(OR($A61="",M$33=""),"",IF(ca_mesure="CPU",SUMIFS(TblCalculs[CPU provisionné],TblCalculs[Cluster],$B61,TblCalculs[Mois],M$33),IF(ca_mesure="RAM",SUMIFS(TblCalculs[RAM provisionnée],TblCalculs[Cluster],$B61,TblCalculs[Mois],M$33),SUMIFS(TblCalculs[Workers],TblCalculs[Cluster],$B61,TblCalculs[Mois],M$33))))</f>
        <v/>
      </c>
      <c r="N61" s="58" t="str">
        <f aca="false">IF(OR($A61="",N$33=""),"",IF(ca_mesure="CPU",SUMIFS(TblCalculs[CPU provisionné],TblCalculs[Cluster],$B61,TblCalculs[Mois],N$33),IF(ca_mesure="RAM",SUMIFS(TblCalculs[RAM provisionnée],TblCalculs[Cluster],$B61,TblCalculs[Mois],N$33),SUMIFS(TblCalculs[Workers],TblCalculs[Cluster],$B61,TblCalculs[Mois],N$33))))</f>
        <v/>
      </c>
      <c r="O61" s="58" t="str">
        <f aca="false">IF(OR($A61="",O$33=""),"",IF(ca_mesure="CPU",SUMIFS(TblCalculs[CPU provisionné],TblCalculs[Cluster],$B61,TblCalculs[Mois],O$33),IF(ca_mesure="RAM",SUMIFS(TblCalculs[RAM provisionnée],TblCalculs[Cluster],$B61,TblCalculs[Mois],O$33),SUMIFS(TblCalculs[Workers],TblCalculs[Cluster],$B61,TblCalculs[Mois],O$33))))</f>
        <v/>
      </c>
      <c r="P61" s="58" t="str">
        <f aca="false">IF(OR($A61="",P$33=""),"",IF(ca_mesure="CPU",SUMIFS(TblCalculs[CPU provisionné],TblCalculs[Cluster],$B61,TblCalculs[Mois],P$33),IF(ca_mesure="RAM",SUMIFS(TblCalculs[RAM provisionnée],TblCalculs[Cluster],$B61,TblCalculs[Mois],P$33),SUMIFS(TblCalculs[Workers],TblCalculs[Cluster],$B61,TblCalculs[Mois],P$33))))</f>
        <v/>
      </c>
      <c r="Q61" s="58" t="str">
        <f aca="false">IF(OR($A61="",Q$33=""),"",IF(ca_mesure="CPU",SUMIFS(TblCalculs[CPU provisionné],TblCalculs[Cluster],$B61,TblCalculs[Mois],Q$33),IF(ca_mesure="RAM",SUMIFS(TblCalculs[RAM provisionnée],TblCalculs[Cluster],$B61,TblCalculs[Mois],Q$33),SUMIFS(TblCalculs[Workers],TblCalculs[Cluster],$B61,TblCalculs[Mois],Q$33))))</f>
        <v/>
      </c>
      <c r="R61" s="58" t="str">
        <f aca="false">IF(OR($A61="",R$33=""),"",IF(ca_mesure="CPU",SUMIFS(TblCalculs[CPU provisionné],TblCalculs[Cluster],$B61,TblCalculs[Mois],R$33),IF(ca_mesure="RAM",SUMIFS(TblCalculs[RAM provisionnée],TblCalculs[Cluster],$B61,TblCalculs[Mois],R$33),SUMIFS(TblCalculs[Workers],TblCalculs[Cluster],$B61,TblCalculs[Mois],R$33))))</f>
        <v/>
      </c>
      <c r="S61" s="58" t="str">
        <f aca="false">IF(OR($A61="",S$33=""),"",IF(ca_mesure="CPU",SUMIFS(TblCalculs[CPU provisionné],TblCalculs[Cluster],$B61,TblCalculs[Mois],S$33),IF(ca_mesure="RAM",SUMIFS(TblCalculs[RAM provisionnée],TblCalculs[Cluster],$B61,TblCalculs[Mois],S$33),SUMIFS(TblCalculs[Workers],TblCalculs[Cluster],$B61,TblCalculs[Mois],S$33))))</f>
        <v/>
      </c>
      <c r="T61" s="58" t="str">
        <f aca="false">IF(OR($A61="",T$33=""),"",IF(ca_mesure="CPU",SUMIFS(TblCalculs[CPU provisionné],TblCalculs[Cluster],$B61,TblCalculs[Mois],T$33),IF(ca_mesure="RAM",SUMIFS(TblCalculs[RAM provisionnée],TblCalculs[Cluster],$B61,TblCalculs[Mois],T$33),SUMIFS(TblCalculs[Workers],TblCalculs[Cluster],$B61,TblCalculs[Mois],T$33))))</f>
        <v/>
      </c>
      <c r="U61" s="58" t="str">
        <f aca="false">IF(OR($A61="",U$33=""),"",IF(ca_mesure="CPU",SUMIFS(TblCalculs[CPU provisionné],TblCalculs[Cluster],$B61,TblCalculs[Mois],U$33),IF(ca_mesure="RAM",SUMIFS(TblCalculs[RAM provisionnée],TblCalculs[Cluster],$B61,TblCalculs[Mois],U$33),SUMIFS(TblCalculs[Workers],TblCalculs[Cluster],$B61,TblCalculs[Mois],U$33))))</f>
        <v/>
      </c>
      <c r="V61" s="58" t="str">
        <f aca="false">IF(OR($A61="",V$33=""),"",IF(ca_mesure="CPU",SUMIFS(TblCalculs[CPU provisionné],TblCalculs[Cluster],$B61,TblCalculs[Mois],V$33),IF(ca_mesure="RAM",SUMIFS(TblCalculs[RAM provisionnée],TblCalculs[Cluster],$B61,TblCalculs[Mois],V$33),SUMIFS(TblCalculs[Workers],TblCalculs[Cluster],$B61,TblCalculs[Mois],V$33))))</f>
        <v/>
      </c>
      <c r="W61" s="58" t="str">
        <f aca="false">IF(OR($A61="",W$33=""),"",IF(ca_mesure="CPU",SUMIFS(TblCalculs[CPU provisionné],TblCalculs[Cluster],$B61,TblCalculs[Mois],W$33),IF(ca_mesure="RAM",SUMIFS(TblCalculs[RAM provisionnée],TblCalculs[Cluster],$B61,TblCalculs[Mois],W$33),SUMIFS(TblCalculs[Workers],TblCalculs[Cluster],$B61,TblCalculs[Mois],W$33))))</f>
        <v/>
      </c>
      <c r="X61" s="58" t="str">
        <f aca="false">IF(OR($A61="",X$33=""),"",IF(ca_mesure="CPU",SUMIFS(TblCalculs[CPU provisionné],TblCalculs[Cluster],$B61,TblCalculs[Mois],X$33),IF(ca_mesure="RAM",SUMIFS(TblCalculs[RAM provisionnée],TblCalculs[Cluster],$B61,TblCalculs[Mois],X$33),SUMIFS(TblCalculs[Workers],TblCalculs[Cluster],$B61,TblCalculs[Mois],X$33))))</f>
        <v/>
      </c>
      <c r="Y61" s="58" t="str">
        <f aca="false">IF(OR($A61="",Y$33=""),"",IF(ca_mesure="CPU",SUMIFS(TblCalculs[CPU provisionné],TblCalculs[Cluster],$B61,TblCalculs[Mois],Y$33),IF(ca_mesure="RAM",SUMIFS(TblCalculs[RAM provisionnée],TblCalculs[Cluster],$B61,TblCalculs[Mois],Y$33),SUMIFS(TblCalculs[Workers],TblCalculs[Cluster],$B61,TblCalculs[Mois],Y$33))))</f>
        <v/>
      </c>
      <c r="Z61" s="58" t="str">
        <f aca="false">IF(OR($A61="",Z$33=""),"",IF(ca_mesure="CPU",SUMIFS(TblCalculs[CPU provisionné],TblCalculs[Cluster],$B61,TblCalculs[Mois],Z$33),IF(ca_mesure="RAM",SUMIFS(TblCalculs[RAM provisionnée],TblCalculs[Cluster],$B61,TblCalculs[Mois],Z$33),SUMIFS(TblCalculs[Workers],TblCalculs[Cluster],$B61,TblCalculs[Mois],Z$33))))</f>
        <v/>
      </c>
      <c r="AA61" s="58" t="str">
        <f aca="false">IF(OR($A61="",AA$33=""),"",IF(ca_mesure="CPU",SUMIFS(TblCalculs[CPU provisionné],TblCalculs[Cluster],$B61,TblCalculs[Mois],AA$33),IF(ca_mesure="RAM",SUMIFS(TblCalculs[RAM provisionnée],TblCalculs[Cluster],$B61,TblCalculs[Mois],AA$33),SUMIFS(TblCalculs[Workers],TblCalculs[Cluster],$B61,TblCalculs[Mois],AA$33))))</f>
        <v/>
      </c>
      <c r="AB61" s="58" t="str">
        <f aca="false">IF(OR($A61="",AB$33=""),"",IF(ca_mesure="CPU",SUMIFS(TblCalculs[CPU provisionné],TblCalculs[Cluster],$B61,TblCalculs[Mois],AB$33),IF(ca_mesure="RAM",SUMIFS(TblCalculs[RAM provisionnée],TblCalculs[Cluster],$B61,TblCalculs[Mois],AB$33),SUMIFS(TblCalculs[Workers],TblCalculs[Cluster],$B61,TblCalculs[Mois],AB$33))))</f>
        <v/>
      </c>
      <c r="AC61" s="58" t="str">
        <f aca="false">IF(OR($A61="",AC$33=""),"",IF(ca_mesure="CPU",SUMIFS(TblCalculs[CPU provisionné],TblCalculs[Cluster],$B61,TblCalculs[Mois],AC$33),IF(ca_mesure="RAM",SUMIFS(TblCalculs[RAM provisionnée],TblCalculs[Cluster],$B61,TblCalculs[Mois],AC$33),SUMIFS(TblCalculs[Workers],TblCalculs[Cluster],$B61,TblCalculs[Mois],AC$33))))</f>
        <v/>
      </c>
      <c r="AD61" s="58" t="str">
        <f aca="false">IF(OR($A61="",AD$33=""),"",IF(ca_mesure="CPU",SUMIFS(TblCalculs[CPU provisionné],TblCalculs[Cluster],$B61,TblCalculs[Mois],AD$33),IF(ca_mesure="RAM",SUMIFS(TblCalculs[RAM provisionnée],TblCalculs[Cluster],$B61,TblCalculs[Mois],AD$33),SUMIFS(TblCalculs[Workers],TblCalculs[Cluster],$B61,TblCalculs[Mois],AD$33))))</f>
        <v/>
      </c>
      <c r="AE61" s="58" t="str">
        <f aca="false">IF(OR($A61="",AE$33=""),"",IF(ca_mesure="CPU",SUMIFS(TblCalculs[CPU provisionné],TblCalculs[Cluster],$B61,TblCalculs[Mois],AE$33),IF(ca_mesure="RAM",SUMIFS(TblCalculs[RAM provisionnée],TblCalculs[Cluster],$B61,TblCalculs[Mois],AE$33),SUMIFS(TblCalculs[Workers],TblCalculs[Cluster],$B61,TblCalculs[Mois],AE$33))))</f>
        <v/>
      </c>
      <c r="AF61" s="58" t="str">
        <f aca="false">IF(OR($A61="",AF$33=""),"",IF(ca_mesure="CPU",SUMIFS(TblCalculs[CPU provisionné],TblCalculs[Cluster],$B61,TblCalculs[Mois],AF$33),IF(ca_mesure="RAM",SUMIFS(TblCalculs[RAM provisionnée],TblCalculs[Cluster],$B61,TblCalculs[Mois],AF$33),SUMIFS(TblCalculs[Workers],TblCalculs[Cluster],$B61,TblCalculs[Mois],AF$33))))</f>
        <v/>
      </c>
      <c r="AG61" s="58" t="str">
        <f aca="false">IF(OR($A61="",AG$33=""),"",IF(ca_mesure="CPU",SUMIFS(TblCalculs[CPU provisionné],TblCalculs[Cluster],$B61,TblCalculs[Mois],AG$33),IF(ca_mesure="RAM",SUMIFS(TblCalculs[RAM provisionnée],TblCalculs[Cluster],$B61,TblCalculs[Mois],AG$33),SUMIFS(TblCalculs[Workers],TblCalculs[Cluster],$B61,TblCalculs[Mois],AG$33))))</f>
        <v/>
      </c>
      <c r="AH61" s="58" t="str">
        <f aca="false">IF(OR($A61="",AH$33=""),"",IF(ca_mesure="CPU",SUMIFS(TblCalculs[CPU provisionné],TblCalculs[Cluster],$B61,TblCalculs[Mois],AH$33),IF(ca_mesure="RAM",SUMIFS(TblCalculs[RAM provisionnée],TblCalculs[Cluster],$B61,TblCalculs[Mois],AH$33),SUMIFS(TblCalculs[Workers],TblCalculs[Cluster],$B61,TblCalculs[Mois],AH$33))))</f>
        <v/>
      </c>
      <c r="AI61" s="58" t="str">
        <f aca="false">IF(OR($A61="",AI$33=""),"",IF(ca_mesure="CPU",SUMIFS(TblCalculs[CPU provisionné],TblCalculs[Cluster],$B61,TblCalculs[Mois],AI$33),IF(ca_mesure="RAM",SUMIFS(TblCalculs[RAM provisionnée],TblCalculs[Cluster],$B61,TblCalculs[Mois],AI$33),SUMIFS(TblCalculs[Workers],TblCalculs[Cluster],$B61,TblCalculs[Mois],AI$33))))</f>
        <v/>
      </c>
      <c r="AJ61" s="58" t="str">
        <f aca="false">IF(OR($A61="",AJ$33=""),"",IF(ca_mesure="CPU",SUMIFS(TblCalculs[CPU provisionné],TblCalculs[Cluster],$B61,TblCalculs[Mois],AJ$33),IF(ca_mesure="RAM",SUMIFS(TblCalculs[RAM provisionnée],TblCalculs[Cluster],$B61,TblCalculs[Mois],AJ$33),SUMIFS(TblCalculs[Workers],TblCalculs[Cluster],$B61,TblCalculs[Mois],AJ$33))))</f>
        <v/>
      </c>
      <c r="AK61" s="58" t="str">
        <f aca="false">IF(OR($A61="",AK$33=""),"",IF(ca_mesure="CPU",SUMIFS(TblCalculs[CPU provisionné],TblCalculs[Cluster],$B61,TblCalculs[Mois],AK$33),IF(ca_mesure="RAM",SUMIFS(TblCalculs[RAM provisionnée],TblCalculs[Cluster],$B61,TblCalculs[Mois],AK$33),SUMIFS(TblCalculs[Workers],TblCalculs[Cluster],$B61,TblCalculs[Mois],AK$33))))</f>
        <v/>
      </c>
      <c r="AL61" s="58" t="str">
        <f aca="false">IF(OR($A61="",AL$33=""),"",IF(ca_mesure="CPU",SUMIFS(TblCalculs[CPU provisionné],TblCalculs[Cluster],$B61,TblCalculs[Mois],AL$33),IF(ca_mesure="RAM",SUMIFS(TblCalculs[RAM provisionnée],TblCalculs[Cluster],$B61,TblCalculs[Mois],AL$33),SUMIFS(TblCalculs[Workers],TblCalculs[Cluster],$B61,TblCalculs[Mois],AL$33))))</f>
        <v/>
      </c>
      <c r="AM61" s="58" t="str">
        <f aca="false">IF(OR($A61="",AM$33=""),"",IF(ca_mesure="CPU",SUMIFS(TblCalculs[CPU provisionné],TblCalculs[Cluster],$B61,TblCalculs[Mois],AM$33),IF(ca_mesure="RAM",SUMIFS(TblCalculs[RAM provisionnée],TblCalculs[Cluster],$B61,TblCalculs[Mois],AM$33),SUMIFS(TblCalculs[Workers],TblCalculs[Cluster],$B61,TblCalculs[Mois],AM$33))))</f>
        <v/>
      </c>
      <c r="AN61" s="58" t="str">
        <f aca="false">IF(OR($A61="",AN$33=""),"",IF(ca_mesure="CPU",SUMIFS(TblCalculs[CPU provisionné],TblCalculs[Cluster],$B61,TblCalculs[Mois],AN$33),IF(ca_mesure="RAM",SUMIFS(TblCalculs[RAM provisionnée],TblCalculs[Cluster],$B61,TblCalculs[Mois],AN$33),SUMIFS(TblCalculs[Workers],TblCalculs[Cluster],$B61,TblCalculs[Mois],AN$33))))</f>
        <v/>
      </c>
      <c r="AO61" s="58" t="str">
        <f aca="false">IF(OR($A61="",AO$33=""),"",IF(ca_mesure="CPU",SUMIFS(TblCalculs[CPU provisionné],TblCalculs[Cluster],$B61,TblCalculs[Mois],AO$33),IF(ca_mesure="RAM",SUMIFS(TblCalculs[RAM provisionnée],TblCalculs[Cluster],$B61,TblCalculs[Mois],AO$33),SUMIFS(TblCalculs[Workers],TblCalculs[Cluster],$B61,TblCalculs[Mois],AO$33))))</f>
        <v/>
      </c>
    </row>
    <row r="62" customFormat="false" ht="15" hidden="false" customHeight="false" outlineLevel="0" collapsed="false">
      <c r="A62" s="49" t="str">
        <f aca="false">IFERROR(MATCH(29,TblClusters[Rang capacités],0),"")</f>
        <v/>
      </c>
      <c r="B62" s="57" t="str">
        <f aca="false">IF($A62="","",INDEX(TblClusters[Cluster],$A62))</f>
        <v/>
      </c>
      <c r="C62" s="50" t="str">
        <f aca="false">IF($A62="","",INDEX(TblClusters[Plateforme],$A62))</f>
        <v/>
      </c>
      <c r="D62" s="50" t="str">
        <f aca="false">IF($A62="","",INDEX(TblClusters[Environnement],$A62))</f>
        <v/>
      </c>
      <c r="E62" s="50" t="str">
        <f aca="false">IF($A62="","",INDEX(TblClusters[Flavor],$A62))</f>
        <v/>
      </c>
      <c r="F62" s="58" t="str">
        <f aca="false">IF(OR($A62="",F$33=""),"",IF(ca_mesure="CPU",SUMIFS(TblCalculs[CPU provisionné],TblCalculs[Cluster],$B62,TblCalculs[Mois],F$33),IF(ca_mesure="RAM",SUMIFS(TblCalculs[RAM provisionnée],TblCalculs[Cluster],$B62,TblCalculs[Mois],F$33),SUMIFS(TblCalculs[Workers],TblCalculs[Cluster],$B62,TblCalculs[Mois],F$33))))</f>
        <v/>
      </c>
      <c r="G62" s="58" t="str">
        <f aca="false">IF(OR($A62="",G$33=""),"",IF(ca_mesure="CPU",SUMIFS(TblCalculs[CPU provisionné],TblCalculs[Cluster],$B62,TblCalculs[Mois],G$33),IF(ca_mesure="RAM",SUMIFS(TblCalculs[RAM provisionnée],TblCalculs[Cluster],$B62,TblCalculs[Mois],G$33),SUMIFS(TblCalculs[Workers],TblCalculs[Cluster],$B62,TblCalculs[Mois],G$33))))</f>
        <v/>
      </c>
      <c r="H62" s="58" t="str">
        <f aca="false">IF(OR($A62="",H$33=""),"",IF(ca_mesure="CPU",SUMIFS(TblCalculs[CPU provisionné],TblCalculs[Cluster],$B62,TblCalculs[Mois],H$33),IF(ca_mesure="RAM",SUMIFS(TblCalculs[RAM provisionnée],TblCalculs[Cluster],$B62,TblCalculs[Mois],H$33),SUMIFS(TblCalculs[Workers],TblCalculs[Cluster],$B62,TblCalculs[Mois],H$33))))</f>
        <v/>
      </c>
      <c r="I62" s="58" t="str">
        <f aca="false">IF(OR($A62="",I$33=""),"",IF(ca_mesure="CPU",SUMIFS(TblCalculs[CPU provisionné],TblCalculs[Cluster],$B62,TblCalculs[Mois],I$33),IF(ca_mesure="RAM",SUMIFS(TblCalculs[RAM provisionnée],TblCalculs[Cluster],$B62,TblCalculs[Mois],I$33),SUMIFS(TblCalculs[Workers],TblCalculs[Cluster],$B62,TblCalculs[Mois],I$33))))</f>
        <v/>
      </c>
      <c r="J62" s="58" t="str">
        <f aca="false">IF(OR($A62="",J$33=""),"",IF(ca_mesure="CPU",SUMIFS(TblCalculs[CPU provisionné],TblCalculs[Cluster],$B62,TblCalculs[Mois],J$33),IF(ca_mesure="RAM",SUMIFS(TblCalculs[RAM provisionnée],TblCalculs[Cluster],$B62,TblCalculs[Mois],J$33),SUMIFS(TblCalculs[Workers],TblCalculs[Cluster],$B62,TblCalculs[Mois],J$33))))</f>
        <v/>
      </c>
      <c r="K62" s="58" t="str">
        <f aca="false">IF(OR($A62="",K$33=""),"",IF(ca_mesure="CPU",SUMIFS(TblCalculs[CPU provisionné],TblCalculs[Cluster],$B62,TblCalculs[Mois],K$33),IF(ca_mesure="RAM",SUMIFS(TblCalculs[RAM provisionnée],TblCalculs[Cluster],$B62,TblCalculs[Mois],K$33),SUMIFS(TblCalculs[Workers],TblCalculs[Cluster],$B62,TblCalculs[Mois],K$33))))</f>
        <v/>
      </c>
      <c r="L62" s="58" t="str">
        <f aca="false">IF(OR($A62="",L$33=""),"",IF(ca_mesure="CPU",SUMIFS(TblCalculs[CPU provisionné],TblCalculs[Cluster],$B62,TblCalculs[Mois],L$33),IF(ca_mesure="RAM",SUMIFS(TblCalculs[RAM provisionnée],TblCalculs[Cluster],$B62,TblCalculs[Mois],L$33),SUMIFS(TblCalculs[Workers],TblCalculs[Cluster],$B62,TblCalculs[Mois],L$33))))</f>
        <v/>
      </c>
      <c r="M62" s="58" t="str">
        <f aca="false">IF(OR($A62="",M$33=""),"",IF(ca_mesure="CPU",SUMIFS(TblCalculs[CPU provisionné],TblCalculs[Cluster],$B62,TblCalculs[Mois],M$33),IF(ca_mesure="RAM",SUMIFS(TblCalculs[RAM provisionnée],TblCalculs[Cluster],$B62,TblCalculs[Mois],M$33),SUMIFS(TblCalculs[Workers],TblCalculs[Cluster],$B62,TblCalculs[Mois],M$33))))</f>
        <v/>
      </c>
      <c r="N62" s="58" t="str">
        <f aca="false">IF(OR($A62="",N$33=""),"",IF(ca_mesure="CPU",SUMIFS(TblCalculs[CPU provisionné],TblCalculs[Cluster],$B62,TblCalculs[Mois],N$33),IF(ca_mesure="RAM",SUMIFS(TblCalculs[RAM provisionnée],TblCalculs[Cluster],$B62,TblCalculs[Mois],N$33),SUMIFS(TblCalculs[Workers],TblCalculs[Cluster],$B62,TblCalculs[Mois],N$33))))</f>
        <v/>
      </c>
      <c r="O62" s="58" t="str">
        <f aca="false">IF(OR($A62="",O$33=""),"",IF(ca_mesure="CPU",SUMIFS(TblCalculs[CPU provisionné],TblCalculs[Cluster],$B62,TblCalculs[Mois],O$33),IF(ca_mesure="RAM",SUMIFS(TblCalculs[RAM provisionnée],TblCalculs[Cluster],$B62,TblCalculs[Mois],O$33),SUMIFS(TblCalculs[Workers],TblCalculs[Cluster],$B62,TblCalculs[Mois],O$33))))</f>
        <v/>
      </c>
      <c r="P62" s="58" t="str">
        <f aca="false">IF(OR($A62="",P$33=""),"",IF(ca_mesure="CPU",SUMIFS(TblCalculs[CPU provisionné],TblCalculs[Cluster],$B62,TblCalculs[Mois],P$33),IF(ca_mesure="RAM",SUMIFS(TblCalculs[RAM provisionnée],TblCalculs[Cluster],$B62,TblCalculs[Mois],P$33),SUMIFS(TblCalculs[Workers],TblCalculs[Cluster],$B62,TblCalculs[Mois],P$33))))</f>
        <v/>
      </c>
      <c r="Q62" s="58" t="str">
        <f aca="false">IF(OR($A62="",Q$33=""),"",IF(ca_mesure="CPU",SUMIFS(TblCalculs[CPU provisionné],TblCalculs[Cluster],$B62,TblCalculs[Mois],Q$33),IF(ca_mesure="RAM",SUMIFS(TblCalculs[RAM provisionnée],TblCalculs[Cluster],$B62,TblCalculs[Mois],Q$33),SUMIFS(TblCalculs[Workers],TblCalculs[Cluster],$B62,TblCalculs[Mois],Q$33))))</f>
        <v/>
      </c>
      <c r="R62" s="58" t="str">
        <f aca="false">IF(OR($A62="",R$33=""),"",IF(ca_mesure="CPU",SUMIFS(TblCalculs[CPU provisionné],TblCalculs[Cluster],$B62,TblCalculs[Mois],R$33),IF(ca_mesure="RAM",SUMIFS(TblCalculs[RAM provisionnée],TblCalculs[Cluster],$B62,TblCalculs[Mois],R$33),SUMIFS(TblCalculs[Workers],TblCalculs[Cluster],$B62,TblCalculs[Mois],R$33))))</f>
        <v/>
      </c>
      <c r="S62" s="58" t="str">
        <f aca="false">IF(OR($A62="",S$33=""),"",IF(ca_mesure="CPU",SUMIFS(TblCalculs[CPU provisionné],TblCalculs[Cluster],$B62,TblCalculs[Mois],S$33),IF(ca_mesure="RAM",SUMIFS(TblCalculs[RAM provisionnée],TblCalculs[Cluster],$B62,TblCalculs[Mois],S$33),SUMIFS(TblCalculs[Workers],TblCalculs[Cluster],$B62,TblCalculs[Mois],S$33))))</f>
        <v/>
      </c>
      <c r="T62" s="58" t="str">
        <f aca="false">IF(OR($A62="",T$33=""),"",IF(ca_mesure="CPU",SUMIFS(TblCalculs[CPU provisionné],TblCalculs[Cluster],$B62,TblCalculs[Mois],T$33),IF(ca_mesure="RAM",SUMIFS(TblCalculs[RAM provisionnée],TblCalculs[Cluster],$B62,TblCalculs[Mois],T$33),SUMIFS(TblCalculs[Workers],TblCalculs[Cluster],$B62,TblCalculs[Mois],T$33))))</f>
        <v/>
      </c>
      <c r="U62" s="58" t="str">
        <f aca="false">IF(OR($A62="",U$33=""),"",IF(ca_mesure="CPU",SUMIFS(TblCalculs[CPU provisionné],TblCalculs[Cluster],$B62,TblCalculs[Mois],U$33),IF(ca_mesure="RAM",SUMIFS(TblCalculs[RAM provisionnée],TblCalculs[Cluster],$B62,TblCalculs[Mois],U$33),SUMIFS(TblCalculs[Workers],TblCalculs[Cluster],$B62,TblCalculs[Mois],U$33))))</f>
        <v/>
      </c>
      <c r="V62" s="58" t="str">
        <f aca="false">IF(OR($A62="",V$33=""),"",IF(ca_mesure="CPU",SUMIFS(TblCalculs[CPU provisionné],TblCalculs[Cluster],$B62,TblCalculs[Mois],V$33),IF(ca_mesure="RAM",SUMIFS(TblCalculs[RAM provisionnée],TblCalculs[Cluster],$B62,TblCalculs[Mois],V$33),SUMIFS(TblCalculs[Workers],TblCalculs[Cluster],$B62,TblCalculs[Mois],V$33))))</f>
        <v/>
      </c>
      <c r="W62" s="58" t="str">
        <f aca="false">IF(OR($A62="",W$33=""),"",IF(ca_mesure="CPU",SUMIFS(TblCalculs[CPU provisionné],TblCalculs[Cluster],$B62,TblCalculs[Mois],W$33),IF(ca_mesure="RAM",SUMIFS(TblCalculs[RAM provisionnée],TblCalculs[Cluster],$B62,TblCalculs[Mois],W$33),SUMIFS(TblCalculs[Workers],TblCalculs[Cluster],$B62,TblCalculs[Mois],W$33))))</f>
        <v/>
      </c>
      <c r="X62" s="58" t="str">
        <f aca="false">IF(OR($A62="",X$33=""),"",IF(ca_mesure="CPU",SUMIFS(TblCalculs[CPU provisionné],TblCalculs[Cluster],$B62,TblCalculs[Mois],X$33),IF(ca_mesure="RAM",SUMIFS(TblCalculs[RAM provisionnée],TblCalculs[Cluster],$B62,TblCalculs[Mois],X$33),SUMIFS(TblCalculs[Workers],TblCalculs[Cluster],$B62,TblCalculs[Mois],X$33))))</f>
        <v/>
      </c>
      <c r="Y62" s="58" t="str">
        <f aca="false">IF(OR($A62="",Y$33=""),"",IF(ca_mesure="CPU",SUMIFS(TblCalculs[CPU provisionné],TblCalculs[Cluster],$B62,TblCalculs[Mois],Y$33),IF(ca_mesure="RAM",SUMIFS(TblCalculs[RAM provisionnée],TblCalculs[Cluster],$B62,TblCalculs[Mois],Y$33),SUMIFS(TblCalculs[Workers],TblCalculs[Cluster],$B62,TblCalculs[Mois],Y$33))))</f>
        <v/>
      </c>
      <c r="Z62" s="58" t="str">
        <f aca="false">IF(OR($A62="",Z$33=""),"",IF(ca_mesure="CPU",SUMIFS(TblCalculs[CPU provisionné],TblCalculs[Cluster],$B62,TblCalculs[Mois],Z$33),IF(ca_mesure="RAM",SUMIFS(TblCalculs[RAM provisionnée],TblCalculs[Cluster],$B62,TblCalculs[Mois],Z$33),SUMIFS(TblCalculs[Workers],TblCalculs[Cluster],$B62,TblCalculs[Mois],Z$33))))</f>
        <v/>
      </c>
      <c r="AA62" s="58" t="str">
        <f aca="false">IF(OR($A62="",AA$33=""),"",IF(ca_mesure="CPU",SUMIFS(TblCalculs[CPU provisionné],TblCalculs[Cluster],$B62,TblCalculs[Mois],AA$33),IF(ca_mesure="RAM",SUMIFS(TblCalculs[RAM provisionnée],TblCalculs[Cluster],$B62,TblCalculs[Mois],AA$33),SUMIFS(TblCalculs[Workers],TblCalculs[Cluster],$B62,TblCalculs[Mois],AA$33))))</f>
        <v/>
      </c>
      <c r="AB62" s="58" t="str">
        <f aca="false">IF(OR($A62="",AB$33=""),"",IF(ca_mesure="CPU",SUMIFS(TblCalculs[CPU provisionné],TblCalculs[Cluster],$B62,TblCalculs[Mois],AB$33),IF(ca_mesure="RAM",SUMIFS(TblCalculs[RAM provisionnée],TblCalculs[Cluster],$B62,TblCalculs[Mois],AB$33),SUMIFS(TblCalculs[Workers],TblCalculs[Cluster],$B62,TblCalculs[Mois],AB$33))))</f>
        <v/>
      </c>
      <c r="AC62" s="58" t="str">
        <f aca="false">IF(OR($A62="",AC$33=""),"",IF(ca_mesure="CPU",SUMIFS(TblCalculs[CPU provisionné],TblCalculs[Cluster],$B62,TblCalculs[Mois],AC$33),IF(ca_mesure="RAM",SUMIFS(TblCalculs[RAM provisionnée],TblCalculs[Cluster],$B62,TblCalculs[Mois],AC$33),SUMIFS(TblCalculs[Workers],TblCalculs[Cluster],$B62,TblCalculs[Mois],AC$33))))</f>
        <v/>
      </c>
      <c r="AD62" s="58" t="str">
        <f aca="false">IF(OR($A62="",AD$33=""),"",IF(ca_mesure="CPU",SUMIFS(TblCalculs[CPU provisionné],TblCalculs[Cluster],$B62,TblCalculs[Mois],AD$33),IF(ca_mesure="RAM",SUMIFS(TblCalculs[RAM provisionnée],TblCalculs[Cluster],$B62,TblCalculs[Mois],AD$33),SUMIFS(TblCalculs[Workers],TblCalculs[Cluster],$B62,TblCalculs[Mois],AD$33))))</f>
        <v/>
      </c>
      <c r="AE62" s="58" t="str">
        <f aca="false">IF(OR($A62="",AE$33=""),"",IF(ca_mesure="CPU",SUMIFS(TblCalculs[CPU provisionné],TblCalculs[Cluster],$B62,TblCalculs[Mois],AE$33),IF(ca_mesure="RAM",SUMIFS(TblCalculs[RAM provisionnée],TblCalculs[Cluster],$B62,TblCalculs[Mois],AE$33),SUMIFS(TblCalculs[Workers],TblCalculs[Cluster],$B62,TblCalculs[Mois],AE$33))))</f>
        <v/>
      </c>
      <c r="AF62" s="58" t="str">
        <f aca="false">IF(OR($A62="",AF$33=""),"",IF(ca_mesure="CPU",SUMIFS(TblCalculs[CPU provisionné],TblCalculs[Cluster],$B62,TblCalculs[Mois],AF$33),IF(ca_mesure="RAM",SUMIFS(TblCalculs[RAM provisionnée],TblCalculs[Cluster],$B62,TblCalculs[Mois],AF$33),SUMIFS(TblCalculs[Workers],TblCalculs[Cluster],$B62,TblCalculs[Mois],AF$33))))</f>
        <v/>
      </c>
      <c r="AG62" s="58" t="str">
        <f aca="false">IF(OR($A62="",AG$33=""),"",IF(ca_mesure="CPU",SUMIFS(TblCalculs[CPU provisionné],TblCalculs[Cluster],$B62,TblCalculs[Mois],AG$33),IF(ca_mesure="RAM",SUMIFS(TblCalculs[RAM provisionnée],TblCalculs[Cluster],$B62,TblCalculs[Mois],AG$33),SUMIFS(TblCalculs[Workers],TblCalculs[Cluster],$B62,TblCalculs[Mois],AG$33))))</f>
        <v/>
      </c>
      <c r="AH62" s="58" t="str">
        <f aca="false">IF(OR($A62="",AH$33=""),"",IF(ca_mesure="CPU",SUMIFS(TblCalculs[CPU provisionné],TblCalculs[Cluster],$B62,TblCalculs[Mois],AH$33),IF(ca_mesure="RAM",SUMIFS(TblCalculs[RAM provisionnée],TblCalculs[Cluster],$B62,TblCalculs[Mois],AH$33),SUMIFS(TblCalculs[Workers],TblCalculs[Cluster],$B62,TblCalculs[Mois],AH$33))))</f>
        <v/>
      </c>
      <c r="AI62" s="58" t="str">
        <f aca="false">IF(OR($A62="",AI$33=""),"",IF(ca_mesure="CPU",SUMIFS(TblCalculs[CPU provisionné],TblCalculs[Cluster],$B62,TblCalculs[Mois],AI$33),IF(ca_mesure="RAM",SUMIFS(TblCalculs[RAM provisionnée],TblCalculs[Cluster],$B62,TblCalculs[Mois],AI$33),SUMIFS(TblCalculs[Workers],TblCalculs[Cluster],$B62,TblCalculs[Mois],AI$33))))</f>
        <v/>
      </c>
      <c r="AJ62" s="58" t="str">
        <f aca="false">IF(OR($A62="",AJ$33=""),"",IF(ca_mesure="CPU",SUMIFS(TblCalculs[CPU provisionné],TblCalculs[Cluster],$B62,TblCalculs[Mois],AJ$33),IF(ca_mesure="RAM",SUMIFS(TblCalculs[RAM provisionnée],TblCalculs[Cluster],$B62,TblCalculs[Mois],AJ$33),SUMIFS(TblCalculs[Workers],TblCalculs[Cluster],$B62,TblCalculs[Mois],AJ$33))))</f>
        <v/>
      </c>
      <c r="AK62" s="58" t="str">
        <f aca="false">IF(OR($A62="",AK$33=""),"",IF(ca_mesure="CPU",SUMIFS(TblCalculs[CPU provisionné],TblCalculs[Cluster],$B62,TblCalculs[Mois],AK$33),IF(ca_mesure="RAM",SUMIFS(TblCalculs[RAM provisionnée],TblCalculs[Cluster],$B62,TblCalculs[Mois],AK$33),SUMIFS(TblCalculs[Workers],TblCalculs[Cluster],$B62,TblCalculs[Mois],AK$33))))</f>
        <v/>
      </c>
      <c r="AL62" s="58" t="str">
        <f aca="false">IF(OR($A62="",AL$33=""),"",IF(ca_mesure="CPU",SUMIFS(TblCalculs[CPU provisionné],TblCalculs[Cluster],$B62,TblCalculs[Mois],AL$33),IF(ca_mesure="RAM",SUMIFS(TblCalculs[RAM provisionnée],TblCalculs[Cluster],$B62,TblCalculs[Mois],AL$33),SUMIFS(TblCalculs[Workers],TblCalculs[Cluster],$B62,TblCalculs[Mois],AL$33))))</f>
        <v/>
      </c>
      <c r="AM62" s="58" t="str">
        <f aca="false">IF(OR($A62="",AM$33=""),"",IF(ca_mesure="CPU",SUMIFS(TblCalculs[CPU provisionné],TblCalculs[Cluster],$B62,TblCalculs[Mois],AM$33),IF(ca_mesure="RAM",SUMIFS(TblCalculs[RAM provisionnée],TblCalculs[Cluster],$B62,TblCalculs[Mois],AM$33),SUMIFS(TblCalculs[Workers],TblCalculs[Cluster],$B62,TblCalculs[Mois],AM$33))))</f>
        <v/>
      </c>
      <c r="AN62" s="58" t="str">
        <f aca="false">IF(OR($A62="",AN$33=""),"",IF(ca_mesure="CPU",SUMIFS(TblCalculs[CPU provisionné],TblCalculs[Cluster],$B62,TblCalculs[Mois],AN$33),IF(ca_mesure="RAM",SUMIFS(TblCalculs[RAM provisionnée],TblCalculs[Cluster],$B62,TblCalculs[Mois],AN$33),SUMIFS(TblCalculs[Workers],TblCalculs[Cluster],$B62,TblCalculs[Mois],AN$33))))</f>
        <v/>
      </c>
      <c r="AO62" s="58" t="str">
        <f aca="false">IF(OR($A62="",AO$33=""),"",IF(ca_mesure="CPU",SUMIFS(TblCalculs[CPU provisionné],TblCalculs[Cluster],$B62,TblCalculs[Mois],AO$33),IF(ca_mesure="RAM",SUMIFS(TblCalculs[RAM provisionnée],TblCalculs[Cluster],$B62,TblCalculs[Mois],AO$33),SUMIFS(TblCalculs[Workers],TblCalculs[Cluster],$B62,TblCalculs[Mois],AO$33))))</f>
        <v/>
      </c>
    </row>
    <row r="63" customFormat="false" ht="15" hidden="false" customHeight="false" outlineLevel="0" collapsed="false">
      <c r="A63" s="49" t="str">
        <f aca="false">IFERROR(MATCH(30,TblClusters[Rang capacités],0),"")</f>
        <v/>
      </c>
      <c r="B63" s="57" t="str">
        <f aca="false">IF($A63="","",INDEX(TblClusters[Cluster],$A63))</f>
        <v/>
      </c>
      <c r="C63" s="50" t="str">
        <f aca="false">IF($A63="","",INDEX(TblClusters[Plateforme],$A63))</f>
        <v/>
      </c>
      <c r="D63" s="50" t="str">
        <f aca="false">IF($A63="","",INDEX(TblClusters[Environnement],$A63))</f>
        <v/>
      </c>
      <c r="E63" s="50" t="str">
        <f aca="false">IF($A63="","",INDEX(TblClusters[Flavor],$A63))</f>
        <v/>
      </c>
      <c r="F63" s="58" t="str">
        <f aca="false">IF(OR($A63="",F$33=""),"",IF(ca_mesure="CPU",SUMIFS(TblCalculs[CPU provisionné],TblCalculs[Cluster],$B63,TblCalculs[Mois],F$33),IF(ca_mesure="RAM",SUMIFS(TblCalculs[RAM provisionnée],TblCalculs[Cluster],$B63,TblCalculs[Mois],F$33),SUMIFS(TblCalculs[Workers],TblCalculs[Cluster],$B63,TblCalculs[Mois],F$33))))</f>
        <v/>
      </c>
      <c r="G63" s="58" t="str">
        <f aca="false">IF(OR($A63="",G$33=""),"",IF(ca_mesure="CPU",SUMIFS(TblCalculs[CPU provisionné],TblCalculs[Cluster],$B63,TblCalculs[Mois],G$33),IF(ca_mesure="RAM",SUMIFS(TblCalculs[RAM provisionnée],TblCalculs[Cluster],$B63,TblCalculs[Mois],G$33),SUMIFS(TblCalculs[Workers],TblCalculs[Cluster],$B63,TblCalculs[Mois],G$33))))</f>
        <v/>
      </c>
      <c r="H63" s="58" t="str">
        <f aca="false">IF(OR($A63="",H$33=""),"",IF(ca_mesure="CPU",SUMIFS(TblCalculs[CPU provisionné],TblCalculs[Cluster],$B63,TblCalculs[Mois],H$33),IF(ca_mesure="RAM",SUMIFS(TblCalculs[RAM provisionnée],TblCalculs[Cluster],$B63,TblCalculs[Mois],H$33),SUMIFS(TblCalculs[Workers],TblCalculs[Cluster],$B63,TblCalculs[Mois],H$33))))</f>
        <v/>
      </c>
      <c r="I63" s="58" t="str">
        <f aca="false">IF(OR($A63="",I$33=""),"",IF(ca_mesure="CPU",SUMIFS(TblCalculs[CPU provisionné],TblCalculs[Cluster],$B63,TblCalculs[Mois],I$33),IF(ca_mesure="RAM",SUMIFS(TblCalculs[RAM provisionnée],TblCalculs[Cluster],$B63,TblCalculs[Mois],I$33),SUMIFS(TblCalculs[Workers],TblCalculs[Cluster],$B63,TblCalculs[Mois],I$33))))</f>
        <v/>
      </c>
      <c r="J63" s="58" t="str">
        <f aca="false">IF(OR($A63="",J$33=""),"",IF(ca_mesure="CPU",SUMIFS(TblCalculs[CPU provisionné],TblCalculs[Cluster],$B63,TblCalculs[Mois],J$33),IF(ca_mesure="RAM",SUMIFS(TblCalculs[RAM provisionnée],TblCalculs[Cluster],$B63,TblCalculs[Mois],J$33),SUMIFS(TblCalculs[Workers],TblCalculs[Cluster],$B63,TblCalculs[Mois],J$33))))</f>
        <v/>
      </c>
      <c r="K63" s="58" t="str">
        <f aca="false">IF(OR($A63="",K$33=""),"",IF(ca_mesure="CPU",SUMIFS(TblCalculs[CPU provisionné],TblCalculs[Cluster],$B63,TblCalculs[Mois],K$33),IF(ca_mesure="RAM",SUMIFS(TblCalculs[RAM provisionnée],TblCalculs[Cluster],$B63,TblCalculs[Mois],K$33),SUMIFS(TblCalculs[Workers],TblCalculs[Cluster],$B63,TblCalculs[Mois],K$33))))</f>
        <v/>
      </c>
      <c r="L63" s="58" t="str">
        <f aca="false">IF(OR($A63="",L$33=""),"",IF(ca_mesure="CPU",SUMIFS(TblCalculs[CPU provisionné],TblCalculs[Cluster],$B63,TblCalculs[Mois],L$33),IF(ca_mesure="RAM",SUMIFS(TblCalculs[RAM provisionnée],TblCalculs[Cluster],$B63,TblCalculs[Mois],L$33),SUMIFS(TblCalculs[Workers],TblCalculs[Cluster],$B63,TblCalculs[Mois],L$33))))</f>
        <v/>
      </c>
      <c r="M63" s="58" t="str">
        <f aca="false">IF(OR($A63="",M$33=""),"",IF(ca_mesure="CPU",SUMIFS(TblCalculs[CPU provisionné],TblCalculs[Cluster],$B63,TblCalculs[Mois],M$33),IF(ca_mesure="RAM",SUMIFS(TblCalculs[RAM provisionnée],TblCalculs[Cluster],$B63,TblCalculs[Mois],M$33),SUMIFS(TblCalculs[Workers],TblCalculs[Cluster],$B63,TblCalculs[Mois],M$33))))</f>
        <v/>
      </c>
      <c r="N63" s="58" t="str">
        <f aca="false">IF(OR($A63="",N$33=""),"",IF(ca_mesure="CPU",SUMIFS(TblCalculs[CPU provisionné],TblCalculs[Cluster],$B63,TblCalculs[Mois],N$33),IF(ca_mesure="RAM",SUMIFS(TblCalculs[RAM provisionnée],TblCalculs[Cluster],$B63,TblCalculs[Mois],N$33),SUMIFS(TblCalculs[Workers],TblCalculs[Cluster],$B63,TblCalculs[Mois],N$33))))</f>
        <v/>
      </c>
      <c r="O63" s="58" t="str">
        <f aca="false">IF(OR($A63="",O$33=""),"",IF(ca_mesure="CPU",SUMIFS(TblCalculs[CPU provisionné],TblCalculs[Cluster],$B63,TblCalculs[Mois],O$33),IF(ca_mesure="RAM",SUMIFS(TblCalculs[RAM provisionnée],TblCalculs[Cluster],$B63,TblCalculs[Mois],O$33),SUMIFS(TblCalculs[Workers],TblCalculs[Cluster],$B63,TblCalculs[Mois],O$33))))</f>
        <v/>
      </c>
      <c r="P63" s="58" t="str">
        <f aca="false">IF(OR($A63="",P$33=""),"",IF(ca_mesure="CPU",SUMIFS(TblCalculs[CPU provisionné],TblCalculs[Cluster],$B63,TblCalculs[Mois],P$33),IF(ca_mesure="RAM",SUMIFS(TblCalculs[RAM provisionnée],TblCalculs[Cluster],$B63,TblCalculs[Mois],P$33),SUMIFS(TblCalculs[Workers],TblCalculs[Cluster],$B63,TblCalculs[Mois],P$33))))</f>
        <v/>
      </c>
      <c r="Q63" s="58" t="str">
        <f aca="false">IF(OR($A63="",Q$33=""),"",IF(ca_mesure="CPU",SUMIFS(TblCalculs[CPU provisionné],TblCalculs[Cluster],$B63,TblCalculs[Mois],Q$33),IF(ca_mesure="RAM",SUMIFS(TblCalculs[RAM provisionnée],TblCalculs[Cluster],$B63,TblCalculs[Mois],Q$33),SUMIFS(TblCalculs[Workers],TblCalculs[Cluster],$B63,TblCalculs[Mois],Q$33))))</f>
        <v/>
      </c>
      <c r="R63" s="58" t="str">
        <f aca="false">IF(OR($A63="",R$33=""),"",IF(ca_mesure="CPU",SUMIFS(TblCalculs[CPU provisionné],TblCalculs[Cluster],$B63,TblCalculs[Mois],R$33),IF(ca_mesure="RAM",SUMIFS(TblCalculs[RAM provisionnée],TblCalculs[Cluster],$B63,TblCalculs[Mois],R$33),SUMIFS(TblCalculs[Workers],TblCalculs[Cluster],$B63,TblCalculs[Mois],R$33))))</f>
        <v/>
      </c>
      <c r="S63" s="58" t="str">
        <f aca="false">IF(OR($A63="",S$33=""),"",IF(ca_mesure="CPU",SUMIFS(TblCalculs[CPU provisionné],TblCalculs[Cluster],$B63,TblCalculs[Mois],S$33),IF(ca_mesure="RAM",SUMIFS(TblCalculs[RAM provisionnée],TblCalculs[Cluster],$B63,TblCalculs[Mois],S$33),SUMIFS(TblCalculs[Workers],TblCalculs[Cluster],$B63,TblCalculs[Mois],S$33))))</f>
        <v/>
      </c>
      <c r="T63" s="58" t="str">
        <f aca="false">IF(OR($A63="",T$33=""),"",IF(ca_mesure="CPU",SUMIFS(TblCalculs[CPU provisionné],TblCalculs[Cluster],$B63,TblCalculs[Mois],T$33),IF(ca_mesure="RAM",SUMIFS(TblCalculs[RAM provisionnée],TblCalculs[Cluster],$B63,TblCalculs[Mois],T$33),SUMIFS(TblCalculs[Workers],TblCalculs[Cluster],$B63,TblCalculs[Mois],T$33))))</f>
        <v/>
      </c>
      <c r="U63" s="58" t="str">
        <f aca="false">IF(OR($A63="",U$33=""),"",IF(ca_mesure="CPU",SUMIFS(TblCalculs[CPU provisionné],TblCalculs[Cluster],$B63,TblCalculs[Mois],U$33),IF(ca_mesure="RAM",SUMIFS(TblCalculs[RAM provisionnée],TblCalculs[Cluster],$B63,TblCalculs[Mois],U$33),SUMIFS(TblCalculs[Workers],TblCalculs[Cluster],$B63,TblCalculs[Mois],U$33))))</f>
        <v/>
      </c>
      <c r="V63" s="58" t="str">
        <f aca="false">IF(OR($A63="",V$33=""),"",IF(ca_mesure="CPU",SUMIFS(TblCalculs[CPU provisionné],TblCalculs[Cluster],$B63,TblCalculs[Mois],V$33),IF(ca_mesure="RAM",SUMIFS(TblCalculs[RAM provisionnée],TblCalculs[Cluster],$B63,TblCalculs[Mois],V$33),SUMIFS(TblCalculs[Workers],TblCalculs[Cluster],$B63,TblCalculs[Mois],V$33))))</f>
        <v/>
      </c>
      <c r="W63" s="58" t="str">
        <f aca="false">IF(OR($A63="",W$33=""),"",IF(ca_mesure="CPU",SUMIFS(TblCalculs[CPU provisionné],TblCalculs[Cluster],$B63,TblCalculs[Mois],W$33),IF(ca_mesure="RAM",SUMIFS(TblCalculs[RAM provisionnée],TblCalculs[Cluster],$B63,TblCalculs[Mois],W$33),SUMIFS(TblCalculs[Workers],TblCalculs[Cluster],$B63,TblCalculs[Mois],W$33))))</f>
        <v/>
      </c>
      <c r="X63" s="58" t="str">
        <f aca="false">IF(OR($A63="",X$33=""),"",IF(ca_mesure="CPU",SUMIFS(TblCalculs[CPU provisionné],TblCalculs[Cluster],$B63,TblCalculs[Mois],X$33),IF(ca_mesure="RAM",SUMIFS(TblCalculs[RAM provisionnée],TblCalculs[Cluster],$B63,TblCalculs[Mois],X$33),SUMIFS(TblCalculs[Workers],TblCalculs[Cluster],$B63,TblCalculs[Mois],X$33))))</f>
        <v/>
      </c>
      <c r="Y63" s="58" t="str">
        <f aca="false">IF(OR($A63="",Y$33=""),"",IF(ca_mesure="CPU",SUMIFS(TblCalculs[CPU provisionné],TblCalculs[Cluster],$B63,TblCalculs[Mois],Y$33),IF(ca_mesure="RAM",SUMIFS(TblCalculs[RAM provisionnée],TblCalculs[Cluster],$B63,TblCalculs[Mois],Y$33),SUMIFS(TblCalculs[Workers],TblCalculs[Cluster],$B63,TblCalculs[Mois],Y$33))))</f>
        <v/>
      </c>
      <c r="Z63" s="58" t="str">
        <f aca="false">IF(OR($A63="",Z$33=""),"",IF(ca_mesure="CPU",SUMIFS(TblCalculs[CPU provisionné],TblCalculs[Cluster],$B63,TblCalculs[Mois],Z$33),IF(ca_mesure="RAM",SUMIFS(TblCalculs[RAM provisionnée],TblCalculs[Cluster],$B63,TblCalculs[Mois],Z$33),SUMIFS(TblCalculs[Workers],TblCalculs[Cluster],$B63,TblCalculs[Mois],Z$33))))</f>
        <v/>
      </c>
      <c r="AA63" s="58" t="str">
        <f aca="false">IF(OR($A63="",AA$33=""),"",IF(ca_mesure="CPU",SUMIFS(TblCalculs[CPU provisionné],TblCalculs[Cluster],$B63,TblCalculs[Mois],AA$33),IF(ca_mesure="RAM",SUMIFS(TblCalculs[RAM provisionnée],TblCalculs[Cluster],$B63,TblCalculs[Mois],AA$33),SUMIFS(TblCalculs[Workers],TblCalculs[Cluster],$B63,TblCalculs[Mois],AA$33))))</f>
        <v/>
      </c>
      <c r="AB63" s="58" t="str">
        <f aca="false">IF(OR($A63="",AB$33=""),"",IF(ca_mesure="CPU",SUMIFS(TblCalculs[CPU provisionné],TblCalculs[Cluster],$B63,TblCalculs[Mois],AB$33),IF(ca_mesure="RAM",SUMIFS(TblCalculs[RAM provisionnée],TblCalculs[Cluster],$B63,TblCalculs[Mois],AB$33),SUMIFS(TblCalculs[Workers],TblCalculs[Cluster],$B63,TblCalculs[Mois],AB$33))))</f>
        <v/>
      </c>
      <c r="AC63" s="58" t="str">
        <f aca="false">IF(OR($A63="",AC$33=""),"",IF(ca_mesure="CPU",SUMIFS(TblCalculs[CPU provisionné],TblCalculs[Cluster],$B63,TblCalculs[Mois],AC$33),IF(ca_mesure="RAM",SUMIFS(TblCalculs[RAM provisionnée],TblCalculs[Cluster],$B63,TblCalculs[Mois],AC$33),SUMIFS(TblCalculs[Workers],TblCalculs[Cluster],$B63,TblCalculs[Mois],AC$33))))</f>
        <v/>
      </c>
      <c r="AD63" s="58" t="str">
        <f aca="false">IF(OR($A63="",AD$33=""),"",IF(ca_mesure="CPU",SUMIFS(TblCalculs[CPU provisionné],TblCalculs[Cluster],$B63,TblCalculs[Mois],AD$33),IF(ca_mesure="RAM",SUMIFS(TblCalculs[RAM provisionnée],TblCalculs[Cluster],$B63,TblCalculs[Mois],AD$33),SUMIFS(TblCalculs[Workers],TblCalculs[Cluster],$B63,TblCalculs[Mois],AD$33))))</f>
        <v/>
      </c>
      <c r="AE63" s="58" t="str">
        <f aca="false">IF(OR($A63="",AE$33=""),"",IF(ca_mesure="CPU",SUMIFS(TblCalculs[CPU provisionné],TblCalculs[Cluster],$B63,TblCalculs[Mois],AE$33),IF(ca_mesure="RAM",SUMIFS(TblCalculs[RAM provisionnée],TblCalculs[Cluster],$B63,TblCalculs[Mois],AE$33),SUMIFS(TblCalculs[Workers],TblCalculs[Cluster],$B63,TblCalculs[Mois],AE$33))))</f>
        <v/>
      </c>
      <c r="AF63" s="58" t="str">
        <f aca="false">IF(OR($A63="",AF$33=""),"",IF(ca_mesure="CPU",SUMIFS(TblCalculs[CPU provisionné],TblCalculs[Cluster],$B63,TblCalculs[Mois],AF$33),IF(ca_mesure="RAM",SUMIFS(TblCalculs[RAM provisionnée],TblCalculs[Cluster],$B63,TblCalculs[Mois],AF$33),SUMIFS(TblCalculs[Workers],TblCalculs[Cluster],$B63,TblCalculs[Mois],AF$33))))</f>
        <v/>
      </c>
      <c r="AG63" s="58" t="str">
        <f aca="false">IF(OR($A63="",AG$33=""),"",IF(ca_mesure="CPU",SUMIFS(TblCalculs[CPU provisionné],TblCalculs[Cluster],$B63,TblCalculs[Mois],AG$33),IF(ca_mesure="RAM",SUMIFS(TblCalculs[RAM provisionnée],TblCalculs[Cluster],$B63,TblCalculs[Mois],AG$33),SUMIFS(TblCalculs[Workers],TblCalculs[Cluster],$B63,TblCalculs[Mois],AG$33))))</f>
        <v/>
      </c>
      <c r="AH63" s="58" t="str">
        <f aca="false">IF(OR($A63="",AH$33=""),"",IF(ca_mesure="CPU",SUMIFS(TblCalculs[CPU provisionné],TblCalculs[Cluster],$B63,TblCalculs[Mois],AH$33),IF(ca_mesure="RAM",SUMIFS(TblCalculs[RAM provisionnée],TblCalculs[Cluster],$B63,TblCalculs[Mois],AH$33),SUMIFS(TblCalculs[Workers],TblCalculs[Cluster],$B63,TblCalculs[Mois],AH$33))))</f>
        <v/>
      </c>
      <c r="AI63" s="58" t="str">
        <f aca="false">IF(OR($A63="",AI$33=""),"",IF(ca_mesure="CPU",SUMIFS(TblCalculs[CPU provisionné],TblCalculs[Cluster],$B63,TblCalculs[Mois],AI$33),IF(ca_mesure="RAM",SUMIFS(TblCalculs[RAM provisionnée],TblCalculs[Cluster],$B63,TblCalculs[Mois],AI$33),SUMIFS(TblCalculs[Workers],TblCalculs[Cluster],$B63,TblCalculs[Mois],AI$33))))</f>
        <v/>
      </c>
      <c r="AJ63" s="58" t="str">
        <f aca="false">IF(OR($A63="",AJ$33=""),"",IF(ca_mesure="CPU",SUMIFS(TblCalculs[CPU provisionné],TblCalculs[Cluster],$B63,TblCalculs[Mois],AJ$33),IF(ca_mesure="RAM",SUMIFS(TblCalculs[RAM provisionnée],TblCalculs[Cluster],$B63,TblCalculs[Mois],AJ$33),SUMIFS(TblCalculs[Workers],TblCalculs[Cluster],$B63,TblCalculs[Mois],AJ$33))))</f>
        <v/>
      </c>
      <c r="AK63" s="58" t="str">
        <f aca="false">IF(OR($A63="",AK$33=""),"",IF(ca_mesure="CPU",SUMIFS(TblCalculs[CPU provisionné],TblCalculs[Cluster],$B63,TblCalculs[Mois],AK$33),IF(ca_mesure="RAM",SUMIFS(TblCalculs[RAM provisionnée],TblCalculs[Cluster],$B63,TblCalculs[Mois],AK$33),SUMIFS(TblCalculs[Workers],TblCalculs[Cluster],$B63,TblCalculs[Mois],AK$33))))</f>
        <v/>
      </c>
      <c r="AL63" s="58" t="str">
        <f aca="false">IF(OR($A63="",AL$33=""),"",IF(ca_mesure="CPU",SUMIFS(TblCalculs[CPU provisionné],TblCalculs[Cluster],$B63,TblCalculs[Mois],AL$33),IF(ca_mesure="RAM",SUMIFS(TblCalculs[RAM provisionnée],TblCalculs[Cluster],$B63,TblCalculs[Mois],AL$33),SUMIFS(TblCalculs[Workers],TblCalculs[Cluster],$B63,TblCalculs[Mois],AL$33))))</f>
        <v/>
      </c>
      <c r="AM63" s="58" t="str">
        <f aca="false">IF(OR($A63="",AM$33=""),"",IF(ca_mesure="CPU",SUMIFS(TblCalculs[CPU provisionné],TblCalculs[Cluster],$B63,TblCalculs[Mois],AM$33),IF(ca_mesure="RAM",SUMIFS(TblCalculs[RAM provisionnée],TblCalculs[Cluster],$B63,TblCalculs[Mois],AM$33),SUMIFS(TblCalculs[Workers],TblCalculs[Cluster],$B63,TblCalculs[Mois],AM$33))))</f>
        <v/>
      </c>
      <c r="AN63" s="58" t="str">
        <f aca="false">IF(OR($A63="",AN$33=""),"",IF(ca_mesure="CPU",SUMIFS(TblCalculs[CPU provisionné],TblCalculs[Cluster],$B63,TblCalculs[Mois],AN$33),IF(ca_mesure="RAM",SUMIFS(TblCalculs[RAM provisionnée],TblCalculs[Cluster],$B63,TblCalculs[Mois],AN$33),SUMIFS(TblCalculs[Workers],TblCalculs[Cluster],$B63,TblCalculs[Mois],AN$33))))</f>
        <v/>
      </c>
      <c r="AO63" s="58" t="str">
        <f aca="false">IF(OR($A63="",AO$33=""),"",IF(ca_mesure="CPU",SUMIFS(TblCalculs[CPU provisionné],TblCalculs[Cluster],$B63,TblCalculs[Mois],AO$33),IF(ca_mesure="RAM",SUMIFS(TblCalculs[RAM provisionnée],TblCalculs[Cluster],$B63,TblCalculs[Mois],AO$33),SUMIFS(TblCalculs[Workers],TblCalculs[Cluster],$B63,TblCalculs[Mois],AO$33))))</f>
        <v/>
      </c>
    </row>
    <row r="68" customFormat="false" ht="15" hidden="false" customHeight="false" outlineLevel="0" collapsed="false">
      <c r="B68" s="38" t="s">
        <v>78</v>
      </c>
    </row>
    <row r="69" customFormat="false" ht="30" hidden="false" customHeight="true" outlineLevel="0" collapsed="false">
      <c r="B69" s="20" t="s">
        <v>42</v>
      </c>
      <c r="C69" s="20" t="s">
        <v>79</v>
      </c>
      <c r="D69" s="20" t="s">
        <v>80</v>
      </c>
      <c r="E69" s="20" t="s">
        <v>81</v>
      </c>
      <c r="F69" s="20" t="s">
        <v>82</v>
      </c>
      <c r="G69" s="20" t="s">
        <v>70</v>
      </c>
      <c r="H69" s="20" t="s">
        <v>71</v>
      </c>
    </row>
    <row r="70" customFormat="false" ht="15" hidden="false" customHeight="false" outlineLevel="0" collapsed="false">
      <c r="B70" s="39" t="n">
        <f aca="false">IF(1&gt;p_horizon,"",EDATE(p_debut,0))</f>
        <v>46296</v>
      </c>
      <c r="C70" s="59" t="n">
        <f aca="false">IF(1&gt;p_horizon,"",SUMIFS(TblCalculs[CPU provisionné],TblCalculs[Mois],$B70,TblCalculs[Plateforme],"IKS",TblCalculs[Environnement],ca_envc))</f>
        <v>896</v>
      </c>
      <c r="D70" s="59" t="n">
        <f aca="false">IF(1&gt;p_horizon,"",SUMIFS(TblCalculs[CPU provisionné],TblCalculs[Mois],$B70,TblCalculs[Plateforme],"ROKS",TblCalculs[Environnement],ca_envc))</f>
        <v>288</v>
      </c>
      <c r="E70" s="59" t="n">
        <f aca="false">IF(1&gt;p_horizon,"",SUMIFS(TblCalculs[RAM provisionnée],TblCalculs[Mois],$B70,TblCalculs[Plateforme],"IKS",TblCalculs[Environnement],ca_envc))</f>
        <v>3584</v>
      </c>
      <c r="F70" s="59" t="n">
        <f aca="false">IF(1&gt;p_horizon,"",SUMIFS(TblCalculs[RAM provisionnée],TblCalculs[Mois],$B70,TblCalculs[Plateforme],"ROKS",TblCalculs[Environnement],ca_envc))</f>
        <v>1440</v>
      </c>
      <c r="G70" s="59" t="n">
        <f aca="false">IF(1&gt;p_horizon,"",SUMIFS(TblCalculs[Workers],TblCalculs[Mois],$B70,TblCalculs[Plateforme],"IKS",TblCalculs[Environnement],ca_envc))</f>
        <v>38</v>
      </c>
      <c r="H70" s="59" t="n">
        <f aca="false">IF(1&gt;p_horizon,"",SUMIFS(TblCalculs[Workers],TblCalculs[Mois],$B70,TblCalculs[Plateforme],"ROKS",TblCalculs[Environnement],ca_envc))</f>
        <v>12</v>
      </c>
    </row>
    <row r="71" customFormat="false" ht="15" hidden="false" customHeight="false" outlineLevel="0" collapsed="false">
      <c r="B71" s="39" t="n">
        <f aca="false">IF(2&gt;p_horizon,"",EDATE(p_debut,1))</f>
        <v>46327</v>
      </c>
      <c r="C71" s="59" t="n">
        <f aca="false">IF(2&gt;p_horizon,"",SUMIFS(TblCalculs[CPU provisionné],TblCalculs[Mois],$B71,TblCalculs[Plateforme],"IKS",TblCalculs[Environnement],ca_envc))</f>
        <v>896</v>
      </c>
      <c r="D71" s="59" t="n">
        <f aca="false">IF(2&gt;p_horizon,"",SUMIFS(TblCalculs[CPU provisionné],TblCalculs[Mois],$B71,TblCalculs[Plateforme],"ROKS",TblCalculs[Environnement],ca_envc))</f>
        <v>288</v>
      </c>
      <c r="E71" s="59" t="n">
        <f aca="false">IF(2&gt;p_horizon,"",SUMIFS(TblCalculs[RAM provisionnée],TblCalculs[Mois],$B71,TblCalculs[Plateforme],"IKS",TblCalculs[Environnement],ca_envc))</f>
        <v>3584</v>
      </c>
      <c r="F71" s="59" t="n">
        <f aca="false">IF(2&gt;p_horizon,"",SUMIFS(TblCalculs[RAM provisionnée],TblCalculs[Mois],$B71,TblCalculs[Plateforme],"ROKS",TblCalculs[Environnement],ca_envc))</f>
        <v>1440</v>
      </c>
      <c r="G71" s="59" t="n">
        <f aca="false">IF(2&gt;p_horizon,"",SUMIFS(TblCalculs[Workers],TblCalculs[Mois],$B71,TblCalculs[Plateforme],"IKS",TblCalculs[Environnement],ca_envc))</f>
        <v>38</v>
      </c>
      <c r="H71" s="59" t="n">
        <f aca="false">IF(2&gt;p_horizon,"",SUMIFS(TblCalculs[Workers],TblCalculs[Mois],$B71,TblCalculs[Plateforme],"ROKS",TblCalculs[Environnement],ca_envc))</f>
        <v>12</v>
      </c>
    </row>
    <row r="72" customFormat="false" ht="15" hidden="false" customHeight="false" outlineLevel="0" collapsed="false">
      <c r="B72" s="39" t="n">
        <f aca="false">IF(3&gt;p_horizon,"",EDATE(p_debut,2))</f>
        <v>46357</v>
      </c>
      <c r="C72" s="59" t="n">
        <f aca="false">IF(3&gt;p_horizon,"",SUMIFS(TblCalculs[CPU provisionné],TblCalculs[Mois],$B72,TblCalculs[Plateforme],"IKS",TblCalculs[Environnement],ca_envc))</f>
        <v>896</v>
      </c>
      <c r="D72" s="59" t="n">
        <f aca="false">IF(3&gt;p_horizon,"",SUMIFS(TblCalculs[CPU provisionné],TblCalculs[Mois],$B72,TblCalculs[Plateforme],"ROKS",TblCalculs[Environnement],ca_envc))</f>
        <v>288</v>
      </c>
      <c r="E72" s="59" t="n">
        <f aca="false">IF(3&gt;p_horizon,"",SUMIFS(TblCalculs[RAM provisionnée],TblCalculs[Mois],$B72,TblCalculs[Plateforme],"IKS",TblCalculs[Environnement],ca_envc))</f>
        <v>3584</v>
      </c>
      <c r="F72" s="59" t="n">
        <f aca="false">IF(3&gt;p_horizon,"",SUMIFS(TblCalculs[RAM provisionnée],TblCalculs[Mois],$B72,TblCalculs[Plateforme],"ROKS",TblCalculs[Environnement],ca_envc))</f>
        <v>1440</v>
      </c>
      <c r="G72" s="59" t="n">
        <f aca="false">IF(3&gt;p_horizon,"",SUMIFS(TblCalculs[Workers],TblCalculs[Mois],$B72,TblCalculs[Plateforme],"IKS",TblCalculs[Environnement],ca_envc))</f>
        <v>38</v>
      </c>
      <c r="H72" s="59" t="n">
        <f aca="false">IF(3&gt;p_horizon,"",SUMIFS(TblCalculs[Workers],TblCalculs[Mois],$B72,TblCalculs[Plateforme],"ROKS",TblCalculs[Environnement],ca_envc))</f>
        <v>12</v>
      </c>
    </row>
    <row r="73" customFormat="false" ht="15" hidden="false" customHeight="false" outlineLevel="0" collapsed="false">
      <c r="B73" s="39" t="n">
        <f aca="false">IF(4&gt;p_horizon,"",EDATE(p_debut,3))</f>
        <v>46388</v>
      </c>
      <c r="C73" s="59" t="n">
        <f aca="false">IF(4&gt;p_horizon,"",SUMIFS(TblCalculs[CPU provisionné],TblCalculs[Mois],$B73,TblCalculs[Plateforme],"IKS",TblCalculs[Environnement],ca_envc))</f>
        <v>896</v>
      </c>
      <c r="D73" s="59" t="n">
        <f aca="false">IF(4&gt;p_horizon,"",SUMIFS(TblCalculs[CPU provisionné],TblCalculs[Mois],$B73,TblCalculs[Plateforme],"ROKS",TblCalculs[Environnement],ca_envc))</f>
        <v>320</v>
      </c>
      <c r="E73" s="59" t="n">
        <f aca="false">IF(4&gt;p_horizon,"",SUMIFS(TblCalculs[RAM provisionnée],TblCalculs[Mois],$B73,TblCalculs[Plateforme],"IKS",TblCalculs[Environnement],ca_envc))</f>
        <v>3584</v>
      </c>
      <c r="F73" s="59" t="n">
        <f aca="false">IF(4&gt;p_horizon,"",SUMIFS(TblCalculs[RAM provisionnée],TblCalculs[Mois],$B73,TblCalculs[Plateforme],"ROKS",TblCalculs[Environnement],ca_envc))</f>
        <v>1600</v>
      </c>
      <c r="G73" s="59" t="n">
        <f aca="false">IF(4&gt;p_horizon,"",SUMIFS(TblCalculs[Workers],TblCalculs[Mois],$B73,TblCalculs[Plateforme],"IKS",TblCalculs[Environnement],ca_envc))</f>
        <v>38</v>
      </c>
      <c r="H73" s="59" t="n">
        <f aca="false">IF(4&gt;p_horizon,"",SUMIFS(TblCalculs[Workers],TblCalculs[Mois],$B73,TblCalculs[Plateforme],"ROKS",TblCalculs[Environnement],ca_envc))</f>
        <v>14</v>
      </c>
    </row>
    <row r="74" customFormat="false" ht="15" hidden="false" customHeight="false" outlineLevel="0" collapsed="false">
      <c r="B74" s="39" t="n">
        <f aca="false">IF(5&gt;p_horizon,"",EDATE(p_debut,4))</f>
        <v>46419</v>
      </c>
      <c r="C74" s="59" t="n">
        <f aca="false">IF(5&gt;p_horizon,"",SUMIFS(TblCalculs[CPU provisionné],TblCalculs[Mois],$B74,TblCalculs[Plateforme],"IKS",TblCalculs[Environnement],ca_envc))</f>
        <v>880</v>
      </c>
      <c r="D74" s="59" t="n">
        <f aca="false">IF(5&gt;p_horizon,"",SUMIFS(TblCalculs[CPU provisionné],TblCalculs[Mois],$B74,TblCalculs[Plateforme],"ROKS",TblCalculs[Environnement],ca_envc))</f>
        <v>320</v>
      </c>
      <c r="E74" s="59" t="n">
        <f aca="false">IF(5&gt;p_horizon,"",SUMIFS(TblCalculs[RAM provisionnée],TblCalculs[Mois],$B74,TblCalculs[Plateforme],"IKS",TblCalculs[Environnement],ca_envc))</f>
        <v>3520</v>
      </c>
      <c r="F74" s="59" t="n">
        <f aca="false">IF(5&gt;p_horizon,"",SUMIFS(TblCalculs[RAM provisionnée],TblCalculs[Mois],$B74,TblCalculs[Plateforme],"ROKS",TblCalculs[Environnement],ca_envc))</f>
        <v>1600</v>
      </c>
      <c r="G74" s="59" t="n">
        <f aca="false">IF(5&gt;p_horizon,"",SUMIFS(TblCalculs[Workers],TblCalculs[Mois],$B74,TblCalculs[Plateforme],"IKS",TblCalculs[Environnement],ca_envc))</f>
        <v>37</v>
      </c>
      <c r="H74" s="59" t="n">
        <f aca="false">IF(5&gt;p_horizon,"",SUMIFS(TblCalculs[Workers],TblCalculs[Mois],$B74,TblCalculs[Plateforme],"ROKS",TblCalculs[Environnement],ca_envc))</f>
        <v>14</v>
      </c>
    </row>
    <row r="75" customFormat="false" ht="15" hidden="false" customHeight="false" outlineLevel="0" collapsed="false">
      <c r="B75" s="39" t="n">
        <f aca="false">IF(6&gt;p_horizon,"",EDATE(p_debut,5))</f>
        <v>46447</v>
      </c>
      <c r="C75" s="59" t="n">
        <f aca="false">IF(6&gt;p_horizon,"",SUMIFS(TblCalculs[CPU provisionné],TblCalculs[Mois],$B75,TblCalculs[Plateforme],"IKS",TblCalculs[Environnement],ca_envc))</f>
        <v>848</v>
      </c>
      <c r="D75" s="59" t="n">
        <f aca="false">IF(6&gt;p_horizon,"",SUMIFS(TblCalculs[CPU provisionné],TblCalculs[Mois],$B75,TblCalculs[Plateforme],"ROKS",TblCalculs[Environnement],ca_envc))</f>
        <v>320</v>
      </c>
      <c r="E75" s="59" t="n">
        <f aca="false">IF(6&gt;p_horizon,"",SUMIFS(TblCalculs[RAM provisionnée],TblCalculs[Mois],$B75,TblCalculs[Plateforme],"IKS",TblCalculs[Environnement],ca_envc))</f>
        <v>3392</v>
      </c>
      <c r="F75" s="59" t="n">
        <f aca="false">IF(6&gt;p_horizon,"",SUMIFS(TblCalculs[RAM provisionnée],TblCalculs[Mois],$B75,TblCalculs[Plateforme],"ROKS",TblCalculs[Environnement],ca_envc))</f>
        <v>1600</v>
      </c>
      <c r="G75" s="59" t="n">
        <f aca="false">IF(6&gt;p_horizon,"",SUMIFS(TblCalculs[Workers],TblCalculs[Mois],$B75,TblCalculs[Plateforme],"IKS",TblCalculs[Environnement],ca_envc))</f>
        <v>35</v>
      </c>
      <c r="H75" s="59" t="n">
        <f aca="false">IF(6&gt;p_horizon,"",SUMIFS(TblCalculs[Workers],TblCalculs[Mois],$B75,TblCalculs[Plateforme],"ROKS",TblCalculs[Environnement],ca_envc))</f>
        <v>14</v>
      </c>
    </row>
    <row r="76" customFormat="false" ht="15" hidden="false" customHeight="false" outlineLevel="0" collapsed="false">
      <c r="B76" s="39" t="n">
        <f aca="false">IF(7&gt;p_horizon,"",EDATE(p_debut,6))</f>
        <v>46478</v>
      </c>
      <c r="C76" s="59" t="n">
        <f aca="false">IF(7&gt;p_horizon,"",SUMIFS(TblCalculs[CPU provisionné],TblCalculs[Mois],$B76,TblCalculs[Plateforme],"IKS",TblCalculs[Environnement],ca_envc))</f>
        <v>848</v>
      </c>
      <c r="D76" s="59" t="n">
        <f aca="false">IF(7&gt;p_horizon,"",SUMIFS(TblCalculs[CPU provisionné],TblCalculs[Mois],$B76,TblCalculs[Plateforme],"ROKS",TblCalculs[Environnement],ca_envc))</f>
        <v>416</v>
      </c>
      <c r="E76" s="59" t="n">
        <f aca="false">IF(7&gt;p_horizon,"",SUMIFS(TblCalculs[RAM provisionnée],TblCalculs[Mois],$B76,TblCalculs[Plateforme],"IKS",TblCalculs[Environnement],ca_envc))</f>
        <v>3392</v>
      </c>
      <c r="F76" s="59" t="n">
        <f aca="false">IF(7&gt;p_horizon,"",SUMIFS(TblCalculs[RAM provisionnée],TblCalculs[Mois],$B76,TblCalculs[Plateforme],"ROKS",TblCalculs[Environnement],ca_envc))</f>
        <v>2080</v>
      </c>
      <c r="G76" s="59" t="n">
        <f aca="false">IF(7&gt;p_horizon,"",SUMIFS(TblCalculs[Workers],TblCalculs[Mois],$B76,TblCalculs[Plateforme],"IKS",TblCalculs[Environnement],ca_envc))</f>
        <v>35</v>
      </c>
      <c r="H76" s="59" t="n">
        <f aca="false">IF(7&gt;p_horizon,"",SUMIFS(TblCalculs[Workers],TblCalculs[Mois],$B76,TblCalculs[Plateforme],"ROKS",TblCalculs[Environnement],ca_envc))</f>
        <v>17</v>
      </c>
    </row>
    <row r="77" customFormat="false" ht="15" hidden="false" customHeight="false" outlineLevel="0" collapsed="false">
      <c r="B77" s="39" t="n">
        <f aca="false">IF(8&gt;p_horizon,"",EDATE(p_debut,7))</f>
        <v>46508</v>
      </c>
      <c r="C77" s="59" t="n">
        <f aca="false">IF(8&gt;p_horizon,"",SUMIFS(TblCalculs[CPU provisionné],TblCalculs[Mois],$B77,TblCalculs[Plateforme],"IKS",TblCalculs[Environnement],ca_envc))</f>
        <v>848</v>
      </c>
      <c r="D77" s="59" t="n">
        <f aca="false">IF(8&gt;p_horizon,"",SUMIFS(TblCalculs[CPU provisionné],TblCalculs[Mois],$B77,TblCalculs[Plateforme],"ROKS",TblCalculs[Environnement],ca_envc))</f>
        <v>416</v>
      </c>
      <c r="E77" s="59" t="n">
        <f aca="false">IF(8&gt;p_horizon,"",SUMIFS(TblCalculs[RAM provisionnée],TblCalculs[Mois],$B77,TblCalculs[Plateforme],"IKS",TblCalculs[Environnement],ca_envc))</f>
        <v>3392</v>
      </c>
      <c r="F77" s="59" t="n">
        <f aca="false">IF(8&gt;p_horizon,"",SUMIFS(TblCalculs[RAM provisionnée],TblCalculs[Mois],$B77,TblCalculs[Plateforme],"ROKS",TblCalculs[Environnement],ca_envc))</f>
        <v>2080</v>
      </c>
      <c r="G77" s="59" t="n">
        <f aca="false">IF(8&gt;p_horizon,"",SUMIFS(TblCalculs[Workers],TblCalculs[Mois],$B77,TblCalculs[Plateforme],"IKS",TblCalculs[Environnement],ca_envc))</f>
        <v>35</v>
      </c>
      <c r="H77" s="59" t="n">
        <f aca="false">IF(8&gt;p_horizon,"",SUMIFS(TblCalculs[Workers],TblCalculs[Mois],$B77,TblCalculs[Plateforme],"ROKS",TblCalculs[Environnement],ca_envc))</f>
        <v>17</v>
      </c>
    </row>
    <row r="78" customFormat="false" ht="15" hidden="false" customHeight="false" outlineLevel="0" collapsed="false">
      <c r="B78" s="39" t="n">
        <f aca="false">IF(9&gt;p_horizon,"",EDATE(p_debut,8))</f>
        <v>46539</v>
      </c>
      <c r="C78" s="59" t="n">
        <f aca="false">IF(9&gt;p_horizon,"",SUMIFS(TblCalculs[CPU provisionné],TblCalculs[Mois],$B78,TblCalculs[Plateforme],"IKS",TblCalculs[Environnement],ca_envc))</f>
        <v>832</v>
      </c>
      <c r="D78" s="59" t="n">
        <f aca="false">IF(9&gt;p_horizon,"",SUMIFS(TblCalculs[CPU provisionné],TblCalculs[Mois],$B78,TblCalculs[Plateforme],"ROKS",TblCalculs[Environnement],ca_envc))</f>
        <v>416</v>
      </c>
      <c r="E78" s="59" t="n">
        <f aca="false">IF(9&gt;p_horizon,"",SUMIFS(TblCalculs[RAM provisionnée],TblCalculs[Mois],$B78,TblCalculs[Plateforme],"IKS",TblCalculs[Environnement],ca_envc))</f>
        <v>3328</v>
      </c>
      <c r="F78" s="59" t="n">
        <f aca="false">IF(9&gt;p_horizon,"",SUMIFS(TblCalculs[RAM provisionnée],TblCalculs[Mois],$B78,TblCalculs[Plateforme],"ROKS",TblCalculs[Environnement],ca_envc))</f>
        <v>2080</v>
      </c>
      <c r="G78" s="59" t="n">
        <f aca="false">IF(9&gt;p_horizon,"",SUMIFS(TblCalculs[Workers],TblCalculs[Mois],$B78,TblCalculs[Plateforme],"IKS",TblCalculs[Environnement],ca_envc))</f>
        <v>34</v>
      </c>
      <c r="H78" s="59" t="n">
        <f aca="false">IF(9&gt;p_horizon,"",SUMIFS(TblCalculs[Workers],TblCalculs[Mois],$B78,TblCalculs[Plateforme],"ROKS",TblCalculs[Environnement],ca_envc))</f>
        <v>17</v>
      </c>
    </row>
    <row r="79" customFormat="false" ht="15" hidden="false" customHeight="false" outlineLevel="0" collapsed="false">
      <c r="B79" s="39" t="n">
        <f aca="false">IF(10&gt;p_horizon,"",EDATE(p_debut,9))</f>
        <v>46569</v>
      </c>
      <c r="C79" s="59" t="n">
        <f aca="false">IF(10&gt;p_horizon,"",SUMIFS(TblCalculs[CPU provisionné],TblCalculs[Mois],$B79,TblCalculs[Plateforme],"IKS",TblCalculs[Environnement],ca_envc))</f>
        <v>672</v>
      </c>
      <c r="D79" s="59" t="n">
        <f aca="false">IF(10&gt;p_horizon,"",SUMIFS(TblCalculs[CPU provisionné],TblCalculs[Mois],$B79,TblCalculs[Plateforme],"ROKS",TblCalculs[Environnement],ca_envc))</f>
        <v>416</v>
      </c>
      <c r="E79" s="59" t="n">
        <f aca="false">IF(10&gt;p_horizon,"",SUMIFS(TblCalculs[RAM provisionnée],TblCalculs[Mois],$B79,TblCalculs[Plateforme],"IKS",TblCalculs[Environnement],ca_envc))</f>
        <v>2688</v>
      </c>
      <c r="F79" s="59" t="n">
        <f aca="false">IF(10&gt;p_horizon,"",SUMIFS(TblCalculs[RAM provisionnée],TblCalculs[Mois],$B79,TblCalculs[Plateforme],"ROKS",TblCalculs[Environnement],ca_envc))</f>
        <v>2080</v>
      </c>
      <c r="G79" s="59" t="n">
        <f aca="false">IF(10&gt;p_horizon,"",SUMIFS(TblCalculs[Workers],TblCalculs[Mois],$B79,TblCalculs[Plateforme],"IKS",TblCalculs[Environnement],ca_envc))</f>
        <v>29</v>
      </c>
      <c r="H79" s="59" t="n">
        <f aca="false">IF(10&gt;p_horizon,"",SUMIFS(TblCalculs[Workers],TblCalculs[Mois],$B79,TblCalculs[Plateforme],"ROKS",TblCalculs[Environnement],ca_envc))</f>
        <v>17</v>
      </c>
    </row>
    <row r="80" customFormat="false" ht="15" hidden="false" customHeight="false" outlineLevel="0" collapsed="false">
      <c r="B80" s="39" t="n">
        <f aca="false">IF(11&gt;p_horizon,"",EDATE(p_debut,10))</f>
        <v>46600</v>
      </c>
      <c r="C80" s="59" t="n">
        <f aca="false">IF(11&gt;p_horizon,"",SUMIFS(TblCalculs[CPU provisionné],TblCalculs[Mois],$B80,TblCalculs[Plateforme],"IKS",TblCalculs[Environnement],ca_envc))</f>
        <v>672</v>
      </c>
      <c r="D80" s="59" t="n">
        <f aca="false">IF(11&gt;p_horizon,"",SUMIFS(TblCalculs[CPU provisionné],TblCalculs[Mois],$B80,TblCalculs[Plateforme],"ROKS",TblCalculs[Environnement],ca_envc))</f>
        <v>416</v>
      </c>
      <c r="E80" s="59" t="n">
        <f aca="false">IF(11&gt;p_horizon,"",SUMIFS(TblCalculs[RAM provisionnée],TblCalculs[Mois],$B80,TblCalculs[Plateforme],"IKS",TblCalculs[Environnement],ca_envc))</f>
        <v>2688</v>
      </c>
      <c r="F80" s="59" t="n">
        <f aca="false">IF(11&gt;p_horizon,"",SUMIFS(TblCalculs[RAM provisionnée],TblCalculs[Mois],$B80,TblCalculs[Plateforme],"ROKS",TblCalculs[Environnement],ca_envc))</f>
        <v>2080</v>
      </c>
      <c r="G80" s="59" t="n">
        <f aca="false">IF(11&gt;p_horizon,"",SUMIFS(TblCalculs[Workers],TblCalculs[Mois],$B80,TblCalculs[Plateforme],"IKS",TblCalculs[Environnement],ca_envc))</f>
        <v>29</v>
      </c>
      <c r="H80" s="59" t="n">
        <f aca="false">IF(11&gt;p_horizon,"",SUMIFS(TblCalculs[Workers],TblCalculs[Mois],$B80,TblCalculs[Plateforme],"ROKS",TblCalculs[Environnement],ca_envc))</f>
        <v>17</v>
      </c>
    </row>
    <row r="81" customFormat="false" ht="15" hidden="false" customHeight="false" outlineLevel="0" collapsed="false">
      <c r="B81" s="39" t="n">
        <f aca="false">IF(12&gt;p_horizon,"",EDATE(p_debut,11))</f>
        <v>46631</v>
      </c>
      <c r="C81" s="59" t="n">
        <f aca="false">IF(12&gt;p_horizon,"",SUMIFS(TblCalculs[CPU provisionné],TblCalculs[Mois],$B81,TblCalculs[Plateforme],"IKS",TblCalculs[Environnement],ca_envc))</f>
        <v>672</v>
      </c>
      <c r="D81" s="59" t="n">
        <f aca="false">IF(12&gt;p_horizon,"",SUMIFS(TblCalculs[CPU provisionné],TblCalculs[Mois],$B81,TblCalculs[Plateforme],"ROKS",TblCalculs[Environnement],ca_envc))</f>
        <v>432</v>
      </c>
      <c r="E81" s="59" t="n">
        <f aca="false">IF(12&gt;p_horizon,"",SUMIFS(TblCalculs[RAM provisionnée],TblCalculs[Mois],$B81,TblCalculs[Plateforme],"IKS",TblCalculs[Environnement],ca_envc))</f>
        <v>2688</v>
      </c>
      <c r="F81" s="59" t="n">
        <f aca="false">IF(12&gt;p_horizon,"",SUMIFS(TblCalculs[RAM provisionnée],TblCalculs[Mois],$B81,TblCalculs[Plateforme],"ROKS",TblCalculs[Environnement],ca_envc))</f>
        <v>2160</v>
      </c>
      <c r="G81" s="59" t="n">
        <f aca="false">IF(12&gt;p_horizon,"",SUMIFS(TblCalculs[Workers],TblCalculs[Mois],$B81,TblCalculs[Plateforme],"IKS",TblCalculs[Environnement],ca_envc))</f>
        <v>29</v>
      </c>
      <c r="H81" s="59" t="n">
        <f aca="false">IF(12&gt;p_horizon,"",SUMIFS(TblCalculs[Workers],TblCalculs[Mois],$B81,TblCalculs[Plateforme],"ROKS",TblCalculs[Environnement],ca_envc))</f>
        <v>18</v>
      </c>
    </row>
    <row r="82" customFormat="false" ht="15" hidden="false" customHeight="false" outlineLevel="0" collapsed="false">
      <c r="B82" s="39" t="n">
        <f aca="false">IF(13&gt;p_horizon,"",EDATE(p_debut,12))</f>
        <v>46661</v>
      </c>
      <c r="C82" s="59" t="n">
        <f aca="false">IF(13&gt;p_horizon,"",SUMIFS(TblCalculs[CPU provisionné],TblCalculs[Mois],$B82,TblCalculs[Plateforme],"IKS",TblCalculs[Environnement],ca_envc))</f>
        <v>640</v>
      </c>
      <c r="D82" s="59" t="n">
        <f aca="false">IF(13&gt;p_horizon,"",SUMIFS(TblCalculs[CPU provisionné],TblCalculs[Mois],$B82,TblCalculs[Plateforme],"ROKS",TblCalculs[Environnement],ca_envc))</f>
        <v>448</v>
      </c>
      <c r="E82" s="59" t="n">
        <f aca="false">IF(13&gt;p_horizon,"",SUMIFS(TblCalculs[RAM provisionnée],TblCalculs[Mois],$B82,TblCalculs[Plateforme],"IKS",TblCalculs[Environnement],ca_envc))</f>
        <v>2560</v>
      </c>
      <c r="F82" s="59" t="n">
        <f aca="false">IF(13&gt;p_horizon,"",SUMIFS(TblCalculs[RAM provisionnée],TblCalculs[Mois],$B82,TblCalculs[Plateforme],"ROKS",TblCalculs[Environnement],ca_envc))</f>
        <v>2240</v>
      </c>
      <c r="G82" s="59" t="n">
        <f aca="false">IF(13&gt;p_horizon,"",SUMIFS(TblCalculs[Workers],TblCalculs[Mois],$B82,TblCalculs[Plateforme],"IKS",TblCalculs[Environnement],ca_envc))</f>
        <v>27</v>
      </c>
      <c r="H82" s="59" t="n">
        <f aca="false">IF(13&gt;p_horizon,"",SUMIFS(TblCalculs[Workers],TblCalculs[Mois],$B82,TblCalculs[Plateforme],"ROKS",TblCalculs[Environnement],ca_envc))</f>
        <v>19</v>
      </c>
    </row>
    <row r="83" customFormat="false" ht="15" hidden="false" customHeight="false" outlineLevel="0" collapsed="false">
      <c r="B83" s="39" t="n">
        <f aca="false">IF(14&gt;p_horizon,"",EDATE(p_debut,13))</f>
        <v>46692</v>
      </c>
      <c r="C83" s="59" t="n">
        <f aca="false">IF(14&gt;p_horizon,"",SUMIFS(TblCalculs[CPU provisionné],TblCalculs[Mois],$B83,TblCalculs[Plateforme],"IKS",TblCalculs[Environnement],ca_envc))</f>
        <v>608</v>
      </c>
      <c r="D83" s="59" t="n">
        <f aca="false">IF(14&gt;p_horizon,"",SUMIFS(TblCalculs[CPU provisionné],TblCalculs[Mois],$B83,TblCalculs[Plateforme],"ROKS",TblCalculs[Environnement],ca_envc))</f>
        <v>448</v>
      </c>
      <c r="E83" s="59" t="n">
        <f aca="false">IF(14&gt;p_horizon,"",SUMIFS(TblCalculs[RAM provisionnée],TblCalculs[Mois],$B83,TblCalculs[Plateforme],"IKS",TblCalculs[Environnement],ca_envc))</f>
        <v>2432</v>
      </c>
      <c r="F83" s="59" t="n">
        <f aca="false">IF(14&gt;p_horizon,"",SUMIFS(TblCalculs[RAM provisionnée],TblCalculs[Mois],$B83,TblCalculs[Plateforme],"ROKS",TblCalculs[Environnement],ca_envc))</f>
        <v>2240</v>
      </c>
      <c r="G83" s="59" t="n">
        <f aca="false">IF(14&gt;p_horizon,"",SUMIFS(TblCalculs[Workers],TblCalculs[Mois],$B83,TblCalculs[Plateforme],"IKS",TblCalculs[Environnement],ca_envc))</f>
        <v>25</v>
      </c>
      <c r="H83" s="59" t="n">
        <f aca="false">IF(14&gt;p_horizon,"",SUMIFS(TblCalculs[Workers],TblCalculs[Mois],$B83,TblCalculs[Plateforme],"ROKS",TblCalculs[Environnement],ca_envc))</f>
        <v>19</v>
      </c>
    </row>
    <row r="84" customFormat="false" ht="15" hidden="false" customHeight="false" outlineLevel="0" collapsed="false">
      <c r="B84" s="39" t="n">
        <f aca="false">IF(15&gt;p_horizon,"",EDATE(p_debut,14))</f>
        <v>46722</v>
      </c>
      <c r="C84" s="59" t="n">
        <f aca="false">IF(15&gt;p_horizon,"",SUMIFS(TblCalculs[CPU provisionné],TblCalculs[Mois],$B84,TblCalculs[Plateforme],"IKS",TblCalculs[Environnement],ca_envc))</f>
        <v>608</v>
      </c>
      <c r="D84" s="59" t="n">
        <f aca="false">IF(15&gt;p_horizon,"",SUMIFS(TblCalculs[CPU provisionné],TblCalculs[Mois],$B84,TblCalculs[Plateforme],"ROKS",TblCalculs[Environnement],ca_envc))</f>
        <v>448</v>
      </c>
      <c r="E84" s="59" t="n">
        <f aca="false">IF(15&gt;p_horizon,"",SUMIFS(TblCalculs[RAM provisionnée],TblCalculs[Mois],$B84,TblCalculs[Plateforme],"IKS",TblCalculs[Environnement],ca_envc))</f>
        <v>2432</v>
      </c>
      <c r="F84" s="59" t="n">
        <f aca="false">IF(15&gt;p_horizon,"",SUMIFS(TblCalculs[RAM provisionnée],TblCalculs[Mois],$B84,TblCalculs[Plateforme],"ROKS",TblCalculs[Environnement],ca_envc))</f>
        <v>2240</v>
      </c>
      <c r="G84" s="59" t="n">
        <f aca="false">IF(15&gt;p_horizon,"",SUMIFS(TblCalculs[Workers],TblCalculs[Mois],$B84,TblCalculs[Plateforme],"IKS",TblCalculs[Environnement],ca_envc))</f>
        <v>25</v>
      </c>
      <c r="H84" s="59" t="n">
        <f aca="false">IF(15&gt;p_horizon,"",SUMIFS(TblCalculs[Workers],TblCalculs[Mois],$B84,TblCalculs[Plateforme],"ROKS",TblCalculs[Environnement],ca_envc))</f>
        <v>19</v>
      </c>
    </row>
    <row r="85" customFormat="false" ht="15" hidden="false" customHeight="false" outlineLevel="0" collapsed="false">
      <c r="B85" s="39" t="n">
        <f aca="false">IF(16&gt;p_horizon,"",EDATE(p_debut,15))</f>
        <v>46753</v>
      </c>
      <c r="C85" s="59" t="n">
        <f aca="false">IF(16&gt;p_horizon,"",SUMIFS(TblCalculs[CPU provisionné],TblCalculs[Mois],$B85,TblCalculs[Plateforme],"IKS",TblCalculs[Environnement],ca_envc))</f>
        <v>608</v>
      </c>
      <c r="D85" s="59" t="n">
        <f aca="false">IF(16&gt;p_horizon,"",SUMIFS(TblCalculs[CPU provisionné],TblCalculs[Mois],$B85,TblCalculs[Plateforme],"ROKS",TblCalculs[Environnement],ca_envc))</f>
        <v>512</v>
      </c>
      <c r="E85" s="59" t="n">
        <f aca="false">IF(16&gt;p_horizon,"",SUMIFS(TblCalculs[RAM provisionnée],TblCalculs[Mois],$B85,TblCalculs[Plateforme],"IKS",TblCalculs[Environnement],ca_envc))</f>
        <v>2432</v>
      </c>
      <c r="F85" s="59" t="n">
        <f aca="false">IF(16&gt;p_horizon,"",SUMIFS(TblCalculs[RAM provisionnée],TblCalculs[Mois],$B85,TblCalculs[Plateforme],"ROKS",TblCalculs[Environnement],ca_envc))</f>
        <v>2560</v>
      </c>
      <c r="G85" s="59" t="n">
        <f aca="false">IF(16&gt;p_horizon,"",SUMIFS(TblCalculs[Workers],TblCalculs[Mois],$B85,TblCalculs[Plateforme],"IKS",TblCalculs[Environnement],ca_envc))</f>
        <v>25</v>
      </c>
      <c r="H85" s="59" t="n">
        <f aca="false">IF(16&gt;p_horizon,"",SUMIFS(TblCalculs[Workers],TblCalculs[Mois],$B85,TblCalculs[Plateforme],"ROKS",TblCalculs[Environnement],ca_envc))</f>
        <v>21</v>
      </c>
    </row>
    <row r="86" customFormat="false" ht="15" hidden="false" customHeight="false" outlineLevel="0" collapsed="false">
      <c r="B86" s="39" t="n">
        <f aca="false">IF(17&gt;p_horizon,"",EDATE(p_debut,16))</f>
        <v>46784</v>
      </c>
      <c r="C86" s="59" t="n">
        <f aca="false">IF(17&gt;p_horizon,"",SUMIFS(TblCalculs[CPU provisionné],TblCalculs[Mois],$B86,TblCalculs[Plateforme],"IKS",TblCalculs[Environnement],ca_envc))</f>
        <v>608</v>
      </c>
      <c r="D86" s="59" t="n">
        <f aca="false">IF(17&gt;p_horizon,"",SUMIFS(TblCalculs[CPU provisionné],TblCalculs[Mois],$B86,TblCalculs[Plateforme],"ROKS",TblCalculs[Environnement],ca_envc))</f>
        <v>512</v>
      </c>
      <c r="E86" s="59" t="n">
        <f aca="false">IF(17&gt;p_horizon,"",SUMIFS(TblCalculs[RAM provisionnée],TblCalculs[Mois],$B86,TblCalculs[Plateforme],"IKS",TblCalculs[Environnement],ca_envc))</f>
        <v>2432</v>
      </c>
      <c r="F86" s="59" t="n">
        <f aca="false">IF(17&gt;p_horizon,"",SUMIFS(TblCalculs[RAM provisionnée],TblCalculs[Mois],$B86,TblCalculs[Plateforme],"ROKS",TblCalculs[Environnement],ca_envc))</f>
        <v>2560</v>
      </c>
      <c r="G86" s="59" t="n">
        <f aca="false">IF(17&gt;p_horizon,"",SUMIFS(TblCalculs[Workers],TblCalculs[Mois],$B86,TblCalculs[Plateforme],"IKS",TblCalculs[Environnement],ca_envc))</f>
        <v>25</v>
      </c>
      <c r="H86" s="59" t="n">
        <f aca="false">IF(17&gt;p_horizon,"",SUMIFS(TblCalculs[Workers],TblCalculs[Mois],$B86,TblCalculs[Plateforme],"ROKS",TblCalculs[Environnement],ca_envc))</f>
        <v>21</v>
      </c>
    </row>
    <row r="87" customFormat="false" ht="15" hidden="false" customHeight="false" outlineLevel="0" collapsed="false">
      <c r="B87" s="39" t="n">
        <f aca="false">IF(18&gt;p_horizon,"",EDATE(p_debut,17))</f>
        <v>46813</v>
      </c>
      <c r="C87" s="59" t="n">
        <f aca="false">IF(18&gt;p_horizon,"",SUMIFS(TblCalculs[CPU provisionné],TblCalculs[Mois],$B87,TblCalculs[Plateforme],"IKS",TblCalculs[Environnement],ca_envc))</f>
        <v>448</v>
      </c>
      <c r="D87" s="59" t="n">
        <f aca="false">IF(18&gt;p_horizon,"",SUMIFS(TblCalculs[CPU provisionné],TblCalculs[Mois],$B87,TblCalculs[Plateforme],"ROKS",TblCalculs[Environnement],ca_envc))</f>
        <v>512</v>
      </c>
      <c r="E87" s="59" t="n">
        <f aca="false">IF(18&gt;p_horizon,"",SUMIFS(TblCalculs[RAM provisionnée],TblCalculs[Mois],$B87,TblCalculs[Plateforme],"IKS",TblCalculs[Environnement],ca_envc))</f>
        <v>1792</v>
      </c>
      <c r="F87" s="59" t="n">
        <f aca="false">IF(18&gt;p_horizon,"",SUMIFS(TblCalculs[RAM provisionnée],TblCalculs[Mois],$B87,TblCalculs[Plateforme],"ROKS",TblCalculs[Environnement],ca_envc))</f>
        <v>2560</v>
      </c>
      <c r="G87" s="59" t="n">
        <f aca="false">IF(18&gt;p_horizon,"",SUMIFS(TblCalculs[Workers],TblCalculs[Mois],$B87,TblCalculs[Plateforme],"IKS",TblCalculs[Environnement],ca_envc))</f>
        <v>20</v>
      </c>
      <c r="H87" s="59" t="n">
        <f aca="false">IF(18&gt;p_horizon,"",SUMIFS(TblCalculs[Workers],TblCalculs[Mois],$B87,TblCalculs[Plateforme],"ROKS",TblCalculs[Environnement],ca_envc))</f>
        <v>21</v>
      </c>
    </row>
    <row r="88" customFormat="false" ht="15" hidden="false" customHeight="false" outlineLevel="0" collapsed="false">
      <c r="B88" s="39" t="n">
        <f aca="false">IF(19&gt;p_horizon,"",EDATE(p_debut,18))</f>
        <v>46844</v>
      </c>
      <c r="C88" s="59" t="n">
        <f aca="false">IF(19&gt;p_horizon,"",SUMIFS(TblCalculs[CPU provisionné],TblCalculs[Mois],$B88,TblCalculs[Plateforme],"IKS",TblCalculs[Environnement],ca_envc))</f>
        <v>448</v>
      </c>
      <c r="D88" s="59" t="n">
        <f aca="false">IF(19&gt;p_horizon,"",SUMIFS(TblCalculs[CPU provisionné],TblCalculs[Mois],$B88,TblCalculs[Plateforme],"ROKS",TblCalculs[Environnement],ca_envc))</f>
        <v>544</v>
      </c>
      <c r="E88" s="59" t="n">
        <f aca="false">IF(19&gt;p_horizon,"",SUMIFS(TblCalculs[RAM provisionnée],TblCalculs[Mois],$B88,TblCalculs[Plateforme],"IKS",TblCalculs[Environnement],ca_envc))</f>
        <v>1792</v>
      </c>
      <c r="F88" s="59" t="n">
        <f aca="false">IF(19&gt;p_horizon,"",SUMIFS(TblCalculs[RAM provisionnée],TblCalculs[Mois],$B88,TblCalculs[Plateforme],"ROKS",TblCalculs[Environnement],ca_envc))</f>
        <v>2720</v>
      </c>
      <c r="G88" s="59" t="n">
        <f aca="false">IF(19&gt;p_horizon,"",SUMIFS(TblCalculs[Workers],TblCalculs[Mois],$B88,TblCalculs[Plateforme],"IKS",TblCalculs[Environnement],ca_envc))</f>
        <v>20</v>
      </c>
      <c r="H88" s="59" t="n">
        <f aca="false">IF(19&gt;p_horizon,"",SUMIFS(TblCalculs[Workers],TblCalculs[Mois],$B88,TblCalculs[Plateforme],"ROKS",TblCalculs[Environnement],ca_envc))</f>
        <v>23</v>
      </c>
    </row>
    <row r="89" customFormat="false" ht="15" hidden="false" customHeight="false" outlineLevel="0" collapsed="false">
      <c r="B89" s="39" t="n">
        <f aca="false">IF(20&gt;p_horizon,"",EDATE(p_debut,19))</f>
        <v>46874</v>
      </c>
      <c r="C89" s="59" t="n">
        <f aca="false">IF(20&gt;p_horizon,"",SUMIFS(TblCalculs[CPU provisionné],TblCalculs[Mois],$B89,TblCalculs[Plateforme],"IKS",TblCalculs[Environnement],ca_envc))</f>
        <v>448</v>
      </c>
      <c r="D89" s="59" t="n">
        <f aca="false">IF(20&gt;p_horizon,"",SUMIFS(TblCalculs[CPU provisionné],TblCalculs[Mois],$B89,TblCalculs[Plateforme],"ROKS",TblCalculs[Environnement],ca_envc))</f>
        <v>544</v>
      </c>
      <c r="E89" s="59" t="n">
        <f aca="false">IF(20&gt;p_horizon,"",SUMIFS(TblCalculs[RAM provisionnée],TblCalculs[Mois],$B89,TblCalculs[Plateforme],"IKS",TblCalculs[Environnement],ca_envc))</f>
        <v>1792</v>
      </c>
      <c r="F89" s="59" t="n">
        <f aca="false">IF(20&gt;p_horizon,"",SUMIFS(TblCalculs[RAM provisionnée],TblCalculs[Mois],$B89,TblCalculs[Plateforme],"ROKS",TblCalculs[Environnement],ca_envc))</f>
        <v>2720</v>
      </c>
      <c r="G89" s="59" t="n">
        <f aca="false">IF(20&gt;p_horizon,"",SUMIFS(TblCalculs[Workers],TblCalculs[Mois],$B89,TblCalculs[Plateforme],"IKS",TblCalculs[Environnement],ca_envc))</f>
        <v>20</v>
      </c>
      <c r="H89" s="59" t="n">
        <f aca="false">IF(20&gt;p_horizon,"",SUMIFS(TblCalculs[Workers],TblCalculs[Mois],$B89,TblCalculs[Plateforme],"ROKS",TblCalculs[Environnement],ca_envc))</f>
        <v>23</v>
      </c>
    </row>
    <row r="90" customFormat="false" ht="15" hidden="false" customHeight="false" outlineLevel="0" collapsed="false">
      <c r="B90" s="39" t="n">
        <f aca="false">IF(21&gt;p_horizon,"",EDATE(p_debut,20))</f>
        <v>46905</v>
      </c>
      <c r="C90" s="59" t="n">
        <f aca="false">IF(21&gt;p_horizon,"",SUMIFS(TblCalculs[CPU provisionné],TblCalculs[Mois],$B90,TblCalculs[Plateforme],"IKS",TblCalculs[Environnement],ca_envc))</f>
        <v>256</v>
      </c>
      <c r="D90" s="59" t="n">
        <f aca="false">IF(21&gt;p_horizon,"",SUMIFS(TblCalculs[CPU provisionné],TblCalculs[Mois],$B90,TblCalculs[Plateforme],"ROKS",TblCalculs[Environnement],ca_envc))</f>
        <v>544</v>
      </c>
      <c r="E90" s="59" t="n">
        <f aca="false">IF(21&gt;p_horizon,"",SUMIFS(TblCalculs[RAM provisionnée],TblCalculs[Mois],$B90,TblCalculs[Plateforme],"IKS",TblCalculs[Environnement],ca_envc))</f>
        <v>1024</v>
      </c>
      <c r="F90" s="59" t="n">
        <f aca="false">IF(21&gt;p_horizon,"",SUMIFS(TblCalculs[RAM provisionnée],TblCalculs[Mois],$B90,TblCalculs[Plateforme],"ROKS",TblCalculs[Environnement],ca_envc))</f>
        <v>2720</v>
      </c>
      <c r="G90" s="59" t="n">
        <f aca="false">IF(21&gt;p_horizon,"",SUMIFS(TblCalculs[Workers],TblCalculs[Mois],$B90,TblCalculs[Plateforme],"IKS",TblCalculs[Environnement],ca_envc))</f>
        <v>8</v>
      </c>
      <c r="H90" s="59" t="n">
        <f aca="false">IF(21&gt;p_horizon,"",SUMIFS(TblCalculs[Workers],TblCalculs[Mois],$B90,TblCalculs[Plateforme],"ROKS",TblCalculs[Environnement],ca_envc))</f>
        <v>23</v>
      </c>
    </row>
    <row r="91" customFormat="false" ht="15" hidden="false" customHeight="false" outlineLevel="0" collapsed="false">
      <c r="B91" s="39" t="n">
        <f aca="false">IF(22&gt;p_horizon,"",EDATE(p_debut,21))</f>
        <v>46935</v>
      </c>
      <c r="C91" s="59" t="n">
        <f aca="false">IF(22&gt;p_horizon,"",SUMIFS(TblCalculs[CPU provisionné],TblCalculs[Mois],$B91,TblCalculs[Plateforme],"IKS",TblCalculs[Environnement],ca_envc))</f>
        <v>256</v>
      </c>
      <c r="D91" s="59" t="n">
        <f aca="false">IF(22&gt;p_horizon,"",SUMIFS(TblCalculs[CPU provisionné],TblCalculs[Mois],$B91,TblCalculs[Plateforme],"ROKS",TblCalculs[Environnement],ca_envc))</f>
        <v>544</v>
      </c>
      <c r="E91" s="59" t="n">
        <f aca="false">IF(22&gt;p_horizon,"",SUMIFS(TblCalculs[RAM provisionnée],TblCalculs[Mois],$B91,TblCalculs[Plateforme],"IKS",TblCalculs[Environnement],ca_envc))</f>
        <v>1024</v>
      </c>
      <c r="F91" s="59" t="n">
        <f aca="false">IF(22&gt;p_horizon,"",SUMIFS(TblCalculs[RAM provisionnée],TblCalculs[Mois],$B91,TblCalculs[Plateforme],"ROKS",TblCalculs[Environnement],ca_envc))</f>
        <v>2720</v>
      </c>
      <c r="G91" s="59" t="n">
        <f aca="false">IF(22&gt;p_horizon,"",SUMIFS(TblCalculs[Workers],TblCalculs[Mois],$B91,TblCalculs[Plateforme],"IKS",TblCalculs[Environnement],ca_envc))</f>
        <v>8</v>
      </c>
      <c r="H91" s="59" t="n">
        <f aca="false">IF(22&gt;p_horizon,"",SUMIFS(TblCalculs[Workers],TblCalculs[Mois],$B91,TblCalculs[Plateforme],"ROKS",TblCalculs[Environnement],ca_envc))</f>
        <v>23</v>
      </c>
    </row>
    <row r="92" customFormat="false" ht="15" hidden="false" customHeight="false" outlineLevel="0" collapsed="false">
      <c r="B92" s="39" t="n">
        <f aca="false">IF(23&gt;p_horizon,"",EDATE(p_debut,22))</f>
        <v>46966</v>
      </c>
      <c r="C92" s="59" t="n">
        <f aca="false">IF(23&gt;p_horizon,"",SUMIFS(TblCalculs[CPU provisionné],TblCalculs[Mois],$B92,TblCalculs[Plateforme],"IKS",TblCalculs[Environnement],ca_envc))</f>
        <v>256</v>
      </c>
      <c r="D92" s="59" t="n">
        <f aca="false">IF(23&gt;p_horizon,"",SUMIFS(TblCalculs[CPU provisionné],TblCalculs[Mois],$B92,TblCalculs[Plateforme],"ROKS",TblCalculs[Environnement],ca_envc))</f>
        <v>544</v>
      </c>
      <c r="E92" s="59" t="n">
        <f aca="false">IF(23&gt;p_horizon,"",SUMIFS(TblCalculs[RAM provisionnée],TblCalculs[Mois],$B92,TblCalculs[Plateforme],"IKS",TblCalculs[Environnement],ca_envc))</f>
        <v>1024</v>
      </c>
      <c r="F92" s="59" t="n">
        <f aca="false">IF(23&gt;p_horizon,"",SUMIFS(TblCalculs[RAM provisionnée],TblCalculs[Mois],$B92,TblCalculs[Plateforme],"ROKS",TblCalculs[Environnement],ca_envc))</f>
        <v>2720</v>
      </c>
      <c r="G92" s="59" t="n">
        <f aca="false">IF(23&gt;p_horizon,"",SUMIFS(TblCalculs[Workers],TblCalculs[Mois],$B92,TblCalculs[Plateforme],"IKS",TblCalculs[Environnement],ca_envc))</f>
        <v>8</v>
      </c>
      <c r="H92" s="59" t="n">
        <f aca="false">IF(23&gt;p_horizon,"",SUMIFS(TblCalculs[Workers],TblCalculs[Mois],$B92,TblCalculs[Plateforme],"ROKS",TblCalculs[Environnement],ca_envc))</f>
        <v>23</v>
      </c>
    </row>
    <row r="93" customFormat="false" ht="15" hidden="false" customHeight="false" outlineLevel="0" collapsed="false">
      <c r="B93" s="39" t="n">
        <f aca="false">IF(24&gt;p_horizon,"",EDATE(p_debut,23))</f>
        <v>46997</v>
      </c>
      <c r="C93" s="59" t="n">
        <f aca="false">IF(24&gt;p_horizon,"",SUMIFS(TblCalculs[CPU provisionné],TblCalculs[Mois],$B93,TblCalculs[Plateforme],"IKS",TblCalculs[Environnement],ca_envc))</f>
        <v>256</v>
      </c>
      <c r="D93" s="59" t="n">
        <f aca="false">IF(24&gt;p_horizon,"",SUMIFS(TblCalculs[CPU provisionné],TblCalculs[Mois],$B93,TblCalculs[Plateforme],"ROKS",TblCalculs[Environnement],ca_envc))</f>
        <v>640</v>
      </c>
      <c r="E93" s="59" t="n">
        <f aca="false">IF(24&gt;p_horizon,"",SUMIFS(TblCalculs[RAM provisionnée],TblCalculs[Mois],$B93,TblCalculs[Plateforme],"IKS",TblCalculs[Environnement],ca_envc))</f>
        <v>1024</v>
      </c>
      <c r="F93" s="59" t="n">
        <f aca="false">IF(24&gt;p_horizon,"",SUMIFS(TblCalculs[RAM provisionnée],TblCalculs[Mois],$B93,TblCalculs[Plateforme],"ROKS",TblCalculs[Environnement],ca_envc))</f>
        <v>3200</v>
      </c>
      <c r="G93" s="59" t="n">
        <f aca="false">IF(24&gt;p_horizon,"",SUMIFS(TblCalculs[Workers],TblCalculs[Mois],$B93,TblCalculs[Plateforme],"IKS",TblCalculs[Environnement],ca_envc))</f>
        <v>8</v>
      </c>
      <c r="H93" s="59" t="n">
        <f aca="false">IF(24&gt;p_horizon,"",SUMIFS(TblCalculs[Workers],TblCalculs[Mois],$B93,TblCalculs[Plateforme],"ROKS",TblCalculs[Environnement],ca_envc))</f>
        <v>26</v>
      </c>
    </row>
    <row r="94" customFormat="false" ht="15" hidden="false" customHeight="false" outlineLevel="0" collapsed="false">
      <c r="B94" s="39" t="n">
        <f aca="false">IF(25&gt;p_horizon,"",EDATE(p_debut,24))</f>
        <v>47027</v>
      </c>
      <c r="C94" s="59" t="n">
        <f aca="false">IF(25&gt;p_horizon,"",SUMIFS(TblCalculs[CPU provisionné],TblCalculs[Mois],$B94,TblCalculs[Plateforme],"IKS",TblCalculs[Environnement],ca_envc))</f>
        <v>256</v>
      </c>
      <c r="D94" s="59" t="n">
        <f aca="false">IF(25&gt;p_horizon,"",SUMIFS(TblCalculs[CPU provisionné],TblCalculs[Mois],$B94,TblCalculs[Plateforme],"ROKS",TblCalculs[Environnement],ca_envc))</f>
        <v>640</v>
      </c>
      <c r="E94" s="59" t="n">
        <f aca="false">IF(25&gt;p_horizon,"",SUMIFS(TblCalculs[RAM provisionnée],TblCalculs[Mois],$B94,TblCalculs[Plateforme],"IKS",TblCalculs[Environnement],ca_envc))</f>
        <v>1024</v>
      </c>
      <c r="F94" s="59" t="n">
        <f aca="false">IF(25&gt;p_horizon,"",SUMIFS(TblCalculs[RAM provisionnée],TblCalculs[Mois],$B94,TblCalculs[Plateforme],"ROKS",TblCalculs[Environnement],ca_envc))</f>
        <v>3200</v>
      </c>
      <c r="G94" s="59" t="n">
        <f aca="false">IF(25&gt;p_horizon,"",SUMIFS(TblCalculs[Workers],TblCalculs[Mois],$B94,TblCalculs[Plateforme],"IKS",TblCalculs[Environnement],ca_envc))</f>
        <v>8</v>
      </c>
      <c r="H94" s="59" t="n">
        <f aca="false">IF(25&gt;p_horizon,"",SUMIFS(TblCalculs[Workers],TblCalculs[Mois],$B94,TblCalculs[Plateforme],"ROKS",TblCalculs[Environnement],ca_envc))</f>
        <v>26</v>
      </c>
    </row>
    <row r="95" customFormat="false" ht="15" hidden="false" customHeight="false" outlineLevel="0" collapsed="false">
      <c r="B95" s="39" t="n">
        <f aca="false">IF(26&gt;p_horizon,"",EDATE(p_debut,25))</f>
        <v>47058</v>
      </c>
      <c r="C95" s="59" t="n">
        <f aca="false">IF(26&gt;p_horizon,"",SUMIFS(TblCalculs[CPU provisionné],TblCalculs[Mois],$B95,TblCalculs[Plateforme],"IKS",TblCalculs[Environnement],ca_envc))</f>
        <v>256</v>
      </c>
      <c r="D95" s="59" t="n">
        <f aca="false">IF(26&gt;p_horizon,"",SUMIFS(TblCalculs[CPU provisionné],TblCalculs[Mois],$B95,TblCalculs[Plateforme],"ROKS",TblCalculs[Environnement],ca_envc))</f>
        <v>640</v>
      </c>
      <c r="E95" s="59" t="n">
        <f aca="false">IF(26&gt;p_horizon,"",SUMIFS(TblCalculs[RAM provisionnée],TblCalculs[Mois],$B95,TblCalculs[Plateforme],"IKS",TblCalculs[Environnement],ca_envc))</f>
        <v>1024</v>
      </c>
      <c r="F95" s="59" t="n">
        <f aca="false">IF(26&gt;p_horizon,"",SUMIFS(TblCalculs[RAM provisionnée],TblCalculs[Mois],$B95,TblCalculs[Plateforme],"ROKS",TblCalculs[Environnement],ca_envc))</f>
        <v>3200</v>
      </c>
      <c r="G95" s="59" t="n">
        <f aca="false">IF(26&gt;p_horizon,"",SUMIFS(TblCalculs[Workers],TblCalculs[Mois],$B95,TblCalculs[Plateforme],"IKS",TblCalculs[Environnement],ca_envc))</f>
        <v>8</v>
      </c>
      <c r="H95" s="59" t="n">
        <f aca="false">IF(26&gt;p_horizon,"",SUMIFS(TblCalculs[Workers],TblCalculs[Mois],$B95,TblCalculs[Plateforme],"ROKS",TblCalculs[Environnement],ca_envc))</f>
        <v>26</v>
      </c>
    </row>
    <row r="96" customFormat="false" ht="15" hidden="false" customHeight="false" outlineLevel="0" collapsed="false">
      <c r="B96" s="39" t="n">
        <f aca="false">IF(27&gt;p_horizon,"",EDATE(p_debut,26))</f>
        <v>47088</v>
      </c>
      <c r="C96" s="59" t="n">
        <f aca="false">IF(27&gt;p_horizon,"",SUMIFS(TblCalculs[CPU provisionné],TblCalculs[Mois],$B96,TblCalculs[Plateforme],"IKS",TblCalculs[Environnement],ca_envc))</f>
        <v>0</v>
      </c>
      <c r="D96" s="59" t="n">
        <f aca="false">IF(27&gt;p_horizon,"",SUMIFS(TblCalculs[CPU provisionné],TblCalculs[Mois],$B96,TblCalculs[Plateforme],"ROKS",TblCalculs[Environnement],ca_envc))</f>
        <v>640</v>
      </c>
      <c r="E96" s="59" t="n">
        <f aca="false">IF(27&gt;p_horizon,"",SUMIFS(TblCalculs[RAM provisionnée],TblCalculs[Mois],$B96,TblCalculs[Plateforme],"IKS",TblCalculs[Environnement],ca_envc))</f>
        <v>0</v>
      </c>
      <c r="F96" s="59" t="n">
        <f aca="false">IF(27&gt;p_horizon,"",SUMIFS(TblCalculs[RAM provisionnée],TblCalculs[Mois],$B96,TblCalculs[Plateforme],"ROKS",TblCalculs[Environnement],ca_envc))</f>
        <v>3200</v>
      </c>
      <c r="G96" s="59" t="n">
        <f aca="false">IF(27&gt;p_horizon,"",SUMIFS(TblCalculs[Workers],TblCalculs[Mois],$B96,TblCalculs[Plateforme],"IKS",TblCalculs[Environnement],ca_envc))</f>
        <v>0</v>
      </c>
      <c r="H96" s="59" t="n">
        <f aca="false">IF(27&gt;p_horizon,"",SUMIFS(TblCalculs[Workers],TblCalculs[Mois],$B96,TblCalculs[Plateforme],"ROKS",TblCalculs[Environnement],ca_envc))</f>
        <v>26</v>
      </c>
    </row>
    <row r="97" customFormat="false" ht="15" hidden="false" customHeight="false" outlineLevel="0" collapsed="false">
      <c r="B97" s="39" t="n">
        <f aca="false">IF(28&gt;p_horizon,"",EDATE(p_debut,27))</f>
        <v>47119</v>
      </c>
      <c r="C97" s="59" t="n">
        <f aca="false">IF(28&gt;p_horizon,"",SUMIFS(TblCalculs[CPU provisionné],TblCalculs[Mois],$B97,TblCalculs[Plateforme],"IKS",TblCalculs[Environnement],ca_envc))</f>
        <v>0</v>
      </c>
      <c r="D97" s="59" t="n">
        <f aca="false">IF(28&gt;p_horizon,"",SUMIFS(TblCalculs[CPU provisionné],TblCalculs[Mois],$B97,TblCalculs[Plateforme],"ROKS",TblCalculs[Environnement],ca_envc))</f>
        <v>640</v>
      </c>
      <c r="E97" s="59" t="n">
        <f aca="false">IF(28&gt;p_horizon,"",SUMIFS(TblCalculs[RAM provisionnée],TblCalculs[Mois],$B97,TblCalculs[Plateforme],"IKS",TblCalculs[Environnement],ca_envc))</f>
        <v>0</v>
      </c>
      <c r="F97" s="59" t="n">
        <f aca="false">IF(28&gt;p_horizon,"",SUMIFS(TblCalculs[RAM provisionnée],TblCalculs[Mois],$B97,TblCalculs[Plateforme],"ROKS",TblCalculs[Environnement],ca_envc))</f>
        <v>3200</v>
      </c>
      <c r="G97" s="59" t="n">
        <f aca="false">IF(28&gt;p_horizon,"",SUMIFS(TblCalculs[Workers],TblCalculs[Mois],$B97,TblCalculs[Plateforme],"IKS",TblCalculs[Environnement],ca_envc))</f>
        <v>0</v>
      </c>
      <c r="H97" s="59" t="n">
        <f aca="false">IF(28&gt;p_horizon,"",SUMIFS(TblCalculs[Workers],TblCalculs[Mois],$B97,TblCalculs[Plateforme],"ROKS",TblCalculs[Environnement],ca_envc))</f>
        <v>26</v>
      </c>
    </row>
    <row r="98" customFormat="false" ht="15" hidden="false" customHeight="false" outlineLevel="0" collapsed="false">
      <c r="B98" s="39" t="n">
        <f aca="false">IF(29&gt;p_horizon,"",EDATE(p_debut,28))</f>
        <v>47150</v>
      </c>
      <c r="C98" s="59" t="n">
        <f aca="false">IF(29&gt;p_horizon,"",SUMIFS(TblCalculs[CPU provisionné],TblCalculs[Mois],$B98,TblCalculs[Plateforme],"IKS",TblCalculs[Environnement],ca_envc))</f>
        <v>0</v>
      </c>
      <c r="D98" s="59" t="n">
        <f aca="false">IF(29&gt;p_horizon,"",SUMIFS(TblCalculs[CPU provisionné],TblCalculs[Mois],$B98,TblCalculs[Plateforme],"ROKS",TblCalculs[Environnement],ca_envc))</f>
        <v>640</v>
      </c>
      <c r="E98" s="59" t="n">
        <f aca="false">IF(29&gt;p_horizon,"",SUMIFS(TblCalculs[RAM provisionnée],TblCalculs[Mois],$B98,TblCalculs[Plateforme],"IKS",TblCalculs[Environnement],ca_envc))</f>
        <v>0</v>
      </c>
      <c r="F98" s="59" t="n">
        <f aca="false">IF(29&gt;p_horizon,"",SUMIFS(TblCalculs[RAM provisionnée],TblCalculs[Mois],$B98,TblCalculs[Plateforme],"ROKS",TblCalculs[Environnement],ca_envc))</f>
        <v>3200</v>
      </c>
      <c r="G98" s="59" t="n">
        <f aca="false">IF(29&gt;p_horizon,"",SUMIFS(TblCalculs[Workers],TblCalculs[Mois],$B98,TblCalculs[Plateforme],"IKS",TblCalculs[Environnement],ca_envc))</f>
        <v>0</v>
      </c>
      <c r="H98" s="59" t="n">
        <f aca="false">IF(29&gt;p_horizon,"",SUMIFS(TblCalculs[Workers],TblCalculs[Mois],$B98,TblCalculs[Plateforme],"ROKS",TblCalculs[Environnement],ca_envc))</f>
        <v>26</v>
      </c>
    </row>
    <row r="99" customFormat="false" ht="15" hidden="false" customHeight="false" outlineLevel="0" collapsed="false">
      <c r="B99" s="39" t="n">
        <f aca="false">IF(30&gt;p_horizon,"",EDATE(p_debut,29))</f>
        <v>47178</v>
      </c>
      <c r="C99" s="59" t="n">
        <f aca="false">IF(30&gt;p_horizon,"",SUMIFS(TblCalculs[CPU provisionné],TblCalculs[Mois],$B99,TblCalculs[Plateforme],"IKS",TblCalculs[Environnement],ca_envc))</f>
        <v>0</v>
      </c>
      <c r="D99" s="59" t="n">
        <f aca="false">IF(30&gt;p_horizon,"",SUMIFS(TblCalculs[CPU provisionné],TblCalculs[Mois],$B99,TblCalculs[Plateforme],"ROKS",TblCalculs[Environnement],ca_envc))</f>
        <v>640</v>
      </c>
      <c r="E99" s="59" t="n">
        <f aca="false">IF(30&gt;p_horizon,"",SUMIFS(TblCalculs[RAM provisionnée],TblCalculs[Mois],$B99,TblCalculs[Plateforme],"IKS",TblCalculs[Environnement],ca_envc))</f>
        <v>0</v>
      </c>
      <c r="F99" s="59" t="n">
        <f aca="false">IF(30&gt;p_horizon,"",SUMIFS(TblCalculs[RAM provisionnée],TblCalculs[Mois],$B99,TblCalculs[Plateforme],"ROKS",TblCalculs[Environnement],ca_envc))</f>
        <v>3200</v>
      </c>
      <c r="G99" s="59" t="n">
        <f aca="false">IF(30&gt;p_horizon,"",SUMIFS(TblCalculs[Workers],TblCalculs[Mois],$B99,TblCalculs[Plateforme],"IKS",TblCalculs[Environnement],ca_envc))</f>
        <v>0</v>
      </c>
      <c r="H99" s="59" t="n">
        <f aca="false">IF(30&gt;p_horizon,"",SUMIFS(TblCalculs[Workers],TblCalculs[Mois],$B99,TblCalculs[Plateforme],"ROKS",TblCalculs[Environnement],ca_envc))</f>
        <v>26</v>
      </c>
    </row>
    <row r="100" customFormat="false" ht="15" hidden="false" customHeight="false" outlineLevel="0" collapsed="false">
      <c r="B100" s="39" t="n">
        <f aca="false">IF(31&gt;p_horizon,"",EDATE(p_debut,30))</f>
        <v>47209</v>
      </c>
      <c r="C100" s="59" t="n">
        <f aca="false">IF(31&gt;p_horizon,"",SUMIFS(TblCalculs[CPU provisionné],TblCalculs[Mois],$B100,TblCalculs[Plateforme],"IKS",TblCalculs[Environnement],ca_envc))</f>
        <v>0</v>
      </c>
      <c r="D100" s="59" t="n">
        <f aca="false">IF(31&gt;p_horizon,"",SUMIFS(TblCalculs[CPU provisionné],TblCalculs[Mois],$B100,TblCalculs[Plateforme],"ROKS",TblCalculs[Environnement],ca_envc))</f>
        <v>640</v>
      </c>
      <c r="E100" s="59" t="n">
        <f aca="false">IF(31&gt;p_horizon,"",SUMIFS(TblCalculs[RAM provisionnée],TblCalculs[Mois],$B100,TblCalculs[Plateforme],"IKS",TblCalculs[Environnement],ca_envc))</f>
        <v>0</v>
      </c>
      <c r="F100" s="59" t="n">
        <f aca="false">IF(31&gt;p_horizon,"",SUMIFS(TblCalculs[RAM provisionnée],TblCalculs[Mois],$B100,TblCalculs[Plateforme],"ROKS",TblCalculs[Environnement],ca_envc))</f>
        <v>3200</v>
      </c>
      <c r="G100" s="59" t="n">
        <f aca="false">IF(31&gt;p_horizon,"",SUMIFS(TblCalculs[Workers],TblCalculs[Mois],$B100,TblCalculs[Plateforme],"IKS",TblCalculs[Environnement],ca_envc))</f>
        <v>0</v>
      </c>
      <c r="H100" s="59" t="n">
        <f aca="false">IF(31&gt;p_horizon,"",SUMIFS(TblCalculs[Workers],TblCalculs[Mois],$B100,TblCalculs[Plateforme],"ROKS",TblCalculs[Environnement],ca_envc))</f>
        <v>26</v>
      </c>
    </row>
    <row r="101" customFormat="false" ht="15" hidden="false" customHeight="false" outlineLevel="0" collapsed="false">
      <c r="B101" s="39" t="n">
        <f aca="false">IF(32&gt;p_horizon,"",EDATE(p_debut,31))</f>
        <v>47239</v>
      </c>
      <c r="C101" s="59" t="n">
        <f aca="false">IF(32&gt;p_horizon,"",SUMIFS(TblCalculs[CPU provisionné],TblCalculs[Mois],$B101,TblCalculs[Plateforme],"IKS",TblCalculs[Environnement],ca_envc))</f>
        <v>0</v>
      </c>
      <c r="D101" s="59" t="n">
        <f aca="false">IF(32&gt;p_horizon,"",SUMIFS(TblCalculs[CPU provisionné],TblCalculs[Mois],$B101,TblCalculs[Plateforme],"ROKS",TblCalculs[Environnement],ca_envc))</f>
        <v>640</v>
      </c>
      <c r="E101" s="59" t="n">
        <f aca="false">IF(32&gt;p_horizon,"",SUMIFS(TblCalculs[RAM provisionnée],TblCalculs[Mois],$B101,TblCalculs[Plateforme],"IKS",TblCalculs[Environnement],ca_envc))</f>
        <v>0</v>
      </c>
      <c r="F101" s="59" t="n">
        <f aca="false">IF(32&gt;p_horizon,"",SUMIFS(TblCalculs[RAM provisionnée],TblCalculs[Mois],$B101,TblCalculs[Plateforme],"ROKS",TblCalculs[Environnement],ca_envc))</f>
        <v>3200</v>
      </c>
      <c r="G101" s="59" t="n">
        <f aca="false">IF(32&gt;p_horizon,"",SUMIFS(TblCalculs[Workers],TblCalculs[Mois],$B101,TblCalculs[Plateforme],"IKS",TblCalculs[Environnement],ca_envc))</f>
        <v>0</v>
      </c>
      <c r="H101" s="59" t="n">
        <f aca="false">IF(32&gt;p_horizon,"",SUMIFS(TblCalculs[Workers],TblCalculs[Mois],$B101,TblCalculs[Plateforme],"ROKS",TblCalculs[Environnement],ca_envc))</f>
        <v>26</v>
      </c>
    </row>
    <row r="102" customFormat="false" ht="15" hidden="false" customHeight="false" outlineLevel="0" collapsed="false">
      <c r="B102" s="39" t="n">
        <f aca="false">IF(33&gt;p_horizon,"",EDATE(p_debut,32))</f>
        <v>47270</v>
      </c>
      <c r="C102" s="59" t="n">
        <f aca="false">IF(33&gt;p_horizon,"",SUMIFS(TblCalculs[CPU provisionné],TblCalculs[Mois],$B102,TblCalculs[Plateforme],"IKS",TblCalculs[Environnement],ca_envc))</f>
        <v>0</v>
      </c>
      <c r="D102" s="59" t="n">
        <f aca="false">IF(33&gt;p_horizon,"",SUMIFS(TblCalculs[CPU provisionné],TblCalculs[Mois],$B102,TblCalculs[Plateforme],"ROKS",TblCalculs[Environnement],ca_envc))</f>
        <v>640</v>
      </c>
      <c r="E102" s="59" t="n">
        <f aca="false">IF(33&gt;p_horizon,"",SUMIFS(TblCalculs[RAM provisionnée],TblCalculs[Mois],$B102,TblCalculs[Plateforme],"IKS",TblCalculs[Environnement],ca_envc))</f>
        <v>0</v>
      </c>
      <c r="F102" s="59" t="n">
        <f aca="false">IF(33&gt;p_horizon,"",SUMIFS(TblCalculs[RAM provisionnée],TblCalculs[Mois],$B102,TblCalculs[Plateforme],"ROKS",TblCalculs[Environnement],ca_envc))</f>
        <v>3200</v>
      </c>
      <c r="G102" s="59" t="n">
        <f aca="false">IF(33&gt;p_horizon,"",SUMIFS(TblCalculs[Workers],TblCalculs[Mois],$B102,TblCalculs[Plateforme],"IKS",TblCalculs[Environnement],ca_envc))</f>
        <v>0</v>
      </c>
      <c r="H102" s="59" t="n">
        <f aca="false">IF(33&gt;p_horizon,"",SUMIFS(TblCalculs[Workers],TblCalculs[Mois],$B102,TblCalculs[Plateforme],"ROKS",TblCalculs[Environnement],ca_envc))</f>
        <v>26</v>
      </c>
    </row>
    <row r="103" customFormat="false" ht="15" hidden="false" customHeight="false" outlineLevel="0" collapsed="false">
      <c r="B103" s="39" t="n">
        <f aca="false">IF(34&gt;p_horizon,"",EDATE(p_debut,33))</f>
        <v>47300</v>
      </c>
      <c r="C103" s="59" t="n">
        <f aca="false">IF(34&gt;p_horizon,"",SUMIFS(TblCalculs[CPU provisionné],TblCalculs[Mois],$B103,TblCalculs[Plateforme],"IKS",TblCalculs[Environnement],ca_envc))</f>
        <v>0</v>
      </c>
      <c r="D103" s="59" t="n">
        <f aca="false">IF(34&gt;p_horizon,"",SUMIFS(TblCalculs[CPU provisionné],TblCalculs[Mois],$B103,TblCalculs[Plateforme],"ROKS",TblCalculs[Environnement],ca_envc))</f>
        <v>640</v>
      </c>
      <c r="E103" s="59" t="n">
        <f aca="false">IF(34&gt;p_horizon,"",SUMIFS(TblCalculs[RAM provisionnée],TblCalculs[Mois],$B103,TblCalculs[Plateforme],"IKS",TblCalculs[Environnement],ca_envc))</f>
        <v>0</v>
      </c>
      <c r="F103" s="59" t="n">
        <f aca="false">IF(34&gt;p_horizon,"",SUMIFS(TblCalculs[RAM provisionnée],TblCalculs[Mois],$B103,TblCalculs[Plateforme],"ROKS",TblCalculs[Environnement],ca_envc))</f>
        <v>3200</v>
      </c>
      <c r="G103" s="59" t="n">
        <f aca="false">IF(34&gt;p_horizon,"",SUMIFS(TblCalculs[Workers],TblCalculs[Mois],$B103,TblCalculs[Plateforme],"IKS",TblCalculs[Environnement],ca_envc))</f>
        <v>0</v>
      </c>
      <c r="H103" s="59" t="n">
        <f aca="false">IF(34&gt;p_horizon,"",SUMIFS(TblCalculs[Workers],TblCalculs[Mois],$B103,TblCalculs[Plateforme],"ROKS",TblCalculs[Environnement],ca_envc))</f>
        <v>26</v>
      </c>
    </row>
    <row r="104" customFormat="false" ht="15" hidden="false" customHeight="false" outlineLevel="0" collapsed="false">
      <c r="B104" s="39" t="n">
        <f aca="false">IF(35&gt;p_horizon,"",EDATE(p_debut,34))</f>
        <v>47331</v>
      </c>
      <c r="C104" s="59" t="n">
        <f aca="false">IF(35&gt;p_horizon,"",SUMIFS(TblCalculs[CPU provisionné],TblCalculs[Mois],$B104,TblCalculs[Plateforme],"IKS",TblCalculs[Environnement],ca_envc))</f>
        <v>0</v>
      </c>
      <c r="D104" s="59" t="n">
        <f aca="false">IF(35&gt;p_horizon,"",SUMIFS(TblCalculs[CPU provisionné],TblCalculs[Mois],$B104,TblCalculs[Plateforme],"ROKS",TblCalculs[Environnement],ca_envc))</f>
        <v>640</v>
      </c>
      <c r="E104" s="59" t="n">
        <f aca="false">IF(35&gt;p_horizon,"",SUMIFS(TblCalculs[RAM provisionnée],TblCalculs[Mois],$B104,TblCalculs[Plateforme],"IKS",TblCalculs[Environnement],ca_envc))</f>
        <v>0</v>
      </c>
      <c r="F104" s="59" t="n">
        <f aca="false">IF(35&gt;p_horizon,"",SUMIFS(TblCalculs[RAM provisionnée],TblCalculs[Mois],$B104,TblCalculs[Plateforme],"ROKS",TblCalculs[Environnement],ca_envc))</f>
        <v>3200</v>
      </c>
      <c r="G104" s="59" t="n">
        <f aca="false">IF(35&gt;p_horizon,"",SUMIFS(TblCalculs[Workers],TblCalculs[Mois],$B104,TblCalculs[Plateforme],"IKS",TblCalculs[Environnement],ca_envc))</f>
        <v>0</v>
      </c>
      <c r="H104" s="59" t="n">
        <f aca="false">IF(35&gt;p_horizon,"",SUMIFS(TblCalculs[Workers],TblCalculs[Mois],$B104,TblCalculs[Plateforme],"ROKS",TblCalculs[Environnement],ca_envc))</f>
        <v>26</v>
      </c>
    </row>
    <row r="105" customFormat="false" ht="15" hidden="false" customHeight="false" outlineLevel="0" collapsed="false">
      <c r="B105" s="39" t="n">
        <f aca="false">IF(36&gt;p_horizon,"",EDATE(p_debut,35))</f>
        <v>47362</v>
      </c>
      <c r="C105" s="59" t="n">
        <f aca="false">IF(36&gt;p_horizon,"",SUMIFS(TblCalculs[CPU provisionné],TblCalculs[Mois],$B105,TblCalculs[Plateforme],"IKS",TblCalculs[Environnement],ca_envc))</f>
        <v>0</v>
      </c>
      <c r="D105" s="59" t="n">
        <f aca="false">IF(36&gt;p_horizon,"",SUMIFS(TblCalculs[CPU provisionné],TblCalculs[Mois],$B105,TblCalculs[Plateforme],"ROKS",TblCalculs[Environnement],ca_envc))</f>
        <v>640</v>
      </c>
      <c r="E105" s="59" t="n">
        <f aca="false">IF(36&gt;p_horizon,"",SUMIFS(TblCalculs[RAM provisionnée],TblCalculs[Mois],$B105,TblCalculs[Plateforme],"IKS",TblCalculs[Environnement],ca_envc))</f>
        <v>0</v>
      </c>
      <c r="F105" s="59" t="n">
        <f aca="false">IF(36&gt;p_horizon,"",SUMIFS(TblCalculs[RAM provisionnée],TblCalculs[Mois],$B105,TblCalculs[Plateforme],"ROKS",TblCalculs[Environnement],ca_envc))</f>
        <v>3200</v>
      </c>
      <c r="G105" s="59" t="n">
        <f aca="false">IF(36&gt;p_horizon,"",SUMIFS(TblCalculs[Workers],TblCalculs[Mois],$B105,TblCalculs[Plateforme],"IKS",TblCalculs[Environnement],ca_envc))</f>
        <v>0</v>
      </c>
      <c r="H105" s="59" t="n">
        <f aca="false">IF(36&gt;p_horizon,"",SUMIFS(TblCalculs[Workers],TblCalculs[Mois],$B105,TblCalculs[Plateforme],"ROKS",TblCalculs[Environnement],ca_envc))</f>
        <v>26</v>
      </c>
    </row>
  </sheetData>
  <mergeCells count="12"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</mergeCells>
  <conditionalFormatting sqref="G34:AO63">
    <cfRule type="expression" priority="2" aboveAverage="0" equalAverage="0" bottom="0" percent="0" rank="0" text="" dxfId="6">
      <formula>AND($C34="IKS",G34=0,ISNUMBER(G34))</formula>
    </cfRule>
    <cfRule type="expression" priority="3" aboveAverage="0" equalAverage="0" bottom="0" percent="0" rank="0" text="" dxfId="7">
      <formula>AND($C34="ROKS",ISNUMBER(G34),ISNUMBER(F34),G34&gt;F34)</formula>
    </cfRule>
    <cfRule type="expression" priority="4" aboveAverage="0" equalAverage="0" bottom="0" percent="0" rank="0" text="" dxfId="8">
      <formula>AND($C34="IKS",ISNUMBER(G34),ISNUMBER(F34),G34&lt;F34)</formula>
    </cfRule>
  </conditionalFormatting>
  <conditionalFormatting sqref="F33:AO33">
    <cfRule type="expression" priority="5" aboveAverage="0" equalAverage="0" bottom="0" percent="0" rank="0" text="" dxfId="5">
      <formula>F$33=ca_mois</formula>
    </cfRule>
  </conditionalFormatting>
  <dataValidations count="3">
    <dataValidation allowBlank="false" error="Saisir un mois" errorStyle="stop" operator="greaterThan" showDropDown="false" showErrorMessage="true" showInputMessage="false" sqref="I4" type="date">
      <formula1>36526</formula1>
      <formula2>0</formula2>
    </dataValidation>
    <dataValidation allowBlank="false" error="Choisir une valeur de la liste" errorStyle="stop" operator="between" showDropDown="false" showErrorMessage="true" showInputMessage="false" sqref="C4" type="list">
      <formula1>"Tous,PRD,NPRD"</formula1>
      <formula2>0</formula2>
    </dataValidation>
    <dataValidation allowBlank="false" error="Choisir une valeur de la liste" errorStyle="stop" operator="between" showDropDown="false" showErrorMessage="true" showInputMessage="false" sqref="F4" type="list">
      <formula1>"Workers,CPU,RAM"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1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9"/>
    <col collapsed="false" customWidth="true" hidden="false" outlineLevel="0" max="13" min="10" style="0" width="13"/>
    <col collapsed="false" customWidth="true" hidden="false" outlineLevel="0" max="14" min="14" style="0" width="11"/>
    <col collapsed="false" customWidth="true" hidden="false" outlineLevel="0" max="16" min="15" style="0" width="13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33" min="30" style="0" width="13"/>
  </cols>
  <sheetData>
    <row r="1" customFormat="false" ht="19.7" hidden="false" customHeight="false" outlineLevel="0" collapsed="false">
      <c r="B1" s="1" t="s">
        <v>83</v>
      </c>
    </row>
    <row r="2" customFormat="false" ht="15" hidden="false" customHeight="false" outlineLevel="0" collapsed="false">
      <c r="B2" s="2" t="s">
        <v>84</v>
      </c>
    </row>
    <row r="4" customFormat="false" ht="15" hidden="false" customHeight="false" outlineLevel="0" collapsed="false">
      <c r="B4" s="13" t="s">
        <v>26</v>
      </c>
      <c r="C4" s="15" t="s">
        <v>10</v>
      </c>
      <c r="E4" s="13" t="s">
        <v>20</v>
      </c>
      <c r="F4" s="15" t="s">
        <v>10</v>
      </c>
      <c r="H4" s="13" t="s">
        <v>19</v>
      </c>
      <c r="I4" s="15" t="s">
        <v>10</v>
      </c>
      <c r="K4" s="13" t="s">
        <v>27</v>
      </c>
      <c r="L4" s="23" t="n">
        <v>46722</v>
      </c>
      <c r="AD4" s="24" t="str">
        <f aca="false">IF(C4="Tous","*",C4)</f>
        <v>*</v>
      </c>
      <c r="AE4" s="24" t="str">
        <f aca="false">IF(F4="Tous","*",F4)</f>
        <v>*</v>
      </c>
      <c r="AF4" s="24" t="str">
        <f aca="false">IF(I4="Tous","*",I4)</f>
        <v>*</v>
      </c>
      <c r="AG4" s="25" t="n">
        <f aca="false">IFERROR(DATE(YEAR(L4),MONTH(L4),1),p_debut)</f>
        <v>46722</v>
      </c>
    </row>
    <row r="6" customFormat="false" ht="27.75" hidden="false" customHeight="true" outlineLevel="0" collapsed="false">
      <c r="B6" s="54" t="s">
        <v>85</v>
      </c>
      <c r="C6" s="54"/>
      <c r="D6" s="54" t="s">
        <v>86</v>
      </c>
      <c r="E6" s="54"/>
      <c r="F6" s="54" t="s">
        <v>87</v>
      </c>
      <c r="G6" s="54"/>
      <c r="H6" s="54" t="s">
        <v>88</v>
      </c>
      <c r="I6" s="54"/>
      <c r="J6" s="30" t="s">
        <v>89</v>
      </c>
      <c r="K6" s="30"/>
      <c r="L6" s="30" t="s">
        <v>90</v>
      </c>
      <c r="M6" s="30"/>
    </row>
    <row r="7" customFormat="false" ht="36" hidden="false" customHeight="true" outlineLevel="0" collapsed="false">
      <c r="B7" s="60" t="n">
        <f aca="false">(COUNTIFS(TblApplications[Action],"À migrer",TblApplications[Mois lib (calc)],"&gt;"&amp;ex_mois,TblApplications[Environnement],ex_envc,TblApplications[Domaine],ex_domc,TblApplications[Tribe],ex_tric)+COUNTIFS(TblApplications[Action],"À décommissionner",TblApplications[Mois lib (calc)],"&gt;"&amp;ex_mois,TblApplications[Environnement],ex_envc,TblApplications[Domaine],ex_domc,TblApplications[Tribe],ex_tric))</f>
        <v>4</v>
      </c>
      <c r="C7" s="60"/>
      <c r="D7" s="60" t="n">
        <f aca="false">COUNTIFS(TblCalculs[Plateforme],"IKS",TblCalculs[Mois],ex_mois,TblCalculs[Workers],"&gt;0",TblCalculs[Environnement],ex_envc)</f>
        <v>2</v>
      </c>
      <c r="E7" s="60"/>
      <c r="F7" s="61" t="n">
        <f aca="false">SUMIFS(TblCalculs[Coût mensuel],TblCalculs[Plateforme],"IKS",TblCalculs[Environnement],ex_envc,TblCalculs[Mois],ex_mois)</f>
        <v>20178</v>
      </c>
      <c r="G7" s="61"/>
      <c r="H7" s="61" t="n">
        <f aca="false">SUMIFS(TblCalculs[Coût mensuel],TblCalculs[Plateforme],"IKS",TblCalculs[Environnement],ex_envc,TblCalculs[Mois],"&gt;="&amp;ex_mois)</f>
        <v>156114</v>
      </c>
      <c r="I7" s="61"/>
      <c r="J7" s="62" t="n">
        <f aca="false">IF(COUNTIFS(TblClusters[Plateforme],"IKS",TblClusters[Environnement],ex_envc,TblClusters[Fermeture retenue],"")&gt;0,"Non planifiée",_xlfn.MAXIFS(TblClusters[Fermeture retenue],TblClusters[Plateforme],"IKS",TblClusters[Environnement],ex_envc))</f>
        <v>47088</v>
      </c>
      <c r="K7" s="62"/>
      <c r="L7" s="35" t="n">
        <f aca="false">IFERROR(MAX(0,(YEAR(IF(COUNTIFS(TblClusters[Plateforme],"IKS",TblClusters[Environnement],ex_envc,TblClusters[Fermeture retenue],"")&gt;0,"Non planifiée",_xlfn.MAXIFS(TblClusters[Fermeture retenue],TblClusters[Plateforme],"IKS",TblClusters[Environnement],ex_envc)))-YEAR(ex_mois))*12+MONTH(IF(COUNTIFS(TblClusters[Plateforme],"IKS",TblClusters[Environnement],ex_envc,TblClusters[Fermeture retenue],"")&gt;0,"Non planifiée",_xlfn.MAXIFS(TblClusters[Fermeture retenue],TblClusters[Plateforme],"IKS",TblClusters[Environnement],ex_envc)))-MONTH(ex_mois)),"–")</f>
        <v>12</v>
      </c>
      <c r="M7" s="35"/>
    </row>
    <row r="9" customFormat="false" ht="15" hidden="false" customHeight="false" outlineLevel="0" collapsed="false">
      <c r="B9" s="19" t="s">
        <v>91</v>
      </c>
    </row>
    <row r="11" customFormat="false" ht="15" hidden="false" customHeight="false" outlineLevel="0" collapsed="false">
      <c r="B11" s="17" t="s">
        <v>92</v>
      </c>
    </row>
    <row r="29" customFormat="false" ht="15" hidden="false" customHeight="false" outlineLevel="0" collapsed="false">
      <c r="B29" s="17" t="s">
        <v>93</v>
      </c>
    </row>
    <row r="31" customFormat="false" ht="39.75" hidden="false" customHeight="true" outlineLevel="0" collapsed="false">
      <c r="B31" s="20" t="s">
        <v>94</v>
      </c>
      <c r="C31" s="20" t="s">
        <v>59</v>
      </c>
      <c r="D31" s="20" t="s">
        <v>95</v>
      </c>
      <c r="E31" s="20" t="s">
        <v>96</v>
      </c>
      <c r="F31" s="20" t="s">
        <v>97</v>
      </c>
      <c r="G31" s="20" t="s">
        <v>98</v>
      </c>
      <c r="H31" s="20" t="s">
        <v>99</v>
      </c>
      <c r="I31" s="20" t="s">
        <v>100</v>
      </c>
      <c r="N31" s="20" t="s">
        <v>42</v>
      </c>
      <c r="O31" s="20" t="s">
        <v>101</v>
      </c>
      <c r="P31" s="20" t="s">
        <v>85</v>
      </c>
      <c r="Q31" s="20" t="s">
        <v>86</v>
      </c>
      <c r="R31" s="20" t="s">
        <v>102</v>
      </c>
    </row>
    <row r="32" customFormat="false" ht="15" hidden="false" customHeight="false" outlineLevel="0" collapsed="false">
      <c r="A32" s="49" t="n">
        <f aca="false">IFERROR(MATCH(1,TblClusters[Rang extinction],0),"")</f>
        <v>1</v>
      </c>
      <c r="B32" s="40" t="str">
        <f aca="false">IF($A32="","",INDEX(TblClusters[Cluster],$A32))</f>
        <v>IKS-PRD-01</v>
      </c>
      <c r="C32" s="40" t="str">
        <f aca="false">IF($A32="","",INDEX(TblClusters[Environnement],$A32))</f>
        <v>PRD</v>
      </c>
      <c r="D32" s="40" t="n">
        <f aca="false">IF($A32="","",SUMIFS(TblCalculs[Workers],TblCalculs[Cluster],$B32,TblCalculs[Mois],ex_mois))</f>
        <v>13</v>
      </c>
      <c r="E32" s="40" t="n">
        <f aca="false">IF($A32="","",COUNTIFS(TblApplications[Cluster IKS source],$B32,TblApplications[Action],"À migrer",TblApplications[Mois lib (calc)],"&gt;"&amp;ex_mois)+COUNTIFS(TblApplications[Cluster IKS source],$B32,TblApplications[Action],"À décommissionner",TblApplications[Mois lib (calc)],"&gt;"&amp;ex_mois))</f>
        <v>2</v>
      </c>
      <c r="F32" s="39" t="n">
        <f aca="false">IF($A32="","",IFERROR(1/(1/_xlfn.MAXIFS(TblApplications[Mois lib (calc)],TblApplications[Cluster IKS source],$B32)),"–"))</f>
        <v>47088</v>
      </c>
      <c r="G32" s="39" t="n">
        <f aca="false">IF($A32="","",IF(INDEX(TblClusters[Fermeture retenue],$A32)="","–",INDEX(TblClusters[Fermeture retenue],$A32)))</f>
        <v>47088</v>
      </c>
      <c r="H32" s="40" t="str">
        <f aca="false">IF($A32="","",IF(NOT(ISNUMBER($G32)),"Non planifiée",IF($G32&lt;=ex_mois,"Fermé","Fermeture planifiée")))</f>
        <v>Fermeture planifiée</v>
      </c>
      <c r="I32" s="22" t="n">
        <f aca="false">IF($A32="","",SUMIFS(TblCalculs[Coût mensuel],TblCalculs[Cluster],$B32,TblCalculs[Mois],"&gt;="&amp;ex_mois))</f>
        <v>117882</v>
      </c>
      <c r="N32" s="39" t="n">
        <f aca="false">IF(1&gt;p_horizon,"",EDATE(p_debut,0))</f>
        <v>46296</v>
      </c>
      <c r="O32" s="22" t="n">
        <f aca="false">IF(1&gt;p_horizon,"",SUMIFS(TblCalculs[Coût mensuel],TblCalculs[Plateforme],"IKS",TblCalculs[Environnement],ex_envc,TblCalculs[Mois],$N32))</f>
        <v>29736</v>
      </c>
      <c r="P32" s="40" t="n">
        <f aca="false">IF(1&gt;p_horizon,"",(COUNTIFS(TblApplications[Action],"À migrer",TblApplications[Mois lib (calc)],"&gt;"&amp;$N32,TblApplications[Environnement],ex_envc,TblApplications[Domaine],ex_domc,TblApplications[Tribe],ex_tric)+COUNTIFS(TblApplications[Action],"À décommissionner",TblApplications[Mois lib (calc)],"&gt;"&amp;$N32,TblApplications[Environnement],ex_envc,TblApplications[Domaine],ex_domc,TblApplications[Tribe],ex_tric)))</f>
        <v>11</v>
      </c>
      <c r="Q32" s="40" t="n">
        <f aca="false">IF(1&gt;p_horizon,"",COUNTIFS(TblCalculs[Plateforme],"IKS",TblCalculs[Mois],$N32,TblCalculs[Workers],"&gt;0",TblCalculs[Environnement],ex_envc))</f>
        <v>2</v>
      </c>
      <c r="R32" s="22" t="n">
        <f aca="false">IF(1&gt;p_horizon,"",SUMIFS(TblCalculs[Coût mensuel],TblCalculs[Plateforme],"IKS",TblCalculs[Environnement],ex_envc,TblCalculs[Mois],"&gt;="&amp;$N32))</f>
        <v>524628</v>
      </c>
    </row>
    <row r="33" customFormat="false" ht="15" hidden="false" customHeight="false" outlineLevel="0" collapsed="false">
      <c r="A33" s="49" t="n">
        <f aca="false">IFERROR(MATCH(2,TblClusters[Rang extinction],0),"")</f>
        <v>2</v>
      </c>
      <c r="B33" s="40" t="str">
        <f aca="false">IF($A33="","",INDEX(TblClusters[Cluster],$A33))</f>
        <v>IKS-NPR-01</v>
      </c>
      <c r="C33" s="40" t="str">
        <f aca="false">IF($A33="","",INDEX(TblClusters[Environnement],$A33))</f>
        <v>NPRD</v>
      </c>
      <c r="D33" s="40" t="n">
        <f aca="false">IF($A33="","",SUMIFS(TblCalculs[Workers],TblCalculs[Cluster],$B33,TblCalculs[Mois],ex_mois))</f>
        <v>12</v>
      </c>
      <c r="E33" s="40" t="n">
        <f aca="false">IF($A33="","",COUNTIFS(TblApplications[Cluster IKS source],$B33,TblApplications[Action],"À migrer",TblApplications[Mois lib (calc)],"&gt;"&amp;ex_mois)+COUNTIFS(TblApplications[Cluster IKS source],$B33,TblApplications[Action],"À décommissionner",TblApplications[Mois lib (calc)],"&gt;"&amp;ex_mois))</f>
        <v>2</v>
      </c>
      <c r="F33" s="39" t="n">
        <f aca="false">IF($A33="","",IFERROR(1/(1/_xlfn.MAXIFS(TblApplications[Mois lib (calc)],TblApplications[Cluster IKS source],$B33)),"–"))</f>
        <v>46905</v>
      </c>
      <c r="G33" s="39" t="n">
        <f aca="false">IF($A33="","",IF(INDEX(TblClusters[Fermeture retenue],$A33)="","–",INDEX(TblClusters[Fermeture retenue],$A33)))</f>
        <v>46905</v>
      </c>
      <c r="H33" s="40" t="str">
        <f aca="false">IF($A33="","",IF(NOT(ISNUMBER($G33)),"Non planifiée",IF($G33&lt;=ex_mois,"Fermé","Fermeture planifiée")))</f>
        <v>Fermeture planifiée</v>
      </c>
      <c r="I33" s="22" t="n">
        <f aca="false">IF($A33="","",SUMIFS(TblCalculs[Coût mensuel],TblCalculs[Cluster],$B33,TblCalculs[Mois],"&gt;="&amp;ex_mois))</f>
        <v>38232</v>
      </c>
      <c r="N33" s="39" t="n">
        <f aca="false">IF(2&gt;p_horizon,"",EDATE(p_debut,1))</f>
        <v>46327</v>
      </c>
      <c r="O33" s="22" t="n">
        <f aca="false">IF(2&gt;p_horizon,"",SUMIFS(TblCalculs[Coût mensuel],TblCalculs[Plateforme],"IKS",TblCalculs[Environnement],ex_envc,TblCalculs[Mois],$N33))</f>
        <v>29736</v>
      </c>
      <c r="P33" s="40" t="n">
        <f aca="false">IF(2&gt;p_horizon,"",(COUNTIFS(TblApplications[Action],"À migrer",TblApplications[Mois lib (calc)],"&gt;"&amp;$N33,TblApplications[Environnement],ex_envc,TblApplications[Domaine],ex_domc,TblApplications[Tribe],ex_tric)+COUNTIFS(TblApplications[Action],"À décommissionner",TblApplications[Mois lib (calc)],"&gt;"&amp;$N33,TblApplications[Environnement],ex_envc,TblApplications[Domaine],ex_domc,TblApplications[Tribe],ex_tric)))</f>
        <v>11</v>
      </c>
      <c r="Q33" s="40" t="n">
        <f aca="false">IF(2&gt;p_horizon,"",COUNTIFS(TblCalculs[Plateforme],"IKS",TblCalculs[Mois],$N33,TblCalculs[Workers],"&gt;0",TblCalculs[Environnement],ex_envc))</f>
        <v>2</v>
      </c>
      <c r="R33" s="22" t="n">
        <f aca="false">IF(2&gt;p_horizon,"",SUMIFS(TblCalculs[Coût mensuel],TblCalculs[Plateforme],"IKS",TblCalculs[Environnement],ex_envc,TblCalculs[Mois],"&gt;="&amp;$N33))</f>
        <v>494892</v>
      </c>
    </row>
    <row r="34" customFormat="false" ht="15" hidden="false" customHeight="false" outlineLevel="0" collapsed="false">
      <c r="A34" s="49" t="str">
        <f aca="false">IFERROR(MATCH(3,TblClusters[Rang extinction],0),"")</f>
        <v/>
      </c>
      <c r="B34" s="40" t="str">
        <f aca="false">IF($A34="","",INDEX(TblClusters[Cluster],$A34))</f>
        <v/>
      </c>
      <c r="C34" s="40" t="str">
        <f aca="false">IF($A34="","",INDEX(TblClusters[Environnement],$A34))</f>
        <v/>
      </c>
      <c r="D34" s="40" t="str">
        <f aca="false">IF($A34="","",SUMIFS(TblCalculs[Workers],TblCalculs[Cluster],$B34,TblCalculs[Mois],ex_mois))</f>
        <v/>
      </c>
      <c r="E34" s="40" t="str">
        <f aca="false">IF($A34="","",COUNTIFS(TblApplications[Cluster IKS source],$B34,TblApplications[Action],"À migrer",TblApplications[Mois lib (calc)],"&gt;"&amp;ex_mois)+COUNTIFS(TblApplications[Cluster IKS source],$B34,TblApplications[Action],"À décommissionner",TblApplications[Mois lib (calc)],"&gt;"&amp;ex_mois))</f>
        <v/>
      </c>
      <c r="F34" s="39" t="str">
        <f aca="false">IF($A34="","",IFERROR(1/(1/_xlfn.MAXIFS(TblApplications[Mois lib (calc)],TblApplications[Cluster IKS source],$B34)),"–"))</f>
        <v/>
      </c>
      <c r="G34" s="39" t="str">
        <f aca="false">IF($A34="","",IF(INDEX(TblClusters[Fermeture retenue],$A34)="","–",INDEX(TblClusters[Fermeture retenue],$A34)))</f>
        <v/>
      </c>
      <c r="H34" s="40" t="str">
        <f aca="false">IF($A34="","",IF(NOT(ISNUMBER($G34)),"Non planifiée",IF($G34&lt;=ex_mois,"Fermé","Fermeture planifiée")))</f>
        <v/>
      </c>
      <c r="I34" s="22" t="str">
        <f aca="false">IF($A34="","",SUMIFS(TblCalculs[Coût mensuel],TblCalculs[Cluster],$B34,TblCalculs[Mois],"&gt;="&amp;ex_mois))</f>
        <v/>
      </c>
      <c r="N34" s="39" t="n">
        <f aca="false">IF(3&gt;p_horizon,"",EDATE(p_debut,2))</f>
        <v>46357</v>
      </c>
      <c r="O34" s="22" t="n">
        <f aca="false">IF(3&gt;p_horizon,"",SUMIFS(TblCalculs[Coût mensuel],TblCalculs[Plateforme],"IKS",TblCalculs[Environnement],ex_envc,TblCalculs[Mois],$N34))</f>
        <v>29736</v>
      </c>
      <c r="P34" s="40" t="n">
        <f aca="false">IF(3&gt;p_horizon,"",(COUNTIFS(TblApplications[Action],"À migrer",TblApplications[Mois lib (calc)],"&gt;"&amp;$N34,TblApplications[Environnement],ex_envc,TblApplications[Domaine],ex_domc,TblApplications[Tribe],ex_tric)+COUNTIFS(TblApplications[Action],"À décommissionner",TblApplications[Mois lib (calc)],"&gt;"&amp;$N34,TblApplications[Environnement],ex_envc,TblApplications[Domaine],ex_domc,TblApplications[Tribe],ex_tric)))</f>
        <v>11</v>
      </c>
      <c r="Q34" s="40" t="n">
        <f aca="false">IF(3&gt;p_horizon,"",COUNTIFS(TblCalculs[Plateforme],"IKS",TblCalculs[Mois],$N34,TblCalculs[Workers],"&gt;0",TblCalculs[Environnement],ex_envc))</f>
        <v>2</v>
      </c>
      <c r="R34" s="22" t="n">
        <f aca="false">IF(3&gt;p_horizon,"",SUMIFS(TblCalculs[Coût mensuel],TblCalculs[Plateforme],"IKS",TblCalculs[Environnement],ex_envc,TblCalculs[Mois],"&gt;="&amp;$N34))</f>
        <v>465156</v>
      </c>
    </row>
    <row r="35" customFormat="false" ht="15" hidden="false" customHeight="false" outlineLevel="0" collapsed="false">
      <c r="A35" s="49" t="str">
        <f aca="false">IFERROR(MATCH(4,TblClusters[Rang extinction],0),"")</f>
        <v/>
      </c>
      <c r="B35" s="40" t="str">
        <f aca="false">IF($A35="","",INDEX(TblClusters[Cluster],$A35))</f>
        <v/>
      </c>
      <c r="C35" s="40" t="str">
        <f aca="false">IF($A35="","",INDEX(TblClusters[Environnement],$A35))</f>
        <v/>
      </c>
      <c r="D35" s="40" t="str">
        <f aca="false">IF($A35="","",SUMIFS(TblCalculs[Workers],TblCalculs[Cluster],$B35,TblCalculs[Mois],ex_mois))</f>
        <v/>
      </c>
      <c r="E35" s="40" t="str">
        <f aca="false">IF($A35="","",COUNTIFS(TblApplications[Cluster IKS source],$B35,TblApplications[Action],"À migrer",TblApplications[Mois lib (calc)],"&gt;"&amp;ex_mois)+COUNTIFS(TblApplications[Cluster IKS source],$B35,TblApplications[Action],"À décommissionner",TblApplications[Mois lib (calc)],"&gt;"&amp;ex_mois))</f>
        <v/>
      </c>
      <c r="F35" s="39" t="str">
        <f aca="false">IF($A35="","",IFERROR(1/(1/_xlfn.MAXIFS(TblApplications[Mois lib (calc)],TblApplications[Cluster IKS source],$B35)),"–"))</f>
        <v/>
      </c>
      <c r="G35" s="39" t="str">
        <f aca="false">IF($A35="","",IF(INDEX(TblClusters[Fermeture retenue],$A35)="","–",INDEX(TblClusters[Fermeture retenue],$A35)))</f>
        <v/>
      </c>
      <c r="H35" s="40" t="str">
        <f aca="false">IF($A35="","",IF(NOT(ISNUMBER($G35)),"Non planifiée",IF($G35&lt;=ex_mois,"Fermé","Fermeture planifiée")))</f>
        <v/>
      </c>
      <c r="I35" s="22" t="str">
        <f aca="false">IF($A35="","",SUMIFS(TblCalculs[Coût mensuel],TblCalculs[Cluster],$B35,TblCalculs[Mois],"&gt;="&amp;ex_mois))</f>
        <v/>
      </c>
      <c r="N35" s="39" t="n">
        <f aca="false">IF(4&gt;p_horizon,"",EDATE(p_debut,3))</f>
        <v>46388</v>
      </c>
      <c r="O35" s="22" t="n">
        <f aca="false">IF(4&gt;p_horizon,"",SUMIFS(TblCalculs[Coût mensuel],TblCalculs[Plateforme],"IKS",TblCalculs[Environnement],ex_envc,TblCalculs[Mois],$N35))</f>
        <v>29736</v>
      </c>
      <c r="P35" s="40" t="n">
        <f aca="false">IF(4&gt;p_horizon,"",(COUNTIFS(TblApplications[Action],"À migrer",TblApplications[Mois lib (calc)],"&gt;"&amp;$N35,TblApplications[Environnement],ex_envc,TblApplications[Domaine],ex_domc,TblApplications[Tribe],ex_tric)+COUNTIFS(TblApplications[Action],"À décommissionner",TblApplications[Mois lib (calc)],"&gt;"&amp;$N35,TblApplications[Environnement],ex_envc,TblApplications[Domaine],ex_domc,TblApplications[Tribe],ex_tric)))</f>
        <v>11</v>
      </c>
      <c r="Q35" s="40" t="n">
        <f aca="false">IF(4&gt;p_horizon,"",COUNTIFS(TblCalculs[Plateforme],"IKS",TblCalculs[Mois],$N35,TblCalculs[Workers],"&gt;0",TblCalculs[Environnement],ex_envc))</f>
        <v>2</v>
      </c>
      <c r="R35" s="22" t="n">
        <f aca="false">IF(4&gt;p_horizon,"",SUMIFS(TblCalculs[Coût mensuel],TblCalculs[Plateforme],"IKS",TblCalculs[Environnement],ex_envc,TblCalculs[Mois],"&gt;="&amp;$N35))</f>
        <v>435420</v>
      </c>
    </row>
    <row r="36" customFormat="false" ht="15" hidden="false" customHeight="false" outlineLevel="0" collapsed="false">
      <c r="A36" s="49" t="str">
        <f aca="false">IFERROR(MATCH(5,TblClusters[Rang extinction],0),"")</f>
        <v/>
      </c>
      <c r="B36" s="40" t="str">
        <f aca="false">IF($A36="","",INDEX(TblClusters[Cluster],$A36))</f>
        <v/>
      </c>
      <c r="C36" s="40" t="str">
        <f aca="false">IF($A36="","",INDEX(TblClusters[Environnement],$A36))</f>
        <v/>
      </c>
      <c r="D36" s="40" t="str">
        <f aca="false">IF($A36="","",SUMIFS(TblCalculs[Workers],TblCalculs[Cluster],$B36,TblCalculs[Mois],ex_mois))</f>
        <v/>
      </c>
      <c r="E36" s="40" t="str">
        <f aca="false">IF($A36="","",COUNTIFS(TblApplications[Cluster IKS source],$B36,TblApplications[Action],"À migrer",TblApplications[Mois lib (calc)],"&gt;"&amp;ex_mois)+COUNTIFS(TblApplications[Cluster IKS source],$B36,TblApplications[Action],"À décommissionner",TblApplications[Mois lib (calc)],"&gt;"&amp;ex_mois))</f>
        <v/>
      </c>
      <c r="F36" s="39" t="str">
        <f aca="false">IF($A36="","",IFERROR(1/(1/_xlfn.MAXIFS(TblApplications[Mois lib (calc)],TblApplications[Cluster IKS source],$B36)),"–"))</f>
        <v/>
      </c>
      <c r="G36" s="39" t="str">
        <f aca="false">IF($A36="","",IF(INDEX(TblClusters[Fermeture retenue],$A36)="","–",INDEX(TblClusters[Fermeture retenue],$A36)))</f>
        <v/>
      </c>
      <c r="H36" s="40" t="str">
        <f aca="false">IF($A36="","",IF(NOT(ISNUMBER($G36)),"Non planifiée",IF($G36&lt;=ex_mois,"Fermé","Fermeture planifiée")))</f>
        <v/>
      </c>
      <c r="I36" s="22" t="str">
        <f aca="false">IF($A36="","",SUMIFS(TblCalculs[Coût mensuel],TblCalculs[Cluster],$B36,TblCalculs[Mois],"&gt;="&amp;ex_mois))</f>
        <v/>
      </c>
      <c r="N36" s="39" t="n">
        <f aca="false">IF(5&gt;p_horizon,"",EDATE(p_debut,4))</f>
        <v>46419</v>
      </c>
      <c r="O36" s="22" t="n">
        <f aca="false">IF(5&gt;p_horizon,"",SUMIFS(TblCalculs[Coût mensuel],TblCalculs[Plateforme],"IKS",TblCalculs[Environnement],ex_envc,TblCalculs[Mois],$N36))</f>
        <v>29205</v>
      </c>
      <c r="P36" s="40" t="n">
        <f aca="false">IF(5&gt;p_horizon,"",(COUNTIFS(TblApplications[Action],"À migrer",TblApplications[Mois lib (calc)],"&gt;"&amp;$N36,TblApplications[Environnement],ex_envc,TblApplications[Domaine],ex_domc,TblApplications[Tribe],ex_tric)+COUNTIFS(TblApplications[Action],"À décommissionner",TblApplications[Mois lib (calc)],"&gt;"&amp;$N36,TblApplications[Environnement],ex_envc,TblApplications[Domaine],ex_domc,TblApplications[Tribe],ex_tric)))</f>
        <v>10</v>
      </c>
      <c r="Q36" s="40" t="n">
        <f aca="false">IF(5&gt;p_horizon,"",COUNTIFS(TblCalculs[Plateforme],"IKS",TblCalculs[Mois],$N36,TblCalculs[Workers],"&gt;0",TblCalculs[Environnement],ex_envc))</f>
        <v>2</v>
      </c>
      <c r="R36" s="22" t="n">
        <f aca="false">IF(5&gt;p_horizon,"",SUMIFS(TblCalculs[Coût mensuel],TblCalculs[Plateforme],"IKS",TblCalculs[Environnement],ex_envc,TblCalculs[Mois],"&gt;="&amp;$N36))</f>
        <v>405684</v>
      </c>
    </row>
    <row r="37" customFormat="false" ht="15" hidden="false" customHeight="false" outlineLevel="0" collapsed="false">
      <c r="A37" s="49" t="str">
        <f aca="false">IFERROR(MATCH(6,TblClusters[Rang extinction],0),"")</f>
        <v/>
      </c>
      <c r="B37" s="40" t="str">
        <f aca="false">IF($A37="","",INDEX(TblClusters[Cluster],$A37))</f>
        <v/>
      </c>
      <c r="C37" s="40" t="str">
        <f aca="false">IF($A37="","",INDEX(TblClusters[Environnement],$A37))</f>
        <v/>
      </c>
      <c r="D37" s="40" t="str">
        <f aca="false">IF($A37="","",SUMIFS(TblCalculs[Workers],TblCalculs[Cluster],$B37,TblCalculs[Mois],ex_mois))</f>
        <v/>
      </c>
      <c r="E37" s="40" t="str">
        <f aca="false">IF($A37="","",COUNTIFS(TblApplications[Cluster IKS source],$B37,TblApplications[Action],"À migrer",TblApplications[Mois lib (calc)],"&gt;"&amp;ex_mois)+COUNTIFS(TblApplications[Cluster IKS source],$B37,TblApplications[Action],"À décommissionner",TblApplications[Mois lib (calc)],"&gt;"&amp;ex_mois))</f>
        <v/>
      </c>
      <c r="F37" s="39" t="str">
        <f aca="false">IF($A37="","",IFERROR(1/(1/_xlfn.MAXIFS(TblApplications[Mois lib (calc)],TblApplications[Cluster IKS source],$B37)),"–"))</f>
        <v/>
      </c>
      <c r="G37" s="39" t="str">
        <f aca="false">IF($A37="","",IF(INDEX(TblClusters[Fermeture retenue],$A37)="","–",INDEX(TblClusters[Fermeture retenue],$A37)))</f>
        <v/>
      </c>
      <c r="H37" s="40" t="str">
        <f aca="false">IF($A37="","",IF(NOT(ISNUMBER($G37)),"Non planifiée",IF($G37&lt;=ex_mois,"Fermé","Fermeture planifiée")))</f>
        <v/>
      </c>
      <c r="I37" s="22" t="str">
        <f aca="false">IF($A37="","",SUMIFS(TblCalculs[Coût mensuel],TblCalculs[Cluster],$B37,TblCalculs[Mois],"&gt;="&amp;ex_mois))</f>
        <v/>
      </c>
      <c r="N37" s="39" t="n">
        <f aca="false">IF(6&gt;p_horizon,"",EDATE(p_debut,5))</f>
        <v>46447</v>
      </c>
      <c r="O37" s="22" t="n">
        <f aca="false">IF(6&gt;p_horizon,"",SUMIFS(TblCalculs[Coût mensuel],TblCalculs[Plateforme],"IKS",TblCalculs[Environnement],ex_envc,TblCalculs[Mois],$N37))</f>
        <v>28143</v>
      </c>
      <c r="P37" s="40" t="n">
        <f aca="false">IF(6&gt;p_horizon,"",(COUNTIFS(TblApplications[Action],"À migrer",TblApplications[Mois lib (calc)],"&gt;"&amp;$N37,TblApplications[Environnement],ex_envc,TblApplications[Domaine],ex_domc,TblApplications[Tribe],ex_tric)+COUNTIFS(TblApplications[Action],"À décommissionner",TblApplications[Mois lib (calc)],"&gt;"&amp;$N37,TblApplications[Environnement],ex_envc,TblApplications[Domaine],ex_domc,TblApplications[Tribe],ex_tric)))</f>
        <v>9</v>
      </c>
      <c r="Q37" s="40" t="n">
        <f aca="false">IF(6&gt;p_horizon,"",COUNTIFS(TblCalculs[Plateforme],"IKS",TblCalculs[Mois],$N37,TblCalculs[Workers],"&gt;0",TblCalculs[Environnement],ex_envc))</f>
        <v>2</v>
      </c>
      <c r="R37" s="22" t="n">
        <f aca="false">IF(6&gt;p_horizon,"",SUMIFS(TblCalculs[Coût mensuel],TblCalculs[Plateforme],"IKS",TblCalculs[Environnement],ex_envc,TblCalculs[Mois],"&gt;="&amp;$N37))</f>
        <v>376479</v>
      </c>
    </row>
    <row r="38" customFormat="false" ht="15" hidden="false" customHeight="false" outlineLevel="0" collapsed="false">
      <c r="A38" s="49" t="str">
        <f aca="false">IFERROR(MATCH(7,TblClusters[Rang extinction],0),"")</f>
        <v/>
      </c>
      <c r="B38" s="40" t="str">
        <f aca="false">IF($A38="","",INDEX(TblClusters[Cluster],$A38))</f>
        <v/>
      </c>
      <c r="C38" s="40" t="str">
        <f aca="false">IF($A38="","",INDEX(TblClusters[Environnement],$A38))</f>
        <v/>
      </c>
      <c r="D38" s="40" t="str">
        <f aca="false">IF($A38="","",SUMIFS(TblCalculs[Workers],TblCalculs[Cluster],$B38,TblCalculs[Mois],ex_mois))</f>
        <v/>
      </c>
      <c r="E38" s="40" t="str">
        <f aca="false">IF($A38="","",COUNTIFS(TblApplications[Cluster IKS source],$B38,TblApplications[Action],"À migrer",TblApplications[Mois lib (calc)],"&gt;"&amp;ex_mois)+COUNTIFS(TblApplications[Cluster IKS source],$B38,TblApplications[Action],"À décommissionner",TblApplications[Mois lib (calc)],"&gt;"&amp;ex_mois))</f>
        <v/>
      </c>
      <c r="F38" s="39" t="str">
        <f aca="false">IF($A38="","",IFERROR(1/(1/_xlfn.MAXIFS(TblApplications[Mois lib (calc)],TblApplications[Cluster IKS source],$B38)),"–"))</f>
        <v/>
      </c>
      <c r="G38" s="39" t="str">
        <f aca="false">IF($A38="","",IF(INDEX(TblClusters[Fermeture retenue],$A38)="","–",INDEX(TblClusters[Fermeture retenue],$A38)))</f>
        <v/>
      </c>
      <c r="H38" s="40" t="str">
        <f aca="false">IF($A38="","",IF(NOT(ISNUMBER($G38)),"Non planifiée",IF($G38&lt;=ex_mois,"Fermé","Fermeture planifiée")))</f>
        <v/>
      </c>
      <c r="I38" s="22" t="str">
        <f aca="false">IF($A38="","",SUMIFS(TblCalculs[Coût mensuel],TblCalculs[Cluster],$B38,TblCalculs[Mois],"&gt;="&amp;ex_mois))</f>
        <v/>
      </c>
      <c r="N38" s="39" t="n">
        <f aca="false">IF(7&gt;p_horizon,"",EDATE(p_debut,6))</f>
        <v>46478</v>
      </c>
      <c r="O38" s="22" t="n">
        <f aca="false">IF(7&gt;p_horizon,"",SUMIFS(TblCalculs[Coût mensuel],TblCalculs[Plateforme],"IKS",TblCalculs[Environnement],ex_envc,TblCalculs[Mois],$N38))</f>
        <v>28143</v>
      </c>
      <c r="P38" s="40" t="n">
        <f aca="false">IF(7&gt;p_horizon,"",(COUNTIFS(TblApplications[Action],"À migrer",TblApplications[Mois lib (calc)],"&gt;"&amp;$N38,TblApplications[Environnement],ex_envc,TblApplications[Domaine],ex_domc,TblApplications[Tribe],ex_tric)+COUNTIFS(TblApplications[Action],"À décommissionner",TblApplications[Mois lib (calc)],"&gt;"&amp;$N38,TblApplications[Environnement],ex_envc,TblApplications[Domaine],ex_domc,TblApplications[Tribe],ex_tric)))</f>
        <v>9</v>
      </c>
      <c r="Q38" s="40" t="n">
        <f aca="false">IF(7&gt;p_horizon,"",COUNTIFS(TblCalculs[Plateforme],"IKS",TblCalculs[Mois],$N38,TblCalculs[Workers],"&gt;0",TblCalculs[Environnement],ex_envc))</f>
        <v>2</v>
      </c>
      <c r="R38" s="22" t="n">
        <f aca="false">IF(7&gt;p_horizon,"",SUMIFS(TblCalculs[Coût mensuel],TblCalculs[Plateforme],"IKS",TblCalculs[Environnement],ex_envc,TblCalculs[Mois],"&gt;="&amp;$N38))</f>
        <v>348336</v>
      </c>
    </row>
    <row r="39" customFormat="false" ht="15" hidden="false" customHeight="false" outlineLevel="0" collapsed="false">
      <c r="A39" s="49" t="str">
        <f aca="false">IFERROR(MATCH(8,TblClusters[Rang extinction],0),"")</f>
        <v/>
      </c>
      <c r="B39" s="40" t="str">
        <f aca="false">IF($A39="","",INDEX(TblClusters[Cluster],$A39))</f>
        <v/>
      </c>
      <c r="C39" s="40" t="str">
        <f aca="false">IF($A39="","",INDEX(TblClusters[Environnement],$A39))</f>
        <v/>
      </c>
      <c r="D39" s="40" t="str">
        <f aca="false">IF($A39="","",SUMIFS(TblCalculs[Workers],TblCalculs[Cluster],$B39,TblCalculs[Mois],ex_mois))</f>
        <v/>
      </c>
      <c r="E39" s="40" t="str">
        <f aca="false">IF($A39="","",COUNTIFS(TblApplications[Cluster IKS source],$B39,TblApplications[Action],"À migrer",TblApplications[Mois lib (calc)],"&gt;"&amp;ex_mois)+COUNTIFS(TblApplications[Cluster IKS source],$B39,TblApplications[Action],"À décommissionner",TblApplications[Mois lib (calc)],"&gt;"&amp;ex_mois))</f>
        <v/>
      </c>
      <c r="F39" s="39" t="str">
        <f aca="false">IF($A39="","",IFERROR(1/(1/_xlfn.MAXIFS(TblApplications[Mois lib (calc)],TblApplications[Cluster IKS source],$B39)),"–"))</f>
        <v/>
      </c>
      <c r="G39" s="39" t="str">
        <f aca="false">IF($A39="","",IF(INDEX(TblClusters[Fermeture retenue],$A39)="","–",INDEX(TblClusters[Fermeture retenue],$A39)))</f>
        <v/>
      </c>
      <c r="H39" s="40" t="str">
        <f aca="false">IF($A39="","",IF(NOT(ISNUMBER($G39)),"Non planifiée",IF($G39&lt;=ex_mois,"Fermé","Fermeture planifiée")))</f>
        <v/>
      </c>
      <c r="I39" s="22" t="str">
        <f aca="false">IF($A39="","",SUMIFS(TblCalculs[Coût mensuel],TblCalculs[Cluster],$B39,TblCalculs[Mois],"&gt;="&amp;ex_mois))</f>
        <v/>
      </c>
      <c r="N39" s="39" t="n">
        <f aca="false">IF(8&gt;p_horizon,"",EDATE(p_debut,7))</f>
        <v>46508</v>
      </c>
      <c r="O39" s="22" t="n">
        <f aca="false">IF(8&gt;p_horizon,"",SUMIFS(TblCalculs[Coût mensuel],TblCalculs[Plateforme],"IKS",TblCalculs[Environnement],ex_envc,TblCalculs[Mois],$N39))</f>
        <v>28143</v>
      </c>
      <c r="P39" s="40" t="n">
        <f aca="false">IF(8&gt;p_horizon,"",(COUNTIFS(TblApplications[Action],"À migrer",TblApplications[Mois lib (calc)],"&gt;"&amp;$N39,TblApplications[Environnement],ex_envc,TblApplications[Domaine],ex_domc,TblApplications[Tribe],ex_tric)+COUNTIFS(TblApplications[Action],"À décommissionner",TblApplications[Mois lib (calc)],"&gt;"&amp;$N39,TblApplications[Environnement],ex_envc,TblApplications[Domaine],ex_domc,TblApplications[Tribe],ex_tric)))</f>
        <v>9</v>
      </c>
      <c r="Q39" s="40" t="n">
        <f aca="false">IF(8&gt;p_horizon,"",COUNTIFS(TblCalculs[Plateforme],"IKS",TblCalculs[Mois],$N39,TblCalculs[Workers],"&gt;0",TblCalculs[Environnement],ex_envc))</f>
        <v>2</v>
      </c>
      <c r="R39" s="22" t="n">
        <f aca="false">IF(8&gt;p_horizon,"",SUMIFS(TblCalculs[Coût mensuel],TblCalculs[Plateforme],"IKS",TblCalculs[Environnement],ex_envc,TblCalculs[Mois],"&gt;="&amp;$N39))</f>
        <v>320193</v>
      </c>
    </row>
    <row r="40" customFormat="false" ht="15" hidden="false" customHeight="false" outlineLevel="0" collapsed="false">
      <c r="A40" s="49" t="str">
        <f aca="false">IFERROR(MATCH(9,TblClusters[Rang extinction],0),"")</f>
        <v/>
      </c>
      <c r="B40" s="40" t="str">
        <f aca="false">IF($A40="","",INDEX(TblClusters[Cluster],$A40))</f>
        <v/>
      </c>
      <c r="C40" s="40" t="str">
        <f aca="false">IF($A40="","",INDEX(TblClusters[Environnement],$A40))</f>
        <v/>
      </c>
      <c r="D40" s="40" t="str">
        <f aca="false">IF($A40="","",SUMIFS(TblCalculs[Workers],TblCalculs[Cluster],$B40,TblCalculs[Mois],ex_mois))</f>
        <v/>
      </c>
      <c r="E40" s="40" t="str">
        <f aca="false">IF($A40="","",COUNTIFS(TblApplications[Cluster IKS source],$B40,TblApplications[Action],"À migrer",TblApplications[Mois lib (calc)],"&gt;"&amp;ex_mois)+COUNTIFS(TblApplications[Cluster IKS source],$B40,TblApplications[Action],"À décommissionner",TblApplications[Mois lib (calc)],"&gt;"&amp;ex_mois))</f>
        <v/>
      </c>
      <c r="F40" s="39" t="str">
        <f aca="false">IF($A40="","",IFERROR(1/(1/_xlfn.MAXIFS(TblApplications[Mois lib (calc)],TblApplications[Cluster IKS source],$B40)),"–"))</f>
        <v/>
      </c>
      <c r="G40" s="39" t="str">
        <f aca="false">IF($A40="","",IF(INDEX(TblClusters[Fermeture retenue],$A40)="","–",INDEX(TblClusters[Fermeture retenue],$A40)))</f>
        <v/>
      </c>
      <c r="H40" s="40" t="str">
        <f aca="false">IF($A40="","",IF(NOT(ISNUMBER($G40)),"Non planifiée",IF($G40&lt;=ex_mois,"Fermé","Fermeture planifiée")))</f>
        <v/>
      </c>
      <c r="I40" s="22" t="str">
        <f aca="false">IF($A40="","",SUMIFS(TblCalculs[Coût mensuel],TblCalculs[Cluster],$B40,TblCalculs[Mois],"&gt;="&amp;ex_mois))</f>
        <v/>
      </c>
      <c r="N40" s="39" t="n">
        <f aca="false">IF(9&gt;p_horizon,"",EDATE(p_debut,8))</f>
        <v>46539</v>
      </c>
      <c r="O40" s="22" t="n">
        <f aca="false">IF(9&gt;p_horizon,"",SUMIFS(TblCalculs[Coût mensuel],TblCalculs[Plateforme],"IKS",TblCalculs[Environnement],ex_envc,TblCalculs[Mois],$N40))</f>
        <v>27612</v>
      </c>
      <c r="P40" s="40" t="n">
        <f aca="false">IF(9&gt;p_horizon,"",(COUNTIFS(TblApplications[Action],"À migrer",TblApplications[Mois lib (calc)],"&gt;"&amp;$N40,TblApplications[Environnement],ex_envc,TblApplications[Domaine],ex_domc,TblApplications[Tribe],ex_tric)+COUNTIFS(TblApplications[Action],"À décommissionner",TblApplications[Mois lib (calc)],"&gt;"&amp;$N40,TblApplications[Environnement],ex_envc,TblApplications[Domaine],ex_domc,TblApplications[Tribe],ex_tric)))</f>
        <v>8</v>
      </c>
      <c r="Q40" s="40" t="n">
        <f aca="false">IF(9&gt;p_horizon,"",COUNTIFS(TblCalculs[Plateforme],"IKS",TblCalculs[Mois],$N40,TblCalculs[Workers],"&gt;0",TblCalculs[Environnement],ex_envc))</f>
        <v>2</v>
      </c>
      <c r="R40" s="22" t="n">
        <f aca="false">IF(9&gt;p_horizon,"",SUMIFS(TblCalculs[Coût mensuel],TblCalculs[Plateforme],"IKS",TblCalculs[Environnement],ex_envc,TblCalculs[Mois],"&gt;="&amp;$N40))</f>
        <v>292050</v>
      </c>
    </row>
    <row r="41" customFormat="false" ht="15" hidden="false" customHeight="false" outlineLevel="0" collapsed="false">
      <c r="A41" s="49" t="str">
        <f aca="false">IFERROR(MATCH(10,TblClusters[Rang extinction],0),"")</f>
        <v/>
      </c>
      <c r="B41" s="40" t="str">
        <f aca="false">IF($A41="","",INDEX(TblClusters[Cluster],$A41))</f>
        <v/>
      </c>
      <c r="C41" s="40" t="str">
        <f aca="false">IF($A41="","",INDEX(TblClusters[Environnement],$A41))</f>
        <v/>
      </c>
      <c r="D41" s="40" t="str">
        <f aca="false">IF($A41="","",SUMIFS(TblCalculs[Workers],TblCalculs[Cluster],$B41,TblCalculs[Mois],ex_mois))</f>
        <v/>
      </c>
      <c r="E41" s="40" t="str">
        <f aca="false">IF($A41="","",COUNTIFS(TblApplications[Cluster IKS source],$B41,TblApplications[Action],"À migrer",TblApplications[Mois lib (calc)],"&gt;"&amp;ex_mois)+COUNTIFS(TblApplications[Cluster IKS source],$B41,TblApplications[Action],"À décommissionner",TblApplications[Mois lib (calc)],"&gt;"&amp;ex_mois))</f>
        <v/>
      </c>
      <c r="F41" s="39" t="str">
        <f aca="false">IF($A41="","",IFERROR(1/(1/_xlfn.MAXIFS(TblApplications[Mois lib (calc)],TblApplications[Cluster IKS source],$B41)),"–"))</f>
        <v/>
      </c>
      <c r="G41" s="39" t="str">
        <f aca="false">IF($A41="","",IF(INDEX(TblClusters[Fermeture retenue],$A41)="","–",INDEX(TblClusters[Fermeture retenue],$A41)))</f>
        <v/>
      </c>
      <c r="H41" s="40" t="str">
        <f aca="false">IF($A41="","",IF(NOT(ISNUMBER($G41)),"Non planifiée",IF($G41&lt;=ex_mois,"Fermé","Fermeture planifiée")))</f>
        <v/>
      </c>
      <c r="I41" s="22" t="str">
        <f aca="false">IF($A41="","",SUMIFS(TblCalculs[Coût mensuel],TblCalculs[Cluster],$B41,TblCalculs[Mois],"&gt;="&amp;ex_mois))</f>
        <v/>
      </c>
      <c r="N41" s="39" t="n">
        <f aca="false">IF(10&gt;p_horizon,"",EDATE(p_debut,9))</f>
        <v>46569</v>
      </c>
      <c r="O41" s="22" t="n">
        <f aca="false">IF(10&gt;p_horizon,"",SUMIFS(TblCalculs[Coût mensuel],TblCalculs[Plateforme],"IKS",TblCalculs[Environnement],ex_envc,TblCalculs[Mois],$N41))</f>
        <v>22302</v>
      </c>
      <c r="P41" s="40" t="n">
        <f aca="false">IF(10&gt;p_horizon,"",(COUNTIFS(TblApplications[Action],"À migrer",TblApplications[Mois lib (calc)],"&gt;"&amp;$N41,TblApplications[Environnement],ex_envc,TblApplications[Domaine],ex_domc,TblApplications[Tribe],ex_tric)+COUNTIFS(TblApplications[Action],"À décommissionner",TblApplications[Mois lib (calc)],"&gt;"&amp;$N41,TblApplications[Environnement],ex_envc,TblApplications[Domaine],ex_domc,TblApplications[Tribe],ex_tric)))</f>
        <v>7</v>
      </c>
      <c r="Q41" s="40" t="n">
        <f aca="false">IF(10&gt;p_horizon,"",COUNTIFS(TblCalculs[Plateforme],"IKS",TblCalculs[Mois],$N41,TblCalculs[Workers],"&gt;0",TblCalculs[Environnement],ex_envc))</f>
        <v>2</v>
      </c>
      <c r="R41" s="22" t="n">
        <f aca="false">IF(10&gt;p_horizon,"",SUMIFS(TblCalculs[Coût mensuel],TblCalculs[Plateforme],"IKS",TblCalculs[Environnement],ex_envc,TblCalculs[Mois],"&gt;="&amp;$N41))</f>
        <v>264438</v>
      </c>
    </row>
    <row r="42" customFormat="false" ht="15" hidden="false" customHeight="false" outlineLevel="0" collapsed="false">
      <c r="A42" s="49" t="str">
        <f aca="false">IFERROR(MATCH(11,TblClusters[Rang extinction],0),"")</f>
        <v/>
      </c>
      <c r="B42" s="40" t="str">
        <f aca="false">IF($A42="","",INDEX(TblClusters[Cluster],$A42))</f>
        <v/>
      </c>
      <c r="C42" s="40" t="str">
        <f aca="false">IF($A42="","",INDEX(TblClusters[Environnement],$A42))</f>
        <v/>
      </c>
      <c r="D42" s="40" t="str">
        <f aca="false">IF($A42="","",SUMIFS(TblCalculs[Workers],TblCalculs[Cluster],$B42,TblCalculs[Mois],ex_mois))</f>
        <v/>
      </c>
      <c r="E42" s="40" t="str">
        <f aca="false">IF($A42="","",COUNTIFS(TblApplications[Cluster IKS source],$B42,TblApplications[Action],"À migrer",TblApplications[Mois lib (calc)],"&gt;"&amp;ex_mois)+COUNTIFS(TblApplications[Cluster IKS source],$B42,TblApplications[Action],"À décommissionner",TblApplications[Mois lib (calc)],"&gt;"&amp;ex_mois))</f>
        <v/>
      </c>
      <c r="F42" s="39" t="str">
        <f aca="false">IF($A42="","",IFERROR(1/(1/_xlfn.MAXIFS(TblApplications[Mois lib (calc)],TblApplications[Cluster IKS source],$B42)),"–"))</f>
        <v/>
      </c>
      <c r="G42" s="39" t="str">
        <f aca="false">IF($A42="","",IF(INDEX(TblClusters[Fermeture retenue],$A42)="","–",INDEX(TblClusters[Fermeture retenue],$A42)))</f>
        <v/>
      </c>
      <c r="H42" s="40" t="str">
        <f aca="false">IF($A42="","",IF(NOT(ISNUMBER($G42)),"Non planifiée",IF($G42&lt;=ex_mois,"Fermé","Fermeture planifiée")))</f>
        <v/>
      </c>
      <c r="I42" s="22" t="str">
        <f aca="false">IF($A42="","",SUMIFS(TblCalculs[Coût mensuel],TblCalculs[Cluster],$B42,TblCalculs[Mois],"&gt;="&amp;ex_mois))</f>
        <v/>
      </c>
      <c r="N42" s="39" t="n">
        <f aca="false">IF(11&gt;p_horizon,"",EDATE(p_debut,10))</f>
        <v>46600</v>
      </c>
      <c r="O42" s="22" t="n">
        <f aca="false">IF(11&gt;p_horizon,"",SUMIFS(TblCalculs[Coût mensuel],TblCalculs[Plateforme],"IKS",TblCalculs[Environnement],ex_envc,TblCalculs[Mois],$N42))</f>
        <v>22302</v>
      </c>
      <c r="P42" s="40" t="n">
        <f aca="false">IF(11&gt;p_horizon,"",(COUNTIFS(TblApplications[Action],"À migrer",TblApplications[Mois lib (calc)],"&gt;"&amp;$N42,TblApplications[Environnement],ex_envc,TblApplications[Domaine],ex_domc,TblApplications[Tribe],ex_tric)+COUNTIFS(TblApplications[Action],"À décommissionner",TblApplications[Mois lib (calc)],"&gt;"&amp;$N42,TblApplications[Environnement],ex_envc,TblApplications[Domaine],ex_domc,TblApplications[Tribe],ex_tric)))</f>
        <v>7</v>
      </c>
      <c r="Q42" s="40" t="n">
        <f aca="false">IF(11&gt;p_horizon,"",COUNTIFS(TblCalculs[Plateforme],"IKS",TblCalculs[Mois],$N42,TblCalculs[Workers],"&gt;0",TblCalculs[Environnement],ex_envc))</f>
        <v>2</v>
      </c>
      <c r="R42" s="22" t="n">
        <f aca="false">IF(11&gt;p_horizon,"",SUMIFS(TblCalculs[Coût mensuel],TblCalculs[Plateforme],"IKS",TblCalculs[Environnement],ex_envc,TblCalculs[Mois],"&gt;="&amp;$N42))</f>
        <v>242136</v>
      </c>
    </row>
    <row r="43" customFormat="false" ht="15" hidden="false" customHeight="false" outlineLevel="0" collapsed="false">
      <c r="A43" s="49" t="str">
        <f aca="false">IFERROR(MATCH(12,TblClusters[Rang extinction],0),"")</f>
        <v/>
      </c>
      <c r="B43" s="40" t="str">
        <f aca="false">IF($A43="","",INDEX(TblClusters[Cluster],$A43))</f>
        <v/>
      </c>
      <c r="C43" s="40" t="str">
        <f aca="false">IF($A43="","",INDEX(TblClusters[Environnement],$A43))</f>
        <v/>
      </c>
      <c r="D43" s="40" t="str">
        <f aca="false">IF($A43="","",SUMIFS(TblCalculs[Workers],TblCalculs[Cluster],$B43,TblCalculs[Mois],ex_mois))</f>
        <v/>
      </c>
      <c r="E43" s="40" t="str">
        <f aca="false">IF($A43="","",COUNTIFS(TblApplications[Cluster IKS source],$B43,TblApplications[Action],"À migrer",TblApplications[Mois lib (calc)],"&gt;"&amp;ex_mois)+COUNTIFS(TblApplications[Cluster IKS source],$B43,TblApplications[Action],"À décommissionner",TblApplications[Mois lib (calc)],"&gt;"&amp;ex_mois))</f>
        <v/>
      </c>
      <c r="F43" s="39" t="str">
        <f aca="false">IF($A43="","",IFERROR(1/(1/_xlfn.MAXIFS(TblApplications[Mois lib (calc)],TblApplications[Cluster IKS source],$B43)),"–"))</f>
        <v/>
      </c>
      <c r="G43" s="39" t="str">
        <f aca="false">IF($A43="","",IF(INDEX(TblClusters[Fermeture retenue],$A43)="","–",INDEX(TblClusters[Fermeture retenue],$A43)))</f>
        <v/>
      </c>
      <c r="H43" s="40" t="str">
        <f aca="false">IF($A43="","",IF(NOT(ISNUMBER($G43)),"Non planifiée",IF($G43&lt;=ex_mois,"Fermé","Fermeture planifiée")))</f>
        <v/>
      </c>
      <c r="I43" s="22" t="str">
        <f aca="false">IF($A43="","",SUMIFS(TblCalculs[Coût mensuel],TblCalculs[Cluster],$B43,TblCalculs[Mois],"&gt;="&amp;ex_mois))</f>
        <v/>
      </c>
      <c r="N43" s="39" t="n">
        <f aca="false">IF(12&gt;p_horizon,"",EDATE(p_debut,11))</f>
        <v>46631</v>
      </c>
      <c r="O43" s="22" t="n">
        <f aca="false">IF(12&gt;p_horizon,"",SUMIFS(TblCalculs[Coût mensuel],TblCalculs[Plateforme],"IKS",TblCalculs[Environnement],ex_envc,TblCalculs[Mois],$N43))</f>
        <v>22302</v>
      </c>
      <c r="P43" s="40" t="n">
        <f aca="false">IF(12&gt;p_horizon,"",(COUNTIFS(TblApplications[Action],"À migrer",TblApplications[Mois lib (calc)],"&gt;"&amp;$N43,TblApplications[Environnement],ex_envc,TblApplications[Domaine],ex_domc,TblApplications[Tribe],ex_tric)+COUNTIFS(TblApplications[Action],"À décommissionner",TblApplications[Mois lib (calc)],"&gt;"&amp;$N43,TblApplications[Environnement],ex_envc,TblApplications[Domaine],ex_domc,TblApplications[Tribe],ex_tric)))</f>
        <v>7</v>
      </c>
      <c r="Q43" s="40" t="n">
        <f aca="false">IF(12&gt;p_horizon,"",COUNTIFS(TblCalculs[Plateforme],"IKS",TblCalculs[Mois],$N43,TblCalculs[Workers],"&gt;0",TblCalculs[Environnement],ex_envc))</f>
        <v>2</v>
      </c>
      <c r="R43" s="22" t="n">
        <f aca="false">IF(12&gt;p_horizon,"",SUMIFS(TblCalculs[Coût mensuel],TblCalculs[Plateforme],"IKS",TblCalculs[Environnement],ex_envc,TblCalculs[Mois],"&gt;="&amp;$N43))</f>
        <v>219834</v>
      </c>
    </row>
    <row r="44" customFormat="false" ht="15" hidden="false" customHeight="false" outlineLevel="0" collapsed="false">
      <c r="A44" s="49" t="str">
        <f aca="false">IFERROR(MATCH(13,TblClusters[Rang extinction],0),"")</f>
        <v/>
      </c>
      <c r="B44" s="40" t="str">
        <f aca="false">IF($A44="","",INDEX(TblClusters[Cluster],$A44))</f>
        <v/>
      </c>
      <c r="C44" s="40" t="str">
        <f aca="false">IF($A44="","",INDEX(TblClusters[Environnement],$A44))</f>
        <v/>
      </c>
      <c r="D44" s="40" t="str">
        <f aca="false">IF($A44="","",SUMIFS(TblCalculs[Workers],TblCalculs[Cluster],$B44,TblCalculs[Mois],ex_mois))</f>
        <v/>
      </c>
      <c r="E44" s="40" t="str">
        <f aca="false">IF($A44="","",COUNTIFS(TblApplications[Cluster IKS source],$B44,TblApplications[Action],"À migrer",TblApplications[Mois lib (calc)],"&gt;"&amp;ex_mois)+COUNTIFS(TblApplications[Cluster IKS source],$B44,TblApplications[Action],"À décommissionner",TblApplications[Mois lib (calc)],"&gt;"&amp;ex_mois))</f>
        <v/>
      </c>
      <c r="F44" s="39" t="str">
        <f aca="false">IF($A44="","",IFERROR(1/(1/_xlfn.MAXIFS(TblApplications[Mois lib (calc)],TblApplications[Cluster IKS source],$B44)),"–"))</f>
        <v/>
      </c>
      <c r="G44" s="39" t="str">
        <f aca="false">IF($A44="","",IF(INDEX(TblClusters[Fermeture retenue],$A44)="","–",INDEX(TblClusters[Fermeture retenue],$A44)))</f>
        <v/>
      </c>
      <c r="H44" s="40" t="str">
        <f aca="false">IF($A44="","",IF(NOT(ISNUMBER($G44)),"Non planifiée",IF($G44&lt;=ex_mois,"Fermé","Fermeture planifiée")))</f>
        <v/>
      </c>
      <c r="I44" s="22" t="str">
        <f aca="false">IF($A44="","",SUMIFS(TblCalculs[Coût mensuel],TblCalculs[Cluster],$B44,TblCalculs[Mois],"&gt;="&amp;ex_mois))</f>
        <v/>
      </c>
      <c r="N44" s="39" t="n">
        <f aca="false">IF(13&gt;p_horizon,"",EDATE(p_debut,12))</f>
        <v>46661</v>
      </c>
      <c r="O44" s="22" t="n">
        <f aca="false">IF(13&gt;p_horizon,"",SUMIFS(TblCalculs[Coût mensuel],TblCalculs[Plateforme],"IKS",TblCalculs[Environnement],ex_envc,TblCalculs[Mois],$N44))</f>
        <v>21240</v>
      </c>
      <c r="P44" s="40" t="n">
        <f aca="false">IF(13&gt;p_horizon,"",(COUNTIFS(TblApplications[Action],"À migrer",TblApplications[Mois lib (calc)],"&gt;"&amp;$N44,TblApplications[Environnement],ex_envc,TblApplications[Domaine],ex_domc,TblApplications[Tribe],ex_tric)+COUNTIFS(TblApplications[Action],"À décommissionner",TblApplications[Mois lib (calc)],"&gt;"&amp;$N44,TblApplications[Environnement],ex_envc,TblApplications[Domaine],ex_domc,TblApplications[Tribe],ex_tric)))</f>
        <v>5</v>
      </c>
      <c r="Q44" s="40" t="n">
        <f aca="false">IF(13&gt;p_horizon,"",COUNTIFS(TblCalculs[Plateforme],"IKS",TblCalculs[Mois],$N44,TblCalculs[Workers],"&gt;0",TblCalculs[Environnement],ex_envc))</f>
        <v>2</v>
      </c>
      <c r="R44" s="22" t="n">
        <f aca="false">IF(13&gt;p_horizon,"",SUMIFS(TblCalculs[Coût mensuel],TblCalculs[Plateforme],"IKS",TblCalculs[Environnement],ex_envc,TblCalculs[Mois],"&gt;="&amp;$N44))</f>
        <v>197532</v>
      </c>
    </row>
    <row r="45" customFormat="false" ht="15" hidden="false" customHeight="false" outlineLevel="0" collapsed="false">
      <c r="A45" s="49" t="str">
        <f aca="false">IFERROR(MATCH(14,TblClusters[Rang extinction],0),"")</f>
        <v/>
      </c>
      <c r="B45" s="40" t="str">
        <f aca="false">IF($A45="","",INDEX(TblClusters[Cluster],$A45))</f>
        <v/>
      </c>
      <c r="C45" s="40" t="str">
        <f aca="false">IF($A45="","",INDEX(TblClusters[Environnement],$A45))</f>
        <v/>
      </c>
      <c r="D45" s="40" t="str">
        <f aca="false">IF($A45="","",SUMIFS(TblCalculs[Workers],TblCalculs[Cluster],$B45,TblCalculs[Mois],ex_mois))</f>
        <v/>
      </c>
      <c r="E45" s="40" t="str">
        <f aca="false">IF($A45="","",COUNTIFS(TblApplications[Cluster IKS source],$B45,TblApplications[Action],"À migrer",TblApplications[Mois lib (calc)],"&gt;"&amp;ex_mois)+COUNTIFS(TblApplications[Cluster IKS source],$B45,TblApplications[Action],"À décommissionner",TblApplications[Mois lib (calc)],"&gt;"&amp;ex_mois))</f>
        <v/>
      </c>
      <c r="F45" s="39" t="str">
        <f aca="false">IF($A45="","",IFERROR(1/(1/_xlfn.MAXIFS(TblApplications[Mois lib (calc)],TblApplications[Cluster IKS source],$B45)),"–"))</f>
        <v/>
      </c>
      <c r="G45" s="39" t="str">
        <f aca="false">IF($A45="","",IF(INDEX(TblClusters[Fermeture retenue],$A45)="","–",INDEX(TblClusters[Fermeture retenue],$A45)))</f>
        <v/>
      </c>
      <c r="H45" s="40" t="str">
        <f aca="false">IF($A45="","",IF(NOT(ISNUMBER($G45)),"Non planifiée",IF($G45&lt;=ex_mois,"Fermé","Fermeture planifiée")))</f>
        <v/>
      </c>
      <c r="I45" s="22" t="str">
        <f aca="false">IF($A45="","",SUMIFS(TblCalculs[Coût mensuel],TblCalculs[Cluster],$B45,TblCalculs[Mois],"&gt;="&amp;ex_mois))</f>
        <v/>
      </c>
      <c r="N45" s="39" t="n">
        <f aca="false">IF(14&gt;p_horizon,"",EDATE(p_debut,13))</f>
        <v>46692</v>
      </c>
      <c r="O45" s="22" t="n">
        <f aca="false">IF(14&gt;p_horizon,"",SUMIFS(TblCalculs[Coût mensuel],TblCalculs[Plateforme],"IKS",TblCalculs[Environnement],ex_envc,TblCalculs[Mois],$N45))</f>
        <v>20178</v>
      </c>
      <c r="P45" s="40" t="n">
        <f aca="false">IF(14&gt;p_horizon,"",(COUNTIFS(TblApplications[Action],"À migrer",TblApplications[Mois lib (calc)],"&gt;"&amp;$N45,TblApplications[Environnement],ex_envc,TblApplications[Domaine],ex_domc,TblApplications[Tribe],ex_tric)+COUNTIFS(TblApplications[Action],"À décommissionner",TblApplications[Mois lib (calc)],"&gt;"&amp;$N45,TblApplications[Environnement],ex_envc,TblApplications[Domaine],ex_domc,TblApplications[Tribe],ex_tric)))</f>
        <v>4</v>
      </c>
      <c r="Q45" s="40" t="n">
        <f aca="false">IF(14&gt;p_horizon,"",COUNTIFS(TblCalculs[Plateforme],"IKS",TblCalculs[Mois],$N45,TblCalculs[Workers],"&gt;0",TblCalculs[Environnement],ex_envc))</f>
        <v>2</v>
      </c>
      <c r="R45" s="22" t="n">
        <f aca="false">IF(14&gt;p_horizon,"",SUMIFS(TblCalculs[Coût mensuel],TblCalculs[Plateforme],"IKS",TblCalculs[Environnement],ex_envc,TblCalculs[Mois],"&gt;="&amp;$N45))</f>
        <v>176292</v>
      </c>
    </row>
    <row r="46" customFormat="false" ht="15" hidden="false" customHeight="false" outlineLevel="0" collapsed="false">
      <c r="A46" s="49" t="str">
        <f aca="false">IFERROR(MATCH(15,TblClusters[Rang extinction],0),"")</f>
        <v/>
      </c>
      <c r="B46" s="40" t="str">
        <f aca="false">IF($A46="","",INDEX(TblClusters[Cluster],$A46))</f>
        <v/>
      </c>
      <c r="C46" s="40" t="str">
        <f aca="false">IF($A46="","",INDEX(TblClusters[Environnement],$A46))</f>
        <v/>
      </c>
      <c r="D46" s="40" t="str">
        <f aca="false">IF($A46="","",SUMIFS(TblCalculs[Workers],TblCalculs[Cluster],$B46,TblCalculs[Mois],ex_mois))</f>
        <v/>
      </c>
      <c r="E46" s="40" t="str">
        <f aca="false">IF($A46="","",COUNTIFS(TblApplications[Cluster IKS source],$B46,TblApplications[Action],"À migrer",TblApplications[Mois lib (calc)],"&gt;"&amp;ex_mois)+COUNTIFS(TblApplications[Cluster IKS source],$B46,TblApplications[Action],"À décommissionner",TblApplications[Mois lib (calc)],"&gt;"&amp;ex_mois))</f>
        <v/>
      </c>
      <c r="F46" s="39" t="str">
        <f aca="false">IF($A46="","",IFERROR(1/(1/_xlfn.MAXIFS(TblApplications[Mois lib (calc)],TblApplications[Cluster IKS source],$B46)),"–"))</f>
        <v/>
      </c>
      <c r="G46" s="39" t="str">
        <f aca="false">IF($A46="","",IF(INDEX(TblClusters[Fermeture retenue],$A46)="","–",INDEX(TblClusters[Fermeture retenue],$A46)))</f>
        <v/>
      </c>
      <c r="H46" s="40" t="str">
        <f aca="false">IF($A46="","",IF(NOT(ISNUMBER($G46)),"Non planifiée",IF($G46&lt;=ex_mois,"Fermé","Fermeture planifiée")))</f>
        <v/>
      </c>
      <c r="I46" s="22" t="str">
        <f aca="false">IF($A46="","",SUMIFS(TblCalculs[Coût mensuel],TblCalculs[Cluster],$B46,TblCalculs[Mois],"&gt;="&amp;ex_mois))</f>
        <v/>
      </c>
      <c r="N46" s="39" t="n">
        <f aca="false">IF(15&gt;p_horizon,"",EDATE(p_debut,14))</f>
        <v>46722</v>
      </c>
      <c r="O46" s="22" t="n">
        <f aca="false">IF(15&gt;p_horizon,"",SUMIFS(TblCalculs[Coût mensuel],TblCalculs[Plateforme],"IKS",TblCalculs[Environnement],ex_envc,TblCalculs[Mois],$N46))</f>
        <v>20178</v>
      </c>
      <c r="P46" s="40" t="n">
        <f aca="false">IF(15&gt;p_horizon,"",(COUNTIFS(TblApplications[Action],"À migrer",TblApplications[Mois lib (calc)],"&gt;"&amp;$N46,TblApplications[Environnement],ex_envc,TblApplications[Domaine],ex_domc,TblApplications[Tribe],ex_tric)+COUNTIFS(TblApplications[Action],"À décommissionner",TblApplications[Mois lib (calc)],"&gt;"&amp;$N46,TblApplications[Environnement],ex_envc,TblApplications[Domaine],ex_domc,TblApplications[Tribe],ex_tric)))</f>
        <v>4</v>
      </c>
      <c r="Q46" s="40" t="n">
        <f aca="false">IF(15&gt;p_horizon,"",COUNTIFS(TblCalculs[Plateforme],"IKS",TblCalculs[Mois],$N46,TblCalculs[Workers],"&gt;0",TblCalculs[Environnement],ex_envc))</f>
        <v>2</v>
      </c>
      <c r="R46" s="22" t="n">
        <f aca="false">IF(15&gt;p_horizon,"",SUMIFS(TblCalculs[Coût mensuel],TblCalculs[Plateforme],"IKS",TblCalculs[Environnement],ex_envc,TblCalculs[Mois],"&gt;="&amp;$N46))</f>
        <v>156114</v>
      </c>
    </row>
    <row r="47" customFormat="false" ht="15" hidden="false" customHeight="false" outlineLevel="0" collapsed="false">
      <c r="A47" s="49" t="str">
        <f aca="false">IFERROR(MATCH(16,TblClusters[Rang extinction],0),"")</f>
        <v/>
      </c>
      <c r="B47" s="40" t="str">
        <f aca="false">IF($A47="","",INDEX(TblClusters[Cluster],$A47))</f>
        <v/>
      </c>
      <c r="C47" s="40" t="str">
        <f aca="false">IF($A47="","",INDEX(TblClusters[Environnement],$A47))</f>
        <v/>
      </c>
      <c r="D47" s="40" t="str">
        <f aca="false">IF($A47="","",SUMIFS(TblCalculs[Workers],TblCalculs[Cluster],$B47,TblCalculs[Mois],ex_mois))</f>
        <v/>
      </c>
      <c r="E47" s="40" t="str">
        <f aca="false">IF($A47="","",COUNTIFS(TblApplications[Cluster IKS source],$B47,TblApplications[Action],"À migrer",TblApplications[Mois lib (calc)],"&gt;"&amp;ex_mois)+COUNTIFS(TblApplications[Cluster IKS source],$B47,TblApplications[Action],"À décommissionner",TblApplications[Mois lib (calc)],"&gt;"&amp;ex_mois))</f>
        <v/>
      </c>
      <c r="F47" s="39" t="str">
        <f aca="false">IF($A47="","",IFERROR(1/(1/_xlfn.MAXIFS(TblApplications[Mois lib (calc)],TblApplications[Cluster IKS source],$B47)),"–"))</f>
        <v/>
      </c>
      <c r="G47" s="39" t="str">
        <f aca="false">IF($A47="","",IF(INDEX(TblClusters[Fermeture retenue],$A47)="","–",INDEX(TblClusters[Fermeture retenue],$A47)))</f>
        <v/>
      </c>
      <c r="H47" s="40" t="str">
        <f aca="false">IF($A47="","",IF(NOT(ISNUMBER($G47)),"Non planifiée",IF($G47&lt;=ex_mois,"Fermé","Fermeture planifiée")))</f>
        <v/>
      </c>
      <c r="I47" s="22" t="str">
        <f aca="false">IF($A47="","",SUMIFS(TblCalculs[Coût mensuel],TblCalculs[Cluster],$B47,TblCalculs[Mois],"&gt;="&amp;ex_mois))</f>
        <v/>
      </c>
      <c r="N47" s="39" t="n">
        <f aca="false">IF(16&gt;p_horizon,"",EDATE(p_debut,15))</f>
        <v>46753</v>
      </c>
      <c r="O47" s="22" t="n">
        <f aca="false">IF(16&gt;p_horizon,"",SUMIFS(TblCalculs[Coût mensuel],TblCalculs[Plateforme],"IKS",TblCalculs[Environnement],ex_envc,TblCalculs[Mois],$N47))</f>
        <v>20178</v>
      </c>
      <c r="P47" s="40" t="n">
        <f aca="false">IF(16&gt;p_horizon,"",(COUNTIFS(TblApplications[Action],"À migrer",TblApplications[Mois lib (calc)],"&gt;"&amp;$N47,TblApplications[Environnement],ex_envc,TblApplications[Domaine],ex_domc,TblApplications[Tribe],ex_tric)+COUNTIFS(TblApplications[Action],"À décommissionner",TblApplications[Mois lib (calc)],"&gt;"&amp;$N47,TblApplications[Environnement],ex_envc,TblApplications[Domaine],ex_domc,TblApplications[Tribe],ex_tric)))</f>
        <v>4</v>
      </c>
      <c r="Q47" s="40" t="n">
        <f aca="false">IF(16&gt;p_horizon,"",COUNTIFS(TblCalculs[Plateforme],"IKS",TblCalculs[Mois],$N47,TblCalculs[Workers],"&gt;0",TblCalculs[Environnement],ex_envc))</f>
        <v>2</v>
      </c>
      <c r="R47" s="22" t="n">
        <f aca="false">IF(16&gt;p_horizon,"",SUMIFS(TblCalculs[Coût mensuel],TblCalculs[Plateforme],"IKS",TblCalculs[Environnement],ex_envc,TblCalculs[Mois],"&gt;="&amp;$N47))</f>
        <v>135936</v>
      </c>
    </row>
    <row r="48" customFormat="false" ht="15" hidden="false" customHeight="false" outlineLevel="0" collapsed="false">
      <c r="A48" s="49" t="str">
        <f aca="false">IFERROR(MATCH(17,TblClusters[Rang extinction],0),"")</f>
        <v/>
      </c>
      <c r="B48" s="40" t="str">
        <f aca="false">IF($A48="","",INDEX(TblClusters[Cluster],$A48))</f>
        <v/>
      </c>
      <c r="C48" s="40" t="str">
        <f aca="false">IF($A48="","",INDEX(TblClusters[Environnement],$A48))</f>
        <v/>
      </c>
      <c r="D48" s="40" t="str">
        <f aca="false">IF($A48="","",SUMIFS(TblCalculs[Workers],TblCalculs[Cluster],$B48,TblCalculs[Mois],ex_mois))</f>
        <v/>
      </c>
      <c r="E48" s="40" t="str">
        <f aca="false">IF($A48="","",COUNTIFS(TblApplications[Cluster IKS source],$B48,TblApplications[Action],"À migrer",TblApplications[Mois lib (calc)],"&gt;"&amp;ex_mois)+COUNTIFS(TblApplications[Cluster IKS source],$B48,TblApplications[Action],"À décommissionner",TblApplications[Mois lib (calc)],"&gt;"&amp;ex_mois))</f>
        <v/>
      </c>
      <c r="F48" s="39" t="str">
        <f aca="false">IF($A48="","",IFERROR(1/(1/_xlfn.MAXIFS(TblApplications[Mois lib (calc)],TblApplications[Cluster IKS source],$B48)),"–"))</f>
        <v/>
      </c>
      <c r="G48" s="39" t="str">
        <f aca="false">IF($A48="","",IF(INDEX(TblClusters[Fermeture retenue],$A48)="","–",INDEX(TblClusters[Fermeture retenue],$A48)))</f>
        <v/>
      </c>
      <c r="H48" s="40" t="str">
        <f aca="false">IF($A48="","",IF(NOT(ISNUMBER($G48)),"Non planifiée",IF($G48&lt;=ex_mois,"Fermé","Fermeture planifiée")))</f>
        <v/>
      </c>
      <c r="I48" s="22" t="str">
        <f aca="false">IF($A48="","",SUMIFS(TblCalculs[Coût mensuel],TblCalculs[Cluster],$B48,TblCalculs[Mois],"&gt;="&amp;ex_mois))</f>
        <v/>
      </c>
      <c r="N48" s="39" t="n">
        <f aca="false">IF(17&gt;p_horizon,"",EDATE(p_debut,16))</f>
        <v>46784</v>
      </c>
      <c r="O48" s="22" t="n">
        <f aca="false">IF(17&gt;p_horizon,"",SUMIFS(TblCalculs[Coût mensuel],TblCalculs[Plateforme],"IKS",TblCalculs[Environnement],ex_envc,TblCalculs[Mois],$N48))</f>
        <v>20178</v>
      </c>
      <c r="P48" s="40" t="n">
        <f aca="false">IF(17&gt;p_horizon,"",(COUNTIFS(TblApplications[Action],"À migrer",TblApplications[Mois lib (calc)],"&gt;"&amp;$N48,TblApplications[Environnement],ex_envc,TblApplications[Domaine],ex_domc,TblApplications[Tribe],ex_tric)+COUNTIFS(TblApplications[Action],"À décommissionner",TblApplications[Mois lib (calc)],"&gt;"&amp;$N48,TblApplications[Environnement],ex_envc,TblApplications[Domaine],ex_domc,TblApplications[Tribe],ex_tric)))</f>
        <v>4</v>
      </c>
      <c r="Q48" s="40" t="n">
        <f aca="false">IF(17&gt;p_horizon,"",COUNTIFS(TblCalculs[Plateforme],"IKS",TblCalculs[Mois],$N48,TblCalculs[Workers],"&gt;0",TblCalculs[Environnement],ex_envc))</f>
        <v>2</v>
      </c>
      <c r="R48" s="22" t="n">
        <f aca="false">IF(17&gt;p_horizon,"",SUMIFS(TblCalculs[Coût mensuel],TblCalculs[Plateforme],"IKS",TblCalculs[Environnement],ex_envc,TblCalculs[Mois],"&gt;="&amp;$N48))</f>
        <v>115758</v>
      </c>
    </row>
    <row r="49" customFormat="false" ht="15" hidden="false" customHeight="false" outlineLevel="0" collapsed="false">
      <c r="A49" s="49" t="str">
        <f aca="false">IFERROR(MATCH(18,TblClusters[Rang extinction],0),"")</f>
        <v/>
      </c>
      <c r="B49" s="40" t="str">
        <f aca="false">IF($A49="","",INDEX(TblClusters[Cluster],$A49))</f>
        <v/>
      </c>
      <c r="C49" s="40" t="str">
        <f aca="false">IF($A49="","",INDEX(TblClusters[Environnement],$A49))</f>
        <v/>
      </c>
      <c r="D49" s="40" t="str">
        <f aca="false">IF($A49="","",SUMIFS(TblCalculs[Workers],TblCalculs[Cluster],$B49,TblCalculs[Mois],ex_mois))</f>
        <v/>
      </c>
      <c r="E49" s="40" t="str">
        <f aca="false">IF($A49="","",COUNTIFS(TblApplications[Cluster IKS source],$B49,TblApplications[Action],"À migrer",TblApplications[Mois lib (calc)],"&gt;"&amp;ex_mois)+COUNTIFS(TblApplications[Cluster IKS source],$B49,TblApplications[Action],"À décommissionner",TblApplications[Mois lib (calc)],"&gt;"&amp;ex_mois))</f>
        <v/>
      </c>
      <c r="F49" s="39" t="str">
        <f aca="false">IF($A49="","",IFERROR(1/(1/_xlfn.MAXIFS(TblApplications[Mois lib (calc)],TblApplications[Cluster IKS source],$B49)),"–"))</f>
        <v/>
      </c>
      <c r="G49" s="39" t="str">
        <f aca="false">IF($A49="","",IF(INDEX(TblClusters[Fermeture retenue],$A49)="","–",INDEX(TblClusters[Fermeture retenue],$A49)))</f>
        <v/>
      </c>
      <c r="H49" s="40" t="str">
        <f aca="false">IF($A49="","",IF(NOT(ISNUMBER($G49)),"Non planifiée",IF($G49&lt;=ex_mois,"Fermé","Fermeture planifiée")))</f>
        <v/>
      </c>
      <c r="I49" s="22" t="str">
        <f aca="false">IF($A49="","",SUMIFS(TblCalculs[Coût mensuel],TblCalculs[Cluster],$B49,TblCalculs[Mois],"&gt;="&amp;ex_mois))</f>
        <v/>
      </c>
      <c r="N49" s="39" t="n">
        <f aca="false">IF(18&gt;p_horizon,"",EDATE(p_debut,17))</f>
        <v>46813</v>
      </c>
      <c r="O49" s="22" t="n">
        <f aca="false">IF(18&gt;p_horizon,"",SUMIFS(TblCalculs[Coût mensuel],TblCalculs[Plateforme],"IKS",TblCalculs[Environnement],ex_envc,TblCalculs[Mois],$N49))</f>
        <v>14868</v>
      </c>
      <c r="P49" s="40" t="n">
        <f aca="false">IF(18&gt;p_horizon,"",(COUNTIFS(TblApplications[Action],"À migrer",TblApplications[Mois lib (calc)],"&gt;"&amp;$N49,TblApplications[Environnement],ex_envc,TblApplications[Domaine],ex_domc,TblApplications[Tribe],ex_tric)+COUNTIFS(TblApplications[Action],"À décommissionner",TblApplications[Mois lib (calc)],"&gt;"&amp;$N49,TblApplications[Environnement],ex_envc,TblApplications[Domaine],ex_domc,TblApplications[Tribe],ex_tric)))</f>
        <v>3</v>
      </c>
      <c r="Q49" s="40" t="n">
        <f aca="false">IF(18&gt;p_horizon,"",COUNTIFS(TblCalculs[Plateforme],"IKS",TblCalculs[Mois],$N49,TblCalculs[Workers],"&gt;0",TblCalculs[Environnement],ex_envc))</f>
        <v>2</v>
      </c>
      <c r="R49" s="22" t="n">
        <f aca="false">IF(18&gt;p_horizon,"",SUMIFS(TblCalculs[Coût mensuel],TblCalculs[Plateforme],"IKS",TblCalculs[Environnement],ex_envc,TblCalculs[Mois],"&gt;="&amp;$N49))</f>
        <v>95580</v>
      </c>
    </row>
    <row r="50" customFormat="false" ht="15" hidden="false" customHeight="false" outlineLevel="0" collapsed="false">
      <c r="A50" s="49" t="str">
        <f aca="false">IFERROR(MATCH(19,TblClusters[Rang extinction],0),"")</f>
        <v/>
      </c>
      <c r="B50" s="40" t="str">
        <f aca="false">IF($A50="","",INDEX(TblClusters[Cluster],$A50))</f>
        <v/>
      </c>
      <c r="C50" s="40" t="str">
        <f aca="false">IF($A50="","",INDEX(TblClusters[Environnement],$A50))</f>
        <v/>
      </c>
      <c r="D50" s="40" t="str">
        <f aca="false">IF($A50="","",SUMIFS(TblCalculs[Workers],TblCalculs[Cluster],$B50,TblCalculs[Mois],ex_mois))</f>
        <v/>
      </c>
      <c r="E50" s="40" t="str">
        <f aca="false">IF($A50="","",COUNTIFS(TblApplications[Cluster IKS source],$B50,TblApplications[Action],"À migrer",TblApplications[Mois lib (calc)],"&gt;"&amp;ex_mois)+COUNTIFS(TblApplications[Cluster IKS source],$B50,TblApplications[Action],"À décommissionner",TblApplications[Mois lib (calc)],"&gt;"&amp;ex_mois))</f>
        <v/>
      </c>
      <c r="F50" s="39" t="str">
        <f aca="false">IF($A50="","",IFERROR(1/(1/_xlfn.MAXIFS(TblApplications[Mois lib (calc)],TblApplications[Cluster IKS source],$B50)),"–"))</f>
        <v/>
      </c>
      <c r="G50" s="39" t="str">
        <f aca="false">IF($A50="","",IF(INDEX(TblClusters[Fermeture retenue],$A50)="","–",INDEX(TblClusters[Fermeture retenue],$A50)))</f>
        <v/>
      </c>
      <c r="H50" s="40" t="str">
        <f aca="false">IF($A50="","",IF(NOT(ISNUMBER($G50)),"Non planifiée",IF($G50&lt;=ex_mois,"Fermé","Fermeture planifiée")))</f>
        <v/>
      </c>
      <c r="I50" s="22" t="str">
        <f aca="false">IF($A50="","",SUMIFS(TblCalculs[Coût mensuel],TblCalculs[Cluster],$B50,TblCalculs[Mois],"&gt;="&amp;ex_mois))</f>
        <v/>
      </c>
      <c r="N50" s="39" t="n">
        <f aca="false">IF(19&gt;p_horizon,"",EDATE(p_debut,18))</f>
        <v>46844</v>
      </c>
      <c r="O50" s="22" t="n">
        <f aca="false">IF(19&gt;p_horizon,"",SUMIFS(TblCalculs[Coût mensuel],TblCalculs[Plateforme],"IKS",TblCalculs[Environnement],ex_envc,TblCalculs[Mois],$N50))</f>
        <v>14868</v>
      </c>
      <c r="P50" s="40" t="n">
        <f aca="false">IF(19&gt;p_horizon,"",(COUNTIFS(TblApplications[Action],"À migrer",TblApplications[Mois lib (calc)],"&gt;"&amp;$N50,TblApplications[Environnement],ex_envc,TblApplications[Domaine],ex_domc,TblApplications[Tribe],ex_tric)+COUNTIFS(TblApplications[Action],"À décommissionner",TblApplications[Mois lib (calc)],"&gt;"&amp;$N50,TblApplications[Environnement],ex_envc,TblApplications[Domaine],ex_domc,TblApplications[Tribe],ex_tric)))</f>
        <v>3</v>
      </c>
      <c r="Q50" s="40" t="n">
        <f aca="false">IF(19&gt;p_horizon,"",COUNTIFS(TblCalculs[Plateforme],"IKS",TblCalculs[Mois],$N50,TblCalculs[Workers],"&gt;0",TblCalculs[Environnement],ex_envc))</f>
        <v>2</v>
      </c>
      <c r="R50" s="22" t="n">
        <f aca="false">IF(19&gt;p_horizon,"",SUMIFS(TblCalculs[Coût mensuel],TblCalculs[Plateforme],"IKS",TblCalculs[Environnement],ex_envc,TblCalculs[Mois],"&gt;="&amp;$N50))</f>
        <v>80712</v>
      </c>
    </row>
    <row r="51" customFormat="false" ht="15" hidden="false" customHeight="false" outlineLevel="0" collapsed="false">
      <c r="A51" s="49" t="str">
        <f aca="false">IFERROR(MATCH(20,TblClusters[Rang extinction],0),"")</f>
        <v/>
      </c>
      <c r="B51" s="40" t="str">
        <f aca="false">IF($A51="","",INDEX(TblClusters[Cluster],$A51))</f>
        <v/>
      </c>
      <c r="C51" s="40" t="str">
        <f aca="false">IF($A51="","",INDEX(TblClusters[Environnement],$A51))</f>
        <v/>
      </c>
      <c r="D51" s="40" t="str">
        <f aca="false">IF($A51="","",SUMIFS(TblCalculs[Workers],TblCalculs[Cluster],$B51,TblCalculs[Mois],ex_mois))</f>
        <v/>
      </c>
      <c r="E51" s="40" t="str">
        <f aca="false">IF($A51="","",COUNTIFS(TblApplications[Cluster IKS source],$B51,TblApplications[Action],"À migrer",TblApplications[Mois lib (calc)],"&gt;"&amp;ex_mois)+COUNTIFS(TblApplications[Cluster IKS source],$B51,TblApplications[Action],"À décommissionner",TblApplications[Mois lib (calc)],"&gt;"&amp;ex_mois))</f>
        <v/>
      </c>
      <c r="F51" s="39" t="str">
        <f aca="false">IF($A51="","",IFERROR(1/(1/_xlfn.MAXIFS(TblApplications[Mois lib (calc)],TblApplications[Cluster IKS source],$B51)),"–"))</f>
        <v/>
      </c>
      <c r="G51" s="39" t="str">
        <f aca="false">IF($A51="","",IF(INDEX(TblClusters[Fermeture retenue],$A51)="","–",INDEX(TblClusters[Fermeture retenue],$A51)))</f>
        <v/>
      </c>
      <c r="H51" s="40" t="str">
        <f aca="false">IF($A51="","",IF(NOT(ISNUMBER($G51)),"Non planifiée",IF($G51&lt;=ex_mois,"Fermé","Fermeture planifiée")))</f>
        <v/>
      </c>
      <c r="I51" s="22" t="str">
        <f aca="false">IF($A51="","",SUMIFS(TblCalculs[Coût mensuel],TblCalculs[Cluster],$B51,TblCalculs[Mois],"&gt;="&amp;ex_mois))</f>
        <v/>
      </c>
      <c r="N51" s="39" t="n">
        <f aca="false">IF(20&gt;p_horizon,"",EDATE(p_debut,19))</f>
        <v>46874</v>
      </c>
      <c r="O51" s="22" t="n">
        <f aca="false">IF(20&gt;p_horizon,"",SUMIFS(TblCalculs[Coût mensuel],TblCalculs[Plateforme],"IKS",TblCalculs[Environnement],ex_envc,TblCalculs[Mois],$N51))</f>
        <v>14868</v>
      </c>
      <c r="P51" s="40" t="n">
        <f aca="false">IF(20&gt;p_horizon,"",(COUNTIFS(TblApplications[Action],"À migrer",TblApplications[Mois lib (calc)],"&gt;"&amp;$N51,TblApplications[Environnement],ex_envc,TblApplications[Domaine],ex_domc,TblApplications[Tribe],ex_tric)+COUNTIFS(TblApplications[Action],"À décommissionner",TblApplications[Mois lib (calc)],"&gt;"&amp;$N51,TblApplications[Environnement],ex_envc,TblApplications[Domaine],ex_domc,TblApplications[Tribe],ex_tric)))</f>
        <v>3</v>
      </c>
      <c r="Q51" s="40" t="n">
        <f aca="false">IF(20&gt;p_horizon,"",COUNTIFS(TblCalculs[Plateforme],"IKS",TblCalculs[Mois],$N51,TblCalculs[Workers],"&gt;0",TblCalculs[Environnement],ex_envc))</f>
        <v>2</v>
      </c>
      <c r="R51" s="22" t="n">
        <f aca="false">IF(20&gt;p_horizon,"",SUMIFS(TblCalculs[Coût mensuel],TblCalculs[Plateforme],"IKS",TblCalculs[Environnement],ex_envc,TblCalculs[Mois],"&gt;="&amp;$N51))</f>
        <v>65844</v>
      </c>
    </row>
    <row r="52" customFormat="false" ht="15" hidden="false" customHeight="false" outlineLevel="0" collapsed="false">
      <c r="A52" s="49" t="str">
        <f aca="false">IFERROR(MATCH(21,TblClusters[Rang extinction],0),"")</f>
        <v/>
      </c>
      <c r="B52" s="40" t="str">
        <f aca="false">IF($A52="","",INDEX(TblClusters[Cluster],$A52))</f>
        <v/>
      </c>
      <c r="C52" s="40" t="str">
        <f aca="false">IF($A52="","",INDEX(TblClusters[Environnement],$A52))</f>
        <v/>
      </c>
      <c r="D52" s="40" t="str">
        <f aca="false">IF($A52="","",SUMIFS(TblCalculs[Workers],TblCalculs[Cluster],$B52,TblCalculs[Mois],ex_mois))</f>
        <v/>
      </c>
      <c r="E52" s="40" t="str">
        <f aca="false">IF($A52="","",COUNTIFS(TblApplications[Cluster IKS source],$B52,TblApplications[Action],"À migrer",TblApplications[Mois lib (calc)],"&gt;"&amp;ex_mois)+COUNTIFS(TblApplications[Cluster IKS source],$B52,TblApplications[Action],"À décommissionner",TblApplications[Mois lib (calc)],"&gt;"&amp;ex_mois))</f>
        <v/>
      </c>
      <c r="F52" s="39" t="str">
        <f aca="false">IF($A52="","",IFERROR(1/(1/_xlfn.MAXIFS(TblApplications[Mois lib (calc)],TblApplications[Cluster IKS source],$B52)),"–"))</f>
        <v/>
      </c>
      <c r="G52" s="39" t="str">
        <f aca="false">IF($A52="","",IF(INDEX(TblClusters[Fermeture retenue],$A52)="","–",INDEX(TblClusters[Fermeture retenue],$A52)))</f>
        <v/>
      </c>
      <c r="H52" s="40" t="str">
        <f aca="false">IF($A52="","",IF(NOT(ISNUMBER($G52)),"Non planifiée",IF($G52&lt;=ex_mois,"Fermé","Fermeture planifiée")))</f>
        <v/>
      </c>
      <c r="I52" s="22" t="str">
        <f aca="false">IF($A52="","",SUMIFS(TblCalculs[Coût mensuel],TblCalculs[Cluster],$B52,TblCalculs[Mois],"&gt;="&amp;ex_mois))</f>
        <v/>
      </c>
      <c r="N52" s="39" t="n">
        <f aca="false">IF(21&gt;p_horizon,"",EDATE(p_debut,20))</f>
        <v>46905</v>
      </c>
      <c r="O52" s="22" t="n">
        <f aca="false">IF(21&gt;p_horizon,"",SUMIFS(TblCalculs[Coût mensuel],TblCalculs[Plateforme],"IKS",TblCalculs[Environnement],ex_envc,TblCalculs[Mois],$N52))</f>
        <v>8496</v>
      </c>
      <c r="P52" s="40" t="n">
        <f aca="false">IF(21&gt;p_horizon,"",(COUNTIFS(TblApplications[Action],"À migrer",TblApplications[Mois lib (calc)],"&gt;"&amp;$N52,TblApplications[Environnement],ex_envc,TblApplications[Domaine],ex_domc,TblApplications[Tribe],ex_tric)+COUNTIFS(TblApplications[Action],"À décommissionner",TblApplications[Mois lib (calc)],"&gt;"&amp;$N52,TblApplications[Environnement],ex_envc,TblApplications[Domaine],ex_domc,TblApplications[Tribe],ex_tric)))</f>
        <v>1</v>
      </c>
      <c r="Q52" s="40" t="n">
        <f aca="false">IF(21&gt;p_horizon,"",COUNTIFS(TblCalculs[Plateforme],"IKS",TblCalculs[Mois],$N52,TblCalculs[Workers],"&gt;0",TblCalculs[Environnement],ex_envc))</f>
        <v>1</v>
      </c>
      <c r="R52" s="22" t="n">
        <f aca="false">IF(21&gt;p_horizon,"",SUMIFS(TblCalculs[Coût mensuel],TblCalculs[Plateforme],"IKS",TblCalculs[Environnement],ex_envc,TblCalculs[Mois],"&gt;="&amp;$N52))</f>
        <v>50976</v>
      </c>
    </row>
    <row r="53" customFormat="false" ht="15" hidden="false" customHeight="false" outlineLevel="0" collapsed="false">
      <c r="A53" s="49" t="str">
        <f aca="false">IFERROR(MATCH(22,TblClusters[Rang extinction],0),"")</f>
        <v/>
      </c>
      <c r="B53" s="40" t="str">
        <f aca="false">IF($A53="","",INDEX(TblClusters[Cluster],$A53))</f>
        <v/>
      </c>
      <c r="C53" s="40" t="str">
        <f aca="false">IF($A53="","",INDEX(TblClusters[Environnement],$A53))</f>
        <v/>
      </c>
      <c r="D53" s="40" t="str">
        <f aca="false">IF($A53="","",SUMIFS(TblCalculs[Workers],TblCalculs[Cluster],$B53,TblCalculs[Mois],ex_mois))</f>
        <v/>
      </c>
      <c r="E53" s="40" t="str">
        <f aca="false">IF($A53="","",COUNTIFS(TblApplications[Cluster IKS source],$B53,TblApplications[Action],"À migrer",TblApplications[Mois lib (calc)],"&gt;"&amp;ex_mois)+COUNTIFS(TblApplications[Cluster IKS source],$B53,TblApplications[Action],"À décommissionner",TblApplications[Mois lib (calc)],"&gt;"&amp;ex_mois))</f>
        <v/>
      </c>
      <c r="F53" s="39" t="str">
        <f aca="false">IF($A53="","",IFERROR(1/(1/_xlfn.MAXIFS(TblApplications[Mois lib (calc)],TblApplications[Cluster IKS source],$B53)),"–"))</f>
        <v/>
      </c>
      <c r="G53" s="39" t="str">
        <f aca="false">IF($A53="","",IF(INDEX(TblClusters[Fermeture retenue],$A53)="","–",INDEX(TblClusters[Fermeture retenue],$A53)))</f>
        <v/>
      </c>
      <c r="H53" s="40" t="str">
        <f aca="false">IF($A53="","",IF(NOT(ISNUMBER($G53)),"Non planifiée",IF($G53&lt;=ex_mois,"Fermé","Fermeture planifiée")))</f>
        <v/>
      </c>
      <c r="I53" s="22" t="str">
        <f aca="false">IF($A53="","",SUMIFS(TblCalculs[Coût mensuel],TblCalculs[Cluster],$B53,TblCalculs[Mois],"&gt;="&amp;ex_mois))</f>
        <v/>
      </c>
      <c r="N53" s="39" t="n">
        <f aca="false">IF(22&gt;p_horizon,"",EDATE(p_debut,21))</f>
        <v>46935</v>
      </c>
      <c r="O53" s="22" t="n">
        <f aca="false">IF(22&gt;p_horizon,"",SUMIFS(TblCalculs[Coût mensuel],TblCalculs[Plateforme],"IKS",TblCalculs[Environnement],ex_envc,TblCalculs[Mois],$N53))</f>
        <v>8496</v>
      </c>
      <c r="P53" s="40" t="n">
        <f aca="false">IF(22&gt;p_horizon,"",(COUNTIFS(TblApplications[Action],"À migrer",TblApplications[Mois lib (calc)],"&gt;"&amp;$N53,TblApplications[Environnement],ex_envc,TblApplications[Domaine],ex_domc,TblApplications[Tribe],ex_tric)+COUNTIFS(TblApplications[Action],"À décommissionner",TblApplications[Mois lib (calc)],"&gt;"&amp;$N53,TblApplications[Environnement],ex_envc,TblApplications[Domaine],ex_domc,TblApplications[Tribe],ex_tric)))</f>
        <v>1</v>
      </c>
      <c r="Q53" s="40" t="n">
        <f aca="false">IF(22&gt;p_horizon,"",COUNTIFS(TblCalculs[Plateforme],"IKS",TblCalculs[Mois],$N53,TblCalculs[Workers],"&gt;0",TblCalculs[Environnement],ex_envc))</f>
        <v>1</v>
      </c>
      <c r="R53" s="22" t="n">
        <f aca="false">IF(22&gt;p_horizon,"",SUMIFS(TblCalculs[Coût mensuel],TblCalculs[Plateforme],"IKS",TblCalculs[Environnement],ex_envc,TblCalculs[Mois],"&gt;="&amp;$N53))</f>
        <v>42480</v>
      </c>
    </row>
    <row r="54" customFormat="false" ht="15" hidden="false" customHeight="false" outlineLevel="0" collapsed="false">
      <c r="A54" s="49" t="str">
        <f aca="false">IFERROR(MATCH(23,TblClusters[Rang extinction],0),"")</f>
        <v/>
      </c>
      <c r="B54" s="40" t="str">
        <f aca="false">IF($A54="","",INDEX(TblClusters[Cluster],$A54))</f>
        <v/>
      </c>
      <c r="C54" s="40" t="str">
        <f aca="false">IF($A54="","",INDEX(TblClusters[Environnement],$A54))</f>
        <v/>
      </c>
      <c r="D54" s="40" t="str">
        <f aca="false">IF($A54="","",SUMIFS(TblCalculs[Workers],TblCalculs[Cluster],$B54,TblCalculs[Mois],ex_mois))</f>
        <v/>
      </c>
      <c r="E54" s="40" t="str">
        <f aca="false">IF($A54="","",COUNTIFS(TblApplications[Cluster IKS source],$B54,TblApplications[Action],"À migrer",TblApplications[Mois lib (calc)],"&gt;"&amp;ex_mois)+COUNTIFS(TblApplications[Cluster IKS source],$B54,TblApplications[Action],"À décommissionner",TblApplications[Mois lib (calc)],"&gt;"&amp;ex_mois))</f>
        <v/>
      </c>
      <c r="F54" s="39" t="str">
        <f aca="false">IF($A54="","",IFERROR(1/(1/_xlfn.MAXIFS(TblApplications[Mois lib (calc)],TblApplications[Cluster IKS source],$B54)),"–"))</f>
        <v/>
      </c>
      <c r="G54" s="39" t="str">
        <f aca="false">IF($A54="","",IF(INDEX(TblClusters[Fermeture retenue],$A54)="","–",INDEX(TblClusters[Fermeture retenue],$A54)))</f>
        <v/>
      </c>
      <c r="H54" s="40" t="str">
        <f aca="false">IF($A54="","",IF(NOT(ISNUMBER($G54)),"Non planifiée",IF($G54&lt;=ex_mois,"Fermé","Fermeture planifiée")))</f>
        <v/>
      </c>
      <c r="I54" s="22" t="str">
        <f aca="false">IF($A54="","",SUMIFS(TblCalculs[Coût mensuel],TblCalculs[Cluster],$B54,TblCalculs[Mois],"&gt;="&amp;ex_mois))</f>
        <v/>
      </c>
      <c r="N54" s="39" t="n">
        <f aca="false">IF(23&gt;p_horizon,"",EDATE(p_debut,22))</f>
        <v>46966</v>
      </c>
      <c r="O54" s="22" t="n">
        <f aca="false">IF(23&gt;p_horizon,"",SUMIFS(TblCalculs[Coût mensuel],TblCalculs[Plateforme],"IKS",TblCalculs[Environnement],ex_envc,TblCalculs[Mois],$N54))</f>
        <v>8496</v>
      </c>
      <c r="P54" s="40" t="n">
        <f aca="false">IF(23&gt;p_horizon,"",(COUNTIFS(TblApplications[Action],"À migrer",TblApplications[Mois lib (calc)],"&gt;"&amp;$N54,TblApplications[Environnement],ex_envc,TblApplications[Domaine],ex_domc,TblApplications[Tribe],ex_tric)+COUNTIFS(TblApplications[Action],"À décommissionner",TblApplications[Mois lib (calc)],"&gt;"&amp;$N54,TblApplications[Environnement],ex_envc,TblApplications[Domaine],ex_domc,TblApplications[Tribe],ex_tric)))</f>
        <v>1</v>
      </c>
      <c r="Q54" s="40" t="n">
        <f aca="false">IF(23&gt;p_horizon,"",COUNTIFS(TblCalculs[Plateforme],"IKS",TblCalculs[Mois],$N54,TblCalculs[Workers],"&gt;0",TblCalculs[Environnement],ex_envc))</f>
        <v>1</v>
      </c>
      <c r="R54" s="22" t="n">
        <f aca="false">IF(23&gt;p_horizon,"",SUMIFS(TblCalculs[Coût mensuel],TblCalculs[Plateforme],"IKS",TblCalculs[Environnement],ex_envc,TblCalculs[Mois],"&gt;="&amp;$N54))</f>
        <v>33984</v>
      </c>
    </row>
    <row r="55" customFormat="false" ht="15" hidden="false" customHeight="false" outlineLevel="0" collapsed="false">
      <c r="A55" s="49" t="str">
        <f aca="false">IFERROR(MATCH(24,TblClusters[Rang extinction],0),"")</f>
        <v/>
      </c>
      <c r="B55" s="40" t="str">
        <f aca="false">IF($A55="","",INDEX(TblClusters[Cluster],$A55))</f>
        <v/>
      </c>
      <c r="C55" s="40" t="str">
        <f aca="false">IF($A55="","",INDEX(TblClusters[Environnement],$A55))</f>
        <v/>
      </c>
      <c r="D55" s="40" t="str">
        <f aca="false">IF($A55="","",SUMIFS(TblCalculs[Workers],TblCalculs[Cluster],$B55,TblCalculs[Mois],ex_mois))</f>
        <v/>
      </c>
      <c r="E55" s="40" t="str">
        <f aca="false">IF($A55="","",COUNTIFS(TblApplications[Cluster IKS source],$B55,TblApplications[Action],"À migrer",TblApplications[Mois lib (calc)],"&gt;"&amp;ex_mois)+COUNTIFS(TblApplications[Cluster IKS source],$B55,TblApplications[Action],"À décommissionner",TblApplications[Mois lib (calc)],"&gt;"&amp;ex_mois))</f>
        <v/>
      </c>
      <c r="F55" s="39" t="str">
        <f aca="false">IF($A55="","",IFERROR(1/(1/_xlfn.MAXIFS(TblApplications[Mois lib (calc)],TblApplications[Cluster IKS source],$B55)),"–"))</f>
        <v/>
      </c>
      <c r="G55" s="39" t="str">
        <f aca="false">IF($A55="","",IF(INDEX(TblClusters[Fermeture retenue],$A55)="","–",INDEX(TblClusters[Fermeture retenue],$A55)))</f>
        <v/>
      </c>
      <c r="H55" s="40" t="str">
        <f aca="false">IF($A55="","",IF(NOT(ISNUMBER($G55)),"Non planifiée",IF($G55&lt;=ex_mois,"Fermé","Fermeture planifiée")))</f>
        <v/>
      </c>
      <c r="I55" s="22" t="str">
        <f aca="false">IF($A55="","",SUMIFS(TblCalculs[Coût mensuel],TblCalculs[Cluster],$B55,TblCalculs[Mois],"&gt;="&amp;ex_mois))</f>
        <v/>
      </c>
      <c r="N55" s="39" t="n">
        <f aca="false">IF(24&gt;p_horizon,"",EDATE(p_debut,23))</f>
        <v>46997</v>
      </c>
      <c r="O55" s="22" t="n">
        <f aca="false">IF(24&gt;p_horizon,"",SUMIFS(TblCalculs[Coût mensuel],TblCalculs[Plateforme],"IKS",TblCalculs[Environnement],ex_envc,TblCalculs[Mois],$N55))</f>
        <v>8496</v>
      </c>
      <c r="P55" s="40" t="n">
        <f aca="false">IF(24&gt;p_horizon,"",(COUNTIFS(TblApplications[Action],"À migrer",TblApplications[Mois lib (calc)],"&gt;"&amp;$N55,TblApplications[Environnement],ex_envc,TblApplications[Domaine],ex_domc,TblApplications[Tribe],ex_tric)+COUNTIFS(TblApplications[Action],"À décommissionner",TblApplications[Mois lib (calc)],"&gt;"&amp;$N55,TblApplications[Environnement],ex_envc,TblApplications[Domaine],ex_domc,TblApplications[Tribe],ex_tric)))</f>
        <v>1</v>
      </c>
      <c r="Q55" s="40" t="n">
        <f aca="false">IF(24&gt;p_horizon,"",COUNTIFS(TblCalculs[Plateforme],"IKS",TblCalculs[Mois],$N55,TblCalculs[Workers],"&gt;0",TblCalculs[Environnement],ex_envc))</f>
        <v>1</v>
      </c>
      <c r="R55" s="22" t="n">
        <f aca="false">IF(24&gt;p_horizon,"",SUMIFS(TblCalculs[Coût mensuel],TblCalculs[Plateforme],"IKS",TblCalculs[Environnement],ex_envc,TblCalculs[Mois],"&gt;="&amp;$N55))</f>
        <v>25488</v>
      </c>
    </row>
    <row r="56" customFormat="false" ht="15" hidden="false" customHeight="false" outlineLevel="0" collapsed="false">
      <c r="A56" s="49" t="str">
        <f aca="false">IFERROR(MATCH(25,TblClusters[Rang extinction],0),"")</f>
        <v/>
      </c>
      <c r="B56" s="40" t="str">
        <f aca="false">IF($A56="","",INDEX(TblClusters[Cluster],$A56))</f>
        <v/>
      </c>
      <c r="C56" s="40" t="str">
        <f aca="false">IF($A56="","",INDEX(TblClusters[Environnement],$A56))</f>
        <v/>
      </c>
      <c r="D56" s="40" t="str">
        <f aca="false">IF($A56="","",SUMIFS(TblCalculs[Workers],TblCalculs[Cluster],$B56,TblCalculs[Mois],ex_mois))</f>
        <v/>
      </c>
      <c r="E56" s="40" t="str">
        <f aca="false">IF($A56="","",COUNTIFS(TblApplications[Cluster IKS source],$B56,TblApplications[Action],"À migrer",TblApplications[Mois lib (calc)],"&gt;"&amp;ex_mois)+COUNTIFS(TblApplications[Cluster IKS source],$B56,TblApplications[Action],"À décommissionner",TblApplications[Mois lib (calc)],"&gt;"&amp;ex_mois))</f>
        <v/>
      </c>
      <c r="F56" s="39" t="str">
        <f aca="false">IF($A56="","",IFERROR(1/(1/_xlfn.MAXIFS(TblApplications[Mois lib (calc)],TblApplications[Cluster IKS source],$B56)),"–"))</f>
        <v/>
      </c>
      <c r="G56" s="39" t="str">
        <f aca="false">IF($A56="","",IF(INDEX(TblClusters[Fermeture retenue],$A56)="","–",INDEX(TblClusters[Fermeture retenue],$A56)))</f>
        <v/>
      </c>
      <c r="H56" s="40" t="str">
        <f aca="false">IF($A56="","",IF(NOT(ISNUMBER($G56)),"Non planifiée",IF($G56&lt;=ex_mois,"Fermé","Fermeture planifiée")))</f>
        <v/>
      </c>
      <c r="I56" s="22" t="str">
        <f aca="false">IF($A56="","",SUMIFS(TblCalculs[Coût mensuel],TblCalculs[Cluster],$B56,TblCalculs[Mois],"&gt;="&amp;ex_mois))</f>
        <v/>
      </c>
      <c r="N56" s="39" t="n">
        <f aca="false">IF(25&gt;p_horizon,"",EDATE(p_debut,24))</f>
        <v>47027</v>
      </c>
      <c r="O56" s="22" t="n">
        <f aca="false">IF(25&gt;p_horizon,"",SUMIFS(TblCalculs[Coût mensuel],TblCalculs[Plateforme],"IKS",TblCalculs[Environnement],ex_envc,TblCalculs[Mois],$N56))</f>
        <v>8496</v>
      </c>
      <c r="P56" s="40" t="n">
        <f aca="false">IF(25&gt;p_horizon,"",(COUNTIFS(TblApplications[Action],"À migrer",TblApplications[Mois lib (calc)],"&gt;"&amp;$N56,TblApplications[Environnement],ex_envc,TblApplications[Domaine],ex_domc,TblApplications[Tribe],ex_tric)+COUNTIFS(TblApplications[Action],"À décommissionner",TblApplications[Mois lib (calc)],"&gt;"&amp;$N56,TblApplications[Environnement],ex_envc,TblApplications[Domaine],ex_domc,TblApplications[Tribe],ex_tric)))</f>
        <v>1</v>
      </c>
      <c r="Q56" s="40" t="n">
        <f aca="false">IF(25&gt;p_horizon,"",COUNTIFS(TblCalculs[Plateforme],"IKS",TblCalculs[Mois],$N56,TblCalculs[Workers],"&gt;0",TblCalculs[Environnement],ex_envc))</f>
        <v>1</v>
      </c>
      <c r="R56" s="22" t="n">
        <f aca="false">IF(25&gt;p_horizon,"",SUMIFS(TblCalculs[Coût mensuel],TblCalculs[Plateforme],"IKS",TblCalculs[Environnement],ex_envc,TblCalculs[Mois],"&gt;="&amp;$N56))</f>
        <v>16992</v>
      </c>
    </row>
    <row r="57" customFormat="false" ht="15" hidden="false" customHeight="false" outlineLevel="0" collapsed="false">
      <c r="A57" s="49" t="str">
        <f aca="false">IFERROR(MATCH(26,TblClusters[Rang extinction],0),"")</f>
        <v/>
      </c>
      <c r="B57" s="40" t="str">
        <f aca="false">IF($A57="","",INDEX(TblClusters[Cluster],$A57))</f>
        <v/>
      </c>
      <c r="C57" s="40" t="str">
        <f aca="false">IF($A57="","",INDEX(TblClusters[Environnement],$A57))</f>
        <v/>
      </c>
      <c r="D57" s="40" t="str">
        <f aca="false">IF($A57="","",SUMIFS(TblCalculs[Workers],TblCalculs[Cluster],$B57,TblCalculs[Mois],ex_mois))</f>
        <v/>
      </c>
      <c r="E57" s="40" t="str">
        <f aca="false">IF($A57="","",COUNTIFS(TblApplications[Cluster IKS source],$B57,TblApplications[Action],"À migrer",TblApplications[Mois lib (calc)],"&gt;"&amp;ex_mois)+COUNTIFS(TblApplications[Cluster IKS source],$B57,TblApplications[Action],"À décommissionner",TblApplications[Mois lib (calc)],"&gt;"&amp;ex_mois))</f>
        <v/>
      </c>
      <c r="F57" s="39" t="str">
        <f aca="false">IF($A57="","",IFERROR(1/(1/_xlfn.MAXIFS(TblApplications[Mois lib (calc)],TblApplications[Cluster IKS source],$B57)),"–"))</f>
        <v/>
      </c>
      <c r="G57" s="39" t="str">
        <f aca="false">IF($A57="","",IF(INDEX(TblClusters[Fermeture retenue],$A57)="","–",INDEX(TblClusters[Fermeture retenue],$A57)))</f>
        <v/>
      </c>
      <c r="H57" s="40" t="str">
        <f aca="false">IF($A57="","",IF(NOT(ISNUMBER($G57)),"Non planifiée",IF($G57&lt;=ex_mois,"Fermé","Fermeture planifiée")))</f>
        <v/>
      </c>
      <c r="I57" s="22" t="str">
        <f aca="false">IF($A57="","",SUMIFS(TblCalculs[Coût mensuel],TblCalculs[Cluster],$B57,TblCalculs[Mois],"&gt;="&amp;ex_mois))</f>
        <v/>
      </c>
      <c r="N57" s="39" t="n">
        <f aca="false">IF(26&gt;p_horizon,"",EDATE(p_debut,25))</f>
        <v>47058</v>
      </c>
      <c r="O57" s="22" t="n">
        <f aca="false">IF(26&gt;p_horizon,"",SUMIFS(TblCalculs[Coût mensuel],TblCalculs[Plateforme],"IKS",TblCalculs[Environnement],ex_envc,TblCalculs[Mois],$N57))</f>
        <v>8496</v>
      </c>
      <c r="P57" s="40" t="n">
        <f aca="false">IF(26&gt;p_horizon,"",(COUNTIFS(TblApplications[Action],"À migrer",TblApplications[Mois lib (calc)],"&gt;"&amp;$N57,TblApplications[Environnement],ex_envc,TblApplications[Domaine],ex_domc,TblApplications[Tribe],ex_tric)+COUNTIFS(TblApplications[Action],"À décommissionner",TblApplications[Mois lib (calc)],"&gt;"&amp;$N57,TblApplications[Environnement],ex_envc,TblApplications[Domaine],ex_domc,TblApplications[Tribe],ex_tric)))</f>
        <v>1</v>
      </c>
      <c r="Q57" s="40" t="n">
        <f aca="false">IF(26&gt;p_horizon,"",COUNTIFS(TblCalculs[Plateforme],"IKS",TblCalculs[Mois],$N57,TblCalculs[Workers],"&gt;0",TblCalculs[Environnement],ex_envc))</f>
        <v>1</v>
      </c>
      <c r="R57" s="22" t="n">
        <f aca="false">IF(26&gt;p_horizon,"",SUMIFS(TblCalculs[Coût mensuel],TblCalculs[Plateforme],"IKS",TblCalculs[Environnement],ex_envc,TblCalculs[Mois],"&gt;="&amp;$N57))</f>
        <v>8496</v>
      </c>
    </row>
    <row r="58" customFormat="false" ht="15" hidden="false" customHeight="false" outlineLevel="0" collapsed="false">
      <c r="A58" s="49" t="str">
        <f aca="false">IFERROR(MATCH(27,TblClusters[Rang extinction],0),"")</f>
        <v/>
      </c>
      <c r="B58" s="40" t="str">
        <f aca="false">IF($A58="","",INDEX(TblClusters[Cluster],$A58))</f>
        <v/>
      </c>
      <c r="C58" s="40" t="str">
        <f aca="false">IF($A58="","",INDEX(TblClusters[Environnement],$A58))</f>
        <v/>
      </c>
      <c r="D58" s="40" t="str">
        <f aca="false">IF($A58="","",SUMIFS(TblCalculs[Workers],TblCalculs[Cluster],$B58,TblCalculs[Mois],ex_mois))</f>
        <v/>
      </c>
      <c r="E58" s="40" t="str">
        <f aca="false">IF($A58="","",COUNTIFS(TblApplications[Cluster IKS source],$B58,TblApplications[Action],"À migrer",TblApplications[Mois lib (calc)],"&gt;"&amp;ex_mois)+COUNTIFS(TblApplications[Cluster IKS source],$B58,TblApplications[Action],"À décommissionner",TblApplications[Mois lib (calc)],"&gt;"&amp;ex_mois))</f>
        <v/>
      </c>
      <c r="F58" s="39" t="str">
        <f aca="false">IF($A58="","",IFERROR(1/(1/_xlfn.MAXIFS(TblApplications[Mois lib (calc)],TblApplications[Cluster IKS source],$B58)),"–"))</f>
        <v/>
      </c>
      <c r="G58" s="39" t="str">
        <f aca="false">IF($A58="","",IF(INDEX(TblClusters[Fermeture retenue],$A58)="","–",INDEX(TblClusters[Fermeture retenue],$A58)))</f>
        <v/>
      </c>
      <c r="H58" s="40" t="str">
        <f aca="false">IF($A58="","",IF(NOT(ISNUMBER($G58)),"Non planifiée",IF($G58&lt;=ex_mois,"Fermé","Fermeture planifiée")))</f>
        <v/>
      </c>
      <c r="I58" s="22" t="str">
        <f aca="false">IF($A58="","",SUMIFS(TblCalculs[Coût mensuel],TblCalculs[Cluster],$B58,TblCalculs[Mois],"&gt;="&amp;ex_mois))</f>
        <v/>
      </c>
      <c r="N58" s="39" t="n">
        <f aca="false">IF(27&gt;p_horizon,"",EDATE(p_debut,26))</f>
        <v>47088</v>
      </c>
      <c r="O58" s="22" t="n">
        <f aca="false">IF(27&gt;p_horizon,"",SUMIFS(TblCalculs[Coût mensuel],TblCalculs[Plateforme],"IKS",TblCalculs[Environnement],ex_envc,TblCalculs[Mois],$N58))</f>
        <v>0</v>
      </c>
      <c r="P58" s="40" t="n">
        <f aca="false">IF(27&gt;p_horizon,"",(COUNTIFS(TblApplications[Action],"À migrer",TblApplications[Mois lib (calc)],"&gt;"&amp;$N58,TblApplications[Environnement],ex_envc,TblApplications[Domaine],ex_domc,TblApplications[Tribe],ex_tric)+COUNTIFS(TblApplications[Action],"À décommissionner",TblApplications[Mois lib (calc)],"&gt;"&amp;$N58,TblApplications[Environnement],ex_envc,TblApplications[Domaine],ex_domc,TblApplications[Tribe],ex_tric)))</f>
        <v>0</v>
      </c>
      <c r="Q58" s="40" t="n">
        <f aca="false">IF(27&gt;p_horizon,"",COUNTIFS(TblCalculs[Plateforme],"IKS",TblCalculs[Mois],$N58,TblCalculs[Workers],"&gt;0",TblCalculs[Environnement],ex_envc))</f>
        <v>0</v>
      </c>
      <c r="R58" s="22" t="n">
        <f aca="false">IF(27&gt;p_horizon,"",SUMIFS(TblCalculs[Coût mensuel],TblCalculs[Plateforme],"IKS",TblCalculs[Environnement],ex_envc,TblCalculs[Mois],"&gt;="&amp;$N58))</f>
        <v>0</v>
      </c>
    </row>
    <row r="59" customFormat="false" ht="15" hidden="false" customHeight="false" outlineLevel="0" collapsed="false">
      <c r="A59" s="49" t="str">
        <f aca="false">IFERROR(MATCH(28,TblClusters[Rang extinction],0),"")</f>
        <v/>
      </c>
      <c r="B59" s="40" t="str">
        <f aca="false">IF($A59="","",INDEX(TblClusters[Cluster],$A59))</f>
        <v/>
      </c>
      <c r="C59" s="40" t="str">
        <f aca="false">IF($A59="","",INDEX(TblClusters[Environnement],$A59))</f>
        <v/>
      </c>
      <c r="D59" s="40" t="str">
        <f aca="false">IF($A59="","",SUMIFS(TblCalculs[Workers],TblCalculs[Cluster],$B59,TblCalculs[Mois],ex_mois))</f>
        <v/>
      </c>
      <c r="E59" s="40" t="str">
        <f aca="false">IF($A59="","",COUNTIFS(TblApplications[Cluster IKS source],$B59,TblApplications[Action],"À migrer",TblApplications[Mois lib (calc)],"&gt;"&amp;ex_mois)+COUNTIFS(TblApplications[Cluster IKS source],$B59,TblApplications[Action],"À décommissionner",TblApplications[Mois lib (calc)],"&gt;"&amp;ex_mois))</f>
        <v/>
      </c>
      <c r="F59" s="39" t="str">
        <f aca="false">IF($A59="","",IFERROR(1/(1/_xlfn.MAXIFS(TblApplications[Mois lib (calc)],TblApplications[Cluster IKS source],$B59)),"–"))</f>
        <v/>
      </c>
      <c r="G59" s="39" t="str">
        <f aca="false">IF($A59="","",IF(INDEX(TblClusters[Fermeture retenue],$A59)="","–",INDEX(TblClusters[Fermeture retenue],$A59)))</f>
        <v/>
      </c>
      <c r="H59" s="40" t="str">
        <f aca="false">IF($A59="","",IF(NOT(ISNUMBER($G59)),"Non planifiée",IF($G59&lt;=ex_mois,"Fermé","Fermeture planifiée")))</f>
        <v/>
      </c>
      <c r="I59" s="22" t="str">
        <f aca="false">IF($A59="","",SUMIFS(TblCalculs[Coût mensuel],TblCalculs[Cluster],$B59,TblCalculs[Mois],"&gt;="&amp;ex_mois))</f>
        <v/>
      </c>
      <c r="N59" s="39" t="n">
        <f aca="false">IF(28&gt;p_horizon,"",EDATE(p_debut,27))</f>
        <v>47119</v>
      </c>
      <c r="O59" s="22" t="n">
        <f aca="false">IF(28&gt;p_horizon,"",SUMIFS(TblCalculs[Coût mensuel],TblCalculs[Plateforme],"IKS",TblCalculs[Environnement],ex_envc,TblCalculs[Mois],$N59))</f>
        <v>0</v>
      </c>
      <c r="P59" s="40" t="n">
        <f aca="false">IF(28&gt;p_horizon,"",(COUNTIFS(TblApplications[Action],"À migrer",TblApplications[Mois lib (calc)],"&gt;"&amp;$N59,TblApplications[Environnement],ex_envc,TblApplications[Domaine],ex_domc,TblApplications[Tribe],ex_tric)+COUNTIFS(TblApplications[Action],"À décommissionner",TblApplications[Mois lib (calc)],"&gt;"&amp;$N59,TblApplications[Environnement],ex_envc,TblApplications[Domaine],ex_domc,TblApplications[Tribe],ex_tric)))</f>
        <v>0</v>
      </c>
      <c r="Q59" s="40" t="n">
        <f aca="false">IF(28&gt;p_horizon,"",COUNTIFS(TblCalculs[Plateforme],"IKS",TblCalculs[Mois],$N59,TblCalculs[Workers],"&gt;0",TblCalculs[Environnement],ex_envc))</f>
        <v>0</v>
      </c>
      <c r="R59" s="22" t="n">
        <f aca="false">IF(28&gt;p_horizon,"",SUMIFS(TblCalculs[Coût mensuel],TblCalculs[Plateforme],"IKS",TblCalculs[Environnement],ex_envc,TblCalculs[Mois],"&gt;="&amp;$N59))</f>
        <v>0</v>
      </c>
    </row>
    <row r="60" customFormat="false" ht="15" hidden="false" customHeight="false" outlineLevel="0" collapsed="false">
      <c r="A60" s="49" t="str">
        <f aca="false">IFERROR(MATCH(29,TblClusters[Rang extinction],0),"")</f>
        <v/>
      </c>
      <c r="B60" s="40" t="str">
        <f aca="false">IF($A60="","",INDEX(TblClusters[Cluster],$A60))</f>
        <v/>
      </c>
      <c r="C60" s="40" t="str">
        <f aca="false">IF($A60="","",INDEX(TblClusters[Environnement],$A60))</f>
        <v/>
      </c>
      <c r="D60" s="40" t="str">
        <f aca="false">IF($A60="","",SUMIFS(TblCalculs[Workers],TblCalculs[Cluster],$B60,TblCalculs[Mois],ex_mois))</f>
        <v/>
      </c>
      <c r="E60" s="40" t="str">
        <f aca="false">IF($A60="","",COUNTIFS(TblApplications[Cluster IKS source],$B60,TblApplications[Action],"À migrer",TblApplications[Mois lib (calc)],"&gt;"&amp;ex_mois)+COUNTIFS(TblApplications[Cluster IKS source],$B60,TblApplications[Action],"À décommissionner",TblApplications[Mois lib (calc)],"&gt;"&amp;ex_mois))</f>
        <v/>
      </c>
      <c r="F60" s="39" t="str">
        <f aca="false">IF($A60="","",IFERROR(1/(1/_xlfn.MAXIFS(TblApplications[Mois lib (calc)],TblApplications[Cluster IKS source],$B60)),"–"))</f>
        <v/>
      </c>
      <c r="G60" s="39" t="str">
        <f aca="false">IF($A60="","",IF(INDEX(TblClusters[Fermeture retenue],$A60)="","–",INDEX(TblClusters[Fermeture retenue],$A60)))</f>
        <v/>
      </c>
      <c r="H60" s="40" t="str">
        <f aca="false">IF($A60="","",IF(NOT(ISNUMBER($G60)),"Non planifiée",IF($G60&lt;=ex_mois,"Fermé","Fermeture planifiée")))</f>
        <v/>
      </c>
      <c r="I60" s="22" t="str">
        <f aca="false">IF($A60="","",SUMIFS(TblCalculs[Coût mensuel],TblCalculs[Cluster],$B60,TblCalculs[Mois],"&gt;="&amp;ex_mois))</f>
        <v/>
      </c>
      <c r="N60" s="39" t="n">
        <f aca="false">IF(29&gt;p_horizon,"",EDATE(p_debut,28))</f>
        <v>47150</v>
      </c>
      <c r="O60" s="22" t="n">
        <f aca="false">IF(29&gt;p_horizon,"",SUMIFS(TblCalculs[Coût mensuel],TblCalculs[Plateforme],"IKS",TblCalculs[Environnement],ex_envc,TblCalculs[Mois],$N60))</f>
        <v>0</v>
      </c>
      <c r="P60" s="40" t="n">
        <f aca="false">IF(29&gt;p_horizon,"",(COUNTIFS(TblApplications[Action],"À migrer",TblApplications[Mois lib (calc)],"&gt;"&amp;$N60,TblApplications[Environnement],ex_envc,TblApplications[Domaine],ex_domc,TblApplications[Tribe],ex_tric)+COUNTIFS(TblApplications[Action],"À décommissionner",TblApplications[Mois lib (calc)],"&gt;"&amp;$N60,TblApplications[Environnement],ex_envc,TblApplications[Domaine],ex_domc,TblApplications[Tribe],ex_tric)))</f>
        <v>0</v>
      </c>
      <c r="Q60" s="40" t="n">
        <f aca="false">IF(29&gt;p_horizon,"",COUNTIFS(TblCalculs[Plateforme],"IKS",TblCalculs[Mois],$N60,TblCalculs[Workers],"&gt;0",TblCalculs[Environnement],ex_envc))</f>
        <v>0</v>
      </c>
      <c r="R60" s="22" t="n">
        <f aca="false">IF(29&gt;p_horizon,"",SUMIFS(TblCalculs[Coût mensuel],TblCalculs[Plateforme],"IKS",TblCalculs[Environnement],ex_envc,TblCalculs[Mois],"&gt;="&amp;$N60))</f>
        <v>0</v>
      </c>
    </row>
    <row r="61" customFormat="false" ht="15" hidden="false" customHeight="false" outlineLevel="0" collapsed="false">
      <c r="A61" s="49" t="str">
        <f aca="false">IFERROR(MATCH(30,TblClusters[Rang extinction],0),"")</f>
        <v/>
      </c>
      <c r="B61" s="40" t="str">
        <f aca="false">IF($A61="","",INDEX(TblClusters[Cluster],$A61))</f>
        <v/>
      </c>
      <c r="C61" s="40" t="str">
        <f aca="false">IF($A61="","",INDEX(TblClusters[Environnement],$A61))</f>
        <v/>
      </c>
      <c r="D61" s="40" t="str">
        <f aca="false">IF($A61="","",SUMIFS(TblCalculs[Workers],TblCalculs[Cluster],$B61,TblCalculs[Mois],ex_mois))</f>
        <v/>
      </c>
      <c r="E61" s="40" t="str">
        <f aca="false">IF($A61="","",COUNTIFS(TblApplications[Cluster IKS source],$B61,TblApplications[Action],"À migrer",TblApplications[Mois lib (calc)],"&gt;"&amp;ex_mois)+COUNTIFS(TblApplications[Cluster IKS source],$B61,TblApplications[Action],"À décommissionner",TblApplications[Mois lib (calc)],"&gt;"&amp;ex_mois))</f>
        <v/>
      </c>
      <c r="F61" s="39" t="str">
        <f aca="false">IF($A61="","",IFERROR(1/(1/_xlfn.MAXIFS(TblApplications[Mois lib (calc)],TblApplications[Cluster IKS source],$B61)),"–"))</f>
        <v/>
      </c>
      <c r="G61" s="39" t="str">
        <f aca="false">IF($A61="","",IF(INDEX(TblClusters[Fermeture retenue],$A61)="","–",INDEX(TblClusters[Fermeture retenue],$A61)))</f>
        <v/>
      </c>
      <c r="H61" s="40" t="str">
        <f aca="false">IF($A61="","",IF(NOT(ISNUMBER($G61)),"Non planifiée",IF($G61&lt;=ex_mois,"Fermé","Fermeture planifiée")))</f>
        <v/>
      </c>
      <c r="I61" s="22" t="str">
        <f aca="false">IF($A61="","",SUMIFS(TblCalculs[Coût mensuel],TblCalculs[Cluster],$B61,TblCalculs[Mois],"&gt;="&amp;ex_mois))</f>
        <v/>
      </c>
      <c r="N61" s="39" t="n">
        <f aca="false">IF(30&gt;p_horizon,"",EDATE(p_debut,29))</f>
        <v>47178</v>
      </c>
      <c r="O61" s="22" t="n">
        <f aca="false">IF(30&gt;p_horizon,"",SUMIFS(TblCalculs[Coût mensuel],TblCalculs[Plateforme],"IKS",TblCalculs[Environnement],ex_envc,TblCalculs[Mois],$N61))</f>
        <v>0</v>
      </c>
      <c r="P61" s="40" t="n">
        <f aca="false">IF(30&gt;p_horizon,"",(COUNTIFS(TblApplications[Action],"À migrer",TblApplications[Mois lib (calc)],"&gt;"&amp;$N61,TblApplications[Environnement],ex_envc,TblApplications[Domaine],ex_domc,TblApplications[Tribe],ex_tric)+COUNTIFS(TblApplications[Action],"À décommissionner",TblApplications[Mois lib (calc)],"&gt;"&amp;$N61,TblApplications[Environnement],ex_envc,TblApplications[Domaine],ex_domc,TblApplications[Tribe],ex_tric)))</f>
        <v>0</v>
      </c>
      <c r="Q61" s="40" t="n">
        <f aca="false">IF(30&gt;p_horizon,"",COUNTIFS(TblCalculs[Plateforme],"IKS",TblCalculs[Mois],$N61,TblCalculs[Workers],"&gt;0",TblCalculs[Environnement],ex_envc))</f>
        <v>0</v>
      </c>
      <c r="R61" s="22" t="n">
        <f aca="false">IF(30&gt;p_horizon,"",SUMIFS(TblCalculs[Coût mensuel],TblCalculs[Plateforme],"IKS",TblCalculs[Environnement],ex_envc,TblCalculs[Mois],"&gt;="&amp;$N61))</f>
        <v>0</v>
      </c>
    </row>
    <row r="62" customFormat="false" ht="15" hidden="false" customHeight="false" outlineLevel="0" collapsed="false">
      <c r="N62" s="39" t="n">
        <f aca="false">IF(31&gt;p_horizon,"",EDATE(p_debut,30))</f>
        <v>47209</v>
      </c>
      <c r="O62" s="22" t="n">
        <f aca="false">IF(31&gt;p_horizon,"",SUMIFS(TblCalculs[Coût mensuel],TblCalculs[Plateforme],"IKS",TblCalculs[Environnement],ex_envc,TblCalculs[Mois],$N62))</f>
        <v>0</v>
      </c>
      <c r="P62" s="40" t="n">
        <f aca="false">IF(31&gt;p_horizon,"",(COUNTIFS(TblApplications[Action],"À migrer",TblApplications[Mois lib (calc)],"&gt;"&amp;$N62,TblApplications[Environnement],ex_envc,TblApplications[Domaine],ex_domc,TblApplications[Tribe],ex_tric)+COUNTIFS(TblApplications[Action],"À décommissionner",TblApplications[Mois lib (calc)],"&gt;"&amp;$N62,TblApplications[Environnement],ex_envc,TblApplications[Domaine],ex_domc,TblApplications[Tribe],ex_tric)))</f>
        <v>0</v>
      </c>
      <c r="Q62" s="40" t="n">
        <f aca="false">IF(31&gt;p_horizon,"",COUNTIFS(TblCalculs[Plateforme],"IKS",TblCalculs[Mois],$N62,TblCalculs[Workers],"&gt;0",TblCalculs[Environnement],ex_envc))</f>
        <v>0</v>
      </c>
      <c r="R62" s="22" t="n">
        <f aca="false">IF(31&gt;p_horizon,"",SUMIFS(TblCalculs[Coût mensuel],TblCalculs[Plateforme],"IKS",TblCalculs[Environnement],ex_envc,TblCalculs[Mois],"&gt;="&amp;$N62))</f>
        <v>0</v>
      </c>
    </row>
    <row r="63" customFormat="false" ht="15" hidden="false" customHeight="false" outlineLevel="0" collapsed="false">
      <c r="B63" s="17" t="s">
        <v>103</v>
      </c>
      <c r="N63" s="39" t="n">
        <f aca="false">IF(32&gt;p_horizon,"",EDATE(p_debut,31))</f>
        <v>47239</v>
      </c>
      <c r="O63" s="22" t="n">
        <f aca="false">IF(32&gt;p_horizon,"",SUMIFS(TblCalculs[Coût mensuel],TblCalculs[Plateforme],"IKS",TblCalculs[Environnement],ex_envc,TblCalculs[Mois],$N63))</f>
        <v>0</v>
      </c>
      <c r="P63" s="40" t="n">
        <f aca="false">IF(32&gt;p_horizon,"",(COUNTIFS(TblApplications[Action],"À migrer",TblApplications[Mois lib (calc)],"&gt;"&amp;$N63,TblApplications[Environnement],ex_envc,TblApplications[Domaine],ex_domc,TblApplications[Tribe],ex_tric)+COUNTIFS(TblApplications[Action],"À décommissionner",TblApplications[Mois lib (calc)],"&gt;"&amp;$N63,TblApplications[Environnement],ex_envc,TblApplications[Domaine],ex_domc,TblApplications[Tribe],ex_tric)))</f>
        <v>0</v>
      </c>
      <c r="Q63" s="40" t="n">
        <f aca="false">IF(32&gt;p_horizon,"",COUNTIFS(TblCalculs[Plateforme],"IKS",TblCalculs[Mois],$N63,TblCalculs[Workers],"&gt;0",TblCalculs[Environnement],ex_envc))</f>
        <v>0</v>
      </c>
      <c r="R63" s="22" t="n">
        <f aca="false">IF(32&gt;p_horizon,"",SUMIFS(TblCalculs[Coût mensuel],TblCalculs[Plateforme],"IKS",TblCalculs[Environnement],ex_envc,TblCalculs[Mois],"&gt;="&amp;$N63))</f>
        <v>0</v>
      </c>
    </row>
    <row r="64" customFormat="false" ht="15" hidden="false" customHeight="false" outlineLevel="0" collapsed="false">
      <c r="N64" s="39" t="n">
        <f aca="false">IF(33&gt;p_horizon,"",EDATE(p_debut,32))</f>
        <v>47270</v>
      </c>
      <c r="O64" s="22" t="n">
        <f aca="false">IF(33&gt;p_horizon,"",SUMIFS(TblCalculs[Coût mensuel],TblCalculs[Plateforme],"IKS",TblCalculs[Environnement],ex_envc,TblCalculs[Mois],$N64))</f>
        <v>0</v>
      </c>
      <c r="P64" s="40" t="n">
        <f aca="false">IF(33&gt;p_horizon,"",(COUNTIFS(TblApplications[Action],"À migrer",TblApplications[Mois lib (calc)],"&gt;"&amp;$N64,TblApplications[Environnement],ex_envc,TblApplications[Domaine],ex_domc,TblApplications[Tribe],ex_tric)+COUNTIFS(TblApplications[Action],"À décommissionner",TblApplications[Mois lib (calc)],"&gt;"&amp;$N64,TblApplications[Environnement],ex_envc,TblApplications[Domaine],ex_domc,TblApplications[Tribe],ex_tric)))</f>
        <v>0</v>
      </c>
      <c r="Q64" s="40" t="n">
        <f aca="false">IF(33&gt;p_horizon,"",COUNTIFS(TblCalculs[Plateforme],"IKS",TblCalculs[Mois],$N64,TblCalculs[Workers],"&gt;0",TblCalculs[Environnement],ex_envc))</f>
        <v>0</v>
      </c>
      <c r="R64" s="22" t="n">
        <f aca="false">IF(33&gt;p_horizon,"",SUMIFS(TblCalculs[Coût mensuel],TblCalculs[Plateforme],"IKS",TblCalculs[Environnement],ex_envc,TblCalculs[Mois],"&gt;="&amp;$N64))</f>
        <v>0</v>
      </c>
    </row>
    <row r="65" customFormat="false" ht="30" hidden="false" customHeight="true" outlineLevel="0" collapsed="false">
      <c r="B65" s="20" t="s">
        <v>57</v>
      </c>
      <c r="C65" s="20" t="s">
        <v>58</v>
      </c>
      <c r="D65" s="20" t="s">
        <v>19</v>
      </c>
      <c r="E65" s="20" t="s">
        <v>59</v>
      </c>
      <c r="F65" s="20" t="s">
        <v>60</v>
      </c>
      <c r="G65" s="20" t="s">
        <v>61</v>
      </c>
      <c r="H65" s="20" t="s">
        <v>94</v>
      </c>
      <c r="I65" s="20" t="s">
        <v>104</v>
      </c>
      <c r="J65" s="20" t="s">
        <v>105</v>
      </c>
      <c r="N65" s="39" t="n">
        <f aca="false">IF(34&gt;p_horizon,"",EDATE(p_debut,33))</f>
        <v>47300</v>
      </c>
      <c r="O65" s="22" t="n">
        <f aca="false">IF(34&gt;p_horizon,"",SUMIFS(TblCalculs[Coût mensuel],TblCalculs[Plateforme],"IKS",TblCalculs[Environnement],ex_envc,TblCalculs[Mois],$N65))</f>
        <v>0</v>
      </c>
      <c r="P65" s="40" t="n">
        <f aca="false">IF(34&gt;p_horizon,"",(COUNTIFS(TblApplications[Action],"À migrer",TblApplications[Mois lib (calc)],"&gt;"&amp;$N65,TblApplications[Environnement],ex_envc,TblApplications[Domaine],ex_domc,TblApplications[Tribe],ex_tric)+COUNTIFS(TblApplications[Action],"À décommissionner",TblApplications[Mois lib (calc)],"&gt;"&amp;$N65,TblApplications[Environnement],ex_envc,TblApplications[Domaine],ex_domc,TblApplications[Tribe],ex_tric)))</f>
        <v>0</v>
      </c>
      <c r="Q65" s="40" t="n">
        <f aca="false">IF(34&gt;p_horizon,"",COUNTIFS(TblCalculs[Plateforme],"IKS",TblCalculs[Mois],$N65,TblCalculs[Workers],"&gt;0",TblCalculs[Environnement],ex_envc))</f>
        <v>0</v>
      </c>
      <c r="R65" s="22" t="n">
        <f aca="false">IF(34&gt;p_horizon,"",SUMIFS(TblCalculs[Coût mensuel],TblCalculs[Plateforme],"IKS",TblCalculs[Environnement],ex_envc,TblCalculs[Mois],"&gt;="&amp;$N65))</f>
        <v>0</v>
      </c>
    </row>
    <row r="66" customFormat="false" ht="15" hidden="false" customHeight="false" outlineLevel="0" collapsed="false">
      <c r="A66" s="49" t="n">
        <f aca="false">IFERROR(MATCH(1,TblApplications[Rang extinction],0),"")</f>
        <v>7</v>
      </c>
      <c r="B66" s="50" t="str">
        <f aca="false">IF($A66="","",INDEX(TblApplications[ID],$A66))</f>
        <v>APP-02</v>
      </c>
      <c r="C66" s="50" t="str">
        <f aca="false">IF($A66="","",INDEX(TblApplications[Application],$A66))</f>
        <v>Moteur tarification (démo)</v>
      </c>
      <c r="D66" s="50" t="str">
        <f aca="false">IF($A66="","",INDEX(TblApplications[Tribe],$A66))</f>
        <v>Tarification</v>
      </c>
      <c r="E66" s="50" t="str">
        <f aca="false">IF($A66="","",INDEX(TblApplications[Environnement],$A66))</f>
        <v>PRD</v>
      </c>
      <c r="F66" s="50" t="str">
        <f aca="false">IF($A66="","",INDEX(TblApplications[Couloir],$A66))</f>
        <v>PRD</v>
      </c>
      <c r="G66" s="50" t="str">
        <f aca="false">IF($A66="","",INDEX(TblApplications[Action],$A66))</f>
        <v>À migrer</v>
      </c>
      <c r="H66" s="50" t="str">
        <f aca="false">IF($A66="","",INDEX(TblApplications[Cluster IKS source],$A66))</f>
        <v>IKS-PRD-01</v>
      </c>
      <c r="I66" s="63" t="n">
        <f aca="false">IF($A66="","",INDEX(TblApplications[Mois lib (calc)],$A66))</f>
        <v>46813</v>
      </c>
      <c r="J66" s="50" t="n">
        <f aca="false">IF($A66="","",INDEX(TblApplications[CPU IKS libérable (vCPU)],$A66))</f>
        <v>160</v>
      </c>
      <c r="N66" s="39" t="n">
        <f aca="false">IF(35&gt;p_horizon,"",EDATE(p_debut,34))</f>
        <v>47331</v>
      </c>
      <c r="O66" s="22" t="n">
        <f aca="false">IF(35&gt;p_horizon,"",SUMIFS(TblCalculs[Coût mensuel],TblCalculs[Plateforme],"IKS",TblCalculs[Environnement],ex_envc,TblCalculs[Mois],$N66))</f>
        <v>0</v>
      </c>
      <c r="P66" s="40" t="n">
        <f aca="false">IF(35&gt;p_horizon,"",(COUNTIFS(TblApplications[Action],"À migrer",TblApplications[Mois lib (calc)],"&gt;"&amp;$N66,TblApplications[Environnement],ex_envc,TblApplications[Domaine],ex_domc,TblApplications[Tribe],ex_tric)+COUNTIFS(TblApplications[Action],"À décommissionner",TblApplications[Mois lib (calc)],"&gt;"&amp;$N66,TblApplications[Environnement],ex_envc,TblApplications[Domaine],ex_domc,TblApplications[Tribe],ex_tric)))</f>
        <v>0</v>
      </c>
      <c r="Q66" s="40" t="n">
        <f aca="false">IF(35&gt;p_horizon,"",COUNTIFS(TblCalculs[Plateforme],"IKS",TblCalculs[Mois],$N66,TblCalculs[Workers],"&gt;0",TblCalculs[Environnement],ex_envc))</f>
        <v>0</v>
      </c>
      <c r="R66" s="22" t="n">
        <f aca="false">IF(35&gt;p_horizon,"",SUMIFS(TblCalculs[Coût mensuel],TblCalculs[Plateforme],"IKS",TblCalculs[Environnement],ex_envc,TblCalculs[Mois],"&gt;="&amp;$N66))</f>
        <v>0</v>
      </c>
    </row>
    <row r="67" customFormat="false" ht="15" hidden="false" customHeight="false" outlineLevel="0" collapsed="false">
      <c r="A67" s="49" t="n">
        <f aca="false">IFERROR(MATCH(2,TblApplications[Rang extinction],0),"")</f>
        <v>8</v>
      </c>
      <c r="B67" s="50" t="str">
        <f aca="false">IF($A67="","",INDEX(TblApplications[ID],$A67))</f>
        <v>APP-03</v>
      </c>
      <c r="C67" s="50" t="str">
        <f aca="false">IF($A67="","",INDEX(TblApplications[Application],$A67))</f>
        <v>API sinistres (démo)</v>
      </c>
      <c r="D67" s="50" t="str">
        <f aca="false">IF($A67="","",INDEX(TblApplications[Tribe],$A67))</f>
        <v>Sinistres</v>
      </c>
      <c r="E67" s="50" t="str">
        <f aca="false">IF($A67="","",INDEX(TblApplications[Environnement],$A67))</f>
        <v>NPRD</v>
      </c>
      <c r="F67" s="50" t="str">
        <f aca="false">IF($A67="","",INDEX(TblApplications[Couloir],$A67))</f>
        <v>INT1</v>
      </c>
      <c r="G67" s="50" t="str">
        <f aca="false">IF($A67="","",INDEX(TblApplications[Action],$A67))</f>
        <v>À migrer</v>
      </c>
      <c r="H67" s="50" t="str">
        <f aca="false">IF($A67="","",INDEX(TblApplications[Cluster IKS source],$A67))</f>
        <v>IKS-NPR-01</v>
      </c>
      <c r="I67" s="63" t="n">
        <f aca="false">IF($A67="","",INDEX(TblApplications[Mois lib (calc)],$A67))</f>
        <v>46905</v>
      </c>
      <c r="J67" s="50" t="n">
        <f aca="false">IF($A67="","",INDEX(TblApplications[CPU IKS libérable (vCPU)],$A67))</f>
        <v>32</v>
      </c>
      <c r="N67" s="39" t="n">
        <f aca="false">IF(36&gt;p_horizon,"",EDATE(p_debut,35))</f>
        <v>47362</v>
      </c>
      <c r="O67" s="22" t="n">
        <f aca="false">IF(36&gt;p_horizon,"",SUMIFS(TblCalculs[Coût mensuel],TblCalculs[Plateforme],"IKS",TblCalculs[Environnement],ex_envc,TblCalculs[Mois],$N67))</f>
        <v>0</v>
      </c>
      <c r="P67" s="40" t="n">
        <f aca="false">IF(36&gt;p_horizon,"",(COUNTIFS(TblApplications[Action],"À migrer",TblApplications[Mois lib (calc)],"&gt;"&amp;$N67,TblApplications[Environnement],ex_envc,TblApplications[Domaine],ex_domc,TblApplications[Tribe],ex_tric)+COUNTIFS(TblApplications[Action],"À décommissionner",TblApplications[Mois lib (calc)],"&gt;"&amp;$N67,TblApplications[Environnement],ex_envc,TblApplications[Domaine],ex_domc,TblApplications[Tribe],ex_tric)))</f>
        <v>0</v>
      </c>
      <c r="Q67" s="40" t="n">
        <f aca="false">IF(36&gt;p_horizon,"",COUNTIFS(TblCalculs[Plateforme],"IKS",TblCalculs[Mois],$N67,TblCalculs[Workers],"&gt;0",TblCalculs[Environnement],ex_envc))</f>
        <v>0</v>
      </c>
      <c r="R67" s="22" t="n">
        <f aca="false">IF(36&gt;p_horizon,"",SUMIFS(TblCalculs[Coût mensuel],TblCalculs[Plateforme],"IKS",TblCalculs[Environnement],ex_envc,TblCalculs[Mois],"&gt;="&amp;$N67))</f>
        <v>0</v>
      </c>
    </row>
    <row r="68" customFormat="false" ht="15" hidden="false" customHeight="false" outlineLevel="0" collapsed="false">
      <c r="A68" s="49" t="n">
        <f aca="false">IFERROR(MATCH(3,TblApplications[Rang extinction],0),"")</f>
        <v>9</v>
      </c>
      <c r="B68" s="50" t="str">
        <f aca="false">IF($A68="","",INDEX(TblApplications[ID],$A68))</f>
        <v>APP-03</v>
      </c>
      <c r="C68" s="50" t="str">
        <f aca="false">IF($A68="","",INDEX(TblApplications[Application],$A68))</f>
        <v>API sinistres (démo)</v>
      </c>
      <c r="D68" s="50" t="str">
        <f aca="false">IF($A68="","",INDEX(TblApplications[Tribe],$A68))</f>
        <v>Sinistres</v>
      </c>
      <c r="E68" s="50" t="str">
        <f aca="false">IF($A68="","",INDEX(TblApplications[Environnement],$A68))</f>
        <v>NPRD</v>
      </c>
      <c r="F68" s="50" t="str">
        <f aca="false">IF($A68="","",INDEX(TblApplications[Couloir],$A68))</f>
        <v>INT2</v>
      </c>
      <c r="G68" s="50" t="str">
        <f aca="false">IF($A68="","",INDEX(TblApplications[Action],$A68))</f>
        <v>À migrer</v>
      </c>
      <c r="H68" s="50" t="str">
        <f aca="false">IF($A68="","",INDEX(TblApplications[Cluster IKS source],$A68))</f>
        <v>IKS-NPR-01</v>
      </c>
      <c r="I68" s="63" t="n">
        <f aca="false">IF($A68="","",INDEX(TblApplications[Mois lib (calc)],$A68))</f>
        <v>46905</v>
      </c>
      <c r="J68" s="50" t="n">
        <f aca="false">IF($A68="","",INDEX(TblApplications[CPU IKS libérable (vCPU)],$A68))</f>
        <v>32</v>
      </c>
    </row>
    <row r="69" customFormat="false" ht="15" hidden="false" customHeight="false" outlineLevel="0" collapsed="false">
      <c r="A69" s="49" t="n">
        <f aca="false">IFERROR(MATCH(4,TblApplications[Rang extinction],0),"")</f>
        <v>10</v>
      </c>
      <c r="B69" s="50" t="str">
        <f aca="false">IF($A69="","",INDEX(TblApplications[ID],$A69))</f>
        <v>APP-03</v>
      </c>
      <c r="C69" s="50" t="str">
        <f aca="false">IF($A69="","",INDEX(TblApplications[Application],$A69))</f>
        <v>API sinistres (démo)</v>
      </c>
      <c r="D69" s="50" t="str">
        <f aca="false">IF($A69="","",INDEX(TblApplications[Tribe],$A69))</f>
        <v>Sinistres</v>
      </c>
      <c r="E69" s="50" t="str">
        <f aca="false">IF($A69="","",INDEX(TblApplications[Environnement],$A69))</f>
        <v>PRD</v>
      </c>
      <c r="F69" s="50" t="str">
        <f aca="false">IF($A69="","",INDEX(TblApplications[Couloir],$A69))</f>
        <v>PRD</v>
      </c>
      <c r="G69" s="50" t="str">
        <f aca="false">IF($A69="","",INDEX(TblApplications[Action],$A69))</f>
        <v>À migrer</v>
      </c>
      <c r="H69" s="50" t="str">
        <f aca="false">IF($A69="","",INDEX(TblApplications[Cluster IKS source],$A69))</f>
        <v>IKS-PRD-01</v>
      </c>
      <c r="I69" s="63" t="n">
        <f aca="false">IF($A69="","",INDEX(TblApplications[Mois lib (calc)],$A69))</f>
        <v>47088</v>
      </c>
      <c r="J69" s="50" t="n">
        <f aca="false">IF($A69="","",INDEX(TblApplications[CPU IKS libérable (vCPU)],$A69))</f>
        <v>160</v>
      </c>
    </row>
    <row r="70" customFormat="false" ht="15" hidden="false" customHeight="false" outlineLevel="0" collapsed="false">
      <c r="A70" s="49" t="str">
        <f aca="false">IFERROR(MATCH(5,TblApplications[Rang extinction],0),"")</f>
        <v/>
      </c>
      <c r="B70" s="50" t="str">
        <f aca="false">IF($A70="","",INDEX(TblApplications[ID],$A70))</f>
        <v/>
      </c>
      <c r="C70" s="50" t="str">
        <f aca="false">IF($A70="","",INDEX(TblApplications[Application],$A70))</f>
        <v/>
      </c>
      <c r="D70" s="50" t="str">
        <f aca="false">IF($A70="","",INDEX(TblApplications[Tribe],$A70))</f>
        <v/>
      </c>
      <c r="E70" s="50" t="str">
        <f aca="false">IF($A70="","",INDEX(TblApplications[Environnement],$A70))</f>
        <v/>
      </c>
      <c r="F70" s="50" t="str">
        <f aca="false">IF($A70="","",INDEX(TblApplications[Couloir],$A70))</f>
        <v/>
      </c>
      <c r="G70" s="50" t="str">
        <f aca="false">IF($A70="","",INDEX(TblApplications[Action],$A70))</f>
        <v/>
      </c>
      <c r="H70" s="50" t="str">
        <f aca="false">IF($A70="","",INDEX(TblApplications[Cluster IKS source],$A70))</f>
        <v/>
      </c>
      <c r="I70" s="63" t="str">
        <f aca="false">IF($A70="","",INDEX(TblApplications[Mois lib (calc)],$A70))</f>
        <v/>
      </c>
      <c r="J70" s="50" t="str">
        <f aca="false">IF($A70="","",INDEX(TblApplications[CPU IKS libérable (vCPU)],$A70))</f>
        <v/>
      </c>
    </row>
    <row r="71" customFormat="false" ht="15" hidden="false" customHeight="false" outlineLevel="0" collapsed="false">
      <c r="A71" s="49" t="str">
        <f aca="false">IFERROR(MATCH(6,TblApplications[Rang extinction],0),"")</f>
        <v/>
      </c>
      <c r="B71" s="50" t="str">
        <f aca="false">IF($A71="","",INDEX(TblApplications[ID],$A71))</f>
        <v/>
      </c>
      <c r="C71" s="50" t="str">
        <f aca="false">IF($A71="","",INDEX(TblApplications[Application],$A71))</f>
        <v/>
      </c>
      <c r="D71" s="50" t="str">
        <f aca="false">IF($A71="","",INDEX(TblApplications[Tribe],$A71))</f>
        <v/>
      </c>
      <c r="E71" s="50" t="str">
        <f aca="false">IF($A71="","",INDEX(TblApplications[Environnement],$A71))</f>
        <v/>
      </c>
      <c r="F71" s="50" t="str">
        <f aca="false">IF($A71="","",INDEX(TblApplications[Couloir],$A71))</f>
        <v/>
      </c>
      <c r="G71" s="50" t="str">
        <f aca="false">IF($A71="","",INDEX(TblApplications[Action],$A71))</f>
        <v/>
      </c>
      <c r="H71" s="50" t="str">
        <f aca="false">IF($A71="","",INDEX(TblApplications[Cluster IKS source],$A71))</f>
        <v/>
      </c>
      <c r="I71" s="63" t="str">
        <f aca="false">IF($A71="","",INDEX(TblApplications[Mois lib (calc)],$A71))</f>
        <v/>
      </c>
      <c r="J71" s="50" t="str">
        <f aca="false">IF($A71="","",INDEX(TblApplications[CPU IKS libérable (vCPU)],$A71))</f>
        <v/>
      </c>
    </row>
    <row r="72" customFormat="false" ht="15" hidden="false" customHeight="false" outlineLevel="0" collapsed="false">
      <c r="A72" s="49" t="str">
        <f aca="false">IFERROR(MATCH(7,TblApplications[Rang extinction],0),"")</f>
        <v/>
      </c>
      <c r="B72" s="50" t="str">
        <f aca="false">IF($A72="","",INDEX(TblApplications[ID],$A72))</f>
        <v/>
      </c>
      <c r="C72" s="50" t="str">
        <f aca="false">IF($A72="","",INDEX(TblApplications[Application],$A72))</f>
        <v/>
      </c>
      <c r="D72" s="50" t="str">
        <f aca="false">IF($A72="","",INDEX(TblApplications[Tribe],$A72))</f>
        <v/>
      </c>
      <c r="E72" s="50" t="str">
        <f aca="false">IF($A72="","",INDEX(TblApplications[Environnement],$A72))</f>
        <v/>
      </c>
      <c r="F72" s="50" t="str">
        <f aca="false">IF($A72="","",INDEX(TblApplications[Couloir],$A72))</f>
        <v/>
      </c>
      <c r="G72" s="50" t="str">
        <f aca="false">IF($A72="","",INDEX(TblApplications[Action],$A72))</f>
        <v/>
      </c>
      <c r="H72" s="50" t="str">
        <f aca="false">IF($A72="","",INDEX(TblApplications[Cluster IKS source],$A72))</f>
        <v/>
      </c>
      <c r="I72" s="63" t="str">
        <f aca="false">IF($A72="","",INDEX(TblApplications[Mois lib (calc)],$A72))</f>
        <v/>
      </c>
      <c r="J72" s="50" t="str">
        <f aca="false">IF($A72="","",INDEX(TblApplications[CPU IKS libérable (vCPU)],$A72))</f>
        <v/>
      </c>
    </row>
    <row r="73" customFormat="false" ht="15" hidden="false" customHeight="false" outlineLevel="0" collapsed="false">
      <c r="A73" s="49" t="str">
        <f aca="false">IFERROR(MATCH(8,TblApplications[Rang extinction],0),"")</f>
        <v/>
      </c>
      <c r="B73" s="50" t="str">
        <f aca="false">IF($A73="","",INDEX(TblApplications[ID],$A73))</f>
        <v/>
      </c>
      <c r="C73" s="50" t="str">
        <f aca="false">IF($A73="","",INDEX(TblApplications[Application],$A73))</f>
        <v/>
      </c>
      <c r="D73" s="50" t="str">
        <f aca="false">IF($A73="","",INDEX(TblApplications[Tribe],$A73))</f>
        <v/>
      </c>
      <c r="E73" s="50" t="str">
        <f aca="false">IF($A73="","",INDEX(TblApplications[Environnement],$A73))</f>
        <v/>
      </c>
      <c r="F73" s="50" t="str">
        <f aca="false">IF($A73="","",INDEX(TblApplications[Couloir],$A73))</f>
        <v/>
      </c>
      <c r="G73" s="50" t="str">
        <f aca="false">IF($A73="","",INDEX(TblApplications[Action],$A73))</f>
        <v/>
      </c>
      <c r="H73" s="50" t="str">
        <f aca="false">IF($A73="","",INDEX(TblApplications[Cluster IKS source],$A73))</f>
        <v/>
      </c>
      <c r="I73" s="63" t="str">
        <f aca="false">IF($A73="","",INDEX(TblApplications[Mois lib (calc)],$A73))</f>
        <v/>
      </c>
      <c r="J73" s="50" t="str">
        <f aca="false">IF($A73="","",INDEX(TblApplications[CPU IKS libérable (vCPU)],$A73))</f>
        <v/>
      </c>
    </row>
    <row r="74" customFormat="false" ht="15" hidden="false" customHeight="false" outlineLevel="0" collapsed="false">
      <c r="A74" s="49" t="str">
        <f aca="false">IFERROR(MATCH(9,TblApplications[Rang extinction],0),"")</f>
        <v/>
      </c>
      <c r="B74" s="50" t="str">
        <f aca="false">IF($A74="","",INDEX(TblApplications[ID],$A74))</f>
        <v/>
      </c>
      <c r="C74" s="50" t="str">
        <f aca="false">IF($A74="","",INDEX(TblApplications[Application],$A74))</f>
        <v/>
      </c>
      <c r="D74" s="50" t="str">
        <f aca="false">IF($A74="","",INDEX(TblApplications[Tribe],$A74))</f>
        <v/>
      </c>
      <c r="E74" s="50" t="str">
        <f aca="false">IF($A74="","",INDEX(TblApplications[Environnement],$A74))</f>
        <v/>
      </c>
      <c r="F74" s="50" t="str">
        <f aca="false">IF($A74="","",INDEX(TblApplications[Couloir],$A74))</f>
        <v/>
      </c>
      <c r="G74" s="50" t="str">
        <f aca="false">IF($A74="","",INDEX(TblApplications[Action],$A74))</f>
        <v/>
      </c>
      <c r="H74" s="50" t="str">
        <f aca="false">IF($A74="","",INDEX(TblApplications[Cluster IKS source],$A74))</f>
        <v/>
      </c>
      <c r="I74" s="63" t="str">
        <f aca="false">IF($A74="","",INDEX(TblApplications[Mois lib (calc)],$A74))</f>
        <v/>
      </c>
      <c r="J74" s="50" t="str">
        <f aca="false">IF($A74="","",INDEX(TblApplications[CPU IKS libérable (vCPU)],$A74))</f>
        <v/>
      </c>
    </row>
    <row r="75" customFormat="false" ht="15" hidden="false" customHeight="false" outlineLevel="0" collapsed="false">
      <c r="A75" s="49" t="str">
        <f aca="false">IFERROR(MATCH(10,TblApplications[Rang extinction],0),"")</f>
        <v/>
      </c>
      <c r="B75" s="50" t="str">
        <f aca="false">IF($A75="","",INDEX(TblApplications[ID],$A75))</f>
        <v/>
      </c>
      <c r="C75" s="50" t="str">
        <f aca="false">IF($A75="","",INDEX(TblApplications[Application],$A75))</f>
        <v/>
      </c>
      <c r="D75" s="50" t="str">
        <f aca="false">IF($A75="","",INDEX(TblApplications[Tribe],$A75))</f>
        <v/>
      </c>
      <c r="E75" s="50" t="str">
        <f aca="false">IF($A75="","",INDEX(TblApplications[Environnement],$A75))</f>
        <v/>
      </c>
      <c r="F75" s="50" t="str">
        <f aca="false">IF($A75="","",INDEX(TblApplications[Couloir],$A75))</f>
        <v/>
      </c>
      <c r="G75" s="50" t="str">
        <f aca="false">IF($A75="","",INDEX(TblApplications[Action],$A75))</f>
        <v/>
      </c>
      <c r="H75" s="50" t="str">
        <f aca="false">IF($A75="","",INDEX(TblApplications[Cluster IKS source],$A75))</f>
        <v/>
      </c>
      <c r="I75" s="63" t="str">
        <f aca="false">IF($A75="","",INDEX(TblApplications[Mois lib (calc)],$A75))</f>
        <v/>
      </c>
      <c r="J75" s="50" t="str">
        <f aca="false">IF($A75="","",INDEX(TblApplications[CPU IKS libérable (vCPU)],$A75))</f>
        <v/>
      </c>
    </row>
    <row r="76" customFormat="false" ht="15" hidden="false" customHeight="false" outlineLevel="0" collapsed="false">
      <c r="A76" s="49" t="str">
        <f aca="false">IFERROR(MATCH(11,TblApplications[Rang extinction],0),"")</f>
        <v/>
      </c>
      <c r="B76" s="50" t="str">
        <f aca="false">IF($A76="","",INDEX(TblApplications[ID],$A76))</f>
        <v/>
      </c>
      <c r="C76" s="50" t="str">
        <f aca="false">IF($A76="","",INDEX(TblApplications[Application],$A76))</f>
        <v/>
      </c>
      <c r="D76" s="50" t="str">
        <f aca="false">IF($A76="","",INDEX(TblApplications[Tribe],$A76))</f>
        <v/>
      </c>
      <c r="E76" s="50" t="str">
        <f aca="false">IF($A76="","",INDEX(TblApplications[Environnement],$A76))</f>
        <v/>
      </c>
      <c r="F76" s="50" t="str">
        <f aca="false">IF($A76="","",INDEX(TblApplications[Couloir],$A76))</f>
        <v/>
      </c>
      <c r="G76" s="50" t="str">
        <f aca="false">IF($A76="","",INDEX(TblApplications[Action],$A76))</f>
        <v/>
      </c>
      <c r="H76" s="50" t="str">
        <f aca="false">IF($A76="","",INDEX(TblApplications[Cluster IKS source],$A76))</f>
        <v/>
      </c>
      <c r="I76" s="63" t="str">
        <f aca="false">IF($A76="","",INDEX(TblApplications[Mois lib (calc)],$A76))</f>
        <v/>
      </c>
      <c r="J76" s="50" t="str">
        <f aca="false">IF($A76="","",INDEX(TblApplications[CPU IKS libérable (vCPU)],$A76))</f>
        <v/>
      </c>
    </row>
    <row r="77" customFormat="false" ht="15" hidden="false" customHeight="false" outlineLevel="0" collapsed="false">
      <c r="A77" s="49" t="str">
        <f aca="false">IFERROR(MATCH(12,TblApplications[Rang extinction],0),"")</f>
        <v/>
      </c>
      <c r="B77" s="50" t="str">
        <f aca="false">IF($A77="","",INDEX(TblApplications[ID],$A77))</f>
        <v/>
      </c>
      <c r="C77" s="50" t="str">
        <f aca="false">IF($A77="","",INDEX(TblApplications[Application],$A77))</f>
        <v/>
      </c>
      <c r="D77" s="50" t="str">
        <f aca="false">IF($A77="","",INDEX(TblApplications[Tribe],$A77))</f>
        <v/>
      </c>
      <c r="E77" s="50" t="str">
        <f aca="false">IF($A77="","",INDEX(TblApplications[Environnement],$A77))</f>
        <v/>
      </c>
      <c r="F77" s="50" t="str">
        <f aca="false">IF($A77="","",INDEX(TblApplications[Couloir],$A77))</f>
        <v/>
      </c>
      <c r="G77" s="50" t="str">
        <f aca="false">IF($A77="","",INDEX(TblApplications[Action],$A77))</f>
        <v/>
      </c>
      <c r="H77" s="50" t="str">
        <f aca="false">IF($A77="","",INDEX(TblApplications[Cluster IKS source],$A77))</f>
        <v/>
      </c>
      <c r="I77" s="63" t="str">
        <f aca="false">IF($A77="","",INDEX(TblApplications[Mois lib (calc)],$A77))</f>
        <v/>
      </c>
      <c r="J77" s="50" t="str">
        <f aca="false">IF($A77="","",INDEX(TblApplications[CPU IKS libérable (vCPU)],$A77))</f>
        <v/>
      </c>
    </row>
    <row r="78" customFormat="false" ht="15" hidden="false" customHeight="false" outlineLevel="0" collapsed="false">
      <c r="A78" s="49" t="str">
        <f aca="false">IFERROR(MATCH(13,TblApplications[Rang extinction],0),"")</f>
        <v/>
      </c>
      <c r="B78" s="50" t="str">
        <f aca="false">IF($A78="","",INDEX(TblApplications[ID],$A78))</f>
        <v/>
      </c>
      <c r="C78" s="50" t="str">
        <f aca="false">IF($A78="","",INDEX(TblApplications[Application],$A78))</f>
        <v/>
      </c>
      <c r="D78" s="50" t="str">
        <f aca="false">IF($A78="","",INDEX(TblApplications[Tribe],$A78))</f>
        <v/>
      </c>
      <c r="E78" s="50" t="str">
        <f aca="false">IF($A78="","",INDEX(TblApplications[Environnement],$A78))</f>
        <v/>
      </c>
      <c r="F78" s="50" t="str">
        <f aca="false">IF($A78="","",INDEX(TblApplications[Couloir],$A78))</f>
        <v/>
      </c>
      <c r="G78" s="50" t="str">
        <f aca="false">IF($A78="","",INDEX(TblApplications[Action],$A78))</f>
        <v/>
      </c>
      <c r="H78" s="50" t="str">
        <f aca="false">IF($A78="","",INDEX(TblApplications[Cluster IKS source],$A78))</f>
        <v/>
      </c>
      <c r="I78" s="63" t="str">
        <f aca="false">IF($A78="","",INDEX(TblApplications[Mois lib (calc)],$A78))</f>
        <v/>
      </c>
      <c r="J78" s="50" t="str">
        <f aca="false">IF($A78="","",INDEX(TblApplications[CPU IKS libérable (vCPU)],$A78))</f>
        <v/>
      </c>
    </row>
    <row r="79" customFormat="false" ht="15" hidden="false" customHeight="false" outlineLevel="0" collapsed="false">
      <c r="A79" s="49" t="str">
        <f aca="false">IFERROR(MATCH(14,TblApplications[Rang extinction],0),"")</f>
        <v/>
      </c>
      <c r="B79" s="50" t="str">
        <f aca="false">IF($A79="","",INDEX(TblApplications[ID],$A79))</f>
        <v/>
      </c>
      <c r="C79" s="50" t="str">
        <f aca="false">IF($A79="","",INDEX(TblApplications[Application],$A79))</f>
        <v/>
      </c>
      <c r="D79" s="50" t="str">
        <f aca="false">IF($A79="","",INDEX(TblApplications[Tribe],$A79))</f>
        <v/>
      </c>
      <c r="E79" s="50" t="str">
        <f aca="false">IF($A79="","",INDEX(TblApplications[Environnement],$A79))</f>
        <v/>
      </c>
      <c r="F79" s="50" t="str">
        <f aca="false">IF($A79="","",INDEX(TblApplications[Couloir],$A79))</f>
        <v/>
      </c>
      <c r="G79" s="50" t="str">
        <f aca="false">IF($A79="","",INDEX(TblApplications[Action],$A79))</f>
        <v/>
      </c>
      <c r="H79" s="50" t="str">
        <f aca="false">IF($A79="","",INDEX(TblApplications[Cluster IKS source],$A79))</f>
        <v/>
      </c>
      <c r="I79" s="63" t="str">
        <f aca="false">IF($A79="","",INDEX(TblApplications[Mois lib (calc)],$A79))</f>
        <v/>
      </c>
      <c r="J79" s="50" t="str">
        <f aca="false">IF($A79="","",INDEX(TblApplications[CPU IKS libérable (vCPU)],$A79))</f>
        <v/>
      </c>
    </row>
    <row r="80" customFormat="false" ht="15" hidden="false" customHeight="false" outlineLevel="0" collapsed="false">
      <c r="A80" s="49" t="str">
        <f aca="false">IFERROR(MATCH(15,TblApplications[Rang extinction],0),"")</f>
        <v/>
      </c>
      <c r="B80" s="50" t="str">
        <f aca="false">IF($A80="","",INDEX(TblApplications[ID],$A80))</f>
        <v/>
      </c>
      <c r="C80" s="50" t="str">
        <f aca="false">IF($A80="","",INDEX(TblApplications[Application],$A80))</f>
        <v/>
      </c>
      <c r="D80" s="50" t="str">
        <f aca="false">IF($A80="","",INDEX(TblApplications[Tribe],$A80))</f>
        <v/>
      </c>
      <c r="E80" s="50" t="str">
        <f aca="false">IF($A80="","",INDEX(TblApplications[Environnement],$A80))</f>
        <v/>
      </c>
      <c r="F80" s="50" t="str">
        <f aca="false">IF($A80="","",INDEX(TblApplications[Couloir],$A80))</f>
        <v/>
      </c>
      <c r="G80" s="50" t="str">
        <f aca="false">IF($A80="","",INDEX(TblApplications[Action],$A80))</f>
        <v/>
      </c>
      <c r="H80" s="50" t="str">
        <f aca="false">IF($A80="","",INDEX(TblApplications[Cluster IKS source],$A80))</f>
        <v/>
      </c>
      <c r="I80" s="63" t="str">
        <f aca="false">IF($A80="","",INDEX(TblApplications[Mois lib (calc)],$A80))</f>
        <v/>
      </c>
      <c r="J80" s="50" t="str">
        <f aca="false">IF($A80="","",INDEX(TblApplications[CPU IKS libérable (vCPU)],$A80))</f>
        <v/>
      </c>
    </row>
    <row r="81" customFormat="false" ht="15" hidden="false" customHeight="false" outlineLevel="0" collapsed="false">
      <c r="A81" s="49" t="str">
        <f aca="false">IFERROR(MATCH(16,TblApplications[Rang extinction],0),"")</f>
        <v/>
      </c>
      <c r="B81" s="50" t="str">
        <f aca="false">IF($A81="","",INDEX(TblApplications[ID],$A81))</f>
        <v/>
      </c>
      <c r="C81" s="50" t="str">
        <f aca="false">IF($A81="","",INDEX(TblApplications[Application],$A81))</f>
        <v/>
      </c>
      <c r="D81" s="50" t="str">
        <f aca="false">IF($A81="","",INDEX(TblApplications[Tribe],$A81))</f>
        <v/>
      </c>
      <c r="E81" s="50" t="str">
        <f aca="false">IF($A81="","",INDEX(TblApplications[Environnement],$A81))</f>
        <v/>
      </c>
      <c r="F81" s="50" t="str">
        <f aca="false">IF($A81="","",INDEX(TblApplications[Couloir],$A81))</f>
        <v/>
      </c>
      <c r="G81" s="50" t="str">
        <f aca="false">IF($A81="","",INDEX(TblApplications[Action],$A81))</f>
        <v/>
      </c>
      <c r="H81" s="50" t="str">
        <f aca="false">IF($A81="","",INDEX(TblApplications[Cluster IKS source],$A81))</f>
        <v/>
      </c>
      <c r="I81" s="63" t="str">
        <f aca="false">IF($A81="","",INDEX(TblApplications[Mois lib (calc)],$A81))</f>
        <v/>
      </c>
      <c r="J81" s="50" t="str">
        <f aca="false">IF($A81="","",INDEX(TblApplications[CPU IKS libérable (vCPU)],$A81))</f>
        <v/>
      </c>
    </row>
    <row r="82" customFormat="false" ht="15" hidden="false" customHeight="false" outlineLevel="0" collapsed="false">
      <c r="A82" s="49" t="str">
        <f aca="false">IFERROR(MATCH(17,TblApplications[Rang extinction],0),"")</f>
        <v/>
      </c>
      <c r="B82" s="50" t="str">
        <f aca="false">IF($A82="","",INDEX(TblApplications[ID],$A82))</f>
        <v/>
      </c>
      <c r="C82" s="50" t="str">
        <f aca="false">IF($A82="","",INDEX(TblApplications[Application],$A82))</f>
        <v/>
      </c>
      <c r="D82" s="50" t="str">
        <f aca="false">IF($A82="","",INDEX(TblApplications[Tribe],$A82))</f>
        <v/>
      </c>
      <c r="E82" s="50" t="str">
        <f aca="false">IF($A82="","",INDEX(TblApplications[Environnement],$A82))</f>
        <v/>
      </c>
      <c r="F82" s="50" t="str">
        <f aca="false">IF($A82="","",INDEX(TblApplications[Couloir],$A82))</f>
        <v/>
      </c>
      <c r="G82" s="50" t="str">
        <f aca="false">IF($A82="","",INDEX(TblApplications[Action],$A82))</f>
        <v/>
      </c>
      <c r="H82" s="50" t="str">
        <f aca="false">IF($A82="","",INDEX(TblApplications[Cluster IKS source],$A82))</f>
        <v/>
      </c>
      <c r="I82" s="63" t="str">
        <f aca="false">IF($A82="","",INDEX(TblApplications[Mois lib (calc)],$A82))</f>
        <v/>
      </c>
      <c r="J82" s="50" t="str">
        <f aca="false">IF($A82="","",INDEX(TblApplications[CPU IKS libérable (vCPU)],$A82))</f>
        <v/>
      </c>
    </row>
    <row r="83" customFormat="false" ht="15" hidden="false" customHeight="false" outlineLevel="0" collapsed="false">
      <c r="A83" s="49" t="str">
        <f aca="false">IFERROR(MATCH(18,TblApplications[Rang extinction],0),"")</f>
        <v/>
      </c>
      <c r="B83" s="50" t="str">
        <f aca="false">IF($A83="","",INDEX(TblApplications[ID],$A83))</f>
        <v/>
      </c>
      <c r="C83" s="50" t="str">
        <f aca="false">IF($A83="","",INDEX(TblApplications[Application],$A83))</f>
        <v/>
      </c>
      <c r="D83" s="50" t="str">
        <f aca="false">IF($A83="","",INDEX(TblApplications[Tribe],$A83))</f>
        <v/>
      </c>
      <c r="E83" s="50" t="str">
        <f aca="false">IF($A83="","",INDEX(TblApplications[Environnement],$A83))</f>
        <v/>
      </c>
      <c r="F83" s="50" t="str">
        <f aca="false">IF($A83="","",INDEX(TblApplications[Couloir],$A83))</f>
        <v/>
      </c>
      <c r="G83" s="50" t="str">
        <f aca="false">IF($A83="","",INDEX(TblApplications[Action],$A83))</f>
        <v/>
      </c>
      <c r="H83" s="50" t="str">
        <f aca="false">IF($A83="","",INDEX(TblApplications[Cluster IKS source],$A83))</f>
        <v/>
      </c>
      <c r="I83" s="63" t="str">
        <f aca="false">IF($A83="","",INDEX(TblApplications[Mois lib (calc)],$A83))</f>
        <v/>
      </c>
      <c r="J83" s="50" t="str">
        <f aca="false">IF($A83="","",INDEX(TblApplications[CPU IKS libérable (vCPU)],$A83))</f>
        <v/>
      </c>
    </row>
    <row r="84" customFormat="false" ht="15" hidden="false" customHeight="false" outlineLevel="0" collapsed="false">
      <c r="A84" s="49" t="str">
        <f aca="false">IFERROR(MATCH(19,TblApplications[Rang extinction],0),"")</f>
        <v/>
      </c>
      <c r="B84" s="50" t="str">
        <f aca="false">IF($A84="","",INDEX(TblApplications[ID],$A84))</f>
        <v/>
      </c>
      <c r="C84" s="50" t="str">
        <f aca="false">IF($A84="","",INDEX(TblApplications[Application],$A84))</f>
        <v/>
      </c>
      <c r="D84" s="50" t="str">
        <f aca="false">IF($A84="","",INDEX(TblApplications[Tribe],$A84))</f>
        <v/>
      </c>
      <c r="E84" s="50" t="str">
        <f aca="false">IF($A84="","",INDEX(TblApplications[Environnement],$A84))</f>
        <v/>
      </c>
      <c r="F84" s="50" t="str">
        <f aca="false">IF($A84="","",INDEX(TblApplications[Couloir],$A84))</f>
        <v/>
      </c>
      <c r="G84" s="50" t="str">
        <f aca="false">IF($A84="","",INDEX(TblApplications[Action],$A84))</f>
        <v/>
      </c>
      <c r="H84" s="50" t="str">
        <f aca="false">IF($A84="","",INDEX(TblApplications[Cluster IKS source],$A84))</f>
        <v/>
      </c>
      <c r="I84" s="63" t="str">
        <f aca="false">IF($A84="","",INDEX(TblApplications[Mois lib (calc)],$A84))</f>
        <v/>
      </c>
      <c r="J84" s="50" t="str">
        <f aca="false">IF($A84="","",INDEX(TblApplications[CPU IKS libérable (vCPU)],$A84))</f>
        <v/>
      </c>
    </row>
    <row r="85" customFormat="false" ht="15" hidden="false" customHeight="false" outlineLevel="0" collapsed="false">
      <c r="A85" s="49" t="str">
        <f aca="false">IFERROR(MATCH(20,TblApplications[Rang extinction],0),"")</f>
        <v/>
      </c>
      <c r="B85" s="50" t="str">
        <f aca="false">IF($A85="","",INDEX(TblApplications[ID],$A85))</f>
        <v/>
      </c>
      <c r="C85" s="50" t="str">
        <f aca="false">IF($A85="","",INDEX(TblApplications[Application],$A85))</f>
        <v/>
      </c>
      <c r="D85" s="50" t="str">
        <f aca="false">IF($A85="","",INDEX(TblApplications[Tribe],$A85))</f>
        <v/>
      </c>
      <c r="E85" s="50" t="str">
        <f aca="false">IF($A85="","",INDEX(TblApplications[Environnement],$A85))</f>
        <v/>
      </c>
      <c r="F85" s="50" t="str">
        <f aca="false">IF($A85="","",INDEX(TblApplications[Couloir],$A85))</f>
        <v/>
      </c>
      <c r="G85" s="50" t="str">
        <f aca="false">IF($A85="","",INDEX(TblApplications[Action],$A85))</f>
        <v/>
      </c>
      <c r="H85" s="50" t="str">
        <f aca="false">IF($A85="","",INDEX(TblApplications[Cluster IKS source],$A85))</f>
        <v/>
      </c>
      <c r="I85" s="63" t="str">
        <f aca="false">IF($A85="","",INDEX(TblApplications[Mois lib (calc)],$A85))</f>
        <v/>
      </c>
      <c r="J85" s="50" t="str">
        <f aca="false">IF($A85="","",INDEX(TblApplications[CPU IKS libérable (vCPU)],$A85))</f>
        <v/>
      </c>
    </row>
    <row r="86" customFormat="false" ht="15" hidden="false" customHeight="false" outlineLevel="0" collapsed="false">
      <c r="A86" s="49" t="str">
        <f aca="false">IFERROR(MATCH(21,TblApplications[Rang extinction],0),"")</f>
        <v/>
      </c>
      <c r="B86" s="50" t="str">
        <f aca="false">IF($A86="","",INDEX(TblApplications[ID],$A86))</f>
        <v/>
      </c>
      <c r="C86" s="50" t="str">
        <f aca="false">IF($A86="","",INDEX(TblApplications[Application],$A86))</f>
        <v/>
      </c>
      <c r="D86" s="50" t="str">
        <f aca="false">IF($A86="","",INDEX(TblApplications[Tribe],$A86))</f>
        <v/>
      </c>
      <c r="E86" s="50" t="str">
        <f aca="false">IF($A86="","",INDEX(TblApplications[Environnement],$A86))</f>
        <v/>
      </c>
      <c r="F86" s="50" t="str">
        <f aca="false">IF($A86="","",INDEX(TblApplications[Couloir],$A86))</f>
        <v/>
      </c>
      <c r="G86" s="50" t="str">
        <f aca="false">IF($A86="","",INDEX(TblApplications[Action],$A86))</f>
        <v/>
      </c>
      <c r="H86" s="50" t="str">
        <f aca="false">IF($A86="","",INDEX(TblApplications[Cluster IKS source],$A86))</f>
        <v/>
      </c>
      <c r="I86" s="63" t="str">
        <f aca="false">IF($A86="","",INDEX(TblApplications[Mois lib (calc)],$A86))</f>
        <v/>
      </c>
      <c r="J86" s="50" t="str">
        <f aca="false">IF($A86="","",INDEX(TblApplications[CPU IKS libérable (vCPU)],$A86))</f>
        <v/>
      </c>
    </row>
    <row r="87" customFormat="false" ht="15" hidden="false" customHeight="false" outlineLevel="0" collapsed="false">
      <c r="A87" s="49" t="str">
        <f aca="false">IFERROR(MATCH(22,TblApplications[Rang extinction],0),"")</f>
        <v/>
      </c>
      <c r="B87" s="50" t="str">
        <f aca="false">IF($A87="","",INDEX(TblApplications[ID],$A87))</f>
        <v/>
      </c>
      <c r="C87" s="50" t="str">
        <f aca="false">IF($A87="","",INDEX(TblApplications[Application],$A87))</f>
        <v/>
      </c>
      <c r="D87" s="50" t="str">
        <f aca="false">IF($A87="","",INDEX(TblApplications[Tribe],$A87))</f>
        <v/>
      </c>
      <c r="E87" s="50" t="str">
        <f aca="false">IF($A87="","",INDEX(TblApplications[Environnement],$A87))</f>
        <v/>
      </c>
      <c r="F87" s="50" t="str">
        <f aca="false">IF($A87="","",INDEX(TblApplications[Couloir],$A87))</f>
        <v/>
      </c>
      <c r="G87" s="50" t="str">
        <f aca="false">IF($A87="","",INDEX(TblApplications[Action],$A87))</f>
        <v/>
      </c>
      <c r="H87" s="50" t="str">
        <f aca="false">IF($A87="","",INDEX(TblApplications[Cluster IKS source],$A87))</f>
        <v/>
      </c>
      <c r="I87" s="63" t="str">
        <f aca="false">IF($A87="","",INDEX(TblApplications[Mois lib (calc)],$A87))</f>
        <v/>
      </c>
      <c r="J87" s="50" t="str">
        <f aca="false">IF($A87="","",INDEX(TblApplications[CPU IKS libérable (vCPU)],$A87))</f>
        <v/>
      </c>
    </row>
    <row r="88" customFormat="false" ht="15" hidden="false" customHeight="false" outlineLevel="0" collapsed="false">
      <c r="A88" s="49" t="str">
        <f aca="false">IFERROR(MATCH(23,TblApplications[Rang extinction],0),"")</f>
        <v/>
      </c>
      <c r="B88" s="50" t="str">
        <f aca="false">IF($A88="","",INDEX(TblApplications[ID],$A88))</f>
        <v/>
      </c>
      <c r="C88" s="50" t="str">
        <f aca="false">IF($A88="","",INDEX(TblApplications[Application],$A88))</f>
        <v/>
      </c>
      <c r="D88" s="50" t="str">
        <f aca="false">IF($A88="","",INDEX(TblApplications[Tribe],$A88))</f>
        <v/>
      </c>
      <c r="E88" s="50" t="str">
        <f aca="false">IF($A88="","",INDEX(TblApplications[Environnement],$A88))</f>
        <v/>
      </c>
      <c r="F88" s="50" t="str">
        <f aca="false">IF($A88="","",INDEX(TblApplications[Couloir],$A88))</f>
        <v/>
      </c>
      <c r="G88" s="50" t="str">
        <f aca="false">IF($A88="","",INDEX(TblApplications[Action],$A88))</f>
        <v/>
      </c>
      <c r="H88" s="50" t="str">
        <f aca="false">IF($A88="","",INDEX(TblApplications[Cluster IKS source],$A88))</f>
        <v/>
      </c>
      <c r="I88" s="63" t="str">
        <f aca="false">IF($A88="","",INDEX(TblApplications[Mois lib (calc)],$A88))</f>
        <v/>
      </c>
      <c r="J88" s="50" t="str">
        <f aca="false">IF($A88="","",INDEX(TblApplications[CPU IKS libérable (vCPU)],$A88))</f>
        <v/>
      </c>
    </row>
    <row r="89" customFormat="false" ht="15" hidden="false" customHeight="false" outlineLevel="0" collapsed="false">
      <c r="A89" s="49" t="str">
        <f aca="false">IFERROR(MATCH(24,TblApplications[Rang extinction],0),"")</f>
        <v/>
      </c>
      <c r="B89" s="50" t="str">
        <f aca="false">IF($A89="","",INDEX(TblApplications[ID],$A89))</f>
        <v/>
      </c>
      <c r="C89" s="50" t="str">
        <f aca="false">IF($A89="","",INDEX(TblApplications[Application],$A89))</f>
        <v/>
      </c>
      <c r="D89" s="50" t="str">
        <f aca="false">IF($A89="","",INDEX(TblApplications[Tribe],$A89))</f>
        <v/>
      </c>
      <c r="E89" s="50" t="str">
        <f aca="false">IF($A89="","",INDEX(TblApplications[Environnement],$A89))</f>
        <v/>
      </c>
      <c r="F89" s="50" t="str">
        <f aca="false">IF($A89="","",INDEX(TblApplications[Couloir],$A89))</f>
        <v/>
      </c>
      <c r="G89" s="50" t="str">
        <f aca="false">IF($A89="","",INDEX(TblApplications[Action],$A89))</f>
        <v/>
      </c>
      <c r="H89" s="50" t="str">
        <f aca="false">IF($A89="","",INDEX(TblApplications[Cluster IKS source],$A89))</f>
        <v/>
      </c>
      <c r="I89" s="63" t="str">
        <f aca="false">IF($A89="","",INDEX(TblApplications[Mois lib (calc)],$A89))</f>
        <v/>
      </c>
      <c r="J89" s="50" t="str">
        <f aca="false">IF($A89="","",INDEX(TblApplications[CPU IKS libérable (vCPU)],$A89))</f>
        <v/>
      </c>
    </row>
    <row r="90" customFormat="false" ht="15" hidden="false" customHeight="false" outlineLevel="0" collapsed="false">
      <c r="A90" s="49" t="str">
        <f aca="false">IFERROR(MATCH(25,TblApplications[Rang extinction],0),"")</f>
        <v/>
      </c>
      <c r="B90" s="50" t="str">
        <f aca="false">IF($A90="","",INDEX(TblApplications[ID],$A90))</f>
        <v/>
      </c>
      <c r="C90" s="50" t="str">
        <f aca="false">IF($A90="","",INDEX(TblApplications[Application],$A90))</f>
        <v/>
      </c>
      <c r="D90" s="50" t="str">
        <f aca="false">IF($A90="","",INDEX(TblApplications[Tribe],$A90))</f>
        <v/>
      </c>
      <c r="E90" s="50" t="str">
        <f aca="false">IF($A90="","",INDEX(TblApplications[Environnement],$A90))</f>
        <v/>
      </c>
      <c r="F90" s="50" t="str">
        <f aca="false">IF($A90="","",INDEX(TblApplications[Couloir],$A90))</f>
        <v/>
      </c>
      <c r="G90" s="50" t="str">
        <f aca="false">IF($A90="","",INDEX(TblApplications[Action],$A90))</f>
        <v/>
      </c>
      <c r="H90" s="50" t="str">
        <f aca="false">IF($A90="","",INDEX(TblApplications[Cluster IKS source],$A90))</f>
        <v/>
      </c>
      <c r="I90" s="63" t="str">
        <f aca="false">IF($A90="","",INDEX(TblApplications[Mois lib (calc)],$A90))</f>
        <v/>
      </c>
      <c r="J90" s="50" t="str">
        <f aca="false">IF($A90="","",INDEX(TblApplications[CPU IKS libérable (vCPU)],$A90))</f>
        <v/>
      </c>
    </row>
    <row r="91" customFormat="false" ht="15" hidden="false" customHeight="false" outlineLevel="0" collapsed="false">
      <c r="A91" s="49" t="str">
        <f aca="false">IFERROR(MATCH(26,TblApplications[Rang extinction],0),"")</f>
        <v/>
      </c>
      <c r="B91" s="50" t="str">
        <f aca="false">IF($A91="","",INDEX(TblApplications[ID],$A91))</f>
        <v/>
      </c>
      <c r="C91" s="50" t="str">
        <f aca="false">IF($A91="","",INDEX(TblApplications[Application],$A91))</f>
        <v/>
      </c>
      <c r="D91" s="50" t="str">
        <f aca="false">IF($A91="","",INDEX(TblApplications[Tribe],$A91))</f>
        <v/>
      </c>
      <c r="E91" s="50" t="str">
        <f aca="false">IF($A91="","",INDEX(TblApplications[Environnement],$A91))</f>
        <v/>
      </c>
      <c r="F91" s="50" t="str">
        <f aca="false">IF($A91="","",INDEX(TblApplications[Couloir],$A91))</f>
        <v/>
      </c>
      <c r="G91" s="50" t="str">
        <f aca="false">IF($A91="","",INDEX(TblApplications[Action],$A91))</f>
        <v/>
      </c>
      <c r="H91" s="50" t="str">
        <f aca="false">IF($A91="","",INDEX(TblApplications[Cluster IKS source],$A91))</f>
        <v/>
      </c>
      <c r="I91" s="63" t="str">
        <f aca="false">IF($A91="","",INDEX(TblApplications[Mois lib (calc)],$A91))</f>
        <v/>
      </c>
      <c r="J91" s="50" t="str">
        <f aca="false">IF($A91="","",INDEX(TblApplications[CPU IKS libérable (vCPU)],$A91))</f>
        <v/>
      </c>
    </row>
    <row r="92" customFormat="false" ht="15" hidden="false" customHeight="false" outlineLevel="0" collapsed="false">
      <c r="A92" s="49" t="str">
        <f aca="false">IFERROR(MATCH(27,TblApplications[Rang extinction],0),"")</f>
        <v/>
      </c>
      <c r="B92" s="50" t="str">
        <f aca="false">IF($A92="","",INDEX(TblApplications[ID],$A92))</f>
        <v/>
      </c>
      <c r="C92" s="50" t="str">
        <f aca="false">IF($A92="","",INDEX(TblApplications[Application],$A92))</f>
        <v/>
      </c>
      <c r="D92" s="50" t="str">
        <f aca="false">IF($A92="","",INDEX(TblApplications[Tribe],$A92))</f>
        <v/>
      </c>
      <c r="E92" s="50" t="str">
        <f aca="false">IF($A92="","",INDEX(TblApplications[Environnement],$A92))</f>
        <v/>
      </c>
      <c r="F92" s="50" t="str">
        <f aca="false">IF($A92="","",INDEX(TblApplications[Couloir],$A92))</f>
        <v/>
      </c>
      <c r="G92" s="50" t="str">
        <f aca="false">IF($A92="","",INDEX(TblApplications[Action],$A92))</f>
        <v/>
      </c>
      <c r="H92" s="50" t="str">
        <f aca="false">IF($A92="","",INDEX(TblApplications[Cluster IKS source],$A92))</f>
        <v/>
      </c>
      <c r="I92" s="63" t="str">
        <f aca="false">IF($A92="","",INDEX(TblApplications[Mois lib (calc)],$A92))</f>
        <v/>
      </c>
      <c r="J92" s="50" t="str">
        <f aca="false">IF($A92="","",INDEX(TblApplications[CPU IKS libérable (vCPU)],$A92))</f>
        <v/>
      </c>
    </row>
    <row r="93" customFormat="false" ht="15" hidden="false" customHeight="false" outlineLevel="0" collapsed="false">
      <c r="A93" s="49" t="str">
        <f aca="false">IFERROR(MATCH(28,TblApplications[Rang extinction],0),"")</f>
        <v/>
      </c>
      <c r="B93" s="50" t="str">
        <f aca="false">IF($A93="","",INDEX(TblApplications[ID],$A93))</f>
        <v/>
      </c>
      <c r="C93" s="50" t="str">
        <f aca="false">IF($A93="","",INDEX(TblApplications[Application],$A93))</f>
        <v/>
      </c>
      <c r="D93" s="50" t="str">
        <f aca="false">IF($A93="","",INDEX(TblApplications[Tribe],$A93))</f>
        <v/>
      </c>
      <c r="E93" s="50" t="str">
        <f aca="false">IF($A93="","",INDEX(TblApplications[Environnement],$A93))</f>
        <v/>
      </c>
      <c r="F93" s="50" t="str">
        <f aca="false">IF($A93="","",INDEX(TblApplications[Couloir],$A93))</f>
        <v/>
      </c>
      <c r="G93" s="50" t="str">
        <f aca="false">IF($A93="","",INDEX(TblApplications[Action],$A93))</f>
        <v/>
      </c>
      <c r="H93" s="50" t="str">
        <f aca="false">IF($A93="","",INDEX(TblApplications[Cluster IKS source],$A93))</f>
        <v/>
      </c>
      <c r="I93" s="63" t="str">
        <f aca="false">IF($A93="","",INDEX(TblApplications[Mois lib (calc)],$A93))</f>
        <v/>
      </c>
      <c r="J93" s="50" t="str">
        <f aca="false">IF($A93="","",INDEX(TblApplications[CPU IKS libérable (vCPU)],$A93))</f>
        <v/>
      </c>
    </row>
    <row r="94" customFormat="false" ht="15" hidden="false" customHeight="false" outlineLevel="0" collapsed="false">
      <c r="A94" s="49" t="str">
        <f aca="false">IFERROR(MATCH(29,TblApplications[Rang extinction],0),"")</f>
        <v/>
      </c>
      <c r="B94" s="50" t="str">
        <f aca="false">IF($A94="","",INDEX(TblApplications[ID],$A94))</f>
        <v/>
      </c>
      <c r="C94" s="50" t="str">
        <f aca="false">IF($A94="","",INDEX(TblApplications[Application],$A94))</f>
        <v/>
      </c>
      <c r="D94" s="50" t="str">
        <f aca="false">IF($A94="","",INDEX(TblApplications[Tribe],$A94))</f>
        <v/>
      </c>
      <c r="E94" s="50" t="str">
        <f aca="false">IF($A94="","",INDEX(TblApplications[Environnement],$A94))</f>
        <v/>
      </c>
      <c r="F94" s="50" t="str">
        <f aca="false">IF($A94="","",INDEX(TblApplications[Couloir],$A94))</f>
        <v/>
      </c>
      <c r="G94" s="50" t="str">
        <f aca="false">IF($A94="","",INDEX(TblApplications[Action],$A94))</f>
        <v/>
      </c>
      <c r="H94" s="50" t="str">
        <f aca="false">IF($A94="","",INDEX(TblApplications[Cluster IKS source],$A94))</f>
        <v/>
      </c>
      <c r="I94" s="63" t="str">
        <f aca="false">IF($A94="","",INDEX(TblApplications[Mois lib (calc)],$A94))</f>
        <v/>
      </c>
      <c r="J94" s="50" t="str">
        <f aca="false">IF($A94="","",INDEX(TblApplications[CPU IKS libérable (vCPU)],$A94))</f>
        <v/>
      </c>
    </row>
    <row r="95" customFormat="false" ht="15" hidden="false" customHeight="false" outlineLevel="0" collapsed="false">
      <c r="A95" s="49" t="str">
        <f aca="false">IFERROR(MATCH(30,TblApplications[Rang extinction],0),"")</f>
        <v/>
      </c>
      <c r="B95" s="50" t="str">
        <f aca="false">IF($A95="","",INDEX(TblApplications[ID],$A95))</f>
        <v/>
      </c>
      <c r="C95" s="50" t="str">
        <f aca="false">IF($A95="","",INDEX(TblApplications[Application],$A95))</f>
        <v/>
      </c>
      <c r="D95" s="50" t="str">
        <f aca="false">IF($A95="","",INDEX(TblApplications[Tribe],$A95))</f>
        <v/>
      </c>
      <c r="E95" s="50" t="str">
        <f aca="false">IF($A95="","",INDEX(TblApplications[Environnement],$A95))</f>
        <v/>
      </c>
      <c r="F95" s="50" t="str">
        <f aca="false">IF($A95="","",INDEX(TblApplications[Couloir],$A95))</f>
        <v/>
      </c>
      <c r="G95" s="50" t="str">
        <f aca="false">IF($A95="","",INDEX(TblApplications[Action],$A95))</f>
        <v/>
      </c>
      <c r="H95" s="50" t="str">
        <f aca="false">IF($A95="","",INDEX(TblApplications[Cluster IKS source],$A95))</f>
        <v/>
      </c>
      <c r="I95" s="63" t="str">
        <f aca="false">IF($A95="","",INDEX(TblApplications[Mois lib (calc)],$A95))</f>
        <v/>
      </c>
      <c r="J95" s="50" t="str">
        <f aca="false">IF($A95="","",INDEX(TblApplications[CPU IKS libérable (vCPU)],$A95))</f>
        <v/>
      </c>
    </row>
    <row r="96" customFormat="false" ht="15" hidden="false" customHeight="false" outlineLevel="0" collapsed="false">
      <c r="A96" s="49" t="str">
        <f aca="false">IFERROR(MATCH(31,TblApplications[Rang extinction],0),"")</f>
        <v/>
      </c>
      <c r="B96" s="50" t="str">
        <f aca="false">IF($A96="","",INDEX(TblApplications[ID],$A96))</f>
        <v/>
      </c>
      <c r="C96" s="50" t="str">
        <f aca="false">IF($A96="","",INDEX(TblApplications[Application],$A96))</f>
        <v/>
      </c>
      <c r="D96" s="50" t="str">
        <f aca="false">IF($A96="","",INDEX(TblApplications[Tribe],$A96))</f>
        <v/>
      </c>
      <c r="E96" s="50" t="str">
        <f aca="false">IF($A96="","",INDEX(TblApplications[Environnement],$A96))</f>
        <v/>
      </c>
      <c r="F96" s="50" t="str">
        <f aca="false">IF($A96="","",INDEX(TblApplications[Couloir],$A96))</f>
        <v/>
      </c>
      <c r="G96" s="50" t="str">
        <f aca="false">IF($A96="","",INDEX(TblApplications[Action],$A96))</f>
        <v/>
      </c>
      <c r="H96" s="50" t="str">
        <f aca="false">IF($A96="","",INDEX(TblApplications[Cluster IKS source],$A96))</f>
        <v/>
      </c>
      <c r="I96" s="63" t="str">
        <f aca="false">IF($A96="","",INDEX(TblApplications[Mois lib (calc)],$A96))</f>
        <v/>
      </c>
      <c r="J96" s="50" t="str">
        <f aca="false">IF($A96="","",INDEX(TblApplications[CPU IKS libérable (vCPU)],$A96))</f>
        <v/>
      </c>
    </row>
    <row r="97" customFormat="false" ht="15" hidden="false" customHeight="false" outlineLevel="0" collapsed="false">
      <c r="A97" s="49" t="str">
        <f aca="false">IFERROR(MATCH(32,TblApplications[Rang extinction],0),"")</f>
        <v/>
      </c>
      <c r="B97" s="50" t="str">
        <f aca="false">IF($A97="","",INDEX(TblApplications[ID],$A97))</f>
        <v/>
      </c>
      <c r="C97" s="50" t="str">
        <f aca="false">IF($A97="","",INDEX(TblApplications[Application],$A97))</f>
        <v/>
      </c>
      <c r="D97" s="50" t="str">
        <f aca="false">IF($A97="","",INDEX(TblApplications[Tribe],$A97))</f>
        <v/>
      </c>
      <c r="E97" s="50" t="str">
        <f aca="false">IF($A97="","",INDEX(TblApplications[Environnement],$A97))</f>
        <v/>
      </c>
      <c r="F97" s="50" t="str">
        <f aca="false">IF($A97="","",INDEX(TblApplications[Couloir],$A97))</f>
        <v/>
      </c>
      <c r="G97" s="50" t="str">
        <f aca="false">IF($A97="","",INDEX(TblApplications[Action],$A97))</f>
        <v/>
      </c>
      <c r="H97" s="50" t="str">
        <f aca="false">IF($A97="","",INDEX(TblApplications[Cluster IKS source],$A97))</f>
        <v/>
      </c>
      <c r="I97" s="63" t="str">
        <f aca="false">IF($A97="","",INDEX(TblApplications[Mois lib (calc)],$A97))</f>
        <v/>
      </c>
      <c r="J97" s="50" t="str">
        <f aca="false">IF($A97="","",INDEX(TblApplications[CPU IKS libérable (vCPU)],$A97))</f>
        <v/>
      </c>
    </row>
    <row r="98" customFormat="false" ht="15" hidden="false" customHeight="false" outlineLevel="0" collapsed="false">
      <c r="A98" s="49" t="str">
        <f aca="false">IFERROR(MATCH(33,TblApplications[Rang extinction],0),"")</f>
        <v/>
      </c>
      <c r="B98" s="50" t="str">
        <f aca="false">IF($A98="","",INDEX(TblApplications[ID],$A98))</f>
        <v/>
      </c>
      <c r="C98" s="50" t="str">
        <f aca="false">IF($A98="","",INDEX(TblApplications[Application],$A98))</f>
        <v/>
      </c>
      <c r="D98" s="50" t="str">
        <f aca="false">IF($A98="","",INDEX(TblApplications[Tribe],$A98))</f>
        <v/>
      </c>
      <c r="E98" s="50" t="str">
        <f aca="false">IF($A98="","",INDEX(TblApplications[Environnement],$A98))</f>
        <v/>
      </c>
      <c r="F98" s="50" t="str">
        <f aca="false">IF($A98="","",INDEX(TblApplications[Couloir],$A98))</f>
        <v/>
      </c>
      <c r="G98" s="50" t="str">
        <f aca="false">IF($A98="","",INDEX(TblApplications[Action],$A98))</f>
        <v/>
      </c>
      <c r="H98" s="50" t="str">
        <f aca="false">IF($A98="","",INDEX(TblApplications[Cluster IKS source],$A98))</f>
        <v/>
      </c>
      <c r="I98" s="63" t="str">
        <f aca="false">IF($A98="","",INDEX(TblApplications[Mois lib (calc)],$A98))</f>
        <v/>
      </c>
      <c r="J98" s="50" t="str">
        <f aca="false">IF($A98="","",INDEX(TblApplications[CPU IKS libérable (vCPU)],$A98))</f>
        <v/>
      </c>
    </row>
    <row r="99" customFormat="false" ht="15" hidden="false" customHeight="false" outlineLevel="0" collapsed="false">
      <c r="A99" s="49" t="str">
        <f aca="false">IFERROR(MATCH(34,TblApplications[Rang extinction],0),"")</f>
        <v/>
      </c>
      <c r="B99" s="50" t="str">
        <f aca="false">IF($A99="","",INDEX(TblApplications[ID],$A99))</f>
        <v/>
      </c>
      <c r="C99" s="50" t="str">
        <f aca="false">IF($A99="","",INDEX(TblApplications[Application],$A99))</f>
        <v/>
      </c>
      <c r="D99" s="50" t="str">
        <f aca="false">IF($A99="","",INDEX(TblApplications[Tribe],$A99))</f>
        <v/>
      </c>
      <c r="E99" s="50" t="str">
        <f aca="false">IF($A99="","",INDEX(TblApplications[Environnement],$A99))</f>
        <v/>
      </c>
      <c r="F99" s="50" t="str">
        <f aca="false">IF($A99="","",INDEX(TblApplications[Couloir],$A99))</f>
        <v/>
      </c>
      <c r="G99" s="50" t="str">
        <f aca="false">IF($A99="","",INDEX(TblApplications[Action],$A99))</f>
        <v/>
      </c>
      <c r="H99" s="50" t="str">
        <f aca="false">IF($A99="","",INDEX(TblApplications[Cluster IKS source],$A99))</f>
        <v/>
      </c>
      <c r="I99" s="63" t="str">
        <f aca="false">IF($A99="","",INDEX(TblApplications[Mois lib (calc)],$A99))</f>
        <v/>
      </c>
      <c r="J99" s="50" t="str">
        <f aca="false">IF($A99="","",INDEX(TblApplications[CPU IKS libérable (vCPU)],$A99))</f>
        <v/>
      </c>
    </row>
    <row r="100" customFormat="false" ht="15" hidden="false" customHeight="false" outlineLevel="0" collapsed="false">
      <c r="A100" s="49" t="str">
        <f aca="false">IFERROR(MATCH(35,TblApplications[Rang extinction],0),"")</f>
        <v/>
      </c>
      <c r="B100" s="50" t="str">
        <f aca="false">IF($A100="","",INDEX(TblApplications[ID],$A100))</f>
        <v/>
      </c>
      <c r="C100" s="50" t="str">
        <f aca="false">IF($A100="","",INDEX(TblApplications[Application],$A100))</f>
        <v/>
      </c>
      <c r="D100" s="50" t="str">
        <f aca="false">IF($A100="","",INDEX(TblApplications[Tribe],$A100))</f>
        <v/>
      </c>
      <c r="E100" s="50" t="str">
        <f aca="false">IF($A100="","",INDEX(TblApplications[Environnement],$A100))</f>
        <v/>
      </c>
      <c r="F100" s="50" t="str">
        <f aca="false">IF($A100="","",INDEX(TblApplications[Couloir],$A100))</f>
        <v/>
      </c>
      <c r="G100" s="50" t="str">
        <f aca="false">IF($A100="","",INDEX(TblApplications[Action],$A100))</f>
        <v/>
      </c>
      <c r="H100" s="50" t="str">
        <f aca="false">IF($A100="","",INDEX(TblApplications[Cluster IKS source],$A100))</f>
        <v/>
      </c>
      <c r="I100" s="63" t="str">
        <f aca="false">IF($A100="","",INDEX(TblApplications[Mois lib (calc)],$A100))</f>
        <v/>
      </c>
      <c r="J100" s="50" t="str">
        <f aca="false">IF($A100="","",INDEX(TblApplications[CPU IKS libérable (vCPU)],$A100))</f>
        <v/>
      </c>
    </row>
    <row r="101" customFormat="false" ht="15" hidden="false" customHeight="false" outlineLevel="0" collapsed="false">
      <c r="A101" s="49" t="str">
        <f aca="false">IFERROR(MATCH(36,TblApplications[Rang extinction],0),"")</f>
        <v/>
      </c>
      <c r="B101" s="50" t="str">
        <f aca="false">IF($A101="","",INDEX(TblApplications[ID],$A101))</f>
        <v/>
      </c>
      <c r="C101" s="50" t="str">
        <f aca="false">IF($A101="","",INDEX(TblApplications[Application],$A101))</f>
        <v/>
      </c>
      <c r="D101" s="50" t="str">
        <f aca="false">IF($A101="","",INDEX(TblApplications[Tribe],$A101))</f>
        <v/>
      </c>
      <c r="E101" s="50" t="str">
        <f aca="false">IF($A101="","",INDEX(TblApplications[Environnement],$A101))</f>
        <v/>
      </c>
      <c r="F101" s="50" t="str">
        <f aca="false">IF($A101="","",INDEX(TblApplications[Couloir],$A101))</f>
        <v/>
      </c>
      <c r="G101" s="50" t="str">
        <f aca="false">IF($A101="","",INDEX(TblApplications[Action],$A101))</f>
        <v/>
      </c>
      <c r="H101" s="50" t="str">
        <f aca="false">IF($A101="","",INDEX(TblApplications[Cluster IKS source],$A101))</f>
        <v/>
      </c>
      <c r="I101" s="63" t="str">
        <f aca="false">IF($A101="","",INDEX(TblApplications[Mois lib (calc)],$A101))</f>
        <v/>
      </c>
      <c r="J101" s="50" t="str">
        <f aca="false">IF($A101="","",INDEX(TblApplications[CPU IKS libérable (vCPU)],$A101))</f>
        <v/>
      </c>
    </row>
    <row r="102" customFormat="false" ht="15" hidden="false" customHeight="false" outlineLevel="0" collapsed="false">
      <c r="A102" s="49" t="str">
        <f aca="false">IFERROR(MATCH(37,TblApplications[Rang extinction],0),"")</f>
        <v/>
      </c>
      <c r="B102" s="50" t="str">
        <f aca="false">IF($A102="","",INDEX(TblApplications[ID],$A102))</f>
        <v/>
      </c>
      <c r="C102" s="50" t="str">
        <f aca="false">IF($A102="","",INDEX(TblApplications[Application],$A102))</f>
        <v/>
      </c>
      <c r="D102" s="50" t="str">
        <f aca="false">IF($A102="","",INDEX(TblApplications[Tribe],$A102))</f>
        <v/>
      </c>
      <c r="E102" s="50" t="str">
        <f aca="false">IF($A102="","",INDEX(TblApplications[Environnement],$A102))</f>
        <v/>
      </c>
      <c r="F102" s="50" t="str">
        <f aca="false">IF($A102="","",INDEX(TblApplications[Couloir],$A102))</f>
        <v/>
      </c>
      <c r="G102" s="50" t="str">
        <f aca="false">IF($A102="","",INDEX(TblApplications[Action],$A102))</f>
        <v/>
      </c>
      <c r="H102" s="50" t="str">
        <f aca="false">IF($A102="","",INDEX(TblApplications[Cluster IKS source],$A102))</f>
        <v/>
      </c>
      <c r="I102" s="63" t="str">
        <f aca="false">IF($A102="","",INDEX(TblApplications[Mois lib (calc)],$A102))</f>
        <v/>
      </c>
      <c r="J102" s="50" t="str">
        <f aca="false">IF($A102="","",INDEX(TblApplications[CPU IKS libérable (vCPU)],$A102))</f>
        <v/>
      </c>
    </row>
    <row r="103" customFormat="false" ht="15" hidden="false" customHeight="false" outlineLevel="0" collapsed="false">
      <c r="A103" s="49" t="str">
        <f aca="false">IFERROR(MATCH(38,TblApplications[Rang extinction],0),"")</f>
        <v/>
      </c>
      <c r="B103" s="50" t="str">
        <f aca="false">IF($A103="","",INDEX(TblApplications[ID],$A103))</f>
        <v/>
      </c>
      <c r="C103" s="50" t="str">
        <f aca="false">IF($A103="","",INDEX(TblApplications[Application],$A103))</f>
        <v/>
      </c>
      <c r="D103" s="50" t="str">
        <f aca="false">IF($A103="","",INDEX(TblApplications[Tribe],$A103))</f>
        <v/>
      </c>
      <c r="E103" s="50" t="str">
        <f aca="false">IF($A103="","",INDEX(TblApplications[Environnement],$A103))</f>
        <v/>
      </c>
      <c r="F103" s="50" t="str">
        <f aca="false">IF($A103="","",INDEX(TblApplications[Couloir],$A103))</f>
        <v/>
      </c>
      <c r="G103" s="50" t="str">
        <f aca="false">IF($A103="","",INDEX(TblApplications[Action],$A103))</f>
        <v/>
      </c>
      <c r="H103" s="50" t="str">
        <f aca="false">IF($A103="","",INDEX(TblApplications[Cluster IKS source],$A103))</f>
        <v/>
      </c>
      <c r="I103" s="63" t="str">
        <f aca="false">IF($A103="","",INDEX(TblApplications[Mois lib (calc)],$A103))</f>
        <v/>
      </c>
      <c r="J103" s="50" t="str">
        <f aca="false">IF($A103="","",INDEX(TblApplications[CPU IKS libérable (vCPU)],$A103))</f>
        <v/>
      </c>
    </row>
    <row r="104" customFormat="false" ht="15" hidden="false" customHeight="false" outlineLevel="0" collapsed="false">
      <c r="A104" s="49" t="str">
        <f aca="false">IFERROR(MATCH(39,TblApplications[Rang extinction],0),"")</f>
        <v/>
      </c>
      <c r="B104" s="50" t="str">
        <f aca="false">IF($A104="","",INDEX(TblApplications[ID],$A104))</f>
        <v/>
      </c>
      <c r="C104" s="50" t="str">
        <f aca="false">IF($A104="","",INDEX(TblApplications[Application],$A104))</f>
        <v/>
      </c>
      <c r="D104" s="50" t="str">
        <f aca="false">IF($A104="","",INDEX(TblApplications[Tribe],$A104))</f>
        <v/>
      </c>
      <c r="E104" s="50" t="str">
        <f aca="false">IF($A104="","",INDEX(TblApplications[Environnement],$A104))</f>
        <v/>
      </c>
      <c r="F104" s="50" t="str">
        <f aca="false">IF($A104="","",INDEX(TblApplications[Couloir],$A104))</f>
        <v/>
      </c>
      <c r="G104" s="50" t="str">
        <f aca="false">IF($A104="","",INDEX(TblApplications[Action],$A104))</f>
        <v/>
      </c>
      <c r="H104" s="50" t="str">
        <f aca="false">IF($A104="","",INDEX(TblApplications[Cluster IKS source],$A104))</f>
        <v/>
      </c>
      <c r="I104" s="63" t="str">
        <f aca="false">IF($A104="","",INDEX(TblApplications[Mois lib (calc)],$A104))</f>
        <v/>
      </c>
      <c r="J104" s="50" t="str">
        <f aca="false">IF($A104="","",INDEX(TblApplications[CPU IKS libérable (vCPU)],$A104))</f>
        <v/>
      </c>
    </row>
    <row r="105" customFormat="false" ht="15" hidden="false" customHeight="false" outlineLevel="0" collapsed="false">
      <c r="A105" s="49" t="str">
        <f aca="false">IFERROR(MATCH(40,TblApplications[Rang extinction],0),"")</f>
        <v/>
      </c>
      <c r="B105" s="50" t="str">
        <f aca="false">IF($A105="","",INDEX(TblApplications[ID],$A105))</f>
        <v/>
      </c>
      <c r="C105" s="50" t="str">
        <f aca="false">IF($A105="","",INDEX(TblApplications[Application],$A105))</f>
        <v/>
      </c>
      <c r="D105" s="50" t="str">
        <f aca="false">IF($A105="","",INDEX(TblApplications[Tribe],$A105))</f>
        <v/>
      </c>
      <c r="E105" s="50" t="str">
        <f aca="false">IF($A105="","",INDEX(TblApplications[Environnement],$A105))</f>
        <v/>
      </c>
      <c r="F105" s="50" t="str">
        <f aca="false">IF($A105="","",INDEX(TblApplications[Couloir],$A105))</f>
        <v/>
      </c>
      <c r="G105" s="50" t="str">
        <f aca="false">IF($A105="","",INDEX(TblApplications[Action],$A105))</f>
        <v/>
      </c>
      <c r="H105" s="50" t="str">
        <f aca="false">IF($A105="","",INDEX(TblApplications[Cluster IKS source],$A105))</f>
        <v/>
      </c>
      <c r="I105" s="63" t="str">
        <f aca="false">IF($A105="","",INDEX(TblApplications[Mois lib (calc)],$A105))</f>
        <v/>
      </c>
      <c r="J105" s="50" t="str">
        <f aca="false">IF($A105="","",INDEX(TblApplications[CPU IKS libérable (vCPU)],$A105))</f>
        <v/>
      </c>
    </row>
    <row r="106" customFormat="false" ht="15" hidden="false" customHeight="false" outlineLevel="0" collapsed="false">
      <c r="A106" s="49" t="str">
        <f aca="false">IFERROR(MATCH(41,TblApplications[Rang extinction],0),"")</f>
        <v/>
      </c>
      <c r="B106" s="50" t="str">
        <f aca="false">IF($A106="","",INDEX(TblApplications[ID],$A106))</f>
        <v/>
      </c>
      <c r="C106" s="50" t="str">
        <f aca="false">IF($A106="","",INDEX(TblApplications[Application],$A106))</f>
        <v/>
      </c>
      <c r="D106" s="50" t="str">
        <f aca="false">IF($A106="","",INDEX(TblApplications[Tribe],$A106))</f>
        <v/>
      </c>
      <c r="E106" s="50" t="str">
        <f aca="false">IF($A106="","",INDEX(TblApplications[Environnement],$A106))</f>
        <v/>
      </c>
      <c r="F106" s="50" t="str">
        <f aca="false">IF($A106="","",INDEX(TblApplications[Couloir],$A106))</f>
        <v/>
      </c>
      <c r="G106" s="50" t="str">
        <f aca="false">IF($A106="","",INDEX(TblApplications[Action],$A106))</f>
        <v/>
      </c>
      <c r="H106" s="50" t="str">
        <f aca="false">IF($A106="","",INDEX(TblApplications[Cluster IKS source],$A106))</f>
        <v/>
      </c>
      <c r="I106" s="63" t="str">
        <f aca="false">IF($A106="","",INDEX(TblApplications[Mois lib (calc)],$A106))</f>
        <v/>
      </c>
      <c r="J106" s="50" t="str">
        <f aca="false">IF($A106="","",INDEX(TblApplications[CPU IKS libérable (vCPU)],$A106))</f>
        <v/>
      </c>
    </row>
    <row r="107" customFormat="false" ht="15" hidden="false" customHeight="false" outlineLevel="0" collapsed="false">
      <c r="A107" s="49" t="str">
        <f aca="false">IFERROR(MATCH(42,TblApplications[Rang extinction],0),"")</f>
        <v/>
      </c>
      <c r="B107" s="50" t="str">
        <f aca="false">IF($A107="","",INDEX(TblApplications[ID],$A107))</f>
        <v/>
      </c>
      <c r="C107" s="50" t="str">
        <f aca="false">IF($A107="","",INDEX(TblApplications[Application],$A107))</f>
        <v/>
      </c>
      <c r="D107" s="50" t="str">
        <f aca="false">IF($A107="","",INDEX(TblApplications[Tribe],$A107))</f>
        <v/>
      </c>
      <c r="E107" s="50" t="str">
        <f aca="false">IF($A107="","",INDEX(TblApplications[Environnement],$A107))</f>
        <v/>
      </c>
      <c r="F107" s="50" t="str">
        <f aca="false">IF($A107="","",INDEX(TblApplications[Couloir],$A107))</f>
        <v/>
      </c>
      <c r="G107" s="50" t="str">
        <f aca="false">IF($A107="","",INDEX(TblApplications[Action],$A107))</f>
        <v/>
      </c>
      <c r="H107" s="50" t="str">
        <f aca="false">IF($A107="","",INDEX(TblApplications[Cluster IKS source],$A107))</f>
        <v/>
      </c>
      <c r="I107" s="63" t="str">
        <f aca="false">IF($A107="","",INDEX(TblApplications[Mois lib (calc)],$A107))</f>
        <v/>
      </c>
      <c r="J107" s="50" t="str">
        <f aca="false">IF($A107="","",INDEX(TblApplications[CPU IKS libérable (vCPU)],$A107))</f>
        <v/>
      </c>
    </row>
    <row r="108" customFormat="false" ht="15" hidden="false" customHeight="false" outlineLevel="0" collapsed="false">
      <c r="A108" s="49" t="str">
        <f aca="false">IFERROR(MATCH(43,TblApplications[Rang extinction],0),"")</f>
        <v/>
      </c>
      <c r="B108" s="50" t="str">
        <f aca="false">IF($A108="","",INDEX(TblApplications[ID],$A108))</f>
        <v/>
      </c>
      <c r="C108" s="50" t="str">
        <f aca="false">IF($A108="","",INDEX(TblApplications[Application],$A108))</f>
        <v/>
      </c>
      <c r="D108" s="50" t="str">
        <f aca="false">IF($A108="","",INDEX(TblApplications[Tribe],$A108))</f>
        <v/>
      </c>
      <c r="E108" s="50" t="str">
        <f aca="false">IF($A108="","",INDEX(TblApplications[Environnement],$A108))</f>
        <v/>
      </c>
      <c r="F108" s="50" t="str">
        <f aca="false">IF($A108="","",INDEX(TblApplications[Couloir],$A108))</f>
        <v/>
      </c>
      <c r="G108" s="50" t="str">
        <f aca="false">IF($A108="","",INDEX(TblApplications[Action],$A108))</f>
        <v/>
      </c>
      <c r="H108" s="50" t="str">
        <f aca="false">IF($A108="","",INDEX(TblApplications[Cluster IKS source],$A108))</f>
        <v/>
      </c>
      <c r="I108" s="63" t="str">
        <f aca="false">IF($A108="","",INDEX(TblApplications[Mois lib (calc)],$A108))</f>
        <v/>
      </c>
      <c r="J108" s="50" t="str">
        <f aca="false">IF($A108="","",INDEX(TblApplications[CPU IKS libérable (vCPU)],$A108))</f>
        <v/>
      </c>
    </row>
    <row r="109" customFormat="false" ht="15" hidden="false" customHeight="false" outlineLevel="0" collapsed="false">
      <c r="A109" s="49" t="str">
        <f aca="false">IFERROR(MATCH(44,TblApplications[Rang extinction],0),"")</f>
        <v/>
      </c>
      <c r="B109" s="50" t="str">
        <f aca="false">IF($A109="","",INDEX(TblApplications[ID],$A109))</f>
        <v/>
      </c>
      <c r="C109" s="50" t="str">
        <f aca="false">IF($A109="","",INDEX(TblApplications[Application],$A109))</f>
        <v/>
      </c>
      <c r="D109" s="50" t="str">
        <f aca="false">IF($A109="","",INDEX(TblApplications[Tribe],$A109))</f>
        <v/>
      </c>
      <c r="E109" s="50" t="str">
        <f aca="false">IF($A109="","",INDEX(TblApplications[Environnement],$A109))</f>
        <v/>
      </c>
      <c r="F109" s="50" t="str">
        <f aca="false">IF($A109="","",INDEX(TblApplications[Couloir],$A109))</f>
        <v/>
      </c>
      <c r="G109" s="50" t="str">
        <f aca="false">IF($A109="","",INDEX(TblApplications[Action],$A109))</f>
        <v/>
      </c>
      <c r="H109" s="50" t="str">
        <f aca="false">IF($A109="","",INDEX(TblApplications[Cluster IKS source],$A109))</f>
        <v/>
      </c>
      <c r="I109" s="63" t="str">
        <f aca="false">IF($A109="","",INDEX(TblApplications[Mois lib (calc)],$A109))</f>
        <v/>
      </c>
      <c r="J109" s="50" t="str">
        <f aca="false">IF($A109="","",INDEX(TblApplications[CPU IKS libérable (vCPU)],$A109))</f>
        <v/>
      </c>
    </row>
    <row r="110" customFormat="false" ht="15" hidden="false" customHeight="false" outlineLevel="0" collapsed="false">
      <c r="A110" s="49" t="str">
        <f aca="false">IFERROR(MATCH(45,TblApplications[Rang extinction],0),"")</f>
        <v/>
      </c>
      <c r="B110" s="50" t="str">
        <f aca="false">IF($A110="","",INDEX(TblApplications[ID],$A110))</f>
        <v/>
      </c>
      <c r="C110" s="50" t="str">
        <f aca="false">IF($A110="","",INDEX(TblApplications[Application],$A110))</f>
        <v/>
      </c>
      <c r="D110" s="50" t="str">
        <f aca="false">IF($A110="","",INDEX(TblApplications[Tribe],$A110))</f>
        <v/>
      </c>
      <c r="E110" s="50" t="str">
        <f aca="false">IF($A110="","",INDEX(TblApplications[Environnement],$A110))</f>
        <v/>
      </c>
      <c r="F110" s="50" t="str">
        <f aca="false">IF($A110="","",INDEX(TblApplications[Couloir],$A110))</f>
        <v/>
      </c>
      <c r="G110" s="50" t="str">
        <f aca="false">IF($A110="","",INDEX(TblApplications[Action],$A110))</f>
        <v/>
      </c>
      <c r="H110" s="50" t="str">
        <f aca="false">IF($A110="","",INDEX(TblApplications[Cluster IKS source],$A110))</f>
        <v/>
      </c>
      <c r="I110" s="63" t="str">
        <f aca="false">IF($A110="","",INDEX(TblApplications[Mois lib (calc)],$A110))</f>
        <v/>
      </c>
      <c r="J110" s="50" t="str">
        <f aca="false">IF($A110="","",INDEX(TblApplications[CPU IKS libérable (vCPU)],$A110))</f>
        <v/>
      </c>
    </row>
    <row r="111" customFormat="false" ht="15" hidden="false" customHeight="false" outlineLevel="0" collapsed="false">
      <c r="A111" s="49" t="str">
        <f aca="false">IFERROR(MATCH(46,TblApplications[Rang extinction],0),"")</f>
        <v/>
      </c>
      <c r="B111" s="50" t="str">
        <f aca="false">IF($A111="","",INDEX(TblApplications[ID],$A111))</f>
        <v/>
      </c>
      <c r="C111" s="50" t="str">
        <f aca="false">IF($A111="","",INDEX(TblApplications[Application],$A111))</f>
        <v/>
      </c>
      <c r="D111" s="50" t="str">
        <f aca="false">IF($A111="","",INDEX(TblApplications[Tribe],$A111))</f>
        <v/>
      </c>
      <c r="E111" s="50" t="str">
        <f aca="false">IF($A111="","",INDEX(TblApplications[Environnement],$A111))</f>
        <v/>
      </c>
      <c r="F111" s="50" t="str">
        <f aca="false">IF($A111="","",INDEX(TblApplications[Couloir],$A111))</f>
        <v/>
      </c>
      <c r="G111" s="50" t="str">
        <f aca="false">IF($A111="","",INDEX(TblApplications[Action],$A111))</f>
        <v/>
      </c>
      <c r="H111" s="50" t="str">
        <f aca="false">IF($A111="","",INDEX(TblApplications[Cluster IKS source],$A111))</f>
        <v/>
      </c>
      <c r="I111" s="63" t="str">
        <f aca="false">IF($A111="","",INDEX(TblApplications[Mois lib (calc)],$A111))</f>
        <v/>
      </c>
      <c r="J111" s="50" t="str">
        <f aca="false">IF($A111="","",INDEX(TblApplications[CPU IKS libérable (vCPU)],$A111))</f>
        <v/>
      </c>
    </row>
    <row r="112" customFormat="false" ht="15" hidden="false" customHeight="false" outlineLevel="0" collapsed="false">
      <c r="A112" s="49" t="str">
        <f aca="false">IFERROR(MATCH(47,TblApplications[Rang extinction],0),"")</f>
        <v/>
      </c>
      <c r="B112" s="50" t="str">
        <f aca="false">IF($A112="","",INDEX(TblApplications[ID],$A112))</f>
        <v/>
      </c>
      <c r="C112" s="50" t="str">
        <f aca="false">IF($A112="","",INDEX(TblApplications[Application],$A112))</f>
        <v/>
      </c>
      <c r="D112" s="50" t="str">
        <f aca="false">IF($A112="","",INDEX(TblApplications[Tribe],$A112))</f>
        <v/>
      </c>
      <c r="E112" s="50" t="str">
        <f aca="false">IF($A112="","",INDEX(TblApplications[Environnement],$A112))</f>
        <v/>
      </c>
      <c r="F112" s="50" t="str">
        <f aca="false">IF($A112="","",INDEX(TblApplications[Couloir],$A112))</f>
        <v/>
      </c>
      <c r="G112" s="50" t="str">
        <f aca="false">IF($A112="","",INDEX(TblApplications[Action],$A112))</f>
        <v/>
      </c>
      <c r="H112" s="50" t="str">
        <f aca="false">IF($A112="","",INDEX(TblApplications[Cluster IKS source],$A112))</f>
        <v/>
      </c>
      <c r="I112" s="63" t="str">
        <f aca="false">IF($A112="","",INDEX(TblApplications[Mois lib (calc)],$A112))</f>
        <v/>
      </c>
      <c r="J112" s="50" t="str">
        <f aca="false">IF($A112="","",INDEX(TblApplications[CPU IKS libérable (vCPU)],$A112))</f>
        <v/>
      </c>
    </row>
    <row r="113" customFormat="false" ht="15" hidden="false" customHeight="false" outlineLevel="0" collapsed="false">
      <c r="A113" s="49" t="str">
        <f aca="false">IFERROR(MATCH(48,TblApplications[Rang extinction],0),"")</f>
        <v/>
      </c>
      <c r="B113" s="50" t="str">
        <f aca="false">IF($A113="","",INDEX(TblApplications[ID],$A113))</f>
        <v/>
      </c>
      <c r="C113" s="50" t="str">
        <f aca="false">IF($A113="","",INDEX(TblApplications[Application],$A113))</f>
        <v/>
      </c>
      <c r="D113" s="50" t="str">
        <f aca="false">IF($A113="","",INDEX(TblApplications[Tribe],$A113))</f>
        <v/>
      </c>
      <c r="E113" s="50" t="str">
        <f aca="false">IF($A113="","",INDEX(TblApplications[Environnement],$A113))</f>
        <v/>
      </c>
      <c r="F113" s="50" t="str">
        <f aca="false">IF($A113="","",INDEX(TblApplications[Couloir],$A113))</f>
        <v/>
      </c>
      <c r="G113" s="50" t="str">
        <f aca="false">IF($A113="","",INDEX(TblApplications[Action],$A113))</f>
        <v/>
      </c>
      <c r="H113" s="50" t="str">
        <f aca="false">IF($A113="","",INDEX(TblApplications[Cluster IKS source],$A113))</f>
        <v/>
      </c>
      <c r="I113" s="63" t="str">
        <f aca="false">IF($A113="","",INDEX(TblApplications[Mois lib (calc)],$A113))</f>
        <v/>
      </c>
      <c r="J113" s="50" t="str">
        <f aca="false">IF($A113="","",INDEX(TblApplications[CPU IKS libérable (vCPU)],$A113))</f>
        <v/>
      </c>
    </row>
    <row r="114" customFormat="false" ht="15" hidden="false" customHeight="false" outlineLevel="0" collapsed="false">
      <c r="A114" s="49" t="str">
        <f aca="false">IFERROR(MATCH(49,TblApplications[Rang extinction],0),"")</f>
        <v/>
      </c>
      <c r="B114" s="50" t="str">
        <f aca="false">IF($A114="","",INDEX(TblApplications[ID],$A114))</f>
        <v/>
      </c>
      <c r="C114" s="50" t="str">
        <f aca="false">IF($A114="","",INDEX(TblApplications[Application],$A114))</f>
        <v/>
      </c>
      <c r="D114" s="50" t="str">
        <f aca="false">IF($A114="","",INDEX(TblApplications[Tribe],$A114))</f>
        <v/>
      </c>
      <c r="E114" s="50" t="str">
        <f aca="false">IF($A114="","",INDEX(TblApplications[Environnement],$A114))</f>
        <v/>
      </c>
      <c r="F114" s="50" t="str">
        <f aca="false">IF($A114="","",INDEX(TblApplications[Couloir],$A114))</f>
        <v/>
      </c>
      <c r="G114" s="50" t="str">
        <f aca="false">IF($A114="","",INDEX(TblApplications[Action],$A114))</f>
        <v/>
      </c>
      <c r="H114" s="50" t="str">
        <f aca="false">IF($A114="","",INDEX(TblApplications[Cluster IKS source],$A114))</f>
        <v/>
      </c>
      <c r="I114" s="63" t="str">
        <f aca="false">IF($A114="","",INDEX(TblApplications[Mois lib (calc)],$A114))</f>
        <v/>
      </c>
      <c r="J114" s="50" t="str">
        <f aca="false">IF($A114="","",INDEX(TblApplications[CPU IKS libérable (vCPU)],$A114))</f>
        <v/>
      </c>
    </row>
    <row r="115" customFormat="false" ht="15" hidden="false" customHeight="false" outlineLevel="0" collapsed="false">
      <c r="A115" s="49" t="str">
        <f aca="false">IFERROR(MATCH(50,TblApplications[Rang extinction],0),"")</f>
        <v/>
      </c>
      <c r="B115" s="50" t="str">
        <f aca="false">IF($A115="","",INDEX(TblApplications[ID],$A115))</f>
        <v/>
      </c>
      <c r="C115" s="50" t="str">
        <f aca="false">IF($A115="","",INDEX(TblApplications[Application],$A115))</f>
        <v/>
      </c>
      <c r="D115" s="50" t="str">
        <f aca="false">IF($A115="","",INDEX(TblApplications[Tribe],$A115))</f>
        <v/>
      </c>
      <c r="E115" s="50" t="str">
        <f aca="false">IF($A115="","",INDEX(TblApplications[Environnement],$A115))</f>
        <v/>
      </c>
      <c r="F115" s="50" t="str">
        <f aca="false">IF($A115="","",INDEX(TblApplications[Couloir],$A115))</f>
        <v/>
      </c>
      <c r="G115" s="50" t="str">
        <f aca="false">IF($A115="","",INDEX(TblApplications[Action],$A115))</f>
        <v/>
      </c>
      <c r="H115" s="50" t="str">
        <f aca="false">IF($A115="","",INDEX(TblApplications[Cluster IKS source],$A115))</f>
        <v/>
      </c>
      <c r="I115" s="63" t="str">
        <f aca="false">IF($A115="","",INDEX(TblApplications[Mois lib (calc)],$A115))</f>
        <v/>
      </c>
      <c r="J115" s="50" t="str">
        <f aca="false">IF($A115="","",INDEX(TblApplications[CPU IKS libérable (vCPU)],$A115))</f>
        <v/>
      </c>
    </row>
    <row r="116" customFormat="false" ht="15" hidden="false" customHeight="false" outlineLevel="0" collapsed="false">
      <c r="A116" s="49" t="str">
        <f aca="false">IFERROR(MATCH(51,TblApplications[Rang extinction],0),"")</f>
        <v/>
      </c>
      <c r="B116" s="50" t="str">
        <f aca="false">IF($A116="","",INDEX(TblApplications[ID],$A116))</f>
        <v/>
      </c>
      <c r="C116" s="50" t="str">
        <f aca="false">IF($A116="","",INDEX(TblApplications[Application],$A116))</f>
        <v/>
      </c>
      <c r="D116" s="50" t="str">
        <f aca="false">IF($A116="","",INDEX(TblApplications[Tribe],$A116))</f>
        <v/>
      </c>
      <c r="E116" s="50" t="str">
        <f aca="false">IF($A116="","",INDEX(TblApplications[Environnement],$A116))</f>
        <v/>
      </c>
      <c r="F116" s="50" t="str">
        <f aca="false">IF($A116="","",INDEX(TblApplications[Couloir],$A116))</f>
        <v/>
      </c>
      <c r="G116" s="50" t="str">
        <f aca="false">IF($A116="","",INDEX(TblApplications[Action],$A116))</f>
        <v/>
      </c>
      <c r="H116" s="50" t="str">
        <f aca="false">IF($A116="","",INDEX(TblApplications[Cluster IKS source],$A116))</f>
        <v/>
      </c>
      <c r="I116" s="63" t="str">
        <f aca="false">IF($A116="","",INDEX(TblApplications[Mois lib (calc)],$A116))</f>
        <v/>
      </c>
      <c r="J116" s="50" t="str">
        <f aca="false">IF($A116="","",INDEX(TblApplications[CPU IKS libérable (vCPU)],$A116))</f>
        <v/>
      </c>
    </row>
    <row r="117" customFormat="false" ht="15" hidden="false" customHeight="false" outlineLevel="0" collapsed="false">
      <c r="A117" s="49" t="str">
        <f aca="false">IFERROR(MATCH(52,TblApplications[Rang extinction],0),"")</f>
        <v/>
      </c>
      <c r="B117" s="50" t="str">
        <f aca="false">IF($A117="","",INDEX(TblApplications[ID],$A117))</f>
        <v/>
      </c>
      <c r="C117" s="50" t="str">
        <f aca="false">IF($A117="","",INDEX(TblApplications[Application],$A117))</f>
        <v/>
      </c>
      <c r="D117" s="50" t="str">
        <f aca="false">IF($A117="","",INDEX(TblApplications[Tribe],$A117))</f>
        <v/>
      </c>
      <c r="E117" s="50" t="str">
        <f aca="false">IF($A117="","",INDEX(TblApplications[Environnement],$A117))</f>
        <v/>
      </c>
      <c r="F117" s="50" t="str">
        <f aca="false">IF($A117="","",INDEX(TblApplications[Couloir],$A117))</f>
        <v/>
      </c>
      <c r="G117" s="50" t="str">
        <f aca="false">IF($A117="","",INDEX(TblApplications[Action],$A117))</f>
        <v/>
      </c>
      <c r="H117" s="50" t="str">
        <f aca="false">IF($A117="","",INDEX(TblApplications[Cluster IKS source],$A117))</f>
        <v/>
      </c>
      <c r="I117" s="63" t="str">
        <f aca="false">IF($A117="","",INDEX(TblApplications[Mois lib (calc)],$A117))</f>
        <v/>
      </c>
      <c r="J117" s="50" t="str">
        <f aca="false">IF($A117="","",INDEX(TblApplications[CPU IKS libérable (vCPU)],$A117))</f>
        <v/>
      </c>
    </row>
    <row r="118" customFormat="false" ht="15" hidden="false" customHeight="false" outlineLevel="0" collapsed="false">
      <c r="A118" s="49" t="str">
        <f aca="false">IFERROR(MATCH(53,TblApplications[Rang extinction],0),"")</f>
        <v/>
      </c>
      <c r="B118" s="50" t="str">
        <f aca="false">IF($A118="","",INDEX(TblApplications[ID],$A118))</f>
        <v/>
      </c>
      <c r="C118" s="50" t="str">
        <f aca="false">IF($A118="","",INDEX(TblApplications[Application],$A118))</f>
        <v/>
      </c>
      <c r="D118" s="50" t="str">
        <f aca="false">IF($A118="","",INDEX(TblApplications[Tribe],$A118))</f>
        <v/>
      </c>
      <c r="E118" s="50" t="str">
        <f aca="false">IF($A118="","",INDEX(TblApplications[Environnement],$A118))</f>
        <v/>
      </c>
      <c r="F118" s="50" t="str">
        <f aca="false">IF($A118="","",INDEX(TblApplications[Couloir],$A118))</f>
        <v/>
      </c>
      <c r="G118" s="50" t="str">
        <f aca="false">IF($A118="","",INDEX(TblApplications[Action],$A118))</f>
        <v/>
      </c>
      <c r="H118" s="50" t="str">
        <f aca="false">IF($A118="","",INDEX(TblApplications[Cluster IKS source],$A118))</f>
        <v/>
      </c>
      <c r="I118" s="63" t="str">
        <f aca="false">IF($A118="","",INDEX(TblApplications[Mois lib (calc)],$A118))</f>
        <v/>
      </c>
      <c r="J118" s="50" t="str">
        <f aca="false">IF($A118="","",INDEX(TblApplications[CPU IKS libérable (vCPU)],$A118))</f>
        <v/>
      </c>
    </row>
    <row r="119" customFormat="false" ht="15" hidden="false" customHeight="false" outlineLevel="0" collapsed="false">
      <c r="A119" s="49" t="str">
        <f aca="false">IFERROR(MATCH(54,TblApplications[Rang extinction],0),"")</f>
        <v/>
      </c>
      <c r="B119" s="50" t="str">
        <f aca="false">IF($A119="","",INDEX(TblApplications[ID],$A119))</f>
        <v/>
      </c>
      <c r="C119" s="50" t="str">
        <f aca="false">IF($A119="","",INDEX(TblApplications[Application],$A119))</f>
        <v/>
      </c>
      <c r="D119" s="50" t="str">
        <f aca="false">IF($A119="","",INDEX(TblApplications[Tribe],$A119))</f>
        <v/>
      </c>
      <c r="E119" s="50" t="str">
        <f aca="false">IF($A119="","",INDEX(TblApplications[Environnement],$A119))</f>
        <v/>
      </c>
      <c r="F119" s="50" t="str">
        <f aca="false">IF($A119="","",INDEX(TblApplications[Couloir],$A119))</f>
        <v/>
      </c>
      <c r="G119" s="50" t="str">
        <f aca="false">IF($A119="","",INDEX(TblApplications[Action],$A119))</f>
        <v/>
      </c>
      <c r="H119" s="50" t="str">
        <f aca="false">IF($A119="","",INDEX(TblApplications[Cluster IKS source],$A119))</f>
        <v/>
      </c>
      <c r="I119" s="63" t="str">
        <f aca="false">IF($A119="","",INDEX(TblApplications[Mois lib (calc)],$A119))</f>
        <v/>
      </c>
      <c r="J119" s="50" t="str">
        <f aca="false">IF($A119="","",INDEX(TblApplications[CPU IKS libérable (vCPU)],$A119))</f>
        <v/>
      </c>
    </row>
    <row r="120" customFormat="false" ht="15" hidden="false" customHeight="false" outlineLevel="0" collapsed="false">
      <c r="A120" s="49" t="str">
        <f aca="false">IFERROR(MATCH(55,TblApplications[Rang extinction],0),"")</f>
        <v/>
      </c>
      <c r="B120" s="50" t="str">
        <f aca="false">IF($A120="","",INDEX(TblApplications[ID],$A120))</f>
        <v/>
      </c>
      <c r="C120" s="50" t="str">
        <f aca="false">IF($A120="","",INDEX(TblApplications[Application],$A120))</f>
        <v/>
      </c>
      <c r="D120" s="50" t="str">
        <f aca="false">IF($A120="","",INDEX(TblApplications[Tribe],$A120))</f>
        <v/>
      </c>
      <c r="E120" s="50" t="str">
        <f aca="false">IF($A120="","",INDEX(TblApplications[Environnement],$A120))</f>
        <v/>
      </c>
      <c r="F120" s="50" t="str">
        <f aca="false">IF($A120="","",INDEX(TblApplications[Couloir],$A120))</f>
        <v/>
      </c>
      <c r="G120" s="50" t="str">
        <f aca="false">IF($A120="","",INDEX(TblApplications[Action],$A120))</f>
        <v/>
      </c>
      <c r="H120" s="50" t="str">
        <f aca="false">IF($A120="","",INDEX(TblApplications[Cluster IKS source],$A120))</f>
        <v/>
      </c>
      <c r="I120" s="63" t="str">
        <f aca="false">IF($A120="","",INDEX(TblApplications[Mois lib (calc)],$A120))</f>
        <v/>
      </c>
      <c r="J120" s="50" t="str">
        <f aca="false">IF($A120="","",INDEX(TblApplications[CPU IKS libérable (vCPU)],$A120))</f>
        <v/>
      </c>
    </row>
    <row r="121" customFormat="false" ht="15" hidden="false" customHeight="false" outlineLevel="0" collapsed="false">
      <c r="A121" s="49" t="str">
        <f aca="false">IFERROR(MATCH(56,TblApplications[Rang extinction],0),"")</f>
        <v/>
      </c>
      <c r="B121" s="50" t="str">
        <f aca="false">IF($A121="","",INDEX(TblApplications[ID],$A121))</f>
        <v/>
      </c>
      <c r="C121" s="50" t="str">
        <f aca="false">IF($A121="","",INDEX(TblApplications[Application],$A121))</f>
        <v/>
      </c>
      <c r="D121" s="50" t="str">
        <f aca="false">IF($A121="","",INDEX(TblApplications[Tribe],$A121))</f>
        <v/>
      </c>
      <c r="E121" s="50" t="str">
        <f aca="false">IF($A121="","",INDEX(TblApplications[Environnement],$A121))</f>
        <v/>
      </c>
      <c r="F121" s="50" t="str">
        <f aca="false">IF($A121="","",INDEX(TblApplications[Couloir],$A121))</f>
        <v/>
      </c>
      <c r="G121" s="50" t="str">
        <f aca="false">IF($A121="","",INDEX(TblApplications[Action],$A121))</f>
        <v/>
      </c>
      <c r="H121" s="50" t="str">
        <f aca="false">IF($A121="","",INDEX(TblApplications[Cluster IKS source],$A121))</f>
        <v/>
      </c>
      <c r="I121" s="63" t="str">
        <f aca="false">IF($A121="","",INDEX(TblApplications[Mois lib (calc)],$A121))</f>
        <v/>
      </c>
      <c r="J121" s="50" t="str">
        <f aca="false">IF($A121="","",INDEX(TblApplications[CPU IKS libérable (vCPU)],$A121))</f>
        <v/>
      </c>
    </row>
    <row r="122" customFormat="false" ht="15" hidden="false" customHeight="false" outlineLevel="0" collapsed="false">
      <c r="A122" s="49" t="str">
        <f aca="false">IFERROR(MATCH(57,TblApplications[Rang extinction],0),"")</f>
        <v/>
      </c>
      <c r="B122" s="50" t="str">
        <f aca="false">IF($A122="","",INDEX(TblApplications[ID],$A122))</f>
        <v/>
      </c>
      <c r="C122" s="50" t="str">
        <f aca="false">IF($A122="","",INDEX(TblApplications[Application],$A122))</f>
        <v/>
      </c>
      <c r="D122" s="50" t="str">
        <f aca="false">IF($A122="","",INDEX(TblApplications[Tribe],$A122))</f>
        <v/>
      </c>
      <c r="E122" s="50" t="str">
        <f aca="false">IF($A122="","",INDEX(TblApplications[Environnement],$A122))</f>
        <v/>
      </c>
      <c r="F122" s="50" t="str">
        <f aca="false">IF($A122="","",INDEX(TblApplications[Couloir],$A122))</f>
        <v/>
      </c>
      <c r="G122" s="50" t="str">
        <f aca="false">IF($A122="","",INDEX(TblApplications[Action],$A122))</f>
        <v/>
      </c>
      <c r="H122" s="50" t="str">
        <f aca="false">IF($A122="","",INDEX(TblApplications[Cluster IKS source],$A122))</f>
        <v/>
      </c>
      <c r="I122" s="63" t="str">
        <f aca="false">IF($A122="","",INDEX(TblApplications[Mois lib (calc)],$A122))</f>
        <v/>
      </c>
      <c r="J122" s="50" t="str">
        <f aca="false">IF($A122="","",INDEX(TblApplications[CPU IKS libérable (vCPU)],$A122))</f>
        <v/>
      </c>
    </row>
    <row r="123" customFormat="false" ht="15" hidden="false" customHeight="false" outlineLevel="0" collapsed="false">
      <c r="A123" s="49" t="str">
        <f aca="false">IFERROR(MATCH(58,TblApplications[Rang extinction],0),"")</f>
        <v/>
      </c>
      <c r="B123" s="50" t="str">
        <f aca="false">IF($A123="","",INDEX(TblApplications[ID],$A123))</f>
        <v/>
      </c>
      <c r="C123" s="50" t="str">
        <f aca="false">IF($A123="","",INDEX(TblApplications[Application],$A123))</f>
        <v/>
      </c>
      <c r="D123" s="50" t="str">
        <f aca="false">IF($A123="","",INDEX(TblApplications[Tribe],$A123))</f>
        <v/>
      </c>
      <c r="E123" s="50" t="str">
        <f aca="false">IF($A123="","",INDEX(TblApplications[Environnement],$A123))</f>
        <v/>
      </c>
      <c r="F123" s="50" t="str">
        <f aca="false">IF($A123="","",INDEX(TblApplications[Couloir],$A123))</f>
        <v/>
      </c>
      <c r="G123" s="50" t="str">
        <f aca="false">IF($A123="","",INDEX(TblApplications[Action],$A123))</f>
        <v/>
      </c>
      <c r="H123" s="50" t="str">
        <f aca="false">IF($A123="","",INDEX(TblApplications[Cluster IKS source],$A123))</f>
        <v/>
      </c>
      <c r="I123" s="63" t="str">
        <f aca="false">IF($A123="","",INDEX(TblApplications[Mois lib (calc)],$A123))</f>
        <v/>
      </c>
      <c r="J123" s="50" t="str">
        <f aca="false">IF($A123="","",INDEX(TblApplications[CPU IKS libérable (vCPU)],$A123))</f>
        <v/>
      </c>
    </row>
    <row r="124" customFormat="false" ht="15" hidden="false" customHeight="false" outlineLevel="0" collapsed="false">
      <c r="A124" s="49" t="str">
        <f aca="false">IFERROR(MATCH(59,TblApplications[Rang extinction],0),"")</f>
        <v/>
      </c>
      <c r="B124" s="50" t="str">
        <f aca="false">IF($A124="","",INDEX(TblApplications[ID],$A124))</f>
        <v/>
      </c>
      <c r="C124" s="50" t="str">
        <f aca="false">IF($A124="","",INDEX(TblApplications[Application],$A124))</f>
        <v/>
      </c>
      <c r="D124" s="50" t="str">
        <f aca="false">IF($A124="","",INDEX(TblApplications[Tribe],$A124))</f>
        <v/>
      </c>
      <c r="E124" s="50" t="str">
        <f aca="false">IF($A124="","",INDEX(TblApplications[Environnement],$A124))</f>
        <v/>
      </c>
      <c r="F124" s="50" t="str">
        <f aca="false">IF($A124="","",INDEX(TblApplications[Couloir],$A124))</f>
        <v/>
      </c>
      <c r="G124" s="50" t="str">
        <f aca="false">IF($A124="","",INDEX(TblApplications[Action],$A124))</f>
        <v/>
      </c>
      <c r="H124" s="50" t="str">
        <f aca="false">IF($A124="","",INDEX(TblApplications[Cluster IKS source],$A124))</f>
        <v/>
      </c>
      <c r="I124" s="63" t="str">
        <f aca="false">IF($A124="","",INDEX(TblApplications[Mois lib (calc)],$A124))</f>
        <v/>
      </c>
      <c r="J124" s="50" t="str">
        <f aca="false">IF($A124="","",INDEX(TblApplications[CPU IKS libérable (vCPU)],$A124))</f>
        <v/>
      </c>
    </row>
    <row r="125" customFormat="false" ht="15" hidden="false" customHeight="false" outlineLevel="0" collapsed="false">
      <c r="A125" s="49" t="str">
        <f aca="false">IFERROR(MATCH(60,TblApplications[Rang extinction],0),"")</f>
        <v/>
      </c>
      <c r="B125" s="50" t="str">
        <f aca="false">IF($A125="","",INDEX(TblApplications[ID],$A125))</f>
        <v/>
      </c>
      <c r="C125" s="50" t="str">
        <f aca="false">IF($A125="","",INDEX(TblApplications[Application],$A125))</f>
        <v/>
      </c>
      <c r="D125" s="50" t="str">
        <f aca="false">IF($A125="","",INDEX(TblApplications[Tribe],$A125))</f>
        <v/>
      </c>
      <c r="E125" s="50" t="str">
        <f aca="false">IF($A125="","",INDEX(TblApplications[Environnement],$A125))</f>
        <v/>
      </c>
      <c r="F125" s="50" t="str">
        <f aca="false">IF($A125="","",INDEX(TblApplications[Couloir],$A125))</f>
        <v/>
      </c>
      <c r="G125" s="50" t="str">
        <f aca="false">IF($A125="","",INDEX(TblApplications[Action],$A125))</f>
        <v/>
      </c>
      <c r="H125" s="50" t="str">
        <f aca="false">IF($A125="","",INDEX(TblApplications[Cluster IKS source],$A125))</f>
        <v/>
      </c>
      <c r="I125" s="63" t="str">
        <f aca="false">IF($A125="","",INDEX(TblApplications[Mois lib (calc)],$A125))</f>
        <v/>
      </c>
      <c r="J125" s="50" t="str">
        <f aca="false">IF($A125="","",INDEX(TblApplications[CPU IKS libérable (vCPU)],$A125))</f>
        <v/>
      </c>
    </row>
    <row r="126" customFormat="false" ht="15" hidden="false" customHeight="false" outlineLevel="0" collapsed="false">
      <c r="A126" s="49" t="str">
        <f aca="false">IFERROR(MATCH(61,TblApplications[Rang extinction],0),"")</f>
        <v/>
      </c>
      <c r="B126" s="50" t="str">
        <f aca="false">IF($A126="","",INDEX(TblApplications[ID],$A126))</f>
        <v/>
      </c>
      <c r="C126" s="50" t="str">
        <f aca="false">IF($A126="","",INDEX(TblApplications[Application],$A126))</f>
        <v/>
      </c>
      <c r="D126" s="50" t="str">
        <f aca="false">IF($A126="","",INDEX(TblApplications[Tribe],$A126))</f>
        <v/>
      </c>
      <c r="E126" s="50" t="str">
        <f aca="false">IF($A126="","",INDEX(TblApplications[Environnement],$A126))</f>
        <v/>
      </c>
      <c r="F126" s="50" t="str">
        <f aca="false">IF($A126="","",INDEX(TblApplications[Couloir],$A126))</f>
        <v/>
      </c>
      <c r="G126" s="50" t="str">
        <f aca="false">IF($A126="","",INDEX(TblApplications[Action],$A126))</f>
        <v/>
      </c>
      <c r="H126" s="50" t="str">
        <f aca="false">IF($A126="","",INDEX(TblApplications[Cluster IKS source],$A126))</f>
        <v/>
      </c>
      <c r="I126" s="63" t="str">
        <f aca="false">IF($A126="","",INDEX(TblApplications[Mois lib (calc)],$A126))</f>
        <v/>
      </c>
      <c r="J126" s="50" t="str">
        <f aca="false">IF($A126="","",INDEX(TblApplications[CPU IKS libérable (vCPU)],$A126))</f>
        <v/>
      </c>
    </row>
    <row r="127" customFormat="false" ht="15" hidden="false" customHeight="false" outlineLevel="0" collapsed="false">
      <c r="A127" s="49" t="str">
        <f aca="false">IFERROR(MATCH(62,TblApplications[Rang extinction],0),"")</f>
        <v/>
      </c>
      <c r="B127" s="50" t="str">
        <f aca="false">IF($A127="","",INDEX(TblApplications[ID],$A127))</f>
        <v/>
      </c>
      <c r="C127" s="50" t="str">
        <f aca="false">IF($A127="","",INDEX(TblApplications[Application],$A127))</f>
        <v/>
      </c>
      <c r="D127" s="50" t="str">
        <f aca="false">IF($A127="","",INDEX(TblApplications[Tribe],$A127))</f>
        <v/>
      </c>
      <c r="E127" s="50" t="str">
        <f aca="false">IF($A127="","",INDEX(TblApplications[Environnement],$A127))</f>
        <v/>
      </c>
      <c r="F127" s="50" t="str">
        <f aca="false">IF($A127="","",INDEX(TblApplications[Couloir],$A127))</f>
        <v/>
      </c>
      <c r="G127" s="50" t="str">
        <f aca="false">IF($A127="","",INDEX(TblApplications[Action],$A127))</f>
        <v/>
      </c>
      <c r="H127" s="50" t="str">
        <f aca="false">IF($A127="","",INDEX(TblApplications[Cluster IKS source],$A127))</f>
        <v/>
      </c>
      <c r="I127" s="63" t="str">
        <f aca="false">IF($A127="","",INDEX(TblApplications[Mois lib (calc)],$A127))</f>
        <v/>
      </c>
      <c r="J127" s="50" t="str">
        <f aca="false">IF($A127="","",INDEX(TblApplications[CPU IKS libérable (vCPU)],$A127))</f>
        <v/>
      </c>
    </row>
    <row r="128" customFormat="false" ht="15" hidden="false" customHeight="false" outlineLevel="0" collapsed="false">
      <c r="A128" s="49" t="str">
        <f aca="false">IFERROR(MATCH(63,TblApplications[Rang extinction],0),"")</f>
        <v/>
      </c>
      <c r="B128" s="50" t="str">
        <f aca="false">IF($A128="","",INDEX(TblApplications[ID],$A128))</f>
        <v/>
      </c>
      <c r="C128" s="50" t="str">
        <f aca="false">IF($A128="","",INDEX(TblApplications[Application],$A128))</f>
        <v/>
      </c>
      <c r="D128" s="50" t="str">
        <f aca="false">IF($A128="","",INDEX(TblApplications[Tribe],$A128))</f>
        <v/>
      </c>
      <c r="E128" s="50" t="str">
        <f aca="false">IF($A128="","",INDEX(TblApplications[Environnement],$A128))</f>
        <v/>
      </c>
      <c r="F128" s="50" t="str">
        <f aca="false">IF($A128="","",INDEX(TblApplications[Couloir],$A128))</f>
        <v/>
      </c>
      <c r="G128" s="50" t="str">
        <f aca="false">IF($A128="","",INDEX(TblApplications[Action],$A128))</f>
        <v/>
      </c>
      <c r="H128" s="50" t="str">
        <f aca="false">IF($A128="","",INDEX(TblApplications[Cluster IKS source],$A128))</f>
        <v/>
      </c>
      <c r="I128" s="63" t="str">
        <f aca="false">IF($A128="","",INDEX(TblApplications[Mois lib (calc)],$A128))</f>
        <v/>
      </c>
      <c r="J128" s="50" t="str">
        <f aca="false">IF($A128="","",INDEX(TblApplications[CPU IKS libérable (vCPU)],$A128))</f>
        <v/>
      </c>
    </row>
    <row r="129" customFormat="false" ht="15" hidden="false" customHeight="false" outlineLevel="0" collapsed="false">
      <c r="A129" s="49" t="str">
        <f aca="false">IFERROR(MATCH(64,TblApplications[Rang extinction],0),"")</f>
        <v/>
      </c>
      <c r="B129" s="50" t="str">
        <f aca="false">IF($A129="","",INDEX(TblApplications[ID],$A129))</f>
        <v/>
      </c>
      <c r="C129" s="50" t="str">
        <f aca="false">IF($A129="","",INDEX(TblApplications[Application],$A129))</f>
        <v/>
      </c>
      <c r="D129" s="50" t="str">
        <f aca="false">IF($A129="","",INDEX(TblApplications[Tribe],$A129))</f>
        <v/>
      </c>
      <c r="E129" s="50" t="str">
        <f aca="false">IF($A129="","",INDEX(TblApplications[Environnement],$A129))</f>
        <v/>
      </c>
      <c r="F129" s="50" t="str">
        <f aca="false">IF($A129="","",INDEX(TblApplications[Couloir],$A129))</f>
        <v/>
      </c>
      <c r="G129" s="50" t="str">
        <f aca="false">IF($A129="","",INDEX(TblApplications[Action],$A129))</f>
        <v/>
      </c>
      <c r="H129" s="50" t="str">
        <f aca="false">IF($A129="","",INDEX(TblApplications[Cluster IKS source],$A129))</f>
        <v/>
      </c>
      <c r="I129" s="63" t="str">
        <f aca="false">IF($A129="","",INDEX(TblApplications[Mois lib (calc)],$A129))</f>
        <v/>
      </c>
      <c r="J129" s="50" t="str">
        <f aca="false">IF($A129="","",INDEX(TblApplications[CPU IKS libérable (vCPU)],$A129))</f>
        <v/>
      </c>
    </row>
    <row r="130" customFormat="false" ht="15" hidden="false" customHeight="false" outlineLevel="0" collapsed="false">
      <c r="A130" s="49" t="str">
        <f aca="false">IFERROR(MATCH(65,TblApplications[Rang extinction],0),"")</f>
        <v/>
      </c>
      <c r="B130" s="50" t="str">
        <f aca="false">IF($A130="","",INDEX(TblApplications[ID],$A130))</f>
        <v/>
      </c>
      <c r="C130" s="50" t="str">
        <f aca="false">IF($A130="","",INDEX(TblApplications[Application],$A130))</f>
        <v/>
      </c>
      <c r="D130" s="50" t="str">
        <f aca="false">IF($A130="","",INDEX(TblApplications[Tribe],$A130))</f>
        <v/>
      </c>
      <c r="E130" s="50" t="str">
        <f aca="false">IF($A130="","",INDEX(TblApplications[Environnement],$A130))</f>
        <v/>
      </c>
      <c r="F130" s="50" t="str">
        <f aca="false">IF($A130="","",INDEX(TblApplications[Couloir],$A130))</f>
        <v/>
      </c>
      <c r="G130" s="50" t="str">
        <f aca="false">IF($A130="","",INDEX(TblApplications[Action],$A130))</f>
        <v/>
      </c>
      <c r="H130" s="50" t="str">
        <f aca="false">IF($A130="","",INDEX(TblApplications[Cluster IKS source],$A130))</f>
        <v/>
      </c>
      <c r="I130" s="63" t="str">
        <f aca="false">IF($A130="","",INDEX(TblApplications[Mois lib (calc)],$A130))</f>
        <v/>
      </c>
      <c r="J130" s="50" t="str">
        <f aca="false">IF($A130="","",INDEX(TblApplications[CPU IKS libérable (vCPU)],$A130))</f>
        <v/>
      </c>
    </row>
    <row r="131" customFormat="false" ht="15" hidden="false" customHeight="false" outlineLevel="0" collapsed="false">
      <c r="A131" s="49" t="str">
        <f aca="false">IFERROR(MATCH(66,TblApplications[Rang extinction],0),"")</f>
        <v/>
      </c>
      <c r="B131" s="50" t="str">
        <f aca="false">IF($A131="","",INDEX(TblApplications[ID],$A131))</f>
        <v/>
      </c>
      <c r="C131" s="50" t="str">
        <f aca="false">IF($A131="","",INDEX(TblApplications[Application],$A131))</f>
        <v/>
      </c>
      <c r="D131" s="50" t="str">
        <f aca="false">IF($A131="","",INDEX(TblApplications[Tribe],$A131))</f>
        <v/>
      </c>
      <c r="E131" s="50" t="str">
        <f aca="false">IF($A131="","",INDEX(TblApplications[Environnement],$A131))</f>
        <v/>
      </c>
      <c r="F131" s="50" t="str">
        <f aca="false">IF($A131="","",INDEX(TblApplications[Couloir],$A131))</f>
        <v/>
      </c>
      <c r="G131" s="50" t="str">
        <f aca="false">IF($A131="","",INDEX(TblApplications[Action],$A131))</f>
        <v/>
      </c>
      <c r="H131" s="50" t="str">
        <f aca="false">IF($A131="","",INDEX(TblApplications[Cluster IKS source],$A131))</f>
        <v/>
      </c>
      <c r="I131" s="63" t="str">
        <f aca="false">IF($A131="","",INDEX(TblApplications[Mois lib (calc)],$A131))</f>
        <v/>
      </c>
      <c r="J131" s="50" t="str">
        <f aca="false">IF($A131="","",INDEX(TblApplications[CPU IKS libérable (vCPU)],$A131))</f>
        <v/>
      </c>
    </row>
    <row r="132" customFormat="false" ht="15" hidden="false" customHeight="false" outlineLevel="0" collapsed="false">
      <c r="A132" s="49" t="str">
        <f aca="false">IFERROR(MATCH(67,TblApplications[Rang extinction],0),"")</f>
        <v/>
      </c>
      <c r="B132" s="50" t="str">
        <f aca="false">IF($A132="","",INDEX(TblApplications[ID],$A132))</f>
        <v/>
      </c>
      <c r="C132" s="50" t="str">
        <f aca="false">IF($A132="","",INDEX(TblApplications[Application],$A132))</f>
        <v/>
      </c>
      <c r="D132" s="50" t="str">
        <f aca="false">IF($A132="","",INDEX(TblApplications[Tribe],$A132))</f>
        <v/>
      </c>
      <c r="E132" s="50" t="str">
        <f aca="false">IF($A132="","",INDEX(TblApplications[Environnement],$A132))</f>
        <v/>
      </c>
      <c r="F132" s="50" t="str">
        <f aca="false">IF($A132="","",INDEX(TblApplications[Couloir],$A132))</f>
        <v/>
      </c>
      <c r="G132" s="50" t="str">
        <f aca="false">IF($A132="","",INDEX(TblApplications[Action],$A132))</f>
        <v/>
      </c>
      <c r="H132" s="50" t="str">
        <f aca="false">IF($A132="","",INDEX(TblApplications[Cluster IKS source],$A132))</f>
        <v/>
      </c>
      <c r="I132" s="63" t="str">
        <f aca="false">IF($A132="","",INDEX(TblApplications[Mois lib (calc)],$A132))</f>
        <v/>
      </c>
      <c r="J132" s="50" t="str">
        <f aca="false">IF($A132="","",INDEX(TblApplications[CPU IKS libérable (vCPU)],$A132))</f>
        <v/>
      </c>
    </row>
    <row r="133" customFormat="false" ht="15" hidden="false" customHeight="false" outlineLevel="0" collapsed="false">
      <c r="A133" s="49" t="str">
        <f aca="false">IFERROR(MATCH(68,TblApplications[Rang extinction],0),"")</f>
        <v/>
      </c>
      <c r="B133" s="50" t="str">
        <f aca="false">IF($A133="","",INDEX(TblApplications[ID],$A133))</f>
        <v/>
      </c>
      <c r="C133" s="50" t="str">
        <f aca="false">IF($A133="","",INDEX(TblApplications[Application],$A133))</f>
        <v/>
      </c>
      <c r="D133" s="50" t="str">
        <f aca="false">IF($A133="","",INDEX(TblApplications[Tribe],$A133))</f>
        <v/>
      </c>
      <c r="E133" s="50" t="str">
        <f aca="false">IF($A133="","",INDEX(TblApplications[Environnement],$A133))</f>
        <v/>
      </c>
      <c r="F133" s="50" t="str">
        <f aca="false">IF($A133="","",INDEX(TblApplications[Couloir],$A133))</f>
        <v/>
      </c>
      <c r="G133" s="50" t="str">
        <f aca="false">IF($A133="","",INDEX(TblApplications[Action],$A133))</f>
        <v/>
      </c>
      <c r="H133" s="50" t="str">
        <f aca="false">IF($A133="","",INDEX(TblApplications[Cluster IKS source],$A133))</f>
        <v/>
      </c>
      <c r="I133" s="63" t="str">
        <f aca="false">IF($A133="","",INDEX(TblApplications[Mois lib (calc)],$A133))</f>
        <v/>
      </c>
      <c r="J133" s="50" t="str">
        <f aca="false">IF($A133="","",INDEX(TblApplications[CPU IKS libérable (vCPU)],$A133))</f>
        <v/>
      </c>
    </row>
    <row r="134" customFormat="false" ht="15" hidden="false" customHeight="false" outlineLevel="0" collapsed="false">
      <c r="A134" s="49" t="str">
        <f aca="false">IFERROR(MATCH(69,TblApplications[Rang extinction],0),"")</f>
        <v/>
      </c>
      <c r="B134" s="50" t="str">
        <f aca="false">IF($A134="","",INDEX(TblApplications[ID],$A134))</f>
        <v/>
      </c>
      <c r="C134" s="50" t="str">
        <f aca="false">IF($A134="","",INDEX(TblApplications[Application],$A134))</f>
        <v/>
      </c>
      <c r="D134" s="50" t="str">
        <f aca="false">IF($A134="","",INDEX(TblApplications[Tribe],$A134))</f>
        <v/>
      </c>
      <c r="E134" s="50" t="str">
        <f aca="false">IF($A134="","",INDEX(TblApplications[Environnement],$A134))</f>
        <v/>
      </c>
      <c r="F134" s="50" t="str">
        <f aca="false">IF($A134="","",INDEX(TblApplications[Couloir],$A134))</f>
        <v/>
      </c>
      <c r="G134" s="50" t="str">
        <f aca="false">IF($A134="","",INDEX(TblApplications[Action],$A134))</f>
        <v/>
      </c>
      <c r="H134" s="50" t="str">
        <f aca="false">IF($A134="","",INDEX(TblApplications[Cluster IKS source],$A134))</f>
        <v/>
      </c>
      <c r="I134" s="63" t="str">
        <f aca="false">IF($A134="","",INDEX(TblApplications[Mois lib (calc)],$A134))</f>
        <v/>
      </c>
      <c r="J134" s="50" t="str">
        <f aca="false">IF($A134="","",INDEX(TblApplications[CPU IKS libérable (vCPU)],$A134))</f>
        <v/>
      </c>
    </row>
    <row r="135" customFormat="false" ht="15" hidden="false" customHeight="false" outlineLevel="0" collapsed="false">
      <c r="A135" s="49" t="str">
        <f aca="false">IFERROR(MATCH(70,TblApplications[Rang extinction],0),"")</f>
        <v/>
      </c>
      <c r="B135" s="50" t="str">
        <f aca="false">IF($A135="","",INDEX(TblApplications[ID],$A135))</f>
        <v/>
      </c>
      <c r="C135" s="50" t="str">
        <f aca="false">IF($A135="","",INDEX(TblApplications[Application],$A135))</f>
        <v/>
      </c>
      <c r="D135" s="50" t="str">
        <f aca="false">IF($A135="","",INDEX(TblApplications[Tribe],$A135))</f>
        <v/>
      </c>
      <c r="E135" s="50" t="str">
        <f aca="false">IF($A135="","",INDEX(TblApplications[Environnement],$A135))</f>
        <v/>
      </c>
      <c r="F135" s="50" t="str">
        <f aca="false">IF($A135="","",INDEX(TblApplications[Couloir],$A135))</f>
        <v/>
      </c>
      <c r="G135" s="50" t="str">
        <f aca="false">IF($A135="","",INDEX(TblApplications[Action],$A135))</f>
        <v/>
      </c>
      <c r="H135" s="50" t="str">
        <f aca="false">IF($A135="","",INDEX(TblApplications[Cluster IKS source],$A135))</f>
        <v/>
      </c>
      <c r="I135" s="63" t="str">
        <f aca="false">IF($A135="","",INDEX(TblApplications[Mois lib (calc)],$A135))</f>
        <v/>
      </c>
      <c r="J135" s="50" t="str">
        <f aca="false">IF($A135="","",INDEX(TblApplications[CPU IKS libérable (vCPU)],$A135))</f>
        <v/>
      </c>
    </row>
    <row r="136" customFormat="false" ht="15" hidden="false" customHeight="false" outlineLevel="0" collapsed="false">
      <c r="A136" s="49" t="str">
        <f aca="false">IFERROR(MATCH(71,TblApplications[Rang extinction],0),"")</f>
        <v/>
      </c>
      <c r="B136" s="50" t="str">
        <f aca="false">IF($A136="","",INDEX(TblApplications[ID],$A136))</f>
        <v/>
      </c>
      <c r="C136" s="50" t="str">
        <f aca="false">IF($A136="","",INDEX(TblApplications[Application],$A136))</f>
        <v/>
      </c>
      <c r="D136" s="50" t="str">
        <f aca="false">IF($A136="","",INDEX(TblApplications[Tribe],$A136))</f>
        <v/>
      </c>
      <c r="E136" s="50" t="str">
        <f aca="false">IF($A136="","",INDEX(TblApplications[Environnement],$A136))</f>
        <v/>
      </c>
      <c r="F136" s="50" t="str">
        <f aca="false">IF($A136="","",INDEX(TblApplications[Couloir],$A136))</f>
        <v/>
      </c>
      <c r="G136" s="50" t="str">
        <f aca="false">IF($A136="","",INDEX(TblApplications[Action],$A136))</f>
        <v/>
      </c>
      <c r="H136" s="50" t="str">
        <f aca="false">IF($A136="","",INDEX(TblApplications[Cluster IKS source],$A136))</f>
        <v/>
      </c>
      <c r="I136" s="63" t="str">
        <f aca="false">IF($A136="","",INDEX(TblApplications[Mois lib (calc)],$A136))</f>
        <v/>
      </c>
      <c r="J136" s="50" t="str">
        <f aca="false">IF($A136="","",INDEX(TblApplications[CPU IKS libérable (vCPU)],$A136))</f>
        <v/>
      </c>
    </row>
    <row r="137" customFormat="false" ht="15" hidden="false" customHeight="false" outlineLevel="0" collapsed="false">
      <c r="A137" s="49" t="str">
        <f aca="false">IFERROR(MATCH(72,TblApplications[Rang extinction],0),"")</f>
        <v/>
      </c>
      <c r="B137" s="50" t="str">
        <f aca="false">IF($A137="","",INDEX(TblApplications[ID],$A137))</f>
        <v/>
      </c>
      <c r="C137" s="50" t="str">
        <f aca="false">IF($A137="","",INDEX(TblApplications[Application],$A137))</f>
        <v/>
      </c>
      <c r="D137" s="50" t="str">
        <f aca="false">IF($A137="","",INDEX(TblApplications[Tribe],$A137))</f>
        <v/>
      </c>
      <c r="E137" s="50" t="str">
        <f aca="false">IF($A137="","",INDEX(TblApplications[Environnement],$A137))</f>
        <v/>
      </c>
      <c r="F137" s="50" t="str">
        <f aca="false">IF($A137="","",INDEX(TblApplications[Couloir],$A137))</f>
        <v/>
      </c>
      <c r="G137" s="50" t="str">
        <f aca="false">IF($A137="","",INDEX(TblApplications[Action],$A137))</f>
        <v/>
      </c>
      <c r="H137" s="50" t="str">
        <f aca="false">IF($A137="","",INDEX(TblApplications[Cluster IKS source],$A137))</f>
        <v/>
      </c>
      <c r="I137" s="63" t="str">
        <f aca="false">IF($A137="","",INDEX(TblApplications[Mois lib (calc)],$A137))</f>
        <v/>
      </c>
      <c r="J137" s="50" t="str">
        <f aca="false">IF($A137="","",INDEX(TblApplications[CPU IKS libérable (vCPU)],$A137))</f>
        <v/>
      </c>
    </row>
    <row r="138" customFormat="false" ht="15" hidden="false" customHeight="false" outlineLevel="0" collapsed="false">
      <c r="A138" s="49" t="str">
        <f aca="false">IFERROR(MATCH(73,TblApplications[Rang extinction],0),"")</f>
        <v/>
      </c>
      <c r="B138" s="50" t="str">
        <f aca="false">IF($A138="","",INDEX(TblApplications[ID],$A138))</f>
        <v/>
      </c>
      <c r="C138" s="50" t="str">
        <f aca="false">IF($A138="","",INDEX(TblApplications[Application],$A138))</f>
        <v/>
      </c>
      <c r="D138" s="50" t="str">
        <f aca="false">IF($A138="","",INDEX(TblApplications[Tribe],$A138))</f>
        <v/>
      </c>
      <c r="E138" s="50" t="str">
        <f aca="false">IF($A138="","",INDEX(TblApplications[Environnement],$A138))</f>
        <v/>
      </c>
      <c r="F138" s="50" t="str">
        <f aca="false">IF($A138="","",INDEX(TblApplications[Couloir],$A138))</f>
        <v/>
      </c>
      <c r="G138" s="50" t="str">
        <f aca="false">IF($A138="","",INDEX(TblApplications[Action],$A138))</f>
        <v/>
      </c>
      <c r="H138" s="50" t="str">
        <f aca="false">IF($A138="","",INDEX(TblApplications[Cluster IKS source],$A138))</f>
        <v/>
      </c>
      <c r="I138" s="63" t="str">
        <f aca="false">IF($A138="","",INDEX(TblApplications[Mois lib (calc)],$A138))</f>
        <v/>
      </c>
      <c r="J138" s="50" t="str">
        <f aca="false">IF($A138="","",INDEX(TblApplications[CPU IKS libérable (vCPU)],$A138))</f>
        <v/>
      </c>
    </row>
    <row r="139" customFormat="false" ht="15" hidden="false" customHeight="false" outlineLevel="0" collapsed="false">
      <c r="A139" s="49" t="str">
        <f aca="false">IFERROR(MATCH(74,TblApplications[Rang extinction],0),"")</f>
        <v/>
      </c>
      <c r="B139" s="50" t="str">
        <f aca="false">IF($A139="","",INDEX(TblApplications[ID],$A139))</f>
        <v/>
      </c>
      <c r="C139" s="50" t="str">
        <f aca="false">IF($A139="","",INDEX(TblApplications[Application],$A139))</f>
        <v/>
      </c>
      <c r="D139" s="50" t="str">
        <f aca="false">IF($A139="","",INDEX(TblApplications[Tribe],$A139))</f>
        <v/>
      </c>
      <c r="E139" s="50" t="str">
        <f aca="false">IF($A139="","",INDEX(TblApplications[Environnement],$A139))</f>
        <v/>
      </c>
      <c r="F139" s="50" t="str">
        <f aca="false">IF($A139="","",INDEX(TblApplications[Couloir],$A139))</f>
        <v/>
      </c>
      <c r="G139" s="50" t="str">
        <f aca="false">IF($A139="","",INDEX(TblApplications[Action],$A139))</f>
        <v/>
      </c>
      <c r="H139" s="50" t="str">
        <f aca="false">IF($A139="","",INDEX(TblApplications[Cluster IKS source],$A139))</f>
        <v/>
      </c>
      <c r="I139" s="63" t="str">
        <f aca="false">IF($A139="","",INDEX(TblApplications[Mois lib (calc)],$A139))</f>
        <v/>
      </c>
      <c r="J139" s="50" t="str">
        <f aca="false">IF($A139="","",INDEX(TblApplications[CPU IKS libérable (vCPU)],$A139))</f>
        <v/>
      </c>
    </row>
    <row r="140" customFormat="false" ht="15" hidden="false" customHeight="false" outlineLevel="0" collapsed="false">
      <c r="A140" s="49" t="str">
        <f aca="false">IFERROR(MATCH(75,TblApplications[Rang extinction],0),"")</f>
        <v/>
      </c>
      <c r="B140" s="50" t="str">
        <f aca="false">IF($A140="","",INDEX(TblApplications[ID],$A140))</f>
        <v/>
      </c>
      <c r="C140" s="50" t="str">
        <f aca="false">IF($A140="","",INDEX(TblApplications[Application],$A140))</f>
        <v/>
      </c>
      <c r="D140" s="50" t="str">
        <f aca="false">IF($A140="","",INDEX(TblApplications[Tribe],$A140))</f>
        <v/>
      </c>
      <c r="E140" s="50" t="str">
        <f aca="false">IF($A140="","",INDEX(TblApplications[Environnement],$A140))</f>
        <v/>
      </c>
      <c r="F140" s="50" t="str">
        <f aca="false">IF($A140="","",INDEX(TblApplications[Couloir],$A140))</f>
        <v/>
      </c>
      <c r="G140" s="50" t="str">
        <f aca="false">IF($A140="","",INDEX(TblApplications[Action],$A140))</f>
        <v/>
      </c>
      <c r="H140" s="50" t="str">
        <f aca="false">IF($A140="","",INDEX(TblApplications[Cluster IKS source],$A140))</f>
        <v/>
      </c>
      <c r="I140" s="63" t="str">
        <f aca="false">IF($A140="","",INDEX(TblApplications[Mois lib (calc)],$A140))</f>
        <v/>
      </c>
      <c r="J140" s="50" t="str">
        <f aca="false">IF($A140="","",INDEX(TblApplications[CPU IKS libérable (vCPU)],$A140))</f>
        <v/>
      </c>
    </row>
    <row r="141" customFormat="false" ht="15" hidden="false" customHeight="false" outlineLevel="0" collapsed="false">
      <c r="A141" s="49" t="str">
        <f aca="false">IFERROR(MATCH(76,TblApplications[Rang extinction],0),"")</f>
        <v/>
      </c>
      <c r="B141" s="50" t="str">
        <f aca="false">IF($A141="","",INDEX(TblApplications[ID],$A141))</f>
        <v/>
      </c>
      <c r="C141" s="50" t="str">
        <f aca="false">IF($A141="","",INDEX(TblApplications[Application],$A141))</f>
        <v/>
      </c>
      <c r="D141" s="50" t="str">
        <f aca="false">IF($A141="","",INDEX(TblApplications[Tribe],$A141))</f>
        <v/>
      </c>
      <c r="E141" s="50" t="str">
        <f aca="false">IF($A141="","",INDEX(TblApplications[Environnement],$A141))</f>
        <v/>
      </c>
      <c r="F141" s="50" t="str">
        <f aca="false">IF($A141="","",INDEX(TblApplications[Couloir],$A141))</f>
        <v/>
      </c>
      <c r="G141" s="50" t="str">
        <f aca="false">IF($A141="","",INDEX(TblApplications[Action],$A141))</f>
        <v/>
      </c>
      <c r="H141" s="50" t="str">
        <f aca="false">IF($A141="","",INDEX(TblApplications[Cluster IKS source],$A141))</f>
        <v/>
      </c>
      <c r="I141" s="63" t="str">
        <f aca="false">IF($A141="","",INDEX(TblApplications[Mois lib (calc)],$A141))</f>
        <v/>
      </c>
      <c r="J141" s="50" t="str">
        <f aca="false">IF($A141="","",INDEX(TblApplications[CPU IKS libérable (vCPU)],$A141))</f>
        <v/>
      </c>
    </row>
    <row r="142" customFormat="false" ht="15" hidden="false" customHeight="false" outlineLevel="0" collapsed="false">
      <c r="A142" s="49" t="str">
        <f aca="false">IFERROR(MATCH(77,TblApplications[Rang extinction],0),"")</f>
        <v/>
      </c>
      <c r="B142" s="50" t="str">
        <f aca="false">IF($A142="","",INDEX(TblApplications[ID],$A142))</f>
        <v/>
      </c>
      <c r="C142" s="50" t="str">
        <f aca="false">IF($A142="","",INDEX(TblApplications[Application],$A142))</f>
        <v/>
      </c>
      <c r="D142" s="50" t="str">
        <f aca="false">IF($A142="","",INDEX(TblApplications[Tribe],$A142))</f>
        <v/>
      </c>
      <c r="E142" s="50" t="str">
        <f aca="false">IF($A142="","",INDEX(TblApplications[Environnement],$A142))</f>
        <v/>
      </c>
      <c r="F142" s="50" t="str">
        <f aca="false">IF($A142="","",INDEX(TblApplications[Couloir],$A142))</f>
        <v/>
      </c>
      <c r="G142" s="50" t="str">
        <f aca="false">IF($A142="","",INDEX(TblApplications[Action],$A142))</f>
        <v/>
      </c>
      <c r="H142" s="50" t="str">
        <f aca="false">IF($A142="","",INDEX(TblApplications[Cluster IKS source],$A142))</f>
        <v/>
      </c>
      <c r="I142" s="63" t="str">
        <f aca="false">IF($A142="","",INDEX(TblApplications[Mois lib (calc)],$A142))</f>
        <v/>
      </c>
      <c r="J142" s="50" t="str">
        <f aca="false">IF($A142="","",INDEX(TblApplications[CPU IKS libérable (vCPU)],$A142))</f>
        <v/>
      </c>
    </row>
    <row r="143" customFormat="false" ht="15" hidden="false" customHeight="false" outlineLevel="0" collapsed="false">
      <c r="A143" s="49" t="str">
        <f aca="false">IFERROR(MATCH(78,TblApplications[Rang extinction],0),"")</f>
        <v/>
      </c>
      <c r="B143" s="50" t="str">
        <f aca="false">IF($A143="","",INDEX(TblApplications[ID],$A143))</f>
        <v/>
      </c>
      <c r="C143" s="50" t="str">
        <f aca="false">IF($A143="","",INDEX(TblApplications[Application],$A143))</f>
        <v/>
      </c>
      <c r="D143" s="50" t="str">
        <f aca="false">IF($A143="","",INDEX(TblApplications[Tribe],$A143))</f>
        <v/>
      </c>
      <c r="E143" s="50" t="str">
        <f aca="false">IF($A143="","",INDEX(TblApplications[Environnement],$A143))</f>
        <v/>
      </c>
      <c r="F143" s="50" t="str">
        <f aca="false">IF($A143="","",INDEX(TblApplications[Couloir],$A143))</f>
        <v/>
      </c>
      <c r="G143" s="50" t="str">
        <f aca="false">IF($A143="","",INDEX(TblApplications[Action],$A143))</f>
        <v/>
      </c>
      <c r="H143" s="50" t="str">
        <f aca="false">IF($A143="","",INDEX(TblApplications[Cluster IKS source],$A143))</f>
        <v/>
      </c>
      <c r="I143" s="63" t="str">
        <f aca="false">IF($A143="","",INDEX(TblApplications[Mois lib (calc)],$A143))</f>
        <v/>
      </c>
      <c r="J143" s="50" t="str">
        <f aca="false">IF($A143="","",INDEX(TblApplications[CPU IKS libérable (vCPU)],$A143))</f>
        <v/>
      </c>
    </row>
    <row r="144" customFormat="false" ht="15" hidden="false" customHeight="false" outlineLevel="0" collapsed="false">
      <c r="A144" s="49" t="str">
        <f aca="false">IFERROR(MATCH(79,TblApplications[Rang extinction],0),"")</f>
        <v/>
      </c>
      <c r="B144" s="50" t="str">
        <f aca="false">IF($A144="","",INDEX(TblApplications[ID],$A144))</f>
        <v/>
      </c>
      <c r="C144" s="50" t="str">
        <f aca="false">IF($A144="","",INDEX(TblApplications[Application],$A144))</f>
        <v/>
      </c>
      <c r="D144" s="50" t="str">
        <f aca="false">IF($A144="","",INDEX(TblApplications[Tribe],$A144))</f>
        <v/>
      </c>
      <c r="E144" s="50" t="str">
        <f aca="false">IF($A144="","",INDEX(TblApplications[Environnement],$A144))</f>
        <v/>
      </c>
      <c r="F144" s="50" t="str">
        <f aca="false">IF($A144="","",INDEX(TblApplications[Couloir],$A144))</f>
        <v/>
      </c>
      <c r="G144" s="50" t="str">
        <f aca="false">IF($A144="","",INDEX(TblApplications[Action],$A144))</f>
        <v/>
      </c>
      <c r="H144" s="50" t="str">
        <f aca="false">IF($A144="","",INDEX(TblApplications[Cluster IKS source],$A144))</f>
        <v/>
      </c>
      <c r="I144" s="63" t="str">
        <f aca="false">IF($A144="","",INDEX(TblApplications[Mois lib (calc)],$A144))</f>
        <v/>
      </c>
      <c r="J144" s="50" t="str">
        <f aca="false">IF($A144="","",INDEX(TblApplications[CPU IKS libérable (vCPU)],$A144))</f>
        <v/>
      </c>
    </row>
    <row r="145" customFormat="false" ht="15" hidden="false" customHeight="false" outlineLevel="0" collapsed="false">
      <c r="A145" s="49" t="str">
        <f aca="false">IFERROR(MATCH(80,TblApplications[Rang extinction],0),"")</f>
        <v/>
      </c>
      <c r="B145" s="50" t="str">
        <f aca="false">IF($A145="","",INDEX(TblApplications[ID],$A145))</f>
        <v/>
      </c>
      <c r="C145" s="50" t="str">
        <f aca="false">IF($A145="","",INDEX(TblApplications[Application],$A145))</f>
        <v/>
      </c>
      <c r="D145" s="50" t="str">
        <f aca="false">IF($A145="","",INDEX(TblApplications[Tribe],$A145))</f>
        <v/>
      </c>
      <c r="E145" s="50" t="str">
        <f aca="false">IF($A145="","",INDEX(TblApplications[Environnement],$A145))</f>
        <v/>
      </c>
      <c r="F145" s="50" t="str">
        <f aca="false">IF($A145="","",INDEX(TblApplications[Couloir],$A145))</f>
        <v/>
      </c>
      <c r="G145" s="50" t="str">
        <f aca="false">IF($A145="","",INDEX(TblApplications[Action],$A145))</f>
        <v/>
      </c>
      <c r="H145" s="50" t="str">
        <f aca="false">IF($A145="","",INDEX(TblApplications[Cluster IKS source],$A145))</f>
        <v/>
      </c>
      <c r="I145" s="63" t="str">
        <f aca="false">IF($A145="","",INDEX(TblApplications[Mois lib (calc)],$A145))</f>
        <v/>
      </c>
      <c r="J145" s="50" t="str">
        <f aca="false">IF($A145="","",INDEX(TblApplications[CPU IKS libérable (vCPU)],$A145))</f>
        <v/>
      </c>
    </row>
    <row r="146" customFormat="false" ht="15" hidden="false" customHeight="false" outlineLevel="0" collapsed="false">
      <c r="A146" s="49" t="str">
        <f aca="false">IFERROR(MATCH(81,TblApplications[Rang extinction],0),"")</f>
        <v/>
      </c>
      <c r="B146" s="50" t="str">
        <f aca="false">IF($A146="","",INDEX(TblApplications[ID],$A146))</f>
        <v/>
      </c>
      <c r="C146" s="50" t="str">
        <f aca="false">IF($A146="","",INDEX(TblApplications[Application],$A146))</f>
        <v/>
      </c>
      <c r="D146" s="50" t="str">
        <f aca="false">IF($A146="","",INDEX(TblApplications[Tribe],$A146))</f>
        <v/>
      </c>
      <c r="E146" s="50" t="str">
        <f aca="false">IF($A146="","",INDEX(TblApplications[Environnement],$A146))</f>
        <v/>
      </c>
      <c r="F146" s="50" t="str">
        <f aca="false">IF($A146="","",INDEX(TblApplications[Couloir],$A146))</f>
        <v/>
      </c>
      <c r="G146" s="50" t="str">
        <f aca="false">IF($A146="","",INDEX(TblApplications[Action],$A146))</f>
        <v/>
      </c>
      <c r="H146" s="50" t="str">
        <f aca="false">IF($A146="","",INDEX(TblApplications[Cluster IKS source],$A146))</f>
        <v/>
      </c>
      <c r="I146" s="63" t="str">
        <f aca="false">IF($A146="","",INDEX(TblApplications[Mois lib (calc)],$A146))</f>
        <v/>
      </c>
      <c r="J146" s="50" t="str">
        <f aca="false">IF($A146="","",INDEX(TblApplications[CPU IKS libérable (vCPU)],$A146))</f>
        <v/>
      </c>
    </row>
    <row r="147" customFormat="false" ht="15" hidden="false" customHeight="false" outlineLevel="0" collapsed="false">
      <c r="A147" s="49" t="str">
        <f aca="false">IFERROR(MATCH(82,TblApplications[Rang extinction],0),"")</f>
        <v/>
      </c>
      <c r="B147" s="50" t="str">
        <f aca="false">IF($A147="","",INDEX(TblApplications[ID],$A147))</f>
        <v/>
      </c>
      <c r="C147" s="50" t="str">
        <f aca="false">IF($A147="","",INDEX(TblApplications[Application],$A147))</f>
        <v/>
      </c>
      <c r="D147" s="50" t="str">
        <f aca="false">IF($A147="","",INDEX(TblApplications[Tribe],$A147))</f>
        <v/>
      </c>
      <c r="E147" s="50" t="str">
        <f aca="false">IF($A147="","",INDEX(TblApplications[Environnement],$A147))</f>
        <v/>
      </c>
      <c r="F147" s="50" t="str">
        <f aca="false">IF($A147="","",INDEX(TblApplications[Couloir],$A147))</f>
        <v/>
      </c>
      <c r="G147" s="50" t="str">
        <f aca="false">IF($A147="","",INDEX(TblApplications[Action],$A147))</f>
        <v/>
      </c>
      <c r="H147" s="50" t="str">
        <f aca="false">IF($A147="","",INDEX(TblApplications[Cluster IKS source],$A147))</f>
        <v/>
      </c>
      <c r="I147" s="63" t="str">
        <f aca="false">IF($A147="","",INDEX(TblApplications[Mois lib (calc)],$A147))</f>
        <v/>
      </c>
      <c r="J147" s="50" t="str">
        <f aca="false">IF($A147="","",INDEX(TblApplications[CPU IKS libérable (vCPU)],$A147))</f>
        <v/>
      </c>
    </row>
    <row r="148" customFormat="false" ht="15" hidden="false" customHeight="false" outlineLevel="0" collapsed="false">
      <c r="A148" s="49" t="str">
        <f aca="false">IFERROR(MATCH(83,TblApplications[Rang extinction],0),"")</f>
        <v/>
      </c>
      <c r="B148" s="50" t="str">
        <f aca="false">IF($A148="","",INDEX(TblApplications[ID],$A148))</f>
        <v/>
      </c>
      <c r="C148" s="50" t="str">
        <f aca="false">IF($A148="","",INDEX(TblApplications[Application],$A148))</f>
        <v/>
      </c>
      <c r="D148" s="50" t="str">
        <f aca="false">IF($A148="","",INDEX(TblApplications[Tribe],$A148))</f>
        <v/>
      </c>
      <c r="E148" s="50" t="str">
        <f aca="false">IF($A148="","",INDEX(TblApplications[Environnement],$A148))</f>
        <v/>
      </c>
      <c r="F148" s="50" t="str">
        <f aca="false">IF($A148="","",INDEX(TblApplications[Couloir],$A148))</f>
        <v/>
      </c>
      <c r="G148" s="50" t="str">
        <f aca="false">IF($A148="","",INDEX(TblApplications[Action],$A148))</f>
        <v/>
      </c>
      <c r="H148" s="50" t="str">
        <f aca="false">IF($A148="","",INDEX(TblApplications[Cluster IKS source],$A148))</f>
        <v/>
      </c>
      <c r="I148" s="63" t="str">
        <f aca="false">IF($A148="","",INDEX(TblApplications[Mois lib (calc)],$A148))</f>
        <v/>
      </c>
      <c r="J148" s="50" t="str">
        <f aca="false">IF($A148="","",INDEX(TblApplications[CPU IKS libérable (vCPU)],$A148))</f>
        <v/>
      </c>
    </row>
    <row r="149" customFormat="false" ht="15" hidden="false" customHeight="false" outlineLevel="0" collapsed="false">
      <c r="A149" s="49" t="str">
        <f aca="false">IFERROR(MATCH(84,TblApplications[Rang extinction],0),"")</f>
        <v/>
      </c>
      <c r="B149" s="50" t="str">
        <f aca="false">IF($A149="","",INDEX(TblApplications[ID],$A149))</f>
        <v/>
      </c>
      <c r="C149" s="50" t="str">
        <f aca="false">IF($A149="","",INDEX(TblApplications[Application],$A149))</f>
        <v/>
      </c>
      <c r="D149" s="50" t="str">
        <f aca="false">IF($A149="","",INDEX(TblApplications[Tribe],$A149))</f>
        <v/>
      </c>
      <c r="E149" s="50" t="str">
        <f aca="false">IF($A149="","",INDEX(TblApplications[Environnement],$A149))</f>
        <v/>
      </c>
      <c r="F149" s="50" t="str">
        <f aca="false">IF($A149="","",INDEX(TblApplications[Couloir],$A149))</f>
        <v/>
      </c>
      <c r="G149" s="50" t="str">
        <f aca="false">IF($A149="","",INDEX(TblApplications[Action],$A149))</f>
        <v/>
      </c>
      <c r="H149" s="50" t="str">
        <f aca="false">IF($A149="","",INDEX(TblApplications[Cluster IKS source],$A149))</f>
        <v/>
      </c>
      <c r="I149" s="63" t="str">
        <f aca="false">IF($A149="","",INDEX(TblApplications[Mois lib (calc)],$A149))</f>
        <v/>
      </c>
      <c r="J149" s="50" t="str">
        <f aca="false">IF($A149="","",INDEX(TblApplications[CPU IKS libérable (vCPU)],$A149))</f>
        <v/>
      </c>
    </row>
    <row r="150" customFormat="false" ht="15" hidden="false" customHeight="false" outlineLevel="0" collapsed="false">
      <c r="A150" s="49" t="str">
        <f aca="false">IFERROR(MATCH(85,TblApplications[Rang extinction],0),"")</f>
        <v/>
      </c>
      <c r="B150" s="50" t="str">
        <f aca="false">IF($A150="","",INDEX(TblApplications[ID],$A150))</f>
        <v/>
      </c>
      <c r="C150" s="50" t="str">
        <f aca="false">IF($A150="","",INDEX(TblApplications[Application],$A150))</f>
        <v/>
      </c>
      <c r="D150" s="50" t="str">
        <f aca="false">IF($A150="","",INDEX(TblApplications[Tribe],$A150))</f>
        <v/>
      </c>
      <c r="E150" s="50" t="str">
        <f aca="false">IF($A150="","",INDEX(TblApplications[Environnement],$A150))</f>
        <v/>
      </c>
      <c r="F150" s="50" t="str">
        <f aca="false">IF($A150="","",INDEX(TblApplications[Couloir],$A150))</f>
        <v/>
      </c>
      <c r="G150" s="50" t="str">
        <f aca="false">IF($A150="","",INDEX(TblApplications[Action],$A150))</f>
        <v/>
      </c>
      <c r="H150" s="50" t="str">
        <f aca="false">IF($A150="","",INDEX(TblApplications[Cluster IKS source],$A150))</f>
        <v/>
      </c>
      <c r="I150" s="63" t="str">
        <f aca="false">IF($A150="","",INDEX(TblApplications[Mois lib (calc)],$A150))</f>
        <v/>
      </c>
      <c r="J150" s="50" t="str">
        <f aca="false">IF($A150="","",INDEX(TblApplications[CPU IKS libérable (vCPU)],$A150))</f>
        <v/>
      </c>
    </row>
    <row r="151" customFormat="false" ht="15" hidden="false" customHeight="false" outlineLevel="0" collapsed="false">
      <c r="A151" s="49" t="str">
        <f aca="false">IFERROR(MATCH(86,TblApplications[Rang extinction],0),"")</f>
        <v/>
      </c>
      <c r="B151" s="50" t="str">
        <f aca="false">IF($A151="","",INDEX(TblApplications[ID],$A151))</f>
        <v/>
      </c>
      <c r="C151" s="50" t="str">
        <f aca="false">IF($A151="","",INDEX(TblApplications[Application],$A151))</f>
        <v/>
      </c>
      <c r="D151" s="50" t="str">
        <f aca="false">IF($A151="","",INDEX(TblApplications[Tribe],$A151))</f>
        <v/>
      </c>
      <c r="E151" s="50" t="str">
        <f aca="false">IF($A151="","",INDEX(TblApplications[Environnement],$A151))</f>
        <v/>
      </c>
      <c r="F151" s="50" t="str">
        <f aca="false">IF($A151="","",INDEX(TblApplications[Couloir],$A151))</f>
        <v/>
      </c>
      <c r="G151" s="50" t="str">
        <f aca="false">IF($A151="","",INDEX(TblApplications[Action],$A151))</f>
        <v/>
      </c>
      <c r="H151" s="50" t="str">
        <f aca="false">IF($A151="","",INDEX(TblApplications[Cluster IKS source],$A151))</f>
        <v/>
      </c>
      <c r="I151" s="63" t="str">
        <f aca="false">IF($A151="","",INDEX(TblApplications[Mois lib (calc)],$A151))</f>
        <v/>
      </c>
      <c r="J151" s="50" t="str">
        <f aca="false">IF($A151="","",INDEX(TblApplications[CPU IKS libérable (vCPU)],$A151))</f>
        <v/>
      </c>
    </row>
    <row r="152" customFormat="false" ht="15" hidden="false" customHeight="false" outlineLevel="0" collapsed="false">
      <c r="A152" s="49" t="str">
        <f aca="false">IFERROR(MATCH(87,TblApplications[Rang extinction],0),"")</f>
        <v/>
      </c>
      <c r="B152" s="50" t="str">
        <f aca="false">IF($A152="","",INDEX(TblApplications[ID],$A152))</f>
        <v/>
      </c>
      <c r="C152" s="50" t="str">
        <f aca="false">IF($A152="","",INDEX(TblApplications[Application],$A152))</f>
        <v/>
      </c>
      <c r="D152" s="50" t="str">
        <f aca="false">IF($A152="","",INDEX(TblApplications[Tribe],$A152))</f>
        <v/>
      </c>
      <c r="E152" s="50" t="str">
        <f aca="false">IF($A152="","",INDEX(TblApplications[Environnement],$A152))</f>
        <v/>
      </c>
      <c r="F152" s="50" t="str">
        <f aca="false">IF($A152="","",INDEX(TblApplications[Couloir],$A152))</f>
        <v/>
      </c>
      <c r="G152" s="50" t="str">
        <f aca="false">IF($A152="","",INDEX(TblApplications[Action],$A152))</f>
        <v/>
      </c>
      <c r="H152" s="50" t="str">
        <f aca="false">IF($A152="","",INDEX(TblApplications[Cluster IKS source],$A152))</f>
        <v/>
      </c>
      <c r="I152" s="63" t="str">
        <f aca="false">IF($A152="","",INDEX(TblApplications[Mois lib (calc)],$A152))</f>
        <v/>
      </c>
      <c r="J152" s="50" t="str">
        <f aca="false">IF($A152="","",INDEX(TblApplications[CPU IKS libérable (vCPU)],$A152))</f>
        <v/>
      </c>
    </row>
    <row r="153" customFormat="false" ht="15" hidden="false" customHeight="false" outlineLevel="0" collapsed="false">
      <c r="A153" s="49" t="str">
        <f aca="false">IFERROR(MATCH(88,TblApplications[Rang extinction],0),"")</f>
        <v/>
      </c>
      <c r="B153" s="50" t="str">
        <f aca="false">IF($A153="","",INDEX(TblApplications[ID],$A153))</f>
        <v/>
      </c>
      <c r="C153" s="50" t="str">
        <f aca="false">IF($A153="","",INDEX(TblApplications[Application],$A153))</f>
        <v/>
      </c>
      <c r="D153" s="50" t="str">
        <f aca="false">IF($A153="","",INDEX(TblApplications[Tribe],$A153))</f>
        <v/>
      </c>
      <c r="E153" s="50" t="str">
        <f aca="false">IF($A153="","",INDEX(TblApplications[Environnement],$A153))</f>
        <v/>
      </c>
      <c r="F153" s="50" t="str">
        <f aca="false">IF($A153="","",INDEX(TblApplications[Couloir],$A153))</f>
        <v/>
      </c>
      <c r="G153" s="50" t="str">
        <f aca="false">IF($A153="","",INDEX(TblApplications[Action],$A153))</f>
        <v/>
      </c>
      <c r="H153" s="50" t="str">
        <f aca="false">IF($A153="","",INDEX(TblApplications[Cluster IKS source],$A153))</f>
        <v/>
      </c>
      <c r="I153" s="63" t="str">
        <f aca="false">IF($A153="","",INDEX(TblApplications[Mois lib (calc)],$A153))</f>
        <v/>
      </c>
      <c r="J153" s="50" t="str">
        <f aca="false">IF($A153="","",INDEX(TblApplications[CPU IKS libérable (vCPU)],$A153))</f>
        <v/>
      </c>
    </row>
    <row r="154" customFormat="false" ht="15" hidden="false" customHeight="false" outlineLevel="0" collapsed="false">
      <c r="A154" s="49" t="str">
        <f aca="false">IFERROR(MATCH(89,TblApplications[Rang extinction],0),"")</f>
        <v/>
      </c>
      <c r="B154" s="50" t="str">
        <f aca="false">IF($A154="","",INDEX(TblApplications[ID],$A154))</f>
        <v/>
      </c>
      <c r="C154" s="50" t="str">
        <f aca="false">IF($A154="","",INDEX(TblApplications[Application],$A154))</f>
        <v/>
      </c>
      <c r="D154" s="50" t="str">
        <f aca="false">IF($A154="","",INDEX(TblApplications[Tribe],$A154))</f>
        <v/>
      </c>
      <c r="E154" s="50" t="str">
        <f aca="false">IF($A154="","",INDEX(TblApplications[Environnement],$A154))</f>
        <v/>
      </c>
      <c r="F154" s="50" t="str">
        <f aca="false">IF($A154="","",INDEX(TblApplications[Couloir],$A154))</f>
        <v/>
      </c>
      <c r="G154" s="50" t="str">
        <f aca="false">IF($A154="","",INDEX(TblApplications[Action],$A154))</f>
        <v/>
      </c>
      <c r="H154" s="50" t="str">
        <f aca="false">IF($A154="","",INDEX(TblApplications[Cluster IKS source],$A154))</f>
        <v/>
      </c>
      <c r="I154" s="63" t="str">
        <f aca="false">IF($A154="","",INDEX(TblApplications[Mois lib (calc)],$A154))</f>
        <v/>
      </c>
      <c r="J154" s="50" t="str">
        <f aca="false">IF($A154="","",INDEX(TblApplications[CPU IKS libérable (vCPU)],$A154))</f>
        <v/>
      </c>
    </row>
    <row r="155" customFormat="false" ht="15" hidden="false" customHeight="false" outlineLevel="0" collapsed="false">
      <c r="A155" s="49" t="str">
        <f aca="false">IFERROR(MATCH(90,TblApplications[Rang extinction],0),"")</f>
        <v/>
      </c>
      <c r="B155" s="50" t="str">
        <f aca="false">IF($A155="","",INDEX(TblApplications[ID],$A155))</f>
        <v/>
      </c>
      <c r="C155" s="50" t="str">
        <f aca="false">IF($A155="","",INDEX(TblApplications[Application],$A155))</f>
        <v/>
      </c>
      <c r="D155" s="50" t="str">
        <f aca="false">IF($A155="","",INDEX(TblApplications[Tribe],$A155))</f>
        <v/>
      </c>
      <c r="E155" s="50" t="str">
        <f aca="false">IF($A155="","",INDEX(TblApplications[Environnement],$A155))</f>
        <v/>
      </c>
      <c r="F155" s="50" t="str">
        <f aca="false">IF($A155="","",INDEX(TblApplications[Couloir],$A155))</f>
        <v/>
      </c>
      <c r="G155" s="50" t="str">
        <f aca="false">IF($A155="","",INDEX(TblApplications[Action],$A155))</f>
        <v/>
      </c>
      <c r="H155" s="50" t="str">
        <f aca="false">IF($A155="","",INDEX(TblApplications[Cluster IKS source],$A155))</f>
        <v/>
      </c>
      <c r="I155" s="63" t="str">
        <f aca="false">IF($A155="","",INDEX(TblApplications[Mois lib (calc)],$A155))</f>
        <v/>
      </c>
      <c r="J155" s="50" t="str">
        <f aca="false">IF($A155="","",INDEX(TblApplications[CPU IKS libérable (vCPU)],$A155))</f>
        <v/>
      </c>
    </row>
    <row r="156" customFormat="false" ht="15" hidden="false" customHeight="false" outlineLevel="0" collapsed="false">
      <c r="A156" s="49" t="str">
        <f aca="false">IFERROR(MATCH(91,TblApplications[Rang extinction],0),"")</f>
        <v/>
      </c>
      <c r="B156" s="50" t="str">
        <f aca="false">IF($A156="","",INDEX(TblApplications[ID],$A156))</f>
        <v/>
      </c>
      <c r="C156" s="50" t="str">
        <f aca="false">IF($A156="","",INDEX(TblApplications[Application],$A156))</f>
        <v/>
      </c>
      <c r="D156" s="50" t="str">
        <f aca="false">IF($A156="","",INDEX(TblApplications[Tribe],$A156))</f>
        <v/>
      </c>
      <c r="E156" s="50" t="str">
        <f aca="false">IF($A156="","",INDEX(TblApplications[Environnement],$A156))</f>
        <v/>
      </c>
      <c r="F156" s="50" t="str">
        <f aca="false">IF($A156="","",INDEX(TblApplications[Couloir],$A156))</f>
        <v/>
      </c>
      <c r="G156" s="50" t="str">
        <f aca="false">IF($A156="","",INDEX(TblApplications[Action],$A156))</f>
        <v/>
      </c>
      <c r="H156" s="50" t="str">
        <f aca="false">IF($A156="","",INDEX(TblApplications[Cluster IKS source],$A156))</f>
        <v/>
      </c>
      <c r="I156" s="63" t="str">
        <f aca="false">IF($A156="","",INDEX(TblApplications[Mois lib (calc)],$A156))</f>
        <v/>
      </c>
      <c r="J156" s="50" t="str">
        <f aca="false">IF($A156="","",INDEX(TblApplications[CPU IKS libérable (vCPU)],$A156))</f>
        <v/>
      </c>
    </row>
    <row r="157" customFormat="false" ht="15" hidden="false" customHeight="false" outlineLevel="0" collapsed="false">
      <c r="A157" s="49" t="str">
        <f aca="false">IFERROR(MATCH(92,TblApplications[Rang extinction],0),"")</f>
        <v/>
      </c>
      <c r="B157" s="50" t="str">
        <f aca="false">IF($A157="","",INDEX(TblApplications[ID],$A157))</f>
        <v/>
      </c>
      <c r="C157" s="50" t="str">
        <f aca="false">IF($A157="","",INDEX(TblApplications[Application],$A157))</f>
        <v/>
      </c>
      <c r="D157" s="50" t="str">
        <f aca="false">IF($A157="","",INDEX(TblApplications[Tribe],$A157))</f>
        <v/>
      </c>
      <c r="E157" s="50" t="str">
        <f aca="false">IF($A157="","",INDEX(TblApplications[Environnement],$A157))</f>
        <v/>
      </c>
      <c r="F157" s="50" t="str">
        <f aca="false">IF($A157="","",INDEX(TblApplications[Couloir],$A157))</f>
        <v/>
      </c>
      <c r="G157" s="50" t="str">
        <f aca="false">IF($A157="","",INDEX(TblApplications[Action],$A157))</f>
        <v/>
      </c>
      <c r="H157" s="50" t="str">
        <f aca="false">IF($A157="","",INDEX(TblApplications[Cluster IKS source],$A157))</f>
        <v/>
      </c>
      <c r="I157" s="63" t="str">
        <f aca="false">IF($A157="","",INDEX(TblApplications[Mois lib (calc)],$A157))</f>
        <v/>
      </c>
      <c r="J157" s="50" t="str">
        <f aca="false">IF($A157="","",INDEX(TblApplications[CPU IKS libérable (vCPU)],$A157))</f>
        <v/>
      </c>
    </row>
    <row r="158" customFormat="false" ht="15" hidden="false" customHeight="false" outlineLevel="0" collapsed="false">
      <c r="A158" s="49" t="str">
        <f aca="false">IFERROR(MATCH(93,TblApplications[Rang extinction],0),"")</f>
        <v/>
      </c>
      <c r="B158" s="50" t="str">
        <f aca="false">IF($A158="","",INDEX(TblApplications[ID],$A158))</f>
        <v/>
      </c>
      <c r="C158" s="50" t="str">
        <f aca="false">IF($A158="","",INDEX(TblApplications[Application],$A158))</f>
        <v/>
      </c>
      <c r="D158" s="50" t="str">
        <f aca="false">IF($A158="","",INDEX(TblApplications[Tribe],$A158))</f>
        <v/>
      </c>
      <c r="E158" s="50" t="str">
        <f aca="false">IF($A158="","",INDEX(TblApplications[Environnement],$A158))</f>
        <v/>
      </c>
      <c r="F158" s="50" t="str">
        <f aca="false">IF($A158="","",INDEX(TblApplications[Couloir],$A158))</f>
        <v/>
      </c>
      <c r="G158" s="50" t="str">
        <f aca="false">IF($A158="","",INDEX(TblApplications[Action],$A158))</f>
        <v/>
      </c>
      <c r="H158" s="50" t="str">
        <f aca="false">IF($A158="","",INDEX(TblApplications[Cluster IKS source],$A158))</f>
        <v/>
      </c>
      <c r="I158" s="63" t="str">
        <f aca="false">IF($A158="","",INDEX(TblApplications[Mois lib (calc)],$A158))</f>
        <v/>
      </c>
      <c r="J158" s="50" t="str">
        <f aca="false">IF($A158="","",INDEX(TblApplications[CPU IKS libérable (vCPU)],$A158))</f>
        <v/>
      </c>
    </row>
    <row r="159" customFormat="false" ht="15" hidden="false" customHeight="false" outlineLevel="0" collapsed="false">
      <c r="A159" s="49" t="str">
        <f aca="false">IFERROR(MATCH(94,TblApplications[Rang extinction],0),"")</f>
        <v/>
      </c>
      <c r="B159" s="50" t="str">
        <f aca="false">IF($A159="","",INDEX(TblApplications[ID],$A159))</f>
        <v/>
      </c>
      <c r="C159" s="50" t="str">
        <f aca="false">IF($A159="","",INDEX(TblApplications[Application],$A159))</f>
        <v/>
      </c>
      <c r="D159" s="50" t="str">
        <f aca="false">IF($A159="","",INDEX(TblApplications[Tribe],$A159))</f>
        <v/>
      </c>
      <c r="E159" s="50" t="str">
        <f aca="false">IF($A159="","",INDEX(TblApplications[Environnement],$A159))</f>
        <v/>
      </c>
      <c r="F159" s="50" t="str">
        <f aca="false">IF($A159="","",INDEX(TblApplications[Couloir],$A159))</f>
        <v/>
      </c>
      <c r="G159" s="50" t="str">
        <f aca="false">IF($A159="","",INDEX(TblApplications[Action],$A159))</f>
        <v/>
      </c>
      <c r="H159" s="50" t="str">
        <f aca="false">IF($A159="","",INDEX(TblApplications[Cluster IKS source],$A159))</f>
        <v/>
      </c>
      <c r="I159" s="63" t="str">
        <f aca="false">IF($A159="","",INDEX(TblApplications[Mois lib (calc)],$A159))</f>
        <v/>
      </c>
      <c r="J159" s="50" t="str">
        <f aca="false">IF($A159="","",INDEX(TblApplications[CPU IKS libérable (vCPU)],$A159))</f>
        <v/>
      </c>
    </row>
    <row r="160" customFormat="false" ht="15" hidden="false" customHeight="false" outlineLevel="0" collapsed="false">
      <c r="A160" s="49" t="str">
        <f aca="false">IFERROR(MATCH(95,TblApplications[Rang extinction],0),"")</f>
        <v/>
      </c>
      <c r="B160" s="50" t="str">
        <f aca="false">IF($A160="","",INDEX(TblApplications[ID],$A160))</f>
        <v/>
      </c>
      <c r="C160" s="50" t="str">
        <f aca="false">IF($A160="","",INDEX(TblApplications[Application],$A160))</f>
        <v/>
      </c>
      <c r="D160" s="50" t="str">
        <f aca="false">IF($A160="","",INDEX(TblApplications[Tribe],$A160))</f>
        <v/>
      </c>
      <c r="E160" s="50" t="str">
        <f aca="false">IF($A160="","",INDEX(TblApplications[Environnement],$A160))</f>
        <v/>
      </c>
      <c r="F160" s="50" t="str">
        <f aca="false">IF($A160="","",INDEX(TblApplications[Couloir],$A160))</f>
        <v/>
      </c>
      <c r="G160" s="50" t="str">
        <f aca="false">IF($A160="","",INDEX(TblApplications[Action],$A160))</f>
        <v/>
      </c>
      <c r="H160" s="50" t="str">
        <f aca="false">IF($A160="","",INDEX(TblApplications[Cluster IKS source],$A160))</f>
        <v/>
      </c>
      <c r="I160" s="63" t="str">
        <f aca="false">IF($A160="","",INDEX(TblApplications[Mois lib (calc)],$A160))</f>
        <v/>
      </c>
      <c r="J160" s="50" t="str">
        <f aca="false">IF($A160="","",INDEX(TblApplications[CPU IKS libérable (vCPU)],$A160))</f>
        <v/>
      </c>
    </row>
    <row r="161" customFormat="false" ht="15" hidden="false" customHeight="false" outlineLevel="0" collapsed="false">
      <c r="A161" s="49" t="str">
        <f aca="false">IFERROR(MATCH(96,TblApplications[Rang extinction],0),"")</f>
        <v/>
      </c>
      <c r="B161" s="50" t="str">
        <f aca="false">IF($A161="","",INDEX(TblApplications[ID],$A161))</f>
        <v/>
      </c>
      <c r="C161" s="50" t="str">
        <f aca="false">IF($A161="","",INDEX(TblApplications[Application],$A161))</f>
        <v/>
      </c>
      <c r="D161" s="50" t="str">
        <f aca="false">IF($A161="","",INDEX(TblApplications[Tribe],$A161))</f>
        <v/>
      </c>
      <c r="E161" s="50" t="str">
        <f aca="false">IF($A161="","",INDEX(TblApplications[Environnement],$A161))</f>
        <v/>
      </c>
      <c r="F161" s="50" t="str">
        <f aca="false">IF($A161="","",INDEX(TblApplications[Couloir],$A161))</f>
        <v/>
      </c>
      <c r="G161" s="50" t="str">
        <f aca="false">IF($A161="","",INDEX(TblApplications[Action],$A161))</f>
        <v/>
      </c>
      <c r="H161" s="50" t="str">
        <f aca="false">IF($A161="","",INDEX(TblApplications[Cluster IKS source],$A161))</f>
        <v/>
      </c>
      <c r="I161" s="63" t="str">
        <f aca="false">IF($A161="","",INDEX(TblApplications[Mois lib (calc)],$A161))</f>
        <v/>
      </c>
      <c r="J161" s="50" t="str">
        <f aca="false">IF($A161="","",INDEX(TblApplications[CPU IKS libérable (vCPU)],$A161))</f>
        <v/>
      </c>
    </row>
    <row r="162" customFormat="false" ht="15" hidden="false" customHeight="false" outlineLevel="0" collapsed="false">
      <c r="A162" s="49" t="str">
        <f aca="false">IFERROR(MATCH(97,TblApplications[Rang extinction],0),"")</f>
        <v/>
      </c>
      <c r="B162" s="50" t="str">
        <f aca="false">IF($A162="","",INDEX(TblApplications[ID],$A162))</f>
        <v/>
      </c>
      <c r="C162" s="50" t="str">
        <f aca="false">IF($A162="","",INDEX(TblApplications[Application],$A162))</f>
        <v/>
      </c>
      <c r="D162" s="50" t="str">
        <f aca="false">IF($A162="","",INDEX(TblApplications[Tribe],$A162))</f>
        <v/>
      </c>
      <c r="E162" s="50" t="str">
        <f aca="false">IF($A162="","",INDEX(TblApplications[Environnement],$A162))</f>
        <v/>
      </c>
      <c r="F162" s="50" t="str">
        <f aca="false">IF($A162="","",INDEX(TblApplications[Couloir],$A162))</f>
        <v/>
      </c>
      <c r="G162" s="50" t="str">
        <f aca="false">IF($A162="","",INDEX(TblApplications[Action],$A162))</f>
        <v/>
      </c>
      <c r="H162" s="50" t="str">
        <f aca="false">IF($A162="","",INDEX(TblApplications[Cluster IKS source],$A162))</f>
        <v/>
      </c>
      <c r="I162" s="63" t="str">
        <f aca="false">IF($A162="","",INDEX(TblApplications[Mois lib (calc)],$A162))</f>
        <v/>
      </c>
      <c r="J162" s="50" t="str">
        <f aca="false">IF($A162="","",INDEX(TblApplications[CPU IKS libérable (vCPU)],$A162))</f>
        <v/>
      </c>
    </row>
    <row r="163" customFormat="false" ht="15" hidden="false" customHeight="false" outlineLevel="0" collapsed="false">
      <c r="A163" s="49" t="str">
        <f aca="false">IFERROR(MATCH(98,TblApplications[Rang extinction],0),"")</f>
        <v/>
      </c>
      <c r="B163" s="50" t="str">
        <f aca="false">IF($A163="","",INDEX(TblApplications[ID],$A163))</f>
        <v/>
      </c>
      <c r="C163" s="50" t="str">
        <f aca="false">IF($A163="","",INDEX(TblApplications[Application],$A163))</f>
        <v/>
      </c>
      <c r="D163" s="50" t="str">
        <f aca="false">IF($A163="","",INDEX(TblApplications[Tribe],$A163))</f>
        <v/>
      </c>
      <c r="E163" s="50" t="str">
        <f aca="false">IF($A163="","",INDEX(TblApplications[Environnement],$A163))</f>
        <v/>
      </c>
      <c r="F163" s="50" t="str">
        <f aca="false">IF($A163="","",INDEX(TblApplications[Couloir],$A163))</f>
        <v/>
      </c>
      <c r="G163" s="50" t="str">
        <f aca="false">IF($A163="","",INDEX(TblApplications[Action],$A163))</f>
        <v/>
      </c>
      <c r="H163" s="50" t="str">
        <f aca="false">IF($A163="","",INDEX(TblApplications[Cluster IKS source],$A163))</f>
        <v/>
      </c>
      <c r="I163" s="63" t="str">
        <f aca="false">IF($A163="","",INDEX(TblApplications[Mois lib (calc)],$A163))</f>
        <v/>
      </c>
      <c r="J163" s="50" t="str">
        <f aca="false">IF($A163="","",INDEX(TblApplications[CPU IKS libérable (vCPU)],$A163))</f>
        <v/>
      </c>
    </row>
    <row r="164" customFormat="false" ht="15" hidden="false" customHeight="false" outlineLevel="0" collapsed="false">
      <c r="A164" s="49" t="str">
        <f aca="false">IFERROR(MATCH(99,TblApplications[Rang extinction],0),"")</f>
        <v/>
      </c>
      <c r="B164" s="50" t="str">
        <f aca="false">IF($A164="","",INDEX(TblApplications[ID],$A164))</f>
        <v/>
      </c>
      <c r="C164" s="50" t="str">
        <f aca="false">IF($A164="","",INDEX(TblApplications[Application],$A164))</f>
        <v/>
      </c>
      <c r="D164" s="50" t="str">
        <f aca="false">IF($A164="","",INDEX(TblApplications[Tribe],$A164))</f>
        <v/>
      </c>
      <c r="E164" s="50" t="str">
        <f aca="false">IF($A164="","",INDEX(TblApplications[Environnement],$A164))</f>
        <v/>
      </c>
      <c r="F164" s="50" t="str">
        <f aca="false">IF($A164="","",INDEX(TblApplications[Couloir],$A164))</f>
        <v/>
      </c>
      <c r="G164" s="50" t="str">
        <f aca="false">IF($A164="","",INDEX(TblApplications[Action],$A164))</f>
        <v/>
      </c>
      <c r="H164" s="50" t="str">
        <f aca="false">IF($A164="","",INDEX(TblApplications[Cluster IKS source],$A164))</f>
        <v/>
      </c>
      <c r="I164" s="63" t="str">
        <f aca="false">IF($A164="","",INDEX(TblApplications[Mois lib (calc)],$A164))</f>
        <v/>
      </c>
      <c r="J164" s="50" t="str">
        <f aca="false">IF($A164="","",INDEX(TblApplications[CPU IKS libérable (vCPU)],$A164))</f>
        <v/>
      </c>
    </row>
    <row r="165" customFormat="false" ht="15" hidden="false" customHeight="false" outlineLevel="0" collapsed="false">
      <c r="A165" s="49" t="str">
        <f aca="false">IFERROR(MATCH(100,TblApplications[Rang extinction],0),"")</f>
        <v/>
      </c>
      <c r="B165" s="50" t="str">
        <f aca="false">IF($A165="","",INDEX(TblApplications[ID],$A165))</f>
        <v/>
      </c>
      <c r="C165" s="50" t="str">
        <f aca="false">IF($A165="","",INDEX(TblApplications[Application],$A165))</f>
        <v/>
      </c>
      <c r="D165" s="50" t="str">
        <f aca="false">IF($A165="","",INDEX(TblApplications[Tribe],$A165))</f>
        <v/>
      </c>
      <c r="E165" s="50" t="str">
        <f aca="false">IF($A165="","",INDEX(TblApplications[Environnement],$A165))</f>
        <v/>
      </c>
      <c r="F165" s="50" t="str">
        <f aca="false">IF($A165="","",INDEX(TblApplications[Couloir],$A165))</f>
        <v/>
      </c>
      <c r="G165" s="50" t="str">
        <f aca="false">IF($A165="","",INDEX(TblApplications[Action],$A165))</f>
        <v/>
      </c>
      <c r="H165" s="50" t="str">
        <f aca="false">IF($A165="","",INDEX(TblApplications[Cluster IKS source],$A165))</f>
        <v/>
      </c>
      <c r="I165" s="63" t="str">
        <f aca="false">IF($A165="","",INDEX(TblApplications[Mois lib (calc)],$A165))</f>
        <v/>
      </c>
      <c r="J165" s="50" t="str">
        <f aca="false">IF($A165="","",INDEX(TblApplications[CPU IKS libérable (vCPU)],$A165))</f>
        <v/>
      </c>
    </row>
    <row r="166" customFormat="false" ht="15" hidden="false" customHeight="false" outlineLevel="0" collapsed="false">
      <c r="A166" s="49" t="str">
        <f aca="false">IFERROR(MATCH(101,TblApplications[Rang extinction],0),"")</f>
        <v/>
      </c>
      <c r="B166" s="50" t="str">
        <f aca="false">IF($A166="","",INDEX(TblApplications[ID],$A166))</f>
        <v/>
      </c>
      <c r="C166" s="50" t="str">
        <f aca="false">IF($A166="","",INDEX(TblApplications[Application],$A166))</f>
        <v/>
      </c>
      <c r="D166" s="50" t="str">
        <f aca="false">IF($A166="","",INDEX(TblApplications[Tribe],$A166))</f>
        <v/>
      </c>
      <c r="E166" s="50" t="str">
        <f aca="false">IF($A166="","",INDEX(TblApplications[Environnement],$A166))</f>
        <v/>
      </c>
      <c r="F166" s="50" t="str">
        <f aca="false">IF($A166="","",INDEX(TblApplications[Couloir],$A166))</f>
        <v/>
      </c>
      <c r="G166" s="50" t="str">
        <f aca="false">IF($A166="","",INDEX(TblApplications[Action],$A166))</f>
        <v/>
      </c>
      <c r="H166" s="50" t="str">
        <f aca="false">IF($A166="","",INDEX(TblApplications[Cluster IKS source],$A166))</f>
        <v/>
      </c>
      <c r="I166" s="63" t="str">
        <f aca="false">IF($A166="","",INDEX(TblApplications[Mois lib (calc)],$A166))</f>
        <v/>
      </c>
      <c r="J166" s="50" t="str">
        <f aca="false">IF($A166="","",INDEX(TblApplications[CPU IKS libérable (vCPU)],$A166))</f>
        <v/>
      </c>
    </row>
    <row r="167" customFormat="false" ht="15" hidden="false" customHeight="false" outlineLevel="0" collapsed="false">
      <c r="A167" s="49" t="str">
        <f aca="false">IFERROR(MATCH(102,TblApplications[Rang extinction],0),"")</f>
        <v/>
      </c>
      <c r="B167" s="50" t="str">
        <f aca="false">IF($A167="","",INDEX(TblApplications[ID],$A167))</f>
        <v/>
      </c>
      <c r="C167" s="50" t="str">
        <f aca="false">IF($A167="","",INDEX(TblApplications[Application],$A167))</f>
        <v/>
      </c>
      <c r="D167" s="50" t="str">
        <f aca="false">IF($A167="","",INDEX(TblApplications[Tribe],$A167))</f>
        <v/>
      </c>
      <c r="E167" s="50" t="str">
        <f aca="false">IF($A167="","",INDEX(TblApplications[Environnement],$A167))</f>
        <v/>
      </c>
      <c r="F167" s="50" t="str">
        <f aca="false">IF($A167="","",INDEX(TblApplications[Couloir],$A167))</f>
        <v/>
      </c>
      <c r="G167" s="50" t="str">
        <f aca="false">IF($A167="","",INDEX(TblApplications[Action],$A167))</f>
        <v/>
      </c>
      <c r="H167" s="50" t="str">
        <f aca="false">IF($A167="","",INDEX(TblApplications[Cluster IKS source],$A167))</f>
        <v/>
      </c>
      <c r="I167" s="63" t="str">
        <f aca="false">IF($A167="","",INDEX(TblApplications[Mois lib (calc)],$A167))</f>
        <v/>
      </c>
      <c r="J167" s="50" t="str">
        <f aca="false">IF($A167="","",INDEX(TblApplications[CPU IKS libérable (vCPU)],$A167))</f>
        <v/>
      </c>
    </row>
    <row r="168" customFormat="false" ht="15" hidden="false" customHeight="false" outlineLevel="0" collapsed="false">
      <c r="A168" s="49" t="str">
        <f aca="false">IFERROR(MATCH(103,TblApplications[Rang extinction],0),"")</f>
        <v/>
      </c>
      <c r="B168" s="50" t="str">
        <f aca="false">IF($A168="","",INDEX(TblApplications[ID],$A168))</f>
        <v/>
      </c>
      <c r="C168" s="50" t="str">
        <f aca="false">IF($A168="","",INDEX(TblApplications[Application],$A168))</f>
        <v/>
      </c>
      <c r="D168" s="50" t="str">
        <f aca="false">IF($A168="","",INDEX(TblApplications[Tribe],$A168))</f>
        <v/>
      </c>
      <c r="E168" s="50" t="str">
        <f aca="false">IF($A168="","",INDEX(TblApplications[Environnement],$A168))</f>
        <v/>
      </c>
      <c r="F168" s="50" t="str">
        <f aca="false">IF($A168="","",INDEX(TblApplications[Couloir],$A168))</f>
        <v/>
      </c>
      <c r="G168" s="50" t="str">
        <f aca="false">IF($A168="","",INDEX(TblApplications[Action],$A168))</f>
        <v/>
      </c>
      <c r="H168" s="50" t="str">
        <f aca="false">IF($A168="","",INDEX(TblApplications[Cluster IKS source],$A168))</f>
        <v/>
      </c>
      <c r="I168" s="63" t="str">
        <f aca="false">IF($A168="","",INDEX(TblApplications[Mois lib (calc)],$A168))</f>
        <v/>
      </c>
      <c r="J168" s="50" t="str">
        <f aca="false">IF($A168="","",INDEX(TblApplications[CPU IKS libérable (vCPU)],$A168))</f>
        <v/>
      </c>
    </row>
    <row r="169" customFormat="false" ht="15" hidden="false" customHeight="false" outlineLevel="0" collapsed="false">
      <c r="A169" s="49" t="str">
        <f aca="false">IFERROR(MATCH(104,TblApplications[Rang extinction],0),"")</f>
        <v/>
      </c>
      <c r="B169" s="50" t="str">
        <f aca="false">IF($A169="","",INDEX(TblApplications[ID],$A169))</f>
        <v/>
      </c>
      <c r="C169" s="50" t="str">
        <f aca="false">IF($A169="","",INDEX(TblApplications[Application],$A169))</f>
        <v/>
      </c>
      <c r="D169" s="50" t="str">
        <f aca="false">IF($A169="","",INDEX(TblApplications[Tribe],$A169))</f>
        <v/>
      </c>
      <c r="E169" s="50" t="str">
        <f aca="false">IF($A169="","",INDEX(TblApplications[Environnement],$A169))</f>
        <v/>
      </c>
      <c r="F169" s="50" t="str">
        <f aca="false">IF($A169="","",INDEX(TblApplications[Couloir],$A169))</f>
        <v/>
      </c>
      <c r="G169" s="50" t="str">
        <f aca="false">IF($A169="","",INDEX(TblApplications[Action],$A169))</f>
        <v/>
      </c>
      <c r="H169" s="50" t="str">
        <f aca="false">IF($A169="","",INDEX(TblApplications[Cluster IKS source],$A169))</f>
        <v/>
      </c>
      <c r="I169" s="63" t="str">
        <f aca="false">IF($A169="","",INDEX(TblApplications[Mois lib (calc)],$A169))</f>
        <v/>
      </c>
      <c r="J169" s="50" t="str">
        <f aca="false">IF($A169="","",INDEX(TblApplications[CPU IKS libérable (vCPU)],$A169))</f>
        <v/>
      </c>
    </row>
    <row r="170" customFormat="false" ht="15" hidden="false" customHeight="false" outlineLevel="0" collapsed="false">
      <c r="A170" s="49" t="str">
        <f aca="false">IFERROR(MATCH(105,TblApplications[Rang extinction],0),"")</f>
        <v/>
      </c>
      <c r="B170" s="50" t="str">
        <f aca="false">IF($A170="","",INDEX(TblApplications[ID],$A170))</f>
        <v/>
      </c>
      <c r="C170" s="50" t="str">
        <f aca="false">IF($A170="","",INDEX(TblApplications[Application],$A170))</f>
        <v/>
      </c>
      <c r="D170" s="50" t="str">
        <f aca="false">IF($A170="","",INDEX(TblApplications[Tribe],$A170))</f>
        <v/>
      </c>
      <c r="E170" s="50" t="str">
        <f aca="false">IF($A170="","",INDEX(TblApplications[Environnement],$A170))</f>
        <v/>
      </c>
      <c r="F170" s="50" t="str">
        <f aca="false">IF($A170="","",INDEX(TblApplications[Couloir],$A170))</f>
        <v/>
      </c>
      <c r="G170" s="50" t="str">
        <f aca="false">IF($A170="","",INDEX(TblApplications[Action],$A170))</f>
        <v/>
      </c>
      <c r="H170" s="50" t="str">
        <f aca="false">IF($A170="","",INDEX(TblApplications[Cluster IKS source],$A170))</f>
        <v/>
      </c>
      <c r="I170" s="63" t="str">
        <f aca="false">IF($A170="","",INDEX(TblApplications[Mois lib (calc)],$A170))</f>
        <v/>
      </c>
      <c r="J170" s="50" t="str">
        <f aca="false">IF($A170="","",INDEX(TblApplications[CPU IKS libérable (vCPU)],$A170))</f>
        <v/>
      </c>
    </row>
    <row r="171" customFormat="false" ht="15" hidden="false" customHeight="false" outlineLevel="0" collapsed="false">
      <c r="A171" s="49" t="str">
        <f aca="false">IFERROR(MATCH(106,TblApplications[Rang extinction],0),"")</f>
        <v/>
      </c>
      <c r="B171" s="50" t="str">
        <f aca="false">IF($A171="","",INDEX(TblApplications[ID],$A171))</f>
        <v/>
      </c>
      <c r="C171" s="50" t="str">
        <f aca="false">IF($A171="","",INDEX(TblApplications[Application],$A171))</f>
        <v/>
      </c>
      <c r="D171" s="50" t="str">
        <f aca="false">IF($A171="","",INDEX(TblApplications[Tribe],$A171))</f>
        <v/>
      </c>
      <c r="E171" s="50" t="str">
        <f aca="false">IF($A171="","",INDEX(TblApplications[Environnement],$A171))</f>
        <v/>
      </c>
      <c r="F171" s="50" t="str">
        <f aca="false">IF($A171="","",INDEX(TblApplications[Couloir],$A171))</f>
        <v/>
      </c>
      <c r="G171" s="50" t="str">
        <f aca="false">IF($A171="","",INDEX(TblApplications[Action],$A171))</f>
        <v/>
      </c>
      <c r="H171" s="50" t="str">
        <f aca="false">IF($A171="","",INDEX(TblApplications[Cluster IKS source],$A171))</f>
        <v/>
      </c>
      <c r="I171" s="63" t="str">
        <f aca="false">IF($A171="","",INDEX(TblApplications[Mois lib (calc)],$A171))</f>
        <v/>
      </c>
      <c r="J171" s="50" t="str">
        <f aca="false">IF($A171="","",INDEX(TblApplications[CPU IKS libérable (vCPU)],$A171))</f>
        <v/>
      </c>
    </row>
    <row r="172" customFormat="false" ht="15" hidden="false" customHeight="false" outlineLevel="0" collapsed="false">
      <c r="A172" s="49" t="str">
        <f aca="false">IFERROR(MATCH(107,TblApplications[Rang extinction],0),"")</f>
        <v/>
      </c>
      <c r="B172" s="50" t="str">
        <f aca="false">IF($A172="","",INDEX(TblApplications[ID],$A172))</f>
        <v/>
      </c>
      <c r="C172" s="50" t="str">
        <f aca="false">IF($A172="","",INDEX(TblApplications[Application],$A172))</f>
        <v/>
      </c>
      <c r="D172" s="50" t="str">
        <f aca="false">IF($A172="","",INDEX(TblApplications[Tribe],$A172))</f>
        <v/>
      </c>
      <c r="E172" s="50" t="str">
        <f aca="false">IF($A172="","",INDEX(TblApplications[Environnement],$A172))</f>
        <v/>
      </c>
      <c r="F172" s="50" t="str">
        <f aca="false">IF($A172="","",INDEX(TblApplications[Couloir],$A172))</f>
        <v/>
      </c>
      <c r="G172" s="50" t="str">
        <f aca="false">IF($A172="","",INDEX(TblApplications[Action],$A172))</f>
        <v/>
      </c>
      <c r="H172" s="50" t="str">
        <f aca="false">IF($A172="","",INDEX(TblApplications[Cluster IKS source],$A172))</f>
        <v/>
      </c>
      <c r="I172" s="63" t="str">
        <f aca="false">IF($A172="","",INDEX(TblApplications[Mois lib (calc)],$A172))</f>
        <v/>
      </c>
      <c r="J172" s="50" t="str">
        <f aca="false">IF($A172="","",INDEX(TblApplications[CPU IKS libérable (vCPU)],$A172))</f>
        <v/>
      </c>
    </row>
    <row r="173" customFormat="false" ht="15" hidden="false" customHeight="false" outlineLevel="0" collapsed="false">
      <c r="A173" s="49" t="str">
        <f aca="false">IFERROR(MATCH(108,TblApplications[Rang extinction],0),"")</f>
        <v/>
      </c>
      <c r="B173" s="50" t="str">
        <f aca="false">IF($A173="","",INDEX(TblApplications[ID],$A173))</f>
        <v/>
      </c>
      <c r="C173" s="50" t="str">
        <f aca="false">IF($A173="","",INDEX(TblApplications[Application],$A173))</f>
        <v/>
      </c>
      <c r="D173" s="50" t="str">
        <f aca="false">IF($A173="","",INDEX(TblApplications[Tribe],$A173))</f>
        <v/>
      </c>
      <c r="E173" s="50" t="str">
        <f aca="false">IF($A173="","",INDEX(TblApplications[Environnement],$A173))</f>
        <v/>
      </c>
      <c r="F173" s="50" t="str">
        <f aca="false">IF($A173="","",INDEX(TblApplications[Couloir],$A173))</f>
        <v/>
      </c>
      <c r="G173" s="50" t="str">
        <f aca="false">IF($A173="","",INDEX(TblApplications[Action],$A173))</f>
        <v/>
      </c>
      <c r="H173" s="50" t="str">
        <f aca="false">IF($A173="","",INDEX(TblApplications[Cluster IKS source],$A173))</f>
        <v/>
      </c>
      <c r="I173" s="63" t="str">
        <f aca="false">IF($A173="","",INDEX(TblApplications[Mois lib (calc)],$A173))</f>
        <v/>
      </c>
      <c r="J173" s="50" t="str">
        <f aca="false">IF($A173="","",INDEX(TblApplications[CPU IKS libérable (vCPU)],$A173))</f>
        <v/>
      </c>
    </row>
    <row r="174" customFormat="false" ht="15" hidden="false" customHeight="false" outlineLevel="0" collapsed="false">
      <c r="A174" s="49" t="str">
        <f aca="false">IFERROR(MATCH(109,TblApplications[Rang extinction],0),"")</f>
        <v/>
      </c>
      <c r="B174" s="50" t="str">
        <f aca="false">IF($A174="","",INDEX(TblApplications[ID],$A174))</f>
        <v/>
      </c>
      <c r="C174" s="50" t="str">
        <f aca="false">IF($A174="","",INDEX(TblApplications[Application],$A174))</f>
        <v/>
      </c>
      <c r="D174" s="50" t="str">
        <f aca="false">IF($A174="","",INDEX(TblApplications[Tribe],$A174))</f>
        <v/>
      </c>
      <c r="E174" s="50" t="str">
        <f aca="false">IF($A174="","",INDEX(TblApplications[Environnement],$A174))</f>
        <v/>
      </c>
      <c r="F174" s="50" t="str">
        <f aca="false">IF($A174="","",INDEX(TblApplications[Couloir],$A174))</f>
        <v/>
      </c>
      <c r="G174" s="50" t="str">
        <f aca="false">IF($A174="","",INDEX(TblApplications[Action],$A174))</f>
        <v/>
      </c>
      <c r="H174" s="50" t="str">
        <f aca="false">IF($A174="","",INDEX(TblApplications[Cluster IKS source],$A174))</f>
        <v/>
      </c>
      <c r="I174" s="63" t="str">
        <f aca="false">IF($A174="","",INDEX(TblApplications[Mois lib (calc)],$A174))</f>
        <v/>
      </c>
      <c r="J174" s="50" t="str">
        <f aca="false">IF($A174="","",INDEX(TblApplications[CPU IKS libérable (vCPU)],$A174))</f>
        <v/>
      </c>
    </row>
    <row r="175" customFormat="false" ht="15" hidden="false" customHeight="false" outlineLevel="0" collapsed="false">
      <c r="A175" s="49" t="str">
        <f aca="false">IFERROR(MATCH(110,TblApplications[Rang extinction],0),"")</f>
        <v/>
      </c>
      <c r="B175" s="50" t="str">
        <f aca="false">IF($A175="","",INDEX(TblApplications[ID],$A175))</f>
        <v/>
      </c>
      <c r="C175" s="50" t="str">
        <f aca="false">IF($A175="","",INDEX(TblApplications[Application],$A175))</f>
        <v/>
      </c>
      <c r="D175" s="50" t="str">
        <f aca="false">IF($A175="","",INDEX(TblApplications[Tribe],$A175))</f>
        <v/>
      </c>
      <c r="E175" s="50" t="str">
        <f aca="false">IF($A175="","",INDEX(TblApplications[Environnement],$A175))</f>
        <v/>
      </c>
      <c r="F175" s="50" t="str">
        <f aca="false">IF($A175="","",INDEX(TblApplications[Couloir],$A175))</f>
        <v/>
      </c>
      <c r="G175" s="50" t="str">
        <f aca="false">IF($A175="","",INDEX(TblApplications[Action],$A175))</f>
        <v/>
      </c>
      <c r="H175" s="50" t="str">
        <f aca="false">IF($A175="","",INDEX(TblApplications[Cluster IKS source],$A175))</f>
        <v/>
      </c>
      <c r="I175" s="63" t="str">
        <f aca="false">IF($A175="","",INDEX(TblApplications[Mois lib (calc)],$A175))</f>
        <v/>
      </c>
      <c r="J175" s="50" t="str">
        <f aca="false">IF($A175="","",INDEX(TblApplications[CPU IKS libérable (vCPU)],$A175))</f>
        <v/>
      </c>
    </row>
    <row r="176" customFormat="false" ht="15" hidden="false" customHeight="false" outlineLevel="0" collapsed="false">
      <c r="A176" s="49" t="str">
        <f aca="false">IFERROR(MATCH(111,TblApplications[Rang extinction],0),"")</f>
        <v/>
      </c>
      <c r="B176" s="50" t="str">
        <f aca="false">IF($A176="","",INDEX(TblApplications[ID],$A176))</f>
        <v/>
      </c>
      <c r="C176" s="50" t="str">
        <f aca="false">IF($A176="","",INDEX(TblApplications[Application],$A176))</f>
        <v/>
      </c>
      <c r="D176" s="50" t="str">
        <f aca="false">IF($A176="","",INDEX(TblApplications[Tribe],$A176))</f>
        <v/>
      </c>
      <c r="E176" s="50" t="str">
        <f aca="false">IF($A176="","",INDEX(TblApplications[Environnement],$A176))</f>
        <v/>
      </c>
      <c r="F176" s="50" t="str">
        <f aca="false">IF($A176="","",INDEX(TblApplications[Couloir],$A176))</f>
        <v/>
      </c>
      <c r="G176" s="50" t="str">
        <f aca="false">IF($A176="","",INDEX(TblApplications[Action],$A176))</f>
        <v/>
      </c>
      <c r="H176" s="50" t="str">
        <f aca="false">IF($A176="","",INDEX(TblApplications[Cluster IKS source],$A176))</f>
        <v/>
      </c>
      <c r="I176" s="63" t="str">
        <f aca="false">IF($A176="","",INDEX(TblApplications[Mois lib (calc)],$A176))</f>
        <v/>
      </c>
      <c r="J176" s="50" t="str">
        <f aca="false">IF($A176="","",INDEX(TblApplications[CPU IKS libérable (vCPU)],$A176))</f>
        <v/>
      </c>
    </row>
    <row r="177" customFormat="false" ht="15" hidden="false" customHeight="false" outlineLevel="0" collapsed="false">
      <c r="A177" s="49" t="str">
        <f aca="false">IFERROR(MATCH(112,TblApplications[Rang extinction],0),"")</f>
        <v/>
      </c>
      <c r="B177" s="50" t="str">
        <f aca="false">IF($A177="","",INDEX(TblApplications[ID],$A177))</f>
        <v/>
      </c>
      <c r="C177" s="50" t="str">
        <f aca="false">IF($A177="","",INDEX(TblApplications[Application],$A177))</f>
        <v/>
      </c>
      <c r="D177" s="50" t="str">
        <f aca="false">IF($A177="","",INDEX(TblApplications[Tribe],$A177))</f>
        <v/>
      </c>
      <c r="E177" s="50" t="str">
        <f aca="false">IF($A177="","",INDEX(TblApplications[Environnement],$A177))</f>
        <v/>
      </c>
      <c r="F177" s="50" t="str">
        <f aca="false">IF($A177="","",INDEX(TblApplications[Couloir],$A177))</f>
        <v/>
      </c>
      <c r="G177" s="50" t="str">
        <f aca="false">IF($A177="","",INDEX(TblApplications[Action],$A177))</f>
        <v/>
      </c>
      <c r="H177" s="50" t="str">
        <f aca="false">IF($A177="","",INDEX(TblApplications[Cluster IKS source],$A177))</f>
        <v/>
      </c>
      <c r="I177" s="63" t="str">
        <f aca="false">IF($A177="","",INDEX(TblApplications[Mois lib (calc)],$A177))</f>
        <v/>
      </c>
      <c r="J177" s="50" t="str">
        <f aca="false">IF($A177="","",INDEX(TblApplications[CPU IKS libérable (vCPU)],$A177))</f>
        <v/>
      </c>
    </row>
    <row r="178" customFormat="false" ht="15" hidden="false" customHeight="false" outlineLevel="0" collapsed="false">
      <c r="A178" s="49" t="str">
        <f aca="false">IFERROR(MATCH(113,TblApplications[Rang extinction],0),"")</f>
        <v/>
      </c>
      <c r="B178" s="50" t="str">
        <f aca="false">IF($A178="","",INDEX(TblApplications[ID],$A178))</f>
        <v/>
      </c>
      <c r="C178" s="50" t="str">
        <f aca="false">IF($A178="","",INDEX(TblApplications[Application],$A178))</f>
        <v/>
      </c>
      <c r="D178" s="50" t="str">
        <f aca="false">IF($A178="","",INDEX(TblApplications[Tribe],$A178))</f>
        <v/>
      </c>
      <c r="E178" s="50" t="str">
        <f aca="false">IF($A178="","",INDEX(TblApplications[Environnement],$A178))</f>
        <v/>
      </c>
      <c r="F178" s="50" t="str">
        <f aca="false">IF($A178="","",INDEX(TblApplications[Couloir],$A178))</f>
        <v/>
      </c>
      <c r="G178" s="50" t="str">
        <f aca="false">IF($A178="","",INDEX(TblApplications[Action],$A178))</f>
        <v/>
      </c>
      <c r="H178" s="50" t="str">
        <f aca="false">IF($A178="","",INDEX(TblApplications[Cluster IKS source],$A178))</f>
        <v/>
      </c>
      <c r="I178" s="63" t="str">
        <f aca="false">IF($A178="","",INDEX(TblApplications[Mois lib (calc)],$A178))</f>
        <v/>
      </c>
      <c r="J178" s="50" t="str">
        <f aca="false">IF($A178="","",INDEX(TblApplications[CPU IKS libérable (vCPU)],$A178))</f>
        <v/>
      </c>
    </row>
    <row r="179" customFormat="false" ht="15" hidden="false" customHeight="false" outlineLevel="0" collapsed="false">
      <c r="A179" s="49" t="str">
        <f aca="false">IFERROR(MATCH(114,TblApplications[Rang extinction],0),"")</f>
        <v/>
      </c>
      <c r="B179" s="50" t="str">
        <f aca="false">IF($A179="","",INDEX(TblApplications[ID],$A179))</f>
        <v/>
      </c>
      <c r="C179" s="50" t="str">
        <f aca="false">IF($A179="","",INDEX(TblApplications[Application],$A179))</f>
        <v/>
      </c>
      <c r="D179" s="50" t="str">
        <f aca="false">IF($A179="","",INDEX(TblApplications[Tribe],$A179))</f>
        <v/>
      </c>
      <c r="E179" s="50" t="str">
        <f aca="false">IF($A179="","",INDEX(TblApplications[Environnement],$A179))</f>
        <v/>
      </c>
      <c r="F179" s="50" t="str">
        <f aca="false">IF($A179="","",INDEX(TblApplications[Couloir],$A179))</f>
        <v/>
      </c>
      <c r="G179" s="50" t="str">
        <f aca="false">IF($A179="","",INDEX(TblApplications[Action],$A179))</f>
        <v/>
      </c>
      <c r="H179" s="50" t="str">
        <f aca="false">IF($A179="","",INDEX(TblApplications[Cluster IKS source],$A179))</f>
        <v/>
      </c>
      <c r="I179" s="63" t="str">
        <f aca="false">IF($A179="","",INDEX(TblApplications[Mois lib (calc)],$A179))</f>
        <v/>
      </c>
      <c r="J179" s="50" t="str">
        <f aca="false">IF($A179="","",INDEX(TblApplications[CPU IKS libérable (vCPU)],$A179))</f>
        <v/>
      </c>
    </row>
    <row r="180" customFormat="false" ht="15" hidden="false" customHeight="false" outlineLevel="0" collapsed="false">
      <c r="A180" s="49" t="str">
        <f aca="false">IFERROR(MATCH(115,TblApplications[Rang extinction],0),"")</f>
        <v/>
      </c>
      <c r="B180" s="50" t="str">
        <f aca="false">IF($A180="","",INDEX(TblApplications[ID],$A180))</f>
        <v/>
      </c>
      <c r="C180" s="50" t="str">
        <f aca="false">IF($A180="","",INDEX(TblApplications[Application],$A180))</f>
        <v/>
      </c>
      <c r="D180" s="50" t="str">
        <f aca="false">IF($A180="","",INDEX(TblApplications[Tribe],$A180))</f>
        <v/>
      </c>
      <c r="E180" s="50" t="str">
        <f aca="false">IF($A180="","",INDEX(TblApplications[Environnement],$A180))</f>
        <v/>
      </c>
      <c r="F180" s="50" t="str">
        <f aca="false">IF($A180="","",INDEX(TblApplications[Couloir],$A180))</f>
        <v/>
      </c>
      <c r="G180" s="50" t="str">
        <f aca="false">IF($A180="","",INDEX(TblApplications[Action],$A180))</f>
        <v/>
      </c>
      <c r="H180" s="50" t="str">
        <f aca="false">IF($A180="","",INDEX(TblApplications[Cluster IKS source],$A180))</f>
        <v/>
      </c>
      <c r="I180" s="63" t="str">
        <f aca="false">IF($A180="","",INDEX(TblApplications[Mois lib (calc)],$A180))</f>
        <v/>
      </c>
      <c r="J180" s="50" t="str">
        <f aca="false">IF($A180="","",INDEX(TblApplications[CPU IKS libérable (vCPU)],$A180))</f>
        <v/>
      </c>
    </row>
    <row r="181" customFormat="false" ht="15" hidden="false" customHeight="false" outlineLevel="0" collapsed="false">
      <c r="A181" s="49" t="str">
        <f aca="false">IFERROR(MATCH(116,TblApplications[Rang extinction],0),"")</f>
        <v/>
      </c>
      <c r="B181" s="50" t="str">
        <f aca="false">IF($A181="","",INDEX(TblApplications[ID],$A181))</f>
        <v/>
      </c>
      <c r="C181" s="50" t="str">
        <f aca="false">IF($A181="","",INDEX(TblApplications[Application],$A181))</f>
        <v/>
      </c>
      <c r="D181" s="50" t="str">
        <f aca="false">IF($A181="","",INDEX(TblApplications[Tribe],$A181))</f>
        <v/>
      </c>
      <c r="E181" s="50" t="str">
        <f aca="false">IF($A181="","",INDEX(TblApplications[Environnement],$A181))</f>
        <v/>
      </c>
      <c r="F181" s="50" t="str">
        <f aca="false">IF($A181="","",INDEX(TblApplications[Couloir],$A181))</f>
        <v/>
      </c>
      <c r="G181" s="50" t="str">
        <f aca="false">IF($A181="","",INDEX(TblApplications[Action],$A181))</f>
        <v/>
      </c>
      <c r="H181" s="50" t="str">
        <f aca="false">IF($A181="","",INDEX(TblApplications[Cluster IKS source],$A181))</f>
        <v/>
      </c>
      <c r="I181" s="63" t="str">
        <f aca="false">IF($A181="","",INDEX(TblApplications[Mois lib (calc)],$A181))</f>
        <v/>
      </c>
      <c r="J181" s="50" t="str">
        <f aca="false">IF($A181="","",INDEX(TblApplications[CPU IKS libérable (vCPU)],$A181))</f>
        <v/>
      </c>
    </row>
    <row r="182" customFormat="false" ht="15" hidden="false" customHeight="false" outlineLevel="0" collapsed="false">
      <c r="A182" s="49" t="str">
        <f aca="false">IFERROR(MATCH(117,TblApplications[Rang extinction],0),"")</f>
        <v/>
      </c>
      <c r="B182" s="50" t="str">
        <f aca="false">IF($A182="","",INDEX(TblApplications[ID],$A182))</f>
        <v/>
      </c>
      <c r="C182" s="50" t="str">
        <f aca="false">IF($A182="","",INDEX(TblApplications[Application],$A182))</f>
        <v/>
      </c>
      <c r="D182" s="50" t="str">
        <f aca="false">IF($A182="","",INDEX(TblApplications[Tribe],$A182))</f>
        <v/>
      </c>
      <c r="E182" s="50" t="str">
        <f aca="false">IF($A182="","",INDEX(TblApplications[Environnement],$A182))</f>
        <v/>
      </c>
      <c r="F182" s="50" t="str">
        <f aca="false">IF($A182="","",INDEX(TblApplications[Couloir],$A182))</f>
        <v/>
      </c>
      <c r="G182" s="50" t="str">
        <f aca="false">IF($A182="","",INDEX(TblApplications[Action],$A182))</f>
        <v/>
      </c>
      <c r="H182" s="50" t="str">
        <f aca="false">IF($A182="","",INDEX(TblApplications[Cluster IKS source],$A182))</f>
        <v/>
      </c>
      <c r="I182" s="63" t="str">
        <f aca="false">IF($A182="","",INDEX(TblApplications[Mois lib (calc)],$A182))</f>
        <v/>
      </c>
      <c r="J182" s="50" t="str">
        <f aca="false">IF($A182="","",INDEX(TblApplications[CPU IKS libérable (vCPU)],$A182))</f>
        <v/>
      </c>
    </row>
    <row r="183" customFormat="false" ht="15" hidden="false" customHeight="false" outlineLevel="0" collapsed="false">
      <c r="A183" s="49" t="str">
        <f aca="false">IFERROR(MATCH(118,TblApplications[Rang extinction],0),"")</f>
        <v/>
      </c>
      <c r="B183" s="50" t="str">
        <f aca="false">IF($A183="","",INDEX(TblApplications[ID],$A183))</f>
        <v/>
      </c>
      <c r="C183" s="50" t="str">
        <f aca="false">IF($A183="","",INDEX(TblApplications[Application],$A183))</f>
        <v/>
      </c>
      <c r="D183" s="50" t="str">
        <f aca="false">IF($A183="","",INDEX(TblApplications[Tribe],$A183))</f>
        <v/>
      </c>
      <c r="E183" s="50" t="str">
        <f aca="false">IF($A183="","",INDEX(TblApplications[Environnement],$A183))</f>
        <v/>
      </c>
      <c r="F183" s="50" t="str">
        <f aca="false">IF($A183="","",INDEX(TblApplications[Couloir],$A183))</f>
        <v/>
      </c>
      <c r="G183" s="50" t="str">
        <f aca="false">IF($A183="","",INDEX(TblApplications[Action],$A183))</f>
        <v/>
      </c>
      <c r="H183" s="50" t="str">
        <f aca="false">IF($A183="","",INDEX(TblApplications[Cluster IKS source],$A183))</f>
        <v/>
      </c>
      <c r="I183" s="63" t="str">
        <f aca="false">IF($A183="","",INDEX(TblApplications[Mois lib (calc)],$A183))</f>
        <v/>
      </c>
      <c r="J183" s="50" t="str">
        <f aca="false">IF($A183="","",INDEX(TblApplications[CPU IKS libérable (vCPU)],$A183))</f>
        <v/>
      </c>
    </row>
    <row r="184" customFormat="false" ht="15" hidden="false" customHeight="false" outlineLevel="0" collapsed="false">
      <c r="A184" s="49" t="str">
        <f aca="false">IFERROR(MATCH(119,TblApplications[Rang extinction],0),"")</f>
        <v/>
      </c>
      <c r="B184" s="50" t="str">
        <f aca="false">IF($A184="","",INDEX(TblApplications[ID],$A184))</f>
        <v/>
      </c>
      <c r="C184" s="50" t="str">
        <f aca="false">IF($A184="","",INDEX(TblApplications[Application],$A184))</f>
        <v/>
      </c>
      <c r="D184" s="50" t="str">
        <f aca="false">IF($A184="","",INDEX(TblApplications[Tribe],$A184))</f>
        <v/>
      </c>
      <c r="E184" s="50" t="str">
        <f aca="false">IF($A184="","",INDEX(TblApplications[Environnement],$A184))</f>
        <v/>
      </c>
      <c r="F184" s="50" t="str">
        <f aca="false">IF($A184="","",INDEX(TblApplications[Couloir],$A184))</f>
        <v/>
      </c>
      <c r="G184" s="50" t="str">
        <f aca="false">IF($A184="","",INDEX(TblApplications[Action],$A184))</f>
        <v/>
      </c>
      <c r="H184" s="50" t="str">
        <f aca="false">IF($A184="","",INDEX(TblApplications[Cluster IKS source],$A184))</f>
        <v/>
      </c>
      <c r="I184" s="63" t="str">
        <f aca="false">IF($A184="","",INDEX(TblApplications[Mois lib (calc)],$A184))</f>
        <v/>
      </c>
      <c r="J184" s="50" t="str">
        <f aca="false">IF($A184="","",INDEX(TblApplications[CPU IKS libérable (vCPU)],$A184))</f>
        <v/>
      </c>
    </row>
    <row r="185" customFormat="false" ht="15" hidden="false" customHeight="false" outlineLevel="0" collapsed="false">
      <c r="A185" s="49" t="str">
        <f aca="false">IFERROR(MATCH(120,TblApplications[Rang extinction],0),"")</f>
        <v/>
      </c>
      <c r="B185" s="50" t="str">
        <f aca="false">IF($A185="","",INDEX(TblApplications[ID],$A185))</f>
        <v/>
      </c>
      <c r="C185" s="50" t="str">
        <f aca="false">IF($A185="","",INDEX(TblApplications[Application],$A185))</f>
        <v/>
      </c>
      <c r="D185" s="50" t="str">
        <f aca="false">IF($A185="","",INDEX(TblApplications[Tribe],$A185))</f>
        <v/>
      </c>
      <c r="E185" s="50" t="str">
        <f aca="false">IF($A185="","",INDEX(TblApplications[Environnement],$A185))</f>
        <v/>
      </c>
      <c r="F185" s="50" t="str">
        <f aca="false">IF($A185="","",INDEX(TblApplications[Couloir],$A185))</f>
        <v/>
      </c>
      <c r="G185" s="50" t="str">
        <f aca="false">IF($A185="","",INDEX(TblApplications[Action],$A185))</f>
        <v/>
      </c>
      <c r="H185" s="50" t="str">
        <f aca="false">IF($A185="","",INDEX(TblApplications[Cluster IKS source],$A185))</f>
        <v/>
      </c>
      <c r="I185" s="63" t="str">
        <f aca="false">IF($A185="","",INDEX(TblApplications[Mois lib (calc)],$A185))</f>
        <v/>
      </c>
      <c r="J185" s="50" t="str">
        <f aca="false">IF($A185="","",INDEX(TblApplications[CPU IKS libérable (vCPU)],$A185))</f>
        <v/>
      </c>
    </row>
    <row r="186" customFormat="false" ht="15" hidden="false" customHeight="false" outlineLevel="0" collapsed="false">
      <c r="A186" s="49" t="str">
        <f aca="false">IFERROR(MATCH(121,TblApplications[Rang extinction],0),"")</f>
        <v/>
      </c>
      <c r="B186" s="50" t="str">
        <f aca="false">IF($A186="","",INDEX(TblApplications[ID],$A186))</f>
        <v/>
      </c>
      <c r="C186" s="50" t="str">
        <f aca="false">IF($A186="","",INDEX(TblApplications[Application],$A186))</f>
        <v/>
      </c>
      <c r="D186" s="50" t="str">
        <f aca="false">IF($A186="","",INDEX(TblApplications[Tribe],$A186))</f>
        <v/>
      </c>
      <c r="E186" s="50" t="str">
        <f aca="false">IF($A186="","",INDEX(TblApplications[Environnement],$A186))</f>
        <v/>
      </c>
      <c r="F186" s="50" t="str">
        <f aca="false">IF($A186="","",INDEX(TblApplications[Couloir],$A186))</f>
        <v/>
      </c>
      <c r="G186" s="50" t="str">
        <f aca="false">IF($A186="","",INDEX(TblApplications[Action],$A186))</f>
        <v/>
      </c>
      <c r="H186" s="50" t="str">
        <f aca="false">IF($A186="","",INDEX(TblApplications[Cluster IKS source],$A186))</f>
        <v/>
      </c>
      <c r="I186" s="63" t="str">
        <f aca="false">IF($A186="","",INDEX(TblApplications[Mois lib (calc)],$A186))</f>
        <v/>
      </c>
      <c r="J186" s="50" t="str">
        <f aca="false">IF($A186="","",INDEX(TblApplications[CPU IKS libérable (vCPU)],$A186))</f>
        <v/>
      </c>
    </row>
    <row r="187" customFormat="false" ht="15" hidden="false" customHeight="false" outlineLevel="0" collapsed="false">
      <c r="A187" s="49" t="str">
        <f aca="false">IFERROR(MATCH(122,TblApplications[Rang extinction],0),"")</f>
        <v/>
      </c>
      <c r="B187" s="50" t="str">
        <f aca="false">IF($A187="","",INDEX(TblApplications[ID],$A187))</f>
        <v/>
      </c>
      <c r="C187" s="50" t="str">
        <f aca="false">IF($A187="","",INDEX(TblApplications[Application],$A187))</f>
        <v/>
      </c>
      <c r="D187" s="50" t="str">
        <f aca="false">IF($A187="","",INDEX(TblApplications[Tribe],$A187))</f>
        <v/>
      </c>
      <c r="E187" s="50" t="str">
        <f aca="false">IF($A187="","",INDEX(TblApplications[Environnement],$A187))</f>
        <v/>
      </c>
      <c r="F187" s="50" t="str">
        <f aca="false">IF($A187="","",INDEX(TblApplications[Couloir],$A187))</f>
        <v/>
      </c>
      <c r="G187" s="50" t="str">
        <f aca="false">IF($A187="","",INDEX(TblApplications[Action],$A187))</f>
        <v/>
      </c>
      <c r="H187" s="50" t="str">
        <f aca="false">IF($A187="","",INDEX(TblApplications[Cluster IKS source],$A187))</f>
        <v/>
      </c>
      <c r="I187" s="63" t="str">
        <f aca="false">IF($A187="","",INDEX(TblApplications[Mois lib (calc)],$A187))</f>
        <v/>
      </c>
      <c r="J187" s="50" t="str">
        <f aca="false">IF($A187="","",INDEX(TblApplications[CPU IKS libérable (vCPU)],$A187))</f>
        <v/>
      </c>
    </row>
    <row r="188" customFormat="false" ht="15" hidden="false" customHeight="false" outlineLevel="0" collapsed="false">
      <c r="A188" s="49" t="str">
        <f aca="false">IFERROR(MATCH(123,TblApplications[Rang extinction],0),"")</f>
        <v/>
      </c>
      <c r="B188" s="50" t="str">
        <f aca="false">IF($A188="","",INDEX(TblApplications[ID],$A188))</f>
        <v/>
      </c>
      <c r="C188" s="50" t="str">
        <f aca="false">IF($A188="","",INDEX(TblApplications[Application],$A188))</f>
        <v/>
      </c>
      <c r="D188" s="50" t="str">
        <f aca="false">IF($A188="","",INDEX(TblApplications[Tribe],$A188))</f>
        <v/>
      </c>
      <c r="E188" s="50" t="str">
        <f aca="false">IF($A188="","",INDEX(TblApplications[Environnement],$A188))</f>
        <v/>
      </c>
      <c r="F188" s="50" t="str">
        <f aca="false">IF($A188="","",INDEX(TblApplications[Couloir],$A188))</f>
        <v/>
      </c>
      <c r="G188" s="50" t="str">
        <f aca="false">IF($A188="","",INDEX(TblApplications[Action],$A188))</f>
        <v/>
      </c>
      <c r="H188" s="50" t="str">
        <f aca="false">IF($A188="","",INDEX(TblApplications[Cluster IKS source],$A188))</f>
        <v/>
      </c>
      <c r="I188" s="63" t="str">
        <f aca="false">IF($A188="","",INDEX(TblApplications[Mois lib (calc)],$A188))</f>
        <v/>
      </c>
      <c r="J188" s="50" t="str">
        <f aca="false">IF($A188="","",INDEX(TblApplications[CPU IKS libérable (vCPU)],$A188))</f>
        <v/>
      </c>
    </row>
    <row r="189" customFormat="false" ht="15" hidden="false" customHeight="false" outlineLevel="0" collapsed="false">
      <c r="A189" s="49" t="str">
        <f aca="false">IFERROR(MATCH(124,TblApplications[Rang extinction],0),"")</f>
        <v/>
      </c>
      <c r="B189" s="50" t="str">
        <f aca="false">IF($A189="","",INDEX(TblApplications[ID],$A189))</f>
        <v/>
      </c>
      <c r="C189" s="50" t="str">
        <f aca="false">IF($A189="","",INDEX(TblApplications[Application],$A189))</f>
        <v/>
      </c>
      <c r="D189" s="50" t="str">
        <f aca="false">IF($A189="","",INDEX(TblApplications[Tribe],$A189))</f>
        <v/>
      </c>
      <c r="E189" s="50" t="str">
        <f aca="false">IF($A189="","",INDEX(TblApplications[Environnement],$A189))</f>
        <v/>
      </c>
      <c r="F189" s="50" t="str">
        <f aca="false">IF($A189="","",INDEX(TblApplications[Couloir],$A189))</f>
        <v/>
      </c>
      <c r="G189" s="50" t="str">
        <f aca="false">IF($A189="","",INDEX(TblApplications[Action],$A189))</f>
        <v/>
      </c>
      <c r="H189" s="50" t="str">
        <f aca="false">IF($A189="","",INDEX(TblApplications[Cluster IKS source],$A189))</f>
        <v/>
      </c>
      <c r="I189" s="63" t="str">
        <f aca="false">IF($A189="","",INDEX(TblApplications[Mois lib (calc)],$A189))</f>
        <v/>
      </c>
      <c r="J189" s="50" t="str">
        <f aca="false">IF($A189="","",INDEX(TblApplications[CPU IKS libérable (vCPU)],$A189))</f>
        <v/>
      </c>
    </row>
    <row r="190" customFormat="false" ht="15" hidden="false" customHeight="false" outlineLevel="0" collapsed="false">
      <c r="A190" s="49" t="str">
        <f aca="false">IFERROR(MATCH(125,TblApplications[Rang extinction],0),"")</f>
        <v/>
      </c>
      <c r="B190" s="50" t="str">
        <f aca="false">IF($A190="","",INDEX(TblApplications[ID],$A190))</f>
        <v/>
      </c>
      <c r="C190" s="50" t="str">
        <f aca="false">IF($A190="","",INDEX(TblApplications[Application],$A190))</f>
        <v/>
      </c>
      <c r="D190" s="50" t="str">
        <f aca="false">IF($A190="","",INDEX(TblApplications[Tribe],$A190))</f>
        <v/>
      </c>
      <c r="E190" s="50" t="str">
        <f aca="false">IF($A190="","",INDEX(TblApplications[Environnement],$A190))</f>
        <v/>
      </c>
      <c r="F190" s="50" t="str">
        <f aca="false">IF($A190="","",INDEX(TblApplications[Couloir],$A190))</f>
        <v/>
      </c>
      <c r="G190" s="50" t="str">
        <f aca="false">IF($A190="","",INDEX(TblApplications[Action],$A190))</f>
        <v/>
      </c>
      <c r="H190" s="50" t="str">
        <f aca="false">IF($A190="","",INDEX(TblApplications[Cluster IKS source],$A190))</f>
        <v/>
      </c>
      <c r="I190" s="63" t="str">
        <f aca="false">IF($A190="","",INDEX(TblApplications[Mois lib (calc)],$A190))</f>
        <v/>
      </c>
      <c r="J190" s="50" t="str">
        <f aca="false">IF($A190="","",INDEX(TblApplications[CPU IKS libérable (vCPU)],$A190))</f>
        <v/>
      </c>
    </row>
    <row r="191" customFormat="false" ht="15" hidden="false" customHeight="false" outlineLevel="0" collapsed="false">
      <c r="A191" s="49" t="str">
        <f aca="false">IFERROR(MATCH(126,TblApplications[Rang extinction],0),"")</f>
        <v/>
      </c>
      <c r="B191" s="50" t="str">
        <f aca="false">IF($A191="","",INDEX(TblApplications[ID],$A191))</f>
        <v/>
      </c>
      <c r="C191" s="50" t="str">
        <f aca="false">IF($A191="","",INDEX(TblApplications[Application],$A191))</f>
        <v/>
      </c>
      <c r="D191" s="50" t="str">
        <f aca="false">IF($A191="","",INDEX(TblApplications[Tribe],$A191))</f>
        <v/>
      </c>
      <c r="E191" s="50" t="str">
        <f aca="false">IF($A191="","",INDEX(TblApplications[Environnement],$A191))</f>
        <v/>
      </c>
      <c r="F191" s="50" t="str">
        <f aca="false">IF($A191="","",INDEX(TblApplications[Couloir],$A191))</f>
        <v/>
      </c>
      <c r="G191" s="50" t="str">
        <f aca="false">IF($A191="","",INDEX(TblApplications[Action],$A191))</f>
        <v/>
      </c>
      <c r="H191" s="50" t="str">
        <f aca="false">IF($A191="","",INDEX(TblApplications[Cluster IKS source],$A191))</f>
        <v/>
      </c>
      <c r="I191" s="63" t="str">
        <f aca="false">IF($A191="","",INDEX(TblApplications[Mois lib (calc)],$A191))</f>
        <v/>
      </c>
      <c r="J191" s="50" t="str">
        <f aca="false">IF($A191="","",INDEX(TblApplications[CPU IKS libérable (vCPU)],$A191))</f>
        <v/>
      </c>
    </row>
    <row r="192" customFormat="false" ht="15" hidden="false" customHeight="false" outlineLevel="0" collapsed="false">
      <c r="A192" s="49" t="str">
        <f aca="false">IFERROR(MATCH(127,TblApplications[Rang extinction],0),"")</f>
        <v/>
      </c>
      <c r="B192" s="50" t="str">
        <f aca="false">IF($A192="","",INDEX(TblApplications[ID],$A192))</f>
        <v/>
      </c>
      <c r="C192" s="50" t="str">
        <f aca="false">IF($A192="","",INDEX(TblApplications[Application],$A192))</f>
        <v/>
      </c>
      <c r="D192" s="50" t="str">
        <f aca="false">IF($A192="","",INDEX(TblApplications[Tribe],$A192))</f>
        <v/>
      </c>
      <c r="E192" s="50" t="str">
        <f aca="false">IF($A192="","",INDEX(TblApplications[Environnement],$A192))</f>
        <v/>
      </c>
      <c r="F192" s="50" t="str">
        <f aca="false">IF($A192="","",INDEX(TblApplications[Couloir],$A192))</f>
        <v/>
      </c>
      <c r="G192" s="50" t="str">
        <f aca="false">IF($A192="","",INDEX(TblApplications[Action],$A192))</f>
        <v/>
      </c>
      <c r="H192" s="50" t="str">
        <f aca="false">IF($A192="","",INDEX(TblApplications[Cluster IKS source],$A192))</f>
        <v/>
      </c>
      <c r="I192" s="63" t="str">
        <f aca="false">IF($A192="","",INDEX(TblApplications[Mois lib (calc)],$A192))</f>
        <v/>
      </c>
      <c r="J192" s="50" t="str">
        <f aca="false">IF($A192="","",INDEX(TblApplications[CPU IKS libérable (vCPU)],$A192))</f>
        <v/>
      </c>
    </row>
    <row r="193" customFormat="false" ht="15" hidden="false" customHeight="false" outlineLevel="0" collapsed="false">
      <c r="A193" s="49" t="str">
        <f aca="false">IFERROR(MATCH(128,TblApplications[Rang extinction],0),"")</f>
        <v/>
      </c>
      <c r="B193" s="50" t="str">
        <f aca="false">IF($A193="","",INDEX(TblApplications[ID],$A193))</f>
        <v/>
      </c>
      <c r="C193" s="50" t="str">
        <f aca="false">IF($A193="","",INDEX(TblApplications[Application],$A193))</f>
        <v/>
      </c>
      <c r="D193" s="50" t="str">
        <f aca="false">IF($A193="","",INDEX(TblApplications[Tribe],$A193))</f>
        <v/>
      </c>
      <c r="E193" s="50" t="str">
        <f aca="false">IF($A193="","",INDEX(TblApplications[Environnement],$A193))</f>
        <v/>
      </c>
      <c r="F193" s="50" t="str">
        <f aca="false">IF($A193="","",INDEX(TblApplications[Couloir],$A193))</f>
        <v/>
      </c>
      <c r="G193" s="50" t="str">
        <f aca="false">IF($A193="","",INDEX(TblApplications[Action],$A193))</f>
        <v/>
      </c>
      <c r="H193" s="50" t="str">
        <f aca="false">IF($A193="","",INDEX(TblApplications[Cluster IKS source],$A193))</f>
        <v/>
      </c>
      <c r="I193" s="63" t="str">
        <f aca="false">IF($A193="","",INDEX(TblApplications[Mois lib (calc)],$A193))</f>
        <v/>
      </c>
      <c r="J193" s="50" t="str">
        <f aca="false">IF($A193="","",INDEX(TblApplications[CPU IKS libérable (vCPU)],$A193))</f>
        <v/>
      </c>
    </row>
    <row r="194" customFormat="false" ht="15" hidden="false" customHeight="false" outlineLevel="0" collapsed="false">
      <c r="A194" s="49" t="str">
        <f aca="false">IFERROR(MATCH(129,TblApplications[Rang extinction],0),"")</f>
        <v/>
      </c>
      <c r="B194" s="50" t="str">
        <f aca="false">IF($A194="","",INDEX(TblApplications[ID],$A194))</f>
        <v/>
      </c>
      <c r="C194" s="50" t="str">
        <f aca="false">IF($A194="","",INDEX(TblApplications[Application],$A194))</f>
        <v/>
      </c>
      <c r="D194" s="50" t="str">
        <f aca="false">IF($A194="","",INDEX(TblApplications[Tribe],$A194))</f>
        <v/>
      </c>
      <c r="E194" s="50" t="str">
        <f aca="false">IF($A194="","",INDEX(TblApplications[Environnement],$A194))</f>
        <v/>
      </c>
      <c r="F194" s="50" t="str">
        <f aca="false">IF($A194="","",INDEX(TblApplications[Couloir],$A194))</f>
        <v/>
      </c>
      <c r="G194" s="50" t="str">
        <f aca="false">IF($A194="","",INDEX(TblApplications[Action],$A194))</f>
        <v/>
      </c>
      <c r="H194" s="50" t="str">
        <f aca="false">IF($A194="","",INDEX(TblApplications[Cluster IKS source],$A194))</f>
        <v/>
      </c>
      <c r="I194" s="63" t="str">
        <f aca="false">IF($A194="","",INDEX(TblApplications[Mois lib (calc)],$A194))</f>
        <v/>
      </c>
      <c r="J194" s="50" t="str">
        <f aca="false">IF($A194="","",INDEX(TblApplications[CPU IKS libérable (vCPU)],$A194))</f>
        <v/>
      </c>
    </row>
    <row r="195" customFormat="false" ht="15" hidden="false" customHeight="false" outlineLevel="0" collapsed="false">
      <c r="A195" s="49" t="str">
        <f aca="false">IFERROR(MATCH(130,TblApplications[Rang extinction],0),"")</f>
        <v/>
      </c>
      <c r="B195" s="50" t="str">
        <f aca="false">IF($A195="","",INDEX(TblApplications[ID],$A195))</f>
        <v/>
      </c>
      <c r="C195" s="50" t="str">
        <f aca="false">IF($A195="","",INDEX(TblApplications[Application],$A195))</f>
        <v/>
      </c>
      <c r="D195" s="50" t="str">
        <f aca="false">IF($A195="","",INDEX(TblApplications[Tribe],$A195))</f>
        <v/>
      </c>
      <c r="E195" s="50" t="str">
        <f aca="false">IF($A195="","",INDEX(TblApplications[Environnement],$A195))</f>
        <v/>
      </c>
      <c r="F195" s="50" t="str">
        <f aca="false">IF($A195="","",INDEX(TblApplications[Couloir],$A195))</f>
        <v/>
      </c>
      <c r="G195" s="50" t="str">
        <f aca="false">IF($A195="","",INDEX(TblApplications[Action],$A195))</f>
        <v/>
      </c>
      <c r="H195" s="50" t="str">
        <f aca="false">IF($A195="","",INDEX(TblApplications[Cluster IKS source],$A195))</f>
        <v/>
      </c>
      <c r="I195" s="63" t="str">
        <f aca="false">IF($A195="","",INDEX(TblApplications[Mois lib (calc)],$A195))</f>
        <v/>
      </c>
      <c r="J195" s="50" t="str">
        <f aca="false">IF($A195="","",INDEX(TblApplications[CPU IKS libérable (vCPU)],$A195))</f>
        <v/>
      </c>
    </row>
    <row r="196" customFormat="false" ht="15" hidden="false" customHeight="false" outlineLevel="0" collapsed="false">
      <c r="A196" s="49" t="str">
        <f aca="false">IFERROR(MATCH(131,TblApplications[Rang extinction],0),"")</f>
        <v/>
      </c>
      <c r="B196" s="50" t="str">
        <f aca="false">IF($A196="","",INDEX(TblApplications[ID],$A196))</f>
        <v/>
      </c>
      <c r="C196" s="50" t="str">
        <f aca="false">IF($A196="","",INDEX(TblApplications[Application],$A196))</f>
        <v/>
      </c>
      <c r="D196" s="50" t="str">
        <f aca="false">IF($A196="","",INDEX(TblApplications[Tribe],$A196))</f>
        <v/>
      </c>
      <c r="E196" s="50" t="str">
        <f aca="false">IF($A196="","",INDEX(TblApplications[Environnement],$A196))</f>
        <v/>
      </c>
      <c r="F196" s="50" t="str">
        <f aca="false">IF($A196="","",INDEX(TblApplications[Couloir],$A196))</f>
        <v/>
      </c>
      <c r="G196" s="50" t="str">
        <f aca="false">IF($A196="","",INDEX(TblApplications[Action],$A196))</f>
        <v/>
      </c>
      <c r="H196" s="50" t="str">
        <f aca="false">IF($A196="","",INDEX(TblApplications[Cluster IKS source],$A196))</f>
        <v/>
      </c>
      <c r="I196" s="63" t="str">
        <f aca="false">IF($A196="","",INDEX(TblApplications[Mois lib (calc)],$A196))</f>
        <v/>
      </c>
      <c r="J196" s="50" t="str">
        <f aca="false">IF($A196="","",INDEX(TblApplications[CPU IKS libérable (vCPU)],$A196))</f>
        <v/>
      </c>
    </row>
    <row r="197" customFormat="false" ht="15" hidden="false" customHeight="false" outlineLevel="0" collapsed="false">
      <c r="A197" s="49" t="str">
        <f aca="false">IFERROR(MATCH(132,TblApplications[Rang extinction],0),"")</f>
        <v/>
      </c>
      <c r="B197" s="50" t="str">
        <f aca="false">IF($A197="","",INDEX(TblApplications[ID],$A197))</f>
        <v/>
      </c>
      <c r="C197" s="50" t="str">
        <f aca="false">IF($A197="","",INDEX(TblApplications[Application],$A197))</f>
        <v/>
      </c>
      <c r="D197" s="50" t="str">
        <f aca="false">IF($A197="","",INDEX(TblApplications[Tribe],$A197))</f>
        <v/>
      </c>
      <c r="E197" s="50" t="str">
        <f aca="false">IF($A197="","",INDEX(TblApplications[Environnement],$A197))</f>
        <v/>
      </c>
      <c r="F197" s="50" t="str">
        <f aca="false">IF($A197="","",INDEX(TblApplications[Couloir],$A197))</f>
        <v/>
      </c>
      <c r="G197" s="50" t="str">
        <f aca="false">IF($A197="","",INDEX(TblApplications[Action],$A197))</f>
        <v/>
      </c>
      <c r="H197" s="50" t="str">
        <f aca="false">IF($A197="","",INDEX(TblApplications[Cluster IKS source],$A197))</f>
        <v/>
      </c>
      <c r="I197" s="63" t="str">
        <f aca="false">IF($A197="","",INDEX(TblApplications[Mois lib (calc)],$A197))</f>
        <v/>
      </c>
      <c r="J197" s="50" t="str">
        <f aca="false">IF($A197="","",INDEX(TblApplications[CPU IKS libérable (vCPU)],$A197))</f>
        <v/>
      </c>
    </row>
    <row r="198" customFormat="false" ht="15" hidden="false" customHeight="false" outlineLevel="0" collapsed="false">
      <c r="A198" s="49" t="str">
        <f aca="false">IFERROR(MATCH(133,TblApplications[Rang extinction],0),"")</f>
        <v/>
      </c>
      <c r="B198" s="50" t="str">
        <f aca="false">IF($A198="","",INDEX(TblApplications[ID],$A198))</f>
        <v/>
      </c>
      <c r="C198" s="50" t="str">
        <f aca="false">IF($A198="","",INDEX(TblApplications[Application],$A198))</f>
        <v/>
      </c>
      <c r="D198" s="50" t="str">
        <f aca="false">IF($A198="","",INDEX(TblApplications[Tribe],$A198))</f>
        <v/>
      </c>
      <c r="E198" s="50" t="str">
        <f aca="false">IF($A198="","",INDEX(TblApplications[Environnement],$A198))</f>
        <v/>
      </c>
      <c r="F198" s="50" t="str">
        <f aca="false">IF($A198="","",INDEX(TblApplications[Couloir],$A198))</f>
        <v/>
      </c>
      <c r="G198" s="50" t="str">
        <f aca="false">IF($A198="","",INDEX(TblApplications[Action],$A198))</f>
        <v/>
      </c>
      <c r="H198" s="50" t="str">
        <f aca="false">IF($A198="","",INDEX(TblApplications[Cluster IKS source],$A198))</f>
        <v/>
      </c>
      <c r="I198" s="63" t="str">
        <f aca="false">IF($A198="","",INDEX(TblApplications[Mois lib (calc)],$A198))</f>
        <v/>
      </c>
      <c r="J198" s="50" t="str">
        <f aca="false">IF($A198="","",INDEX(TblApplications[CPU IKS libérable (vCPU)],$A198))</f>
        <v/>
      </c>
    </row>
    <row r="199" customFormat="false" ht="15" hidden="false" customHeight="false" outlineLevel="0" collapsed="false">
      <c r="A199" s="49" t="str">
        <f aca="false">IFERROR(MATCH(134,TblApplications[Rang extinction],0),"")</f>
        <v/>
      </c>
      <c r="B199" s="50" t="str">
        <f aca="false">IF($A199="","",INDEX(TblApplications[ID],$A199))</f>
        <v/>
      </c>
      <c r="C199" s="50" t="str">
        <f aca="false">IF($A199="","",INDEX(TblApplications[Application],$A199))</f>
        <v/>
      </c>
      <c r="D199" s="50" t="str">
        <f aca="false">IF($A199="","",INDEX(TblApplications[Tribe],$A199))</f>
        <v/>
      </c>
      <c r="E199" s="50" t="str">
        <f aca="false">IF($A199="","",INDEX(TblApplications[Environnement],$A199))</f>
        <v/>
      </c>
      <c r="F199" s="50" t="str">
        <f aca="false">IF($A199="","",INDEX(TblApplications[Couloir],$A199))</f>
        <v/>
      </c>
      <c r="G199" s="50" t="str">
        <f aca="false">IF($A199="","",INDEX(TblApplications[Action],$A199))</f>
        <v/>
      </c>
      <c r="H199" s="50" t="str">
        <f aca="false">IF($A199="","",INDEX(TblApplications[Cluster IKS source],$A199))</f>
        <v/>
      </c>
      <c r="I199" s="63" t="str">
        <f aca="false">IF($A199="","",INDEX(TblApplications[Mois lib (calc)],$A199))</f>
        <v/>
      </c>
      <c r="J199" s="50" t="str">
        <f aca="false">IF($A199="","",INDEX(TblApplications[CPU IKS libérable (vCPU)],$A199))</f>
        <v/>
      </c>
    </row>
    <row r="200" customFormat="false" ht="15" hidden="false" customHeight="false" outlineLevel="0" collapsed="false">
      <c r="A200" s="49" t="str">
        <f aca="false">IFERROR(MATCH(135,TblApplications[Rang extinction],0),"")</f>
        <v/>
      </c>
      <c r="B200" s="50" t="str">
        <f aca="false">IF($A200="","",INDEX(TblApplications[ID],$A200))</f>
        <v/>
      </c>
      <c r="C200" s="50" t="str">
        <f aca="false">IF($A200="","",INDEX(TblApplications[Application],$A200))</f>
        <v/>
      </c>
      <c r="D200" s="50" t="str">
        <f aca="false">IF($A200="","",INDEX(TblApplications[Tribe],$A200))</f>
        <v/>
      </c>
      <c r="E200" s="50" t="str">
        <f aca="false">IF($A200="","",INDEX(TblApplications[Environnement],$A200))</f>
        <v/>
      </c>
      <c r="F200" s="50" t="str">
        <f aca="false">IF($A200="","",INDEX(TblApplications[Couloir],$A200))</f>
        <v/>
      </c>
      <c r="G200" s="50" t="str">
        <f aca="false">IF($A200="","",INDEX(TblApplications[Action],$A200))</f>
        <v/>
      </c>
      <c r="H200" s="50" t="str">
        <f aca="false">IF($A200="","",INDEX(TblApplications[Cluster IKS source],$A200))</f>
        <v/>
      </c>
      <c r="I200" s="63" t="str">
        <f aca="false">IF($A200="","",INDEX(TblApplications[Mois lib (calc)],$A200))</f>
        <v/>
      </c>
      <c r="J200" s="50" t="str">
        <f aca="false">IF($A200="","",INDEX(TblApplications[CPU IKS libérable (vCPU)],$A200))</f>
        <v/>
      </c>
    </row>
    <row r="201" customFormat="false" ht="15" hidden="false" customHeight="false" outlineLevel="0" collapsed="false">
      <c r="A201" s="49" t="str">
        <f aca="false">IFERROR(MATCH(136,TblApplications[Rang extinction],0),"")</f>
        <v/>
      </c>
      <c r="B201" s="50" t="str">
        <f aca="false">IF($A201="","",INDEX(TblApplications[ID],$A201))</f>
        <v/>
      </c>
      <c r="C201" s="50" t="str">
        <f aca="false">IF($A201="","",INDEX(TblApplications[Application],$A201))</f>
        <v/>
      </c>
      <c r="D201" s="50" t="str">
        <f aca="false">IF($A201="","",INDEX(TblApplications[Tribe],$A201))</f>
        <v/>
      </c>
      <c r="E201" s="50" t="str">
        <f aca="false">IF($A201="","",INDEX(TblApplications[Environnement],$A201))</f>
        <v/>
      </c>
      <c r="F201" s="50" t="str">
        <f aca="false">IF($A201="","",INDEX(TblApplications[Couloir],$A201))</f>
        <v/>
      </c>
      <c r="G201" s="50" t="str">
        <f aca="false">IF($A201="","",INDEX(TblApplications[Action],$A201))</f>
        <v/>
      </c>
      <c r="H201" s="50" t="str">
        <f aca="false">IF($A201="","",INDEX(TblApplications[Cluster IKS source],$A201))</f>
        <v/>
      </c>
      <c r="I201" s="63" t="str">
        <f aca="false">IF($A201="","",INDEX(TblApplications[Mois lib (calc)],$A201))</f>
        <v/>
      </c>
      <c r="J201" s="50" t="str">
        <f aca="false">IF($A201="","",INDEX(TblApplications[CPU IKS libérable (vCPU)],$A201))</f>
        <v/>
      </c>
    </row>
    <row r="202" customFormat="false" ht="15" hidden="false" customHeight="false" outlineLevel="0" collapsed="false">
      <c r="A202" s="49" t="str">
        <f aca="false">IFERROR(MATCH(137,TblApplications[Rang extinction],0),"")</f>
        <v/>
      </c>
      <c r="B202" s="50" t="str">
        <f aca="false">IF($A202="","",INDEX(TblApplications[ID],$A202))</f>
        <v/>
      </c>
      <c r="C202" s="50" t="str">
        <f aca="false">IF($A202="","",INDEX(TblApplications[Application],$A202))</f>
        <v/>
      </c>
      <c r="D202" s="50" t="str">
        <f aca="false">IF($A202="","",INDEX(TblApplications[Tribe],$A202))</f>
        <v/>
      </c>
      <c r="E202" s="50" t="str">
        <f aca="false">IF($A202="","",INDEX(TblApplications[Environnement],$A202))</f>
        <v/>
      </c>
      <c r="F202" s="50" t="str">
        <f aca="false">IF($A202="","",INDEX(TblApplications[Couloir],$A202))</f>
        <v/>
      </c>
      <c r="G202" s="50" t="str">
        <f aca="false">IF($A202="","",INDEX(TblApplications[Action],$A202))</f>
        <v/>
      </c>
      <c r="H202" s="50" t="str">
        <f aca="false">IF($A202="","",INDEX(TblApplications[Cluster IKS source],$A202))</f>
        <v/>
      </c>
      <c r="I202" s="63" t="str">
        <f aca="false">IF($A202="","",INDEX(TblApplications[Mois lib (calc)],$A202))</f>
        <v/>
      </c>
      <c r="J202" s="50" t="str">
        <f aca="false">IF($A202="","",INDEX(TblApplications[CPU IKS libérable (vCPU)],$A202))</f>
        <v/>
      </c>
    </row>
    <row r="203" customFormat="false" ht="15" hidden="false" customHeight="false" outlineLevel="0" collapsed="false">
      <c r="A203" s="49" t="str">
        <f aca="false">IFERROR(MATCH(138,TblApplications[Rang extinction],0),"")</f>
        <v/>
      </c>
      <c r="B203" s="50" t="str">
        <f aca="false">IF($A203="","",INDEX(TblApplications[ID],$A203))</f>
        <v/>
      </c>
      <c r="C203" s="50" t="str">
        <f aca="false">IF($A203="","",INDEX(TblApplications[Application],$A203))</f>
        <v/>
      </c>
      <c r="D203" s="50" t="str">
        <f aca="false">IF($A203="","",INDEX(TblApplications[Tribe],$A203))</f>
        <v/>
      </c>
      <c r="E203" s="50" t="str">
        <f aca="false">IF($A203="","",INDEX(TblApplications[Environnement],$A203))</f>
        <v/>
      </c>
      <c r="F203" s="50" t="str">
        <f aca="false">IF($A203="","",INDEX(TblApplications[Couloir],$A203))</f>
        <v/>
      </c>
      <c r="G203" s="50" t="str">
        <f aca="false">IF($A203="","",INDEX(TblApplications[Action],$A203))</f>
        <v/>
      </c>
      <c r="H203" s="50" t="str">
        <f aca="false">IF($A203="","",INDEX(TblApplications[Cluster IKS source],$A203))</f>
        <v/>
      </c>
      <c r="I203" s="63" t="str">
        <f aca="false">IF($A203="","",INDEX(TblApplications[Mois lib (calc)],$A203))</f>
        <v/>
      </c>
      <c r="J203" s="50" t="str">
        <f aca="false">IF($A203="","",INDEX(TblApplications[CPU IKS libérable (vCPU)],$A203))</f>
        <v/>
      </c>
    </row>
    <row r="204" customFormat="false" ht="15" hidden="false" customHeight="false" outlineLevel="0" collapsed="false">
      <c r="A204" s="49" t="str">
        <f aca="false">IFERROR(MATCH(139,TblApplications[Rang extinction],0),"")</f>
        <v/>
      </c>
      <c r="B204" s="50" t="str">
        <f aca="false">IF($A204="","",INDEX(TblApplications[ID],$A204))</f>
        <v/>
      </c>
      <c r="C204" s="50" t="str">
        <f aca="false">IF($A204="","",INDEX(TblApplications[Application],$A204))</f>
        <v/>
      </c>
      <c r="D204" s="50" t="str">
        <f aca="false">IF($A204="","",INDEX(TblApplications[Tribe],$A204))</f>
        <v/>
      </c>
      <c r="E204" s="50" t="str">
        <f aca="false">IF($A204="","",INDEX(TblApplications[Environnement],$A204))</f>
        <v/>
      </c>
      <c r="F204" s="50" t="str">
        <f aca="false">IF($A204="","",INDEX(TblApplications[Couloir],$A204))</f>
        <v/>
      </c>
      <c r="G204" s="50" t="str">
        <f aca="false">IF($A204="","",INDEX(TblApplications[Action],$A204))</f>
        <v/>
      </c>
      <c r="H204" s="50" t="str">
        <f aca="false">IF($A204="","",INDEX(TblApplications[Cluster IKS source],$A204))</f>
        <v/>
      </c>
      <c r="I204" s="63" t="str">
        <f aca="false">IF($A204="","",INDEX(TblApplications[Mois lib (calc)],$A204))</f>
        <v/>
      </c>
      <c r="J204" s="50" t="str">
        <f aca="false">IF($A204="","",INDEX(TblApplications[CPU IKS libérable (vCPU)],$A204))</f>
        <v/>
      </c>
    </row>
    <row r="205" customFormat="false" ht="15" hidden="false" customHeight="false" outlineLevel="0" collapsed="false">
      <c r="A205" s="49" t="str">
        <f aca="false">IFERROR(MATCH(140,TblApplications[Rang extinction],0),"")</f>
        <v/>
      </c>
      <c r="B205" s="50" t="str">
        <f aca="false">IF($A205="","",INDEX(TblApplications[ID],$A205))</f>
        <v/>
      </c>
      <c r="C205" s="50" t="str">
        <f aca="false">IF($A205="","",INDEX(TblApplications[Application],$A205))</f>
        <v/>
      </c>
      <c r="D205" s="50" t="str">
        <f aca="false">IF($A205="","",INDEX(TblApplications[Tribe],$A205))</f>
        <v/>
      </c>
      <c r="E205" s="50" t="str">
        <f aca="false">IF($A205="","",INDEX(TblApplications[Environnement],$A205))</f>
        <v/>
      </c>
      <c r="F205" s="50" t="str">
        <f aca="false">IF($A205="","",INDEX(TblApplications[Couloir],$A205))</f>
        <v/>
      </c>
      <c r="G205" s="50" t="str">
        <f aca="false">IF($A205="","",INDEX(TblApplications[Action],$A205))</f>
        <v/>
      </c>
      <c r="H205" s="50" t="str">
        <f aca="false">IF($A205="","",INDEX(TblApplications[Cluster IKS source],$A205))</f>
        <v/>
      </c>
      <c r="I205" s="63" t="str">
        <f aca="false">IF($A205="","",INDEX(TblApplications[Mois lib (calc)],$A205))</f>
        <v/>
      </c>
      <c r="J205" s="50" t="str">
        <f aca="false">IF($A205="","",INDEX(TblApplications[CPU IKS libérable (vCPU)],$A205))</f>
        <v/>
      </c>
    </row>
    <row r="206" customFormat="false" ht="15" hidden="false" customHeight="false" outlineLevel="0" collapsed="false">
      <c r="A206" s="49" t="str">
        <f aca="false">IFERROR(MATCH(141,TblApplications[Rang extinction],0),"")</f>
        <v/>
      </c>
      <c r="B206" s="50" t="str">
        <f aca="false">IF($A206="","",INDEX(TblApplications[ID],$A206))</f>
        <v/>
      </c>
      <c r="C206" s="50" t="str">
        <f aca="false">IF($A206="","",INDEX(TblApplications[Application],$A206))</f>
        <v/>
      </c>
      <c r="D206" s="50" t="str">
        <f aca="false">IF($A206="","",INDEX(TblApplications[Tribe],$A206))</f>
        <v/>
      </c>
      <c r="E206" s="50" t="str">
        <f aca="false">IF($A206="","",INDEX(TblApplications[Environnement],$A206))</f>
        <v/>
      </c>
      <c r="F206" s="50" t="str">
        <f aca="false">IF($A206="","",INDEX(TblApplications[Couloir],$A206))</f>
        <v/>
      </c>
      <c r="G206" s="50" t="str">
        <f aca="false">IF($A206="","",INDEX(TblApplications[Action],$A206))</f>
        <v/>
      </c>
      <c r="H206" s="50" t="str">
        <f aca="false">IF($A206="","",INDEX(TblApplications[Cluster IKS source],$A206))</f>
        <v/>
      </c>
      <c r="I206" s="63" t="str">
        <f aca="false">IF($A206="","",INDEX(TblApplications[Mois lib (calc)],$A206))</f>
        <v/>
      </c>
      <c r="J206" s="50" t="str">
        <f aca="false">IF($A206="","",INDEX(TblApplications[CPU IKS libérable (vCPU)],$A206))</f>
        <v/>
      </c>
    </row>
    <row r="207" customFormat="false" ht="15" hidden="false" customHeight="false" outlineLevel="0" collapsed="false">
      <c r="A207" s="49" t="str">
        <f aca="false">IFERROR(MATCH(142,TblApplications[Rang extinction],0),"")</f>
        <v/>
      </c>
      <c r="B207" s="50" t="str">
        <f aca="false">IF($A207="","",INDEX(TblApplications[ID],$A207))</f>
        <v/>
      </c>
      <c r="C207" s="50" t="str">
        <f aca="false">IF($A207="","",INDEX(TblApplications[Application],$A207))</f>
        <v/>
      </c>
      <c r="D207" s="50" t="str">
        <f aca="false">IF($A207="","",INDEX(TblApplications[Tribe],$A207))</f>
        <v/>
      </c>
      <c r="E207" s="50" t="str">
        <f aca="false">IF($A207="","",INDEX(TblApplications[Environnement],$A207))</f>
        <v/>
      </c>
      <c r="F207" s="50" t="str">
        <f aca="false">IF($A207="","",INDEX(TblApplications[Couloir],$A207))</f>
        <v/>
      </c>
      <c r="G207" s="50" t="str">
        <f aca="false">IF($A207="","",INDEX(TblApplications[Action],$A207))</f>
        <v/>
      </c>
      <c r="H207" s="50" t="str">
        <f aca="false">IF($A207="","",INDEX(TblApplications[Cluster IKS source],$A207))</f>
        <v/>
      </c>
      <c r="I207" s="63" t="str">
        <f aca="false">IF($A207="","",INDEX(TblApplications[Mois lib (calc)],$A207))</f>
        <v/>
      </c>
      <c r="J207" s="50" t="str">
        <f aca="false">IF($A207="","",INDEX(TblApplications[CPU IKS libérable (vCPU)],$A207))</f>
        <v/>
      </c>
    </row>
    <row r="208" customFormat="false" ht="15" hidden="false" customHeight="false" outlineLevel="0" collapsed="false">
      <c r="A208" s="49" t="str">
        <f aca="false">IFERROR(MATCH(143,TblApplications[Rang extinction],0),"")</f>
        <v/>
      </c>
      <c r="B208" s="50" t="str">
        <f aca="false">IF($A208="","",INDEX(TblApplications[ID],$A208))</f>
        <v/>
      </c>
      <c r="C208" s="50" t="str">
        <f aca="false">IF($A208="","",INDEX(TblApplications[Application],$A208))</f>
        <v/>
      </c>
      <c r="D208" s="50" t="str">
        <f aca="false">IF($A208="","",INDEX(TblApplications[Tribe],$A208))</f>
        <v/>
      </c>
      <c r="E208" s="50" t="str">
        <f aca="false">IF($A208="","",INDEX(TblApplications[Environnement],$A208))</f>
        <v/>
      </c>
      <c r="F208" s="50" t="str">
        <f aca="false">IF($A208="","",INDEX(TblApplications[Couloir],$A208))</f>
        <v/>
      </c>
      <c r="G208" s="50" t="str">
        <f aca="false">IF($A208="","",INDEX(TblApplications[Action],$A208))</f>
        <v/>
      </c>
      <c r="H208" s="50" t="str">
        <f aca="false">IF($A208="","",INDEX(TblApplications[Cluster IKS source],$A208))</f>
        <v/>
      </c>
      <c r="I208" s="63" t="str">
        <f aca="false">IF($A208="","",INDEX(TblApplications[Mois lib (calc)],$A208))</f>
        <v/>
      </c>
      <c r="J208" s="50" t="str">
        <f aca="false">IF($A208="","",INDEX(TblApplications[CPU IKS libérable (vCPU)],$A208))</f>
        <v/>
      </c>
    </row>
    <row r="209" customFormat="false" ht="15" hidden="false" customHeight="false" outlineLevel="0" collapsed="false">
      <c r="A209" s="49" t="str">
        <f aca="false">IFERROR(MATCH(144,TblApplications[Rang extinction],0),"")</f>
        <v/>
      </c>
      <c r="B209" s="50" t="str">
        <f aca="false">IF($A209="","",INDEX(TblApplications[ID],$A209))</f>
        <v/>
      </c>
      <c r="C209" s="50" t="str">
        <f aca="false">IF($A209="","",INDEX(TblApplications[Application],$A209))</f>
        <v/>
      </c>
      <c r="D209" s="50" t="str">
        <f aca="false">IF($A209="","",INDEX(TblApplications[Tribe],$A209))</f>
        <v/>
      </c>
      <c r="E209" s="50" t="str">
        <f aca="false">IF($A209="","",INDEX(TblApplications[Environnement],$A209))</f>
        <v/>
      </c>
      <c r="F209" s="50" t="str">
        <f aca="false">IF($A209="","",INDEX(TblApplications[Couloir],$A209))</f>
        <v/>
      </c>
      <c r="G209" s="50" t="str">
        <f aca="false">IF($A209="","",INDEX(TblApplications[Action],$A209))</f>
        <v/>
      </c>
      <c r="H209" s="50" t="str">
        <f aca="false">IF($A209="","",INDEX(TblApplications[Cluster IKS source],$A209))</f>
        <v/>
      </c>
      <c r="I209" s="63" t="str">
        <f aca="false">IF($A209="","",INDEX(TblApplications[Mois lib (calc)],$A209))</f>
        <v/>
      </c>
      <c r="J209" s="50" t="str">
        <f aca="false">IF($A209="","",INDEX(TblApplications[CPU IKS libérable (vCPU)],$A209))</f>
        <v/>
      </c>
    </row>
    <row r="210" customFormat="false" ht="15" hidden="false" customHeight="false" outlineLevel="0" collapsed="false">
      <c r="A210" s="49" t="str">
        <f aca="false">IFERROR(MATCH(145,TblApplications[Rang extinction],0),"")</f>
        <v/>
      </c>
      <c r="B210" s="50" t="str">
        <f aca="false">IF($A210="","",INDEX(TblApplications[ID],$A210))</f>
        <v/>
      </c>
      <c r="C210" s="50" t="str">
        <f aca="false">IF($A210="","",INDEX(TblApplications[Application],$A210))</f>
        <v/>
      </c>
      <c r="D210" s="50" t="str">
        <f aca="false">IF($A210="","",INDEX(TblApplications[Tribe],$A210))</f>
        <v/>
      </c>
      <c r="E210" s="50" t="str">
        <f aca="false">IF($A210="","",INDEX(TblApplications[Environnement],$A210))</f>
        <v/>
      </c>
      <c r="F210" s="50" t="str">
        <f aca="false">IF($A210="","",INDEX(TblApplications[Couloir],$A210))</f>
        <v/>
      </c>
      <c r="G210" s="50" t="str">
        <f aca="false">IF($A210="","",INDEX(TblApplications[Action],$A210))</f>
        <v/>
      </c>
      <c r="H210" s="50" t="str">
        <f aca="false">IF($A210="","",INDEX(TblApplications[Cluster IKS source],$A210))</f>
        <v/>
      </c>
      <c r="I210" s="63" t="str">
        <f aca="false">IF($A210="","",INDEX(TblApplications[Mois lib (calc)],$A210))</f>
        <v/>
      </c>
      <c r="J210" s="50" t="str">
        <f aca="false">IF($A210="","",INDEX(TblApplications[CPU IKS libérable (vCPU)],$A210))</f>
        <v/>
      </c>
    </row>
    <row r="211" customFormat="false" ht="15" hidden="false" customHeight="false" outlineLevel="0" collapsed="false">
      <c r="A211" s="49" t="str">
        <f aca="false">IFERROR(MATCH(146,TblApplications[Rang extinction],0),"")</f>
        <v/>
      </c>
      <c r="B211" s="50" t="str">
        <f aca="false">IF($A211="","",INDEX(TblApplications[ID],$A211))</f>
        <v/>
      </c>
      <c r="C211" s="50" t="str">
        <f aca="false">IF($A211="","",INDEX(TblApplications[Application],$A211))</f>
        <v/>
      </c>
      <c r="D211" s="50" t="str">
        <f aca="false">IF($A211="","",INDEX(TblApplications[Tribe],$A211))</f>
        <v/>
      </c>
      <c r="E211" s="50" t="str">
        <f aca="false">IF($A211="","",INDEX(TblApplications[Environnement],$A211))</f>
        <v/>
      </c>
      <c r="F211" s="50" t="str">
        <f aca="false">IF($A211="","",INDEX(TblApplications[Couloir],$A211))</f>
        <v/>
      </c>
      <c r="G211" s="50" t="str">
        <f aca="false">IF($A211="","",INDEX(TblApplications[Action],$A211))</f>
        <v/>
      </c>
      <c r="H211" s="50" t="str">
        <f aca="false">IF($A211="","",INDEX(TblApplications[Cluster IKS source],$A211))</f>
        <v/>
      </c>
      <c r="I211" s="63" t="str">
        <f aca="false">IF($A211="","",INDEX(TblApplications[Mois lib (calc)],$A211))</f>
        <v/>
      </c>
      <c r="J211" s="50" t="str">
        <f aca="false">IF($A211="","",INDEX(TblApplications[CPU IKS libérable (vCPU)],$A211))</f>
        <v/>
      </c>
    </row>
    <row r="212" customFormat="false" ht="15" hidden="false" customHeight="false" outlineLevel="0" collapsed="false">
      <c r="A212" s="49" t="str">
        <f aca="false">IFERROR(MATCH(147,TblApplications[Rang extinction],0),"")</f>
        <v/>
      </c>
      <c r="B212" s="50" t="str">
        <f aca="false">IF($A212="","",INDEX(TblApplications[ID],$A212))</f>
        <v/>
      </c>
      <c r="C212" s="50" t="str">
        <f aca="false">IF($A212="","",INDEX(TblApplications[Application],$A212))</f>
        <v/>
      </c>
      <c r="D212" s="50" t="str">
        <f aca="false">IF($A212="","",INDEX(TblApplications[Tribe],$A212))</f>
        <v/>
      </c>
      <c r="E212" s="50" t="str">
        <f aca="false">IF($A212="","",INDEX(TblApplications[Environnement],$A212))</f>
        <v/>
      </c>
      <c r="F212" s="50" t="str">
        <f aca="false">IF($A212="","",INDEX(TblApplications[Couloir],$A212))</f>
        <v/>
      </c>
      <c r="G212" s="50" t="str">
        <f aca="false">IF($A212="","",INDEX(TblApplications[Action],$A212))</f>
        <v/>
      </c>
      <c r="H212" s="50" t="str">
        <f aca="false">IF($A212="","",INDEX(TblApplications[Cluster IKS source],$A212))</f>
        <v/>
      </c>
      <c r="I212" s="63" t="str">
        <f aca="false">IF($A212="","",INDEX(TblApplications[Mois lib (calc)],$A212))</f>
        <v/>
      </c>
      <c r="J212" s="50" t="str">
        <f aca="false">IF($A212="","",INDEX(TblApplications[CPU IKS libérable (vCPU)],$A212))</f>
        <v/>
      </c>
    </row>
    <row r="213" customFormat="false" ht="15" hidden="false" customHeight="false" outlineLevel="0" collapsed="false">
      <c r="A213" s="49" t="str">
        <f aca="false">IFERROR(MATCH(148,TblApplications[Rang extinction],0),"")</f>
        <v/>
      </c>
      <c r="B213" s="50" t="str">
        <f aca="false">IF($A213="","",INDEX(TblApplications[ID],$A213))</f>
        <v/>
      </c>
      <c r="C213" s="50" t="str">
        <f aca="false">IF($A213="","",INDEX(TblApplications[Application],$A213))</f>
        <v/>
      </c>
      <c r="D213" s="50" t="str">
        <f aca="false">IF($A213="","",INDEX(TblApplications[Tribe],$A213))</f>
        <v/>
      </c>
      <c r="E213" s="50" t="str">
        <f aca="false">IF($A213="","",INDEX(TblApplications[Environnement],$A213))</f>
        <v/>
      </c>
      <c r="F213" s="50" t="str">
        <f aca="false">IF($A213="","",INDEX(TblApplications[Couloir],$A213))</f>
        <v/>
      </c>
      <c r="G213" s="50" t="str">
        <f aca="false">IF($A213="","",INDEX(TblApplications[Action],$A213))</f>
        <v/>
      </c>
      <c r="H213" s="50" t="str">
        <f aca="false">IF($A213="","",INDEX(TblApplications[Cluster IKS source],$A213))</f>
        <v/>
      </c>
      <c r="I213" s="63" t="str">
        <f aca="false">IF($A213="","",INDEX(TblApplications[Mois lib (calc)],$A213))</f>
        <v/>
      </c>
      <c r="J213" s="50" t="str">
        <f aca="false">IF($A213="","",INDEX(TblApplications[CPU IKS libérable (vCPU)],$A213))</f>
        <v/>
      </c>
    </row>
    <row r="214" customFormat="false" ht="15" hidden="false" customHeight="false" outlineLevel="0" collapsed="false">
      <c r="A214" s="49" t="str">
        <f aca="false">IFERROR(MATCH(149,TblApplications[Rang extinction],0),"")</f>
        <v/>
      </c>
      <c r="B214" s="50" t="str">
        <f aca="false">IF($A214="","",INDEX(TblApplications[ID],$A214))</f>
        <v/>
      </c>
      <c r="C214" s="50" t="str">
        <f aca="false">IF($A214="","",INDEX(TblApplications[Application],$A214))</f>
        <v/>
      </c>
      <c r="D214" s="50" t="str">
        <f aca="false">IF($A214="","",INDEX(TblApplications[Tribe],$A214))</f>
        <v/>
      </c>
      <c r="E214" s="50" t="str">
        <f aca="false">IF($A214="","",INDEX(TblApplications[Environnement],$A214))</f>
        <v/>
      </c>
      <c r="F214" s="50" t="str">
        <f aca="false">IF($A214="","",INDEX(TblApplications[Couloir],$A214))</f>
        <v/>
      </c>
      <c r="G214" s="50" t="str">
        <f aca="false">IF($A214="","",INDEX(TblApplications[Action],$A214))</f>
        <v/>
      </c>
      <c r="H214" s="50" t="str">
        <f aca="false">IF($A214="","",INDEX(TblApplications[Cluster IKS source],$A214))</f>
        <v/>
      </c>
      <c r="I214" s="63" t="str">
        <f aca="false">IF($A214="","",INDEX(TblApplications[Mois lib (calc)],$A214))</f>
        <v/>
      </c>
      <c r="J214" s="50" t="str">
        <f aca="false">IF($A214="","",INDEX(TblApplications[CPU IKS libérable (vCPU)],$A214))</f>
        <v/>
      </c>
    </row>
    <row r="215" customFormat="false" ht="15" hidden="false" customHeight="false" outlineLevel="0" collapsed="false">
      <c r="A215" s="49" t="str">
        <f aca="false">IFERROR(MATCH(150,TblApplications[Rang extinction],0),"")</f>
        <v/>
      </c>
      <c r="B215" s="50" t="str">
        <f aca="false">IF($A215="","",INDEX(TblApplications[ID],$A215))</f>
        <v/>
      </c>
      <c r="C215" s="50" t="str">
        <f aca="false">IF($A215="","",INDEX(TblApplications[Application],$A215))</f>
        <v/>
      </c>
      <c r="D215" s="50" t="str">
        <f aca="false">IF($A215="","",INDEX(TblApplications[Tribe],$A215))</f>
        <v/>
      </c>
      <c r="E215" s="50" t="str">
        <f aca="false">IF($A215="","",INDEX(TblApplications[Environnement],$A215))</f>
        <v/>
      </c>
      <c r="F215" s="50" t="str">
        <f aca="false">IF($A215="","",INDEX(TblApplications[Couloir],$A215))</f>
        <v/>
      </c>
      <c r="G215" s="50" t="str">
        <f aca="false">IF($A215="","",INDEX(TblApplications[Action],$A215))</f>
        <v/>
      </c>
      <c r="H215" s="50" t="str">
        <f aca="false">IF($A215="","",INDEX(TblApplications[Cluster IKS source],$A215))</f>
        <v/>
      </c>
      <c r="I215" s="63" t="str">
        <f aca="false">IF($A215="","",INDEX(TblApplications[Mois lib (calc)],$A215))</f>
        <v/>
      </c>
      <c r="J215" s="50" t="str">
        <f aca="false">IF($A215="","",INDEX(TblApplications[CPU IKS libérable (vCPU)],$A215))</f>
        <v/>
      </c>
    </row>
    <row r="216" customFormat="false" ht="15" hidden="false" customHeight="false" outlineLevel="0" collapsed="false">
      <c r="A216" s="49" t="str">
        <f aca="false">IFERROR(MATCH(151,TblApplications[Rang extinction],0),"")</f>
        <v/>
      </c>
      <c r="B216" s="50" t="str">
        <f aca="false">IF($A216="","",INDEX(TblApplications[ID],$A216))</f>
        <v/>
      </c>
      <c r="C216" s="50" t="str">
        <f aca="false">IF($A216="","",INDEX(TblApplications[Application],$A216))</f>
        <v/>
      </c>
      <c r="D216" s="50" t="str">
        <f aca="false">IF($A216="","",INDEX(TblApplications[Tribe],$A216))</f>
        <v/>
      </c>
      <c r="E216" s="50" t="str">
        <f aca="false">IF($A216="","",INDEX(TblApplications[Environnement],$A216))</f>
        <v/>
      </c>
      <c r="F216" s="50" t="str">
        <f aca="false">IF($A216="","",INDEX(TblApplications[Couloir],$A216))</f>
        <v/>
      </c>
      <c r="G216" s="50" t="str">
        <f aca="false">IF($A216="","",INDEX(TblApplications[Action],$A216))</f>
        <v/>
      </c>
      <c r="H216" s="50" t="str">
        <f aca="false">IF($A216="","",INDEX(TblApplications[Cluster IKS source],$A216))</f>
        <v/>
      </c>
      <c r="I216" s="63" t="str">
        <f aca="false">IF($A216="","",INDEX(TblApplications[Mois lib (calc)],$A216))</f>
        <v/>
      </c>
      <c r="J216" s="50" t="str">
        <f aca="false">IF($A216="","",INDEX(TblApplications[CPU IKS libérable (vCPU)],$A216))</f>
        <v/>
      </c>
    </row>
    <row r="217" customFormat="false" ht="15" hidden="false" customHeight="false" outlineLevel="0" collapsed="false">
      <c r="A217" s="49" t="str">
        <f aca="false">IFERROR(MATCH(152,TblApplications[Rang extinction],0),"")</f>
        <v/>
      </c>
      <c r="B217" s="50" t="str">
        <f aca="false">IF($A217="","",INDEX(TblApplications[ID],$A217))</f>
        <v/>
      </c>
      <c r="C217" s="50" t="str">
        <f aca="false">IF($A217="","",INDEX(TblApplications[Application],$A217))</f>
        <v/>
      </c>
      <c r="D217" s="50" t="str">
        <f aca="false">IF($A217="","",INDEX(TblApplications[Tribe],$A217))</f>
        <v/>
      </c>
      <c r="E217" s="50" t="str">
        <f aca="false">IF($A217="","",INDEX(TblApplications[Environnement],$A217))</f>
        <v/>
      </c>
      <c r="F217" s="50" t="str">
        <f aca="false">IF($A217="","",INDEX(TblApplications[Couloir],$A217))</f>
        <v/>
      </c>
      <c r="G217" s="50" t="str">
        <f aca="false">IF($A217="","",INDEX(TblApplications[Action],$A217))</f>
        <v/>
      </c>
      <c r="H217" s="50" t="str">
        <f aca="false">IF($A217="","",INDEX(TblApplications[Cluster IKS source],$A217))</f>
        <v/>
      </c>
      <c r="I217" s="63" t="str">
        <f aca="false">IF($A217="","",INDEX(TblApplications[Mois lib (calc)],$A217))</f>
        <v/>
      </c>
      <c r="J217" s="50" t="str">
        <f aca="false">IF($A217="","",INDEX(TblApplications[CPU IKS libérable (vCPU)],$A217))</f>
        <v/>
      </c>
    </row>
    <row r="218" customFormat="false" ht="15" hidden="false" customHeight="false" outlineLevel="0" collapsed="false">
      <c r="A218" s="49" t="str">
        <f aca="false">IFERROR(MATCH(153,TblApplications[Rang extinction],0),"")</f>
        <v/>
      </c>
      <c r="B218" s="50" t="str">
        <f aca="false">IF($A218="","",INDEX(TblApplications[ID],$A218))</f>
        <v/>
      </c>
      <c r="C218" s="50" t="str">
        <f aca="false">IF($A218="","",INDEX(TblApplications[Application],$A218))</f>
        <v/>
      </c>
      <c r="D218" s="50" t="str">
        <f aca="false">IF($A218="","",INDEX(TblApplications[Tribe],$A218))</f>
        <v/>
      </c>
      <c r="E218" s="50" t="str">
        <f aca="false">IF($A218="","",INDEX(TblApplications[Environnement],$A218))</f>
        <v/>
      </c>
      <c r="F218" s="50" t="str">
        <f aca="false">IF($A218="","",INDEX(TblApplications[Couloir],$A218))</f>
        <v/>
      </c>
      <c r="G218" s="50" t="str">
        <f aca="false">IF($A218="","",INDEX(TblApplications[Action],$A218))</f>
        <v/>
      </c>
      <c r="H218" s="50" t="str">
        <f aca="false">IF($A218="","",INDEX(TblApplications[Cluster IKS source],$A218))</f>
        <v/>
      </c>
      <c r="I218" s="63" t="str">
        <f aca="false">IF($A218="","",INDEX(TblApplications[Mois lib (calc)],$A218))</f>
        <v/>
      </c>
      <c r="J218" s="50" t="str">
        <f aca="false">IF($A218="","",INDEX(TblApplications[CPU IKS libérable (vCPU)],$A218))</f>
        <v/>
      </c>
    </row>
    <row r="219" customFormat="false" ht="15" hidden="false" customHeight="false" outlineLevel="0" collapsed="false">
      <c r="A219" s="49" t="str">
        <f aca="false">IFERROR(MATCH(154,TblApplications[Rang extinction],0),"")</f>
        <v/>
      </c>
      <c r="B219" s="50" t="str">
        <f aca="false">IF($A219="","",INDEX(TblApplications[ID],$A219))</f>
        <v/>
      </c>
      <c r="C219" s="50" t="str">
        <f aca="false">IF($A219="","",INDEX(TblApplications[Application],$A219))</f>
        <v/>
      </c>
      <c r="D219" s="50" t="str">
        <f aca="false">IF($A219="","",INDEX(TblApplications[Tribe],$A219))</f>
        <v/>
      </c>
      <c r="E219" s="50" t="str">
        <f aca="false">IF($A219="","",INDEX(TblApplications[Environnement],$A219))</f>
        <v/>
      </c>
      <c r="F219" s="50" t="str">
        <f aca="false">IF($A219="","",INDEX(TblApplications[Couloir],$A219))</f>
        <v/>
      </c>
      <c r="G219" s="50" t="str">
        <f aca="false">IF($A219="","",INDEX(TblApplications[Action],$A219))</f>
        <v/>
      </c>
      <c r="H219" s="50" t="str">
        <f aca="false">IF($A219="","",INDEX(TblApplications[Cluster IKS source],$A219))</f>
        <v/>
      </c>
      <c r="I219" s="63" t="str">
        <f aca="false">IF($A219="","",INDEX(TblApplications[Mois lib (calc)],$A219))</f>
        <v/>
      </c>
      <c r="J219" s="50" t="str">
        <f aca="false">IF($A219="","",INDEX(TblApplications[CPU IKS libérable (vCPU)],$A219))</f>
        <v/>
      </c>
    </row>
    <row r="220" customFormat="false" ht="15" hidden="false" customHeight="false" outlineLevel="0" collapsed="false">
      <c r="A220" s="49" t="str">
        <f aca="false">IFERROR(MATCH(155,TblApplications[Rang extinction],0),"")</f>
        <v/>
      </c>
      <c r="B220" s="50" t="str">
        <f aca="false">IF($A220="","",INDEX(TblApplications[ID],$A220))</f>
        <v/>
      </c>
      <c r="C220" s="50" t="str">
        <f aca="false">IF($A220="","",INDEX(TblApplications[Application],$A220))</f>
        <v/>
      </c>
      <c r="D220" s="50" t="str">
        <f aca="false">IF($A220="","",INDEX(TblApplications[Tribe],$A220))</f>
        <v/>
      </c>
      <c r="E220" s="50" t="str">
        <f aca="false">IF($A220="","",INDEX(TblApplications[Environnement],$A220))</f>
        <v/>
      </c>
      <c r="F220" s="50" t="str">
        <f aca="false">IF($A220="","",INDEX(TblApplications[Couloir],$A220))</f>
        <v/>
      </c>
      <c r="G220" s="50" t="str">
        <f aca="false">IF($A220="","",INDEX(TblApplications[Action],$A220))</f>
        <v/>
      </c>
      <c r="H220" s="50" t="str">
        <f aca="false">IF($A220="","",INDEX(TblApplications[Cluster IKS source],$A220))</f>
        <v/>
      </c>
      <c r="I220" s="63" t="str">
        <f aca="false">IF($A220="","",INDEX(TblApplications[Mois lib (calc)],$A220))</f>
        <v/>
      </c>
      <c r="J220" s="50" t="str">
        <f aca="false">IF($A220="","",INDEX(TblApplications[CPU IKS libérable (vCPU)],$A220))</f>
        <v/>
      </c>
    </row>
    <row r="221" customFormat="false" ht="15" hidden="false" customHeight="false" outlineLevel="0" collapsed="false">
      <c r="A221" s="49" t="str">
        <f aca="false">IFERROR(MATCH(156,TblApplications[Rang extinction],0),"")</f>
        <v/>
      </c>
      <c r="B221" s="50" t="str">
        <f aca="false">IF($A221="","",INDEX(TblApplications[ID],$A221))</f>
        <v/>
      </c>
      <c r="C221" s="50" t="str">
        <f aca="false">IF($A221="","",INDEX(TblApplications[Application],$A221))</f>
        <v/>
      </c>
      <c r="D221" s="50" t="str">
        <f aca="false">IF($A221="","",INDEX(TblApplications[Tribe],$A221))</f>
        <v/>
      </c>
      <c r="E221" s="50" t="str">
        <f aca="false">IF($A221="","",INDEX(TblApplications[Environnement],$A221))</f>
        <v/>
      </c>
      <c r="F221" s="50" t="str">
        <f aca="false">IF($A221="","",INDEX(TblApplications[Couloir],$A221))</f>
        <v/>
      </c>
      <c r="G221" s="50" t="str">
        <f aca="false">IF($A221="","",INDEX(TblApplications[Action],$A221))</f>
        <v/>
      </c>
      <c r="H221" s="50" t="str">
        <f aca="false">IF($A221="","",INDEX(TblApplications[Cluster IKS source],$A221))</f>
        <v/>
      </c>
      <c r="I221" s="63" t="str">
        <f aca="false">IF($A221="","",INDEX(TblApplications[Mois lib (calc)],$A221))</f>
        <v/>
      </c>
      <c r="J221" s="50" t="str">
        <f aca="false">IF($A221="","",INDEX(TblApplications[CPU IKS libérable (vCPU)],$A221))</f>
        <v/>
      </c>
    </row>
    <row r="222" customFormat="false" ht="15" hidden="false" customHeight="false" outlineLevel="0" collapsed="false">
      <c r="A222" s="49" t="str">
        <f aca="false">IFERROR(MATCH(157,TblApplications[Rang extinction],0),"")</f>
        <v/>
      </c>
      <c r="B222" s="50" t="str">
        <f aca="false">IF($A222="","",INDEX(TblApplications[ID],$A222))</f>
        <v/>
      </c>
      <c r="C222" s="50" t="str">
        <f aca="false">IF($A222="","",INDEX(TblApplications[Application],$A222))</f>
        <v/>
      </c>
      <c r="D222" s="50" t="str">
        <f aca="false">IF($A222="","",INDEX(TblApplications[Tribe],$A222))</f>
        <v/>
      </c>
      <c r="E222" s="50" t="str">
        <f aca="false">IF($A222="","",INDEX(TblApplications[Environnement],$A222))</f>
        <v/>
      </c>
      <c r="F222" s="50" t="str">
        <f aca="false">IF($A222="","",INDEX(TblApplications[Couloir],$A222))</f>
        <v/>
      </c>
      <c r="G222" s="50" t="str">
        <f aca="false">IF($A222="","",INDEX(TblApplications[Action],$A222))</f>
        <v/>
      </c>
      <c r="H222" s="50" t="str">
        <f aca="false">IF($A222="","",INDEX(TblApplications[Cluster IKS source],$A222))</f>
        <v/>
      </c>
      <c r="I222" s="63" t="str">
        <f aca="false">IF($A222="","",INDEX(TblApplications[Mois lib (calc)],$A222))</f>
        <v/>
      </c>
      <c r="J222" s="50" t="str">
        <f aca="false">IF($A222="","",INDEX(TblApplications[CPU IKS libérable (vCPU)],$A222))</f>
        <v/>
      </c>
    </row>
    <row r="223" customFormat="false" ht="15" hidden="false" customHeight="false" outlineLevel="0" collapsed="false">
      <c r="A223" s="49" t="str">
        <f aca="false">IFERROR(MATCH(158,TblApplications[Rang extinction],0),"")</f>
        <v/>
      </c>
      <c r="B223" s="50" t="str">
        <f aca="false">IF($A223="","",INDEX(TblApplications[ID],$A223))</f>
        <v/>
      </c>
      <c r="C223" s="50" t="str">
        <f aca="false">IF($A223="","",INDEX(TblApplications[Application],$A223))</f>
        <v/>
      </c>
      <c r="D223" s="50" t="str">
        <f aca="false">IF($A223="","",INDEX(TblApplications[Tribe],$A223))</f>
        <v/>
      </c>
      <c r="E223" s="50" t="str">
        <f aca="false">IF($A223="","",INDEX(TblApplications[Environnement],$A223))</f>
        <v/>
      </c>
      <c r="F223" s="50" t="str">
        <f aca="false">IF($A223="","",INDEX(TblApplications[Couloir],$A223))</f>
        <v/>
      </c>
      <c r="G223" s="50" t="str">
        <f aca="false">IF($A223="","",INDEX(TblApplications[Action],$A223))</f>
        <v/>
      </c>
      <c r="H223" s="50" t="str">
        <f aca="false">IF($A223="","",INDEX(TblApplications[Cluster IKS source],$A223))</f>
        <v/>
      </c>
      <c r="I223" s="63" t="str">
        <f aca="false">IF($A223="","",INDEX(TblApplications[Mois lib (calc)],$A223))</f>
        <v/>
      </c>
      <c r="J223" s="50" t="str">
        <f aca="false">IF($A223="","",INDEX(TblApplications[CPU IKS libérable (vCPU)],$A223))</f>
        <v/>
      </c>
    </row>
    <row r="224" customFormat="false" ht="15" hidden="false" customHeight="false" outlineLevel="0" collapsed="false">
      <c r="A224" s="49" t="str">
        <f aca="false">IFERROR(MATCH(159,TblApplications[Rang extinction],0),"")</f>
        <v/>
      </c>
      <c r="B224" s="50" t="str">
        <f aca="false">IF($A224="","",INDEX(TblApplications[ID],$A224))</f>
        <v/>
      </c>
      <c r="C224" s="50" t="str">
        <f aca="false">IF($A224="","",INDEX(TblApplications[Application],$A224))</f>
        <v/>
      </c>
      <c r="D224" s="50" t="str">
        <f aca="false">IF($A224="","",INDEX(TblApplications[Tribe],$A224))</f>
        <v/>
      </c>
      <c r="E224" s="50" t="str">
        <f aca="false">IF($A224="","",INDEX(TblApplications[Environnement],$A224))</f>
        <v/>
      </c>
      <c r="F224" s="50" t="str">
        <f aca="false">IF($A224="","",INDEX(TblApplications[Couloir],$A224))</f>
        <v/>
      </c>
      <c r="G224" s="50" t="str">
        <f aca="false">IF($A224="","",INDEX(TblApplications[Action],$A224))</f>
        <v/>
      </c>
      <c r="H224" s="50" t="str">
        <f aca="false">IF($A224="","",INDEX(TblApplications[Cluster IKS source],$A224))</f>
        <v/>
      </c>
      <c r="I224" s="63" t="str">
        <f aca="false">IF($A224="","",INDEX(TblApplications[Mois lib (calc)],$A224))</f>
        <v/>
      </c>
      <c r="J224" s="50" t="str">
        <f aca="false">IF($A224="","",INDEX(TblApplications[CPU IKS libérable (vCPU)],$A224))</f>
        <v/>
      </c>
    </row>
    <row r="225" customFormat="false" ht="15" hidden="false" customHeight="false" outlineLevel="0" collapsed="false">
      <c r="A225" s="49" t="str">
        <f aca="false">IFERROR(MATCH(160,TblApplications[Rang extinction],0),"")</f>
        <v/>
      </c>
      <c r="B225" s="50" t="str">
        <f aca="false">IF($A225="","",INDEX(TblApplications[ID],$A225))</f>
        <v/>
      </c>
      <c r="C225" s="50" t="str">
        <f aca="false">IF($A225="","",INDEX(TblApplications[Application],$A225))</f>
        <v/>
      </c>
      <c r="D225" s="50" t="str">
        <f aca="false">IF($A225="","",INDEX(TblApplications[Tribe],$A225))</f>
        <v/>
      </c>
      <c r="E225" s="50" t="str">
        <f aca="false">IF($A225="","",INDEX(TblApplications[Environnement],$A225))</f>
        <v/>
      </c>
      <c r="F225" s="50" t="str">
        <f aca="false">IF($A225="","",INDEX(TblApplications[Couloir],$A225))</f>
        <v/>
      </c>
      <c r="G225" s="50" t="str">
        <f aca="false">IF($A225="","",INDEX(TblApplications[Action],$A225))</f>
        <v/>
      </c>
      <c r="H225" s="50" t="str">
        <f aca="false">IF($A225="","",INDEX(TblApplications[Cluster IKS source],$A225))</f>
        <v/>
      </c>
      <c r="I225" s="63" t="str">
        <f aca="false">IF($A225="","",INDEX(TblApplications[Mois lib (calc)],$A225))</f>
        <v/>
      </c>
      <c r="J225" s="50" t="str">
        <f aca="false">IF($A225="","",INDEX(TblApplications[CPU IKS libérable (vCPU)],$A225))</f>
        <v/>
      </c>
    </row>
    <row r="226" customFormat="false" ht="15" hidden="false" customHeight="false" outlineLevel="0" collapsed="false">
      <c r="A226" s="49" t="str">
        <f aca="false">IFERROR(MATCH(161,TblApplications[Rang extinction],0),"")</f>
        <v/>
      </c>
      <c r="B226" s="50" t="str">
        <f aca="false">IF($A226="","",INDEX(TblApplications[ID],$A226))</f>
        <v/>
      </c>
      <c r="C226" s="50" t="str">
        <f aca="false">IF($A226="","",INDEX(TblApplications[Application],$A226))</f>
        <v/>
      </c>
      <c r="D226" s="50" t="str">
        <f aca="false">IF($A226="","",INDEX(TblApplications[Tribe],$A226))</f>
        <v/>
      </c>
      <c r="E226" s="50" t="str">
        <f aca="false">IF($A226="","",INDEX(TblApplications[Environnement],$A226))</f>
        <v/>
      </c>
      <c r="F226" s="50" t="str">
        <f aca="false">IF($A226="","",INDEX(TblApplications[Couloir],$A226))</f>
        <v/>
      </c>
      <c r="G226" s="50" t="str">
        <f aca="false">IF($A226="","",INDEX(TblApplications[Action],$A226))</f>
        <v/>
      </c>
      <c r="H226" s="50" t="str">
        <f aca="false">IF($A226="","",INDEX(TblApplications[Cluster IKS source],$A226))</f>
        <v/>
      </c>
      <c r="I226" s="63" t="str">
        <f aca="false">IF($A226="","",INDEX(TblApplications[Mois lib (calc)],$A226))</f>
        <v/>
      </c>
      <c r="J226" s="50" t="str">
        <f aca="false">IF($A226="","",INDEX(TblApplications[CPU IKS libérable (vCPU)],$A226))</f>
        <v/>
      </c>
    </row>
    <row r="227" customFormat="false" ht="15" hidden="false" customHeight="false" outlineLevel="0" collapsed="false">
      <c r="A227" s="49" t="str">
        <f aca="false">IFERROR(MATCH(162,TblApplications[Rang extinction],0),"")</f>
        <v/>
      </c>
      <c r="B227" s="50" t="str">
        <f aca="false">IF($A227="","",INDEX(TblApplications[ID],$A227))</f>
        <v/>
      </c>
      <c r="C227" s="50" t="str">
        <f aca="false">IF($A227="","",INDEX(TblApplications[Application],$A227))</f>
        <v/>
      </c>
      <c r="D227" s="50" t="str">
        <f aca="false">IF($A227="","",INDEX(TblApplications[Tribe],$A227))</f>
        <v/>
      </c>
      <c r="E227" s="50" t="str">
        <f aca="false">IF($A227="","",INDEX(TblApplications[Environnement],$A227))</f>
        <v/>
      </c>
      <c r="F227" s="50" t="str">
        <f aca="false">IF($A227="","",INDEX(TblApplications[Couloir],$A227))</f>
        <v/>
      </c>
      <c r="G227" s="50" t="str">
        <f aca="false">IF($A227="","",INDEX(TblApplications[Action],$A227))</f>
        <v/>
      </c>
      <c r="H227" s="50" t="str">
        <f aca="false">IF($A227="","",INDEX(TblApplications[Cluster IKS source],$A227))</f>
        <v/>
      </c>
      <c r="I227" s="63" t="str">
        <f aca="false">IF($A227="","",INDEX(TblApplications[Mois lib (calc)],$A227))</f>
        <v/>
      </c>
      <c r="J227" s="50" t="str">
        <f aca="false">IF($A227="","",INDEX(TblApplications[CPU IKS libérable (vCPU)],$A227))</f>
        <v/>
      </c>
    </row>
    <row r="228" customFormat="false" ht="15" hidden="false" customHeight="false" outlineLevel="0" collapsed="false">
      <c r="A228" s="49" t="str">
        <f aca="false">IFERROR(MATCH(163,TblApplications[Rang extinction],0),"")</f>
        <v/>
      </c>
      <c r="B228" s="50" t="str">
        <f aca="false">IF($A228="","",INDEX(TblApplications[ID],$A228))</f>
        <v/>
      </c>
      <c r="C228" s="50" t="str">
        <f aca="false">IF($A228="","",INDEX(TblApplications[Application],$A228))</f>
        <v/>
      </c>
      <c r="D228" s="50" t="str">
        <f aca="false">IF($A228="","",INDEX(TblApplications[Tribe],$A228))</f>
        <v/>
      </c>
      <c r="E228" s="50" t="str">
        <f aca="false">IF($A228="","",INDEX(TblApplications[Environnement],$A228))</f>
        <v/>
      </c>
      <c r="F228" s="50" t="str">
        <f aca="false">IF($A228="","",INDEX(TblApplications[Couloir],$A228))</f>
        <v/>
      </c>
      <c r="G228" s="50" t="str">
        <f aca="false">IF($A228="","",INDEX(TblApplications[Action],$A228))</f>
        <v/>
      </c>
      <c r="H228" s="50" t="str">
        <f aca="false">IF($A228="","",INDEX(TblApplications[Cluster IKS source],$A228))</f>
        <v/>
      </c>
      <c r="I228" s="63" t="str">
        <f aca="false">IF($A228="","",INDEX(TblApplications[Mois lib (calc)],$A228))</f>
        <v/>
      </c>
      <c r="J228" s="50" t="str">
        <f aca="false">IF($A228="","",INDEX(TblApplications[CPU IKS libérable (vCPU)],$A228))</f>
        <v/>
      </c>
    </row>
    <row r="229" customFormat="false" ht="15" hidden="false" customHeight="false" outlineLevel="0" collapsed="false">
      <c r="A229" s="49" t="str">
        <f aca="false">IFERROR(MATCH(164,TblApplications[Rang extinction],0),"")</f>
        <v/>
      </c>
      <c r="B229" s="50" t="str">
        <f aca="false">IF($A229="","",INDEX(TblApplications[ID],$A229))</f>
        <v/>
      </c>
      <c r="C229" s="50" t="str">
        <f aca="false">IF($A229="","",INDEX(TblApplications[Application],$A229))</f>
        <v/>
      </c>
      <c r="D229" s="50" t="str">
        <f aca="false">IF($A229="","",INDEX(TblApplications[Tribe],$A229))</f>
        <v/>
      </c>
      <c r="E229" s="50" t="str">
        <f aca="false">IF($A229="","",INDEX(TblApplications[Environnement],$A229))</f>
        <v/>
      </c>
      <c r="F229" s="50" t="str">
        <f aca="false">IF($A229="","",INDEX(TblApplications[Couloir],$A229))</f>
        <v/>
      </c>
      <c r="G229" s="50" t="str">
        <f aca="false">IF($A229="","",INDEX(TblApplications[Action],$A229))</f>
        <v/>
      </c>
      <c r="H229" s="50" t="str">
        <f aca="false">IF($A229="","",INDEX(TblApplications[Cluster IKS source],$A229))</f>
        <v/>
      </c>
      <c r="I229" s="63" t="str">
        <f aca="false">IF($A229="","",INDEX(TblApplications[Mois lib (calc)],$A229))</f>
        <v/>
      </c>
      <c r="J229" s="50" t="str">
        <f aca="false">IF($A229="","",INDEX(TblApplications[CPU IKS libérable (vCPU)],$A229))</f>
        <v/>
      </c>
    </row>
    <row r="230" customFormat="false" ht="15" hidden="false" customHeight="false" outlineLevel="0" collapsed="false">
      <c r="A230" s="49" t="str">
        <f aca="false">IFERROR(MATCH(165,TblApplications[Rang extinction],0),"")</f>
        <v/>
      </c>
      <c r="B230" s="50" t="str">
        <f aca="false">IF($A230="","",INDEX(TblApplications[ID],$A230))</f>
        <v/>
      </c>
      <c r="C230" s="50" t="str">
        <f aca="false">IF($A230="","",INDEX(TblApplications[Application],$A230))</f>
        <v/>
      </c>
      <c r="D230" s="50" t="str">
        <f aca="false">IF($A230="","",INDEX(TblApplications[Tribe],$A230))</f>
        <v/>
      </c>
      <c r="E230" s="50" t="str">
        <f aca="false">IF($A230="","",INDEX(TblApplications[Environnement],$A230))</f>
        <v/>
      </c>
      <c r="F230" s="50" t="str">
        <f aca="false">IF($A230="","",INDEX(TblApplications[Couloir],$A230))</f>
        <v/>
      </c>
      <c r="G230" s="50" t="str">
        <f aca="false">IF($A230="","",INDEX(TblApplications[Action],$A230))</f>
        <v/>
      </c>
      <c r="H230" s="50" t="str">
        <f aca="false">IF($A230="","",INDEX(TblApplications[Cluster IKS source],$A230))</f>
        <v/>
      </c>
      <c r="I230" s="63" t="str">
        <f aca="false">IF($A230="","",INDEX(TblApplications[Mois lib (calc)],$A230))</f>
        <v/>
      </c>
      <c r="J230" s="50" t="str">
        <f aca="false">IF($A230="","",INDEX(TblApplications[CPU IKS libérable (vCPU)],$A230))</f>
        <v/>
      </c>
    </row>
    <row r="231" customFormat="false" ht="15" hidden="false" customHeight="false" outlineLevel="0" collapsed="false">
      <c r="A231" s="49" t="str">
        <f aca="false">IFERROR(MATCH(166,TblApplications[Rang extinction],0),"")</f>
        <v/>
      </c>
      <c r="B231" s="50" t="str">
        <f aca="false">IF($A231="","",INDEX(TblApplications[ID],$A231))</f>
        <v/>
      </c>
      <c r="C231" s="50" t="str">
        <f aca="false">IF($A231="","",INDEX(TblApplications[Application],$A231))</f>
        <v/>
      </c>
      <c r="D231" s="50" t="str">
        <f aca="false">IF($A231="","",INDEX(TblApplications[Tribe],$A231))</f>
        <v/>
      </c>
      <c r="E231" s="50" t="str">
        <f aca="false">IF($A231="","",INDEX(TblApplications[Environnement],$A231))</f>
        <v/>
      </c>
      <c r="F231" s="50" t="str">
        <f aca="false">IF($A231="","",INDEX(TblApplications[Couloir],$A231))</f>
        <v/>
      </c>
      <c r="G231" s="50" t="str">
        <f aca="false">IF($A231="","",INDEX(TblApplications[Action],$A231))</f>
        <v/>
      </c>
      <c r="H231" s="50" t="str">
        <f aca="false">IF($A231="","",INDEX(TblApplications[Cluster IKS source],$A231))</f>
        <v/>
      </c>
      <c r="I231" s="63" t="str">
        <f aca="false">IF($A231="","",INDEX(TblApplications[Mois lib (calc)],$A231))</f>
        <v/>
      </c>
      <c r="J231" s="50" t="str">
        <f aca="false">IF($A231="","",INDEX(TblApplications[CPU IKS libérable (vCPU)],$A231))</f>
        <v/>
      </c>
    </row>
    <row r="232" customFormat="false" ht="15" hidden="false" customHeight="false" outlineLevel="0" collapsed="false">
      <c r="A232" s="49" t="str">
        <f aca="false">IFERROR(MATCH(167,TblApplications[Rang extinction],0),"")</f>
        <v/>
      </c>
      <c r="B232" s="50" t="str">
        <f aca="false">IF($A232="","",INDEX(TblApplications[ID],$A232))</f>
        <v/>
      </c>
      <c r="C232" s="50" t="str">
        <f aca="false">IF($A232="","",INDEX(TblApplications[Application],$A232))</f>
        <v/>
      </c>
      <c r="D232" s="50" t="str">
        <f aca="false">IF($A232="","",INDEX(TblApplications[Tribe],$A232))</f>
        <v/>
      </c>
      <c r="E232" s="50" t="str">
        <f aca="false">IF($A232="","",INDEX(TblApplications[Environnement],$A232))</f>
        <v/>
      </c>
      <c r="F232" s="50" t="str">
        <f aca="false">IF($A232="","",INDEX(TblApplications[Couloir],$A232))</f>
        <v/>
      </c>
      <c r="G232" s="50" t="str">
        <f aca="false">IF($A232="","",INDEX(TblApplications[Action],$A232))</f>
        <v/>
      </c>
      <c r="H232" s="50" t="str">
        <f aca="false">IF($A232="","",INDEX(TblApplications[Cluster IKS source],$A232))</f>
        <v/>
      </c>
      <c r="I232" s="63" t="str">
        <f aca="false">IF($A232="","",INDEX(TblApplications[Mois lib (calc)],$A232))</f>
        <v/>
      </c>
      <c r="J232" s="50" t="str">
        <f aca="false">IF($A232="","",INDEX(TblApplications[CPU IKS libérable (vCPU)],$A232))</f>
        <v/>
      </c>
    </row>
    <row r="233" customFormat="false" ht="15" hidden="false" customHeight="false" outlineLevel="0" collapsed="false">
      <c r="A233" s="49" t="str">
        <f aca="false">IFERROR(MATCH(168,TblApplications[Rang extinction],0),"")</f>
        <v/>
      </c>
      <c r="B233" s="50" t="str">
        <f aca="false">IF($A233="","",INDEX(TblApplications[ID],$A233))</f>
        <v/>
      </c>
      <c r="C233" s="50" t="str">
        <f aca="false">IF($A233="","",INDEX(TblApplications[Application],$A233))</f>
        <v/>
      </c>
      <c r="D233" s="50" t="str">
        <f aca="false">IF($A233="","",INDEX(TblApplications[Tribe],$A233))</f>
        <v/>
      </c>
      <c r="E233" s="50" t="str">
        <f aca="false">IF($A233="","",INDEX(TblApplications[Environnement],$A233))</f>
        <v/>
      </c>
      <c r="F233" s="50" t="str">
        <f aca="false">IF($A233="","",INDEX(TblApplications[Couloir],$A233))</f>
        <v/>
      </c>
      <c r="G233" s="50" t="str">
        <f aca="false">IF($A233="","",INDEX(TblApplications[Action],$A233))</f>
        <v/>
      </c>
      <c r="H233" s="50" t="str">
        <f aca="false">IF($A233="","",INDEX(TblApplications[Cluster IKS source],$A233))</f>
        <v/>
      </c>
      <c r="I233" s="63" t="str">
        <f aca="false">IF($A233="","",INDEX(TblApplications[Mois lib (calc)],$A233))</f>
        <v/>
      </c>
      <c r="J233" s="50" t="str">
        <f aca="false">IF($A233="","",INDEX(TblApplications[CPU IKS libérable (vCPU)],$A233))</f>
        <v/>
      </c>
    </row>
    <row r="234" customFormat="false" ht="15" hidden="false" customHeight="false" outlineLevel="0" collapsed="false">
      <c r="A234" s="49" t="str">
        <f aca="false">IFERROR(MATCH(169,TblApplications[Rang extinction],0),"")</f>
        <v/>
      </c>
      <c r="B234" s="50" t="str">
        <f aca="false">IF($A234="","",INDEX(TblApplications[ID],$A234))</f>
        <v/>
      </c>
      <c r="C234" s="50" t="str">
        <f aca="false">IF($A234="","",INDEX(TblApplications[Application],$A234))</f>
        <v/>
      </c>
      <c r="D234" s="50" t="str">
        <f aca="false">IF($A234="","",INDEX(TblApplications[Tribe],$A234))</f>
        <v/>
      </c>
      <c r="E234" s="50" t="str">
        <f aca="false">IF($A234="","",INDEX(TblApplications[Environnement],$A234))</f>
        <v/>
      </c>
      <c r="F234" s="50" t="str">
        <f aca="false">IF($A234="","",INDEX(TblApplications[Couloir],$A234))</f>
        <v/>
      </c>
      <c r="G234" s="50" t="str">
        <f aca="false">IF($A234="","",INDEX(TblApplications[Action],$A234))</f>
        <v/>
      </c>
      <c r="H234" s="50" t="str">
        <f aca="false">IF($A234="","",INDEX(TblApplications[Cluster IKS source],$A234))</f>
        <v/>
      </c>
      <c r="I234" s="63" t="str">
        <f aca="false">IF($A234="","",INDEX(TblApplications[Mois lib (calc)],$A234))</f>
        <v/>
      </c>
      <c r="J234" s="50" t="str">
        <f aca="false">IF($A234="","",INDEX(TblApplications[CPU IKS libérable (vCPU)],$A234))</f>
        <v/>
      </c>
    </row>
    <row r="235" customFormat="false" ht="15" hidden="false" customHeight="false" outlineLevel="0" collapsed="false">
      <c r="A235" s="49" t="str">
        <f aca="false">IFERROR(MATCH(170,TblApplications[Rang extinction],0),"")</f>
        <v/>
      </c>
      <c r="B235" s="50" t="str">
        <f aca="false">IF($A235="","",INDEX(TblApplications[ID],$A235))</f>
        <v/>
      </c>
      <c r="C235" s="50" t="str">
        <f aca="false">IF($A235="","",INDEX(TblApplications[Application],$A235))</f>
        <v/>
      </c>
      <c r="D235" s="50" t="str">
        <f aca="false">IF($A235="","",INDEX(TblApplications[Tribe],$A235))</f>
        <v/>
      </c>
      <c r="E235" s="50" t="str">
        <f aca="false">IF($A235="","",INDEX(TblApplications[Environnement],$A235))</f>
        <v/>
      </c>
      <c r="F235" s="50" t="str">
        <f aca="false">IF($A235="","",INDEX(TblApplications[Couloir],$A235))</f>
        <v/>
      </c>
      <c r="G235" s="50" t="str">
        <f aca="false">IF($A235="","",INDEX(TblApplications[Action],$A235))</f>
        <v/>
      </c>
      <c r="H235" s="50" t="str">
        <f aca="false">IF($A235="","",INDEX(TblApplications[Cluster IKS source],$A235))</f>
        <v/>
      </c>
      <c r="I235" s="63" t="str">
        <f aca="false">IF($A235="","",INDEX(TblApplications[Mois lib (calc)],$A235))</f>
        <v/>
      </c>
      <c r="J235" s="50" t="str">
        <f aca="false">IF($A235="","",INDEX(TblApplications[CPU IKS libérable (vCPU)],$A235))</f>
        <v/>
      </c>
    </row>
    <row r="236" customFormat="false" ht="15" hidden="false" customHeight="false" outlineLevel="0" collapsed="false">
      <c r="A236" s="49" t="str">
        <f aca="false">IFERROR(MATCH(171,TblApplications[Rang extinction],0),"")</f>
        <v/>
      </c>
      <c r="B236" s="50" t="str">
        <f aca="false">IF($A236="","",INDEX(TblApplications[ID],$A236))</f>
        <v/>
      </c>
      <c r="C236" s="50" t="str">
        <f aca="false">IF($A236="","",INDEX(TblApplications[Application],$A236))</f>
        <v/>
      </c>
      <c r="D236" s="50" t="str">
        <f aca="false">IF($A236="","",INDEX(TblApplications[Tribe],$A236))</f>
        <v/>
      </c>
      <c r="E236" s="50" t="str">
        <f aca="false">IF($A236="","",INDEX(TblApplications[Environnement],$A236))</f>
        <v/>
      </c>
      <c r="F236" s="50" t="str">
        <f aca="false">IF($A236="","",INDEX(TblApplications[Couloir],$A236))</f>
        <v/>
      </c>
      <c r="G236" s="50" t="str">
        <f aca="false">IF($A236="","",INDEX(TblApplications[Action],$A236))</f>
        <v/>
      </c>
      <c r="H236" s="50" t="str">
        <f aca="false">IF($A236="","",INDEX(TblApplications[Cluster IKS source],$A236))</f>
        <v/>
      </c>
      <c r="I236" s="63" t="str">
        <f aca="false">IF($A236="","",INDEX(TblApplications[Mois lib (calc)],$A236))</f>
        <v/>
      </c>
      <c r="J236" s="50" t="str">
        <f aca="false">IF($A236="","",INDEX(TblApplications[CPU IKS libérable (vCPU)],$A236))</f>
        <v/>
      </c>
    </row>
    <row r="237" customFormat="false" ht="15" hidden="false" customHeight="false" outlineLevel="0" collapsed="false">
      <c r="A237" s="49" t="str">
        <f aca="false">IFERROR(MATCH(172,TblApplications[Rang extinction],0),"")</f>
        <v/>
      </c>
      <c r="B237" s="50" t="str">
        <f aca="false">IF($A237="","",INDEX(TblApplications[ID],$A237))</f>
        <v/>
      </c>
      <c r="C237" s="50" t="str">
        <f aca="false">IF($A237="","",INDEX(TblApplications[Application],$A237))</f>
        <v/>
      </c>
      <c r="D237" s="50" t="str">
        <f aca="false">IF($A237="","",INDEX(TblApplications[Tribe],$A237))</f>
        <v/>
      </c>
      <c r="E237" s="50" t="str">
        <f aca="false">IF($A237="","",INDEX(TblApplications[Environnement],$A237))</f>
        <v/>
      </c>
      <c r="F237" s="50" t="str">
        <f aca="false">IF($A237="","",INDEX(TblApplications[Couloir],$A237))</f>
        <v/>
      </c>
      <c r="G237" s="50" t="str">
        <f aca="false">IF($A237="","",INDEX(TblApplications[Action],$A237))</f>
        <v/>
      </c>
      <c r="H237" s="50" t="str">
        <f aca="false">IF($A237="","",INDEX(TblApplications[Cluster IKS source],$A237))</f>
        <v/>
      </c>
      <c r="I237" s="63" t="str">
        <f aca="false">IF($A237="","",INDEX(TblApplications[Mois lib (calc)],$A237))</f>
        <v/>
      </c>
      <c r="J237" s="50" t="str">
        <f aca="false">IF($A237="","",INDEX(TblApplications[CPU IKS libérable (vCPU)],$A237))</f>
        <v/>
      </c>
    </row>
    <row r="238" customFormat="false" ht="15" hidden="false" customHeight="false" outlineLevel="0" collapsed="false">
      <c r="A238" s="49" t="str">
        <f aca="false">IFERROR(MATCH(173,TblApplications[Rang extinction],0),"")</f>
        <v/>
      </c>
      <c r="B238" s="50" t="str">
        <f aca="false">IF($A238="","",INDEX(TblApplications[ID],$A238))</f>
        <v/>
      </c>
      <c r="C238" s="50" t="str">
        <f aca="false">IF($A238="","",INDEX(TblApplications[Application],$A238))</f>
        <v/>
      </c>
      <c r="D238" s="50" t="str">
        <f aca="false">IF($A238="","",INDEX(TblApplications[Tribe],$A238))</f>
        <v/>
      </c>
      <c r="E238" s="50" t="str">
        <f aca="false">IF($A238="","",INDEX(TblApplications[Environnement],$A238))</f>
        <v/>
      </c>
      <c r="F238" s="50" t="str">
        <f aca="false">IF($A238="","",INDEX(TblApplications[Couloir],$A238))</f>
        <v/>
      </c>
      <c r="G238" s="50" t="str">
        <f aca="false">IF($A238="","",INDEX(TblApplications[Action],$A238))</f>
        <v/>
      </c>
      <c r="H238" s="50" t="str">
        <f aca="false">IF($A238="","",INDEX(TblApplications[Cluster IKS source],$A238))</f>
        <v/>
      </c>
      <c r="I238" s="63" t="str">
        <f aca="false">IF($A238="","",INDEX(TblApplications[Mois lib (calc)],$A238))</f>
        <v/>
      </c>
      <c r="J238" s="50" t="str">
        <f aca="false">IF($A238="","",INDEX(TblApplications[CPU IKS libérable (vCPU)],$A238))</f>
        <v/>
      </c>
    </row>
    <row r="239" customFormat="false" ht="15" hidden="false" customHeight="false" outlineLevel="0" collapsed="false">
      <c r="A239" s="49" t="str">
        <f aca="false">IFERROR(MATCH(174,TblApplications[Rang extinction],0),"")</f>
        <v/>
      </c>
      <c r="B239" s="50" t="str">
        <f aca="false">IF($A239="","",INDEX(TblApplications[ID],$A239))</f>
        <v/>
      </c>
      <c r="C239" s="50" t="str">
        <f aca="false">IF($A239="","",INDEX(TblApplications[Application],$A239))</f>
        <v/>
      </c>
      <c r="D239" s="50" t="str">
        <f aca="false">IF($A239="","",INDEX(TblApplications[Tribe],$A239))</f>
        <v/>
      </c>
      <c r="E239" s="50" t="str">
        <f aca="false">IF($A239="","",INDEX(TblApplications[Environnement],$A239))</f>
        <v/>
      </c>
      <c r="F239" s="50" t="str">
        <f aca="false">IF($A239="","",INDEX(TblApplications[Couloir],$A239))</f>
        <v/>
      </c>
      <c r="G239" s="50" t="str">
        <f aca="false">IF($A239="","",INDEX(TblApplications[Action],$A239))</f>
        <v/>
      </c>
      <c r="H239" s="50" t="str">
        <f aca="false">IF($A239="","",INDEX(TblApplications[Cluster IKS source],$A239))</f>
        <v/>
      </c>
      <c r="I239" s="63" t="str">
        <f aca="false">IF($A239="","",INDEX(TblApplications[Mois lib (calc)],$A239))</f>
        <v/>
      </c>
      <c r="J239" s="50" t="str">
        <f aca="false">IF($A239="","",INDEX(TblApplications[CPU IKS libérable (vCPU)],$A239))</f>
        <v/>
      </c>
    </row>
    <row r="240" customFormat="false" ht="15" hidden="false" customHeight="false" outlineLevel="0" collapsed="false">
      <c r="A240" s="49" t="str">
        <f aca="false">IFERROR(MATCH(175,TblApplications[Rang extinction],0),"")</f>
        <v/>
      </c>
      <c r="B240" s="50" t="str">
        <f aca="false">IF($A240="","",INDEX(TblApplications[ID],$A240))</f>
        <v/>
      </c>
      <c r="C240" s="50" t="str">
        <f aca="false">IF($A240="","",INDEX(TblApplications[Application],$A240))</f>
        <v/>
      </c>
      <c r="D240" s="50" t="str">
        <f aca="false">IF($A240="","",INDEX(TblApplications[Tribe],$A240))</f>
        <v/>
      </c>
      <c r="E240" s="50" t="str">
        <f aca="false">IF($A240="","",INDEX(TblApplications[Environnement],$A240))</f>
        <v/>
      </c>
      <c r="F240" s="50" t="str">
        <f aca="false">IF($A240="","",INDEX(TblApplications[Couloir],$A240))</f>
        <v/>
      </c>
      <c r="G240" s="50" t="str">
        <f aca="false">IF($A240="","",INDEX(TblApplications[Action],$A240))</f>
        <v/>
      </c>
      <c r="H240" s="50" t="str">
        <f aca="false">IF($A240="","",INDEX(TblApplications[Cluster IKS source],$A240))</f>
        <v/>
      </c>
      <c r="I240" s="63" t="str">
        <f aca="false">IF($A240="","",INDEX(TblApplications[Mois lib (calc)],$A240))</f>
        <v/>
      </c>
      <c r="J240" s="50" t="str">
        <f aca="false">IF($A240="","",INDEX(TblApplications[CPU IKS libérable (vCPU)],$A240))</f>
        <v/>
      </c>
    </row>
    <row r="241" customFormat="false" ht="15" hidden="false" customHeight="false" outlineLevel="0" collapsed="false">
      <c r="A241" s="49" t="str">
        <f aca="false">IFERROR(MATCH(176,TblApplications[Rang extinction],0),"")</f>
        <v/>
      </c>
      <c r="B241" s="50" t="str">
        <f aca="false">IF($A241="","",INDEX(TblApplications[ID],$A241))</f>
        <v/>
      </c>
      <c r="C241" s="50" t="str">
        <f aca="false">IF($A241="","",INDEX(TblApplications[Application],$A241))</f>
        <v/>
      </c>
      <c r="D241" s="50" t="str">
        <f aca="false">IF($A241="","",INDEX(TblApplications[Tribe],$A241))</f>
        <v/>
      </c>
      <c r="E241" s="50" t="str">
        <f aca="false">IF($A241="","",INDEX(TblApplications[Environnement],$A241))</f>
        <v/>
      </c>
      <c r="F241" s="50" t="str">
        <f aca="false">IF($A241="","",INDEX(TblApplications[Couloir],$A241))</f>
        <v/>
      </c>
      <c r="G241" s="50" t="str">
        <f aca="false">IF($A241="","",INDEX(TblApplications[Action],$A241))</f>
        <v/>
      </c>
      <c r="H241" s="50" t="str">
        <f aca="false">IF($A241="","",INDEX(TblApplications[Cluster IKS source],$A241))</f>
        <v/>
      </c>
      <c r="I241" s="63" t="str">
        <f aca="false">IF($A241="","",INDEX(TblApplications[Mois lib (calc)],$A241))</f>
        <v/>
      </c>
      <c r="J241" s="50" t="str">
        <f aca="false">IF($A241="","",INDEX(TblApplications[CPU IKS libérable (vCPU)],$A241))</f>
        <v/>
      </c>
    </row>
    <row r="242" customFormat="false" ht="15" hidden="false" customHeight="false" outlineLevel="0" collapsed="false">
      <c r="A242" s="49" t="str">
        <f aca="false">IFERROR(MATCH(177,TblApplications[Rang extinction],0),"")</f>
        <v/>
      </c>
      <c r="B242" s="50" t="str">
        <f aca="false">IF($A242="","",INDEX(TblApplications[ID],$A242))</f>
        <v/>
      </c>
      <c r="C242" s="50" t="str">
        <f aca="false">IF($A242="","",INDEX(TblApplications[Application],$A242))</f>
        <v/>
      </c>
      <c r="D242" s="50" t="str">
        <f aca="false">IF($A242="","",INDEX(TblApplications[Tribe],$A242))</f>
        <v/>
      </c>
      <c r="E242" s="50" t="str">
        <f aca="false">IF($A242="","",INDEX(TblApplications[Environnement],$A242))</f>
        <v/>
      </c>
      <c r="F242" s="50" t="str">
        <f aca="false">IF($A242="","",INDEX(TblApplications[Couloir],$A242))</f>
        <v/>
      </c>
      <c r="G242" s="50" t="str">
        <f aca="false">IF($A242="","",INDEX(TblApplications[Action],$A242))</f>
        <v/>
      </c>
      <c r="H242" s="50" t="str">
        <f aca="false">IF($A242="","",INDEX(TblApplications[Cluster IKS source],$A242))</f>
        <v/>
      </c>
      <c r="I242" s="63" t="str">
        <f aca="false">IF($A242="","",INDEX(TblApplications[Mois lib (calc)],$A242))</f>
        <v/>
      </c>
      <c r="J242" s="50" t="str">
        <f aca="false">IF($A242="","",INDEX(TblApplications[CPU IKS libérable (vCPU)],$A242))</f>
        <v/>
      </c>
    </row>
    <row r="243" customFormat="false" ht="15" hidden="false" customHeight="false" outlineLevel="0" collapsed="false">
      <c r="A243" s="49" t="str">
        <f aca="false">IFERROR(MATCH(178,TblApplications[Rang extinction],0),"")</f>
        <v/>
      </c>
      <c r="B243" s="50" t="str">
        <f aca="false">IF($A243="","",INDEX(TblApplications[ID],$A243))</f>
        <v/>
      </c>
      <c r="C243" s="50" t="str">
        <f aca="false">IF($A243="","",INDEX(TblApplications[Application],$A243))</f>
        <v/>
      </c>
      <c r="D243" s="50" t="str">
        <f aca="false">IF($A243="","",INDEX(TblApplications[Tribe],$A243))</f>
        <v/>
      </c>
      <c r="E243" s="50" t="str">
        <f aca="false">IF($A243="","",INDEX(TblApplications[Environnement],$A243))</f>
        <v/>
      </c>
      <c r="F243" s="50" t="str">
        <f aca="false">IF($A243="","",INDEX(TblApplications[Couloir],$A243))</f>
        <v/>
      </c>
      <c r="G243" s="50" t="str">
        <f aca="false">IF($A243="","",INDEX(TblApplications[Action],$A243))</f>
        <v/>
      </c>
      <c r="H243" s="50" t="str">
        <f aca="false">IF($A243="","",INDEX(TblApplications[Cluster IKS source],$A243))</f>
        <v/>
      </c>
      <c r="I243" s="63" t="str">
        <f aca="false">IF($A243="","",INDEX(TblApplications[Mois lib (calc)],$A243))</f>
        <v/>
      </c>
      <c r="J243" s="50" t="str">
        <f aca="false">IF($A243="","",INDEX(TblApplications[CPU IKS libérable (vCPU)],$A243))</f>
        <v/>
      </c>
    </row>
    <row r="244" customFormat="false" ht="15" hidden="false" customHeight="false" outlineLevel="0" collapsed="false">
      <c r="A244" s="49" t="str">
        <f aca="false">IFERROR(MATCH(179,TblApplications[Rang extinction],0),"")</f>
        <v/>
      </c>
      <c r="B244" s="50" t="str">
        <f aca="false">IF($A244="","",INDEX(TblApplications[ID],$A244))</f>
        <v/>
      </c>
      <c r="C244" s="50" t="str">
        <f aca="false">IF($A244="","",INDEX(TblApplications[Application],$A244))</f>
        <v/>
      </c>
      <c r="D244" s="50" t="str">
        <f aca="false">IF($A244="","",INDEX(TblApplications[Tribe],$A244))</f>
        <v/>
      </c>
      <c r="E244" s="50" t="str">
        <f aca="false">IF($A244="","",INDEX(TblApplications[Environnement],$A244))</f>
        <v/>
      </c>
      <c r="F244" s="50" t="str">
        <f aca="false">IF($A244="","",INDEX(TblApplications[Couloir],$A244))</f>
        <v/>
      </c>
      <c r="G244" s="50" t="str">
        <f aca="false">IF($A244="","",INDEX(TblApplications[Action],$A244))</f>
        <v/>
      </c>
      <c r="H244" s="50" t="str">
        <f aca="false">IF($A244="","",INDEX(TblApplications[Cluster IKS source],$A244))</f>
        <v/>
      </c>
      <c r="I244" s="63" t="str">
        <f aca="false">IF($A244="","",INDEX(TblApplications[Mois lib (calc)],$A244))</f>
        <v/>
      </c>
      <c r="J244" s="50" t="str">
        <f aca="false">IF($A244="","",INDEX(TblApplications[CPU IKS libérable (vCPU)],$A244))</f>
        <v/>
      </c>
    </row>
    <row r="245" customFormat="false" ht="15" hidden="false" customHeight="false" outlineLevel="0" collapsed="false">
      <c r="A245" s="49" t="str">
        <f aca="false">IFERROR(MATCH(180,TblApplications[Rang extinction],0),"")</f>
        <v/>
      </c>
      <c r="B245" s="50" t="str">
        <f aca="false">IF($A245="","",INDEX(TblApplications[ID],$A245))</f>
        <v/>
      </c>
      <c r="C245" s="50" t="str">
        <f aca="false">IF($A245="","",INDEX(TblApplications[Application],$A245))</f>
        <v/>
      </c>
      <c r="D245" s="50" t="str">
        <f aca="false">IF($A245="","",INDEX(TblApplications[Tribe],$A245))</f>
        <v/>
      </c>
      <c r="E245" s="50" t="str">
        <f aca="false">IF($A245="","",INDEX(TblApplications[Environnement],$A245))</f>
        <v/>
      </c>
      <c r="F245" s="50" t="str">
        <f aca="false">IF($A245="","",INDEX(TblApplications[Couloir],$A245))</f>
        <v/>
      </c>
      <c r="G245" s="50" t="str">
        <f aca="false">IF($A245="","",INDEX(TblApplications[Action],$A245))</f>
        <v/>
      </c>
      <c r="H245" s="50" t="str">
        <f aca="false">IF($A245="","",INDEX(TblApplications[Cluster IKS source],$A245))</f>
        <v/>
      </c>
      <c r="I245" s="63" t="str">
        <f aca="false">IF($A245="","",INDEX(TblApplications[Mois lib (calc)],$A245))</f>
        <v/>
      </c>
      <c r="J245" s="50" t="str">
        <f aca="false">IF($A245="","",INDEX(TblApplications[CPU IKS libérable (vCPU)],$A245))</f>
        <v/>
      </c>
    </row>
    <row r="246" customFormat="false" ht="15" hidden="false" customHeight="false" outlineLevel="0" collapsed="false">
      <c r="A246" s="49" t="str">
        <f aca="false">IFERROR(MATCH(181,TblApplications[Rang extinction],0),"")</f>
        <v/>
      </c>
      <c r="B246" s="50" t="str">
        <f aca="false">IF($A246="","",INDEX(TblApplications[ID],$A246))</f>
        <v/>
      </c>
      <c r="C246" s="50" t="str">
        <f aca="false">IF($A246="","",INDEX(TblApplications[Application],$A246))</f>
        <v/>
      </c>
      <c r="D246" s="50" t="str">
        <f aca="false">IF($A246="","",INDEX(TblApplications[Tribe],$A246))</f>
        <v/>
      </c>
      <c r="E246" s="50" t="str">
        <f aca="false">IF($A246="","",INDEX(TblApplications[Environnement],$A246))</f>
        <v/>
      </c>
      <c r="F246" s="50" t="str">
        <f aca="false">IF($A246="","",INDEX(TblApplications[Couloir],$A246))</f>
        <v/>
      </c>
      <c r="G246" s="50" t="str">
        <f aca="false">IF($A246="","",INDEX(TblApplications[Action],$A246))</f>
        <v/>
      </c>
      <c r="H246" s="50" t="str">
        <f aca="false">IF($A246="","",INDEX(TblApplications[Cluster IKS source],$A246))</f>
        <v/>
      </c>
      <c r="I246" s="63" t="str">
        <f aca="false">IF($A246="","",INDEX(TblApplications[Mois lib (calc)],$A246))</f>
        <v/>
      </c>
      <c r="J246" s="50" t="str">
        <f aca="false">IF($A246="","",INDEX(TblApplications[CPU IKS libérable (vCPU)],$A246))</f>
        <v/>
      </c>
    </row>
    <row r="247" customFormat="false" ht="15" hidden="false" customHeight="false" outlineLevel="0" collapsed="false">
      <c r="A247" s="49" t="str">
        <f aca="false">IFERROR(MATCH(182,TblApplications[Rang extinction],0),"")</f>
        <v/>
      </c>
      <c r="B247" s="50" t="str">
        <f aca="false">IF($A247="","",INDEX(TblApplications[ID],$A247))</f>
        <v/>
      </c>
      <c r="C247" s="50" t="str">
        <f aca="false">IF($A247="","",INDEX(TblApplications[Application],$A247))</f>
        <v/>
      </c>
      <c r="D247" s="50" t="str">
        <f aca="false">IF($A247="","",INDEX(TblApplications[Tribe],$A247))</f>
        <v/>
      </c>
      <c r="E247" s="50" t="str">
        <f aca="false">IF($A247="","",INDEX(TblApplications[Environnement],$A247))</f>
        <v/>
      </c>
      <c r="F247" s="50" t="str">
        <f aca="false">IF($A247="","",INDEX(TblApplications[Couloir],$A247))</f>
        <v/>
      </c>
      <c r="G247" s="50" t="str">
        <f aca="false">IF($A247="","",INDEX(TblApplications[Action],$A247))</f>
        <v/>
      </c>
      <c r="H247" s="50" t="str">
        <f aca="false">IF($A247="","",INDEX(TblApplications[Cluster IKS source],$A247))</f>
        <v/>
      </c>
      <c r="I247" s="63" t="str">
        <f aca="false">IF($A247="","",INDEX(TblApplications[Mois lib (calc)],$A247))</f>
        <v/>
      </c>
      <c r="J247" s="50" t="str">
        <f aca="false">IF($A247="","",INDEX(TblApplications[CPU IKS libérable (vCPU)],$A247))</f>
        <v/>
      </c>
    </row>
    <row r="248" customFormat="false" ht="15" hidden="false" customHeight="false" outlineLevel="0" collapsed="false">
      <c r="A248" s="49" t="str">
        <f aca="false">IFERROR(MATCH(183,TblApplications[Rang extinction],0),"")</f>
        <v/>
      </c>
      <c r="B248" s="50" t="str">
        <f aca="false">IF($A248="","",INDEX(TblApplications[ID],$A248))</f>
        <v/>
      </c>
      <c r="C248" s="50" t="str">
        <f aca="false">IF($A248="","",INDEX(TblApplications[Application],$A248))</f>
        <v/>
      </c>
      <c r="D248" s="50" t="str">
        <f aca="false">IF($A248="","",INDEX(TblApplications[Tribe],$A248))</f>
        <v/>
      </c>
      <c r="E248" s="50" t="str">
        <f aca="false">IF($A248="","",INDEX(TblApplications[Environnement],$A248))</f>
        <v/>
      </c>
      <c r="F248" s="50" t="str">
        <f aca="false">IF($A248="","",INDEX(TblApplications[Couloir],$A248))</f>
        <v/>
      </c>
      <c r="G248" s="50" t="str">
        <f aca="false">IF($A248="","",INDEX(TblApplications[Action],$A248))</f>
        <v/>
      </c>
      <c r="H248" s="50" t="str">
        <f aca="false">IF($A248="","",INDEX(TblApplications[Cluster IKS source],$A248))</f>
        <v/>
      </c>
      <c r="I248" s="63" t="str">
        <f aca="false">IF($A248="","",INDEX(TblApplications[Mois lib (calc)],$A248))</f>
        <v/>
      </c>
      <c r="J248" s="50" t="str">
        <f aca="false">IF($A248="","",INDEX(TblApplications[CPU IKS libérable (vCPU)],$A248))</f>
        <v/>
      </c>
    </row>
    <row r="249" customFormat="false" ht="15" hidden="false" customHeight="false" outlineLevel="0" collapsed="false">
      <c r="A249" s="49" t="str">
        <f aca="false">IFERROR(MATCH(184,TblApplications[Rang extinction],0),"")</f>
        <v/>
      </c>
      <c r="B249" s="50" t="str">
        <f aca="false">IF($A249="","",INDEX(TblApplications[ID],$A249))</f>
        <v/>
      </c>
      <c r="C249" s="50" t="str">
        <f aca="false">IF($A249="","",INDEX(TblApplications[Application],$A249))</f>
        <v/>
      </c>
      <c r="D249" s="50" t="str">
        <f aca="false">IF($A249="","",INDEX(TblApplications[Tribe],$A249))</f>
        <v/>
      </c>
      <c r="E249" s="50" t="str">
        <f aca="false">IF($A249="","",INDEX(TblApplications[Environnement],$A249))</f>
        <v/>
      </c>
      <c r="F249" s="50" t="str">
        <f aca="false">IF($A249="","",INDEX(TblApplications[Couloir],$A249))</f>
        <v/>
      </c>
      <c r="G249" s="50" t="str">
        <f aca="false">IF($A249="","",INDEX(TblApplications[Action],$A249))</f>
        <v/>
      </c>
      <c r="H249" s="50" t="str">
        <f aca="false">IF($A249="","",INDEX(TblApplications[Cluster IKS source],$A249))</f>
        <v/>
      </c>
      <c r="I249" s="63" t="str">
        <f aca="false">IF($A249="","",INDEX(TblApplications[Mois lib (calc)],$A249))</f>
        <v/>
      </c>
      <c r="J249" s="50" t="str">
        <f aca="false">IF($A249="","",INDEX(TblApplications[CPU IKS libérable (vCPU)],$A249))</f>
        <v/>
      </c>
    </row>
    <row r="250" customFormat="false" ht="15" hidden="false" customHeight="false" outlineLevel="0" collapsed="false">
      <c r="A250" s="49" t="str">
        <f aca="false">IFERROR(MATCH(185,TblApplications[Rang extinction],0),"")</f>
        <v/>
      </c>
      <c r="B250" s="50" t="str">
        <f aca="false">IF($A250="","",INDEX(TblApplications[ID],$A250))</f>
        <v/>
      </c>
      <c r="C250" s="50" t="str">
        <f aca="false">IF($A250="","",INDEX(TblApplications[Application],$A250))</f>
        <v/>
      </c>
      <c r="D250" s="50" t="str">
        <f aca="false">IF($A250="","",INDEX(TblApplications[Tribe],$A250))</f>
        <v/>
      </c>
      <c r="E250" s="50" t="str">
        <f aca="false">IF($A250="","",INDEX(TblApplications[Environnement],$A250))</f>
        <v/>
      </c>
      <c r="F250" s="50" t="str">
        <f aca="false">IF($A250="","",INDEX(TblApplications[Couloir],$A250))</f>
        <v/>
      </c>
      <c r="G250" s="50" t="str">
        <f aca="false">IF($A250="","",INDEX(TblApplications[Action],$A250))</f>
        <v/>
      </c>
      <c r="H250" s="50" t="str">
        <f aca="false">IF($A250="","",INDEX(TblApplications[Cluster IKS source],$A250))</f>
        <v/>
      </c>
      <c r="I250" s="63" t="str">
        <f aca="false">IF($A250="","",INDEX(TblApplications[Mois lib (calc)],$A250))</f>
        <v/>
      </c>
      <c r="J250" s="50" t="str">
        <f aca="false">IF($A250="","",INDEX(TblApplications[CPU IKS libérable (vCPU)],$A250))</f>
        <v/>
      </c>
    </row>
    <row r="251" customFormat="false" ht="15" hidden="false" customHeight="false" outlineLevel="0" collapsed="false">
      <c r="A251" s="49" t="str">
        <f aca="false">IFERROR(MATCH(186,TblApplications[Rang extinction],0),"")</f>
        <v/>
      </c>
      <c r="B251" s="50" t="str">
        <f aca="false">IF($A251="","",INDEX(TblApplications[ID],$A251))</f>
        <v/>
      </c>
      <c r="C251" s="50" t="str">
        <f aca="false">IF($A251="","",INDEX(TblApplications[Application],$A251))</f>
        <v/>
      </c>
      <c r="D251" s="50" t="str">
        <f aca="false">IF($A251="","",INDEX(TblApplications[Tribe],$A251))</f>
        <v/>
      </c>
      <c r="E251" s="50" t="str">
        <f aca="false">IF($A251="","",INDEX(TblApplications[Environnement],$A251))</f>
        <v/>
      </c>
      <c r="F251" s="50" t="str">
        <f aca="false">IF($A251="","",INDEX(TblApplications[Couloir],$A251))</f>
        <v/>
      </c>
      <c r="G251" s="50" t="str">
        <f aca="false">IF($A251="","",INDEX(TblApplications[Action],$A251))</f>
        <v/>
      </c>
      <c r="H251" s="50" t="str">
        <f aca="false">IF($A251="","",INDEX(TblApplications[Cluster IKS source],$A251))</f>
        <v/>
      </c>
      <c r="I251" s="63" t="str">
        <f aca="false">IF($A251="","",INDEX(TblApplications[Mois lib (calc)],$A251))</f>
        <v/>
      </c>
      <c r="J251" s="50" t="str">
        <f aca="false">IF($A251="","",INDEX(TblApplications[CPU IKS libérable (vCPU)],$A251))</f>
        <v/>
      </c>
    </row>
    <row r="252" customFormat="false" ht="15" hidden="false" customHeight="false" outlineLevel="0" collapsed="false">
      <c r="A252" s="49" t="str">
        <f aca="false">IFERROR(MATCH(187,TblApplications[Rang extinction],0),"")</f>
        <v/>
      </c>
      <c r="B252" s="50" t="str">
        <f aca="false">IF($A252="","",INDEX(TblApplications[ID],$A252))</f>
        <v/>
      </c>
      <c r="C252" s="50" t="str">
        <f aca="false">IF($A252="","",INDEX(TblApplications[Application],$A252))</f>
        <v/>
      </c>
      <c r="D252" s="50" t="str">
        <f aca="false">IF($A252="","",INDEX(TblApplications[Tribe],$A252))</f>
        <v/>
      </c>
      <c r="E252" s="50" t="str">
        <f aca="false">IF($A252="","",INDEX(TblApplications[Environnement],$A252))</f>
        <v/>
      </c>
      <c r="F252" s="50" t="str">
        <f aca="false">IF($A252="","",INDEX(TblApplications[Couloir],$A252))</f>
        <v/>
      </c>
      <c r="G252" s="50" t="str">
        <f aca="false">IF($A252="","",INDEX(TblApplications[Action],$A252))</f>
        <v/>
      </c>
      <c r="H252" s="50" t="str">
        <f aca="false">IF($A252="","",INDEX(TblApplications[Cluster IKS source],$A252))</f>
        <v/>
      </c>
      <c r="I252" s="63" t="str">
        <f aca="false">IF($A252="","",INDEX(TblApplications[Mois lib (calc)],$A252))</f>
        <v/>
      </c>
      <c r="J252" s="50" t="str">
        <f aca="false">IF($A252="","",INDEX(TblApplications[CPU IKS libérable (vCPU)],$A252))</f>
        <v/>
      </c>
    </row>
    <row r="253" customFormat="false" ht="15" hidden="false" customHeight="false" outlineLevel="0" collapsed="false">
      <c r="A253" s="49" t="str">
        <f aca="false">IFERROR(MATCH(188,TblApplications[Rang extinction],0),"")</f>
        <v/>
      </c>
      <c r="B253" s="50" t="str">
        <f aca="false">IF($A253="","",INDEX(TblApplications[ID],$A253))</f>
        <v/>
      </c>
      <c r="C253" s="50" t="str">
        <f aca="false">IF($A253="","",INDEX(TblApplications[Application],$A253))</f>
        <v/>
      </c>
      <c r="D253" s="50" t="str">
        <f aca="false">IF($A253="","",INDEX(TblApplications[Tribe],$A253))</f>
        <v/>
      </c>
      <c r="E253" s="50" t="str">
        <f aca="false">IF($A253="","",INDEX(TblApplications[Environnement],$A253))</f>
        <v/>
      </c>
      <c r="F253" s="50" t="str">
        <f aca="false">IF($A253="","",INDEX(TblApplications[Couloir],$A253))</f>
        <v/>
      </c>
      <c r="G253" s="50" t="str">
        <f aca="false">IF($A253="","",INDEX(TblApplications[Action],$A253))</f>
        <v/>
      </c>
      <c r="H253" s="50" t="str">
        <f aca="false">IF($A253="","",INDEX(TblApplications[Cluster IKS source],$A253))</f>
        <v/>
      </c>
      <c r="I253" s="63" t="str">
        <f aca="false">IF($A253="","",INDEX(TblApplications[Mois lib (calc)],$A253))</f>
        <v/>
      </c>
      <c r="J253" s="50" t="str">
        <f aca="false">IF($A253="","",INDEX(TblApplications[CPU IKS libérable (vCPU)],$A253))</f>
        <v/>
      </c>
    </row>
    <row r="254" customFormat="false" ht="15" hidden="false" customHeight="false" outlineLevel="0" collapsed="false">
      <c r="A254" s="49" t="str">
        <f aca="false">IFERROR(MATCH(189,TblApplications[Rang extinction],0),"")</f>
        <v/>
      </c>
      <c r="B254" s="50" t="str">
        <f aca="false">IF($A254="","",INDEX(TblApplications[ID],$A254))</f>
        <v/>
      </c>
      <c r="C254" s="50" t="str">
        <f aca="false">IF($A254="","",INDEX(TblApplications[Application],$A254))</f>
        <v/>
      </c>
      <c r="D254" s="50" t="str">
        <f aca="false">IF($A254="","",INDEX(TblApplications[Tribe],$A254))</f>
        <v/>
      </c>
      <c r="E254" s="50" t="str">
        <f aca="false">IF($A254="","",INDEX(TblApplications[Environnement],$A254))</f>
        <v/>
      </c>
      <c r="F254" s="50" t="str">
        <f aca="false">IF($A254="","",INDEX(TblApplications[Couloir],$A254))</f>
        <v/>
      </c>
      <c r="G254" s="50" t="str">
        <f aca="false">IF($A254="","",INDEX(TblApplications[Action],$A254))</f>
        <v/>
      </c>
      <c r="H254" s="50" t="str">
        <f aca="false">IF($A254="","",INDEX(TblApplications[Cluster IKS source],$A254))</f>
        <v/>
      </c>
      <c r="I254" s="63" t="str">
        <f aca="false">IF($A254="","",INDEX(TblApplications[Mois lib (calc)],$A254))</f>
        <v/>
      </c>
      <c r="J254" s="50" t="str">
        <f aca="false">IF($A254="","",INDEX(TblApplications[CPU IKS libérable (vCPU)],$A254))</f>
        <v/>
      </c>
    </row>
    <row r="255" customFormat="false" ht="15" hidden="false" customHeight="false" outlineLevel="0" collapsed="false">
      <c r="A255" s="49" t="str">
        <f aca="false">IFERROR(MATCH(190,TblApplications[Rang extinction],0),"")</f>
        <v/>
      </c>
      <c r="B255" s="50" t="str">
        <f aca="false">IF($A255="","",INDEX(TblApplications[ID],$A255))</f>
        <v/>
      </c>
      <c r="C255" s="50" t="str">
        <f aca="false">IF($A255="","",INDEX(TblApplications[Application],$A255))</f>
        <v/>
      </c>
      <c r="D255" s="50" t="str">
        <f aca="false">IF($A255="","",INDEX(TblApplications[Tribe],$A255))</f>
        <v/>
      </c>
      <c r="E255" s="50" t="str">
        <f aca="false">IF($A255="","",INDEX(TblApplications[Environnement],$A255))</f>
        <v/>
      </c>
      <c r="F255" s="50" t="str">
        <f aca="false">IF($A255="","",INDEX(TblApplications[Couloir],$A255))</f>
        <v/>
      </c>
      <c r="G255" s="50" t="str">
        <f aca="false">IF($A255="","",INDEX(TblApplications[Action],$A255))</f>
        <v/>
      </c>
      <c r="H255" s="50" t="str">
        <f aca="false">IF($A255="","",INDEX(TblApplications[Cluster IKS source],$A255))</f>
        <v/>
      </c>
      <c r="I255" s="63" t="str">
        <f aca="false">IF($A255="","",INDEX(TblApplications[Mois lib (calc)],$A255))</f>
        <v/>
      </c>
      <c r="J255" s="50" t="str">
        <f aca="false">IF($A255="","",INDEX(TblApplications[CPU IKS libérable (vCPU)],$A255))</f>
        <v/>
      </c>
    </row>
    <row r="256" customFormat="false" ht="15" hidden="false" customHeight="false" outlineLevel="0" collapsed="false">
      <c r="A256" s="49" t="str">
        <f aca="false">IFERROR(MATCH(191,TblApplications[Rang extinction],0),"")</f>
        <v/>
      </c>
      <c r="B256" s="50" t="str">
        <f aca="false">IF($A256="","",INDEX(TblApplications[ID],$A256))</f>
        <v/>
      </c>
      <c r="C256" s="50" t="str">
        <f aca="false">IF($A256="","",INDEX(TblApplications[Application],$A256))</f>
        <v/>
      </c>
      <c r="D256" s="50" t="str">
        <f aca="false">IF($A256="","",INDEX(TblApplications[Tribe],$A256))</f>
        <v/>
      </c>
      <c r="E256" s="50" t="str">
        <f aca="false">IF($A256="","",INDEX(TblApplications[Environnement],$A256))</f>
        <v/>
      </c>
      <c r="F256" s="50" t="str">
        <f aca="false">IF($A256="","",INDEX(TblApplications[Couloir],$A256))</f>
        <v/>
      </c>
      <c r="G256" s="50" t="str">
        <f aca="false">IF($A256="","",INDEX(TblApplications[Action],$A256))</f>
        <v/>
      </c>
      <c r="H256" s="50" t="str">
        <f aca="false">IF($A256="","",INDEX(TblApplications[Cluster IKS source],$A256))</f>
        <v/>
      </c>
      <c r="I256" s="63" t="str">
        <f aca="false">IF($A256="","",INDEX(TblApplications[Mois lib (calc)],$A256))</f>
        <v/>
      </c>
      <c r="J256" s="50" t="str">
        <f aca="false">IF($A256="","",INDEX(TblApplications[CPU IKS libérable (vCPU)],$A256))</f>
        <v/>
      </c>
    </row>
    <row r="257" customFormat="false" ht="15" hidden="false" customHeight="false" outlineLevel="0" collapsed="false">
      <c r="A257" s="49" t="str">
        <f aca="false">IFERROR(MATCH(192,TblApplications[Rang extinction],0),"")</f>
        <v/>
      </c>
      <c r="B257" s="50" t="str">
        <f aca="false">IF($A257="","",INDEX(TblApplications[ID],$A257))</f>
        <v/>
      </c>
      <c r="C257" s="50" t="str">
        <f aca="false">IF($A257="","",INDEX(TblApplications[Application],$A257))</f>
        <v/>
      </c>
      <c r="D257" s="50" t="str">
        <f aca="false">IF($A257="","",INDEX(TblApplications[Tribe],$A257))</f>
        <v/>
      </c>
      <c r="E257" s="50" t="str">
        <f aca="false">IF($A257="","",INDEX(TblApplications[Environnement],$A257))</f>
        <v/>
      </c>
      <c r="F257" s="50" t="str">
        <f aca="false">IF($A257="","",INDEX(TblApplications[Couloir],$A257))</f>
        <v/>
      </c>
      <c r="G257" s="50" t="str">
        <f aca="false">IF($A257="","",INDEX(TblApplications[Action],$A257))</f>
        <v/>
      </c>
      <c r="H257" s="50" t="str">
        <f aca="false">IF($A257="","",INDEX(TblApplications[Cluster IKS source],$A257))</f>
        <v/>
      </c>
      <c r="I257" s="63" t="str">
        <f aca="false">IF($A257="","",INDEX(TblApplications[Mois lib (calc)],$A257))</f>
        <v/>
      </c>
      <c r="J257" s="50" t="str">
        <f aca="false">IF($A257="","",INDEX(TblApplications[CPU IKS libérable (vCPU)],$A257))</f>
        <v/>
      </c>
    </row>
    <row r="258" customFormat="false" ht="15" hidden="false" customHeight="false" outlineLevel="0" collapsed="false">
      <c r="A258" s="49" t="str">
        <f aca="false">IFERROR(MATCH(193,TblApplications[Rang extinction],0),"")</f>
        <v/>
      </c>
      <c r="B258" s="50" t="str">
        <f aca="false">IF($A258="","",INDEX(TblApplications[ID],$A258))</f>
        <v/>
      </c>
      <c r="C258" s="50" t="str">
        <f aca="false">IF($A258="","",INDEX(TblApplications[Application],$A258))</f>
        <v/>
      </c>
      <c r="D258" s="50" t="str">
        <f aca="false">IF($A258="","",INDEX(TblApplications[Tribe],$A258))</f>
        <v/>
      </c>
      <c r="E258" s="50" t="str">
        <f aca="false">IF($A258="","",INDEX(TblApplications[Environnement],$A258))</f>
        <v/>
      </c>
      <c r="F258" s="50" t="str">
        <f aca="false">IF($A258="","",INDEX(TblApplications[Couloir],$A258))</f>
        <v/>
      </c>
      <c r="G258" s="50" t="str">
        <f aca="false">IF($A258="","",INDEX(TblApplications[Action],$A258))</f>
        <v/>
      </c>
      <c r="H258" s="50" t="str">
        <f aca="false">IF($A258="","",INDEX(TblApplications[Cluster IKS source],$A258))</f>
        <v/>
      </c>
      <c r="I258" s="63" t="str">
        <f aca="false">IF($A258="","",INDEX(TblApplications[Mois lib (calc)],$A258))</f>
        <v/>
      </c>
      <c r="J258" s="50" t="str">
        <f aca="false">IF($A258="","",INDEX(TblApplications[CPU IKS libérable (vCPU)],$A258))</f>
        <v/>
      </c>
    </row>
    <row r="259" customFormat="false" ht="15" hidden="false" customHeight="false" outlineLevel="0" collapsed="false">
      <c r="A259" s="49" t="str">
        <f aca="false">IFERROR(MATCH(194,TblApplications[Rang extinction],0),"")</f>
        <v/>
      </c>
      <c r="B259" s="50" t="str">
        <f aca="false">IF($A259="","",INDEX(TblApplications[ID],$A259))</f>
        <v/>
      </c>
      <c r="C259" s="50" t="str">
        <f aca="false">IF($A259="","",INDEX(TblApplications[Application],$A259))</f>
        <v/>
      </c>
      <c r="D259" s="50" t="str">
        <f aca="false">IF($A259="","",INDEX(TblApplications[Tribe],$A259))</f>
        <v/>
      </c>
      <c r="E259" s="50" t="str">
        <f aca="false">IF($A259="","",INDEX(TblApplications[Environnement],$A259))</f>
        <v/>
      </c>
      <c r="F259" s="50" t="str">
        <f aca="false">IF($A259="","",INDEX(TblApplications[Couloir],$A259))</f>
        <v/>
      </c>
      <c r="G259" s="50" t="str">
        <f aca="false">IF($A259="","",INDEX(TblApplications[Action],$A259))</f>
        <v/>
      </c>
      <c r="H259" s="50" t="str">
        <f aca="false">IF($A259="","",INDEX(TblApplications[Cluster IKS source],$A259))</f>
        <v/>
      </c>
      <c r="I259" s="63" t="str">
        <f aca="false">IF($A259="","",INDEX(TblApplications[Mois lib (calc)],$A259))</f>
        <v/>
      </c>
      <c r="J259" s="50" t="str">
        <f aca="false">IF($A259="","",INDEX(TblApplications[CPU IKS libérable (vCPU)],$A259))</f>
        <v/>
      </c>
    </row>
    <row r="260" customFormat="false" ht="15" hidden="false" customHeight="false" outlineLevel="0" collapsed="false">
      <c r="A260" s="49" t="str">
        <f aca="false">IFERROR(MATCH(195,TblApplications[Rang extinction],0),"")</f>
        <v/>
      </c>
      <c r="B260" s="50" t="str">
        <f aca="false">IF($A260="","",INDEX(TblApplications[ID],$A260))</f>
        <v/>
      </c>
      <c r="C260" s="50" t="str">
        <f aca="false">IF($A260="","",INDEX(TblApplications[Application],$A260))</f>
        <v/>
      </c>
      <c r="D260" s="50" t="str">
        <f aca="false">IF($A260="","",INDEX(TblApplications[Tribe],$A260))</f>
        <v/>
      </c>
      <c r="E260" s="50" t="str">
        <f aca="false">IF($A260="","",INDEX(TblApplications[Environnement],$A260))</f>
        <v/>
      </c>
      <c r="F260" s="50" t="str">
        <f aca="false">IF($A260="","",INDEX(TblApplications[Couloir],$A260))</f>
        <v/>
      </c>
      <c r="G260" s="50" t="str">
        <f aca="false">IF($A260="","",INDEX(TblApplications[Action],$A260))</f>
        <v/>
      </c>
      <c r="H260" s="50" t="str">
        <f aca="false">IF($A260="","",INDEX(TblApplications[Cluster IKS source],$A260))</f>
        <v/>
      </c>
      <c r="I260" s="63" t="str">
        <f aca="false">IF($A260="","",INDEX(TblApplications[Mois lib (calc)],$A260))</f>
        <v/>
      </c>
      <c r="J260" s="50" t="str">
        <f aca="false">IF($A260="","",INDEX(TblApplications[CPU IKS libérable (vCPU)],$A260))</f>
        <v/>
      </c>
    </row>
    <row r="261" customFormat="false" ht="15" hidden="false" customHeight="false" outlineLevel="0" collapsed="false">
      <c r="A261" s="49" t="str">
        <f aca="false">IFERROR(MATCH(196,TblApplications[Rang extinction],0),"")</f>
        <v/>
      </c>
      <c r="B261" s="50" t="str">
        <f aca="false">IF($A261="","",INDEX(TblApplications[ID],$A261))</f>
        <v/>
      </c>
      <c r="C261" s="50" t="str">
        <f aca="false">IF($A261="","",INDEX(TblApplications[Application],$A261))</f>
        <v/>
      </c>
      <c r="D261" s="50" t="str">
        <f aca="false">IF($A261="","",INDEX(TblApplications[Tribe],$A261))</f>
        <v/>
      </c>
      <c r="E261" s="50" t="str">
        <f aca="false">IF($A261="","",INDEX(TblApplications[Environnement],$A261))</f>
        <v/>
      </c>
      <c r="F261" s="50" t="str">
        <f aca="false">IF($A261="","",INDEX(TblApplications[Couloir],$A261))</f>
        <v/>
      </c>
      <c r="G261" s="50" t="str">
        <f aca="false">IF($A261="","",INDEX(TblApplications[Action],$A261))</f>
        <v/>
      </c>
      <c r="H261" s="50" t="str">
        <f aca="false">IF($A261="","",INDEX(TblApplications[Cluster IKS source],$A261))</f>
        <v/>
      </c>
      <c r="I261" s="63" t="str">
        <f aca="false">IF($A261="","",INDEX(TblApplications[Mois lib (calc)],$A261))</f>
        <v/>
      </c>
      <c r="J261" s="50" t="str">
        <f aca="false">IF($A261="","",INDEX(TblApplications[CPU IKS libérable (vCPU)],$A261))</f>
        <v/>
      </c>
    </row>
    <row r="262" customFormat="false" ht="15" hidden="false" customHeight="false" outlineLevel="0" collapsed="false">
      <c r="A262" s="49" t="str">
        <f aca="false">IFERROR(MATCH(197,TblApplications[Rang extinction],0),"")</f>
        <v/>
      </c>
      <c r="B262" s="50" t="str">
        <f aca="false">IF($A262="","",INDEX(TblApplications[ID],$A262))</f>
        <v/>
      </c>
      <c r="C262" s="50" t="str">
        <f aca="false">IF($A262="","",INDEX(TblApplications[Application],$A262))</f>
        <v/>
      </c>
      <c r="D262" s="50" t="str">
        <f aca="false">IF($A262="","",INDEX(TblApplications[Tribe],$A262))</f>
        <v/>
      </c>
      <c r="E262" s="50" t="str">
        <f aca="false">IF($A262="","",INDEX(TblApplications[Environnement],$A262))</f>
        <v/>
      </c>
      <c r="F262" s="50" t="str">
        <f aca="false">IF($A262="","",INDEX(TblApplications[Couloir],$A262))</f>
        <v/>
      </c>
      <c r="G262" s="50" t="str">
        <f aca="false">IF($A262="","",INDEX(TblApplications[Action],$A262))</f>
        <v/>
      </c>
      <c r="H262" s="50" t="str">
        <f aca="false">IF($A262="","",INDEX(TblApplications[Cluster IKS source],$A262))</f>
        <v/>
      </c>
      <c r="I262" s="63" t="str">
        <f aca="false">IF($A262="","",INDEX(TblApplications[Mois lib (calc)],$A262))</f>
        <v/>
      </c>
      <c r="J262" s="50" t="str">
        <f aca="false">IF($A262="","",INDEX(TblApplications[CPU IKS libérable (vCPU)],$A262))</f>
        <v/>
      </c>
    </row>
    <row r="263" customFormat="false" ht="15" hidden="false" customHeight="false" outlineLevel="0" collapsed="false">
      <c r="A263" s="49" t="str">
        <f aca="false">IFERROR(MATCH(198,TblApplications[Rang extinction],0),"")</f>
        <v/>
      </c>
      <c r="B263" s="50" t="str">
        <f aca="false">IF($A263="","",INDEX(TblApplications[ID],$A263))</f>
        <v/>
      </c>
      <c r="C263" s="50" t="str">
        <f aca="false">IF($A263="","",INDEX(TblApplications[Application],$A263))</f>
        <v/>
      </c>
      <c r="D263" s="50" t="str">
        <f aca="false">IF($A263="","",INDEX(TblApplications[Tribe],$A263))</f>
        <v/>
      </c>
      <c r="E263" s="50" t="str">
        <f aca="false">IF($A263="","",INDEX(TblApplications[Environnement],$A263))</f>
        <v/>
      </c>
      <c r="F263" s="50" t="str">
        <f aca="false">IF($A263="","",INDEX(TblApplications[Couloir],$A263))</f>
        <v/>
      </c>
      <c r="G263" s="50" t="str">
        <f aca="false">IF($A263="","",INDEX(TblApplications[Action],$A263))</f>
        <v/>
      </c>
      <c r="H263" s="50" t="str">
        <f aca="false">IF($A263="","",INDEX(TblApplications[Cluster IKS source],$A263))</f>
        <v/>
      </c>
      <c r="I263" s="63" t="str">
        <f aca="false">IF($A263="","",INDEX(TblApplications[Mois lib (calc)],$A263))</f>
        <v/>
      </c>
      <c r="J263" s="50" t="str">
        <f aca="false">IF($A263="","",INDEX(TblApplications[CPU IKS libérable (vCPU)],$A263))</f>
        <v/>
      </c>
    </row>
    <row r="264" customFormat="false" ht="15" hidden="false" customHeight="false" outlineLevel="0" collapsed="false">
      <c r="A264" s="49" t="str">
        <f aca="false">IFERROR(MATCH(199,TblApplications[Rang extinction],0),"")</f>
        <v/>
      </c>
      <c r="B264" s="50" t="str">
        <f aca="false">IF($A264="","",INDEX(TblApplications[ID],$A264))</f>
        <v/>
      </c>
      <c r="C264" s="50" t="str">
        <f aca="false">IF($A264="","",INDEX(TblApplications[Application],$A264))</f>
        <v/>
      </c>
      <c r="D264" s="50" t="str">
        <f aca="false">IF($A264="","",INDEX(TblApplications[Tribe],$A264))</f>
        <v/>
      </c>
      <c r="E264" s="50" t="str">
        <f aca="false">IF($A264="","",INDEX(TblApplications[Environnement],$A264))</f>
        <v/>
      </c>
      <c r="F264" s="50" t="str">
        <f aca="false">IF($A264="","",INDEX(TblApplications[Couloir],$A264))</f>
        <v/>
      </c>
      <c r="G264" s="50" t="str">
        <f aca="false">IF($A264="","",INDEX(TblApplications[Action],$A264))</f>
        <v/>
      </c>
      <c r="H264" s="50" t="str">
        <f aca="false">IF($A264="","",INDEX(TblApplications[Cluster IKS source],$A264))</f>
        <v/>
      </c>
      <c r="I264" s="63" t="str">
        <f aca="false">IF($A264="","",INDEX(TblApplications[Mois lib (calc)],$A264))</f>
        <v/>
      </c>
      <c r="J264" s="50" t="str">
        <f aca="false">IF($A264="","",INDEX(TblApplications[CPU IKS libérable (vCPU)],$A264))</f>
        <v/>
      </c>
    </row>
    <row r="265" customFormat="false" ht="15" hidden="false" customHeight="false" outlineLevel="0" collapsed="false">
      <c r="A265" s="49" t="str">
        <f aca="false">IFERROR(MATCH(200,TblApplications[Rang extinction],0),"")</f>
        <v/>
      </c>
      <c r="B265" s="50" t="str">
        <f aca="false">IF($A265="","",INDEX(TblApplications[ID],$A265))</f>
        <v/>
      </c>
      <c r="C265" s="50" t="str">
        <f aca="false">IF($A265="","",INDEX(TblApplications[Application],$A265))</f>
        <v/>
      </c>
      <c r="D265" s="50" t="str">
        <f aca="false">IF($A265="","",INDEX(TblApplications[Tribe],$A265))</f>
        <v/>
      </c>
      <c r="E265" s="50" t="str">
        <f aca="false">IF($A265="","",INDEX(TblApplications[Environnement],$A265))</f>
        <v/>
      </c>
      <c r="F265" s="50" t="str">
        <f aca="false">IF($A265="","",INDEX(TblApplications[Couloir],$A265))</f>
        <v/>
      </c>
      <c r="G265" s="50" t="str">
        <f aca="false">IF($A265="","",INDEX(TblApplications[Action],$A265))</f>
        <v/>
      </c>
      <c r="H265" s="50" t="str">
        <f aca="false">IF($A265="","",INDEX(TblApplications[Cluster IKS source],$A265))</f>
        <v/>
      </c>
      <c r="I265" s="63" t="str">
        <f aca="false">IF($A265="","",INDEX(TblApplications[Mois lib (calc)],$A265))</f>
        <v/>
      </c>
      <c r="J265" s="50" t="str">
        <f aca="false">IF($A265="","",INDEX(TblApplications[CPU IKS libérable (vCPU)],$A265))</f>
        <v/>
      </c>
    </row>
    <row r="266" customFormat="false" ht="15" hidden="false" customHeight="false" outlineLevel="0" collapsed="false">
      <c r="A266" s="49" t="str">
        <f aca="false">IFERROR(MATCH(201,TblApplications[Rang extinction],0),"")</f>
        <v/>
      </c>
      <c r="B266" s="50" t="str">
        <f aca="false">IF($A266="","",INDEX(TblApplications[ID],$A266))</f>
        <v/>
      </c>
      <c r="C266" s="50" t="str">
        <f aca="false">IF($A266="","",INDEX(TblApplications[Application],$A266))</f>
        <v/>
      </c>
      <c r="D266" s="50" t="str">
        <f aca="false">IF($A266="","",INDEX(TblApplications[Tribe],$A266))</f>
        <v/>
      </c>
      <c r="E266" s="50" t="str">
        <f aca="false">IF($A266="","",INDEX(TblApplications[Environnement],$A266))</f>
        <v/>
      </c>
      <c r="F266" s="50" t="str">
        <f aca="false">IF($A266="","",INDEX(TblApplications[Couloir],$A266))</f>
        <v/>
      </c>
      <c r="G266" s="50" t="str">
        <f aca="false">IF($A266="","",INDEX(TblApplications[Action],$A266))</f>
        <v/>
      </c>
      <c r="H266" s="50" t="str">
        <f aca="false">IF($A266="","",INDEX(TblApplications[Cluster IKS source],$A266))</f>
        <v/>
      </c>
      <c r="I266" s="63" t="str">
        <f aca="false">IF($A266="","",INDEX(TblApplications[Mois lib (calc)],$A266))</f>
        <v/>
      </c>
      <c r="J266" s="50" t="str">
        <f aca="false">IF($A266="","",INDEX(TblApplications[CPU IKS libérable (vCPU)],$A266))</f>
        <v/>
      </c>
    </row>
    <row r="267" customFormat="false" ht="15" hidden="false" customHeight="false" outlineLevel="0" collapsed="false">
      <c r="A267" s="49" t="str">
        <f aca="false">IFERROR(MATCH(202,TblApplications[Rang extinction],0),"")</f>
        <v/>
      </c>
      <c r="B267" s="50" t="str">
        <f aca="false">IF($A267="","",INDEX(TblApplications[ID],$A267))</f>
        <v/>
      </c>
      <c r="C267" s="50" t="str">
        <f aca="false">IF($A267="","",INDEX(TblApplications[Application],$A267))</f>
        <v/>
      </c>
      <c r="D267" s="50" t="str">
        <f aca="false">IF($A267="","",INDEX(TblApplications[Tribe],$A267))</f>
        <v/>
      </c>
      <c r="E267" s="50" t="str">
        <f aca="false">IF($A267="","",INDEX(TblApplications[Environnement],$A267))</f>
        <v/>
      </c>
      <c r="F267" s="50" t="str">
        <f aca="false">IF($A267="","",INDEX(TblApplications[Couloir],$A267))</f>
        <v/>
      </c>
      <c r="G267" s="50" t="str">
        <f aca="false">IF($A267="","",INDEX(TblApplications[Action],$A267))</f>
        <v/>
      </c>
      <c r="H267" s="50" t="str">
        <f aca="false">IF($A267="","",INDEX(TblApplications[Cluster IKS source],$A267))</f>
        <v/>
      </c>
      <c r="I267" s="63" t="str">
        <f aca="false">IF($A267="","",INDEX(TblApplications[Mois lib (calc)],$A267))</f>
        <v/>
      </c>
      <c r="J267" s="50" t="str">
        <f aca="false">IF($A267="","",INDEX(TblApplications[CPU IKS libérable (vCPU)],$A267))</f>
        <v/>
      </c>
    </row>
    <row r="268" customFormat="false" ht="15" hidden="false" customHeight="false" outlineLevel="0" collapsed="false">
      <c r="A268" s="49" t="str">
        <f aca="false">IFERROR(MATCH(203,TblApplications[Rang extinction],0),"")</f>
        <v/>
      </c>
      <c r="B268" s="50" t="str">
        <f aca="false">IF($A268="","",INDEX(TblApplications[ID],$A268))</f>
        <v/>
      </c>
      <c r="C268" s="50" t="str">
        <f aca="false">IF($A268="","",INDEX(TblApplications[Application],$A268))</f>
        <v/>
      </c>
      <c r="D268" s="50" t="str">
        <f aca="false">IF($A268="","",INDEX(TblApplications[Tribe],$A268))</f>
        <v/>
      </c>
      <c r="E268" s="50" t="str">
        <f aca="false">IF($A268="","",INDEX(TblApplications[Environnement],$A268))</f>
        <v/>
      </c>
      <c r="F268" s="50" t="str">
        <f aca="false">IF($A268="","",INDEX(TblApplications[Couloir],$A268))</f>
        <v/>
      </c>
      <c r="G268" s="50" t="str">
        <f aca="false">IF($A268="","",INDEX(TblApplications[Action],$A268))</f>
        <v/>
      </c>
      <c r="H268" s="50" t="str">
        <f aca="false">IF($A268="","",INDEX(TblApplications[Cluster IKS source],$A268))</f>
        <v/>
      </c>
      <c r="I268" s="63" t="str">
        <f aca="false">IF($A268="","",INDEX(TblApplications[Mois lib (calc)],$A268))</f>
        <v/>
      </c>
      <c r="J268" s="50" t="str">
        <f aca="false">IF($A268="","",INDEX(TblApplications[CPU IKS libérable (vCPU)],$A268))</f>
        <v/>
      </c>
    </row>
    <row r="269" customFormat="false" ht="15" hidden="false" customHeight="false" outlineLevel="0" collapsed="false">
      <c r="A269" s="49" t="str">
        <f aca="false">IFERROR(MATCH(204,TblApplications[Rang extinction],0),"")</f>
        <v/>
      </c>
      <c r="B269" s="50" t="str">
        <f aca="false">IF($A269="","",INDEX(TblApplications[ID],$A269))</f>
        <v/>
      </c>
      <c r="C269" s="50" t="str">
        <f aca="false">IF($A269="","",INDEX(TblApplications[Application],$A269))</f>
        <v/>
      </c>
      <c r="D269" s="50" t="str">
        <f aca="false">IF($A269="","",INDEX(TblApplications[Tribe],$A269))</f>
        <v/>
      </c>
      <c r="E269" s="50" t="str">
        <f aca="false">IF($A269="","",INDEX(TblApplications[Environnement],$A269))</f>
        <v/>
      </c>
      <c r="F269" s="50" t="str">
        <f aca="false">IF($A269="","",INDEX(TblApplications[Couloir],$A269))</f>
        <v/>
      </c>
      <c r="G269" s="50" t="str">
        <f aca="false">IF($A269="","",INDEX(TblApplications[Action],$A269))</f>
        <v/>
      </c>
      <c r="H269" s="50" t="str">
        <f aca="false">IF($A269="","",INDEX(TblApplications[Cluster IKS source],$A269))</f>
        <v/>
      </c>
      <c r="I269" s="63" t="str">
        <f aca="false">IF($A269="","",INDEX(TblApplications[Mois lib (calc)],$A269))</f>
        <v/>
      </c>
      <c r="J269" s="50" t="str">
        <f aca="false">IF($A269="","",INDEX(TblApplications[CPU IKS libérable (vCPU)],$A269))</f>
        <v/>
      </c>
    </row>
    <row r="270" customFormat="false" ht="15" hidden="false" customHeight="false" outlineLevel="0" collapsed="false">
      <c r="A270" s="49" t="str">
        <f aca="false">IFERROR(MATCH(205,TblApplications[Rang extinction],0),"")</f>
        <v/>
      </c>
      <c r="B270" s="50" t="str">
        <f aca="false">IF($A270="","",INDEX(TblApplications[ID],$A270))</f>
        <v/>
      </c>
      <c r="C270" s="50" t="str">
        <f aca="false">IF($A270="","",INDEX(TblApplications[Application],$A270))</f>
        <v/>
      </c>
      <c r="D270" s="50" t="str">
        <f aca="false">IF($A270="","",INDEX(TblApplications[Tribe],$A270))</f>
        <v/>
      </c>
      <c r="E270" s="50" t="str">
        <f aca="false">IF($A270="","",INDEX(TblApplications[Environnement],$A270))</f>
        <v/>
      </c>
      <c r="F270" s="50" t="str">
        <f aca="false">IF($A270="","",INDEX(TblApplications[Couloir],$A270))</f>
        <v/>
      </c>
      <c r="G270" s="50" t="str">
        <f aca="false">IF($A270="","",INDEX(TblApplications[Action],$A270))</f>
        <v/>
      </c>
      <c r="H270" s="50" t="str">
        <f aca="false">IF($A270="","",INDEX(TblApplications[Cluster IKS source],$A270))</f>
        <v/>
      </c>
      <c r="I270" s="63" t="str">
        <f aca="false">IF($A270="","",INDEX(TblApplications[Mois lib (calc)],$A270))</f>
        <v/>
      </c>
      <c r="J270" s="50" t="str">
        <f aca="false">IF($A270="","",INDEX(TblApplications[CPU IKS libérable (vCPU)],$A270))</f>
        <v/>
      </c>
    </row>
    <row r="271" customFormat="false" ht="15" hidden="false" customHeight="false" outlineLevel="0" collapsed="false">
      <c r="A271" s="49" t="str">
        <f aca="false">IFERROR(MATCH(206,TblApplications[Rang extinction],0),"")</f>
        <v/>
      </c>
      <c r="B271" s="50" t="str">
        <f aca="false">IF($A271="","",INDEX(TblApplications[ID],$A271))</f>
        <v/>
      </c>
      <c r="C271" s="50" t="str">
        <f aca="false">IF($A271="","",INDEX(TblApplications[Application],$A271))</f>
        <v/>
      </c>
      <c r="D271" s="50" t="str">
        <f aca="false">IF($A271="","",INDEX(TblApplications[Tribe],$A271))</f>
        <v/>
      </c>
      <c r="E271" s="50" t="str">
        <f aca="false">IF($A271="","",INDEX(TblApplications[Environnement],$A271))</f>
        <v/>
      </c>
      <c r="F271" s="50" t="str">
        <f aca="false">IF($A271="","",INDEX(TblApplications[Couloir],$A271))</f>
        <v/>
      </c>
      <c r="G271" s="50" t="str">
        <f aca="false">IF($A271="","",INDEX(TblApplications[Action],$A271))</f>
        <v/>
      </c>
      <c r="H271" s="50" t="str">
        <f aca="false">IF($A271="","",INDEX(TblApplications[Cluster IKS source],$A271))</f>
        <v/>
      </c>
      <c r="I271" s="63" t="str">
        <f aca="false">IF($A271="","",INDEX(TblApplications[Mois lib (calc)],$A271))</f>
        <v/>
      </c>
      <c r="J271" s="50" t="str">
        <f aca="false">IF($A271="","",INDEX(TblApplications[CPU IKS libérable (vCPU)],$A271))</f>
        <v/>
      </c>
    </row>
    <row r="272" customFormat="false" ht="15" hidden="false" customHeight="false" outlineLevel="0" collapsed="false">
      <c r="A272" s="49" t="str">
        <f aca="false">IFERROR(MATCH(207,TblApplications[Rang extinction],0),"")</f>
        <v/>
      </c>
      <c r="B272" s="50" t="str">
        <f aca="false">IF($A272="","",INDEX(TblApplications[ID],$A272))</f>
        <v/>
      </c>
      <c r="C272" s="50" t="str">
        <f aca="false">IF($A272="","",INDEX(TblApplications[Application],$A272))</f>
        <v/>
      </c>
      <c r="D272" s="50" t="str">
        <f aca="false">IF($A272="","",INDEX(TblApplications[Tribe],$A272))</f>
        <v/>
      </c>
      <c r="E272" s="50" t="str">
        <f aca="false">IF($A272="","",INDEX(TblApplications[Environnement],$A272))</f>
        <v/>
      </c>
      <c r="F272" s="50" t="str">
        <f aca="false">IF($A272="","",INDEX(TblApplications[Couloir],$A272))</f>
        <v/>
      </c>
      <c r="G272" s="50" t="str">
        <f aca="false">IF($A272="","",INDEX(TblApplications[Action],$A272))</f>
        <v/>
      </c>
      <c r="H272" s="50" t="str">
        <f aca="false">IF($A272="","",INDEX(TblApplications[Cluster IKS source],$A272))</f>
        <v/>
      </c>
      <c r="I272" s="63" t="str">
        <f aca="false">IF($A272="","",INDEX(TblApplications[Mois lib (calc)],$A272))</f>
        <v/>
      </c>
      <c r="J272" s="50" t="str">
        <f aca="false">IF($A272="","",INDEX(TblApplications[CPU IKS libérable (vCPU)],$A272))</f>
        <v/>
      </c>
    </row>
    <row r="273" customFormat="false" ht="15" hidden="false" customHeight="false" outlineLevel="0" collapsed="false">
      <c r="A273" s="49" t="str">
        <f aca="false">IFERROR(MATCH(208,TblApplications[Rang extinction],0),"")</f>
        <v/>
      </c>
      <c r="B273" s="50" t="str">
        <f aca="false">IF($A273="","",INDEX(TblApplications[ID],$A273))</f>
        <v/>
      </c>
      <c r="C273" s="50" t="str">
        <f aca="false">IF($A273="","",INDEX(TblApplications[Application],$A273))</f>
        <v/>
      </c>
      <c r="D273" s="50" t="str">
        <f aca="false">IF($A273="","",INDEX(TblApplications[Tribe],$A273))</f>
        <v/>
      </c>
      <c r="E273" s="50" t="str">
        <f aca="false">IF($A273="","",INDEX(TblApplications[Environnement],$A273))</f>
        <v/>
      </c>
      <c r="F273" s="50" t="str">
        <f aca="false">IF($A273="","",INDEX(TblApplications[Couloir],$A273))</f>
        <v/>
      </c>
      <c r="G273" s="50" t="str">
        <f aca="false">IF($A273="","",INDEX(TblApplications[Action],$A273))</f>
        <v/>
      </c>
      <c r="H273" s="50" t="str">
        <f aca="false">IF($A273="","",INDEX(TblApplications[Cluster IKS source],$A273))</f>
        <v/>
      </c>
      <c r="I273" s="63" t="str">
        <f aca="false">IF($A273="","",INDEX(TblApplications[Mois lib (calc)],$A273))</f>
        <v/>
      </c>
      <c r="J273" s="50" t="str">
        <f aca="false">IF($A273="","",INDEX(TblApplications[CPU IKS libérable (vCPU)],$A273))</f>
        <v/>
      </c>
    </row>
    <row r="274" customFormat="false" ht="15" hidden="false" customHeight="false" outlineLevel="0" collapsed="false">
      <c r="A274" s="49" t="str">
        <f aca="false">IFERROR(MATCH(209,TblApplications[Rang extinction],0),"")</f>
        <v/>
      </c>
      <c r="B274" s="50" t="str">
        <f aca="false">IF($A274="","",INDEX(TblApplications[ID],$A274))</f>
        <v/>
      </c>
      <c r="C274" s="50" t="str">
        <f aca="false">IF($A274="","",INDEX(TblApplications[Application],$A274))</f>
        <v/>
      </c>
      <c r="D274" s="50" t="str">
        <f aca="false">IF($A274="","",INDEX(TblApplications[Tribe],$A274))</f>
        <v/>
      </c>
      <c r="E274" s="50" t="str">
        <f aca="false">IF($A274="","",INDEX(TblApplications[Environnement],$A274))</f>
        <v/>
      </c>
      <c r="F274" s="50" t="str">
        <f aca="false">IF($A274="","",INDEX(TblApplications[Couloir],$A274))</f>
        <v/>
      </c>
      <c r="G274" s="50" t="str">
        <f aca="false">IF($A274="","",INDEX(TblApplications[Action],$A274))</f>
        <v/>
      </c>
      <c r="H274" s="50" t="str">
        <f aca="false">IF($A274="","",INDEX(TblApplications[Cluster IKS source],$A274))</f>
        <v/>
      </c>
      <c r="I274" s="63" t="str">
        <f aca="false">IF($A274="","",INDEX(TblApplications[Mois lib (calc)],$A274))</f>
        <v/>
      </c>
      <c r="J274" s="50" t="str">
        <f aca="false">IF($A274="","",INDEX(TblApplications[CPU IKS libérable (vCPU)],$A274))</f>
        <v/>
      </c>
    </row>
    <row r="275" customFormat="false" ht="15" hidden="false" customHeight="false" outlineLevel="0" collapsed="false">
      <c r="A275" s="49" t="str">
        <f aca="false">IFERROR(MATCH(210,TblApplications[Rang extinction],0),"")</f>
        <v/>
      </c>
      <c r="B275" s="50" t="str">
        <f aca="false">IF($A275="","",INDEX(TblApplications[ID],$A275))</f>
        <v/>
      </c>
      <c r="C275" s="50" t="str">
        <f aca="false">IF($A275="","",INDEX(TblApplications[Application],$A275))</f>
        <v/>
      </c>
      <c r="D275" s="50" t="str">
        <f aca="false">IF($A275="","",INDEX(TblApplications[Tribe],$A275))</f>
        <v/>
      </c>
      <c r="E275" s="50" t="str">
        <f aca="false">IF($A275="","",INDEX(TblApplications[Environnement],$A275))</f>
        <v/>
      </c>
      <c r="F275" s="50" t="str">
        <f aca="false">IF($A275="","",INDEX(TblApplications[Couloir],$A275))</f>
        <v/>
      </c>
      <c r="G275" s="50" t="str">
        <f aca="false">IF($A275="","",INDEX(TblApplications[Action],$A275))</f>
        <v/>
      </c>
      <c r="H275" s="50" t="str">
        <f aca="false">IF($A275="","",INDEX(TblApplications[Cluster IKS source],$A275))</f>
        <v/>
      </c>
      <c r="I275" s="63" t="str">
        <f aca="false">IF($A275="","",INDEX(TblApplications[Mois lib (calc)],$A275))</f>
        <v/>
      </c>
      <c r="J275" s="50" t="str">
        <f aca="false">IF($A275="","",INDEX(TblApplications[CPU IKS libérable (vCPU)],$A275))</f>
        <v/>
      </c>
    </row>
    <row r="276" customFormat="false" ht="15" hidden="false" customHeight="false" outlineLevel="0" collapsed="false">
      <c r="A276" s="49" t="str">
        <f aca="false">IFERROR(MATCH(211,TblApplications[Rang extinction],0),"")</f>
        <v/>
      </c>
      <c r="B276" s="50" t="str">
        <f aca="false">IF($A276="","",INDEX(TblApplications[ID],$A276))</f>
        <v/>
      </c>
      <c r="C276" s="50" t="str">
        <f aca="false">IF($A276="","",INDEX(TblApplications[Application],$A276))</f>
        <v/>
      </c>
      <c r="D276" s="50" t="str">
        <f aca="false">IF($A276="","",INDEX(TblApplications[Tribe],$A276))</f>
        <v/>
      </c>
      <c r="E276" s="50" t="str">
        <f aca="false">IF($A276="","",INDEX(TblApplications[Environnement],$A276))</f>
        <v/>
      </c>
      <c r="F276" s="50" t="str">
        <f aca="false">IF($A276="","",INDEX(TblApplications[Couloir],$A276))</f>
        <v/>
      </c>
      <c r="G276" s="50" t="str">
        <f aca="false">IF($A276="","",INDEX(TblApplications[Action],$A276))</f>
        <v/>
      </c>
      <c r="H276" s="50" t="str">
        <f aca="false">IF($A276="","",INDEX(TblApplications[Cluster IKS source],$A276))</f>
        <v/>
      </c>
      <c r="I276" s="63" t="str">
        <f aca="false">IF($A276="","",INDEX(TblApplications[Mois lib (calc)],$A276))</f>
        <v/>
      </c>
      <c r="J276" s="50" t="str">
        <f aca="false">IF($A276="","",INDEX(TblApplications[CPU IKS libérable (vCPU)],$A276))</f>
        <v/>
      </c>
    </row>
    <row r="277" customFormat="false" ht="15" hidden="false" customHeight="false" outlineLevel="0" collapsed="false">
      <c r="A277" s="49" t="str">
        <f aca="false">IFERROR(MATCH(212,TblApplications[Rang extinction],0),"")</f>
        <v/>
      </c>
      <c r="B277" s="50" t="str">
        <f aca="false">IF($A277="","",INDEX(TblApplications[ID],$A277))</f>
        <v/>
      </c>
      <c r="C277" s="50" t="str">
        <f aca="false">IF($A277="","",INDEX(TblApplications[Application],$A277))</f>
        <v/>
      </c>
      <c r="D277" s="50" t="str">
        <f aca="false">IF($A277="","",INDEX(TblApplications[Tribe],$A277))</f>
        <v/>
      </c>
      <c r="E277" s="50" t="str">
        <f aca="false">IF($A277="","",INDEX(TblApplications[Environnement],$A277))</f>
        <v/>
      </c>
      <c r="F277" s="50" t="str">
        <f aca="false">IF($A277="","",INDEX(TblApplications[Couloir],$A277))</f>
        <v/>
      </c>
      <c r="G277" s="50" t="str">
        <f aca="false">IF($A277="","",INDEX(TblApplications[Action],$A277))</f>
        <v/>
      </c>
      <c r="H277" s="50" t="str">
        <f aca="false">IF($A277="","",INDEX(TblApplications[Cluster IKS source],$A277))</f>
        <v/>
      </c>
      <c r="I277" s="63" t="str">
        <f aca="false">IF($A277="","",INDEX(TblApplications[Mois lib (calc)],$A277))</f>
        <v/>
      </c>
      <c r="J277" s="50" t="str">
        <f aca="false">IF($A277="","",INDEX(TblApplications[CPU IKS libérable (vCPU)],$A277))</f>
        <v/>
      </c>
    </row>
    <row r="278" customFormat="false" ht="15" hidden="false" customHeight="false" outlineLevel="0" collapsed="false">
      <c r="A278" s="49" t="str">
        <f aca="false">IFERROR(MATCH(213,TblApplications[Rang extinction],0),"")</f>
        <v/>
      </c>
      <c r="B278" s="50" t="str">
        <f aca="false">IF($A278="","",INDEX(TblApplications[ID],$A278))</f>
        <v/>
      </c>
      <c r="C278" s="50" t="str">
        <f aca="false">IF($A278="","",INDEX(TblApplications[Application],$A278))</f>
        <v/>
      </c>
      <c r="D278" s="50" t="str">
        <f aca="false">IF($A278="","",INDEX(TblApplications[Tribe],$A278))</f>
        <v/>
      </c>
      <c r="E278" s="50" t="str">
        <f aca="false">IF($A278="","",INDEX(TblApplications[Environnement],$A278))</f>
        <v/>
      </c>
      <c r="F278" s="50" t="str">
        <f aca="false">IF($A278="","",INDEX(TblApplications[Couloir],$A278))</f>
        <v/>
      </c>
      <c r="G278" s="50" t="str">
        <f aca="false">IF($A278="","",INDEX(TblApplications[Action],$A278))</f>
        <v/>
      </c>
      <c r="H278" s="50" t="str">
        <f aca="false">IF($A278="","",INDEX(TblApplications[Cluster IKS source],$A278))</f>
        <v/>
      </c>
      <c r="I278" s="63" t="str">
        <f aca="false">IF($A278="","",INDEX(TblApplications[Mois lib (calc)],$A278))</f>
        <v/>
      </c>
      <c r="J278" s="50" t="str">
        <f aca="false">IF($A278="","",INDEX(TblApplications[CPU IKS libérable (vCPU)],$A278))</f>
        <v/>
      </c>
    </row>
    <row r="279" customFormat="false" ht="15" hidden="false" customHeight="false" outlineLevel="0" collapsed="false">
      <c r="A279" s="49" t="str">
        <f aca="false">IFERROR(MATCH(214,TblApplications[Rang extinction],0),"")</f>
        <v/>
      </c>
      <c r="B279" s="50" t="str">
        <f aca="false">IF($A279="","",INDEX(TblApplications[ID],$A279))</f>
        <v/>
      </c>
      <c r="C279" s="50" t="str">
        <f aca="false">IF($A279="","",INDEX(TblApplications[Application],$A279))</f>
        <v/>
      </c>
      <c r="D279" s="50" t="str">
        <f aca="false">IF($A279="","",INDEX(TblApplications[Tribe],$A279))</f>
        <v/>
      </c>
      <c r="E279" s="50" t="str">
        <f aca="false">IF($A279="","",INDEX(TblApplications[Environnement],$A279))</f>
        <v/>
      </c>
      <c r="F279" s="50" t="str">
        <f aca="false">IF($A279="","",INDEX(TblApplications[Couloir],$A279))</f>
        <v/>
      </c>
      <c r="G279" s="50" t="str">
        <f aca="false">IF($A279="","",INDEX(TblApplications[Action],$A279))</f>
        <v/>
      </c>
      <c r="H279" s="50" t="str">
        <f aca="false">IF($A279="","",INDEX(TblApplications[Cluster IKS source],$A279))</f>
        <v/>
      </c>
      <c r="I279" s="63" t="str">
        <f aca="false">IF($A279="","",INDEX(TblApplications[Mois lib (calc)],$A279))</f>
        <v/>
      </c>
      <c r="J279" s="50" t="str">
        <f aca="false">IF($A279="","",INDEX(TblApplications[CPU IKS libérable (vCPU)],$A279))</f>
        <v/>
      </c>
    </row>
    <row r="280" customFormat="false" ht="15" hidden="false" customHeight="false" outlineLevel="0" collapsed="false">
      <c r="A280" s="49" t="str">
        <f aca="false">IFERROR(MATCH(215,TblApplications[Rang extinction],0),"")</f>
        <v/>
      </c>
      <c r="B280" s="50" t="str">
        <f aca="false">IF($A280="","",INDEX(TblApplications[ID],$A280))</f>
        <v/>
      </c>
      <c r="C280" s="50" t="str">
        <f aca="false">IF($A280="","",INDEX(TblApplications[Application],$A280))</f>
        <v/>
      </c>
      <c r="D280" s="50" t="str">
        <f aca="false">IF($A280="","",INDEX(TblApplications[Tribe],$A280))</f>
        <v/>
      </c>
      <c r="E280" s="50" t="str">
        <f aca="false">IF($A280="","",INDEX(TblApplications[Environnement],$A280))</f>
        <v/>
      </c>
      <c r="F280" s="50" t="str">
        <f aca="false">IF($A280="","",INDEX(TblApplications[Couloir],$A280))</f>
        <v/>
      </c>
      <c r="G280" s="50" t="str">
        <f aca="false">IF($A280="","",INDEX(TblApplications[Action],$A280))</f>
        <v/>
      </c>
      <c r="H280" s="50" t="str">
        <f aca="false">IF($A280="","",INDEX(TblApplications[Cluster IKS source],$A280))</f>
        <v/>
      </c>
      <c r="I280" s="63" t="str">
        <f aca="false">IF($A280="","",INDEX(TblApplications[Mois lib (calc)],$A280))</f>
        <v/>
      </c>
      <c r="J280" s="50" t="str">
        <f aca="false">IF($A280="","",INDEX(TblApplications[CPU IKS libérable (vCPU)],$A280))</f>
        <v/>
      </c>
    </row>
    <row r="281" customFormat="false" ht="15" hidden="false" customHeight="false" outlineLevel="0" collapsed="false">
      <c r="A281" s="49" t="str">
        <f aca="false">IFERROR(MATCH(216,TblApplications[Rang extinction],0),"")</f>
        <v/>
      </c>
      <c r="B281" s="50" t="str">
        <f aca="false">IF($A281="","",INDEX(TblApplications[ID],$A281))</f>
        <v/>
      </c>
      <c r="C281" s="50" t="str">
        <f aca="false">IF($A281="","",INDEX(TblApplications[Application],$A281))</f>
        <v/>
      </c>
      <c r="D281" s="50" t="str">
        <f aca="false">IF($A281="","",INDEX(TblApplications[Tribe],$A281))</f>
        <v/>
      </c>
      <c r="E281" s="50" t="str">
        <f aca="false">IF($A281="","",INDEX(TblApplications[Environnement],$A281))</f>
        <v/>
      </c>
      <c r="F281" s="50" t="str">
        <f aca="false">IF($A281="","",INDEX(TblApplications[Couloir],$A281))</f>
        <v/>
      </c>
      <c r="G281" s="50" t="str">
        <f aca="false">IF($A281="","",INDEX(TblApplications[Action],$A281))</f>
        <v/>
      </c>
      <c r="H281" s="50" t="str">
        <f aca="false">IF($A281="","",INDEX(TblApplications[Cluster IKS source],$A281))</f>
        <v/>
      </c>
      <c r="I281" s="63" t="str">
        <f aca="false">IF($A281="","",INDEX(TblApplications[Mois lib (calc)],$A281))</f>
        <v/>
      </c>
      <c r="J281" s="50" t="str">
        <f aca="false">IF($A281="","",INDEX(TblApplications[CPU IKS libérable (vCPU)],$A281))</f>
        <v/>
      </c>
    </row>
    <row r="282" customFormat="false" ht="15" hidden="false" customHeight="false" outlineLevel="0" collapsed="false">
      <c r="A282" s="49" t="str">
        <f aca="false">IFERROR(MATCH(217,TblApplications[Rang extinction],0),"")</f>
        <v/>
      </c>
      <c r="B282" s="50" t="str">
        <f aca="false">IF($A282="","",INDEX(TblApplications[ID],$A282))</f>
        <v/>
      </c>
      <c r="C282" s="50" t="str">
        <f aca="false">IF($A282="","",INDEX(TblApplications[Application],$A282))</f>
        <v/>
      </c>
      <c r="D282" s="50" t="str">
        <f aca="false">IF($A282="","",INDEX(TblApplications[Tribe],$A282))</f>
        <v/>
      </c>
      <c r="E282" s="50" t="str">
        <f aca="false">IF($A282="","",INDEX(TblApplications[Environnement],$A282))</f>
        <v/>
      </c>
      <c r="F282" s="50" t="str">
        <f aca="false">IF($A282="","",INDEX(TblApplications[Couloir],$A282))</f>
        <v/>
      </c>
      <c r="G282" s="50" t="str">
        <f aca="false">IF($A282="","",INDEX(TblApplications[Action],$A282))</f>
        <v/>
      </c>
      <c r="H282" s="50" t="str">
        <f aca="false">IF($A282="","",INDEX(TblApplications[Cluster IKS source],$A282))</f>
        <v/>
      </c>
      <c r="I282" s="63" t="str">
        <f aca="false">IF($A282="","",INDEX(TblApplications[Mois lib (calc)],$A282))</f>
        <v/>
      </c>
      <c r="J282" s="50" t="str">
        <f aca="false">IF($A282="","",INDEX(TblApplications[CPU IKS libérable (vCPU)],$A282))</f>
        <v/>
      </c>
    </row>
    <row r="283" customFormat="false" ht="15" hidden="false" customHeight="false" outlineLevel="0" collapsed="false">
      <c r="A283" s="49" t="str">
        <f aca="false">IFERROR(MATCH(218,TblApplications[Rang extinction],0),"")</f>
        <v/>
      </c>
      <c r="B283" s="50" t="str">
        <f aca="false">IF($A283="","",INDEX(TblApplications[ID],$A283))</f>
        <v/>
      </c>
      <c r="C283" s="50" t="str">
        <f aca="false">IF($A283="","",INDEX(TblApplications[Application],$A283))</f>
        <v/>
      </c>
      <c r="D283" s="50" t="str">
        <f aca="false">IF($A283="","",INDEX(TblApplications[Tribe],$A283))</f>
        <v/>
      </c>
      <c r="E283" s="50" t="str">
        <f aca="false">IF($A283="","",INDEX(TblApplications[Environnement],$A283))</f>
        <v/>
      </c>
      <c r="F283" s="50" t="str">
        <f aca="false">IF($A283="","",INDEX(TblApplications[Couloir],$A283))</f>
        <v/>
      </c>
      <c r="G283" s="50" t="str">
        <f aca="false">IF($A283="","",INDEX(TblApplications[Action],$A283))</f>
        <v/>
      </c>
      <c r="H283" s="50" t="str">
        <f aca="false">IF($A283="","",INDEX(TblApplications[Cluster IKS source],$A283))</f>
        <v/>
      </c>
      <c r="I283" s="63" t="str">
        <f aca="false">IF($A283="","",INDEX(TblApplications[Mois lib (calc)],$A283))</f>
        <v/>
      </c>
      <c r="J283" s="50" t="str">
        <f aca="false">IF($A283="","",INDEX(TblApplications[CPU IKS libérable (vCPU)],$A283))</f>
        <v/>
      </c>
    </row>
    <row r="284" customFormat="false" ht="15" hidden="false" customHeight="false" outlineLevel="0" collapsed="false">
      <c r="A284" s="49" t="str">
        <f aca="false">IFERROR(MATCH(219,TblApplications[Rang extinction],0),"")</f>
        <v/>
      </c>
      <c r="B284" s="50" t="str">
        <f aca="false">IF($A284="","",INDEX(TblApplications[ID],$A284))</f>
        <v/>
      </c>
      <c r="C284" s="50" t="str">
        <f aca="false">IF($A284="","",INDEX(TblApplications[Application],$A284))</f>
        <v/>
      </c>
      <c r="D284" s="50" t="str">
        <f aca="false">IF($A284="","",INDEX(TblApplications[Tribe],$A284))</f>
        <v/>
      </c>
      <c r="E284" s="50" t="str">
        <f aca="false">IF($A284="","",INDEX(TblApplications[Environnement],$A284))</f>
        <v/>
      </c>
      <c r="F284" s="50" t="str">
        <f aca="false">IF($A284="","",INDEX(TblApplications[Couloir],$A284))</f>
        <v/>
      </c>
      <c r="G284" s="50" t="str">
        <f aca="false">IF($A284="","",INDEX(TblApplications[Action],$A284))</f>
        <v/>
      </c>
      <c r="H284" s="50" t="str">
        <f aca="false">IF($A284="","",INDEX(TblApplications[Cluster IKS source],$A284))</f>
        <v/>
      </c>
      <c r="I284" s="63" t="str">
        <f aca="false">IF($A284="","",INDEX(TblApplications[Mois lib (calc)],$A284))</f>
        <v/>
      </c>
      <c r="J284" s="50" t="str">
        <f aca="false">IF($A284="","",INDEX(TblApplications[CPU IKS libérable (vCPU)],$A284))</f>
        <v/>
      </c>
    </row>
    <row r="285" customFormat="false" ht="15" hidden="false" customHeight="false" outlineLevel="0" collapsed="false">
      <c r="A285" s="49" t="str">
        <f aca="false">IFERROR(MATCH(220,TblApplications[Rang extinction],0),"")</f>
        <v/>
      </c>
      <c r="B285" s="50" t="str">
        <f aca="false">IF($A285="","",INDEX(TblApplications[ID],$A285))</f>
        <v/>
      </c>
      <c r="C285" s="50" t="str">
        <f aca="false">IF($A285="","",INDEX(TblApplications[Application],$A285))</f>
        <v/>
      </c>
      <c r="D285" s="50" t="str">
        <f aca="false">IF($A285="","",INDEX(TblApplications[Tribe],$A285))</f>
        <v/>
      </c>
      <c r="E285" s="50" t="str">
        <f aca="false">IF($A285="","",INDEX(TblApplications[Environnement],$A285))</f>
        <v/>
      </c>
      <c r="F285" s="50" t="str">
        <f aca="false">IF($A285="","",INDEX(TblApplications[Couloir],$A285))</f>
        <v/>
      </c>
      <c r="G285" s="50" t="str">
        <f aca="false">IF($A285="","",INDEX(TblApplications[Action],$A285))</f>
        <v/>
      </c>
      <c r="H285" s="50" t="str">
        <f aca="false">IF($A285="","",INDEX(TblApplications[Cluster IKS source],$A285))</f>
        <v/>
      </c>
      <c r="I285" s="63" t="str">
        <f aca="false">IF($A285="","",INDEX(TblApplications[Mois lib (calc)],$A285))</f>
        <v/>
      </c>
      <c r="J285" s="50" t="str">
        <f aca="false">IF($A285="","",INDEX(TblApplications[CPU IKS libérable (vCPU)],$A285))</f>
        <v/>
      </c>
    </row>
    <row r="286" customFormat="false" ht="15" hidden="false" customHeight="false" outlineLevel="0" collapsed="false">
      <c r="A286" s="49" t="str">
        <f aca="false">IFERROR(MATCH(221,TblApplications[Rang extinction],0),"")</f>
        <v/>
      </c>
      <c r="B286" s="50" t="str">
        <f aca="false">IF($A286="","",INDEX(TblApplications[ID],$A286))</f>
        <v/>
      </c>
      <c r="C286" s="50" t="str">
        <f aca="false">IF($A286="","",INDEX(TblApplications[Application],$A286))</f>
        <v/>
      </c>
      <c r="D286" s="50" t="str">
        <f aca="false">IF($A286="","",INDEX(TblApplications[Tribe],$A286))</f>
        <v/>
      </c>
      <c r="E286" s="50" t="str">
        <f aca="false">IF($A286="","",INDEX(TblApplications[Environnement],$A286))</f>
        <v/>
      </c>
      <c r="F286" s="50" t="str">
        <f aca="false">IF($A286="","",INDEX(TblApplications[Couloir],$A286))</f>
        <v/>
      </c>
      <c r="G286" s="50" t="str">
        <f aca="false">IF($A286="","",INDEX(TblApplications[Action],$A286))</f>
        <v/>
      </c>
      <c r="H286" s="50" t="str">
        <f aca="false">IF($A286="","",INDEX(TblApplications[Cluster IKS source],$A286))</f>
        <v/>
      </c>
      <c r="I286" s="63" t="str">
        <f aca="false">IF($A286="","",INDEX(TblApplications[Mois lib (calc)],$A286))</f>
        <v/>
      </c>
      <c r="J286" s="50" t="str">
        <f aca="false">IF($A286="","",INDEX(TblApplications[CPU IKS libérable (vCPU)],$A286))</f>
        <v/>
      </c>
    </row>
    <row r="287" customFormat="false" ht="15" hidden="false" customHeight="false" outlineLevel="0" collapsed="false">
      <c r="A287" s="49" t="str">
        <f aca="false">IFERROR(MATCH(222,TblApplications[Rang extinction],0),"")</f>
        <v/>
      </c>
      <c r="B287" s="50" t="str">
        <f aca="false">IF($A287="","",INDEX(TblApplications[ID],$A287))</f>
        <v/>
      </c>
      <c r="C287" s="50" t="str">
        <f aca="false">IF($A287="","",INDEX(TblApplications[Application],$A287))</f>
        <v/>
      </c>
      <c r="D287" s="50" t="str">
        <f aca="false">IF($A287="","",INDEX(TblApplications[Tribe],$A287))</f>
        <v/>
      </c>
      <c r="E287" s="50" t="str">
        <f aca="false">IF($A287="","",INDEX(TblApplications[Environnement],$A287))</f>
        <v/>
      </c>
      <c r="F287" s="50" t="str">
        <f aca="false">IF($A287="","",INDEX(TblApplications[Couloir],$A287))</f>
        <v/>
      </c>
      <c r="G287" s="50" t="str">
        <f aca="false">IF($A287="","",INDEX(TblApplications[Action],$A287))</f>
        <v/>
      </c>
      <c r="H287" s="50" t="str">
        <f aca="false">IF($A287="","",INDEX(TblApplications[Cluster IKS source],$A287))</f>
        <v/>
      </c>
      <c r="I287" s="63" t="str">
        <f aca="false">IF($A287="","",INDEX(TblApplications[Mois lib (calc)],$A287))</f>
        <v/>
      </c>
      <c r="J287" s="50" t="str">
        <f aca="false">IF($A287="","",INDEX(TblApplications[CPU IKS libérable (vCPU)],$A287))</f>
        <v/>
      </c>
    </row>
    <row r="288" customFormat="false" ht="15" hidden="false" customHeight="false" outlineLevel="0" collapsed="false">
      <c r="A288" s="49" t="str">
        <f aca="false">IFERROR(MATCH(223,TblApplications[Rang extinction],0),"")</f>
        <v/>
      </c>
      <c r="B288" s="50" t="str">
        <f aca="false">IF($A288="","",INDEX(TblApplications[ID],$A288))</f>
        <v/>
      </c>
      <c r="C288" s="50" t="str">
        <f aca="false">IF($A288="","",INDEX(TblApplications[Application],$A288))</f>
        <v/>
      </c>
      <c r="D288" s="50" t="str">
        <f aca="false">IF($A288="","",INDEX(TblApplications[Tribe],$A288))</f>
        <v/>
      </c>
      <c r="E288" s="50" t="str">
        <f aca="false">IF($A288="","",INDEX(TblApplications[Environnement],$A288))</f>
        <v/>
      </c>
      <c r="F288" s="50" t="str">
        <f aca="false">IF($A288="","",INDEX(TblApplications[Couloir],$A288))</f>
        <v/>
      </c>
      <c r="G288" s="50" t="str">
        <f aca="false">IF($A288="","",INDEX(TblApplications[Action],$A288))</f>
        <v/>
      </c>
      <c r="H288" s="50" t="str">
        <f aca="false">IF($A288="","",INDEX(TblApplications[Cluster IKS source],$A288))</f>
        <v/>
      </c>
      <c r="I288" s="63" t="str">
        <f aca="false">IF($A288="","",INDEX(TblApplications[Mois lib (calc)],$A288))</f>
        <v/>
      </c>
      <c r="J288" s="50" t="str">
        <f aca="false">IF($A288="","",INDEX(TblApplications[CPU IKS libérable (vCPU)],$A288))</f>
        <v/>
      </c>
    </row>
    <row r="289" customFormat="false" ht="15" hidden="false" customHeight="false" outlineLevel="0" collapsed="false">
      <c r="A289" s="49" t="str">
        <f aca="false">IFERROR(MATCH(224,TblApplications[Rang extinction],0),"")</f>
        <v/>
      </c>
      <c r="B289" s="50" t="str">
        <f aca="false">IF($A289="","",INDEX(TblApplications[ID],$A289))</f>
        <v/>
      </c>
      <c r="C289" s="50" t="str">
        <f aca="false">IF($A289="","",INDEX(TblApplications[Application],$A289))</f>
        <v/>
      </c>
      <c r="D289" s="50" t="str">
        <f aca="false">IF($A289="","",INDEX(TblApplications[Tribe],$A289))</f>
        <v/>
      </c>
      <c r="E289" s="50" t="str">
        <f aca="false">IF($A289="","",INDEX(TblApplications[Environnement],$A289))</f>
        <v/>
      </c>
      <c r="F289" s="50" t="str">
        <f aca="false">IF($A289="","",INDEX(TblApplications[Couloir],$A289))</f>
        <v/>
      </c>
      <c r="G289" s="50" t="str">
        <f aca="false">IF($A289="","",INDEX(TblApplications[Action],$A289))</f>
        <v/>
      </c>
      <c r="H289" s="50" t="str">
        <f aca="false">IF($A289="","",INDEX(TblApplications[Cluster IKS source],$A289))</f>
        <v/>
      </c>
      <c r="I289" s="63" t="str">
        <f aca="false">IF($A289="","",INDEX(TblApplications[Mois lib (calc)],$A289))</f>
        <v/>
      </c>
      <c r="J289" s="50" t="str">
        <f aca="false">IF($A289="","",INDEX(TblApplications[CPU IKS libérable (vCPU)],$A289))</f>
        <v/>
      </c>
    </row>
    <row r="290" customFormat="false" ht="15" hidden="false" customHeight="false" outlineLevel="0" collapsed="false">
      <c r="A290" s="49" t="str">
        <f aca="false">IFERROR(MATCH(225,TblApplications[Rang extinction],0),"")</f>
        <v/>
      </c>
      <c r="B290" s="50" t="str">
        <f aca="false">IF($A290="","",INDEX(TblApplications[ID],$A290))</f>
        <v/>
      </c>
      <c r="C290" s="50" t="str">
        <f aca="false">IF($A290="","",INDEX(TblApplications[Application],$A290))</f>
        <v/>
      </c>
      <c r="D290" s="50" t="str">
        <f aca="false">IF($A290="","",INDEX(TblApplications[Tribe],$A290))</f>
        <v/>
      </c>
      <c r="E290" s="50" t="str">
        <f aca="false">IF($A290="","",INDEX(TblApplications[Environnement],$A290))</f>
        <v/>
      </c>
      <c r="F290" s="50" t="str">
        <f aca="false">IF($A290="","",INDEX(TblApplications[Couloir],$A290))</f>
        <v/>
      </c>
      <c r="G290" s="50" t="str">
        <f aca="false">IF($A290="","",INDEX(TblApplications[Action],$A290))</f>
        <v/>
      </c>
      <c r="H290" s="50" t="str">
        <f aca="false">IF($A290="","",INDEX(TblApplications[Cluster IKS source],$A290))</f>
        <v/>
      </c>
      <c r="I290" s="63" t="str">
        <f aca="false">IF($A290="","",INDEX(TblApplications[Mois lib (calc)],$A290))</f>
        <v/>
      </c>
      <c r="J290" s="50" t="str">
        <f aca="false">IF($A290="","",INDEX(TblApplications[CPU IKS libérable (vCPU)],$A290))</f>
        <v/>
      </c>
    </row>
    <row r="291" customFormat="false" ht="15" hidden="false" customHeight="false" outlineLevel="0" collapsed="false">
      <c r="A291" s="49" t="str">
        <f aca="false">IFERROR(MATCH(226,TblApplications[Rang extinction],0),"")</f>
        <v/>
      </c>
      <c r="B291" s="50" t="str">
        <f aca="false">IF($A291="","",INDEX(TblApplications[ID],$A291))</f>
        <v/>
      </c>
      <c r="C291" s="50" t="str">
        <f aca="false">IF($A291="","",INDEX(TblApplications[Application],$A291))</f>
        <v/>
      </c>
      <c r="D291" s="50" t="str">
        <f aca="false">IF($A291="","",INDEX(TblApplications[Tribe],$A291))</f>
        <v/>
      </c>
      <c r="E291" s="50" t="str">
        <f aca="false">IF($A291="","",INDEX(TblApplications[Environnement],$A291))</f>
        <v/>
      </c>
      <c r="F291" s="50" t="str">
        <f aca="false">IF($A291="","",INDEX(TblApplications[Couloir],$A291))</f>
        <v/>
      </c>
      <c r="G291" s="50" t="str">
        <f aca="false">IF($A291="","",INDEX(TblApplications[Action],$A291))</f>
        <v/>
      </c>
      <c r="H291" s="50" t="str">
        <f aca="false">IF($A291="","",INDEX(TblApplications[Cluster IKS source],$A291))</f>
        <v/>
      </c>
      <c r="I291" s="63" t="str">
        <f aca="false">IF($A291="","",INDEX(TblApplications[Mois lib (calc)],$A291))</f>
        <v/>
      </c>
      <c r="J291" s="50" t="str">
        <f aca="false">IF($A291="","",INDEX(TblApplications[CPU IKS libérable (vCPU)],$A291))</f>
        <v/>
      </c>
    </row>
    <row r="292" customFormat="false" ht="15" hidden="false" customHeight="false" outlineLevel="0" collapsed="false">
      <c r="A292" s="49" t="str">
        <f aca="false">IFERROR(MATCH(227,TblApplications[Rang extinction],0),"")</f>
        <v/>
      </c>
      <c r="B292" s="50" t="str">
        <f aca="false">IF($A292="","",INDEX(TblApplications[ID],$A292))</f>
        <v/>
      </c>
      <c r="C292" s="50" t="str">
        <f aca="false">IF($A292="","",INDEX(TblApplications[Application],$A292))</f>
        <v/>
      </c>
      <c r="D292" s="50" t="str">
        <f aca="false">IF($A292="","",INDEX(TblApplications[Tribe],$A292))</f>
        <v/>
      </c>
      <c r="E292" s="50" t="str">
        <f aca="false">IF($A292="","",INDEX(TblApplications[Environnement],$A292))</f>
        <v/>
      </c>
      <c r="F292" s="50" t="str">
        <f aca="false">IF($A292="","",INDEX(TblApplications[Couloir],$A292))</f>
        <v/>
      </c>
      <c r="G292" s="50" t="str">
        <f aca="false">IF($A292="","",INDEX(TblApplications[Action],$A292))</f>
        <v/>
      </c>
      <c r="H292" s="50" t="str">
        <f aca="false">IF($A292="","",INDEX(TblApplications[Cluster IKS source],$A292))</f>
        <v/>
      </c>
      <c r="I292" s="63" t="str">
        <f aca="false">IF($A292="","",INDEX(TblApplications[Mois lib (calc)],$A292))</f>
        <v/>
      </c>
      <c r="J292" s="50" t="str">
        <f aca="false">IF($A292="","",INDEX(TblApplications[CPU IKS libérable (vCPU)],$A292))</f>
        <v/>
      </c>
    </row>
    <row r="293" customFormat="false" ht="15" hidden="false" customHeight="false" outlineLevel="0" collapsed="false">
      <c r="A293" s="49" t="str">
        <f aca="false">IFERROR(MATCH(228,TblApplications[Rang extinction],0),"")</f>
        <v/>
      </c>
      <c r="B293" s="50" t="str">
        <f aca="false">IF($A293="","",INDEX(TblApplications[ID],$A293))</f>
        <v/>
      </c>
      <c r="C293" s="50" t="str">
        <f aca="false">IF($A293="","",INDEX(TblApplications[Application],$A293))</f>
        <v/>
      </c>
      <c r="D293" s="50" t="str">
        <f aca="false">IF($A293="","",INDEX(TblApplications[Tribe],$A293))</f>
        <v/>
      </c>
      <c r="E293" s="50" t="str">
        <f aca="false">IF($A293="","",INDEX(TblApplications[Environnement],$A293))</f>
        <v/>
      </c>
      <c r="F293" s="50" t="str">
        <f aca="false">IF($A293="","",INDEX(TblApplications[Couloir],$A293))</f>
        <v/>
      </c>
      <c r="G293" s="50" t="str">
        <f aca="false">IF($A293="","",INDEX(TblApplications[Action],$A293))</f>
        <v/>
      </c>
      <c r="H293" s="50" t="str">
        <f aca="false">IF($A293="","",INDEX(TblApplications[Cluster IKS source],$A293))</f>
        <v/>
      </c>
      <c r="I293" s="63" t="str">
        <f aca="false">IF($A293="","",INDEX(TblApplications[Mois lib (calc)],$A293))</f>
        <v/>
      </c>
      <c r="J293" s="50" t="str">
        <f aca="false">IF($A293="","",INDEX(TblApplications[CPU IKS libérable (vCPU)],$A293))</f>
        <v/>
      </c>
    </row>
    <row r="294" customFormat="false" ht="15" hidden="false" customHeight="false" outlineLevel="0" collapsed="false">
      <c r="A294" s="49" t="str">
        <f aca="false">IFERROR(MATCH(229,TblApplications[Rang extinction],0),"")</f>
        <v/>
      </c>
      <c r="B294" s="50" t="str">
        <f aca="false">IF($A294="","",INDEX(TblApplications[ID],$A294))</f>
        <v/>
      </c>
      <c r="C294" s="50" t="str">
        <f aca="false">IF($A294="","",INDEX(TblApplications[Application],$A294))</f>
        <v/>
      </c>
      <c r="D294" s="50" t="str">
        <f aca="false">IF($A294="","",INDEX(TblApplications[Tribe],$A294))</f>
        <v/>
      </c>
      <c r="E294" s="50" t="str">
        <f aca="false">IF($A294="","",INDEX(TblApplications[Environnement],$A294))</f>
        <v/>
      </c>
      <c r="F294" s="50" t="str">
        <f aca="false">IF($A294="","",INDEX(TblApplications[Couloir],$A294))</f>
        <v/>
      </c>
      <c r="G294" s="50" t="str">
        <f aca="false">IF($A294="","",INDEX(TblApplications[Action],$A294))</f>
        <v/>
      </c>
      <c r="H294" s="50" t="str">
        <f aca="false">IF($A294="","",INDEX(TblApplications[Cluster IKS source],$A294))</f>
        <v/>
      </c>
      <c r="I294" s="63" t="str">
        <f aca="false">IF($A294="","",INDEX(TblApplications[Mois lib (calc)],$A294))</f>
        <v/>
      </c>
      <c r="J294" s="50" t="str">
        <f aca="false">IF($A294="","",INDEX(TblApplications[CPU IKS libérable (vCPU)],$A294))</f>
        <v/>
      </c>
    </row>
    <row r="295" customFormat="false" ht="15" hidden="false" customHeight="false" outlineLevel="0" collapsed="false">
      <c r="A295" s="49" t="str">
        <f aca="false">IFERROR(MATCH(230,TblApplications[Rang extinction],0),"")</f>
        <v/>
      </c>
      <c r="B295" s="50" t="str">
        <f aca="false">IF($A295="","",INDEX(TblApplications[ID],$A295))</f>
        <v/>
      </c>
      <c r="C295" s="50" t="str">
        <f aca="false">IF($A295="","",INDEX(TblApplications[Application],$A295))</f>
        <v/>
      </c>
      <c r="D295" s="50" t="str">
        <f aca="false">IF($A295="","",INDEX(TblApplications[Tribe],$A295))</f>
        <v/>
      </c>
      <c r="E295" s="50" t="str">
        <f aca="false">IF($A295="","",INDEX(TblApplications[Environnement],$A295))</f>
        <v/>
      </c>
      <c r="F295" s="50" t="str">
        <f aca="false">IF($A295="","",INDEX(TblApplications[Couloir],$A295))</f>
        <v/>
      </c>
      <c r="G295" s="50" t="str">
        <f aca="false">IF($A295="","",INDEX(TblApplications[Action],$A295))</f>
        <v/>
      </c>
      <c r="H295" s="50" t="str">
        <f aca="false">IF($A295="","",INDEX(TblApplications[Cluster IKS source],$A295))</f>
        <v/>
      </c>
      <c r="I295" s="63" t="str">
        <f aca="false">IF($A295="","",INDEX(TblApplications[Mois lib (calc)],$A295))</f>
        <v/>
      </c>
      <c r="J295" s="50" t="str">
        <f aca="false">IF($A295="","",INDEX(TblApplications[CPU IKS libérable (vCPU)],$A295))</f>
        <v/>
      </c>
    </row>
    <row r="296" customFormat="false" ht="15" hidden="false" customHeight="false" outlineLevel="0" collapsed="false">
      <c r="A296" s="49" t="str">
        <f aca="false">IFERROR(MATCH(231,TblApplications[Rang extinction],0),"")</f>
        <v/>
      </c>
      <c r="B296" s="50" t="str">
        <f aca="false">IF($A296="","",INDEX(TblApplications[ID],$A296))</f>
        <v/>
      </c>
      <c r="C296" s="50" t="str">
        <f aca="false">IF($A296="","",INDEX(TblApplications[Application],$A296))</f>
        <v/>
      </c>
      <c r="D296" s="50" t="str">
        <f aca="false">IF($A296="","",INDEX(TblApplications[Tribe],$A296))</f>
        <v/>
      </c>
      <c r="E296" s="50" t="str">
        <f aca="false">IF($A296="","",INDEX(TblApplications[Environnement],$A296))</f>
        <v/>
      </c>
      <c r="F296" s="50" t="str">
        <f aca="false">IF($A296="","",INDEX(TblApplications[Couloir],$A296))</f>
        <v/>
      </c>
      <c r="G296" s="50" t="str">
        <f aca="false">IF($A296="","",INDEX(TblApplications[Action],$A296))</f>
        <v/>
      </c>
      <c r="H296" s="50" t="str">
        <f aca="false">IF($A296="","",INDEX(TblApplications[Cluster IKS source],$A296))</f>
        <v/>
      </c>
      <c r="I296" s="63" t="str">
        <f aca="false">IF($A296="","",INDEX(TblApplications[Mois lib (calc)],$A296))</f>
        <v/>
      </c>
      <c r="J296" s="50" t="str">
        <f aca="false">IF($A296="","",INDEX(TblApplications[CPU IKS libérable (vCPU)],$A296))</f>
        <v/>
      </c>
    </row>
    <row r="297" customFormat="false" ht="15" hidden="false" customHeight="false" outlineLevel="0" collapsed="false">
      <c r="A297" s="49" t="str">
        <f aca="false">IFERROR(MATCH(232,TblApplications[Rang extinction],0),"")</f>
        <v/>
      </c>
      <c r="B297" s="50" t="str">
        <f aca="false">IF($A297="","",INDEX(TblApplications[ID],$A297))</f>
        <v/>
      </c>
      <c r="C297" s="50" t="str">
        <f aca="false">IF($A297="","",INDEX(TblApplications[Application],$A297))</f>
        <v/>
      </c>
      <c r="D297" s="50" t="str">
        <f aca="false">IF($A297="","",INDEX(TblApplications[Tribe],$A297))</f>
        <v/>
      </c>
      <c r="E297" s="50" t="str">
        <f aca="false">IF($A297="","",INDEX(TblApplications[Environnement],$A297))</f>
        <v/>
      </c>
      <c r="F297" s="50" t="str">
        <f aca="false">IF($A297="","",INDEX(TblApplications[Couloir],$A297))</f>
        <v/>
      </c>
      <c r="G297" s="50" t="str">
        <f aca="false">IF($A297="","",INDEX(TblApplications[Action],$A297))</f>
        <v/>
      </c>
      <c r="H297" s="50" t="str">
        <f aca="false">IF($A297="","",INDEX(TblApplications[Cluster IKS source],$A297))</f>
        <v/>
      </c>
      <c r="I297" s="63" t="str">
        <f aca="false">IF($A297="","",INDEX(TblApplications[Mois lib (calc)],$A297))</f>
        <v/>
      </c>
      <c r="J297" s="50" t="str">
        <f aca="false">IF($A297="","",INDEX(TblApplications[CPU IKS libérable (vCPU)],$A297))</f>
        <v/>
      </c>
    </row>
    <row r="298" customFormat="false" ht="15" hidden="false" customHeight="false" outlineLevel="0" collapsed="false">
      <c r="A298" s="49" t="str">
        <f aca="false">IFERROR(MATCH(233,TblApplications[Rang extinction],0),"")</f>
        <v/>
      </c>
      <c r="B298" s="50" t="str">
        <f aca="false">IF($A298="","",INDEX(TblApplications[ID],$A298))</f>
        <v/>
      </c>
      <c r="C298" s="50" t="str">
        <f aca="false">IF($A298="","",INDEX(TblApplications[Application],$A298))</f>
        <v/>
      </c>
      <c r="D298" s="50" t="str">
        <f aca="false">IF($A298="","",INDEX(TblApplications[Tribe],$A298))</f>
        <v/>
      </c>
      <c r="E298" s="50" t="str">
        <f aca="false">IF($A298="","",INDEX(TblApplications[Environnement],$A298))</f>
        <v/>
      </c>
      <c r="F298" s="50" t="str">
        <f aca="false">IF($A298="","",INDEX(TblApplications[Couloir],$A298))</f>
        <v/>
      </c>
      <c r="G298" s="50" t="str">
        <f aca="false">IF($A298="","",INDEX(TblApplications[Action],$A298))</f>
        <v/>
      </c>
      <c r="H298" s="50" t="str">
        <f aca="false">IF($A298="","",INDEX(TblApplications[Cluster IKS source],$A298))</f>
        <v/>
      </c>
      <c r="I298" s="63" t="str">
        <f aca="false">IF($A298="","",INDEX(TblApplications[Mois lib (calc)],$A298))</f>
        <v/>
      </c>
      <c r="J298" s="50" t="str">
        <f aca="false">IF($A298="","",INDEX(TblApplications[CPU IKS libérable (vCPU)],$A298))</f>
        <v/>
      </c>
    </row>
    <row r="299" customFormat="false" ht="15" hidden="false" customHeight="false" outlineLevel="0" collapsed="false">
      <c r="A299" s="49" t="str">
        <f aca="false">IFERROR(MATCH(234,TblApplications[Rang extinction],0),"")</f>
        <v/>
      </c>
      <c r="B299" s="50" t="str">
        <f aca="false">IF($A299="","",INDEX(TblApplications[ID],$A299))</f>
        <v/>
      </c>
      <c r="C299" s="50" t="str">
        <f aca="false">IF($A299="","",INDEX(TblApplications[Application],$A299))</f>
        <v/>
      </c>
      <c r="D299" s="50" t="str">
        <f aca="false">IF($A299="","",INDEX(TblApplications[Tribe],$A299))</f>
        <v/>
      </c>
      <c r="E299" s="50" t="str">
        <f aca="false">IF($A299="","",INDEX(TblApplications[Environnement],$A299))</f>
        <v/>
      </c>
      <c r="F299" s="50" t="str">
        <f aca="false">IF($A299="","",INDEX(TblApplications[Couloir],$A299))</f>
        <v/>
      </c>
      <c r="G299" s="50" t="str">
        <f aca="false">IF($A299="","",INDEX(TblApplications[Action],$A299))</f>
        <v/>
      </c>
      <c r="H299" s="50" t="str">
        <f aca="false">IF($A299="","",INDEX(TblApplications[Cluster IKS source],$A299))</f>
        <v/>
      </c>
      <c r="I299" s="63" t="str">
        <f aca="false">IF($A299="","",INDEX(TblApplications[Mois lib (calc)],$A299))</f>
        <v/>
      </c>
      <c r="J299" s="50" t="str">
        <f aca="false">IF($A299="","",INDEX(TblApplications[CPU IKS libérable (vCPU)],$A299))</f>
        <v/>
      </c>
    </row>
    <row r="300" customFormat="false" ht="15" hidden="false" customHeight="false" outlineLevel="0" collapsed="false">
      <c r="A300" s="49" t="str">
        <f aca="false">IFERROR(MATCH(235,TblApplications[Rang extinction],0),"")</f>
        <v/>
      </c>
      <c r="B300" s="50" t="str">
        <f aca="false">IF($A300="","",INDEX(TblApplications[ID],$A300))</f>
        <v/>
      </c>
      <c r="C300" s="50" t="str">
        <f aca="false">IF($A300="","",INDEX(TblApplications[Application],$A300))</f>
        <v/>
      </c>
      <c r="D300" s="50" t="str">
        <f aca="false">IF($A300="","",INDEX(TblApplications[Tribe],$A300))</f>
        <v/>
      </c>
      <c r="E300" s="50" t="str">
        <f aca="false">IF($A300="","",INDEX(TblApplications[Environnement],$A300))</f>
        <v/>
      </c>
      <c r="F300" s="50" t="str">
        <f aca="false">IF($A300="","",INDEX(TblApplications[Couloir],$A300))</f>
        <v/>
      </c>
      <c r="G300" s="50" t="str">
        <f aca="false">IF($A300="","",INDEX(TblApplications[Action],$A300))</f>
        <v/>
      </c>
      <c r="H300" s="50" t="str">
        <f aca="false">IF($A300="","",INDEX(TblApplications[Cluster IKS source],$A300))</f>
        <v/>
      </c>
      <c r="I300" s="63" t="str">
        <f aca="false">IF($A300="","",INDEX(TblApplications[Mois lib (calc)],$A300))</f>
        <v/>
      </c>
      <c r="J300" s="50" t="str">
        <f aca="false">IF($A300="","",INDEX(TblApplications[CPU IKS libérable (vCPU)],$A300))</f>
        <v/>
      </c>
    </row>
    <row r="301" customFormat="false" ht="15" hidden="false" customHeight="false" outlineLevel="0" collapsed="false">
      <c r="A301" s="49" t="str">
        <f aca="false">IFERROR(MATCH(236,TblApplications[Rang extinction],0),"")</f>
        <v/>
      </c>
      <c r="B301" s="50" t="str">
        <f aca="false">IF($A301="","",INDEX(TblApplications[ID],$A301))</f>
        <v/>
      </c>
      <c r="C301" s="50" t="str">
        <f aca="false">IF($A301="","",INDEX(TblApplications[Application],$A301))</f>
        <v/>
      </c>
      <c r="D301" s="50" t="str">
        <f aca="false">IF($A301="","",INDEX(TblApplications[Tribe],$A301))</f>
        <v/>
      </c>
      <c r="E301" s="50" t="str">
        <f aca="false">IF($A301="","",INDEX(TblApplications[Environnement],$A301))</f>
        <v/>
      </c>
      <c r="F301" s="50" t="str">
        <f aca="false">IF($A301="","",INDEX(TblApplications[Couloir],$A301))</f>
        <v/>
      </c>
      <c r="G301" s="50" t="str">
        <f aca="false">IF($A301="","",INDEX(TblApplications[Action],$A301))</f>
        <v/>
      </c>
      <c r="H301" s="50" t="str">
        <f aca="false">IF($A301="","",INDEX(TblApplications[Cluster IKS source],$A301))</f>
        <v/>
      </c>
      <c r="I301" s="63" t="str">
        <f aca="false">IF($A301="","",INDEX(TblApplications[Mois lib (calc)],$A301))</f>
        <v/>
      </c>
      <c r="J301" s="50" t="str">
        <f aca="false">IF($A301="","",INDEX(TblApplications[CPU IKS libérable (vCPU)],$A301))</f>
        <v/>
      </c>
    </row>
    <row r="302" customFormat="false" ht="15" hidden="false" customHeight="false" outlineLevel="0" collapsed="false">
      <c r="A302" s="49" t="str">
        <f aca="false">IFERROR(MATCH(237,TblApplications[Rang extinction],0),"")</f>
        <v/>
      </c>
      <c r="B302" s="50" t="str">
        <f aca="false">IF($A302="","",INDEX(TblApplications[ID],$A302))</f>
        <v/>
      </c>
      <c r="C302" s="50" t="str">
        <f aca="false">IF($A302="","",INDEX(TblApplications[Application],$A302))</f>
        <v/>
      </c>
      <c r="D302" s="50" t="str">
        <f aca="false">IF($A302="","",INDEX(TblApplications[Tribe],$A302))</f>
        <v/>
      </c>
      <c r="E302" s="50" t="str">
        <f aca="false">IF($A302="","",INDEX(TblApplications[Environnement],$A302))</f>
        <v/>
      </c>
      <c r="F302" s="50" t="str">
        <f aca="false">IF($A302="","",INDEX(TblApplications[Couloir],$A302))</f>
        <v/>
      </c>
      <c r="G302" s="50" t="str">
        <f aca="false">IF($A302="","",INDEX(TblApplications[Action],$A302))</f>
        <v/>
      </c>
      <c r="H302" s="50" t="str">
        <f aca="false">IF($A302="","",INDEX(TblApplications[Cluster IKS source],$A302))</f>
        <v/>
      </c>
      <c r="I302" s="63" t="str">
        <f aca="false">IF($A302="","",INDEX(TblApplications[Mois lib (calc)],$A302))</f>
        <v/>
      </c>
      <c r="J302" s="50" t="str">
        <f aca="false">IF($A302="","",INDEX(TblApplications[CPU IKS libérable (vCPU)],$A302))</f>
        <v/>
      </c>
    </row>
    <row r="303" customFormat="false" ht="15" hidden="false" customHeight="false" outlineLevel="0" collapsed="false">
      <c r="A303" s="49" t="str">
        <f aca="false">IFERROR(MATCH(238,TblApplications[Rang extinction],0),"")</f>
        <v/>
      </c>
      <c r="B303" s="50" t="str">
        <f aca="false">IF($A303="","",INDEX(TblApplications[ID],$A303))</f>
        <v/>
      </c>
      <c r="C303" s="50" t="str">
        <f aca="false">IF($A303="","",INDEX(TblApplications[Application],$A303))</f>
        <v/>
      </c>
      <c r="D303" s="50" t="str">
        <f aca="false">IF($A303="","",INDEX(TblApplications[Tribe],$A303))</f>
        <v/>
      </c>
      <c r="E303" s="50" t="str">
        <f aca="false">IF($A303="","",INDEX(TblApplications[Environnement],$A303))</f>
        <v/>
      </c>
      <c r="F303" s="50" t="str">
        <f aca="false">IF($A303="","",INDEX(TblApplications[Couloir],$A303))</f>
        <v/>
      </c>
      <c r="G303" s="50" t="str">
        <f aca="false">IF($A303="","",INDEX(TblApplications[Action],$A303))</f>
        <v/>
      </c>
      <c r="H303" s="50" t="str">
        <f aca="false">IF($A303="","",INDEX(TblApplications[Cluster IKS source],$A303))</f>
        <v/>
      </c>
      <c r="I303" s="63" t="str">
        <f aca="false">IF($A303="","",INDEX(TblApplications[Mois lib (calc)],$A303))</f>
        <v/>
      </c>
      <c r="J303" s="50" t="str">
        <f aca="false">IF($A303="","",INDEX(TblApplications[CPU IKS libérable (vCPU)],$A303))</f>
        <v/>
      </c>
    </row>
    <row r="304" customFormat="false" ht="15" hidden="false" customHeight="false" outlineLevel="0" collapsed="false">
      <c r="A304" s="49" t="str">
        <f aca="false">IFERROR(MATCH(239,TblApplications[Rang extinction],0),"")</f>
        <v/>
      </c>
      <c r="B304" s="50" t="str">
        <f aca="false">IF($A304="","",INDEX(TblApplications[ID],$A304))</f>
        <v/>
      </c>
      <c r="C304" s="50" t="str">
        <f aca="false">IF($A304="","",INDEX(TblApplications[Application],$A304))</f>
        <v/>
      </c>
      <c r="D304" s="50" t="str">
        <f aca="false">IF($A304="","",INDEX(TblApplications[Tribe],$A304))</f>
        <v/>
      </c>
      <c r="E304" s="50" t="str">
        <f aca="false">IF($A304="","",INDEX(TblApplications[Environnement],$A304))</f>
        <v/>
      </c>
      <c r="F304" s="50" t="str">
        <f aca="false">IF($A304="","",INDEX(TblApplications[Couloir],$A304))</f>
        <v/>
      </c>
      <c r="G304" s="50" t="str">
        <f aca="false">IF($A304="","",INDEX(TblApplications[Action],$A304))</f>
        <v/>
      </c>
      <c r="H304" s="50" t="str">
        <f aca="false">IF($A304="","",INDEX(TblApplications[Cluster IKS source],$A304))</f>
        <v/>
      </c>
      <c r="I304" s="63" t="str">
        <f aca="false">IF($A304="","",INDEX(TblApplications[Mois lib (calc)],$A304))</f>
        <v/>
      </c>
      <c r="J304" s="50" t="str">
        <f aca="false">IF($A304="","",INDEX(TblApplications[CPU IKS libérable (vCPU)],$A304))</f>
        <v/>
      </c>
    </row>
    <row r="305" customFormat="false" ht="15" hidden="false" customHeight="false" outlineLevel="0" collapsed="false">
      <c r="A305" s="49" t="str">
        <f aca="false">IFERROR(MATCH(240,TblApplications[Rang extinction],0),"")</f>
        <v/>
      </c>
      <c r="B305" s="50" t="str">
        <f aca="false">IF($A305="","",INDEX(TblApplications[ID],$A305))</f>
        <v/>
      </c>
      <c r="C305" s="50" t="str">
        <f aca="false">IF($A305="","",INDEX(TblApplications[Application],$A305))</f>
        <v/>
      </c>
      <c r="D305" s="50" t="str">
        <f aca="false">IF($A305="","",INDEX(TblApplications[Tribe],$A305))</f>
        <v/>
      </c>
      <c r="E305" s="50" t="str">
        <f aca="false">IF($A305="","",INDEX(TblApplications[Environnement],$A305))</f>
        <v/>
      </c>
      <c r="F305" s="50" t="str">
        <f aca="false">IF($A305="","",INDEX(TblApplications[Couloir],$A305))</f>
        <v/>
      </c>
      <c r="G305" s="50" t="str">
        <f aca="false">IF($A305="","",INDEX(TblApplications[Action],$A305))</f>
        <v/>
      </c>
      <c r="H305" s="50" t="str">
        <f aca="false">IF($A305="","",INDEX(TblApplications[Cluster IKS source],$A305))</f>
        <v/>
      </c>
      <c r="I305" s="63" t="str">
        <f aca="false">IF($A305="","",INDEX(TblApplications[Mois lib (calc)],$A305))</f>
        <v/>
      </c>
      <c r="J305" s="50" t="str">
        <f aca="false">IF($A305="","",INDEX(TblApplications[CPU IKS libérable (vCPU)],$A305))</f>
        <v/>
      </c>
    </row>
    <row r="306" customFormat="false" ht="15" hidden="false" customHeight="false" outlineLevel="0" collapsed="false">
      <c r="A306" s="49" t="str">
        <f aca="false">IFERROR(MATCH(241,TblApplications[Rang extinction],0),"")</f>
        <v/>
      </c>
      <c r="B306" s="50" t="str">
        <f aca="false">IF($A306="","",INDEX(TblApplications[ID],$A306))</f>
        <v/>
      </c>
      <c r="C306" s="50" t="str">
        <f aca="false">IF($A306="","",INDEX(TblApplications[Application],$A306))</f>
        <v/>
      </c>
      <c r="D306" s="50" t="str">
        <f aca="false">IF($A306="","",INDEX(TblApplications[Tribe],$A306))</f>
        <v/>
      </c>
      <c r="E306" s="50" t="str">
        <f aca="false">IF($A306="","",INDEX(TblApplications[Environnement],$A306))</f>
        <v/>
      </c>
      <c r="F306" s="50" t="str">
        <f aca="false">IF($A306="","",INDEX(TblApplications[Couloir],$A306))</f>
        <v/>
      </c>
      <c r="G306" s="50" t="str">
        <f aca="false">IF($A306="","",INDEX(TblApplications[Action],$A306))</f>
        <v/>
      </c>
      <c r="H306" s="50" t="str">
        <f aca="false">IF($A306="","",INDEX(TblApplications[Cluster IKS source],$A306))</f>
        <v/>
      </c>
      <c r="I306" s="63" t="str">
        <f aca="false">IF($A306="","",INDEX(TblApplications[Mois lib (calc)],$A306))</f>
        <v/>
      </c>
      <c r="J306" s="50" t="str">
        <f aca="false">IF($A306="","",INDEX(TblApplications[CPU IKS libérable (vCPU)],$A306))</f>
        <v/>
      </c>
    </row>
    <row r="307" customFormat="false" ht="15" hidden="false" customHeight="false" outlineLevel="0" collapsed="false">
      <c r="A307" s="49" t="str">
        <f aca="false">IFERROR(MATCH(242,TblApplications[Rang extinction],0),"")</f>
        <v/>
      </c>
      <c r="B307" s="50" t="str">
        <f aca="false">IF($A307="","",INDEX(TblApplications[ID],$A307))</f>
        <v/>
      </c>
      <c r="C307" s="50" t="str">
        <f aca="false">IF($A307="","",INDEX(TblApplications[Application],$A307))</f>
        <v/>
      </c>
      <c r="D307" s="50" t="str">
        <f aca="false">IF($A307="","",INDEX(TblApplications[Tribe],$A307))</f>
        <v/>
      </c>
      <c r="E307" s="50" t="str">
        <f aca="false">IF($A307="","",INDEX(TblApplications[Environnement],$A307))</f>
        <v/>
      </c>
      <c r="F307" s="50" t="str">
        <f aca="false">IF($A307="","",INDEX(TblApplications[Couloir],$A307))</f>
        <v/>
      </c>
      <c r="G307" s="50" t="str">
        <f aca="false">IF($A307="","",INDEX(TblApplications[Action],$A307))</f>
        <v/>
      </c>
      <c r="H307" s="50" t="str">
        <f aca="false">IF($A307="","",INDEX(TblApplications[Cluster IKS source],$A307))</f>
        <v/>
      </c>
      <c r="I307" s="63" t="str">
        <f aca="false">IF($A307="","",INDEX(TblApplications[Mois lib (calc)],$A307))</f>
        <v/>
      </c>
      <c r="J307" s="50" t="str">
        <f aca="false">IF($A307="","",INDEX(TblApplications[CPU IKS libérable (vCPU)],$A307))</f>
        <v/>
      </c>
    </row>
    <row r="308" customFormat="false" ht="15" hidden="false" customHeight="false" outlineLevel="0" collapsed="false">
      <c r="A308" s="49" t="str">
        <f aca="false">IFERROR(MATCH(243,TblApplications[Rang extinction],0),"")</f>
        <v/>
      </c>
      <c r="B308" s="50" t="str">
        <f aca="false">IF($A308="","",INDEX(TblApplications[ID],$A308))</f>
        <v/>
      </c>
      <c r="C308" s="50" t="str">
        <f aca="false">IF($A308="","",INDEX(TblApplications[Application],$A308))</f>
        <v/>
      </c>
      <c r="D308" s="50" t="str">
        <f aca="false">IF($A308="","",INDEX(TblApplications[Tribe],$A308))</f>
        <v/>
      </c>
      <c r="E308" s="50" t="str">
        <f aca="false">IF($A308="","",INDEX(TblApplications[Environnement],$A308))</f>
        <v/>
      </c>
      <c r="F308" s="50" t="str">
        <f aca="false">IF($A308="","",INDEX(TblApplications[Couloir],$A308))</f>
        <v/>
      </c>
      <c r="G308" s="50" t="str">
        <f aca="false">IF($A308="","",INDEX(TblApplications[Action],$A308))</f>
        <v/>
      </c>
      <c r="H308" s="50" t="str">
        <f aca="false">IF($A308="","",INDEX(TblApplications[Cluster IKS source],$A308))</f>
        <v/>
      </c>
      <c r="I308" s="63" t="str">
        <f aca="false">IF($A308="","",INDEX(TblApplications[Mois lib (calc)],$A308))</f>
        <v/>
      </c>
      <c r="J308" s="50" t="str">
        <f aca="false">IF($A308="","",INDEX(TblApplications[CPU IKS libérable (vCPU)],$A308))</f>
        <v/>
      </c>
    </row>
    <row r="309" customFormat="false" ht="15" hidden="false" customHeight="false" outlineLevel="0" collapsed="false">
      <c r="A309" s="49" t="str">
        <f aca="false">IFERROR(MATCH(244,TblApplications[Rang extinction],0),"")</f>
        <v/>
      </c>
      <c r="B309" s="50" t="str">
        <f aca="false">IF($A309="","",INDEX(TblApplications[ID],$A309))</f>
        <v/>
      </c>
      <c r="C309" s="50" t="str">
        <f aca="false">IF($A309="","",INDEX(TblApplications[Application],$A309))</f>
        <v/>
      </c>
      <c r="D309" s="50" t="str">
        <f aca="false">IF($A309="","",INDEX(TblApplications[Tribe],$A309))</f>
        <v/>
      </c>
      <c r="E309" s="50" t="str">
        <f aca="false">IF($A309="","",INDEX(TblApplications[Environnement],$A309))</f>
        <v/>
      </c>
      <c r="F309" s="50" t="str">
        <f aca="false">IF($A309="","",INDEX(TblApplications[Couloir],$A309))</f>
        <v/>
      </c>
      <c r="G309" s="50" t="str">
        <f aca="false">IF($A309="","",INDEX(TblApplications[Action],$A309))</f>
        <v/>
      </c>
      <c r="H309" s="50" t="str">
        <f aca="false">IF($A309="","",INDEX(TblApplications[Cluster IKS source],$A309))</f>
        <v/>
      </c>
      <c r="I309" s="63" t="str">
        <f aca="false">IF($A309="","",INDEX(TblApplications[Mois lib (calc)],$A309))</f>
        <v/>
      </c>
      <c r="J309" s="50" t="str">
        <f aca="false">IF($A309="","",INDEX(TblApplications[CPU IKS libérable (vCPU)],$A309))</f>
        <v/>
      </c>
    </row>
    <row r="310" customFormat="false" ht="15" hidden="false" customHeight="false" outlineLevel="0" collapsed="false">
      <c r="A310" s="49" t="str">
        <f aca="false">IFERROR(MATCH(245,TblApplications[Rang extinction],0),"")</f>
        <v/>
      </c>
      <c r="B310" s="50" t="str">
        <f aca="false">IF($A310="","",INDEX(TblApplications[ID],$A310))</f>
        <v/>
      </c>
      <c r="C310" s="50" t="str">
        <f aca="false">IF($A310="","",INDEX(TblApplications[Application],$A310))</f>
        <v/>
      </c>
      <c r="D310" s="50" t="str">
        <f aca="false">IF($A310="","",INDEX(TblApplications[Tribe],$A310))</f>
        <v/>
      </c>
      <c r="E310" s="50" t="str">
        <f aca="false">IF($A310="","",INDEX(TblApplications[Environnement],$A310))</f>
        <v/>
      </c>
      <c r="F310" s="50" t="str">
        <f aca="false">IF($A310="","",INDEX(TblApplications[Couloir],$A310))</f>
        <v/>
      </c>
      <c r="G310" s="50" t="str">
        <f aca="false">IF($A310="","",INDEX(TblApplications[Action],$A310))</f>
        <v/>
      </c>
      <c r="H310" s="50" t="str">
        <f aca="false">IF($A310="","",INDEX(TblApplications[Cluster IKS source],$A310))</f>
        <v/>
      </c>
      <c r="I310" s="63" t="str">
        <f aca="false">IF($A310="","",INDEX(TblApplications[Mois lib (calc)],$A310))</f>
        <v/>
      </c>
      <c r="J310" s="50" t="str">
        <f aca="false">IF($A310="","",INDEX(TblApplications[CPU IKS libérable (vCPU)],$A310))</f>
        <v/>
      </c>
    </row>
    <row r="311" customFormat="false" ht="15" hidden="false" customHeight="false" outlineLevel="0" collapsed="false">
      <c r="A311" s="49" t="str">
        <f aca="false">IFERROR(MATCH(246,TblApplications[Rang extinction],0),"")</f>
        <v/>
      </c>
      <c r="B311" s="50" t="str">
        <f aca="false">IF($A311="","",INDEX(TblApplications[ID],$A311))</f>
        <v/>
      </c>
      <c r="C311" s="50" t="str">
        <f aca="false">IF($A311="","",INDEX(TblApplications[Application],$A311))</f>
        <v/>
      </c>
      <c r="D311" s="50" t="str">
        <f aca="false">IF($A311="","",INDEX(TblApplications[Tribe],$A311))</f>
        <v/>
      </c>
      <c r="E311" s="50" t="str">
        <f aca="false">IF($A311="","",INDEX(TblApplications[Environnement],$A311))</f>
        <v/>
      </c>
      <c r="F311" s="50" t="str">
        <f aca="false">IF($A311="","",INDEX(TblApplications[Couloir],$A311))</f>
        <v/>
      </c>
      <c r="G311" s="50" t="str">
        <f aca="false">IF($A311="","",INDEX(TblApplications[Action],$A311))</f>
        <v/>
      </c>
      <c r="H311" s="50" t="str">
        <f aca="false">IF($A311="","",INDEX(TblApplications[Cluster IKS source],$A311))</f>
        <v/>
      </c>
      <c r="I311" s="63" t="str">
        <f aca="false">IF($A311="","",INDEX(TblApplications[Mois lib (calc)],$A311))</f>
        <v/>
      </c>
      <c r="J311" s="50" t="str">
        <f aca="false">IF($A311="","",INDEX(TblApplications[CPU IKS libérable (vCPU)],$A311))</f>
        <v/>
      </c>
    </row>
    <row r="312" customFormat="false" ht="15" hidden="false" customHeight="false" outlineLevel="0" collapsed="false">
      <c r="A312" s="49" t="str">
        <f aca="false">IFERROR(MATCH(247,TblApplications[Rang extinction],0),"")</f>
        <v/>
      </c>
      <c r="B312" s="50" t="str">
        <f aca="false">IF($A312="","",INDEX(TblApplications[ID],$A312))</f>
        <v/>
      </c>
      <c r="C312" s="50" t="str">
        <f aca="false">IF($A312="","",INDEX(TblApplications[Application],$A312))</f>
        <v/>
      </c>
      <c r="D312" s="50" t="str">
        <f aca="false">IF($A312="","",INDEX(TblApplications[Tribe],$A312))</f>
        <v/>
      </c>
      <c r="E312" s="50" t="str">
        <f aca="false">IF($A312="","",INDEX(TblApplications[Environnement],$A312))</f>
        <v/>
      </c>
      <c r="F312" s="50" t="str">
        <f aca="false">IF($A312="","",INDEX(TblApplications[Couloir],$A312))</f>
        <v/>
      </c>
      <c r="G312" s="50" t="str">
        <f aca="false">IF($A312="","",INDEX(TblApplications[Action],$A312))</f>
        <v/>
      </c>
      <c r="H312" s="50" t="str">
        <f aca="false">IF($A312="","",INDEX(TblApplications[Cluster IKS source],$A312))</f>
        <v/>
      </c>
      <c r="I312" s="63" t="str">
        <f aca="false">IF($A312="","",INDEX(TblApplications[Mois lib (calc)],$A312))</f>
        <v/>
      </c>
      <c r="J312" s="50" t="str">
        <f aca="false">IF($A312="","",INDEX(TblApplications[CPU IKS libérable (vCPU)],$A312))</f>
        <v/>
      </c>
    </row>
    <row r="313" customFormat="false" ht="15" hidden="false" customHeight="false" outlineLevel="0" collapsed="false">
      <c r="A313" s="49" t="str">
        <f aca="false">IFERROR(MATCH(248,TblApplications[Rang extinction],0),"")</f>
        <v/>
      </c>
      <c r="B313" s="50" t="str">
        <f aca="false">IF($A313="","",INDEX(TblApplications[ID],$A313))</f>
        <v/>
      </c>
      <c r="C313" s="50" t="str">
        <f aca="false">IF($A313="","",INDEX(TblApplications[Application],$A313))</f>
        <v/>
      </c>
      <c r="D313" s="50" t="str">
        <f aca="false">IF($A313="","",INDEX(TblApplications[Tribe],$A313))</f>
        <v/>
      </c>
      <c r="E313" s="50" t="str">
        <f aca="false">IF($A313="","",INDEX(TblApplications[Environnement],$A313))</f>
        <v/>
      </c>
      <c r="F313" s="50" t="str">
        <f aca="false">IF($A313="","",INDEX(TblApplications[Couloir],$A313))</f>
        <v/>
      </c>
      <c r="G313" s="50" t="str">
        <f aca="false">IF($A313="","",INDEX(TblApplications[Action],$A313))</f>
        <v/>
      </c>
      <c r="H313" s="50" t="str">
        <f aca="false">IF($A313="","",INDEX(TblApplications[Cluster IKS source],$A313))</f>
        <v/>
      </c>
      <c r="I313" s="63" t="str">
        <f aca="false">IF($A313="","",INDEX(TblApplications[Mois lib (calc)],$A313))</f>
        <v/>
      </c>
      <c r="J313" s="50" t="str">
        <f aca="false">IF($A313="","",INDEX(TblApplications[CPU IKS libérable (vCPU)],$A313))</f>
        <v/>
      </c>
    </row>
    <row r="314" customFormat="false" ht="15" hidden="false" customHeight="false" outlineLevel="0" collapsed="false">
      <c r="A314" s="49" t="str">
        <f aca="false">IFERROR(MATCH(249,TblApplications[Rang extinction],0),"")</f>
        <v/>
      </c>
      <c r="B314" s="50" t="str">
        <f aca="false">IF($A314="","",INDEX(TblApplications[ID],$A314))</f>
        <v/>
      </c>
      <c r="C314" s="50" t="str">
        <f aca="false">IF($A314="","",INDEX(TblApplications[Application],$A314))</f>
        <v/>
      </c>
      <c r="D314" s="50" t="str">
        <f aca="false">IF($A314="","",INDEX(TblApplications[Tribe],$A314))</f>
        <v/>
      </c>
      <c r="E314" s="50" t="str">
        <f aca="false">IF($A314="","",INDEX(TblApplications[Environnement],$A314))</f>
        <v/>
      </c>
      <c r="F314" s="50" t="str">
        <f aca="false">IF($A314="","",INDEX(TblApplications[Couloir],$A314))</f>
        <v/>
      </c>
      <c r="G314" s="50" t="str">
        <f aca="false">IF($A314="","",INDEX(TblApplications[Action],$A314))</f>
        <v/>
      </c>
      <c r="H314" s="50" t="str">
        <f aca="false">IF($A314="","",INDEX(TblApplications[Cluster IKS source],$A314))</f>
        <v/>
      </c>
      <c r="I314" s="63" t="str">
        <f aca="false">IF($A314="","",INDEX(TblApplications[Mois lib (calc)],$A314))</f>
        <v/>
      </c>
      <c r="J314" s="50" t="str">
        <f aca="false">IF($A314="","",INDEX(TblApplications[CPU IKS libérable (vCPU)],$A314))</f>
        <v/>
      </c>
    </row>
    <row r="315" customFormat="false" ht="15" hidden="false" customHeight="false" outlineLevel="0" collapsed="false">
      <c r="A315" s="49" t="str">
        <f aca="false">IFERROR(MATCH(250,TblApplications[Rang extinction],0),"")</f>
        <v/>
      </c>
      <c r="B315" s="50" t="str">
        <f aca="false">IF($A315="","",INDEX(TblApplications[ID],$A315))</f>
        <v/>
      </c>
      <c r="C315" s="50" t="str">
        <f aca="false">IF($A315="","",INDEX(TblApplications[Application],$A315))</f>
        <v/>
      </c>
      <c r="D315" s="50" t="str">
        <f aca="false">IF($A315="","",INDEX(TblApplications[Tribe],$A315))</f>
        <v/>
      </c>
      <c r="E315" s="50" t="str">
        <f aca="false">IF($A315="","",INDEX(TblApplications[Environnement],$A315))</f>
        <v/>
      </c>
      <c r="F315" s="50" t="str">
        <f aca="false">IF($A315="","",INDEX(TblApplications[Couloir],$A315))</f>
        <v/>
      </c>
      <c r="G315" s="50" t="str">
        <f aca="false">IF($A315="","",INDEX(TblApplications[Action],$A315))</f>
        <v/>
      </c>
      <c r="H315" s="50" t="str">
        <f aca="false">IF($A315="","",INDEX(TblApplications[Cluster IKS source],$A315))</f>
        <v/>
      </c>
      <c r="I315" s="63" t="str">
        <f aca="false">IF($A315="","",INDEX(TblApplications[Mois lib (calc)],$A315))</f>
        <v/>
      </c>
      <c r="J315" s="50" t="str">
        <f aca="false">IF($A315="","",INDEX(TblApplications[CPU IKS libérable (vCPU)],$A315))</f>
        <v/>
      </c>
    </row>
    <row r="316" customFormat="false" ht="15" hidden="false" customHeight="false" outlineLevel="0" collapsed="false">
      <c r="A316" s="49" t="str">
        <f aca="false">IFERROR(MATCH(251,TblApplications[Rang extinction],0),"")</f>
        <v/>
      </c>
      <c r="B316" s="50" t="str">
        <f aca="false">IF($A316="","",INDEX(TblApplications[ID],$A316))</f>
        <v/>
      </c>
      <c r="C316" s="50" t="str">
        <f aca="false">IF($A316="","",INDEX(TblApplications[Application],$A316))</f>
        <v/>
      </c>
      <c r="D316" s="50" t="str">
        <f aca="false">IF($A316="","",INDEX(TblApplications[Tribe],$A316))</f>
        <v/>
      </c>
      <c r="E316" s="50" t="str">
        <f aca="false">IF($A316="","",INDEX(TblApplications[Environnement],$A316))</f>
        <v/>
      </c>
      <c r="F316" s="50" t="str">
        <f aca="false">IF($A316="","",INDEX(TblApplications[Couloir],$A316))</f>
        <v/>
      </c>
      <c r="G316" s="50" t="str">
        <f aca="false">IF($A316="","",INDEX(TblApplications[Action],$A316))</f>
        <v/>
      </c>
      <c r="H316" s="50" t="str">
        <f aca="false">IF($A316="","",INDEX(TblApplications[Cluster IKS source],$A316))</f>
        <v/>
      </c>
      <c r="I316" s="63" t="str">
        <f aca="false">IF($A316="","",INDEX(TblApplications[Mois lib (calc)],$A316))</f>
        <v/>
      </c>
      <c r="J316" s="50" t="str">
        <f aca="false">IF($A316="","",INDEX(TblApplications[CPU IKS libérable (vCPU)],$A316))</f>
        <v/>
      </c>
    </row>
    <row r="317" customFormat="false" ht="15" hidden="false" customHeight="false" outlineLevel="0" collapsed="false">
      <c r="A317" s="49" t="str">
        <f aca="false">IFERROR(MATCH(252,TblApplications[Rang extinction],0),"")</f>
        <v/>
      </c>
      <c r="B317" s="50" t="str">
        <f aca="false">IF($A317="","",INDEX(TblApplications[ID],$A317))</f>
        <v/>
      </c>
      <c r="C317" s="50" t="str">
        <f aca="false">IF($A317="","",INDEX(TblApplications[Application],$A317))</f>
        <v/>
      </c>
      <c r="D317" s="50" t="str">
        <f aca="false">IF($A317="","",INDEX(TblApplications[Tribe],$A317))</f>
        <v/>
      </c>
      <c r="E317" s="50" t="str">
        <f aca="false">IF($A317="","",INDEX(TblApplications[Environnement],$A317))</f>
        <v/>
      </c>
      <c r="F317" s="50" t="str">
        <f aca="false">IF($A317="","",INDEX(TblApplications[Couloir],$A317))</f>
        <v/>
      </c>
      <c r="G317" s="50" t="str">
        <f aca="false">IF($A317="","",INDEX(TblApplications[Action],$A317))</f>
        <v/>
      </c>
      <c r="H317" s="50" t="str">
        <f aca="false">IF($A317="","",INDEX(TblApplications[Cluster IKS source],$A317))</f>
        <v/>
      </c>
      <c r="I317" s="63" t="str">
        <f aca="false">IF($A317="","",INDEX(TblApplications[Mois lib (calc)],$A317))</f>
        <v/>
      </c>
      <c r="J317" s="50" t="str">
        <f aca="false">IF($A317="","",INDEX(TblApplications[CPU IKS libérable (vCPU)],$A317))</f>
        <v/>
      </c>
    </row>
    <row r="318" customFormat="false" ht="15" hidden="false" customHeight="false" outlineLevel="0" collapsed="false">
      <c r="A318" s="49" t="str">
        <f aca="false">IFERROR(MATCH(253,TblApplications[Rang extinction],0),"")</f>
        <v/>
      </c>
      <c r="B318" s="50" t="str">
        <f aca="false">IF($A318="","",INDEX(TblApplications[ID],$A318))</f>
        <v/>
      </c>
      <c r="C318" s="50" t="str">
        <f aca="false">IF($A318="","",INDEX(TblApplications[Application],$A318))</f>
        <v/>
      </c>
      <c r="D318" s="50" t="str">
        <f aca="false">IF($A318="","",INDEX(TblApplications[Tribe],$A318))</f>
        <v/>
      </c>
      <c r="E318" s="50" t="str">
        <f aca="false">IF($A318="","",INDEX(TblApplications[Environnement],$A318))</f>
        <v/>
      </c>
      <c r="F318" s="50" t="str">
        <f aca="false">IF($A318="","",INDEX(TblApplications[Couloir],$A318))</f>
        <v/>
      </c>
      <c r="G318" s="50" t="str">
        <f aca="false">IF($A318="","",INDEX(TblApplications[Action],$A318))</f>
        <v/>
      </c>
      <c r="H318" s="50" t="str">
        <f aca="false">IF($A318="","",INDEX(TblApplications[Cluster IKS source],$A318))</f>
        <v/>
      </c>
      <c r="I318" s="63" t="str">
        <f aca="false">IF($A318="","",INDEX(TblApplications[Mois lib (calc)],$A318))</f>
        <v/>
      </c>
      <c r="J318" s="50" t="str">
        <f aca="false">IF($A318="","",INDEX(TblApplications[CPU IKS libérable (vCPU)],$A318))</f>
        <v/>
      </c>
    </row>
    <row r="319" customFormat="false" ht="15" hidden="false" customHeight="false" outlineLevel="0" collapsed="false">
      <c r="A319" s="49" t="str">
        <f aca="false">IFERROR(MATCH(254,TblApplications[Rang extinction],0),"")</f>
        <v/>
      </c>
      <c r="B319" s="50" t="str">
        <f aca="false">IF($A319="","",INDEX(TblApplications[ID],$A319))</f>
        <v/>
      </c>
      <c r="C319" s="50" t="str">
        <f aca="false">IF($A319="","",INDEX(TblApplications[Application],$A319))</f>
        <v/>
      </c>
      <c r="D319" s="50" t="str">
        <f aca="false">IF($A319="","",INDEX(TblApplications[Tribe],$A319))</f>
        <v/>
      </c>
      <c r="E319" s="50" t="str">
        <f aca="false">IF($A319="","",INDEX(TblApplications[Environnement],$A319))</f>
        <v/>
      </c>
      <c r="F319" s="50" t="str">
        <f aca="false">IF($A319="","",INDEX(TblApplications[Couloir],$A319))</f>
        <v/>
      </c>
      <c r="G319" s="50" t="str">
        <f aca="false">IF($A319="","",INDEX(TblApplications[Action],$A319))</f>
        <v/>
      </c>
      <c r="H319" s="50" t="str">
        <f aca="false">IF($A319="","",INDEX(TblApplications[Cluster IKS source],$A319))</f>
        <v/>
      </c>
      <c r="I319" s="63" t="str">
        <f aca="false">IF($A319="","",INDEX(TblApplications[Mois lib (calc)],$A319))</f>
        <v/>
      </c>
      <c r="J319" s="50" t="str">
        <f aca="false">IF($A319="","",INDEX(TblApplications[CPU IKS libérable (vCPU)],$A319))</f>
        <v/>
      </c>
    </row>
    <row r="320" customFormat="false" ht="15" hidden="false" customHeight="false" outlineLevel="0" collapsed="false">
      <c r="A320" s="49" t="str">
        <f aca="false">IFERROR(MATCH(255,TblApplications[Rang extinction],0),"")</f>
        <v/>
      </c>
      <c r="B320" s="50" t="str">
        <f aca="false">IF($A320="","",INDEX(TblApplications[ID],$A320))</f>
        <v/>
      </c>
      <c r="C320" s="50" t="str">
        <f aca="false">IF($A320="","",INDEX(TblApplications[Application],$A320))</f>
        <v/>
      </c>
      <c r="D320" s="50" t="str">
        <f aca="false">IF($A320="","",INDEX(TblApplications[Tribe],$A320))</f>
        <v/>
      </c>
      <c r="E320" s="50" t="str">
        <f aca="false">IF($A320="","",INDEX(TblApplications[Environnement],$A320))</f>
        <v/>
      </c>
      <c r="F320" s="50" t="str">
        <f aca="false">IF($A320="","",INDEX(TblApplications[Couloir],$A320))</f>
        <v/>
      </c>
      <c r="G320" s="50" t="str">
        <f aca="false">IF($A320="","",INDEX(TblApplications[Action],$A320))</f>
        <v/>
      </c>
      <c r="H320" s="50" t="str">
        <f aca="false">IF($A320="","",INDEX(TblApplications[Cluster IKS source],$A320))</f>
        <v/>
      </c>
      <c r="I320" s="63" t="str">
        <f aca="false">IF($A320="","",INDEX(TblApplications[Mois lib (calc)],$A320))</f>
        <v/>
      </c>
      <c r="J320" s="50" t="str">
        <f aca="false">IF($A320="","",INDEX(TblApplications[CPU IKS libérable (vCPU)],$A320))</f>
        <v/>
      </c>
    </row>
    <row r="321" customFormat="false" ht="15" hidden="false" customHeight="false" outlineLevel="0" collapsed="false">
      <c r="A321" s="49" t="str">
        <f aca="false">IFERROR(MATCH(256,TblApplications[Rang extinction],0),"")</f>
        <v/>
      </c>
      <c r="B321" s="50" t="str">
        <f aca="false">IF($A321="","",INDEX(TblApplications[ID],$A321))</f>
        <v/>
      </c>
      <c r="C321" s="50" t="str">
        <f aca="false">IF($A321="","",INDEX(TblApplications[Application],$A321))</f>
        <v/>
      </c>
      <c r="D321" s="50" t="str">
        <f aca="false">IF($A321="","",INDEX(TblApplications[Tribe],$A321))</f>
        <v/>
      </c>
      <c r="E321" s="50" t="str">
        <f aca="false">IF($A321="","",INDEX(TblApplications[Environnement],$A321))</f>
        <v/>
      </c>
      <c r="F321" s="50" t="str">
        <f aca="false">IF($A321="","",INDEX(TblApplications[Couloir],$A321))</f>
        <v/>
      </c>
      <c r="G321" s="50" t="str">
        <f aca="false">IF($A321="","",INDEX(TblApplications[Action],$A321))</f>
        <v/>
      </c>
      <c r="H321" s="50" t="str">
        <f aca="false">IF($A321="","",INDEX(TblApplications[Cluster IKS source],$A321))</f>
        <v/>
      </c>
      <c r="I321" s="63" t="str">
        <f aca="false">IF($A321="","",INDEX(TblApplications[Mois lib (calc)],$A321))</f>
        <v/>
      </c>
      <c r="J321" s="50" t="str">
        <f aca="false">IF($A321="","",INDEX(TblApplications[CPU IKS libérable (vCPU)],$A321))</f>
        <v/>
      </c>
    </row>
    <row r="322" customFormat="false" ht="15" hidden="false" customHeight="false" outlineLevel="0" collapsed="false">
      <c r="A322" s="49" t="str">
        <f aca="false">IFERROR(MATCH(257,TblApplications[Rang extinction],0),"")</f>
        <v/>
      </c>
      <c r="B322" s="50" t="str">
        <f aca="false">IF($A322="","",INDEX(TblApplications[ID],$A322))</f>
        <v/>
      </c>
      <c r="C322" s="50" t="str">
        <f aca="false">IF($A322="","",INDEX(TblApplications[Application],$A322))</f>
        <v/>
      </c>
      <c r="D322" s="50" t="str">
        <f aca="false">IF($A322="","",INDEX(TblApplications[Tribe],$A322))</f>
        <v/>
      </c>
      <c r="E322" s="50" t="str">
        <f aca="false">IF($A322="","",INDEX(TblApplications[Environnement],$A322))</f>
        <v/>
      </c>
      <c r="F322" s="50" t="str">
        <f aca="false">IF($A322="","",INDEX(TblApplications[Couloir],$A322))</f>
        <v/>
      </c>
      <c r="G322" s="50" t="str">
        <f aca="false">IF($A322="","",INDEX(TblApplications[Action],$A322))</f>
        <v/>
      </c>
      <c r="H322" s="50" t="str">
        <f aca="false">IF($A322="","",INDEX(TblApplications[Cluster IKS source],$A322))</f>
        <v/>
      </c>
      <c r="I322" s="63" t="str">
        <f aca="false">IF($A322="","",INDEX(TblApplications[Mois lib (calc)],$A322))</f>
        <v/>
      </c>
      <c r="J322" s="50" t="str">
        <f aca="false">IF($A322="","",INDEX(TblApplications[CPU IKS libérable (vCPU)],$A322))</f>
        <v/>
      </c>
    </row>
    <row r="323" customFormat="false" ht="15" hidden="false" customHeight="false" outlineLevel="0" collapsed="false">
      <c r="A323" s="49" t="str">
        <f aca="false">IFERROR(MATCH(258,TblApplications[Rang extinction],0),"")</f>
        <v/>
      </c>
      <c r="B323" s="50" t="str">
        <f aca="false">IF($A323="","",INDEX(TblApplications[ID],$A323))</f>
        <v/>
      </c>
      <c r="C323" s="50" t="str">
        <f aca="false">IF($A323="","",INDEX(TblApplications[Application],$A323))</f>
        <v/>
      </c>
      <c r="D323" s="50" t="str">
        <f aca="false">IF($A323="","",INDEX(TblApplications[Tribe],$A323))</f>
        <v/>
      </c>
      <c r="E323" s="50" t="str">
        <f aca="false">IF($A323="","",INDEX(TblApplications[Environnement],$A323))</f>
        <v/>
      </c>
      <c r="F323" s="50" t="str">
        <f aca="false">IF($A323="","",INDEX(TblApplications[Couloir],$A323))</f>
        <v/>
      </c>
      <c r="G323" s="50" t="str">
        <f aca="false">IF($A323="","",INDEX(TblApplications[Action],$A323))</f>
        <v/>
      </c>
      <c r="H323" s="50" t="str">
        <f aca="false">IF($A323="","",INDEX(TblApplications[Cluster IKS source],$A323))</f>
        <v/>
      </c>
      <c r="I323" s="63" t="str">
        <f aca="false">IF($A323="","",INDEX(TblApplications[Mois lib (calc)],$A323))</f>
        <v/>
      </c>
      <c r="J323" s="50" t="str">
        <f aca="false">IF($A323="","",INDEX(TblApplications[CPU IKS libérable (vCPU)],$A323))</f>
        <v/>
      </c>
    </row>
    <row r="324" customFormat="false" ht="15" hidden="false" customHeight="false" outlineLevel="0" collapsed="false">
      <c r="A324" s="49" t="str">
        <f aca="false">IFERROR(MATCH(259,TblApplications[Rang extinction],0),"")</f>
        <v/>
      </c>
      <c r="B324" s="50" t="str">
        <f aca="false">IF($A324="","",INDEX(TblApplications[ID],$A324))</f>
        <v/>
      </c>
      <c r="C324" s="50" t="str">
        <f aca="false">IF($A324="","",INDEX(TblApplications[Application],$A324))</f>
        <v/>
      </c>
      <c r="D324" s="50" t="str">
        <f aca="false">IF($A324="","",INDEX(TblApplications[Tribe],$A324))</f>
        <v/>
      </c>
      <c r="E324" s="50" t="str">
        <f aca="false">IF($A324="","",INDEX(TblApplications[Environnement],$A324))</f>
        <v/>
      </c>
      <c r="F324" s="50" t="str">
        <f aca="false">IF($A324="","",INDEX(TblApplications[Couloir],$A324))</f>
        <v/>
      </c>
      <c r="G324" s="50" t="str">
        <f aca="false">IF($A324="","",INDEX(TblApplications[Action],$A324))</f>
        <v/>
      </c>
      <c r="H324" s="50" t="str">
        <f aca="false">IF($A324="","",INDEX(TblApplications[Cluster IKS source],$A324))</f>
        <v/>
      </c>
      <c r="I324" s="63" t="str">
        <f aca="false">IF($A324="","",INDEX(TblApplications[Mois lib (calc)],$A324))</f>
        <v/>
      </c>
      <c r="J324" s="50" t="str">
        <f aca="false">IF($A324="","",INDEX(TblApplications[CPU IKS libérable (vCPU)],$A324))</f>
        <v/>
      </c>
    </row>
    <row r="325" customFormat="false" ht="15" hidden="false" customHeight="false" outlineLevel="0" collapsed="false">
      <c r="A325" s="49" t="str">
        <f aca="false">IFERROR(MATCH(260,TblApplications[Rang extinction],0),"")</f>
        <v/>
      </c>
      <c r="B325" s="50" t="str">
        <f aca="false">IF($A325="","",INDEX(TblApplications[ID],$A325))</f>
        <v/>
      </c>
      <c r="C325" s="50" t="str">
        <f aca="false">IF($A325="","",INDEX(TblApplications[Application],$A325))</f>
        <v/>
      </c>
      <c r="D325" s="50" t="str">
        <f aca="false">IF($A325="","",INDEX(TblApplications[Tribe],$A325))</f>
        <v/>
      </c>
      <c r="E325" s="50" t="str">
        <f aca="false">IF($A325="","",INDEX(TblApplications[Environnement],$A325))</f>
        <v/>
      </c>
      <c r="F325" s="50" t="str">
        <f aca="false">IF($A325="","",INDEX(TblApplications[Couloir],$A325))</f>
        <v/>
      </c>
      <c r="G325" s="50" t="str">
        <f aca="false">IF($A325="","",INDEX(TblApplications[Action],$A325))</f>
        <v/>
      </c>
      <c r="H325" s="50" t="str">
        <f aca="false">IF($A325="","",INDEX(TblApplications[Cluster IKS source],$A325))</f>
        <v/>
      </c>
      <c r="I325" s="63" t="str">
        <f aca="false">IF($A325="","",INDEX(TblApplications[Mois lib (calc)],$A325))</f>
        <v/>
      </c>
      <c r="J325" s="50" t="str">
        <f aca="false">IF($A325="","",INDEX(TblApplications[CPU IKS libérable (vCPU)],$A325))</f>
        <v/>
      </c>
    </row>
    <row r="326" customFormat="false" ht="15" hidden="false" customHeight="false" outlineLevel="0" collapsed="false">
      <c r="A326" s="49" t="str">
        <f aca="false">IFERROR(MATCH(261,TblApplications[Rang extinction],0),"")</f>
        <v/>
      </c>
      <c r="B326" s="50" t="str">
        <f aca="false">IF($A326="","",INDEX(TblApplications[ID],$A326))</f>
        <v/>
      </c>
      <c r="C326" s="50" t="str">
        <f aca="false">IF($A326="","",INDEX(TblApplications[Application],$A326))</f>
        <v/>
      </c>
      <c r="D326" s="50" t="str">
        <f aca="false">IF($A326="","",INDEX(TblApplications[Tribe],$A326))</f>
        <v/>
      </c>
      <c r="E326" s="50" t="str">
        <f aca="false">IF($A326="","",INDEX(TblApplications[Environnement],$A326))</f>
        <v/>
      </c>
      <c r="F326" s="50" t="str">
        <f aca="false">IF($A326="","",INDEX(TblApplications[Couloir],$A326))</f>
        <v/>
      </c>
      <c r="G326" s="50" t="str">
        <f aca="false">IF($A326="","",INDEX(TblApplications[Action],$A326))</f>
        <v/>
      </c>
      <c r="H326" s="50" t="str">
        <f aca="false">IF($A326="","",INDEX(TblApplications[Cluster IKS source],$A326))</f>
        <v/>
      </c>
      <c r="I326" s="63" t="str">
        <f aca="false">IF($A326="","",INDEX(TblApplications[Mois lib (calc)],$A326))</f>
        <v/>
      </c>
      <c r="J326" s="50" t="str">
        <f aca="false">IF($A326="","",INDEX(TblApplications[CPU IKS libérable (vCPU)],$A326))</f>
        <v/>
      </c>
    </row>
    <row r="327" customFormat="false" ht="15" hidden="false" customHeight="false" outlineLevel="0" collapsed="false">
      <c r="A327" s="49" t="str">
        <f aca="false">IFERROR(MATCH(262,TblApplications[Rang extinction],0),"")</f>
        <v/>
      </c>
      <c r="B327" s="50" t="str">
        <f aca="false">IF($A327="","",INDEX(TblApplications[ID],$A327))</f>
        <v/>
      </c>
      <c r="C327" s="50" t="str">
        <f aca="false">IF($A327="","",INDEX(TblApplications[Application],$A327))</f>
        <v/>
      </c>
      <c r="D327" s="50" t="str">
        <f aca="false">IF($A327="","",INDEX(TblApplications[Tribe],$A327))</f>
        <v/>
      </c>
      <c r="E327" s="50" t="str">
        <f aca="false">IF($A327="","",INDEX(TblApplications[Environnement],$A327))</f>
        <v/>
      </c>
      <c r="F327" s="50" t="str">
        <f aca="false">IF($A327="","",INDEX(TblApplications[Couloir],$A327))</f>
        <v/>
      </c>
      <c r="G327" s="50" t="str">
        <f aca="false">IF($A327="","",INDEX(TblApplications[Action],$A327))</f>
        <v/>
      </c>
      <c r="H327" s="50" t="str">
        <f aca="false">IF($A327="","",INDEX(TblApplications[Cluster IKS source],$A327))</f>
        <v/>
      </c>
      <c r="I327" s="63" t="str">
        <f aca="false">IF($A327="","",INDEX(TblApplications[Mois lib (calc)],$A327))</f>
        <v/>
      </c>
      <c r="J327" s="50" t="str">
        <f aca="false">IF($A327="","",INDEX(TblApplications[CPU IKS libérable (vCPU)],$A327))</f>
        <v/>
      </c>
    </row>
    <row r="328" customFormat="false" ht="15" hidden="false" customHeight="false" outlineLevel="0" collapsed="false">
      <c r="A328" s="49" t="str">
        <f aca="false">IFERROR(MATCH(263,TblApplications[Rang extinction],0),"")</f>
        <v/>
      </c>
      <c r="B328" s="50" t="str">
        <f aca="false">IF($A328="","",INDEX(TblApplications[ID],$A328))</f>
        <v/>
      </c>
      <c r="C328" s="50" t="str">
        <f aca="false">IF($A328="","",INDEX(TblApplications[Application],$A328))</f>
        <v/>
      </c>
      <c r="D328" s="50" t="str">
        <f aca="false">IF($A328="","",INDEX(TblApplications[Tribe],$A328))</f>
        <v/>
      </c>
      <c r="E328" s="50" t="str">
        <f aca="false">IF($A328="","",INDEX(TblApplications[Environnement],$A328))</f>
        <v/>
      </c>
      <c r="F328" s="50" t="str">
        <f aca="false">IF($A328="","",INDEX(TblApplications[Couloir],$A328))</f>
        <v/>
      </c>
      <c r="G328" s="50" t="str">
        <f aca="false">IF($A328="","",INDEX(TblApplications[Action],$A328))</f>
        <v/>
      </c>
      <c r="H328" s="50" t="str">
        <f aca="false">IF($A328="","",INDEX(TblApplications[Cluster IKS source],$A328))</f>
        <v/>
      </c>
      <c r="I328" s="63" t="str">
        <f aca="false">IF($A328="","",INDEX(TblApplications[Mois lib (calc)],$A328))</f>
        <v/>
      </c>
      <c r="J328" s="50" t="str">
        <f aca="false">IF($A328="","",INDEX(TblApplications[CPU IKS libérable (vCPU)],$A328))</f>
        <v/>
      </c>
    </row>
    <row r="329" customFormat="false" ht="15" hidden="false" customHeight="false" outlineLevel="0" collapsed="false">
      <c r="A329" s="49" t="str">
        <f aca="false">IFERROR(MATCH(264,TblApplications[Rang extinction],0),"")</f>
        <v/>
      </c>
      <c r="B329" s="50" t="str">
        <f aca="false">IF($A329="","",INDEX(TblApplications[ID],$A329))</f>
        <v/>
      </c>
      <c r="C329" s="50" t="str">
        <f aca="false">IF($A329="","",INDEX(TblApplications[Application],$A329))</f>
        <v/>
      </c>
      <c r="D329" s="50" t="str">
        <f aca="false">IF($A329="","",INDEX(TblApplications[Tribe],$A329))</f>
        <v/>
      </c>
      <c r="E329" s="50" t="str">
        <f aca="false">IF($A329="","",INDEX(TblApplications[Environnement],$A329))</f>
        <v/>
      </c>
      <c r="F329" s="50" t="str">
        <f aca="false">IF($A329="","",INDEX(TblApplications[Couloir],$A329))</f>
        <v/>
      </c>
      <c r="G329" s="50" t="str">
        <f aca="false">IF($A329="","",INDEX(TblApplications[Action],$A329))</f>
        <v/>
      </c>
      <c r="H329" s="50" t="str">
        <f aca="false">IF($A329="","",INDEX(TblApplications[Cluster IKS source],$A329))</f>
        <v/>
      </c>
      <c r="I329" s="63" t="str">
        <f aca="false">IF($A329="","",INDEX(TblApplications[Mois lib (calc)],$A329))</f>
        <v/>
      </c>
      <c r="J329" s="50" t="str">
        <f aca="false">IF($A329="","",INDEX(TblApplications[CPU IKS libérable (vCPU)],$A329))</f>
        <v/>
      </c>
    </row>
    <row r="330" customFormat="false" ht="15" hidden="false" customHeight="false" outlineLevel="0" collapsed="false">
      <c r="A330" s="49" t="str">
        <f aca="false">IFERROR(MATCH(265,TblApplications[Rang extinction],0),"")</f>
        <v/>
      </c>
      <c r="B330" s="50" t="str">
        <f aca="false">IF($A330="","",INDEX(TblApplications[ID],$A330))</f>
        <v/>
      </c>
      <c r="C330" s="50" t="str">
        <f aca="false">IF($A330="","",INDEX(TblApplications[Application],$A330))</f>
        <v/>
      </c>
      <c r="D330" s="50" t="str">
        <f aca="false">IF($A330="","",INDEX(TblApplications[Tribe],$A330))</f>
        <v/>
      </c>
      <c r="E330" s="50" t="str">
        <f aca="false">IF($A330="","",INDEX(TblApplications[Environnement],$A330))</f>
        <v/>
      </c>
      <c r="F330" s="50" t="str">
        <f aca="false">IF($A330="","",INDEX(TblApplications[Couloir],$A330))</f>
        <v/>
      </c>
      <c r="G330" s="50" t="str">
        <f aca="false">IF($A330="","",INDEX(TblApplications[Action],$A330))</f>
        <v/>
      </c>
      <c r="H330" s="50" t="str">
        <f aca="false">IF($A330="","",INDEX(TblApplications[Cluster IKS source],$A330))</f>
        <v/>
      </c>
      <c r="I330" s="63" t="str">
        <f aca="false">IF($A330="","",INDEX(TblApplications[Mois lib (calc)],$A330))</f>
        <v/>
      </c>
      <c r="J330" s="50" t="str">
        <f aca="false">IF($A330="","",INDEX(TblApplications[CPU IKS libérable (vCPU)],$A330))</f>
        <v/>
      </c>
    </row>
    <row r="331" customFormat="false" ht="15" hidden="false" customHeight="false" outlineLevel="0" collapsed="false">
      <c r="A331" s="49" t="str">
        <f aca="false">IFERROR(MATCH(266,TblApplications[Rang extinction],0),"")</f>
        <v/>
      </c>
      <c r="B331" s="50" t="str">
        <f aca="false">IF($A331="","",INDEX(TblApplications[ID],$A331))</f>
        <v/>
      </c>
      <c r="C331" s="50" t="str">
        <f aca="false">IF($A331="","",INDEX(TblApplications[Application],$A331))</f>
        <v/>
      </c>
      <c r="D331" s="50" t="str">
        <f aca="false">IF($A331="","",INDEX(TblApplications[Tribe],$A331))</f>
        <v/>
      </c>
      <c r="E331" s="50" t="str">
        <f aca="false">IF($A331="","",INDEX(TblApplications[Environnement],$A331))</f>
        <v/>
      </c>
      <c r="F331" s="50" t="str">
        <f aca="false">IF($A331="","",INDEX(TblApplications[Couloir],$A331))</f>
        <v/>
      </c>
      <c r="G331" s="50" t="str">
        <f aca="false">IF($A331="","",INDEX(TblApplications[Action],$A331))</f>
        <v/>
      </c>
      <c r="H331" s="50" t="str">
        <f aca="false">IF($A331="","",INDEX(TblApplications[Cluster IKS source],$A331))</f>
        <v/>
      </c>
      <c r="I331" s="63" t="str">
        <f aca="false">IF($A331="","",INDEX(TblApplications[Mois lib (calc)],$A331))</f>
        <v/>
      </c>
      <c r="J331" s="50" t="str">
        <f aca="false">IF($A331="","",INDEX(TblApplications[CPU IKS libérable (vCPU)],$A331))</f>
        <v/>
      </c>
    </row>
    <row r="332" customFormat="false" ht="15" hidden="false" customHeight="false" outlineLevel="0" collapsed="false">
      <c r="A332" s="49" t="str">
        <f aca="false">IFERROR(MATCH(267,TblApplications[Rang extinction],0),"")</f>
        <v/>
      </c>
      <c r="B332" s="50" t="str">
        <f aca="false">IF($A332="","",INDEX(TblApplications[ID],$A332))</f>
        <v/>
      </c>
      <c r="C332" s="50" t="str">
        <f aca="false">IF($A332="","",INDEX(TblApplications[Application],$A332))</f>
        <v/>
      </c>
      <c r="D332" s="50" t="str">
        <f aca="false">IF($A332="","",INDEX(TblApplications[Tribe],$A332))</f>
        <v/>
      </c>
      <c r="E332" s="50" t="str">
        <f aca="false">IF($A332="","",INDEX(TblApplications[Environnement],$A332))</f>
        <v/>
      </c>
      <c r="F332" s="50" t="str">
        <f aca="false">IF($A332="","",INDEX(TblApplications[Couloir],$A332))</f>
        <v/>
      </c>
      <c r="G332" s="50" t="str">
        <f aca="false">IF($A332="","",INDEX(TblApplications[Action],$A332))</f>
        <v/>
      </c>
      <c r="H332" s="50" t="str">
        <f aca="false">IF($A332="","",INDEX(TblApplications[Cluster IKS source],$A332))</f>
        <v/>
      </c>
      <c r="I332" s="63" t="str">
        <f aca="false">IF($A332="","",INDEX(TblApplications[Mois lib (calc)],$A332))</f>
        <v/>
      </c>
      <c r="J332" s="50" t="str">
        <f aca="false">IF($A332="","",INDEX(TblApplications[CPU IKS libérable (vCPU)],$A332))</f>
        <v/>
      </c>
    </row>
    <row r="333" customFormat="false" ht="15" hidden="false" customHeight="false" outlineLevel="0" collapsed="false">
      <c r="A333" s="49" t="str">
        <f aca="false">IFERROR(MATCH(268,TblApplications[Rang extinction],0),"")</f>
        <v/>
      </c>
      <c r="B333" s="50" t="str">
        <f aca="false">IF($A333="","",INDEX(TblApplications[ID],$A333))</f>
        <v/>
      </c>
      <c r="C333" s="50" t="str">
        <f aca="false">IF($A333="","",INDEX(TblApplications[Application],$A333))</f>
        <v/>
      </c>
      <c r="D333" s="50" t="str">
        <f aca="false">IF($A333="","",INDEX(TblApplications[Tribe],$A333))</f>
        <v/>
      </c>
      <c r="E333" s="50" t="str">
        <f aca="false">IF($A333="","",INDEX(TblApplications[Environnement],$A333))</f>
        <v/>
      </c>
      <c r="F333" s="50" t="str">
        <f aca="false">IF($A333="","",INDEX(TblApplications[Couloir],$A333))</f>
        <v/>
      </c>
      <c r="G333" s="50" t="str">
        <f aca="false">IF($A333="","",INDEX(TblApplications[Action],$A333))</f>
        <v/>
      </c>
      <c r="H333" s="50" t="str">
        <f aca="false">IF($A333="","",INDEX(TblApplications[Cluster IKS source],$A333))</f>
        <v/>
      </c>
      <c r="I333" s="63" t="str">
        <f aca="false">IF($A333="","",INDEX(TblApplications[Mois lib (calc)],$A333))</f>
        <v/>
      </c>
      <c r="J333" s="50" t="str">
        <f aca="false">IF($A333="","",INDEX(TblApplications[CPU IKS libérable (vCPU)],$A333))</f>
        <v/>
      </c>
    </row>
    <row r="334" customFormat="false" ht="15" hidden="false" customHeight="false" outlineLevel="0" collapsed="false">
      <c r="A334" s="49" t="str">
        <f aca="false">IFERROR(MATCH(269,TblApplications[Rang extinction],0),"")</f>
        <v/>
      </c>
      <c r="B334" s="50" t="str">
        <f aca="false">IF($A334="","",INDEX(TblApplications[ID],$A334))</f>
        <v/>
      </c>
      <c r="C334" s="50" t="str">
        <f aca="false">IF($A334="","",INDEX(TblApplications[Application],$A334))</f>
        <v/>
      </c>
      <c r="D334" s="50" t="str">
        <f aca="false">IF($A334="","",INDEX(TblApplications[Tribe],$A334))</f>
        <v/>
      </c>
      <c r="E334" s="50" t="str">
        <f aca="false">IF($A334="","",INDEX(TblApplications[Environnement],$A334))</f>
        <v/>
      </c>
      <c r="F334" s="50" t="str">
        <f aca="false">IF($A334="","",INDEX(TblApplications[Couloir],$A334))</f>
        <v/>
      </c>
      <c r="G334" s="50" t="str">
        <f aca="false">IF($A334="","",INDEX(TblApplications[Action],$A334))</f>
        <v/>
      </c>
      <c r="H334" s="50" t="str">
        <f aca="false">IF($A334="","",INDEX(TblApplications[Cluster IKS source],$A334))</f>
        <v/>
      </c>
      <c r="I334" s="63" t="str">
        <f aca="false">IF($A334="","",INDEX(TblApplications[Mois lib (calc)],$A334))</f>
        <v/>
      </c>
      <c r="J334" s="50" t="str">
        <f aca="false">IF($A334="","",INDEX(TblApplications[CPU IKS libérable (vCPU)],$A334))</f>
        <v/>
      </c>
    </row>
    <row r="335" customFormat="false" ht="15" hidden="false" customHeight="false" outlineLevel="0" collapsed="false">
      <c r="A335" s="49" t="str">
        <f aca="false">IFERROR(MATCH(270,TblApplications[Rang extinction],0),"")</f>
        <v/>
      </c>
      <c r="B335" s="50" t="str">
        <f aca="false">IF($A335="","",INDEX(TblApplications[ID],$A335))</f>
        <v/>
      </c>
      <c r="C335" s="50" t="str">
        <f aca="false">IF($A335="","",INDEX(TblApplications[Application],$A335))</f>
        <v/>
      </c>
      <c r="D335" s="50" t="str">
        <f aca="false">IF($A335="","",INDEX(TblApplications[Tribe],$A335))</f>
        <v/>
      </c>
      <c r="E335" s="50" t="str">
        <f aca="false">IF($A335="","",INDEX(TblApplications[Environnement],$A335))</f>
        <v/>
      </c>
      <c r="F335" s="50" t="str">
        <f aca="false">IF($A335="","",INDEX(TblApplications[Couloir],$A335))</f>
        <v/>
      </c>
      <c r="G335" s="50" t="str">
        <f aca="false">IF($A335="","",INDEX(TblApplications[Action],$A335))</f>
        <v/>
      </c>
      <c r="H335" s="50" t="str">
        <f aca="false">IF($A335="","",INDEX(TblApplications[Cluster IKS source],$A335))</f>
        <v/>
      </c>
      <c r="I335" s="63" t="str">
        <f aca="false">IF($A335="","",INDEX(TblApplications[Mois lib (calc)],$A335))</f>
        <v/>
      </c>
      <c r="J335" s="50" t="str">
        <f aca="false">IF($A335="","",INDEX(TblApplications[CPU IKS libérable (vCPU)],$A335))</f>
        <v/>
      </c>
    </row>
    <row r="336" customFormat="false" ht="15" hidden="false" customHeight="false" outlineLevel="0" collapsed="false">
      <c r="A336" s="49" t="str">
        <f aca="false">IFERROR(MATCH(271,TblApplications[Rang extinction],0),"")</f>
        <v/>
      </c>
      <c r="B336" s="50" t="str">
        <f aca="false">IF($A336="","",INDEX(TblApplications[ID],$A336))</f>
        <v/>
      </c>
      <c r="C336" s="50" t="str">
        <f aca="false">IF($A336="","",INDEX(TblApplications[Application],$A336))</f>
        <v/>
      </c>
      <c r="D336" s="50" t="str">
        <f aca="false">IF($A336="","",INDEX(TblApplications[Tribe],$A336))</f>
        <v/>
      </c>
      <c r="E336" s="50" t="str">
        <f aca="false">IF($A336="","",INDEX(TblApplications[Environnement],$A336))</f>
        <v/>
      </c>
      <c r="F336" s="50" t="str">
        <f aca="false">IF($A336="","",INDEX(TblApplications[Couloir],$A336))</f>
        <v/>
      </c>
      <c r="G336" s="50" t="str">
        <f aca="false">IF($A336="","",INDEX(TblApplications[Action],$A336))</f>
        <v/>
      </c>
      <c r="H336" s="50" t="str">
        <f aca="false">IF($A336="","",INDEX(TblApplications[Cluster IKS source],$A336))</f>
        <v/>
      </c>
      <c r="I336" s="63" t="str">
        <f aca="false">IF($A336="","",INDEX(TblApplications[Mois lib (calc)],$A336))</f>
        <v/>
      </c>
      <c r="J336" s="50" t="str">
        <f aca="false">IF($A336="","",INDEX(TblApplications[CPU IKS libérable (vCPU)],$A336))</f>
        <v/>
      </c>
    </row>
    <row r="337" customFormat="false" ht="15" hidden="false" customHeight="false" outlineLevel="0" collapsed="false">
      <c r="A337" s="49" t="str">
        <f aca="false">IFERROR(MATCH(272,TblApplications[Rang extinction],0),"")</f>
        <v/>
      </c>
      <c r="B337" s="50" t="str">
        <f aca="false">IF($A337="","",INDEX(TblApplications[ID],$A337))</f>
        <v/>
      </c>
      <c r="C337" s="50" t="str">
        <f aca="false">IF($A337="","",INDEX(TblApplications[Application],$A337))</f>
        <v/>
      </c>
      <c r="D337" s="50" t="str">
        <f aca="false">IF($A337="","",INDEX(TblApplications[Tribe],$A337))</f>
        <v/>
      </c>
      <c r="E337" s="50" t="str">
        <f aca="false">IF($A337="","",INDEX(TblApplications[Environnement],$A337))</f>
        <v/>
      </c>
      <c r="F337" s="50" t="str">
        <f aca="false">IF($A337="","",INDEX(TblApplications[Couloir],$A337))</f>
        <v/>
      </c>
      <c r="G337" s="50" t="str">
        <f aca="false">IF($A337="","",INDEX(TblApplications[Action],$A337))</f>
        <v/>
      </c>
      <c r="H337" s="50" t="str">
        <f aca="false">IF($A337="","",INDEX(TblApplications[Cluster IKS source],$A337))</f>
        <v/>
      </c>
      <c r="I337" s="63" t="str">
        <f aca="false">IF($A337="","",INDEX(TblApplications[Mois lib (calc)],$A337))</f>
        <v/>
      </c>
      <c r="J337" s="50" t="str">
        <f aca="false">IF($A337="","",INDEX(TblApplications[CPU IKS libérable (vCPU)],$A337))</f>
        <v/>
      </c>
    </row>
    <row r="338" customFormat="false" ht="15" hidden="false" customHeight="false" outlineLevel="0" collapsed="false">
      <c r="A338" s="49" t="str">
        <f aca="false">IFERROR(MATCH(273,TblApplications[Rang extinction],0),"")</f>
        <v/>
      </c>
      <c r="B338" s="50" t="str">
        <f aca="false">IF($A338="","",INDEX(TblApplications[ID],$A338))</f>
        <v/>
      </c>
      <c r="C338" s="50" t="str">
        <f aca="false">IF($A338="","",INDEX(TblApplications[Application],$A338))</f>
        <v/>
      </c>
      <c r="D338" s="50" t="str">
        <f aca="false">IF($A338="","",INDEX(TblApplications[Tribe],$A338))</f>
        <v/>
      </c>
      <c r="E338" s="50" t="str">
        <f aca="false">IF($A338="","",INDEX(TblApplications[Environnement],$A338))</f>
        <v/>
      </c>
      <c r="F338" s="50" t="str">
        <f aca="false">IF($A338="","",INDEX(TblApplications[Couloir],$A338))</f>
        <v/>
      </c>
      <c r="G338" s="50" t="str">
        <f aca="false">IF($A338="","",INDEX(TblApplications[Action],$A338))</f>
        <v/>
      </c>
      <c r="H338" s="50" t="str">
        <f aca="false">IF($A338="","",INDEX(TblApplications[Cluster IKS source],$A338))</f>
        <v/>
      </c>
      <c r="I338" s="63" t="str">
        <f aca="false">IF($A338="","",INDEX(TblApplications[Mois lib (calc)],$A338))</f>
        <v/>
      </c>
      <c r="J338" s="50" t="str">
        <f aca="false">IF($A338="","",INDEX(TblApplications[CPU IKS libérable (vCPU)],$A338))</f>
        <v/>
      </c>
    </row>
    <row r="339" customFormat="false" ht="15" hidden="false" customHeight="false" outlineLevel="0" collapsed="false">
      <c r="A339" s="49" t="str">
        <f aca="false">IFERROR(MATCH(274,TblApplications[Rang extinction],0),"")</f>
        <v/>
      </c>
      <c r="B339" s="50" t="str">
        <f aca="false">IF($A339="","",INDEX(TblApplications[ID],$A339))</f>
        <v/>
      </c>
      <c r="C339" s="50" t="str">
        <f aca="false">IF($A339="","",INDEX(TblApplications[Application],$A339))</f>
        <v/>
      </c>
      <c r="D339" s="50" t="str">
        <f aca="false">IF($A339="","",INDEX(TblApplications[Tribe],$A339))</f>
        <v/>
      </c>
      <c r="E339" s="50" t="str">
        <f aca="false">IF($A339="","",INDEX(TblApplications[Environnement],$A339))</f>
        <v/>
      </c>
      <c r="F339" s="50" t="str">
        <f aca="false">IF($A339="","",INDEX(TblApplications[Couloir],$A339))</f>
        <v/>
      </c>
      <c r="G339" s="50" t="str">
        <f aca="false">IF($A339="","",INDEX(TblApplications[Action],$A339))</f>
        <v/>
      </c>
      <c r="H339" s="50" t="str">
        <f aca="false">IF($A339="","",INDEX(TblApplications[Cluster IKS source],$A339))</f>
        <v/>
      </c>
      <c r="I339" s="63" t="str">
        <f aca="false">IF($A339="","",INDEX(TblApplications[Mois lib (calc)],$A339))</f>
        <v/>
      </c>
      <c r="J339" s="50" t="str">
        <f aca="false">IF($A339="","",INDEX(TblApplications[CPU IKS libérable (vCPU)],$A339))</f>
        <v/>
      </c>
    </row>
    <row r="340" customFormat="false" ht="15" hidden="false" customHeight="false" outlineLevel="0" collapsed="false">
      <c r="A340" s="49" t="str">
        <f aca="false">IFERROR(MATCH(275,TblApplications[Rang extinction],0),"")</f>
        <v/>
      </c>
      <c r="B340" s="50" t="str">
        <f aca="false">IF($A340="","",INDEX(TblApplications[ID],$A340))</f>
        <v/>
      </c>
      <c r="C340" s="50" t="str">
        <f aca="false">IF($A340="","",INDEX(TblApplications[Application],$A340))</f>
        <v/>
      </c>
      <c r="D340" s="50" t="str">
        <f aca="false">IF($A340="","",INDEX(TblApplications[Tribe],$A340))</f>
        <v/>
      </c>
      <c r="E340" s="50" t="str">
        <f aca="false">IF($A340="","",INDEX(TblApplications[Environnement],$A340))</f>
        <v/>
      </c>
      <c r="F340" s="50" t="str">
        <f aca="false">IF($A340="","",INDEX(TblApplications[Couloir],$A340))</f>
        <v/>
      </c>
      <c r="G340" s="50" t="str">
        <f aca="false">IF($A340="","",INDEX(TblApplications[Action],$A340))</f>
        <v/>
      </c>
      <c r="H340" s="50" t="str">
        <f aca="false">IF($A340="","",INDEX(TblApplications[Cluster IKS source],$A340))</f>
        <v/>
      </c>
      <c r="I340" s="63" t="str">
        <f aca="false">IF($A340="","",INDEX(TblApplications[Mois lib (calc)],$A340))</f>
        <v/>
      </c>
      <c r="J340" s="50" t="str">
        <f aca="false">IF($A340="","",INDEX(TblApplications[CPU IKS libérable (vCPU)],$A340))</f>
        <v/>
      </c>
    </row>
    <row r="341" customFormat="false" ht="15" hidden="false" customHeight="false" outlineLevel="0" collapsed="false">
      <c r="A341" s="49" t="str">
        <f aca="false">IFERROR(MATCH(276,TblApplications[Rang extinction],0),"")</f>
        <v/>
      </c>
      <c r="B341" s="50" t="str">
        <f aca="false">IF($A341="","",INDEX(TblApplications[ID],$A341))</f>
        <v/>
      </c>
      <c r="C341" s="50" t="str">
        <f aca="false">IF($A341="","",INDEX(TblApplications[Application],$A341))</f>
        <v/>
      </c>
      <c r="D341" s="50" t="str">
        <f aca="false">IF($A341="","",INDEX(TblApplications[Tribe],$A341))</f>
        <v/>
      </c>
      <c r="E341" s="50" t="str">
        <f aca="false">IF($A341="","",INDEX(TblApplications[Environnement],$A341))</f>
        <v/>
      </c>
      <c r="F341" s="50" t="str">
        <f aca="false">IF($A341="","",INDEX(TblApplications[Couloir],$A341))</f>
        <v/>
      </c>
      <c r="G341" s="50" t="str">
        <f aca="false">IF($A341="","",INDEX(TblApplications[Action],$A341))</f>
        <v/>
      </c>
      <c r="H341" s="50" t="str">
        <f aca="false">IF($A341="","",INDEX(TblApplications[Cluster IKS source],$A341))</f>
        <v/>
      </c>
      <c r="I341" s="63" t="str">
        <f aca="false">IF($A341="","",INDEX(TblApplications[Mois lib (calc)],$A341))</f>
        <v/>
      </c>
      <c r="J341" s="50" t="str">
        <f aca="false">IF($A341="","",INDEX(TblApplications[CPU IKS libérable (vCPU)],$A341))</f>
        <v/>
      </c>
    </row>
    <row r="342" customFormat="false" ht="15" hidden="false" customHeight="false" outlineLevel="0" collapsed="false">
      <c r="A342" s="49" t="str">
        <f aca="false">IFERROR(MATCH(277,TblApplications[Rang extinction],0),"")</f>
        <v/>
      </c>
      <c r="B342" s="50" t="str">
        <f aca="false">IF($A342="","",INDEX(TblApplications[ID],$A342))</f>
        <v/>
      </c>
      <c r="C342" s="50" t="str">
        <f aca="false">IF($A342="","",INDEX(TblApplications[Application],$A342))</f>
        <v/>
      </c>
      <c r="D342" s="50" t="str">
        <f aca="false">IF($A342="","",INDEX(TblApplications[Tribe],$A342))</f>
        <v/>
      </c>
      <c r="E342" s="50" t="str">
        <f aca="false">IF($A342="","",INDEX(TblApplications[Environnement],$A342))</f>
        <v/>
      </c>
      <c r="F342" s="50" t="str">
        <f aca="false">IF($A342="","",INDEX(TblApplications[Couloir],$A342))</f>
        <v/>
      </c>
      <c r="G342" s="50" t="str">
        <f aca="false">IF($A342="","",INDEX(TblApplications[Action],$A342))</f>
        <v/>
      </c>
      <c r="H342" s="50" t="str">
        <f aca="false">IF($A342="","",INDEX(TblApplications[Cluster IKS source],$A342))</f>
        <v/>
      </c>
      <c r="I342" s="63" t="str">
        <f aca="false">IF($A342="","",INDEX(TblApplications[Mois lib (calc)],$A342))</f>
        <v/>
      </c>
      <c r="J342" s="50" t="str">
        <f aca="false">IF($A342="","",INDEX(TblApplications[CPU IKS libérable (vCPU)],$A342))</f>
        <v/>
      </c>
    </row>
    <row r="343" customFormat="false" ht="15" hidden="false" customHeight="false" outlineLevel="0" collapsed="false">
      <c r="A343" s="49" t="str">
        <f aca="false">IFERROR(MATCH(278,TblApplications[Rang extinction],0),"")</f>
        <v/>
      </c>
      <c r="B343" s="50" t="str">
        <f aca="false">IF($A343="","",INDEX(TblApplications[ID],$A343))</f>
        <v/>
      </c>
      <c r="C343" s="50" t="str">
        <f aca="false">IF($A343="","",INDEX(TblApplications[Application],$A343))</f>
        <v/>
      </c>
      <c r="D343" s="50" t="str">
        <f aca="false">IF($A343="","",INDEX(TblApplications[Tribe],$A343))</f>
        <v/>
      </c>
      <c r="E343" s="50" t="str">
        <f aca="false">IF($A343="","",INDEX(TblApplications[Environnement],$A343))</f>
        <v/>
      </c>
      <c r="F343" s="50" t="str">
        <f aca="false">IF($A343="","",INDEX(TblApplications[Couloir],$A343))</f>
        <v/>
      </c>
      <c r="G343" s="50" t="str">
        <f aca="false">IF($A343="","",INDEX(TblApplications[Action],$A343))</f>
        <v/>
      </c>
      <c r="H343" s="50" t="str">
        <f aca="false">IF($A343="","",INDEX(TblApplications[Cluster IKS source],$A343))</f>
        <v/>
      </c>
      <c r="I343" s="63" t="str">
        <f aca="false">IF($A343="","",INDEX(TblApplications[Mois lib (calc)],$A343))</f>
        <v/>
      </c>
      <c r="J343" s="50" t="str">
        <f aca="false">IF($A343="","",INDEX(TblApplications[CPU IKS libérable (vCPU)],$A343))</f>
        <v/>
      </c>
    </row>
    <row r="344" customFormat="false" ht="15" hidden="false" customHeight="false" outlineLevel="0" collapsed="false">
      <c r="A344" s="49" t="str">
        <f aca="false">IFERROR(MATCH(279,TblApplications[Rang extinction],0),"")</f>
        <v/>
      </c>
      <c r="B344" s="50" t="str">
        <f aca="false">IF($A344="","",INDEX(TblApplications[ID],$A344))</f>
        <v/>
      </c>
      <c r="C344" s="50" t="str">
        <f aca="false">IF($A344="","",INDEX(TblApplications[Application],$A344))</f>
        <v/>
      </c>
      <c r="D344" s="50" t="str">
        <f aca="false">IF($A344="","",INDEX(TblApplications[Tribe],$A344))</f>
        <v/>
      </c>
      <c r="E344" s="50" t="str">
        <f aca="false">IF($A344="","",INDEX(TblApplications[Environnement],$A344))</f>
        <v/>
      </c>
      <c r="F344" s="50" t="str">
        <f aca="false">IF($A344="","",INDEX(TblApplications[Couloir],$A344))</f>
        <v/>
      </c>
      <c r="G344" s="50" t="str">
        <f aca="false">IF($A344="","",INDEX(TblApplications[Action],$A344))</f>
        <v/>
      </c>
      <c r="H344" s="50" t="str">
        <f aca="false">IF($A344="","",INDEX(TblApplications[Cluster IKS source],$A344))</f>
        <v/>
      </c>
      <c r="I344" s="63" t="str">
        <f aca="false">IF($A344="","",INDEX(TblApplications[Mois lib (calc)],$A344))</f>
        <v/>
      </c>
      <c r="J344" s="50" t="str">
        <f aca="false">IF($A344="","",INDEX(TblApplications[CPU IKS libérable (vCPU)],$A344))</f>
        <v/>
      </c>
    </row>
    <row r="345" customFormat="false" ht="15" hidden="false" customHeight="false" outlineLevel="0" collapsed="false">
      <c r="A345" s="49" t="str">
        <f aca="false">IFERROR(MATCH(280,TblApplications[Rang extinction],0),"")</f>
        <v/>
      </c>
      <c r="B345" s="50" t="str">
        <f aca="false">IF($A345="","",INDEX(TblApplications[ID],$A345))</f>
        <v/>
      </c>
      <c r="C345" s="50" t="str">
        <f aca="false">IF($A345="","",INDEX(TblApplications[Application],$A345))</f>
        <v/>
      </c>
      <c r="D345" s="50" t="str">
        <f aca="false">IF($A345="","",INDEX(TblApplications[Tribe],$A345))</f>
        <v/>
      </c>
      <c r="E345" s="50" t="str">
        <f aca="false">IF($A345="","",INDEX(TblApplications[Environnement],$A345))</f>
        <v/>
      </c>
      <c r="F345" s="50" t="str">
        <f aca="false">IF($A345="","",INDEX(TblApplications[Couloir],$A345))</f>
        <v/>
      </c>
      <c r="G345" s="50" t="str">
        <f aca="false">IF($A345="","",INDEX(TblApplications[Action],$A345))</f>
        <v/>
      </c>
      <c r="H345" s="50" t="str">
        <f aca="false">IF($A345="","",INDEX(TblApplications[Cluster IKS source],$A345))</f>
        <v/>
      </c>
      <c r="I345" s="63" t="str">
        <f aca="false">IF($A345="","",INDEX(TblApplications[Mois lib (calc)],$A345))</f>
        <v/>
      </c>
      <c r="J345" s="50" t="str">
        <f aca="false">IF($A345="","",INDEX(TblApplications[CPU IKS libérable (vCPU)],$A345))</f>
        <v/>
      </c>
    </row>
    <row r="346" customFormat="false" ht="15" hidden="false" customHeight="false" outlineLevel="0" collapsed="false">
      <c r="A346" s="49" t="str">
        <f aca="false">IFERROR(MATCH(281,TblApplications[Rang extinction],0),"")</f>
        <v/>
      </c>
      <c r="B346" s="50" t="str">
        <f aca="false">IF($A346="","",INDEX(TblApplications[ID],$A346))</f>
        <v/>
      </c>
      <c r="C346" s="50" t="str">
        <f aca="false">IF($A346="","",INDEX(TblApplications[Application],$A346))</f>
        <v/>
      </c>
      <c r="D346" s="50" t="str">
        <f aca="false">IF($A346="","",INDEX(TblApplications[Tribe],$A346))</f>
        <v/>
      </c>
      <c r="E346" s="50" t="str">
        <f aca="false">IF($A346="","",INDEX(TblApplications[Environnement],$A346))</f>
        <v/>
      </c>
      <c r="F346" s="50" t="str">
        <f aca="false">IF($A346="","",INDEX(TblApplications[Couloir],$A346))</f>
        <v/>
      </c>
      <c r="G346" s="50" t="str">
        <f aca="false">IF($A346="","",INDEX(TblApplications[Action],$A346))</f>
        <v/>
      </c>
      <c r="H346" s="50" t="str">
        <f aca="false">IF($A346="","",INDEX(TblApplications[Cluster IKS source],$A346))</f>
        <v/>
      </c>
      <c r="I346" s="63" t="str">
        <f aca="false">IF($A346="","",INDEX(TblApplications[Mois lib (calc)],$A346))</f>
        <v/>
      </c>
      <c r="J346" s="50" t="str">
        <f aca="false">IF($A346="","",INDEX(TblApplications[CPU IKS libérable (vCPU)],$A346))</f>
        <v/>
      </c>
    </row>
    <row r="347" customFormat="false" ht="15" hidden="false" customHeight="false" outlineLevel="0" collapsed="false">
      <c r="A347" s="49" t="str">
        <f aca="false">IFERROR(MATCH(282,TblApplications[Rang extinction],0),"")</f>
        <v/>
      </c>
      <c r="B347" s="50" t="str">
        <f aca="false">IF($A347="","",INDEX(TblApplications[ID],$A347))</f>
        <v/>
      </c>
      <c r="C347" s="50" t="str">
        <f aca="false">IF($A347="","",INDEX(TblApplications[Application],$A347))</f>
        <v/>
      </c>
      <c r="D347" s="50" t="str">
        <f aca="false">IF($A347="","",INDEX(TblApplications[Tribe],$A347))</f>
        <v/>
      </c>
      <c r="E347" s="50" t="str">
        <f aca="false">IF($A347="","",INDEX(TblApplications[Environnement],$A347))</f>
        <v/>
      </c>
      <c r="F347" s="50" t="str">
        <f aca="false">IF($A347="","",INDEX(TblApplications[Couloir],$A347))</f>
        <v/>
      </c>
      <c r="G347" s="50" t="str">
        <f aca="false">IF($A347="","",INDEX(TblApplications[Action],$A347))</f>
        <v/>
      </c>
      <c r="H347" s="50" t="str">
        <f aca="false">IF($A347="","",INDEX(TblApplications[Cluster IKS source],$A347))</f>
        <v/>
      </c>
      <c r="I347" s="63" t="str">
        <f aca="false">IF($A347="","",INDEX(TblApplications[Mois lib (calc)],$A347))</f>
        <v/>
      </c>
      <c r="J347" s="50" t="str">
        <f aca="false">IF($A347="","",INDEX(TblApplications[CPU IKS libérable (vCPU)],$A347))</f>
        <v/>
      </c>
    </row>
    <row r="348" customFormat="false" ht="15" hidden="false" customHeight="false" outlineLevel="0" collapsed="false">
      <c r="A348" s="49" t="str">
        <f aca="false">IFERROR(MATCH(283,TblApplications[Rang extinction],0),"")</f>
        <v/>
      </c>
      <c r="B348" s="50" t="str">
        <f aca="false">IF($A348="","",INDEX(TblApplications[ID],$A348))</f>
        <v/>
      </c>
      <c r="C348" s="50" t="str">
        <f aca="false">IF($A348="","",INDEX(TblApplications[Application],$A348))</f>
        <v/>
      </c>
      <c r="D348" s="50" t="str">
        <f aca="false">IF($A348="","",INDEX(TblApplications[Tribe],$A348))</f>
        <v/>
      </c>
      <c r="E348" s="50" t="str">
        <f aca="false">IF($A348="","",INDEX(TblApplications[Environnement],$A348))</f>
        <v/>
      </c>
      <c r="F348" s="50" t="str">
        <f aca="false">IF($A348="","",INDEX(TblApplications[Couloir],$A348))</f>
        <v/>
      </c>
      <c r="G348" s="50" t="str">
        <f aca="false">IF($A348="","",INDEX(TblApplications[Action],$A348))</f>
        <v/>
      </c>
      <c r="H348" s="50" t="str">
        <f aca="false">IF($A348="","",INDEX(TblApplications[Cluster IKS source],$A348))</f>
        <v/>
      </c>
      <c r="I348" s="63" t="str">
        <f aca="false">IF($A348="","",INDEX(TblApplications[Mois lib (calc)],$A348))</f>
        <v/>
      </c>
      <c r="J348" s="50" t="str">
        <f aca="false">IF($A348="","",INDEX(TblApplications[CPU IKS libérable (vCPU)],$A348))</f>
        <v/>
      </c>
    </row>
    <row r="349" customFormat="false" ht="15" hidden="false" customHeight="false" outlineLevel="0" collapsed="false">
      <c r="A349" s="49" t="str">
        <f aca="false">IFERROR(MATCH(284,TblApplications[Rang extinction],0),"")</f>
        <v/>
      </c>
      <c r="B349" s="50" t="str">
        <f aca="false">IF($A349="","",INDEX(TblApplications[ID],$A349))</f>
        <v/>
      </c>
      <c r="C349" s="50" t="str">
        <f aca="false">IF($A349="","",INDEX(TblApplications[Application],$A349))</f>
        <v/>
      </c>
      <c r="D349" s="50" t="str">
        <f aca="false">IF($A349="","",INDEX(TblApplications[Tribe],$A349))</f>
        <v/>
      </c>
      <c r="E349" s="50" t="str">
        <f aca="false">IF($A349="","",INDEX(TblApplications[Environnement],$A349))</f>
        <v/>
      </c>
      <c r="F349" s="50" t="str">
        <f aca="false">IF($A349="","",INDEX(TblApplications[Couloir],$A349))</f>
        <v/>
      </c>
      <c r="G349" s="50" t="str">
        <f aca="false">IF($A349="","",INDEX(TblApplications[Action],$A349))</f>
        <v/>
      </c>
      <c r="H349" s="50" t="str">
        <f aca="false">IF($A349="","",INDEX(TblApplications[Cluster IKS source],$A349))</f>
        <v/>
      </c>
      <c r="I349" s="63" t="str">
        <f aca="false">IF($A349="","",INDEX(TblApplications[Mois lib (calc)],$A349))</f>
        <v/>
      </c>
      <c r="J349" s="50" t="str">
        <f aca="false">IF($A349="","",INDEX(TblApplications[CPU IKS libérable (vCPU)],$A349))</f>
        <v/>
      </c>
    </row>
    <row r="350" customFormat="false" ht="15" hidden="false" customHeight="false" outlineLevel="0" collapsed="false">
      <c r="A350" s="49" t="str">
        <f aca="false">IFERROR(MATCH(285,TblApplications[Rang extinction],0),"")</f>
        <v/>
      </c>
      <c r="B350" s="50" t="str">
        <f aca="false">IF($A350="","",INDEX(TblApplications[ID],$A350))</f>
        <v/>
      </c>
      <c r="C350" s="50" t="str">
        <f aca="false">IF($A350="","",INDEX(TblApplications[Application],$A350))</f>
        <v/>
      </c>
      <c r="D350" s="50" t="str">
        <f aca="false">IF($A350="","",INDEX(TblApplications[Tribe],$A350))</f>
        <v/>
      </c>
      <c r="E350" s="50" t="str">
        <f aca="false">IF($A350="","",INDEX(TblApplications[Environnement],$A350))</f>
        <v/>
      </c>
      <c r="F350" s="50" t="str">
        <f aca="false">IF($A350="","",INDEX(TblApplications[Couloir],$A350))</f>
        <v/>
      </c>
      <c r="G350" s="50" t="str">
        <f aca="false">IF($A350="","",INDEX(TblApplications[Action],$A350))</f>
        <v/>
      </c>
      <c r="H350" s="50" t="str">
        <f aca="false">IF($A350="","",INDEX(TblApplications[Cluster IKS source],$A350))</f>
        <v/>
      </c>
      <c r="I350" s="63" t="str">
        <f aca="false">IF($A350="","",INDEX(TblApplications[Mois lib (calc)],$A350))</f>
        <v/>
      </c>
      <c r="J350" s="50" t="str">
        <f aca="false">IF($A350="","",INDEX(TblApplications[CPU IKS libérable (vCPU)],$A350))</f>
        <v/>
      </c>
    </row>
    <row r="351" customFormat="false" ht="15" hidden="false" customHeight="false" outlineLevel="0" collapsed="false">
      <c r="A351" s="49" t="str">
        <f aca="false">IFERROR(MATCH(286,TblApplications[Rang extinction],0),"")</f>
        <v/>
      </c>
      <c r="B351" s="50" t="str">
        <f aca="false">IF($A351="","",INDEX(TblApplications[ID],$A351))</f>
        <v/>
      </c>
      <c r="C351" s="50" t="str">
        <f aca="false">IF($A351="","",INDEX(TblApplications[Application],$A351))</f>
        <v/>
      </c>
      <c r="D351" s="50" t="str">
        <f aca="false">IF($A351="","",INDEX(TblApplications[Tribe],$A351))</f>
        <v/>
      </c>
      <c r="E351" s="50" t="str">
        <f aca="false">IF($A351="","",INDEX(TblApplications[Environnement],$A351))</f>
        <v/>
      </c>
      <c r="F351" s="50" t="str">
        <f aca="false">IF($A351="","",INDEX(TblApplications[Couloir],$A351))</f>
        <v/>
      </c>
      <c r="G351" s="50" t="str">
        <f aca="false">IF($A351="","",INDEX(TblApplications[Action],$A351))</f>
        <v/>
      </c>
      <c r="H351" s="50" t="str">
        <f aca="false">IF($A351="","",INDEX(TblApplications[Cluster IKS source],$A351))</f>
        <v/>
      </c>
      <c r="I351" s="63" t="str">
        <f aca="false">IF($A351="","",INDEX(TblApplications[Mois lib (calc)],$A351))</f>
        <v/>
      </c>
      <c r="J351" s="50" t="str">
        <f aca="false">IF($A351="","",INDEX(TblApplications[CPU IKS libérable (vCPU)],$A351))</f>
        <v/>
      </c>
    </row>
    <row r="352" customFormat="false" ht="15" hidden="false" customHeight="false" outlineLevel="0" collapsed="false">
      <c r="A352" s="49" t="str">
        <f aca="false">IFERROR(MATCH(287,TblApplications[Rang extinction],0),"")</f>
        <v/>
      </c>
      <c r="B352" s="50" t="str">
        <f aca="false">IF($A352="","",INDEX(TblApplications[ID],$A352))</f>
        <v/>
      </c>
      <c r="C352" s="50" t="str">
        <f aca="false">IF($A352="","",INDEX(TblApplications[Application],$A352))</f>
        <v/>
      </c>
      <c r="D352" s="50" t="str">
        <f aca="false">IF($A352="","",INDEX(TblApplications[Tribe],$A352))</f>
        <v/>
      </c>
      <c r="E352" s="50" t="str">
        <f aca="false">IF($A352="","",INDEX(TblApplications[Environnement],$A352))</f>
        <v/>
      </c>
      <c r="F352" s="50" t="str">
        <f aca="false">IF($A352="","",INDEX(TblApplications[Couloir],$A352))</f>
        <v/>
      </c>
      <c r="G352" s="50" t="str">
        <f aca="false">IF($A352="","",INDEX(TblApplications[Action],$A352))</f>
        <v/>
      </c>
      <c r="H352" s="50" t="str">
        <f aca="false">IF($A352="","",INDEX(TblApplications[Cluster IKS source],$A352))</f>
        <v/>
      </c>
      <c r="I352" s="63" t="str">
        <f aca="false">IF($A352="","",INDEX(TblApplications[Mois lib (calc)],$A352))</f>
        <v/>
      </c>
      <c r="J352" s="50" t="str">
        <f aca="false">IF($A352="","",INDEX(TblApplications[CPU IKS libérable (vCPU)],$A352))</f>
        <v/>
      </c>
    </row>
    <row r="353" customFormat="false" ht="15" hidden="false" customHeight="false" outlineLevel="0" collapsed="false">
      <c r="A353" s="49" t="str">
        <f aca="false">IFERROR(MATCH(288,TblApplications[Rang extinction],0),"")</f>
        <v/>
      </c>
      <c r="B353" s="50" t="str">
        <f aca="false">IF($A353="","",INDEX(TblApplications[ID],$A353))</f>
        <v/>
      </c>
      <c r="C353" s="50" t="str">
        <f aca="false">IF($A353="","",INDEX(TblApplications[Application],$A353))</f>
        <v/>
      </c>
      <c r="D353" s="50" t="str">
        <f aca="false">IF($A353="","",INDEX(TblApplications[Tribe],$A353))</f>
        <v/>
      </c>
      <c r="E353" s="50" t="str">
        <f aca="false">IF($A353="","",INDEX(TblApplications[Environnement],$A353))</f>
        <v/>
      </c>
      <c r="F353" s="50" t="str">
        <f aca="false">IF($A353="","",INDEX(TblApplications[Couloir],$A353))</f>
        <v/>
      </c>
      <c r="G353" s="50" t="str">
        <f aca="false">IF($A353="","",INDEX(TblApplications[Action],$A353))</f>
        <v/>
      </c>
      <c r="H353" s="50" t="str">
        <f aca="false">IF($A353="","",INDEX(TblApplications[Cluster IKS source],$A353))</f>
        <v/>
      </c>
      <c r="I353" s="63" t="str">
        <f aca="false">IF($A353="","",INDEX(TblApplications[Mois lib (calc)],$A353))</f>
        <v/>
      </c>
      <c r="J353" s="50" t="str">
        <f aca="false">IF($A353="","",INDEX(TblApplications[CPU IKS libérable (vCPU)],$A353))</f>
        <v/>
      </c>
    </row>
    <row r="354" customFormat="false" ht="15" hidden="false" customHeight="false" outlineLevel="0" collapsed="false">
      <c r="A354" s="49" t="str">
        <f aca="false">IFERROR(MATCH(289,TblApplications[Rang extinction],0),"")</f>
        <v/>
      </c>
      <c r="B354" s="50" t="str">
        <f aca="false">IF($A354="","",INDEX(TblApplications[ID],$A354))</f>
        <v/>
      </c>
      <c r="C354" s="50" t="str">
        <f aca="false">IF($A354="","",INDEX(TblApplications[Application],$A354))</f>
        <v/>
      </c>
      <c r="D354" s="50" t="str">
        <f aca="false">IF($A354="","",INDEX(TblApplications[Tribe],$A354))</f>
        <v/>
      </c>
      <c r="E354" s="50" t="str">
        <f aca="false">IF($A354="","",INDEX(TblApplications[Environnement],$A354))</f>
        <v/>
      </c>
      <c r="F354" s="50" t="str">
        <f aca="false">IF($A354="","",INDEX(TblApplications[Couloir],$A354))</f>
        <v/>
      </c>
      <c r="G354" s="50" t="str">
        <f aca="false">IF($A354="","",INDEX(TblApplications[Action],$A354))</f>
        <v/>
      </c>
      <c r="H354" s="50" t="str">
        <f aca="false">IF($A354="","",INDEX(TblApplications[Cluster IKS source],$A354))</f>
        <v/>
      </c>
      <c r="I354" s="63" t="str">
        <f aca="false">IF($A354="","",INDEX(TblApplications[Mois lib (calc)],$A354))</f>
        <v/>
      </c>
      <c r="J354" s="50" t="str">
        <f aca="false">IF($A354="","",INDEX(TblApplications[CPU IKS libérable (vCPU)],$A354))</f>
        <v/>
      </c>
    </row>
    <row r="355" customFormat="false" ht="15" hidden="false" customHeight="false" outlineLevel="0" collapsed="false">
      <c r="A355" s="49" t="str">
        <f aca="false">IFERROR(MATCH(290,TblApplications[Rang extinction],0),"")</f>
        <v/>
      </c>
      <c r="B355" s="50" t="str">
        <f aca="false">IF($A355="","",INDEX(TblApplications[ID],$A355))</f>
        <v/>
      </c>
      <c r="C355" s="50" t="str">
        <f aca="false">IF($A355="","",INDEX(TblApplications[Application],$A355))</f>
        <v/>
      </c>
      <c r="D355" s="50" t="str">
        <f aca="false">IF($A355="","",INDEX(TblApplications[Tribe],$A355))</f>
        <v/>
      </c>
      <c r="E355" s="50" t="str">
        <f aca="false">IF($A355="","",INDEX(TblApplications[Environnement],$A355))</f>
        <v/>
      </c>
      <c r="F355" s="50" t="str">
        <f aca="false">IF($A355="","",INDEX(TblApplications[Couloir],$A355))</f>
        <v/>
      </c>
      <c r="G355" s="50" t="str">
        <f aca="false">IF($A355="","",INDEX(TblApplications[Action],$A355))</f>
        <v/>
      </c>
      <c r="H355" s="50" t="str">
        <f aca="false">IF($A355="","",INDEX(TblApplications[Cluster IKS source],$A355))</f>
        <v/>
      </c>
      <c r="I355" s="63" t="str">
        <f aca="false">IF($A355="","",INDEX(TblApplications[Mois lib (calc)],$A355))</f>
        <v/>
      </c>
      <c r="J355" s="50" t="str">
        <f aca="false">IF($A355="","",INDEX(TblApplications[CPU IKS libérable (vCPU)],$A355))</f>
        <v/>
      </c>
    </row>
    <row r="356" customFormat="false" ht="15" hidden="false" customHeight="false" outlineLevel="0" collapsed="false">
      <c r="A356" s="49" t="str">
        <f aca="false">IFERROR(MATCH(291,TblApplications[Rang extinction],0),"")</f>
        <v/>
      </c>
      <c r="B356" s="50" t="str">
        <f aca="false">IF($A356="","",INDEX(TblApplications[ID],$A356))</f>
        <v/>
      </c>
      <c r="C356" s="50" t="str">
        <f aca="false">IF($A356="","",INDEX(TblApplications[Application],$A356))</f>
        <v/>
      </c>
      <c r="D356" s="50" t="str">
        <f aca="false">IF($A356="","",INDEX(TblApplications[Tribe],$A356))</f>
        <v/>
      </c>
      <c r="E356" s="50" t="str">
        <f aca="false">IF($A356="","",INDEX(TblApplications[Environnement],$A356))</f>
        <v/>
      </c>
      <c r="F356" s="50" t="str">
        <f aca="false">IF($A356="","",INDEX(TblApplications[Couloir],$A356))</f>
        <v/>
      </c>
      <c r="G356" s="50" t="str">
        <f aca="false">IF($A356="","",INDEX(TblApplications[Action],$A356))</f>
        <v/>
      </c>
      <c r="H356" s="50" t="str">
        <f aca="false">IF($A356="","",INDEX(TblApplications[Cluster IKS source],$A356))</f>
        <v/>
      </c>
      <c r="I356" s="63" t="str">
        <f aca="false">IF($A356="","",INDEX(TblApplications[Mois lib (calc)],$A356))</f>
        <v/>
      </c>
      <c r="J356" s="50" t="str">
        <f aca="false">IF($A356="","",INDEX(TblApplications[CPU IKS libérable (vCPU)],$A356))</f>
        <v/>
      </c>
    </row>
    <row r="357" customFormat="false" ht="15" hidden="false" customHeight="false" outlineLevel="0" collapsed="false">
      <c r="A357" s="49" t="str">
        <f aca="false">IFERROR(MATCH(292,TblApplications[Rang extinction],0),"")</f>
        <v/>
      </c>
      <c r="B357" s="50" t="str">
        <f aca="false">IF($A357="","",INDEX(TblApplications[ID],$A357))</f>
        <v/>
      </c>
      <c r="C357" s="50" t="str">
        <f aca="false">IF($A357="","",INDEX(TblApplications[Application],$A357))</f>
        <v/>
      </c>
      <c r="D357" s="50" t="str">
        <f aca="false">IF($A357="","",INDEX(TblApplications[Tribe],$A357))</f>
        <v/>
      </c>
      <c r="E357" s="50" t="str">
        <f aca="false">IF($A357="","",INDEX(TblApplications[Environnement],$A357))</f>
        <v/>
      </c>
      <c r="F357" s="50" t="str">
        <f aca="false">IF($A357="","",INDEX(TblApplications[Couloir],$A357))</f>
        <v/>
      </c>
      <c r="G357" s="50" t="str">
        <f aca="false">IF($A357="","",INDEX(TblApplications[Action],$A357))</f>
        <v/>
      </c>
      <c r="H357" s="50" t="str">
        <f aca="false">IF($A357="","",INDEX(TblApplications[Cluster IKS source],$A357))</f>
        <v/>
      </c>
      <c r="I357" s="63" t="str">
        <f aca="false">IF($A357="","",INDEX(TblApplications[Mois lib (calc)],$A357))</f>
        <v/>
      </c>
      <c r="J357" s="50" t="str">
        <f aca="false">IF($A357="","",INDEX(TblApplications[CPU IKS libérable (vCPU)],$A357))</f>
        <v/>
      </c>
    </row>
    <row r="358" customFormat="false" ht="15" hidden="false" customHeight="false" outlineLevel="0" collapsed="false">
      <c r="A358" s="49" t="str">
        <f aca="false">IFERROR(MATCH(293,TblApplications[Rang extinction],0),"")</f>
        <v/>
      </c>
      <c r="B358" s="50" t="str">
        <f aca="false">IF($A358="","",INDEX(TblApplications[ID],$A358))</f>
        <v/>
      </c>
      <c r="C358" s="50" t="str">
        <f aca="false">IF($A358="","",INDEX(TblApplications[Application],$A358))</f>
        <v/>
      </c>
      <c r="D358" s="50" t="str">
        <f aca="false">IF($A358="","",INDEX(TblApplications[Tribe],$A358))</f>
        <v/>
      </c>
      <c r="E358" s="50" t="str">
        <f aca="false">IF($A358="","",INDEX(TblApplications[Environnement],$A358))</f>
        <v/>
      </c>
      <c r="F358" s="50" t="str">
        <f aca="false">IF($A358="","",INDEX(TblApplications[Couloir],$A358))</f>
        <v/>
      </c>
      <c r="G358" s="50" t="str">
        <f aca="false">IF($A358="","",INDEX(TblApplications[Action],$A358))</f>
        <v/>
      </c>
      <c r="H358" s="50" t="str">
        <f aca="false">IF($A358="","",INDEX(TblApplications[Cluster IKS source],$A358))</f>
        <v/>
      </c>
      <c r="I358" s="63" t="str">
        <f aca="false">IF($A358="","",INDEX(TblApplications[Mois lib (calc)],$A358))</f>
        <v/>
      </c>
      <c r="J358" s="50" t="str">
        <f aca="false">IF($A358="","",INDEX(TblApplications[CPU IKS libérable (vCPU)],$A358))</f>
        <v/>
      </c>
    </row>
    <row r="359" customFormat="false" ht="15" hidden="false" customHeight="false" outlineLevel="0" collapsed="false">
      <c r="A359" s="49" t="str">
        <f aca="false">IFERROR(MATCH(294,TblApplications[Rang extinction],0),"")</f>
        <v/>
      </c>
      <c r="B359" s="50" t="str">
        <f aca="false">IF($A359="","",INDEX(TblApplications[ID],$A359))</f>
        <v/>
      </c>
      <c r="C359" s="50" t="str">
        <f aca="false">IF($A359="","",INDEX(TblApplications[Application],$A359))</f>
        <v/>
      </c>
      <c r="D359" s="50" t="str">
        <f aca="false">IF($A359="","",INDEX(TblApplications[Tribe],$A359))</f>
        <v/>
      </c>
      <c r="E359" s="50" t="str">
        <f aca="false">IF($A359="","",INDEX(TblApplications[Environnement],$A359))</f>
        <v/>
      </c>
      <c r="F359" s="50" t="str">
        <f aca="false">IF($A359="","",INDEX(TblApplications[Couloir],$A359))</f>
        <v/>
      </c>
      <c r="G359" s="50" t="str">
        <f aca="false">IF($A359="","",INDEX(TblApplications[Action],$A359))</f>
        <v/>
      </c>
      <c r="H359" s="50" t="str">
        <f aca="false">IF($A359="","",INDEX(TblApplications[Cluster IKS source],$A359))</f>
        <v/>
      </c>
      <c r="I359" s="63" t="str">
        <f aca="false">IF($A359="","",INDEX(TblApplications[Mois lib (calc)],$A359))</f>
        <v/>
      </c>
      <c r="J359" s="50" t="str">
        <f aca="false">IF($A359="","",INDEX(TblApplications[CPU IKS libérable (vCPU)],$A359))</f>
        <v/>
      </c>
    </row>
    <row r="360" customFormat="false" ht="15" hidden="false" customHeight="false" outlineLevel="0" collapsed="false">
      <c r="A360" s="49" t="str">
        <f aca="false">IFERROR(MATCH(295,TblApplications[Rang extinction],0),"")</f>
        <v/>
      </c>
      <c r="B360" s="50" t="str">
        <f aca="false">IF($A360="","",INDEX(TblApplications[ID],$A360))</f>
        <v/>
      </c>
      <c r="C360" s="50" t="str">
        <f aca="false">IF($A360="","",INDEX(TblApplications[Application],$A360))</f>
        <v/>
      </c>
      <c r="D360" s="50" t="str">
        <f aca="false">IF($A360="","",INDEX(TblApplications[Tribe],$A360))</f>
        <v/>
      </c>
      <c r="E360" s="50" t="str">
        <f aca="false">IF($A360="","",INDEX(TblApplications[Environnement],$A360))</f>
        <v/>
      </c>
      <c r="F360" s="50" t="str">
        <f aca="false">IF($A360="","",INDEX(TblApplications[Couloir],$A360))</f>
        <v/>
      </c>
      <c r="G360" s="50" t="str">
        <f aca="false">IF($A360="","",INDEX(TblApplications[Action],$A360))</f>
        <v/>
      </c>
      <c r="H360" s="50" t="str">
        <f aca="false">IF($A360="","",INDEX(TblApplications[Cluster IKS source],$A360))</f>
        <v/>
      </c>
      <c r="I360" s="63" t="str">
        <f aca="false">IF($A360="","",INDEX(TblApplications[Mois lib (calc)],$A360))</f>
        <v/>
      </c>
      <c r="J360" s="50" t="str">
        <f aca="false">IF($A360="","",INDEX(TblApplications[CPU IKS libérable (vCPU)],$A360))</f>
        <v/>
      </c>
    </row>
    <row r="361" customFormat="false" ht="15" hidden="false" customHeight="false" outlineLevel="0" collapsed="false">
      <c r="A361" s="49" t="str">
        <f aca="false">IFERROR(MATCH(296,TblApplications[Rang extinction],0),"")</f>
        <v/>
      </c>
      <c r="B361" s="50" t="str">
        <f aca="false">IF($A361="","",INDEX(TblApplications[ID],$A361))</f>
        <v/>
      </c>
      <c r="C361" s="50" t="str">
        <f aca="false">IF($A361="","",INDEX(TblApplications[Application],$A361))</f>
        <v/>
      </c>
      <c r="D361" s="50" t="str">
        <f aca="false">IF($A361="","",INDEX(TblApplications[Tribe],$A361))</f>
        <v/>
      </c>
      <c r="E361" s="50" t="str">
        <f aca="false">IF($A361="","",INDEX(TblApplications[Environnement],$A361))</f>
        <v/>
      </c>
      <c r="F361" s="50" t="str">
        <f aca="false">IF($A361="","",INDEX(TblApplications[Couloir],$A361))</f>
        <v/>
      </c>
      <c r="G361" s="50" t="str">
        <f aca="false">IF($A361="","",INDEX(TblApplications[Action],$A361))</f>
        <v/>
      </c>
      <c r="H361" s="50" t="str">
        <f aca="false">IF($A361="","",INDEX(TblApplications[Cluster IKS source],$A361))</f>
        <v/>
      </c>
      <c r="I361" s="63" t="str">
        <f aca="false">IF($A361="","",INDEX(TblApplications[Mois lib (calc)],$A361))</f>
        <v/>
      </c>
      <c r="J361" s="50" t="str">
        <f aca="false">IF($A361="","",INDEX(TblApplications[CPU IKS libérable (vCPU)],$A361))</f>
        <v/>
      </c>
    </row>
    <row r="362" customFormat="false" ht="15" hidden="false" customHeight="false" outlineLevel="0" collapsed="false">
      <c r="A362" s="49" t="str">
        <f aca="false">IFERROR(MATCH(297,TblApplications[Rang extinction],0),"")</f>
        <v/>
      </c>
      <c r="B362" s="50" t="str">
        <f aca="false">IF($A362="","",INDEX(TblApplications[ID],$A362))</f>
        <v/>
      </c>
      <c r="C362" s="50" t="str">
        <f aca="false">IF($A362="","",INDEX(TblApplications[Application],$A362))</f>
        <v/>
      </c>
      <c r="D362" s="50" t="str">
        <f aca="false">IF($A362="","",INDEX(TblApplications[Tribe],$A362))</f>
        <v/>
      </c>
      <c r="E362" s="50" t="str">
        <f aca="false">IF($A362="","",INDEX(TblApplications[Environnement],$A362))</f>
        <v/>
      </c>
      <c r="F362" s="50" t="str">
        <f aca="false">IF($A362="","",INDEX(TblApplications[Couloir],$A362))</f>
        <v/>
      </c>
      <c r="G362" s="50" t="str">
        <f aca="false">IF($A362="","",INDEX(TblApplications[Action],$A362))</f>
        <v/>
      </c>
      <c r="H362" s="50" t="str">
        <f aca="false">IF($A362="","",INDEX(TblApplications[Cluster IKS source],$A362))</f>
        <v/>
      </c>
      <c r="I362" s="63" t="str">
        <f aca="false">IF($A362="","",INDEX(TblApplications[Mois lib (calc)],$A362))</f>
        <v/>
      </c>
      <c r="J362" s="50" t="str">
        <f aca="false">IF($A362="","",INDEX(TblApplications[CPU IKS libérable (vCPU)],$A362))</f>
        <v/>
      </c>
    </row>
    <row r="363" customFormat="false" ht="15" hidden="false" customHeight="false" outlineLevel="0" collapsed="false">
      <c r="A363" s="49" t="str">
        <f aca="false">IFERROR(MATCH(298,TblApplications[Rang extinction],0),"")</f>
        <v/>
      </c>
      <c r="B363" s="50" t="str">
        <f aca="false">IF($A363="","",INDEX(TblApplications[ID],$A363))</f>
        <v/>
      </c>
      <c r="C363" s="50" t="str">
        <f aca="false">IF($A363="","",INDEX(TblApplications[Application],$A363))</f>
        <v/>
      </c>
      <c r="D363" s="50" t="str">
        <f aca="false">IF($A363="","",INDEX(TblApplications[Tribe],$A363))</f>
        <v/>
      </c>
      <c r="E363" s="50" t="str">
        <f aca="false">IF($A363="","",INDEX(TblApplications[Environnement],$A363))</f>
        <v/>
      </c>
      <c r="F363" s="50" t="str">
        <f aca="false">IF($A363="","",INDEX(TblApplications[Couloir],$A363))</f>
        <v/>
      </c>
      <c r="G363" s="50" t="str">
        <f aca="false">IF($A363="","",INDEX(TblApplications[Action],$A363))</f>
        <v/>
      </c>
      <c r="H363" s="50" t="str">
        <f aca="false">IF($A363="","",INDEX(TblApplications[Cluster IKS source],$A363))</f>
        <v/>
      </c>
      <c r="I363" s="63" t="str">
        <f aca="false">IF($A363="","",INDEX(TblApplications[Mois lib (calc)],$A363))</f>
        <v/>
      </c>
      <c r="J363" s="50" t="str">
        <f aca="false">IF($A363="","",INDEX(TblApplications[CPU IKS libérable (vCPU)],$A363))</f>
        <v/>
      </c>
    </row>
    <row r="364" customFormat="false" ht="15" hidden="false" customHeight="false" outlineLevel="0" collapsed="false">
      <c r="A364" s="49" t="str">
        <f aca="false">IFERROR(MATCH(299,TblApplications[Rang extinction],0),"")</f>
        <v/>
      </c>
      <c r="B364" s="50" t="str">
        <f aca="false">IF($A364="","",INDEX(TblApplications[ID],$A364))</f>
        <v/>
      </c>
      <c r="C364" s="50" t="str">
        <f aca="false">IF($A364="","",INDEX(TblApplications[Application],$A364))</f>
        <v/>
      </c>
      <c r="D364" s="50" t="str">
        <f aca="false">IF($A364="","",INDEX(TblApplications[Tribe],$A364))</f>
        <v/>
      </c>
      <c r="E364" s="50" t="str">
        <f aca="false">IF($A364="","",INDEX(TblApplications[Environnement],$A364))</f>
        <v/>
      </c>
      <c r="F364" s="50" t="str">
        <f aca="false">IF($A364="","",INDEX(TblApplications[Couloir],$A364))</f>
        <v/>
      </c>
      <c r="G364" s="50" t="str">
        <f aca="false">IF($A364="","",INDEX(TblApplications[Action],$A364))</f>
        <v/>
      </c>
      <c r="H364" s="50" t="str">
        <f aca="false">IF($A364="","",INDEX(TblApplications[Cluster IKS source],$A364))</f>
        <v/>
      </c>
      <c r="I364" s="63" t="str">
        <f aca="false">IF($A364="","",INDEX(TblApplications[Mois lib (calc)],$A364))</f>
        <v/>
      </c>
      <c r="J364" s="50" t="str">
        <f aca="false">IF($A364="","",INDEX(TblApplications[CPU IKS libérable (vCPU)],$A364))</f>
        <v/>
      </c>
    </row>
    <row r="365" customFormat="false" ht="15" hidden="false" customHeight="false" outlineLevel="0" collapsed="false">
      <c r="A365" s="49" t="str">
        <f aca="false">IFERROR(MATCH(300,TblApplications[Rang extinction],0),"")</f>
        <v/>
      </c>
      <c r="B365" s="50" t="str">
        <f aca="false">IF($A365="","",INDEX(TblApplications[ID],$A365))</f>
        <v/>
      </c>
      <c r="C365" s="50" t="str">
        <f aca="false">IF($A365="","",INDEX(TblApplications[Application],$A365))</f>
        <v/>
      </c>
      <c r="D365" s="50" t="str">
        <f aca="false">IF($A365="","",INDEX(TblApplications[Tribe],$A365))</f>
        <v/>
      </c>
      <c r="E365" s="50" t="str">
        <f aca="false">IF($A365="","",INDEX(TblApplications[Environnement],$A365))</f>
        <v/>
      </c>
      <c r="F365" s="50" t="str">
        <f aca="false">IF($A365="","",INDEX(TblApplications[Couloir],$A365))</f>
        <v/>
      </c>
      <c r="G365" s="50" t="str">
        <f aca="false">IF($A365="","",INDEX(TblApplications[Action],$A365))</f>
        <v/>
      </c>
      <c r="H365" s="50" t="str">
        <f aca="false">IF($A365="","",INDEX(TblApplications[Cluster IKS source],$A365))</f>
        <v/>
      </c>
      <c r="I365" s="63" t="str">
        <f aca="false">IF($A365="","",INDEX(TblApplications[Mois lib (calc)],$A365))</f>
        <v/>
      </c>
      <c r="J365" s="50" t="str">
        <f aca="false">IF($A365="","",INDEX(TblApplications[CPU IKS libérable (vCPU)],$A365))</f>
        <v/>
      </c>
    </row>
  </sheetData>
  <mergeCells count="12"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</mergeCells>
  <conditionalFormatting sqref="H32:H61">
    <cfRule type="expression" priority="2" aboveAverage="0" equalAverage="0" bottom="0" percent="0" rank="0" text="" dxfId="9">
      <formula>H32="Fermé"</formula>
    </cfRule>
    <cfRule type="expression" priority="3" aboveAverage="0" equalAverage="0" bottom="0" percent="0" rank="0" text="" dxfId="10">
      <formula>H32="Non planifiée"</formula>
    </cfRule>
    <cfRule type="expression" priority="4" aboveAverage="0" equalAverage="0" bottom="0" percent="0" rank="0" text="" dxfId="11">
      <formula>H32="Fermeture planifiée"</formula>
    </cfRule>
  </conditionalFormatting>
  <dataValidations count="4">
    <dataValidation allowBlank="false" error="Saisir un mois" errorStyle="stop" operator="greaterThan" showDropDown="false" showErrorMessage="true" showInputMessage="false" sqref="L4" type="date">
      <formula1>36526</formula1>
      <formula2>0</formula2>
    </dataValidation>
    <dataValidation allowBlank="false" error="Choisir une valeur de la liste" errorStyle="stop" operator="between" showDropDown="false" showErrorMessage="true" showInputMessage="false" sqref="C4" type="list">
      <formula1>"Tous,PRD,NPRD"</formula1>
      <formula2>0</formula2>
    </dataValidation>
    <dataValidation allowBlank="false" error="Choisir une valeur de la liste" errorStyle="stop" operator="between" showDropDown="false" showErrorMessage="true" showInputMessage="false" sqref="F4" type="list">
      <formula1>'Paramètres &amp; ABS'!$O$21:$O$41</formula1>
      <formula2>0</formula2>
    </dataValidation>
    <dataValidation allowBlank="false" error="Choisir une valeur de la liste" errorStyle="stop" operator="between" showDropDown="false" showErrorMessage="true" showInputMessage="false" sqref="I4" type="list">
      <formula1>'Paramètres &amp; ABS'!$P$21:$P$61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2" topLeftCell="C23" activePane="bottomRight" state="frozen"/>
      <selection pane="topLeft" activeCell="A1" activeCellId="0" sqref="A1"/>
      <selection pane="topRight" activeCell="C1" activeCellId="0" sqref="C1"/>
      <selection pane="bottomLeft" activeCell="A23" activeCellId="0" sqref="A23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6"/>
    <col collapsed="false" customWidth="true" hidden="false" outlineLevel="0" max="2" min="2" style="0" width="50"/>
    <col collapsed="false" customWidth="true" hidden="false" outlineLevel="0" max="6" min="3" style="0" width="14"/>
    <col collapsed="false" customWidth="true" hidden="false" outlineLevel="0" max="8" min="7" style="0" width="11"/>
    <col collapsed="false" customWidth="true" hidden="false" outlineLevel="0" max="11" min="9" style="0" width="13"/>
    <col collapsed="false" customWidth="true" hidden="false" outlineLevel="0" max="13" min="12" style="0" width="15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1" max="24" min="16" style="0" width="14"/>
  </cols>
  <sheetData>
    <row r="1" customFormat="false" ht="17.35" hidden="false" customHeight="false" outlineLevel="0" collapsed="false">
      <c r="A1" s="64" t="s">
        <v>106</v>
      </c>
    </row>
    <row r="2" customFormat="false" ht="15" hidden="false" customHeight="false" outlineLevel="0" collapsed="false">
      <c r="A2" s="2" t="s">
        <v>107</v>
      </c>
    </row>
    <row r="4" customFormat="false" ht="30" hidden="false" customHeight="true" outlineLevel="0" collapsed="false">
      <c r="B4" s="20" t="s">
        <v>108</v>
      </c>
      <c r="C4" s="20" t="s">
        <v>109</v>
      </c>
      <c r="E4" s="20" t="s">
        <v>110</v>
      </c>
      <c r="F4" s="20" t="s">
        <v>3</v>
      </c>
      <c r="G4" s="20" t="s">
        <v>4</v>
      </c>
      <c r="H4" s="20" t="s">
        <v>2</v>
      </c>
      <c r="I4" s="20" t="s">
        <v>5</v>
      </c>
      <c r="J4" s="20" t="s">
        <v>6</v>
      </c>
    </row>
    <row r="5" customFormat="false" ht="15" hidden="false" customHeight="false" outlineLevel="0" collapsed="false">
      <c r="B5" s="65" t="s">
        <v>3</v>
      </c>
      <c r="C5" s="66" t="n">
        <f aca="false">SUMIFS(TblCalculs[Coût mensuel],TblCalculs[Plateforme],"IKS")</f>
        <v>524628</v>
      </c>
      <c r="E5" s="67" t="s">
        <v>39</v>
      </c>
      <c r="F5" s="22" t="n">
        <f aca="false">SUMIFS(TblCalculs[Coût mensuel],TblCalculs[Plateforme],"IKS",TblCalculs[Environnement],"PRD")</f>
        <v>358956</v>
      </c>
      <c r="G5" s="22" t="n">
        <f aca="false">SUMIFS(TblCalculs[Coût mensuel],TblCalculs[Plateforme],"ROKS",TblCalculs[Environnement],"PRD")</f>
        <v>569664</v>
      </c>
      <c r="H5" s="22" t="n">
        <f aca="false">F5+G5</f>
        <v>928620</v>
      </c>
      <c r="I5" s="22" t="n">
        <f aca="false">H5-SUMIFS(TblCalculs[Sans DR – coût],TblCalculs[Environnement],"PRD")</f>
        <v>42480</v>
      </c>
      <c r="J5" s="22" t="n">
        <f aca="false">H5-SUMIFS(TblCalculs[Sans migration – coût],TblCalculs[Environnement],"PRD")</f>
        <v>-77508</v>
      </c>
    </row>
    <row r="6" customFormat="false" ht="15" hidden="false" customHeight="false" outlineLevel="0" collapsed="false">
      <c r="B6" s="65" t="s">
        <v>4</v>
      </c>
      <c r="C6" s="66" t="n">
        <f aca="false">SUMIFS(TblCalculs[Coût mensuel],TblCalculs[Plateforme],"ROKS")</f>
        <v>839776</v>
      </c>
      <c r="E6" s="67" t="s">
        <v>40</v>
      </c>
      <c r="F6" s="22" t="n">
        <f aca="false">SUMIFS(TblCalculs[Coût mensuel],TblCalculs[Plateforme],"IKS",TblCalculs[Environnement],"NPRD")</f>
        <v>165672</v>
      </c>
      <c r="G6" s="22" t="n">
        <f aca="false">SUMIFS(TblCalculs[Coût mensuel],TblCalculs[Plateforme],"ROKS",TblCalculs[Environnement],"NPRD")</f>
        <v>270112</v>
      </c>
      <c r="H6" s="22" t="n">
        <f aca="false">F6+G6</f>
        <v>435784</v>
      </c>
      <c r="I6" s="22" t="n">
        <f aca="false">H6-SUMIFS(TblCalculs[Sans DR – coût],TblCalculs[Environnement],"NPRD")</f>
        <v>9027</v>
      </c>
      <c r="J6" s="22" t="n">
        <f aca="false">H6-SUMIFS(TblCalculs[Sans migration – coût],TblCalculs[Environnement],"NPRD")</f>
        <v>-105512</v>
      </c>
    </row>
    <row r="7" customFormat="false" ht="15" hidden="false" customHeight="false" outlineLevel="0" collapsed="false">
      <c r="B7" s="65" t="s">
        <v>111</v>
      </c>
      <c r="C7" s="66" t="n">
        <f aca="false">SUM(TblCalculs[Coût mensuel])</f>
        <v>1364404</v>
      </c>
      <c r="E7" s="67" t="s">
        <v>38</v>
      </c>
      <c r="F7" s="18" t="n">
        <f aca="false">SUMIFS(TblCalculs[Coût mensuel],TblCalculs[Plateforme],"IKS",TblCalculs[Environnement],"*")</f>
        <v>524628</v>
      </c>
      <c r="G7" s="18" t="n">
        <f aca="false">SUMIFS(TblCalculs[Coût mensuel],TblCalculs[Plateforme],"ROKS",TblCalculs[Environnement],"*")</f>
        <v>839776</v>
      </c>
      <c r="H7" s="18" t="n">
        <f aca="false">F7+G7</f>
        <v>1364404</v>
      </c>
      <c r="I7" s="18" t="n">
        <f aca="false">H7-SUMIFS(TblCalculs[Sans DR – coût],TblCalculs[Environnement],"*")</f>
        <v>51507</v>
      </c>
      <c r="J7" s="18" t="n">
        <f aca="false">H7-SUMIFS(TblCalculs[Sans migration – coût],TblCalculs[Environnement],"*")</f>
        <v>-183020</v>
      </c>
    </row>
    <row r="8" customFormat="false" ht="15" hidden="false" customHeight="false" outlineLevel="0" collapsed="false">
      <c r="B8" s="65" t="s">
        <v>112</v>
      </c>
      <c r="C8" s="66" t="n">
        <f aca="false">C7-SUM(TblCalculs[Sans DR – coût])</f>
        <v>51507</v>
      </c>
    </row>
    <row r="9" customFormat="false" ht="19.5" hidden="false" customHeight="true" outlineLevel="0" collapsed="false">
      <c r="E9" s="20" t="s">
        <v>113</v>
      </c>
      <c r="F9" s="20" t="s">
        <v>114</v>
      </c>
      <c r="G9" s="20" t="s">
        <v>115</v>
      </c>
    </row>
    <row r="10" customFormat="false" ht="15" hidden="false" customHeight="false" outlineLevel="0" collapsed="false">
      <c r="B10" s="68" t="s">
        <v>116</v>
      </c>
      <c r="C10" s="22" t="n">
        <f aca="false">C7-SUM(TblCalculs[Sans migration – coût])</f>
        <v>-183020</v>
      </c>
      <c r="E10" s="68" t="s">
        <v>117</v>
      </c>
      <c r="F10" s="40" t="n">
        <f aca="false">COUNTIFS(TblApplications[Contrôle],"&lt;&gt;OK",TblApplications[ID],"&lt;&gt;")-COUNTIFS(TblApplications[Contrôle],"*(info)")</f>
        <v>0</v>
      </c>
      <c r="G10" s="69" t="s">
        <v>118</v>
      </c>
      <c r="H10" s="69"/>
      <c r="I10" s="69"/>
      <c r="J10" s="69"/>
    </row>
    <row r="11" customFormat="false" ht="15" hidden="false" customHeight="false" outlineLevel="0" collapsed="false">
      <c r="B11" s="68" t="s">
        <v>119</v>
      </c>
      <c r="C11" s="59" t="n">
        <f aca="false">_xlfn.MAXIFS($D$23:$D$58,$A$23:$A$58,"&lt;="&amp;p_horizon)</f>
        <v>640</v>
      </c>
      <c r="E11" s="68" t="s">
        <v>120</v>
      </c>
      <c r="F11" s="40" t="n">
        <f aca="false">COUNTIFS(TblClusters[Contrôle],"&lt;&gt;OK",TblClusters[Cluster],"&lt;&gt;")</f>
        <v>0</v>
      </c>
      <c r="G11" s="69" t="s">
        <v>121</v>
      </c>
      <c r="H11" s="69"/>
      <c r="I11" s="69"/>
      <c r="J11" s="69"/>
    </row>
    <row r="12" customFormat="false" ht="15" hidden="false" customHeight="false" outlineLevel="0" collapsed="false">
      <c r="B12" s="68" t="s">
        <v>122</v>
      </c>
      <c r="C12" s="59" t="n">
        <f aca="false">_xlfn.MAXIFS($F$23:$F$58,$A$23:$A$58,"&lt;="&amp;p_horizon)</f>
        <v>3200</v>
      </c>
      <c r="E12" s="68" t="s">
        <v>123</v>
      </c>
      <c r="F12" s="40" t="n">
        <f aca="false">COUNTIFS('Paramètres &amp; ABS'!$E$4:$E$18,"&lt;&gt;OK",'Paramètres &amp; ABS'!$E$4:$E$18,"?*")</f>
        <v>0</v>
      </c>
      <c r="G12" s="69" t="s">
        <v>124</v>
      </c>
      <c r="H12" s="69"/>
      <c r="I12" s="69"/>
      <c r="J12" s="69"/>
    </row>
    <row r="13" customFormat="false" ht="15" hidden="false" customHeight="false" outlineLevel="0" collapsed="false">
      <c r="B13" s="68" t="s">
        <v>125</v>
      </c>
      <c r="C13" s="59" t="n">
        <f aca="false">_xlfn.MAXIFS($O$23:$O$58,$A$23:$A$58,"&lt;="&amp;p_horizon)</f>
        <v>1264</v>
      </c>
      <c r="E13" s="68" t="s">
        <v>126</v>
      </c>
      <c r="F13" s="40" t="n">
        <f aca="false">COUNTIFS(Dashboard!$C$8,"&lt;&gt;Tous",Dashboard!$C$8,"&lt;&gt;PRD",Dashboard!$C$8,"&lt;&gt;NPRD")</f>
        <v>0</v>
      </c>
      <c r="G13" s="69" t="s">
        <v>127</v>
      </c>
      <c r="H13" s="69"/>
      <c r="I13" s="69"/>
      <c r="J13" s="69"/>
    </row>
    <row r="14" customFormat="false" ht="15" hidden="false" customHeight="false" outlineLevel="0" collapsed="false">
      <c r="B14" s="68" t="s">
        <v>128</v>
      </c>
      <c r="C14" s="22" t="n">
        <f aca="false">_xlfn.MAXIFS($K$23:$K$58,$A$23:$A$58,"&lt;="&amp;p_horizon)</f>
        <v>47279</v>
      </c>
      <c r="E14" s="70" t="s">
        <v>129</v>
      </c>
      <c r="F14" s="40" t="n">
        <f aca="false">COUNTIFS(TblApplications[Contrôle],"*(info)")</f>
        <v>0</v>
      </c>
      <c r="G14" s="69" t="s">
        <v>130</v>
      </c>
      <c r="H14" s="69"/>
      <c r="I14" s="69"/>
      <c r="J14" s="69"/>
    </row>
    <row r="15" customFormat="false" ht="15" hidden="false" customHeight="false" outlineLevel="0" collapsed="false">
      <c r="B15" s="68" t="s">
        <v>131</v>
      </c>
      <c r="C15" s="39" t="n">
        <f aca="false">IFERROR(INDEX($B$23:$B$58,MATCH(C14,$K$23:$K$58,0)),"")</f>
        <v>46478</v>
      </c>
    </row>
    <row r="16" customFormat="false" ht="15" hidden="false" customHeight="false" outlineLevel="0" collapsed="false">
      <c r="B16" s="68" t="s">
        <v>132</v>
      </c>
      <c r="C16" s="40" t="n">
        <f aca="false">COUNTIFS(TblApplications[Contrôle],"&lt;&gt;OK",TblApplications[ID],"&lt;&gt;")-COUNTIFS(TblApplications[Contrôle],"*(info)")+COUNTIFS(TblClusters[Contrôle],"&lt;&gt;OK",TblClusters[Cluster],"&lt;&gt;")+COUNTIFS('Paramètres &amp; ABS'!$E$4:$E$18,"&lt;&gt;OK",'Paramètres &amp; ABS'!$E$4:$E$18,"?*")+COUNTIFS(Dashboard!$C$8,"&lt;&gt;Tous",Dashboard!$C$8,"&lt;&gt;PRD",Dashboard!$C$8,"&lt;&gt;NPRD")</f>
        <v>0</v>
      </c>
    </row>
    <row r="17" customFormat="false" ht="15" hidden="false" customHeight="false" outlineLevel="0" collapsed="false">
      <c r="B17" s="68" t="s">
        <v>133</v>
      </c>
      <c r="C17" s="71" t="str">
        <f aca="false">IF(C16=0,"OK – aucune anomalie","À corriger : voir colonnes Contrôle et alertes")</f>
        <v>OK – aucune anomalie</v>
      </c>
    </row>
    <row r="20" customFormat="false" ht="15" hidden="false" customHeight="false" outlineLevel="0" collapsed="false">
      <c r="A20" s="72" t="s">
        <v>134</v>
      </c>
    </row>
    <row r="22" customFormat="false" ht="45" hidden="false" customHeight="true" outlineLevel="0" collapsed="false">
      <c r="A22" s="20" t="s">
        <v>135</v>
      </c>
      <c r="B22" s="20" t="s">
        <v>42</v>
      </c>
      <c r="C22" s="20" t="s">
        <v>136</v>
      </c>
      <c r="D22" s="20" t="s">
        <v>137</v>
      </c>
      <c r="E22" s="20" t="s">
        <v>138</v>
      </c>
      <c r="F22" s="20" t="s">
        <v>139</v>
      </c>
      <c r="G22" s="20" t="s">
        <v>70</v>
      </c>
      <c r="H22" s="20" t="s">
        <v>71</v>
      </c>
      <c r="I22" s="20" t="s">
        <v>21</v>
      </c>
      <c r="J22" s="20" t="s">
        <v>22</v>
      </c>
      <c r="K22" s="20" t="s">
        <v>23</v>
      </c>
      <c r="L22" s="20" t="s">
        <v>140</v>
      </c>
      <c r="M22" s="20" t="s">
        <v>141</v>
      </c>
      <c r="N22" s="20" t="s">
        <v>142</v>
      </c>
      <c r="O22" s="20" t="s">
        <v>143</v>
      </c>
      <c r="P22" s="20" t="s">
        <v>144</v>
      </c>
      <c r="Q22" s="20" t="s">
        <v>145</v>
      </c>
      <c r="R22" s="20" t="s">
        <v>146</v>
      </c>
      <c r="S22" s="20" t="s">
        <v>147</v>
      </c>
      <c r="T22" s="20" t="s">
        <v>148</v>
      </c>
      <c r="U22" s="20" t="s">
        <v>149</v>
      </c>
      <c r="V22" s="20" t="s">
        <v>150</v>
      </c>
      <c r="W22" s="20" t="s">
        <v>151</v>
      </c>
      <c r="X22" s="20" t="s">
        <v>152</v>
      </c>
    </row>
    <row r="23" customFormat="false" ht="15" hidden="false" customHeight="false" outlineLevel="0" collapsed="false">
      <c r="A23" s="59" t="n">
        <v>1</v>
      </c>
      <c r="B23" s="39" t="n">
        <f aca="false">IF($A23&gt;p_horizon,"",EDATE(p_debut,$A23-1))</f>
        <v>46296</v>
      </c>
      <c r="C23" s="59" t="n">
        <f aca="false">IF($A23&gt;p_horizon,"",SUMIFS(TblCalculs[CPU provisionné],TblCalculs[Mois],$B23,TblCalculs[Plateforme],"IKS"))</f>
        <v>896</v>
      </c>
      <c r="D23" s="59" t="n">
        <f aca="false">IF($A23&gt;p_horizon,"",SUMIFS(TblCalculs[CPU provisionné],TblCalculs[Mois],$B23,TblCalculs[Plateforme],"ROKS"))</f>
        <v>288</v>
      </c>
      <c r="E23" s="59" t="n">
        <f aca="false">IF($A23&gt;p_horizon,"",SUMIFS(TblCalculs[RAM provisionnée],TblCalculs[Mois],$B23,TblCalculs[Plateforme],"IKS"))</f>
        <v>3584</v>
      </c>
      <c r="F23" s="59" t="n">
        <f aca="false">IF($A23&gt;p_horizon,"",SUMIFS(TblCalculs[RAM provisionnée],TblCalculs[Mois],$B23,TblCalculs[Plateforme],"ROKS"))</f>
        <v>1440</v>
      </c>
      <c r="G23" s="59" t="n">
        <f aca="false">IF($A23&gt;p_horizon,"",SUMIFS(TblCalculs[Workers],TblCalculs[Mois],$B23,TblCalculs[Plateforme],"IKS"))</f>
        <v>38</v>
      </c>
      <c r="H23" s="59" t="n">
        <f aca="false">IF($A23&gt;p_horizon,"",SUMIFS(TblCalculs[Workers],TblCalculs[Mois],$B23,TblCalculs[Plateforme],"ROKS"))</f>
        <v>12</v>
      </c>
      <c r="I23" s="22" t="n">
        <f aca="false">IF($A23&gt;p_horizon,"",SUMIFS(TblCalculs[Coût mensuel],TblCalculs[Mois],$B23,TblCalculs[Plateforme],"IKS"))</f>
        <v>29736</v>
      </c>
      <c r="J23" s="22" t="n">
        <f aca="false">IF($A23&gt;p_horizon,"",SUMIFS(TblCalculs[Coût mensuel],TblCalculs[Mois],$B23,TblCalculs[Plateforme],"ROKS"))</f>
        <v>13248</v>
      </c>
      <c r="K23" s="22" t="n">
        <f aca="false">IF($A23&gt;p_horizon,"",I23+J23)</f>
        <v>42984</v>
      </c>
      <c r="L23" s="22" t="n">
        <f aca="false">IF($A23&gt;p_horizon,"",K23-R23)</f>
        <v>0</v>
      </c>
      <c r="M23" s="22" t="n">
        <f aca="false">IF($A23&gt;p_horizon,"",SUM($L$23:L23))</f>
        <v>0</v>
      </c>
      <c r="N23" s="59" t="n">
        <f aca="false">IF($A23&gt;p_horizon,"",SUMPRODUCT((TblApplications[Action]="À migrer")*(TblApplications[Mois prov (calc)]&lt;=$B23)*(TblApplications[Mois lib (calc)]&gt;$B23)))</f>
        <v>0</v>
      </c>
      <c r="O23" s="59" t="n">
        <f aca="false">IF($A23&gt;p_horizon,"",C23+D23)</f>
        <v>1184</v>
      </c>
      <c r="P23" s="59" t="n">
        <f aca="false">IF($A23&gt;p_horizon,"",SUMIFS(TblCalculs[Besoin CPU],TblCalculs[Mois],$B23,TblCalculs[Plateforme],"ROKS"))</f>
        <v>288</v>
      </c>
      <c r="Q23" s="59" t="n">
        <f aca="false">IF($A23&gt;p_horizon,"",SUMIFS(TblCalculs[Besoin RAM],TblCalculs[Mois],$B23,TblCalculs[Plateforme],"ROKS"))</f>
        <v>1440</v>
      </c>
      <c r="R23" s="22" t="n">
        <f aca="false">IF($A23&gt;p_horizon,"",SUMIFS(TblCalculs[Sans DR – coût],TblCalculs[Mois],$B23))</f>
        <v>42984</v>
      </c>
      <c r="S23" s="22" t="n">
        <f aca="false">IF($A23&gt;p_horizon,"",SUMIFS(TblCalculs[Sans migration – coût],TblCalculs[Mois],$B23))</f>
        <v>42984</v>
      </c>
      <c r="T23" s="22" t="n">
        <f aca="false">IF($A23&gt;p_horizon,"",K23-S23)</f>
        <v>0</v>
      </c>
      <c r="U23" s="22" t="n">
        <f aca="false">IF($A23&gt;p_horizon,"",SUMIFS(TblCalculs[Coût mensuel],TblCalculs[Mois],$B23,TblCalculs[Plateforme],"IKS",TblCalculs[Environnement],p_envcrit))</f>
        <v>29736</v>
      </c>
      <c r="V23" s="22" t="n">
        <f aca="false">IF($A23&gt;p_horizon,"",SUMIFS(TblCalculs[Coût mensuel],TblCalculs[Mois],$B23,TblCalculs[Plateforme],"ROKS",TblCalculs[Environnement],p_envcrit))</f>
        <v>13248</v>
      </c>
      <c r="W23" s="22" t="n">
        <f aca="false">IF($A23&gt;p_horizon,"",SUMIFS(TblCalculs[Coût mensuel],TblCalculs[Mois],$B23,TblCalculs[Environnement],p_envcrit)-SUMIFS(TblCalculs[Sans DR – coût],TblCalculs[Mois],$B23,TblCalculs[Environnement],p_envcrit))</f>
        <v>0</v>
      </c>
      <c r="X23" s="22" t="n">
        <f aca="false">IF($A23&gt;p_horizon,"",U23+V23)</f>
        <v>42984</v>
      </c>
    </row>
    <row r="24" customFormat="false" ht="15" hidden="false" customHeight="false" outlineLevel="0" collapsed="false">
      <c r="A24" s="59" t="n">
        <v>2</v>
      </c>
      <c r="B24" s="39" t="n">
        <f aca="false">IF($A24&gt;p_horizon,"",EDATE(p_debut,$A24-1))</f>
        <v>46327</v>
      </c>
      <c r="C24" s="59" t="n">
        <f aca="false">IF($A24&gt;p_horizon,"",SUMIFS(TblCalculs[CPU provisionné],TblCalculs[Mois],$B24,TblCalculs[Plateforme],"IKS"))</f>
        <v>896</v>
      </c>
      <c r="D24" s="59" t="n">
        <f aca="false">IF($A24&gt;p_horizon,"",SUMIFS(TblCalculs[CPU provisionné],TblCalculs[Mois],$B24,TblCalculs[Plateforme],"ROKS"))</f>
        <v>288</v>
      </c>
      <c r="E24" s="59" t="n">
        <f aca="false">IF($A24&gt;p_horizon,"",SUMIFS(TblCalculs[RAM provisionnée],TblCalculs[Mois],$B24,TblCalculs[Plateforme],"IKS"))</f>
        <v>3584</v>
      </c>
      <c r="F24" s="59" t="n">
        <f aca="false">IF($A24&gt;p_horizon,"",SUMIFS(TblCalculs[RAM provisionnée],TblCalculs[Mois],$B24,TblCalculs[Plateforme],"ROKS"))</f>
        <v>1440</v>
      </c>
      <c r="G24" s="59" t="n">
        <f aca="false">IF($A24&gt;p_horizon,"",SUMIFS(TblCalculs[Workers],TblCalculs[Mois],$B24,TblCalculs[Plateforme],"IKS"))</f>
        <v>38</v>
      </c>
      <c r="H24" s="59" t="n">
        <f aca="false">IF($A24&gt;p_horizon,"",SUMIFS(TblCalculs[Workers],TblCalculs[Mois],$B24,TblCalculs[Plateforme],"ROKS"))</f>
        <v>12</v>
      </c>
      <c r="I24" s="22" t="n">
        <f aca="false">IF($A24&gt;p_horizon,"",SUMIFS(TblCalculs[Coût mensuel],TblCalculs[Mois],$B24,TblCalculs[Plateforme],"IKS"))</f>
        <v>29736</v>
      </c>
      <c r="J24" s="22" t="n">
        <f aca="false">IF($A24&gt;p_horizon,"",SUMIFS(TblCalculs[Coût mensuel],TblCalculs[Mois],$B24,TblCalculs[Plateforme],"ROKS"))</f>
        <v>13248</v>
      </c>
      <c r="K24" s="22" t="n">
        <f aca="false">IF($A24&gt;p_horizon,"",I24+J24)</f>
        <v>42984</v>
      </c>
      <c r="L24" s="22" t="n">
        <f aca="false">IF($A24&gt;p_horizon,"",K24-R24)</f>
        <v>0</v>
      </c>
      <c r="M24" s="22" t="n">
        <f aca="false">IF($A24&gt;p_horizon,"",SUM($L$23:L24))</f>
        <v>0</v>
      </c>
      <c r="N24" s="59" t="n">
        <f aca="false">IF($A24&gt;p_horizon,"",SUMPRODUCT((TblApplications[Action]="À migrer")*(TblApplications[Mois prov (calc)]&lt;=$B24)*(TblApplications[Mois lib (calc)]&gt;$B24)))</f>
        <v>0</v>
      </c>
      <c r="O24" s="59" t="n">
        <f aca="false">IF($A24&gt;p_horizon,"",C24+D24)</f>
        <v>1184</v>
      </c>
      <c r="P24" s="59" t="n">
        <f aca="false">IF($A24&gt;p_horizon,"",SUMIFS(TblCalculs[Besoin CPU],TblCalculs[Mois],$B24,TblCalculs[Plateforme],"ROKS"))</f>
        <v>288</v>
      </c>
      <c r="Q24" s="59" t="n">
        <f aca="false">IF($A24&gt;p_horizon,"",SUMIFS(TblCalculs[Besoin RAM],TblCalculs[Mois],$B24,TblCalculs[Plateforme],"ROKS"))</f>
        <v>1440</v>
      </c>
      <c r="R24" s="22" t="n">
        <f aca="false">IF($A24&gt;p_horizon,"",SUMIFS(TblCalculs[Sans DR – coût],TblCalculs[Mois],$B24))</f>
        <v>42984</v>
      </c>
      <c r="S24" s="22" t="n">
        <f aca="false">IF($A24&gt;p_horizon,"",SUMIFS(TblCalculs[Sans migration – coût],TblCalculs[Mois],$B24))</f>
        <v>42984</v>
      </c>
      <c r="T24" s="22" t="n">
        <f aca="false">IF($A24&gt;p_horizon,"",K24-S24)</f>
        <v>0</v>
      </c>
      <c r="U24" s="22" t="n">
        <f aca="false">IF($A24&gt;p_horizon,"",SUMIFS(TblCalculs[Coût mensuel],TblCalculs[Mois],$B24,TblCalculs[Plateforme],"IKS",TblCalculs[Environnement],p_envcrit))</f>
        <v>29736</v>
      </c>
      <c r="V24" s="22" t="n">
        <f aca="false">IF($A24&gt;p_horizon,"",SUMIFS(TblCalculs[Coût mensuel],TblCalculs[Mois],$B24,TblCalculs[Plateforme],"ROKS",TblCalculs[Environnement],p_envcrit))</f>
        <v>13248</v>
      </c>
      <c r="W24" s="22" t="n">
        <f aca="false">IF($A24&gt;p_horizon,"",SUMIFS(TblCalculs[Coût mensuel],TblCalculs[Mois],$B24,TblCalculs[Environnement],p_envcrit)-SUMIFS(TblCalculs[Sans DR – coût],TblCalculs[Mois],$B24,TblCalculs[Environnement],p_envcrit))</f>
        <v>0</v>
      </c>
      <c r="X24" s="22" t="n">
        <f aca="false">IF($A24&gt;p_horizon,"",U24+V24)</f>
        <v>42984</v>
      </c>
    </row>
    <row r="25" customFormat="false" ht="15" hidden="false" customHeight="false" outlineLevel="0" collapsed="false">
      <c r="A25" s="59" t="n">
        <v>3</v>
      </c>
      <c r="B25" s="39" t="n">
        <f aca="false">IF($A25&gt;p_horizon,"",EDATE(p_debut,$A25-1))</f>
        <v>46357</v>
      </c>
      <c r="C25" s="59" t="n">
        <f aca="false">IF($A25&gt;p_horizon,"",SUMIFS(TblCalculs[CPU provisionné],TblCalculs[Mois],$B25,TblCalculs[Plateforme],"IKS"))</f>
        <v>896</v>
      </c>
      <c r="D25" s="59" t="n">
        <f aca="false">IF($A25&gt;p_horizon,"",SUMIFS(TblCalculs[CPU provisionné],TblCalculs[Mois],$B25,TblCalculs[Plateforme],"ROKS"))</f>
        <v>288</v>
      </c>
      <c r="E25" s="59" t="n">
        <f aca="false">IF($A25&gt;p_horizon,"",SUMIFS(TblCalculs[RAM provisionnée],TblCalculs[Mois],$B25,TblCalculs[Plateforme],"IKS"))</f>
        <v>3584</v>
      </c>
      <c r="F25" s="59" t="n">
        <f aca="false">IF($A25&gt;p_horizon,"",SUMIFS(TblCalculs[RAM provisionnée],TblCalculs[Mois],$B25,TblCalculs[Plateforme],"ROKS"))</f>
        <v>1440</v>
      </c>
      <c r="G25" s="59" t="n">
        <f aca="false">IF($A25&gt;p_horizon,"",SUMIFS(TblCalculs[Workers],TblCalculs[Mois],$B25,TblCalculs[Plateforme],"IKS"))</f>
        <v>38</v>
      </c>
      <c r="H25" s="59" t="n">
        <f aca="false">IF($A25&gt;p_horizon,"",SUMIFS(TblCalculs[Workers],TblCalculs[Mois],$B25,TblCalculs[Plateforme],"ROKS"))</f>
        <v>12</v>
      </c>
      <c r="I25" s="22" t="n">
        <f aca="false">IF($A25&gt;p_horizon,"",SUMIFS(TblCalculs[Coût mensuel],TblCalculs[Mois],$B25,TblCalculs[Plateforme],"IKS"))</f>
        <v>29736</v>
      </c>
      <c r="J25" s="22" t="n">
        <f aca="false">IF($A25&gt;p_horizon,"",SUMIFS(TblCalculs[Coût mensuel],TblCalculs[Mois],$B25,TblCalculs[Plateforme],"ROKS"))</f>
        <v>13248</v>
      </c>
      <c r="K25" s="22" t="n">
        <f aca="false">IF($A25&gt;p_horizon,"",I25+J25)</f>
        <v>42984</v>
      </c>
      <c r="L25" s="22" t="n">
        <f aca="false">IF($A25&gt;p_horizon,"",K25-R25)</f>
        <v>0</v>
      </c>
      <c r="M25" s="22" t="n">
        <f aca="false">IF($A25&gt;p_horizon,"",SUM($L$23:L25))</f>
        <v>0</v>
      </c>
      <c r="N25" s="59" t="n">
        <f aca="false">IF($A25&gt;p_horizon,"",SUMPRODUCT((TblApplications[Action]="À migrer")*(TblApplications[Mois prov (calc)]&lt;=$B25)*(TblApplications[Mois lib (calc)]&gt;$B25)))</f>
        <v>0</v>
      </c>
      <c r="O25" s="59" t="n">
        <f aca="false">IF($A25&gt;p_horizon,"",C25+D25)</f>
        <v>1184</v>
      </c>
      <c r="P25" s="59" t="n">
        <f aca="false">IF($A25&gt;p_horizon,"",SUMIFS(TblCalculs[Besoin CPU],TblCalculs[Mois],$B25,TblCalculs[Plateforme],"ROKS"))</f>
        <v>288</v>
      </c>
      <c r="Q25" s="59" t="n">
        <f aca="false">IF($A25&gt;p_horizon,"",SUMIFS(TblCalculs[Besoin RAM],TblCalculs[Mois],$B25,TblCalculs[Plateforme],"ROKS"))</f>
        <v>1440</v>
      </c>
      <c r="R25" s="22" t="n">
        <f aca="false">IF($A25&gt;p_horizon,"",SUMIFS(TblCalculs[Sans DR – coût],TblCalculs[Mois],$B25))</f>
        <v>42984</v>
      </c>
      <c r="S25" s="22" t="n">
        <f aca="false">IF($A25&gt;p_horizon,"",SUMIFS(TblCalculs[Sans migration – coût],TblCalculs[Mois],$B25))</f>
        <v>42984</v>
      </c>
      <c r="T25" s="22" t="n">
        <f aca="false">IF($A25&gt;p_horizon,"",K25-S25)</f>
        <v>0</v>
      </c>
      <c r="U25" s="22" t="n">
        <f aca="false">IF($A25&gt;p_horizon,"",SUMIFS(TblCalculs[Coût mensuel],TblCalculs[Mois],$B25,TblCalculs[Plateforme],"IKS",TblCalculs[Environnement],p_envcrit))</f>
        <v>29736</v>
      </c>
      <c r="V25" s="22" t="n">
        <f aca="false">IF($A25&gt;p_horizon,"",SUMIFS(TblCalculs[Coût mensuel],TblCalculs[Mois],$B25,TblCalculs[Plateforme],"ROKS",TblCalculs[Environnement],p_envcrit))</f>
        <v>13248</v>
      </c>
      <c r="W25" s="22" t="n">
        <f aca="false">IF($A25&gt;p_horizon,"",SUMIFS(TblCalculs[Coût mensuel],TblCalculs[Mois],$B25,TblCalculs[Environnement],p_envcrit)-SUMIFS(TblCalculs[Sans DR – coût],TblCalculs[Mois],$B25,TblCalculs[Environnement],p_envcrit))</f>
        <v>0</v>
      </c>
      <c r="X25" s="22" t="n">
        <f aca="false">IF($A25&gt;p_horizon,"",U25+V25)</f>
        <v>42984</v>
      </c>
    </row>
    <row r="26" customFormat="false" ht="15" hidden="false" customHeight="false" outlineLevel="0" collapsed="false">
      <c r="A26" s="59" t="n">
        <v>4</v>
      </c>
      <c r="B26" s="39" t="n">
        <f aca="false">IF($A26&gt;p_horizon,"",EDATE(p_debut,$A26-1))</f>
        <v>46388</v>
      </c>
      <c r="C26" s="59" t="n">
        <f aca="false">IF($A26&gt;p_horizon,"",SUMIFS(TblCalculs[CPU provisionné],TblCalculs[Mois],$B26,TblCalculs[Plateforme],"IKS"))</f>
        <v>896</v>
      </c>
      <c r="D26" s="59" t="n">
        <f aca="false">IF($A26&gt;p_horizon,"",SUMIFS(TblCalculs[CPU provisionné],TblCalculs[Mois],$B26,TblCalculs[Plateforme],"ROKS"))</f>
        <v>320</v>
      </c>
      <c r="E26" s="59" t="n">
        <f aca="false">IF($A26&gt;p_horizon,"",SUMIFS(TblCalculs[RAM provisionnée],TblCalculs[Mois],$B26,TblCalculs[Plateforme],"IKS"))</f>
        <v>3584</v>
      </c>
      <c r="F26" s="59" t="n">
        <f aca="false">IF($A26&gt;p_horizon,"",SUMIFS(TblCalculs[RAM provisionnée],TblCalculs[Mois],$B26,TblCalculs[Plateforme],"ROKS"))</f>
        <v>1600</v>
      </c>
      <c r="G26" s="59" t="n">
        <f aca="false">IF($A26&gt;p_horizon,"",SUMIFS(TblCalculs[Workers],TblCalculs[Mois],$B26,TblCalculs[Plateforme],"IKS"))</f>
        <v>38</v>
      </c>
      <c r="H26" s="59" t="n">
        <f aca="false">IF($A26&gt;p_horizon,"",SUMIFS(TblCalculs[Workers],TblCalculs[Mois],$B26,TblCalculs[Plateforme],"ROKS"))</f>
        <v>14</v>
      </c>
      <c r="I26" s="22" t="n">
        <f aca="false">IF($A26&gt;p_horizon,"",SUMIFS(TblCalculs[Coût mensuel],TblCalculs[Mois],$B26,TblCalculs[Plateforme],"IKS"))</f>
        <v>29736</v>
      </c>
      <c r="J26" s="22" t="n">
        <f aca="false">IF($A26&gt;p_horizon,"",SUMIFS(TblCalculs[Coût mensuel],TblCalculs[Mois],$B26,TblCalculs[Plateforme],"ROKS"))</f>
        <v>14720</v>
      </c>
      <c r="K26" s="22" t="n">
        <f aca="false">IF($A26&gt;p_horizon,"",I26+J26)</f>
        <v>44456</v>
      </c>
      <c r="L26" s="22" t="n">
        <f aca="false">IF($A26&gt;p_horizon,"",K26-R26)</f>
        <v>1593</v>
      </c>
      <c r="M26" s="22" t="n">
        <f aca="false">IF($A26&gt;p_horizon,"",SUM($L$23:L26))</f>
        <v>1593</v>
      </c>
      <c r="N26" s="59" t="n">
        <f aca="false">IF($A26&gt;p_horizon,"",SUMPRODUCT((TblApplications[Action]="À migrer")*(TblApplications[Mois prov (calc)]&lt;=$B26)*(TblApplications[Mois lib (calc)]&gt;$B26)))</f>
        <v>2</v>
      </c>
      <c r="O26" s="59" t="n">
        <f aca="false">IF($A26&gt;p_horizon,"",C26+D26)</f>
        <v>1216</v>
      </c>
      <c r="P26" s="59" t="n">
        <f aca="false">IF($A26&gt;p_horizon,"",SUMIFS(TblCalculs[Besoin CPU],TblCalculs[Mois],$B26,TblCalculs[Plateforme],"ROKS"))</f>
        <v>313</v>
      </c>
      <c r="Q26" s="59" t="n">
        <f aca="false">IF($A26&gt;p_horizon,"",SUMIFS(TblCalculs[Besoin RAM],TblCalculs[Mois],$B26,TblCalculs[Plateforme],"ROKS"))</f>
        <v>1560</v>
      </c>
      <c r="R26" s="22" t="n">
        <f aca="false">IF($A26&gt;p_horizon,"",SUMIFS(TblCalculs[Sans DR – coût],TblCalculs[Mois],$B26))</f>
        <v>42863</v>
      </c>
      <c r="S26" s="22" t="n">
        <f aca="false">IF($A26&gt;p_horizon,"",SUMIFS(TblCalculs[Sans migration – coût],TblCalculs[Mois],$B26))</f>
        <v>42984</v>
      </c>
      <c r="T26" s="22" t="n">
        <f aca="false">IF($A26&gt;p_horizon,"",K26-S26)</f>
        <v>1472</v>
      </c>
      <c r="U26" s="22" t="n">
        <f aca="false">IF($A26&gt;p_horizon,"",SUMIFS(TblCalculs[Coût mensuel],TblCalculs[Mois],$B26,TblCalculs[Plateforme],"IKS",TblCalculs[Environnement],p_envcrit))</f>
        <v>29736</v>
      </c>
      <c r="V26" s="22" t="n">
        <f aca="false">IF($A26&gt;p_horizon,"",SUMIFS(TblCalculs[Coût mensuel],TblCalculs[Mois],$B26,TblCalculs[Plateforme],"ROKS",TblCalculs[Environnement],p_envcrit))</f>
        <v>14720</v>
      </c>
      <c r="W26" s="22" t="n">
        <f aca="false">IF($A26&gt;p_horizon,"",SUMIFS(TblCalculs[Coût mensuel],TblCalculs[Mois],$B26,TblCalculs[Environnement],p_envcrit)-SUMIFS(TblCalculs[Sans DR – coût],TblCalculs[Mois],$B26,TblCalculs[Environnement],p_envcrit))</f>
        <v>1593</v>
      </c>
      <c r="X26" s="22" t="n">
        <f aca="false">IF($A26&gt;p_horizon,"",U26+V26)</f>
        <v>44456</v>
      </c>
    </row>
    <row r="27" customFormat="false" ht="15" hidden="false" customHeight="false" outlineLevel="0" collapsed="false">
      <c r="A27" s="59" t="n">
        <v>5</v>
      </c>
      <c r="B27" s="39" t="n">
        <f aca="false">IF($A27&gt;p_horizon,"",EDATE(p_debut,$A27-1))</f>
        <v>46419</v>
      </c>
      <c r="C27" s="59" t="n">
        <f aca="false">IF($A27&gt;p_horizon,"",SUMIFS(TblCalculs[CPU provisionné],TblCalculs[Mois],$B27,TblCalculs[Plateforme],"IKS"))</f>
        <v>880</v>
      </c>
      <c r="D27" s="59" t="n">
        <f aca="false">IF($A27&gt;p_horizon,"",SUMIFS(TblCalculs[CPU provisionné],TblCalculs[Mois],$B27,TblCalculs[Plateforme],"ROKS"))</f>
        <v>320</v>
      </c>
      <c r="E27" s="59" t="n">
        <f aca="false">IF($A27&gt;p_horizon,"",SUMIFS(TblCalculs[RAM provisionnée],TblCalculs[Mois],$B27,TblCalculs[Plateforme],"IKS"))</f>
        <v>3520</v>
      </c>
      <c r="F27" s="59" t="n">
        <f aca="false">IF($A27&gt;p_horizon,"",SUMIFS(TblCalculs[RAM provisionnée],TblCalculs[Mois],$B27,TblCalculs[Plateforme],"ROKS"))</f>
        <v>1600</v>
      </c>
      <c r="G27" s="59" t="n">
        <f aca="false">IF($A27&gt;p_horizon,"",SUMIFS(TblCalculs[Workers],TblCalculs[Mois],$B27,TblCalculs[Plateforme],"IKS"))</f>
        <v>37</v>
      </c>
      <c r="H27" s="59" t="n">
        <f aca="false">IF($A27&gt;p_horizon,"",SUMIFS(TblCalculs[Workers],TblCalculs[Mois],$B27,TblCalculs[Plateforme],"ROKS"))</f>
        <v>14</v>
      </c>
      <c r="I27" s="22" t="n">
        <f aca="false">IF($A27&gt;p_horizon,"",SUMIFS(TblCalculs[Coût mensuel],TblCalculs[Mois],$B27,TblCalculs[Plateforme],"IKS"))</f>
        <v>29205</v>
      </c>
      <c r="J27" s="22" t="n">
        <f aca="false">IF($A27&gt;p_horizon,"",SUMIFS(TblCalculs[Coût mensuel],TblCalculs[Mois],$B27,TblCalculs[Plateforme],"ROKS"))</f>
        <v>14720</v>
      </c>
      <c r="K27" s="22" t="n">
        <f aca="false">IF($A27&gt;p_horizon,"",I27+J27)</f>
        <v>43925</v>
      </c>
      <c r="L27" s="22" t="n">
        <f aca="false">IF($A27&gt;p_horizon,"",K27-R27)</f>
        <v>1062</v>
      </c>
      <c r="M27" s="22" t="n">
        <f aca="false">IF($A27&gt;p_horizon,"",SUM($L$23:L27))</f>
        <v>2655</v>
      </c>
      <c r="N27" s="59" t="n">
        <f aca="false">IF($A27&gt;p_horizon,"",SUMPRODUCT((TblApplications[Action]="À migrer")*(TblApplications[Mois prov (calc)]&lt;=$B27)*(TblApplications[Mois lib (calc)]&gt;$B27)))</f>
        <v>1</v>
      </c>
      <c r="O27" s="59" t="n">
        <f aca="false">IF($A27&gt;p_horizon,"",C27+D27)</f>
        <v>1200</v>
      </c>
      <c r="P27" s="59" t="n">
        <f aca="false">IF($A27&gt;p_horizon,"",SUMIFS(TblCalculs[Besoin CPU],TblCalculs[Mois],$B27,TblCalculs[Plateforme],"ROKS"))</f>
        <v>313</v>
      </c>
      <c r="Q27" s="59" t="n">
        <f aca="false">IF($A27&gt;p_horizon,"",SUMIFS(TblCalculs[Besoin RAM],TblCalculs[Mois],$B27,TblCalculs[Plateforme],"ROKS"))</f>
        <v>1560</v>
      </c>
      <c r="R27" s="22" t="n">
        <f aca="false">IF($A27&gt;p_horizon,"",SUMIFS(TblCalculs[Sans DR – coût],TblCalculs[Mois],$B27))</f>
        <v>42863</v>
      </c>
      <c r="S27" s="22" t="n">
        <f aca="false">IF($A27&gt;p_horizon,"",SUMIFS(TblCalculs[Sans migration – coût],TblCalculs[Mois],$B27))</f>
        <v>42984</v>
      </c>
      <c r="T27" s="22" t="n">
        <f aca="false">IF($A27&gt;p_horizon,"",K27-S27)</f>
        <v>941</v>
      </c>
      <c r="U27" s="22" t="n">
        <f aca="false">IF($A27&gt;p_horizon,"",SUMIFS(TblCalculs[Coût mensuel],TblCalculs[Mois],$B27,TblCalculs[Plateforme],"IKS",TblCalculs[Environnement],p_envcrit))</f>
        <v>29205</v>
      </c>
      <c r="V27" s="22" t="n">
        <f aca="false">IF($A27&gt;p_horizon,"",SUMIFS(TblCalculs[Coût mensuel],TblCalculs[Mois],$B27,TblCalculs[Plateforme],"ROKS",TblCalculs[Environnement],p_envcrit))</f>
        <v>14720</v>
      </c>
      <c r="W27" s="22" t="n">
        <f aca="false">IF($A27&gt;p_horizon,"",SUMIFS(TblCalculs[Coût mensuel],TblCalculs[Mois],$B27,TblCalculs[Environnement],p_envcrit)-SUMIFS(TblCalculs[Sans DR – coût],TblCalculs[Mois],$B27,TblCalculs[Environnement],p_envcrit))</f>
        <v>1062</v>
      </c>
      <c r="X27" s="22" t="n">
        <f aca="false">IF($A27&gt;p_horizon,"",U27+V27)</f>
        <v>43925</v>
      </c>
    </row>
    <row r="28" customFormat="false" ht="15" hidden="false" customHeight="false" outlineLevel="0" collapsed="false">
      <c r="A28" s="59" t="n">
        <v>6</v>
      </c>
      <c r="B28" s="39" t="n">
        <f aca="false">IF($A28&gt;p_horizon,"",EDATE(p_debut,$A28-1))</f>
        <v>46447</v>
      </c>
      <c r="C28" s="59" t="n">
        <f aca="false">IF($A28&gt;p_horizon,"",SUMIFS(TblCalculs[CPU provisionné],TblCalculs[Mois],$B28,TblCalculs[Plateforme],"IKS"))</f>
        <v>848</v>
      </c>
      <c r="D28" s="59" t="n">
        <f aca="false">IF($A28&gt;p_horizon,"",SUMIFS(TblCalculs[CPU provisionné],TblCalculs[Mois],$B28,TblCalculs[Plateforme],"ROKS"))</f>
        <v>320</v>
      </c>
      <c r="E28" s="59" t="n">
        <f aca="false">IF($A28&gt;p_horizon,"",SUMIFS(TblCalculs[RAM provisionnée],TblCalculs[Mois],$B28,TblCalculs[Plateforme],"IKS"))</f>
        <v>3392</v>
      </c>
      <c r="F28" s="59" t="n">
        <f aca="false">IF($A28&gt;p_horizon,"",SUMIFS(TblCalculs[RAM provisionnée],TblCalculs[Mois],$B28,TblCalculs[Plateforme],"ROKS"))</f>
        <v>1600</v>
      </c>
      <c r="G28" s="59" t="n">
        <f aca="false">IF($A28&gt;p_horizon,"",SUMIFS(TblCalculs[Workers],TblCalculs[Mois],$B28,TblCalculs[Plateforme],"IKS"))</f>
        <v>35</v>
      </c>
      <c r="H28" s="59" t="n">
        <f aca="false">IF($A28&gt;p_horizon,"",SUMIFS(TblCalculs[Workers],TblCalculs[Mois],$B28,TblCalculs[Plateforme],"ROKS"))</f>
        <v>14</v>
      </c>
      <c r="I28" s="22" t="n">
        <f aca="false">IF($A28&gt;p_horizon,"",SUMIFS(TblCalculs[Coût mensuel],TblCalculs[Mois],$B28,TblCalculs[Plateforme],"IKS"))</f>
        <v>28143</v>
      </c>
      <c r="J28" s="22" t="n">
        <f aca="false">IF($A28&gt;p_horizon,"",SUMIFS(TblCalculs[Coût mensuel],TblCalculs[Mois],$B28,TblCalculs[Plateforme],"ROKS"))</f>
        <v>14720</v>
      </c>
      <c r="K28" s="22" t="n">
        <f aca="false">IF($A28&gt;p_horizon,"",I28+J28)</f>
        <v>42863</v>
      </c>
      <c r="L28" s="22" t="n">
        <f aca="false">IF($A28&gt;p_horizon,"",K28-R28)</f>
        <v>0</v>
      </c>
      <c r="M28" s="22" t="n">
        <f aca="false">IF($A28&gt;p_horizon,"",SUM($L$23:L28))</f>
        <v>2655</v>
      </c>
      <c r="N28" s="59" t="n">
        <f aca="false">IF($A28&gt;p_horizon,"",SUMPRODUCT((TblApplications[Action]="À migrer")*(TblApplications[Mois prov (calc)]&lt;=$B28)*(TblApplications[Mois lib (calc)]&gt;$B28)))</f>
        <v>0</v>
      </c>
      <c r="O28" s="59" t="n">
        <f aca="false">IF($A28&gt;p_horizon,"",C28+D28)</f>
        <v>1168</v>
      </c>
      <c r="P28" s="59" t="n">
        <f aca="false">IF($A28&gt;p_horizon,"",SUMIFS(TblCalculs[Besoin CPU],TblCalculs[Mois],$B28,TblCalculs[Plateforme],"ROKS"))</f>
        <v>313</v>
      </c>
      <c r="Q28" s="59" t="n">
        <f aca="false">IF($A28&gt;p_horizon,"",SUMIFS(TblCalculs[Besoin RAM],TblCalculs[Mois],$B28,TblCalculs[Plateforme],"ROKS"))</f>
        <v>1560</v>
      </c>
      <c r="R28" s="22" t="n">
        <f aca="false">IF($A28&gt;p_horizon,"",SUMIFS(TblCalculs[Sans DR – coût],TblCalculs[Mois],$B28))</f>
        <v>42863</v>
      </c>
      <c r="S28" s="22" t="n">
        <f aca="false">IF($A28&gt;p_horizon,"",SUMIFS(TblCalculs[Sans migration – coût],TblCalculs[Mois],$B28))</f>
        <v>42984</v>
      </c>
      <c r="T28" s="22" t="n">
        <f aca="false">IF($A28&gt;p_horizon,"",K28-S28)</f>
        <v>-121</v>
      </c>
      <c r="U28" s="22" t="n">
        <f aca="false">IF($A28&gt;p_horizon,"",SUMIFS(TblCalculs[Coût mensuel],TblCalculs[Mois],$B28,TblCalculs[Plateforme],"IKS",TblCalculs[Environnement],p_envcrit))</f>
        <v>28143</v>
      </c>
      <c r="V28" s="22" t="n">
        <f aca="false">IF($A28&gt;p_horizon,"",SUMIFS(TblCalculs[Coût mensuel],TblCalculs[Mois],$B28,TblCalculs[Plateforme],"ROKS",TblCalculs[Environnement],p_envcrit))</f>
        <v>14720</v>
      </c>
      <c r="W28" s="22" t="n">
        <f aca="false">IF($A28&gt;p_horizon,"",SUMIFS(TblCalculs[Coût mensuel],TblCalculs[Mois],$B28,TblCalculs[Environnement],p_envcrit)-SUMIFS(TblCalculs[Sans DR – coût],TblCalculs[Mois],$B28,TblCalculs[Environnement],p_envcrit))</f>
        <v>0</v>
      </c>
      <c r="X28" s="22" t="n">
        <f aca="false">IF($A28&gt;p_horizon,"",U28+V28)</f>
        <v>42863</v>
      </c>
    </row>
    <row r="29" customFormat="false" ht="15" hidden="false" customHeight="false" outlineLevel="0" collapsed="false">
      <c r="A29" s="59" t="n">
        <v>7</v>
      </c>
      <c r="B29" s="39" t="n">
        <f aca="false">IF($A29&gt;p_horizon,"",EDATE(p_debut,$A29-1))</f>
        <v>46478</v>
      </c>
      <c r="C29" s="59" t="n">
        <f aca="false">IF($A29&gt;p_horizon,"",SUMIFS(TblCalculs[CPU provisionné],TblCalculs[Mois],$B29,TblCalculs[Plateforme],"IKS"))</f>
        <v>848</v>
      </c>
      <c r="D29" s="59" t="n">
        <f aca="false">IF($A29&gt;p_horizon,"",SUMIFS(TblCalculs[CPU provisionné],TblCalculs[Mois],$B29,TblCalculs[Plateforme],"ROKS"))</f>
        <v>416</v>
      </c>
      <c r="E29" s="59" t="n">
        <f aca="false">IF($A29&gt;p_horizon,"",SUMIFS(TblCalculs[RAM provisionnée],TblCalculs[Mois],$B29,TblCalculs[Plateforme],"IKS"))</f>
        <v>3392</v>
      </c>
      <c r="F29" s="59" t="n">
        <f aca="false">IF($A29&gt;p_horizon,"",SUMIFS(TblCalculs[RAM provisionnée],TblCalculs[Mois],$B29,TblCalculs[Plateforme],"ROKS"))</f>
        <v>2080</v>
      </c>
      <c r="G29" s="59" t="n">
        <f aca="false">IF($A29&gt;p_horizon,"",SUMIFS(TblCalculs[Workers],TblCalculs[Mois],$B29,TblCalculs[Plateforme],"IKS"))</f>
        <v>35</v>
      </c>
      <c r="H29" s="59" t="n">
        <f aca="false">IF($A29&gt;p_horizon,"",SUMIFS(TblCalculs[Workers],TblCalculs[Mois],$B29,TblCalculs[Plateforme],"ROKS"))</f>
        <v>17</v>
      </c>
      <c r="I29" s="22" t="n">
        <f aca="false">IF($A29&gt;p_horizon,"",SUMIFS(TblCalculs[Coût mensuel],TblCalculs[Mois],$B29,TblCalculs[Plateforme],"IKS"))</f>
        <v>28143</v>
      </c>
      <c r="J29" s="22" t="n">
        <f aca="false">IF($A29&gt;p_horizon,"",SUMIFS(TblCalculs[Coût mensuel],TblCalculs[Mois],$B29,TblCalculs[Plateforme],"ROKS"))</f>
        <v>19136</v>
      </c>
      <c r="K29" s="22" t="n">
        <f aca="false">IF($A29&gt;p_horizon,"",I29+J29)</f>
        <v>47279</v>
      </c>
      <c r="L29" s="22" t="n">
        <f aca="false">IF($A29&gt;p_horizon,"",K29-R29)</f>
        <v>5310</v>
      </c>
      <c r="M29" s="22" t="n">
        <f aca="false">IF($A29&gt;p_horizon,"",SUM($L$23:L29))</f>
        <v>7965</v>
      </c>
      <c r="N29" s="59" t="n">
        <f aca="false">IF($A29&gt;p_horizon,"",SUMPRODUCT((TblApplications[Action]="À migrer")*(TblApplications[Mois prov (calc)]&lt;=$B29)*(TblApplications[Mois lib (calc)]&gt;$B29)))</f>
        <v>1</v>
      </c>
      <c r="O29" s="59" t="n">
        <f aca="false">IF($A29&gt;p_horizon,"",C29+D29)</f>
        <v>1264</v>
      </c>
      <c r="P29" s="59" t="n">
        <f aca="false">IF($A29&gt;p_horizon,"",SUMIFS(TblCalculs[Besoin CPU],TblCalculs[Mois],$B29,TblCalculs[Plateforme],"ROKS"))</f>
        <v>385</v>
      </c>
      <c r="Q29" s="59" t="n">
        <f aca="false">IF($A29&gt;p_horizon,"",SUMIFS(TblCalculs[Besoin RAM],TblCalculs[Mois],$B29,TblCalculs[Plateforme],"ROKS"))</f>
        <v>1944</v>
      </c>
      <c r="R29" s="22" t="n">
        <f aca="false">IF($A29&gt;p_horizon,"",SUMIFS(TblCalculs[Sans DR – coût],TblCalculs[Mois],$B29))</f>
        <v>41969</v>
      </c>
      <c r="S29" s="22" t="n">
        <f aca="false">IF($A29&gt;p_horizon,"",SUMIFS(TblCalculs[Sans migration – coût],TblCalculs[Mois],$B29))</f>
        <v>42984</v>
      </c>
      <c r="T29" s="22" t="n">
        <f aca="false">IF($A29&gt;p_horizon,"",K29-S29)</f>
        <v>4295</v>
      </c>
      <c r="U29" s="22" t="n">
        <f aca="false">IF($A29&gt;p_horizon,"",SUMIFS(TblCalculs[Coût mensuel],TblCalculs[Mois],$B29,TblCalculs[Plateforme],"IKS",TblCalculs[Environnement],p_envcrit))</f>
        <v>28143</v>
      </c>
      <c r="V29" s="22" t="n">
        <f aca="false">IF($A29&gt;p_horizon,"",SUMIFS(TblCalculs[Coût mensuel],TblCalculs[Mois],$B29,TblCalculs[Plateforme],"ROKS",TblCalculs[Environnement],p_envcrit))</f>
        <v>19136</v>
      </c>
      <c r="W29" s="22" t="n">
        <f aca="false">IF($A29&gt;p_horizon,"",SUMIFS(TblCalculs[Coût mensuel],TblCalculs[Mois],$B29,TblCalculs[Environnement],p_envcrit)-SUMIFS(TblCalculs[Sans DR – coût],TblCalculs[Mois],$B29,TblCalculs[Environnement],p_envcrit))</f>
        <v>5310</v>
      </c>
      <c r="X29" s="22" t="n">
        <f aca="false">IF($A29&gt;p_horizon,"",U29+V29)</f>
        <v>47279</v>
      </c>
    </row>
    <row r="30" customFormat="false" ht="15" hidden="false" customHeight="false" outlineLevel="0" collapsed="false">
      <c r="A30" s="59" t="n">
        <v>8</v>
      </c>
      <c r="B30" s="39" t="n">
        <f aca="false">IF($A30&gt;p_horizon,"",EDATE(p_debut,$A30-1))</f>
        <v>46508</v>
      </c>
      <c r="C30" s="59" t="n">
        <f aca="false">IF($A30&gt;p_horizon,"",SUMIFS(TblCalculs[CPU provisionné],TblCalculs[Mois],$B30,TblCalculs[Plateforme],"IKS"))</f>
        <v>848</v>
      </c>
      <c r="D30" s="59" t="n">
        <f aca="false">IF($A30&gt;p_horizon,"",SUMIFS(TblCalculs[CPU provisionné],TblCalculs[Mois],$B30,TblCalculs[Plateforme],"ROKS"))</f>
        <v>416</v>
      </c>
      <c r="E30" s="59" t="n">
        <f aca="false">IF($A30&gt;p_horizon,"",SUMIFS(TblCalculs[RAM provisionnée],TblCalculs[Mois],$B30,TblCalculs[Plateforme],"IKS"))</f>
        <v>3392</v>
      </c>
      <c r="F30" s="59" t="n">
        <f aca="false">IF($A30&gt;p_horizon,"",SUMIFS(TblCalculs[RAM provisionnée],TblCalculs[Mois],$B30,TblCalculs[Plateforme],"ROKS"))</f>
        <v>2080</v>
      </c>
      <c r="G30" s="59" t="n">
        <f aca="false">IF($A30&gt;p_horizon,"",SUMIFS(TblCalculs[Workers],TblCalculs[Mois],$B30,TblCalculs[Plateforme],"IKS"))</f>
        <v>35</v>
      </c>
      <c r="H30" s="59" t="n">
        <f aca="false">IF($A30&gt;p_horizon,"",SUMIFS(TblCalculs[Workers],TblCalculs[Mois],$B30,TblCalculs[Plateforme],"ROKS"))</f>
        <v>17</v>
      </c>
      <c r="I30" s="22" t="n">
        <f aca="false">IF($A30&gt;p_horizon,"",SUMIFS(TblCalculs[Coût mensuel],TblCalculs[Mois],$B30,TblCalculs[Plateforme],"IKS"))</f>
        <v>28143</v>
      </c>
      <c r="J30" s="22" t="n">
        <f aca="false">IF($A30&gt;p_horizon,"",SUMIFS(TblCalculs[Coût mensuel],TblCalculs[Mois],$B30,TblCalculs[Plateforme],"ROKS"))</f>
        <v>19136</v>
      </c>
      <c r="K30" s="22" t="n">
        <f aca="false">IF($A30&gt;p_horizon,"",I30+J30)</f>
        <v>47279</v>
      </c>
      <c r="L30" s="22" t="n">
        <f aca="false">IF($A30&gt;p_horizon,"",K30-R30)</f>
        <v>5310</v>
      </c>
      <c r="M30" s="22" t="n">
        <f aca="false">IF($A30&gt;p_horizon,"",SUM($L$23:L30))</f>
        <v>13275</v>
      </c>
      <c r="N30" s="59" t="n">
        <f aca="false">IF($A30&gt;p_horizon,"",SUMPRODUCT((TblApplications[Action]="À migrer")*(TblApplications[Mois prov (calc)]&lt;=$B30)*(TblApplications[Mois lib (calc)]&gt;$B30)))</f>
        <v>1</v>
      </c>
      <c r="O30" s="59" t="n">
        <f aca="false">IF($A30&gt;p_horizon,"",C30+D30)</f>
        <v>1264</v>
      </c>
      <c r="P30" s="59" t="n">
        <f aca="false">IF($A30&gt;p_horizon,"",SUMIFS(TblCalculs[Besoin CPU],TblCalculs[Mois],$B30,TblCalculs[Plateforme],"ROKS"))</f>
        <v>385</v>
      </c>
      <c r="Q30" s="59" t="n">
        <f aca="false">IF($A30&gt;p_horizon,"",SUMIFS(TblCalculs[Besoin RAM],TblCalculs[Mois],$B30,TblCalculs[Plateforme],"ROKS"))</f>
        <v>1944</v>
      </c>
      <c r="R30" s="22" t="n">
        <f aca="false">IF($A30&gt;p_horizon,"",SUMIFS(TblCalculs[Sans DR – coût],TblCalculs[Mois],$B30))</f>
        <v>41969</v>
      </c>
      <c r="S30" s="22" t="n">
        <f aca="false">IF($A30&gt;p_horizon,"",SUMIFS(TblCalculs[Sans migration – coût],TblCalculs[Mois],$B30))</f>
        <v>42984</v>
      </c>
      <c r="T30" s="22" t="n">
        <f aca="false">IF($A30&gt;p_horizon,"",K30-S30)</f>
        <v>4295</v>
      </c>
      <c r="U30" s="22" t="n">
        <f aca="false">IF($A30&gt;p_horizon,"",SUMIFS(TblCalculs[Coût mensuel],TblCalculs[Mois],$B30,TblCalculs[Plateforme],"IKS",TblCalculs[Environnement],p_envcrit))</f>
        <v>28143</v>
      </c>
      <c r="V30" s="22" t="n">
        <f aca="false">IF($A30&gt;p_horizon,"",SUMIFS(TblCalculs[Coût mensuel],TblCalculs[Mois],$B30,TblCalculs[Plateforme],"ROKS",TblCalculs[Environnement],p_envcrit))</f>
        <v>19136</v>
      </c>
      <c r="W30" s="22" t="n">
        <f aca="false">IF($A30&gt;p_horizon,"",SUMIFS(TblCalculs[Coût mensuel],TblCalculs[Mois],$B30,TblCalculs[Environnement],p_envcrit)-SUMIFS(TblCalculs[Sans DR – coût],TblCalculs[Mois],$B30,TblCalculs[Environnement],p_envcrit))</f>
        <v>5310</v>
      </c>
      <c r="X30" s="22" t="n">
        <f aca="false">IF($A30&gt;p_horizon,"",U30+V30)</f>
        <v>47279</v>
      </c>
    </row>
    <row r="31" customFormat="false" ht="15" hidden="false" customHeight="false" outlineLevel="0" collapsed="false">
      <c r="A31" s="59" t="n">
        <v>9</v>
      </c>
      <c r="B31" s="39" t="n">
        <f aca="false">IF($A31&gt;p_horizon,"",EDATE(p_debut,$A31-1))</f>
        <v>46539</v>
      </c>
      <c r="C31" s="59" t="n">
        <f aca="false">IF($A31&gt;p_horizon,"",SUMIFS(TblCalculs[CPU provisionné],TblCalculs[Mois],$B31,TblCalculs[Plateforme],"IKS"))</f>
        <v>832</v>
      </c>
      <c r="D31" s="59" t="n">
        <f aca="false">IF($A31&gt;p_horizon,"",SUMIFS(TblCalculs[CPU provisionné],TblCalculs[Mois],$B31,TblCalculs[Plateforme],"ROKS"))</f>
        <v>416</v>
      </c>
      <c r="E31" s="59" t="n">
        <f aca="false">IF($A31&gt;p_horizon,"",SUMIFS(TblCalculs[RAM provisionnée],TblCalculs[Mois],$B31,TblCalculs[Plateforme],"IKS"))</f>
        <v>3328</v>
      </c>
      <c r="F31" s="59" t="n">
        <f aca="false">IF($A31&gt;p_horizon,"",SUMIFS(TblCalculs[RAM provisionnée],TblCalculs[Mois],$B31,TblCalculs[Plateforme],"ROKS"))</f>
        <v>2080</v>
      </c>
      <c r="G31" s="59" t="n">
        <f aca="false">IF($A31&gt;p_horizon,"",SUMIFS(TblCalculs[Workers],TblCalculs[Mois],$B31,TblCalculs[Plateforme],"IKS"))</f>
        <v>34</v>
      </c>
      <c r="H31" s="59" t="n">
        <f aca="false">IF($A31&gt;p_horizon,"",SUMIFS(TblCalculs[Workers],TblCalculs[Mois],$B31,TblCalculs[Plateforme],"ROKS"))</f>
        <v>17</v>
      </c>
      <c r="I31" s="22" t="n">
        <f aca="false">IF($A31&gt;p_horizon,"",SUMIFS(TblCalculs[Coût mensuel],TblCalculs[Mois],$B31,TblCalculs[Plateforme],"IKS"))</f>
        <v>27612</v>
      </c>
      <c r="J31" s="22" t="n">
        <f aca="false">IF($A31&gt;p_horizon,"",SUMIFS(TblCalculs[Coût mensuel],TblCalculs[Mois],$B31,TblCalculs[Plateforme],"ROKS"))</f>
        <v>19136</v>
      </c>
      <c r="K31" s="22" t="n">
        <f aca="false">IF($A31&gt;p_horizon,"",I31+J31)</f>
        <v>46748</v>
      </c>
      <c r="L31" s="22" t="n">
        <f aca="false">IF($A31&gt;p_horizon,"",K31-R31)</f>
        <v>5310</v>
      </c>
      <c r="M31" s="22" t="n">
        <f aca="false">IF($A31&gt;p_horizon,"",SUM($L$23:L31))</f>
        <v>18585</v>
      </c>
      <c r="N31" s="59" t="n">
        <f aca="false">IF($A31&gt;p_horizon,"",SUMPRODUCT((TblApplications[Action]="À migrer")*(TblApplications[Mois prov (calc)]&lt;=$B31)*(TblApplications[Mois lib (calc)]&gt;$B31)))</f>
        <v>1</v>
      </c>
      <c r="O31" s="59" t="n">
        <f aca="false">IF($A31&gt;p_horizon,"",C31+D31)</f>
        <v>1248</v>
      </c>
      <c r="P31" s="59" t="n">
        <f aca="false">IF($A31&gt;p_horizon,"",SUMIFS(TblCalculs[Besoin CPU],TblCalculs[Mois],$B31,TblCalculs[Plateforme],"ROKS"))</f>
        <v>385</v>
      </c>
      <c r="Q31" s="59" t="n">
        <f aca="false">IF($A31&gt;p_horizon,"",SUMIFS(TblCalculs[Besoin RAM],TblCalculs[Mois],$B31,TblCalculs[Plateforme],"ROKS"))</f>
        <v>1944</v>
      </c>
      <c r="R31" s="22" t="n">
        <f aca="false">IF($A31&gt;p_horizon,"",SUMIFS(TblCalculs[Sans DR – coût],TblCalculs[Mois],$B31))</f>
        <v>41438</v>
      </c>
      <c r="S31" s="22" t="n">
        <f aca="false">IF($A31&gt;p_horizon,"",SUMIFS(TblCalculs[Sans migration – coût],TblCalculs[Mois],$B31))</f>
        <v>42984</v>
      </c>
      <c r="T31" s="22" t="n">
        <f aca="false">IF($A31&gt;p_horizon,"",K31-S31)</f>
        <v>3764</v>
      </c>
      <c r="U31" s="22" t="n">
        <f aca="false">IF($A31&gt;p_horizon,"",SUMIFS(TblCalculs[Coût mensuel],TblCalculs[Mois],$B31,TblCalculs[Plateforme],"IKS",TblCalculs[Environnement],p_envcrit))</f>
        <v>27612</v>
      </c>
      <c r="V31" s="22" t="n">
        <f aca="false">IF($A31&gt;p_horizon,"",SUMIFS(TblCalculs[Coût mensuel],TblCalculs[Mois],$B31,TblCalculs[Plateforme],"ROKS",TblCalculs[Environnement],p_envcrit))</f>
        <v>19136</v>
      </c>
      <c r="W31" s="22" t="n">
        <f aca="false">IF($A31&gt;p_horizon,"",SUMIFS(TblCalculs[Coût mensuel],TblCalculs[Mois],$B31,TblCalculs[Environnement],p_envcrit)-SUMIFS(TblCalculs[Sans DR – coût],TblCalculs[Mois],$B31,TblCalculs[Environnement],p_envcrit))</f>
        <v>5310</v>
      </c>
      <c r="X31" s="22" t="n">
        <f aca="false">IF($A31&gt;p_horizon,"",U31+V31)</f>
        <v>46748</v>
      </c>
    </row>
    <row r="32" customFormat="false" ht="15" hidden="false" customHeight="false" outlineLevel="0" collapsed="false">
      <c r="A32" s="59" t="n">
        <v>10</v>
      </c>
      <c r="B32" s="39" t="n">
        <f aca="false">IF($A32&gt;p_horizon,"",EDATE(p_debut,$A32-1))</f>
        <v>46569</v>
      </c>
      <c r="C32" s="59" t="n">
        <f aca="false">IF($A32&gt;p_horizon,"",SUMIFS(TblCalculs[CPU provisionné],TblCalculs[Mois],$B32,TblCalculs[Plateforme],"IKS"))</f>
        <v>672</v>
      </c>
      <c r="D32" s="59" t="n">
        <f aca="false">IF($A32&gt;p_horizon,"",SUMIFS(TblCalculs[CPU provisionné],TblCalculs[Mois],$B32,TblCalculs[Plateforme],"ROKS"))</f>
        <v>416</v>
      </c>
      <c r="E32" s="59" t="n">
        <f aca="false">IF($A32&gt;p_horizon,"",SUMIFS(TblCalculs[RAM provisionnée],TblCalculs[Mois],$B32,TblCalculs[Plateforme],"IKS"))</f>
        <v>2688</v>
      </c>
      <c r="F32" s="59" t="n">
        <f aca="false">IF($A32&gt;p_horizon,"",SUMIFS(TblCalculs[RAM provisionnée],TblCalculs[Mois],$B32,TblCalculs[Plateforme],"ROKS"))</f>
        <v>2080</v>
      </c>
      <c r="G32" s="59" t="n">
        <f aca="false">IF($A32&gt;p_horizon,"",SUMIFS(TblCalculs[Workers],TblCalculs[Mois],$B32,TblCalculs[Plateforme],"IKS"))</f>
        <v>29</v>
      </c>
      <c r="H32" s="59" t="n">
        <f aca="false">IF($A32&gt;p_horizon,"",SUMIFS(TblCalculs[Workers],TblCalculs[Mois],$B32,TblCalculs[Plateforme],"ROKS"))</f>
        <v>17</v>
      </c>
      <c r="I32" s="22" t="n">
        <f aca="false">IF($A32&gt;p_horizon,"",SUMIFS(TblCalculs[Coût mensuel],TblCalculs[Mois],$B32,TblCalculs[Plateforme],"IKS"))</f>
        <v>22302</v>
      </c>
      <c r="J32" s="22" t="n">
        <f aca="false">IF($A32&gt;p_horizon,"",SUMIFS(TblCalculs[Coût mensuel],TblCalculs[Mois],$B32,TblCalculs[Plateforme],"ROKS"))</f>
        <v>19136</v>
      </c>
      <c r="K32" s="22" t="n">
        <f aca="false">IF($A32&gt;p_horizon,"",I32+J32)</f>
        <v>41438</v>
      </c>
      <c r="L32" s="22" t="n">
        <f aca="false">IF($A32&gt;p_horizon,"",K32-R32)</f>
        <v>0</v>
      </c>
      <c r="M32" s="22" t="n">
        <f aca="false">IF($A32&gt;p_horizon,"",SUM($L$23:L32))</f>
        <v>18585</v>
      </c>
      <c r="N32" s="59" t="n">
        <f aca="false">IF($A32&gt;p_horizon,"",SUMPRODUCT((TblApplications[Action]="À migrer")*(TblApplications[Mois prov (calc)]&lt;=$B32)*(TblApplications[Mois lib (calc)]&gt;$B32)))</f>
        <v>0</v>
      </c>
      <c r="O32" s="59" t="n">
        <f aca="false">IF($A32&gt;p_horizon,"",C32+D32)</f>
        <v>1088</v>
      </c>
      <c r="P32" s="59" t="n">
        <f aca="false">IF($A32&gt;p_horizon,"",SUMIFS(TblCalculs[Besoin CPU],TblCalculs[Mois],$B32,TblCalculs[Plateforme],"ROKS"))</f>
        <v>385</v>
      </c>
      <c r="Q32" s="59" t="n">
        <f aca="false">IF($A32&gt;p_horizon,"",SUMIFS(TblCalculs[Besoin RAM],TblCalculs[Mois],$B32,TblCalculs[Plateforme],"ROKS"))</f>
        <v>1944</v>
      </c>
      <c r="R32" s="22" t="n">
        <f aca="false">IF($A32&gt;p_horizon,"",SUMIFS(TblCalculs[Sans DR – coût],TblCalculs[Mois],$B32))</f>
        <v>41438</v>
      </c>
      <c r="S32" s="22" t="n">
        <f aca="false">IF($A32&gt;p_horizon,"",SUMIFS(TblCalculs[Sans migration – coût],TblCalculs[Mois],$B32))</f>
        <v>42984</v>
      </c>
      <c r="T32" s="22" t="n">
        <f aca="false">IF($A32&gt;p_horizon,"",K32-S32)</f>
        <v>-1546</v>
      </c>
      <c r="U32" s="22" t="n">
        <f aca="false">IF($A32&gt;p_horizon,"",SUMIFS(TblCalculs[Coût mensuel],TblCalculs[Mois],$B32,TblCalculs[Plateforme],"IKS",TblCalculs[Environnement],p_envcrit))</f>
        <v>22302</v>
      </c>
      <c r="V32" s="22" t="n">
        <f aca="false">IF($A32&gt;p_horizon,"",SUMIFS(TblCalculs[Coût mensuel],TblCalculs[Mois],$B32,TblCalculs[Plateforme],"ROKS",TblCalculs[Environnement],p_envcrit))</f>
        <v>19136</v>
      </c>
      <c r="W32" s="22" t="n">
        <f aca="false">IF($A32&gt;p_horizon,"",SUMIFS(TblCalculs[Coût mensuel],TblCalculs[Mois],$B32,TblCalculs[Environnement],p_envcrit)-SUMIFS(TblCalculs[Sans DR – coût],TblCalculs[Mois],$B32,TblCalculs[Environnement],p_envcrit))</f>
        <v>0</v>
      </c>
      <c r="X32" s="22" t="n">
        <f aca="false">IF($A32&gt;p_horizon,"",U32+V32)</f>
        <v>41438</v>
      </c>
    </row>
    <row r="33" customFormat="false" ht="15" hidden="false" customHeight="false" outlineLevel="0" collapsed="false">
      <c r="A33" s="59" t="n">
        <v>11</v>
      </c>
      <c r="B33" s="39" t="n">
        <f aca="false">IF($A33&gt;p_horizon,"",EDATE(p_debut,$A33-1))</f>
        <v>46600</v>
      </c>
      <c r="C33" s="59" t="n">
        <f aca="false">IF($A33&gt;p_horizon,"",SUMIFS(TblCalculs[CPU provisionné],TblCalculs[Mois],$B33,TblCalculs[Plateforme],"IKS"))</f>
        <v>672</v>
      </c>
      <c r="D33" s="59" t="n">
        <f aca="false">IF($A33&gt;p_horizon,"",SUMIFS(TblCalculs[CPU provisionné],TblCalculs[Mois],$B33,TblCalculs[Plateforme],"ROKS"))</f>
        <v>416</v>
      </c>
      <c r="E33" s="59" t="n">
        <f aca="false">IF($A33&gt;p_horizon,"",SUMIFS(TblCalculs[RAM provisionnée],TblCalculs[Mois],$B33,TblCalculs[Plateforme],"IKS"))</f>
        <v>2688</v>
      </c>
      <c r="F33" s="59" t="n">
        <f aca="false">IF($A33&gt;p_horizon,"",SUMIFS(TblCalculs[RAM provisionnée],TblCalculs[Mois],$B33,TblCalculs[Plateforme],"ROKS"))</f>
        <v>2080</v>
      </c>
      <c r="G33" s="59" t="n">
        <f aca="false">IF($A33&gt;p_horizon,"",SUMIFS(TblCalculs[Workers],TblCalculs[Mois],$B33,TblCalculs[Plateforme],"IKS"))</f>
        <v>29</v>
      </c>
      <c r="H33" s="59" t="n">
        <f aca="false">IF($A33&gt;p_horizon,"",SUMIFS(TblCalculs[Workers],TblCalculs[Mois],$B33,TblCalculs[Plateforme],"ROKS"))</f>
        <v>17</v>
      </c>
      <c r="I33" s="22" t="n">
        <f aca="false">IF($A33&gt;p_horizon,"",SUMIFS(TblCalculs[Coût mensuel],TblCalculs[Mois],$B33,TblCalculs[Plateforme],"IKS"))</f>
        <v>22302</v>
      </c>
      <c r="J33" s="22" t="n">
        <f aca="false">IF($A33&gt;p_horizon,"",SUMIFS(TblCalculs[Coût mensuel],TblCalculs[Mois],$B33,TblCalculs[Plateforme],"ROKS"))</f>
        <v>19136</v>
      </c>
      <c r="K33" s="22" t="n">
        <f aca="false">IF($A33&gt;p_horizon,"",I33+J33)</f>
        <v>41438</v>
      </c>
      <c r="L33" s="22" t="n">
        <f aca="false">IF($A33&gt;p_horizon,"",K33-R33)</f>
        <v>0</v>
      </c>
      <c r="M33" s="22" t="n">
        <f aca="false">IF($A33&gt;p_horizon,"",SUM($L$23:L33))</f>
        <v>18585</v>
      </c>
      <c r="N33" s="59" t="n">
        <f aca="false">IF($A33&gt;p_horizon,"",SUMPRODUCT((TblApplications[Action]="À migrer")*(TblApplications[Mois prov (calc)]&lt;=$B33)*(TblApplications[Mois lib (calc)]&gt;$B33)))</f>
        <v>0</v>
      </c>
      <c r="O33" s="59" t="n">
        <f aca="false">IF($A33&gt;p_horizon,"",C33+D33)</f>
        <v>1088</v>
      </c>
      <c r="P33" s="59" t="n">
        <f aca="false">IF($A33&gt;p_horizon,"",SUMIFS(TblCalculs[Besoin CPU],TblCalculs[Mois],$B33,TblCalculs[Plateforme],"ROKS"))</f>
        <v>385</v>
      </c>
      <c r="Q33" s="59" t="n">
        <f aca="false">IF($A33&gt;p_horizon,"",SUMIFS(TblCalculs[Besoin RAM],TblCalculs[Mois],$B33,TblCalculs[Plateforme],"ROKS"))</f>
        <v>1944</v>
      </c>
      <c r="R33" s="22" t="n">
        <f aca="false">IF($A33&gt;p_horizon,"",SUMIFS(TblCalculs[Sans DR – coût],TblCalculs[Mois],$B33))</f>
        <v>41438</v>
      </c>
      <c r="S33" s="22" t="n">
        <f aca="false">IF($A33&gt;p_horizon,"",SUMIFS(TblCalculs[Sans migration – coût],TblCalculs[Mois],$B33))</f>
        <v>42984</v>
      </c>
      <c r="T33" s="22" t="n">
        <f aca="false">IF($A33&gt;p_horizon,"",K33-S33)</f>
        <v>-1546</v>
      </c>
      <c r="U33" s="22" t="n">
        <f aca="false">IF($A33&gt;p_horizon,"",SUMIFS(TblCalculs[Coût mensuel],TblCalculs[Mois],$B33,TblCalculs[Plateforme],"IKS",TblCalculs[Environnement],p_envcrit))</f>
        <v>22302</v>
      </c>
      <c r="V33" s="22" t="n">
        <f aca="false">IF($A33&gt;p_horizon,"",SUMIFS(TblCalculs[Coût mensuel],TblCalculs[Mois],$B33,TblCalculs[Plateforme],"ROKS",TblCalculs[Environnement],p_envcrit))</f>
        <v>19136</v>
      </c>
      <c r="W33" s="22" t="n">
        <f aca="false">IF($A33&gt;p_horizon,"",SUMIFS(TblCalculs[Coût mensuel],TblCalculs[Mois],$B33,TblCalculs[Environnement],p_envcrit)-SUMIFS(TblCalculs[Sans DR – coût],TblCalculs[Mois],$B33,TblCalculs[Environnement],p_envcrit))</f>
        <v>0</v>
      </c>
      <c r="X33" s="22" t="n">
        <f aca="false">IF($A33&gt;p_horizon,"",U33+V33)</f>
        <v>41438</v>
      </c>
    </row>
    <row r="34" customFormat="false" ht="15" hidden="false" customHeight="false" outlineLevel="0" collapsed="false">
      <c r="A34" s="59" t="n">
        <v>12</v>
      </c>
      <c r="B34" s="39" t="n">
        <f aca="false">IF($A34&gt;p_horizon,"",EDATE(p_debut,$A34-1))</f>
        <v>46631</v>
      </c>
      <c r="C34" s="59" t="n">
        <f aca="false">IF($A34&gt;p_horizon,"",SUMIFS(TblCalculs[CPU provisionné],TblCalculs[Mois],$B34,TblCalculs[Plateforme],"IKS"))</f>
        <v>672</v>
      </c>
      <c r="D34" s="59" t="n">
        <f aca="false">IF($A34&gt;p_horizon,"",SUMIFS(TblCalculs[CPU provisionné],TblCalculs[Mois],$B34,TblCalculs[Plateforme],"ROKS"))</f>
        <v>432</v>
      </c>
      <c r="E34" s="59" t="n">
        <f aca="false">IF($A34&gt;p_horizon,"",SUMIFS(TblCalculs[RAM provisionnée],TblCalculs[Mois],$B34,TblCalculs[Plateforme],"IKS"))</f>
        <v>2688</v>
      </c>
      <c r="F34" s="59" t="n">
        <f aca="false">IF($A34&gt;p_horizon,"",SUMIFS(TblCalculs[RAM provisionnée],TblCalculs[Mois],$B34,TblCalculs[Plateforme],"ROKS"))</f>
        <v>2160</v>
      </c>
      <c r="G34" s="59" t="n">
        <f aca="false">IF($A34&gt;p_horizon,"",SUMIFS(TblCalculs[Workers],TblCalculs[Mois],$B34,TblCalculs[Plateforme],"IKS"))</f>
        <v>29</v>
      </c>
      <c r="H34" s="59" t="n">
        <f aca="false">IF($A34&gt;p_horizon,"",SUMIFS(TblCalculs[Workers],TblCalculs[Mois],$B34,TblCalculs[Plateforme],"ROKS"))</f>
        <v>18</v>
      </c>
      <c r="I34" s="22" t="n">
        <f aca="false">IF($A34&gt;p_horizon,"",SUMIFS(TblCalculs[Coût mensuel],TblCalculs[Mois],$B34,TblCalculs[Plateforme],"IKS"))</f>
        <v>22302</v>
      </c>
      <c r="J34" s="22" t="n">
        <f aca="false">IF($A34&gt;p_horizon,"",SUMIFS(TblCalculs[Coût mensuel],TblCalculs[Mois],$B34,TblCalculs[Plateforme],"ROKS"))</f>
        <v>19872</v>
      </c>
      <c r="K34" s="22" t="n">
        <f aca="false">IF($A34&gt;p_horizon,"",I34+J34)</f>
        <v>42174</v>
      </c>
      <c r="L34" s="22" t="n">
        <f aca="false">IF($A34&gt;p_horizon,"",K34-R34)</f>
        <v>1062</v>
      </c>
      <c r="M34" s="22" t="n">
        <f aca="false">IF($A34&gt;p_horizon,"",SUM($L$23:L34))</f>
        <v>19647</v>
      </c>
      <c r="N34" s="59" t="n">
        <f aca="false">IF($A34&gt;p_horizon,"",SUMPRODUCT((TblApplications[Action]="À migrer")*(TblApplications[Mois prov (calc)]&lt;=$B34)*(TblApplications[Mois lib (calc)]&gt;$B34)))</f>
        <v>2</v>
      </c>
      <c r="O34" s="59" t="n">
        <f aca="false">IF($A34&gt;p_horizon,"",C34+D34)</f>
        <v>1104</v>
      </c>
      <c r="P34" s="59" t="n">
        <f aca="false">IF($A34&gt;p_horizon,"",SUMIFS(TblCalculs[Besoin CPU],TblCalculs[Mois],$B34,TblCalculs[Plateforme],"ROKS"))</f>
        <v>401</v>
      </c>
      <c r="Q34" s="59" t="n">
        <f aca="false">IF($A34&gt;p_horizon,"",SUMIFS(TblCalculs[Besoin RAM],TblCalculs[Mois],$B34,TblCalculs[Plateforme],"ROKS"))</f>
        <v>2022</v>
      </c>
      <c r="R34" s="22" t="n">
        <f aca="false">IF($A34&gt;p_horizon,"",SUMIFS(TblCalculs[Sans DR – coût],TblCalculs[Mois],$B34))</f>
        <v>41112</v>
      </c>
      <c r="S34" s="22" t="n">
        <f aca="false">IF($A34&gt;p_horizon,"",SUMIFS(TblCalculs[Sans migration – coût],TblCalculs[Mois],$B34))</f>
        <v>42984</v>
      </c>
      <c r="T34" s="22" t="n">
        <f aca="false">IF($A34&gt;p_horizon,"",K34-S34)</f>
        <v>-810</v>
      </c>
      <c r="U34" s="22" t="n">
        <f aca="false">IF($A34&gt;p_horizon,"",SUMIFS(TblCalculs[Coût mensuel],TblCalculs[Mois],$B34,TblCalculs[Plateforme],"IKS",TblCalculs[Environnement],p_envcrit))</f>
        <v>22302</v>
      </c>
      <c r="V34" s="22" t="n">
        <f aca="false">IF($A34&gt;p_horizon,"",SUMIFS(TblCalculs[Coût mensuel],TblCalculs[Mois],$B34,TblCalculs[Plateforme],"ROKS",TblCalculs[Environnement],p_envcrit))</f>
        <v>19872</v>
      </c>
      <c r="W34" s="22" t="n">
        <f aca="false">IF($A34&gt;p_horizon,"",SUMIFS(TblCalculs[Coût mensuel],TblCalculs[Mois],$B34,TblCalculs[Environnement],p_envcrit)-SUMIFS(TblCalculs[Sans DR – coût],TblCalculs[Mois],$B34,TblCalculs[Environnement],p_envcrit))</f>
        <v>1062</v>
      </c>
      <c r="X34" s="22" t="n">
        <f aca="false">IF($A34&gt;p_horizon,"",U34+V34)</f>
        <v>42174</v>
      </c>
    </row>
    <row r="35" customFormat="false" ht="15" hidden="false" customHeight="false" outlineLevel="0" collapsed="false">
      <c r="A35" s="59" t="n">
        <v>13</v>
      </c>
      <c r="B35" s="39" t="n">
        <f aca="false">IF($A35&gt;p_horizon,"",EDATE(p_debut,$A35-1))</f>
        <v>46661</v>
      </c>
      <c r="C35" s="59" t="n">
        <f aca="false">IF($A35&gt;p_horizon,"",SUMIFS(TblCalculs[CPU provisionné],TblCalculs[Mois],$B35,TblCalculs[Plateforme],"IKS"))</f>
        <v>640</v>
      </c>
      <c r="D35" s="59" t="n">
        <f aca="false">IF($A35&gt;p_horizon,"",SUMIFS(TblCalculs[CPU provisionné],TblCalculs[Mois],$B35,TblCalculs[Plateforme],"ROKS"))</f>
        <v>448</v>
      </c>
      <c r="E35" s="59" t="n">
        <f aca="false">IF($A35&gt;p_horizon,"",SUMIFS(TblCalculs[RAM provisionnée],TblCalculs[Mois],$B35,TblCalculs[Plateforme],"IKS"))</f>
        <v>2560</v>
      </c>
      <c r="F35" s="59" t="n">
        <f aca="false">IF($A35&gt;p_horizon,"",SUMIFS(TblCalculs[RAM provisionnée],TblCalculs[Mois],$B35,TblCalculs[Plateforme],"ROKS"))</f>
        <v>2240</v>
      </c>
      <c r="G35" s="59" t="n">
        <f aca="false">IF($A35&gt;p_horizon,"",SUMIFS(TblCalculs[Workers],TblCalculs[Mois],$B35,TblCalculs[Plateforme],"IKS"))</f>
        <v>27</v>
      </c>
      <c r="H35" s="59" t="n">
        <f aca="false">IF($A35&gt;p_horizon,"",SUMIFS(TblCalculs[Workers],TblCalculs[Mois],$B35,TblCalculs[Plateforme],"ROKS"))</f>
        <v>19</v>
      </c>
      <c r="I35" s="22" t="n">
        <f aca="false">IF($A35&gt;p_horizon,"",SUMIFS(TblCalculs[Coût mensuel],TblCalculs[Mois],$B35,TblCalculs[Plateforme],"IKS"))</f>
        <v>21240</v>
      </c>
      <c r="J35" s="22" t="n">
        <f aca="false">IF($A35&gt;p_horizon,"",SUMIFS(TblCalculs[Coût mensuel],TblCalculs[Mois],$B35,TblCalculs[Plateforme],"ROKS"))</f>
        <v>20608</v>
      </c>
      <c r="K35" s="22" t="n">
        <f aca="false">IF($A35&gt;p_horizon,"",I35+J35)</f>
        <v>41848</v>
      </c>
      <c r="L35" s="22" t="n">
        <f aca="false">IF($A35&gt;p_horizon,"",K35-R35)</f>
        <v>1062</v>
      </c>
      <c r="M35" s="22" t="n">
        <f aca="false">IF($A35&gt;p_horizon,"",SUM($L$23:L35))</f>
        <v>20709</v>
      </c>
      <c r="N35" s="59" t="n">
        <f aca="false">IF($A35&gt;p_horizon,"",SUMPRODUCT((TblApplications[Action]="À migrer")*(TblApplications[Mois prov (calc)]&lt;=$B35)*(TblApplications[Mois lib (calc)]&gt;$B35)))</f>
        <v>1</v>
      </c>
      <c r="O35" s="59" t="n">
        <f aca="false">IF($A35&gt;p_horizon,"",C35+D35)</f>
        <v>1088</v>
      </c>
      <c r="P35" s="59" t="n">
        <f aca="false">IF($A35&gt;p_horizon,"",SUMIFS(TblCalculs[Besoin CPU],TblCalculs[Mois],$B35,TblCalculs[Plateforme],"ROKS"))</f>
        <v>413</v>
      </c>
      <c r="Q35" s="59" t="n">
        <f aca="false">IF($A35&gt;p_horizon,"",SUMIFS(TblCalculs[Besoin RAM],TblCalculs[Mois],$B35,TblCalculs[Plateforme],"ROKS"))</f>
        <v>2080</v>
      </c>
      <c r="R35" s="22" t="n">
        <f aca="false">IF($A35&gt;p_horizon,"",SUMIFS(TblCalculs[Sans DR – coût],TblCalculs[Mois],$B35))</f>
        <v>40786</v>
      </c>
      <c r="S35" s="22" t="n">
        <f aca="false">IF($A35&gt;p_horizon,"",SUMIFS(TblCalculs[Sans migration – coût],TblCalculs[Mois],$B35))</f>
        <v>42984</v>
      </c>
      <c r="T35" s="22" t="n">
        <f aca="false">IF($A35&gt;p_horizon,"",K35-S35)</f>
        <v>-1136</v>
      </c>
      <c r="U35" s="22" t="n">
        <f aca="false">IF($A35&gt;p_horizon,"",SUMIFS(TblCalculs[Coût mensuel],TblCalculs[Mois],$B35,TblCalculs[Plateforme],"IKS",TblCalculs[Environnement],p_envcrit))</f>
        <v>21240</v>
      </c>
      <c r="V35" s="22" t="n">
        <f aca="false">IF($A35&gt;p_horizon,"",SUMIFS(TblCalculs[Coût mensuel],TblCalculs[Mois],$B35,TblCalculs[Plateforme],"ROKS",TblCalculs[Environnement],p_envcrit))</f>
        <v>20608</v>
      </c>
      <c r="W35" s="22" t="n">
        <f aca="false">IF($A35&gt;p_horizon,"",SUMIFS(TblCalculs[Coût mensuel],TblCalculs[Mois],$B35,TblCalculs[Environnement],p_envcrit)-SUMIFS(TblCalculs[Sans DR – coût],TblCalculs[Mois],$B35,TblCalculs[Environnement],p_envcrit))</f>
        <v>1062</v>
      </c>
      <c r="X35" s="22" t="n">
        <f aca="false">IF($A35&gt;p_horizon,"",U35+V35)</f>
        <v>41848</v>
      </c>
    </row>
    <row r="36" customFormat="false" ht="15" hidden="false" customHeight="false" outlineLevel="0" collapsed="false">
      <c r="A36" s="59" t="n">
        <v>14</v>
      </c>
      <c r="B36" s="39" t="n">
        <f aca="false">IF($A36&gt;p_horizon,"",EDATE(p_debut,$A36-1))</f>
        <v>46692</v>
      </c>
      <c r="C36" s="59" t="n">
        <f aca="false">IF($A36&gt;p_horizon,"",SUMIFS(TblCalculs[CPU provisionné],TblCalculs[Mois],$B36,TblCalculs[Plateforme],"IKS"))</f>
        <v>608</v>
      </c>
      <c r="D36" s="59" t="n">
        <f aca="false">IF($A36&gt;p_horizon,"",SUMIFS(TblCalculs[CPU provisionné],TblCalculs[Mois],$B36,TblCalculs[Plateforme],"ROKS"))</f>
        <v>448</v>
      </c>
      <c r="E36" s="59" t="n">
        <f aca="false">IF($A36&gt;p_horizon,"",SUMIFS(TblCalculs[RAM provisionnée],TblCalculs[Mois],$B36,TblCalculs[Plateforme],"IKS"))</f>
        <v>2432</v>
      </c>
      <c r="F36" s="59" t="n">
        <f aca="false">IF($A36&gt;p_horizon,"",SUMIFS(TblCalculs[RAM provisionnée],TblCalculs[Mois],$B36,TblCalculs[Plateforme],"ROKS"))</f>
        <v>2240</v>
      </c>
      <c r="G36" s="59" t="n">
        <f aca="false">IF($A36&gt;p_horizon,"",SUMIFS(TblCalculs[Workers],TblCalculs[Mois],$B36,TblCalculs[Plateforme],"IKS"))</f>
        <v>25</v>
      </c>
      <c r="H36" s="59" t="n">
        <f aca="false">IF($A36&gt;p_horizon,"",SUMIFS(TblCalculs[Workers],TblCalculs[Mois],$B36,TblCalculs[Plateforme],"ROKS"))</f>
        <v>19</v>
      </c>
      <c r="I36" s="22" t="n">
        <f aca="false">IF($A36&gt;p_horizon,"",SUMIFS(TblCalculs[Coût mensuel],TblCalculs[Mois],$B36,TblCalculs[Plateforme],"IKS"))</f>
        <v>20178</v>
      </c>
      <c r="J36" s="22" t="n">
        <f aca="false">IF($A36&gt;p_horizon,"",SUMIFS(TblCalculs[Coût mensuel],TblCalculs[Mois],$B36,TblCalculs[Plateforme],"ROKS"))</f>
        <v>20608</v>
      </c>
      <c r="K36" s="22" t="n">
        <f aca="false">IF($A36&gt;p_horizon,"",I36+J36)</f>
        <v>40786</v>
      </c>
      <c r="L36" s="22" t="n">
        <f aca="false">IF($A36&gt;p_horizon,"",K36-R36)</f>
        <v>0</v>
      </c>
      <c r="M36" s="22" t="n">
        <f aca="false">IF($A36&gt;p_horizon,"",SUM($L$23:L36))</f>
        <v>20709</v>
      </c>
      <c r="N36" s="59" t="n">
        <f aca="false">IF($A36&gt;p_horizon,"",SUMPRODUCT((TblApplications[Action]="À migrer")*(TblApplications[Mois prov (calc)]&lt;=$B36)*(TblApplications[Mois lib (calc)]&gt;$B36)))</f>
        <v>0</v>
      </c>
      <c r="O36" s="59" t="n">
        <f aca="false">IF($A36&gt;p_horizon,"",C36+D36)</f>
        <v>1056</v>
      </c>
      <c r="P36" s="59" t="n">
        <f aca="false">IF($A36&gt;p_horizon,"",SUMIFS(TblCalculs[Besoin CPU],TblCalculs[Mois],$B36,TblCalculs[Plateforme],"ROKS"))</f>
        <v>413</v>
      </c>
      <c r="Q36" s="59" t="n">
        <f aca="false">IF($A36&gt;p_horizon,"",SUMIFS(TblCalculs[Besoin RAM],TblCalculs[Mois],$B36,TblCalculs[Plateforme],"ROKS"))</f>
        <v>2080</v>
      </c>
      <c r="R36" s="22" t="n">
        <f aca="false">IF($A36&gt;p_horizon,"",SUMIFS(TblCalculs[Sans DR – coût],TblCalculs[Mois],$B36))</f>
        <v>40786</v>
      </c>
      <c r="S36" s="22" t="n">
        <f aca="false">IF($A36&gt;p_horizon,"",SUMIFS(TblCalculs[Sans migration – coût],TblCalculs[Mois],$B36))</f>
        <v>42984</v>
      </c>
      <c r="T36" s="22" t="n">
        <f aca="false">IF($A36&gt;p_horizon,"",K36-S36)</f>
        <v>-2198</v>
      </c>
      <c r="U36" s="22" t="n">
        <f aca="false">IF($A36&gt;p_horizon,"",SUMIFS(TblCalculs[Coût mensuel],TblCalculs[Mois],$B36,TblCalculs[Plateforme],"IKS",TblCalculs[Environnement],p_envcrit))</f>
        <v>20178</v>
      </c>
      <c r="V36" s="22" t="n">
        <f aca="false">IF($A36&gt;p_horizon,"",SUMIFS(TblCalculs[Coût mensuel],TblCalculs[Mois],$B36,TblCalculs[Plateforme],"ROKS",TblCalculs[Environnement],p_envcrit))</f>
        <v>20608</v>
      </c>
      <c r="W36" s="22" t="n">
        <f aca="false">IF($A36&gt;p_horizon,"",SUMIFS(TblCalculs[Coût mensuel],TblCalculs[Mois],$B36,TblCalculs[Environnement],p_envcrit)-SUMIFS(TblCalculs[Sans DR – coût],TblCalculs[Mois],$B36,TblCalculs[Environnement],p_envcrit))</f>
        <v>0</v>
      </c>
      <c r="X36" s="22" t="n">
        <f aca="false">IF($A36&gt;p_horizon,"",U36+V36)</f>
        <v>40786</v>
      </c>
    </row>
    <row r="37" customFormat="false" ht="15" hidden="false" customHeight="false" outlineLevel="0" collapsed="false">
      <c r="A37" s="59" t="n">
        <v>15</v>
      </c>
      <c r="B37" s="39" t="n">
        <f aca="false">IF($A37&gt;p_horizon,"",EDATE(p_debut,$A37-1))</f>
        <v>46722</v>
      </c>
      <c r="C37" s="59" t="n">
        <f aca="false">IF($A37&gt;p_horizon,"",SUMIFS(TblCalculs[CPU provisionné],TblCalculs[Mois],$B37,TblCalculs[Plateforme],"IKS"))</f>
        <v>608</v>
      </c>
      <c r="D37" s="59" t="n">
        <f aca="false">IF($A37&gt;p_horizon,"",SUMIFS(TblCalculs[CPU provisionné],TblCalculs[Mois],$B37,TblCalculs[Plateforme],"ROKS"))</f>
        <v>448</v>
      </c>
      <c r="E37" s="59" t="n">
        <f aca="false">IF($A37&gt;p_horizon,"",SUMIFS(TblCalculs[RAM provisionnée],TblCalculs[Mois],$B37,TblCalculs[Plateforme],"IKS"))</f>
        <v>2432</v>
      </c>
      <c r="F37" s="59" t="n">
        <f aca="false">IF($A37&gt;p_horizon,"",SUMIFS(TblCalculs[RAM provisionnée],TblCalculs[Mois],$B37,TblCalculs[Plateforme],"ROKS"))</f>
        <v>2240</v>
      </c>
      <c r="G37" s="59" t="n">
        <f aca="false">IF($A37&gt;p_horizon,"",SUMIFS(TblCalculs[Workers],TblCalculs[Mois],$B37,TblCalculs[Plateforme],"IKS"))</f>
        <v>25</v>
      </c>
      <c r="H37" s="59" t="n">
        <f aca="false">IF($A37&gt;p_horizon,"",SUMIFS(TblCalculs[Workers],TblCalculs[Mois],$B37,TblCalculs[Plateforme],"ROKS"))</f>
        <v>19</v>
      </c>
      <c r="I37" s="22" t="n">
        <f aca="false">IF($A37&gt;p_horizon,"",SUMIFS(TblCalculs[Coût mensuel],TblCalculs[Mois],$B37,TblCalculs[Plateforme],"IKS"))</f>
        <v>20178</v>
      </c>
      <c r="J37" s="22" t="n">
        <f aca="false">IF($A37&gt;p_horizon,"",SUMIFS(TblCalculs[Coût mensuel],TblCalculs[Mois],$B37,TblCalculs[Plateforme],"ROKS"))</f>
        <v>20608</v>
      </c>
      <c r="K37" s="22" t="n">
        <f aca="false">IF($A37&gt;p_horizon,"",I37+J37)</f>
        <v>40786</v>
      </c>
      <c r="L37" s="22" t="n">
        <f aca="false">IF($A37&gt;p_horizon,"",K37-R37)</f>
        <v>0</v>
      </c>
      <c r="M37" s="22" t="n">
        <f aca="false">IF($A37&gt;p_horizon,"",SUM($L$23:L37))</f>
        <v>20709</v>
      </c>
      <c r="N37" s="59" t="n">
        <f aca="false">IF($A37&gt;p_horizon,"",SUMPRODUCT((TblApplications[Action]="À migrer")*(TblApplications[Mois prov (calc)]&lt;=$B37)*(TblApplications[Mois lib (calc)]&gt;$B37)))</f>
        <v>0</v>
      </c>
      <c r="O37" s="59" t="n">
        <f aca="false">IF($A37&gt;p_horizon,"",C37+D37)</f>
        <v>1056</v>
      </c>
      <c r="P37" s="59" t="n">
        <f aca="false">IF($A37&gt;p_horizon,"",SUMIFS(TblCalculs[Besoin CPU],TblCalculs[Mois],$B37,TblCalculs[Plateforme],"ROKS"))</f>
        <v>413</v>
      </c>
      <c r="Q37" s="59" t="n">
        <f aca="false">IF($A37&gt;p_horizon,"",SUMIFS(TblCalculs[Besoin RAM],TblCalculs[Mois],$B37,TblCalculs[Plateforme],"ROKS"))</f>
        <v>2080</v>
      </c>
      <c r="R37" s="22" t="n">
        <f aca="false">IF($A37&gt;p_horizon,"",SUMIFS(TblCalculs[Sans DR – coût],TblCalculs[Mois],$B37))</f>
        <v>40786</v>
      </c>
      <c r="S37" s="22" t="n">
        <f aca="false">IF($A37&gt;p_horizon,"",SUMIFS(TblCalculs[Sans migration – coût],TblCalculs[Mois],$B37))</f>
        <v>42984</v>
      </c>
      <c r="T37" s="22" t="n">
        <f aca="false">IF($A37&gt;p_horizon,"",K37-S37)</f>
        <v>-2198</v>
      </c>
      <c r="U37" s="22" t="n">
        <f aca="false">IF($A37&gt;p_horizon,"",SUMIFS(TblCalculs[Coût mensuel],TblCalculs[Mois],$B37,TblCalculs[Plateforme],"IKS",TblCalculs[Environnement],p_envcrit))</f>
        <v>20178</v>
      </c>
      <c r="V37" s="22" t="n">
        <f aca="false">IF($A37&gt;p_horizon,"",SUMIFS(TblCalculs[Coût mensuel],TblCalculs[Mois],$B37,TblCalculs[Plateforme],"ROKS",TblCalculs[Environnement],p_envcrit))</f>
        <v>20608</v>
      </c>
      <c r="W37" s="22" t="n">
        <f aca="false">IF($A37&gt;p_horizon,"",SUMIFS(TblCalculs[Coût mensuel],TblCalculs[Mois],$B37,TblCalculs[Environnement],p_envcrit)-SUMIFS(TblCalculs[Sans DR – coût],TblCalculs[Mois],$B37,TblCalculs[Environnement],p_envcrit))</f>
        <v>0</v>
      </c>
      <c r="X37" s="22" t="n">
        <f aca="false">IF($A37&gt;p_horizon,"",U37+V37)</f>
        <v>40786</v>
      </c>
    </row>
    <row r="38" customFormat="false" ht="15" hidden="false" customHeight="false" outlineLevel="0" collapsed="false">
      <c r="A38" s="59" t="n">
        <v>16</v>
      </c>
      <c r="B38" s="39" t="n">
        <f aca="false">IF($A38&gt;p_horizon,"",EDATE(p_debut,$A38-1))</f>
        <v>46753</v>
      </c>
      <c r="C38" s="59" t="n">
        <f aca="false">IF($A38&gt;p_horizon,"",SUMIFS(TblCalculs[CPU provisionné],TblCalculs[Mois],$B38,TblCalculs[Plateforme],"IKS"))</f>
        <v>608</v>
      </c>
      <c r="D38" s="59" t="n">
        <f aca="false">IF($A38&gt;p_horizon,"",SUMIFS(TblCalculs[CPU provisionné],TblCalculs[Mois],$B38,TblCalculs[Plateforme],"ROKS"))</f>
        <v>512</v>
      </c>
      <c r="E38" s="59" t="n">
        <f aca="false">IF($A38&gt;p_horizon,"",SUMIFS(TblCalculs[RAM provisionnée],TblCalculs[Mois],$B38,TblCalculs[Plateforme],"IKS"))</f>
        <v>2432</v>
      </c>
      <c r="F38" s="59" t="n">
        <f aca="false">IF($A38&gt;p_horizon,"",SUMIFS(TblCalculs[RAM provisionnée],TblCalculs[Mois],$B38,TblCalculs[Plateforme],"ROKS"))</f>
        <v>2560</v>
      </c>
      <c r="G38" s="59" t="n">
        <f aca="false">IF($A38&gt;p_horizon,"",SUMIFS(TblCalculs[Workers],TblCalculs[Mois],$B38,TblCalculs[Plateforme],"IKS"))</f>
        <v>25</v>
      </c>
      <c r="H38" s="59" t="n">
        <f aca="false">IF($A38&gt;p_horizon,"",SUMIFS(TblCalculs[Workers],TblCalculs[Mois],$B38,TblCalculs[Plateforme],"ROKS"))</f>
        <v>21</v>
      </c>
      <c r="I38" s="22" t="n">
        <f aca="false">IF($A38&gt;p_horizon,"",SUMIFS(TblCalculs[Coût mensuel],TblCalculs[Mois],$B38,TblCalculs[Plateforme],"IKS"))</f>
        <v>20178</v>
      </c>
      <c r="J38" s="22" t="n">
        <f aca="false">IF($A38&gt;p_horizon,"",SUMIFS(TblCalculs[Coût mensuel],TblCalculs[Mois],$B38,TblCalculs[Plateforme],"ROKS"))</f>
        <v>23552</v>
      </c>
      <c r="K38" s="22" t="n">
        <f aca="false">IF($A38&gt;p_horizon,"",I38+J38)</f>
        <v>43730</v>
      </c>
      <c r="L38" s="22" t="n">
        <f aca="false">IF($A38&gt;p_horizon,"",K38-R38)</f>
        <v>5310</v>
      </c>
      <c r="M38" s="22" t="n">
        <f aca="false">IF($A38&gt;p_horizon,"",SUM($L$23:L38))</f>
        <v>26019</v>
      </c>
      <c r="N38" s="59" t="n">
        <f aca="false">IF($A38&gt;p_horizon,"",SUMPRODUCT((TblApplications[Action]="À migrer")*(TblApplications[Mois prov (calc)]&lt;=$B38)*(TblApplications[Mois lib (calc)]&gt;$B38)))</f>
        <v>1</v>
      </c>
      <c r="O38" s="59" t="n">
        <f aca="false">IF($A38&gt;p_horizon,"",C38+D38)</f>
        <v>1120</v>
      </c>
      <c r="P38" s="59" t="n">
        <f aca="false">IF($A38&gt;p_horizon,"",SUMIFS(TblCalculs[Besoin CPU],TblCalculs[Mois],$B38,TblCalculs[Plateforme],"ROKS"))</f>
        <v>473</v>
      </c>
      <c r="Q38" s="59" t="n">
        <f aca="false">IF($A38&gt;p_horizon,"",SUMIFS(TblCalculs[Besoin RAM],TblCalculs[Mois],$B38,TblCalculs[Plateforme],"ROKS"))</f>
        <v>2416</v>
      </c>
      <c r="R38" s="22" t="n">
        <f aca="false">IF($A38&gt;p_horizon,"",SUMIFS(TblCalculs[Sans DR – coût],TblCalculs[Mois],$B38))</f>
        <v>38420</v>
      </c>
      <c r="S38" s="22" t="n">
        <f aca="false">IF($A38&gt;p_horizon,"",SUMIFS(TblCalculs[Sans migration – coût],TblCalculs[Mois],$B38))</f>
        <v>42984</v>
      </c>
      <c r="T38" s="22" t="n">
        <f aca="false">IF($A38&gt;p_horizon,"",K38-S38)</f>
        <v>746</v>
      </c>
      <c r="U38" s="22" t="n">
        <f aca="false">IF($A38&gt;p_horizon,"",SUMIFS(TblCalculs[Coût mensuel],TblCalculs[Mois],$B38,TblCalculs[Plateforme],"IKS",TblCalculs[Environnement],p_envcrit))</f>
        <v>20178</v>
      </c>
      <c r="V38" s="22" t="n">
        <f aca="false">IF($A38&gt;p_horizon,"",SUMIFS(TblCalculs[Coût mensuel],TblCalculs[Mois],$B38,TblCalculs[Plateforme],"ROKS",TblCalculs[Environnement],p_envcrit))</f>
        <v>23552</v>
      </c>
      <c r="W38" s="22" t="n">
        <f aca="false">IF($A38&gt;p_horizon,"",SUMIFS(TblCalculs[Coût mensuel],TblCalculs[Mois],$B38,TblCalculs[Environnement],p_envcrit)-SUMIFS(TblCalculs[Sans DR – coût],TblCalculs[Mois],$B38,TblCalculs[Environnement],p_envcrit))</f>
        <v>5310</v>
      </c>
      <c r="X38" s="22" t="n">
        <f aca="false">IF($A38&gt;p_horizon,"",U38+V38)</f>
        <v>43730</v>
      </c>
    </row>
    <row r="39" customFormat="false" ht="15" hidden="false" customHeight="false" outlineLevel="0" collapsed="false">
      <c r="A39" s="59" t="n">
        <v>17</v>
      </c>
      <c r="B39" s="39" t="n">
        <f aca="false">IF($A39&gt;p_horizon,"",EDATE(p_debut,$A39-1))</f>
        <v>46784</v>
      </c>
      <c r="C39" s="59" t="n">
        <f aca="false">IF($A39&gt;p_horizon,"",SUMIFS(TblCalculs[CPU provisionné],TblCalculs[Mois],$B39,TblCalculs[Plateforme],"IKS"))</f>
        <v>608</v>
      </c>
      <c r="D39" s="59" t="n">
        <f aca="false">IF($A39&gt;p_horizon,"",SUMIFS(TblCalculs[CPU provisionné],TblCalculs[Mois],$B39,TblCalculs[Plateforme],"ROKS"))</f>
        <v>512</v>
      </c>
      <c r="E39" s="59" t="n">
        <f aca="false">IF($A39&gt;p_horizon,"",SUMIFS(TblCalculs[RAM provisionnée],TblCalculs[Mois],$B39,TblCalculs[Plateforme],"IKS"))</f>
        <v>2432</v>
      </c>
      <c r="F39" s="59" t="n">
        <f aca="false">IF($A39&gt;p_horizon,"",SUMIFS(TblCalculs[RAM provisionnée],TblCalculs[Mois],$B39,TblCalculs[Plateforme],"ROKS"))</f>
        <v>2560</v>
      </c>
      <c r="G39" s="59" t="n">
        <f aca="false">IF($A39&gt;p_horizon,"",SUMIFS(TblCalculs[Workers],TblCalculs[Mois],$B39,TblCalculs[Plateforme],"IKS"))</f>
        <v>25</v>
      </c>
      <c r="H39" s="59" t="n">
        <f aca="false">IF($A39&gt;p_horizon,"",SUMIFS(TblCalculs[Workers],TblCalculs[Mois],$B39,TblCalculs[Plateforme],"ROKS"))</f>
        <v>21</v>
      </c>
      <c r="I39" s="22" t="n">
        <f aca="false">IF($A39&gt;p_horizon,"",SUMIFS(TblCalculs[Coût mensuel],TblCalculs[Mois],$B39,TblCalculs[Plateforme],"IKS"))</f>
        <v>20178</v>
      </c>
      <c r="J39" s="22" t="n">
        <f aca="false">IF($A39&gt;p_horizon,"",SUMIFS(TblCalculs[Coût mensuel],TblCalculs[Mois],$B39,TblCalculs[Plateforme],"ROKS"))</f>
        <v>23552</v>
      </c>
      <c r="K39" s="22" t="n">
        <f aca="false">IF($A39&gt;p_horizon,"",I39+J39)</f>
        <v>43730</v>
      </c>
      <c r="L39" s="22" t="n">
        <f aca="false">IF($A39&gt;p_horizon,"",K39-R39)</f>
        <v>5310</v>
      </c>
      <c r="M39" s="22" t="n">
        <f aca="false">IF($A39&gt;p_horizon,"",SUM($L$23:L39))</f>
        <v>31329</v>
      </c>
      <c r="N39" s="59" t="n">
        <f aca="false">IF($A39&gt;p_horizon,"",SUMPRODUCT((TblApplications[Action]="À migrer")*(TblApplications[Mois prov (calc)]&lt;=$B39)*(TblApplications[Mois lib (calc)]&gt;$B39)))</f>
        <v>1</v>
      </c>
      <c r="O39" s="59" t="n">
        <f aca="false">IF($A39&gt;p_horizon,"",C39+D39)</f>
        <v>1120</v>
      </c>
      <c r="P39" s="59" t="n">
        <f aca="false">IF($A39&gt;p_horizon,"",SUMIFS(TblCalculs[Besoin CPU],TblCalculs[Mois],$B39,TblCalculs[Plateforme],"ROKS"))</f>
        <v>473</v>
      </c>
      <c r="Q39" s="59" t="n">
        <f aca="false">IF($A39&gt;p_horizon,"",SUMIFS(TblCalculs[Besoin RAM],TblCalculs[Mois],$B39,TblCalculs[Plateforme],"ROKS"))</f>
        <v>2416</v>
      </c>
      <c r="R39" s="22" t="n">
        <f aca="false">IF($A39&gt;p_horizon,"",SUMIFS(TblCalculs[Sans DR – coût],TblCalculs[Mois],$B39))</f>
        <v>38420</v>
      </c>
      <c r="S39" s="22" t="n">
        <f aca="false">IF($A39&gt;p_horizon,"",SUMIFS(TblCalculs[Sans migration – coût],TblCalculs[Mois],$B39))</f>
        <v>42984</v>
      </c>
      <c r="T39" s="22" t="n">
        <f aca="false">IF($A39&gt;p_horizon,"",K39-S39)</f>
        <v>746</v>
      </c>
      <c r="U39" s="22" t="n">
        <f aca="false">IF($A39&gt;p_horizon,"",SUMIFS(TblCalculs[Coût mensuel],TblCalculs[Mois],$B39,TblCalculs[Plateforme],"IKS",TblCalculs[Environnement],p_envcrit))</f>
        <v>20178</v>
      </c>
      <c r="V39" s="22" t="n">
        <f aca="false">IF($A39&gt;p_horizon,"",SUMIFS(TblCalculs[Coût mensuel],TblCalculs[Mois],$B39,TblCalculs[Plateforme],"ROKS",TblCalculs[Environnement],p_envcrit))</f>
        <v>23552</v>
      </c>
      <c r="W39" s="22" t="n">
        <f aca="false">IF($A39&gt;p_horizon,"",SUMIFS(TblCalculs[Coût mensuel],TblCalculs[Mois],$B39,TblCalculs[Environnement],p_envcrit)-SUMIFS(TblCalculs[Sans DR – coût],TblCalculs[Mois],$B39,TblCalculs[Environnement],p_envcrit))</f>
        <v>5310</v>
      </c>
      <c r="X39" s="22" t="n">
        <f aca="false">IF($A39&gt;p_horizon,"",U39+V39)</f>
        <v>43730</v>
      </c>
    </row>
    <row r="40" customFormat="false" ht="15" hidden="false" customHeight="false" outlineLevel="0" collapsed="false">
      <c r="A40" s="59" t="n">
        <v>18</v>
      </c>
      <c r="B40" s="39" t="n">
        <f aca="false">IF($A40&gt;p_horizon,"",EDATE(p_debut,$A40-1))</f>
        <v>46813</v>
      </c>
      <c r="C40" s="59" t="n">
        <f aca="false">IF($A40&gt;p_horizon,"",SUMIFS(TblCalculs[CPU provisionné],TblCalculs[Mois],$B40,TblCalculs[Plateforme],"IKS"))</f>
        <v>448</v>
      </c>
      <c r="D40" s="59" t="n">
        <f aca="false">IF($A40&gt;p_horizon,"",SUMIFS(TblCalculs[CPU provisionné],TblCalculs[Mois],$B40,TblCalculs[Plateforme],"ROKS"))</f>
        <v>512</v>
      </c>
      <c r="E40" s="59" t="n">
        <f aca="false">IF($A40&gt;p_horizon,"",SUMIFS(TblCalculs[RAM provisionnée],TblCalculs[Mois],$B40,TblCalculs[Plateforme],"IKS"))</f>
        <v>1792</v>
      </c>
      <c r="F40" s="59" t="n">
        <f aca="false">IF($A40&gt;p_horizon,"",SUMIFS(TblCalculs[RAM provisionnée],TblCalculs[Mois],$B40,TblCalculs[Plateforme],"ROKS"))</f>
        <v>2560</v>
      </c>
      <c r="G40" s="59" t="n">
        <f aca="false">IF($A40&gt;p_horizon,"",SUMIFS(TblCalculs[Workers],TblCalculs[Mois],$B40,TblCalculs[Plateforme],"IKS"))</f>
        <v>20</v>
      </c>
      <c r="H40" s="59" t="n">
        <f aca="false">IF($A40&gt;p_horizon,"",SUMIFS(TblCalculs[Workers],TblCalculs[Mois],$B40,TblCalculs[Plateforme],"ROKS"))</f>
        <v>21</v>
      </c>
      <c r="I40" s="22" t="n">
        <f aca="false">IF($A40&gt;p_horizon,"",SUMIFS(TblCalculs[Coût mensuel],TblCalculs[Mois],$B40,TblCalculs[Plateforme],"IKS"))</f>
        <v>14868</v>
      </c>
      <c r="J40" s="22" t="n">
        <f aca="false">IF($A40&gt;p_horizon,"",SUMIFS(TblCalculs[Coût mensuel],TblCalculs[Mois],$B40,TblCalculs[Plateforme],"ROKS"))</f>
        <v>23552</v>
      </c>
      <c r="K40" s="22" t="n">
        <f aca="false">IF($A40&gt;p_horizon,"",I40+J40)</f>
        <v>38420</v>
      </c>
      <c r="L40" s="22" t="n">
        <f aca="false">IF($A40&gt;p_horizon,"",K40-R40)</f>
        <v>0</v>
      </c>
      <c r="M40" s="22" t="n">
        <f aca="false">IF($A40&gt;p_horizon,"",SUM($L$23:L40))</f>
        <v>31329</v>
      </c>
      <c r="N40" s="59" t="n">
        <f aca="false">IF($A40&gt;p_horizon,"",SUMPRODUCT((TblApplications[Action]="À migrer")*(TblApplications[Mois prov (calc)]&lt;=$B40)*(TblApplications[Mois lib (calc)]&gt;$B40)))</f>
        <v>0</v>
      </c>
      <c r="O40" s="59" t="n">
        <f aca="false">IF($A40&gt;p_horizon,"",C40+D40)</f>
        <v>960</v>
      </c>
      <c r="P40" s="59" t="n">
        <f aca="false">IF($A40&gt;p_horizon,"",SUMIFS(TblCalculs[Besoin CPU],TblCalculs[Mois],$B40,TblCalculs[Plateforme],"ROKS"))</f>
        <v>473</v>
      </c>
      <c r="Q40" s="59" t="n">
        <f aca="false">IF($A40&gt;p_horizon,"",SUMIFS(TblCalculs[Besoin RAM],TblCalculs[Mois],$B40,TblCalculs[Plateforme],"ROKS"))</f>
        <v>2416</v>
      </c>
      <c r="R40" s="22" t="n">
        <f aca="false">IF($A40&gt;p_horizon,"",SUMIFS(TblCalculs[Sans DR – coût],TblCalculs[Mois],$B40))</f>
        <v>38420</v>
      </c>
      <c r="S40" s="22" t="n">
        <f aca="false">IF($A40&gt;p_horizon,"",SUMIFS(TblCalculs[Sans migration – coût],TblCalculs[Mois],$B40))</f>
        <v>42984</v>
      </c>
      <c r="T40" s="22" t="n">
        <f aca="false">IF($A40&gt;p_horizon,"",K40-S40)</f>
        <v>-4564</v>
      </c>
      <c r="U40" s="22" t="n">
        <f aca="false">IF($A40&gt;p_horizon,"",SUMIFS(TblCalculs[Coût mensuel],TblCalculs[Mois],$B40,TblCalculs[Plateforme],"IKS",TblCalculs[Environnement],p_envcrit))</f>
        <v>14868</v>
      </c>
      <c r="V40" s="22" t="n">
        <f aca="false">IF($A40&gt;p_horizon,"",SUMIFS(TblCalculs[Coût mensuel],TblCalculs[Mois],$B40,TblCalculs[Plateforme],"ROKS",TblCalculs[Environnement],p_envcrit))</f>
        <v>23552</v>
      </c>
      <c r="W40" s="22" t="n">
        <f aca="false">IF($A40&gt;p_horizon,"",SUMIFS(TblCalculs[Coût mensuel],TblCalculs[Mois],$B40,TblCalculs[Environnement],p_envcrit)-SUMIFS(TblCalculs[Sans DR – coût],TblCalculs[Mois],$B40,TblCalculs[Environnement],p_envcrit))</f>
        <v>0</v>
      </c>
      <c r="X40" s="22" t="n">
        <f aca="false">IF($A40&gt;p_horizon,"",U40+V40)</f>
        <v>38420</v>
      </c>
    </row>
    <row r="41" customFormat="false" ht="15" hidden="false" customHeight="false" outlineLevel="0" collapsed="false">
      <c r="A41" s="59" t="n">
        <v>19</v>
      </c>
      <c r="B41" s="39" t="n">
        <f aca="false">IF($A41&gt;p_horizon,"",EDATE(p_debut,$A41-1))</f>
        <v>46844</v>
      </c>
      <c r="C41" s="59" t="n">
        <f aca="false">IF($A41&gt;p_horizon,"",SUMIFS(TblCalculs[CPU provisionné],TblCalculs[Mois],$B41,TblCalculs[Plateforme],"IKS"))</f>
        <v>448</v>
      </c>
      <c r="D41" s="59" t="n">
        <f aca="false">IF($A41&gt;p_horizon,"",SUMIFS(TblCalculs[CPU provisionné],TblCalculs[Mois],$B41,TblCalculs[Plateforme],"ROKS"))</f>
        <v>544</v>
      </c>
      <c r="E41" s="59" t="n">
        <f aca="false">IF($A41&gt;p_horizon,"",SUMIFS(TblCalculs[RAM provisionnée],TblCalculs[Mois],$B41,TblCalculs[Plateforme],"IKS"))</f>
        <v>1792</v>
      </c>
      <c r="F41" s="59" t="n">
        <f aca="false">IF($A41&gt;p_horizon,"",SUMIFS(TblCalculs[RAM provisionnée],TblCalculs[Mois],$B41,TblCalculs[Plateforme],"ROKS"))</f>
        <v>2720</v>
      </c>
      <c r="G41" s="59" t="n">
        <f aca="false">IF($A41&gt;p_horizon,"",SUMIFS(TblCalculs[Workers],TblCalculs[Mois],$B41,TblCalculs[Plateforme],"IKS"))</f>
        <v>20</v>
      </c>
      <c r="H41" s="59" t="n">
        <f aca="false">IF($A41&gt;p_horizon,"",SUMIFS(TblCalculs[Workers],TblCalculs[Mois],$B41,TblCalculs[Plateforme],"ROKS"))</f>
        <v>23</v>
      </c>
      <c r="I41" s="22" t="n">
        <f aca="false">IF($A41&gt;p_horizon,"",SUMIFS(TblCalculs[Coût mensuel],TblCalculs[Mois],$B41,TblCalculs[Plateforme],"IKS"))</f>
        <v>14868</v>
      </c>
      <c r="J41" s="22" t="n">
        <f aca="false">IF($A41&gt;p_horizon,"",SUMIFS(TblCalculs[Coût mensuel],TblCalculs[Mois],$B41,TblCalculs[Plateforme],"ROKS"))</f>
        <v>25024</v>
      </c>
      <c r="K41" s="22" t="n">
        <f aca="false">IF($A41&gt;p_horizon,"",I41+J41)</f>
        <v>39892</v>
      </c>
      <c r="L41" s="22" t="n">
        <f aca="false">IF($A41&gt;p_horizon,"",K41-R41)</f>
        <v>2124</v>
      </c>
      <c r="M41" s="22" t="n">
        <f aca="false">IF($A41&gt;p_horizon,"",SUM($L$23:L41))</f>
        <v>33453</v>
      </c>
      <c r="N41" s="59" t="n">
        <f aca="false">IF($A41&gt;p_horizon,"",SUMPRODUCT((TblApplications[Action]="À migrer")*(TblApplications[Mois prov (calc)]&lt;=$B41)*(TblApplications[Mois lib (calc)]&gt;$B41)))</f>
        <v>2</v>
      </c>
      <c r="O41" s="59" t="n">
        <f aca="false">IF($A41&gt;p_horizon,"",C41+D41)</f>
        <v>992</v>
      </c>
      <c r="P41" s="59" t="n">
        <f aca="false">IF($A41&gt;p_horizon,"",SUMIFS(TblCalculs[Besoin CPU],TblCalculs[Mois],$B41,TblCalculs[Plateforme],"ROKS"))</f>
        <v>497</v>
      </c>
      <c r="Q41" s="59" t="n">
        <f aca="false">IF($A41&gt;p_horizon,"",SUMIFS(TblCalculs[Besoin RAM],TblCalculs[Mois],$B41,TblCalculs[Plateforme],"ROKS"))</f>
        <v>2608</v>
      </c>
      <c r="R41" s="22" t="n">
        <f aca="false">IF($A41&gt;p_horizon,"",SUMIFS(TblCalculs[Sans DR – coût],TblCalculs[Mois],$B41))</f>
        <v>37768</v>
      </c>
      <c r="S41" s="22" t="n">
        <f aca="false">IF($A41&gt;p_horizon,"",SUMIFS(TblCalculs[Sans migration – coût],TblCalculs[Mois],$B41))</f>
        <v>42984</v>
      </c>
      <c r="T41" s="22" t="n">
        <f aca="false">IF($A41&gt;p_horizon,"",K41-S41)</f>
        <v>-3092</v>
      </c>
      <c r="U41" s="22" t="n">
        <f aca="false">IF($A41&gt;p_horizon,"",SUMIFS(TblCalculs[Coût mensuel],TblCalculs[Mois],$B41,TblCalculs[Plateforme],"IKS",TblCalculs[Environnement],p_envcrit))</f>
        <v>14868</v>
      </c>
      <c r="V41" s="22" t="n">
        <f aca="false">IF($A41&gt;p_horizon,"",SUMIFS(TblCalculs[Coût mensuel],TblCalculs[Mois],$B41,TblCalculs[Plateforme],"ROKS",TblCalculs[Environnement],p_envcrit))</f>
        <v>25024</v>
      </c>
      <c r="W41" s="22" t="n">
        <f aca="false">IF($A41&gt;p_horizon,"",SUMIFS(TblCalculs[Coût mensuel],TblCalculs[Mois],$B41,TblCalculs[Environnement],p_envcrit)-SUMIFS(TblCalculs[Sans DR – coût],TblCalculs[Mois],$B41,TblCalculs[Environnement],p_envcrit))</f>
        <v>2124</v>
      </c>
      <c r="X41" s="22" t="n">
        <f aca="false">IF($A41&gt;p_horizon,"",U41+V41)</f>
        <v>39892</v>
      </c>
    </row>
    <row r="42" customFormat="false" ht="15" hidden="false" customHeight="false" outlineLevel="0" collapsed="false">
      <c r="A42" s="59" t="n">
        <v>20</v>
      </c>
      <c r="B42" s="39" t="n">
        <f aca="false">IF($A42&gt;p_horizon,"",EDATE(p_debut,$A42-1))</f>
        <v>46874</v>
      </c>
      <c r="C42" s="59" t="n">
        <f aca="false">IF($A42&gt;p_horizon,"",SUMIFS(TblCalculs[CPU provisionné],TblCalculs[Mois],$B42,TblCalculs[Plateforme],"IKS"))</f>
        <v>448</v>
      </c>
      <c r="D42" s="59" t="n">
        <f aca="false">IF($A42&gt;p_horizon,"",SUMIFS(TblCalculs[CPU provisionné],TblCalculs[Mois],$B42,TblCalculs[Plateforme],"ROKS"))</f>
        <v>544</v>
      </c>
      <c r="E42" s="59" t="n">
        <f aca="false">IF($A42&gt;p_horizon,"",SUMIFS(TblCalculs[RAM provisionnée],TblCalculs[Mois],$B42,TblCalculs[Plateforme],"IKS"))</f>
        <v>1792</v>
      </c>
      <c r="F42" s="59" t="n">
        <f aca="false">IF($A42&gt;p_horizon,"",SUMIFS(TblCalculs[RAM provisionnée],TblCalculs[Mois],$B42,TblCalculs[Plateforme],"ROKS"))</f>
        <v>2720</v>
      </c>
      <c r="G42" s="59" t="n">
        <f aca="false">IF($A42&gt;p_horizon,"",SUMIFS(TblCalculs[Workers],TblCalculs[Mois],$B42,TblCalculs[Plateforme],"IKS"))</f>
        <v>20</v>
      </c>
      <c r="H42" s="59" t="n">
        <f aca="false">IF($A42&gt;p_horizon,"",SUMIFS(TblCalculs[Workers],TblCalculs[Mois],$B42,TblCalculs[Plateforme],"ROKS"))</f>
        <v>23</v>
      </c>
      <c r="I42" s="22" t="n">
        <f aca="false">IF($A42&gt;p_horizon,"",SUMIFS(TblCalculs[Coût mensuel],TblCalculs[Mois],$B42,TblCalculs[Plateforme],"IKS"))</f>
        <v>14868</v>
      </c>
      <c r="J42" s="22" t="n">
        <f aca="false">IF($A42&gt;p_horizon,"",SUMIFS(TblCalculs[Coût mensuel],TblCalculs[Mois],$B42,TblCalculs[Plateforme],"ROKS"))</f>
        <v>25024</v>
      </c>
      <c r="K42" s="22" t="n">
        <f aca="false">IF($A42&gt;p_horizon,"",I42+J42)</f>
        <v>39892</v>
      </c>
      <c r="L42" s="22" t="n">
        <f aca="false">IF($A42&gt;p_horizon,"",K42-R42)</f>
        <v>2124</v>
      </c>
      <c r="M42" s="22" t="n">
        <f aca="false">IF($A42&gt;p_horizon,"",SUM($L$23:L42))</f>
        <v>35577</v>
      </c>
      <c r="N42" s="59" t="n">
        <f aca="false">IF($A42&gt;p_horizon,"",SUMPRODUCT((TblApplications[Action]="À migrer")*(TblApplications[Mois prov (calc)]&lt;=$B42)*(TblApplications[Mois lib (calc)]&gt;$B42)))</f>
        <v>2</v>
      </c>
      <c r="O42" s="59" t="n">
        <f aca="false">IF($A42&gt;p_horizon,"",C42+D42)</f>
        <v>992</v>
      </c>
      <c r="P42" s="59" t="n">
        <f aca="false">IF($A42&gt;p_horizon,"",SUMIFS(TblCalculs[Besoin CPU],TblCalculs[Mois],$B42,TblCalculs[Plateforme],"ROKS"))</f>
        <v>497</v>
      </c>
      <c r="Q42" s="59" t="n">
        <f aca="false">IF($A42&gt;p_horizon,"",SUMIFS(TblCalculs[Besoin RAM],TblCalculs[Mois],$B42,TblCalculs[Plateforme],"ROKS"))</f>
        <v>2608</v>
      </c>
      <c r="R42" s="22" t="n">
        <f aca="false">IF($A42&gt;p_horizon,"",SUMIFS(TblCalculs[Sans DR – coût],TblCalculs[Mois],$B42))</f>
        <v>37768</v>
      </c>
      <c r="S42" s="22" t="n">
        <f aca="false">IF($A42&gt;p_horizon,"",SUMIFS(TblCalculs[Sans migration – coût],TblCalculs[Mois],$B42))</f>
        <v>42984</v>
      </c>
      <c r="T42" s="22" t="n">
        <f aca="false">IF($A42&gt;p_horizon,"",K42-S42)</f>
        <v>-3092</v>
      </c>
      <c r="U42" s="22" t="n">
        <f aca="false">IF($A42&gt;p_horizon,"",SUMIFS(TblCalculs[Coût mensuel],TblCalculs[Mois],$B42,TblCalculs[Plateforme],"IKS",TblCalculs[Environnement],p_envcrit))</f>
        <v>14868</v>
      </c>
      <c r="V42" s="22" t="n">
        <f aca="false">IF($A42&gt;p_horizon,"",SUMIFS(TblCalculs[Coût mensuel],TblCalculs[Mois],$B42,TblCalculs[Plateforme],"ROKS",TblCalculs[Environnement],p_envcrit))</f>
        <v>25024</v>
      </c>
      <c r="W42" s="22" t="n">
        <f aca="false">IF($A42&gt;p_horizon,"",SUMIFS(TblCalculs[Coût mensuel],TblCalculs[Mois],$B42,TblCalculs[Environnement],p_envcrit)-SUMIFS(TblCalculs[Sans DR – coût],TblCalculs[Mois],$B42,TblCalculs[Environnement],p_envcrit))</f>
        <v>2124</v>
      </c>
      <c r="X42" s="22" t="n">
        <f aca="false">IF($A42&gt;p_horizon,"",U42+V42)</f>
        <v>39892</v>
      </c>
    </row>
    <row r="43" customFormat="false" ht="15" hidden="false" customHeight="false" outlineLevel="0" collapsed="false">
      <c r="A43" s="59" t="n">
        <v>21</v>
      </c>
      <c r="B43" s="39" t="n">
        <f aca="false">IF($A43&gt;p_horizon,"",EDATE(p_debut,$A43-1))</f>
        <v>46905</v>
      </c>
      <c r="C43" s="59" t="n">
        <f aca="false">IF($A43&gt;p_horizon,"",SUMIFS(TblCalculs[CPU provisionné],TblCalculs[Mois],$B43,TblCalculs[Plateforme],"IKS"))</f>
        <v>256</v>
      </c>
      <c r="D43" s="59" t="n">
        <f aca="false">IF($A43&gt;p_horizon,"",SUMIFS(TblCalculs[CPU provisionné],TblCalculs[Mois],$B43,TblCalculs[Plateforme],"ROKS"))</f>
        <v>544</v>
      </c>
      <c r="E43" s="59" t="n">
        <f aca="false">IF($A43&gt;p_horizon,"",SUMIFS(TblCalculs[RAM provisionnée],TblCalculs[Mois],$B43,TblCalculs[Plateforme],"IKS"))</f>
        <v>1024</v>
      </c>
      <c r="F43" s="59" t="n">
        <f aca="false">IF($A43&gt;p_horizon,"",SUMIFS(TblCalculs[RAM provisionnée],TblCalculs[Mois],$B43,TblCalculs[Plateforme],"ROKS"))</f>
        <v>2720</v>
      </c>
      <c r="G43" s="59" t="n">
        <f aca="false">IF($A43&gt;p_horizon,"",SUMIFS(TblCalculs[Workers],TblCalculs[Mois],$B43,TblCalculs[Plateforme],"IKS"))</f>
        <v>8</v>
      </c>
      <c r="H43" s="59" t="n">
        <f aca="false">IF($A43&gt;p_horizon,"",SUMIFS(TblCalculs[Workers],TblCalculs[Mois],$B43,TblCalculs[Plateforme],"ROKS"))</f>
        <v>23</v>
      </c>
      <c r="I43" s="22" t="n">
        <f aca="false">IF($A43&gt;p_horizon,"",SUMIFS(TblCalculs[Coût mensuel],TblCalculs[Mois],$B43,TblCalculs[Plateforme],"IKS"))</f>
        <v>8496</v>
      </c>
      <c r="J43" s="22" t="n">
        <f aca="false">IF($A43&gt;p_horizon,"",SUMIFS(TblCalculs[Coût mensuel],TblCalculs[Mois],$B43,TblCalculs[Plateforme],"ROKS"))</f>
        <v>25024</v>
      </c>
      <c r="K43" s="22" t="n">
        <f aca="false">IF($A43&gt;p_horizon,"",I43+J43)</f>
        <v>33520</v>
      </c>
      <c r="L43" s="22" t="n">
        <f aca="false">IF($A43&gt;p_horizon,"",K43-R43)</f>
        <v>0</v>
      </c>
      <c r="M43" s="22" t="n">
        <f aca="false">IF($A43&gt;p_horizon,"",SUM($L$23:L43))</f>
        <v>35577</v>
      </c>
      <c r="N43" s="59" t="n">
        <f aca="false">IF($A43&gt;p_horizon,"",SUMPRODUCT((TblApplications[Action]="À migrer")*(TblApplications[Mois prov (calc)]&lt;=$B43)*(TblApplications[Mois lib (calc)]&gt;$B43)))</f>
        <v>0</v>
      </c>
      <c r="O43" s="59" t="n">
        <f aca="false">IF($A43&gt;p_horizon,"",C43+D43)</f>
        <v>800</v>
      </c>
      <c r="P43" s="59" t="n">
        <f aca="false">IF($A43&gt;p_horizon,"",SUMIFS(TblCalculs[Besoin CPU],TblCalculs[Mois],$B43,TblCalculs[Plateforme],"ROKS"))</f>
        <v>497</v>
      </c>
      <c r="Q43" s="59" t="n">
        <f aca="false">IF($A43&gt;p_horizon,"",SUMIFS(TblCalculs[Besoin RAM],TblCalculs[Mois],$B43,TblCalculs[Plateforme],"ROKS"))</f>
        <v>2608</v>
      </c>
      <c r="R43" s="22" t="n">
        <f aca="false">IF($A43&gt;p_horizon,"",SUMIFS(TblCalculs[Sans DR – coût],TblCalculs[Mois],$B43))</f>
        <v>33520</v>
      </c>
      <c r="S43" s="22" t="n">
        <f aca="false">IF($A43&gt;p_horizon,"",SUMIFS(TblCalculs[Sans migration – coût],TblCalculs[Mois],$B43))</f>
        <v>42984</v>
      </c>
      <c r="T43" s="22" t="n">
        <f aca="false">IF($A43&gt;p_horizon,"",K43-S43)</f>
        <v>-9464</v>
      </c>
      <c r="U43" s="22" t="n">
        <f aca="false">IF($A43&gt;p_horizon,"",SUMIFS(TblCalculs[Coût mensuel],TblCalculs[Mois],$B43,TblCalculs[Plateforme],"IKS",TblCalculs[Environnement],p_envcrit))</f>
        <v>8496</v>
      </c>
      <c r="V43" s="22" t="n">
        <f aca="false">IF($A43&gt;p_horizon,"",SUMIFS(TblCalculs[Coût mensuel],TblCalculs[Mois],$B43,TblCalculs[Plateforme],"ROKS",TblCalculs[Environnement],p_envcrit))</f>
        <v>25024</v>
      </c>
      <c r="W43" s="22" t="n">
        <f aca="false">IF($A43&gt;p_horizon,"",SUMIFS(TblCalculs[Coût mensuel],TblCalculs[Mois],$B43,TblCalculs[Environnement],p_envcrit)-SUMIFS(TblCalculs[Sans DR – coût],TblCalculs[Mois],$B43,TblCalculs[Environnement],p_envcrit))</f>
        <v>0</v>
      </c>
      <c r="X43" s="22" t="n">
        <f aca="false">IF($A43&gt;p_horizon,"",U43+V43)</f>
        <v>33520</v>
      </c>
    </row>
    <row r="44" customFormat="false" ht="15" hidden="false" customHeight="false" outlineLevel="0" collapsed="false">
      <c r="A44" s="59" t="n">
        <v>22</v>
      </c>
      <c r="B44" s="39" t="n">
        <f aca="false">IF($A44&gt;p_horizon,"",EDATE(p_debut,$A44-1))</f>
        <v>46935</v>
      </c>
      <c r="C44" s="59" t="n">
        <f aca="false">IF($A44&gt;p_horizon,"",SUMIFS(TblCalculs[CPU provisionné],TblCalculs[Mois],$B44,TblCalculs[Plateforme],"IKS"))</f>
        <v>256</v>
      </c>
      <c r="D44" s="59" t="n">
        <f aca="false">IF($A44&gt;p_horizon,"",SUMIFS(TblCalculs[CPU provisionné],TblCalculs[Mois],$B44,TblCalculs[Plateforme],"ROKS"))</f>
        <v>544</v>
      </c>
      <c r="E44" s="59" t="n">
        <f aca="false">IF($A44&gt;p_horizon,"",SUMIFS(TblCalculs[RAM provisionnée],TblCalculs[Mois],$B44,TblCalculs[Plateforme],"IKS"))</f>
        <v>1024</v>
      </c>
      <c r="F44" s="59" t="n">
        <f aca="false">IF($A44&gt;p_horizon,"",SUMIFS(TblCalculs[RAM provisionnée],TblCalculs[Mois],$B44,TblCalculs[Plateforme],"ROKS"))</f>
        <v>2720</v>
      </c>
      <c r="G44" s="59" t="n">
        <f aca="false">IF($A44&gt;p_horizon,"",SUMIFS(TblCalculs[Workers],TblCalculs[Mois],$B44,TblCalculs[Plateforme],"IKS"))</f>
        <v>8</v>
      </c>
      <c r="H44" s="59" t="n">
        <f aca="false">IF($A44&gt;p_horizon,"",SUMIFS(TblCalculs[Workers],TblCalculs[Mois],$B44,TblCalculs[Plateforme],"ROKS"))</f>
        <v>23</v>
      </c>
      <c r="I44" s="22" t="n">
        <f aca="false">IF($A44&gt;p_horizon,"",SUMIFS(TblCalculs[Coût mensuel],TblCalculs[Mois],$B44,TblCalculs[Plateforme],"IKS"))</f>
        <v>8496</v>
      </c>
      <c r="J44" s="22" t="n">
        <f aca="false">IF($A44&gt;p_horizon,"",SUMIFS(TblCalculs[Coût mensuel],TblCalculs[Mois],$B44,TblCalculs[Plateforme],"ROKS"))</f>
        <v>25024</v>
      </c>
      <c r="K44" s="22" t="n">
        <f aca="false">IF($A44&gt;p_horizon,"",I44+J44)</f>
        <v>33520</v>
      </c>
      <c r="L44" s="22" t="n">
        <f aca="false">IF($A44&gt;p_horizon,"",K44-R44)</f>
        <v>0</v>
      </c>
      <c r="M44" s="22" t="n">
        <f aca="false">IF($A44&gt;p_horizon,"",SUM($L$23:L44))</f>
        <v>35577</v>
      </c>
      <c r="N44" s="59" t="n">
        <f aca="false">IF($A44&gt;p_horizon,"",SUMPRODUCT((TblApplications[Action]="À migrer")*(TblApplications[Mois prov (calc)]&lt;=$B44)*(TblApplications[Mois lib (calc)]&gt;$B44)))</f>
        <v>0</v>
      </c>
      <c r="O44" s="59" t="n">
        <f aca="false">IF($A44&gt;p_horizon,"",C44+D44)</f>
        <v>800</v>
      </c>
      <c r="P44" s="59" t="n">
        <f aca="false">IF($A44&gt;p_horizon,"",SUMIFS(TblCalculs[Besoin CPU],TblCalculs[Mois],$B44,TblCalculs[Plateforme],"ROKS"))</f>
        <v>497</v>
      </c>
      <c r="Q44" s="59" t="n">
        <f aca="false">IF($A44&gt;p_horizon,"",SUMIFS(TblCalculs[Besoin RAM],TblCalculs[Mois],$B44,TblCalculs[Plateforme],"ROKS"))</f>
        <v>2608</v>
      </c>
      <c r="R44" s="22" t="n">
        <f aca="false">IF($A44&gt;p_horizon,"",SUMIFS(TblCalculs[Sans DR – coût],TblCalculs[Mois],$B44))</f>
        <v>33520</v>
      </c>
      <c r="S44" s="22" t="n">
        <f aca="false">IF($A44&gt;p_horizon,"",SUMIFS(TblCalculs[Sans migration – coût],TblCalculs[Mois],$B44))</f>
        <v>42984</v>
      </c>
      <c r="T44" s="22" t="n">
        <f aca="false">IF($A44&gt;p_horizon,"",K44-S44)</f>
        <v>-9464</v>
      </c>
      <c r="U44" s="22" t="n">
        <f aca="false">IF($A44&gt;p_horizon,"",SUMIFS(TblCalculs[Coût mensuel],TblCalculs[Mois],$B44,TblCalculs[Plateforme],"IKS",TblCalculs[Environnement],p_envcrit))</f>
        <v>8496</v>
      </c>
      <c r="V44" s="22" t="n">
        <f aca="false">IF($A44&gt;p_horizon,"",SUMIFS(TblCalculs[Coût mensuel],TblCalculs[Mois],$B44,TblCalculs[Plateforme],"ROKS",TblCalculs[Environnement],p_envcrit))</f>
        <v>25024</v>
      </c>
      <c r="W44" s="22" t="n">
        <f aca="false">IF($A44&gt;p_horizon,"",SUMIFS(TblCalculs[Coût mensuel],TblCalculs[Mois],$B44,TblCalculs[Environnement],p_envcrit)-SUMIFS(TblCalculs[Sans DR – coût],TblCalculs[Mois],$B44,TblCalculs[Environnement],p_envcrit))</f>
        <v>0</v>
      </c>
      <c r="X44" s="22" t="n">
        <f aca="false">IF($A44&gt;p_horizon,"",U44+V44)</f>
        <v>33520</v>
      </c>
    </row>
    <row r="45" customFormat="false" ht="15" hidden="false" customHeight="false" outlineLevel="0" collapsed="false">
      <c r="A45" s="59" t="n">
        <v>23</v>
      </c>
      <c r="B45" s="39" t="n">
        <f aca="false">IF($A45&gt;p_horizon,"",EDATE(p_debut,$A45-1))</f>
        <v>46966</v>
      </c>
      <c r="C45" s="59" t="n">
        <f aca="false">IF($A45&gt;p_horizon,"",SUMIFS(TblCalculs[CPU provisionné],TblCalculs[Mois],$B45,TblCalculs[Plateforme],"IKS"))</f>
        <v>256</v>
      </c>
      <c r="D45" s="59" t="n">
        <f aca="false">IF($A45&gt;p_horizon,"",SUMIFS(TblCalculs[CPU provisionné],TblCalculs[Mois],$B45,TblCalculs[Plateforme],"ROKS"))</f>
        <v>544</v>
      </c>
      <c r="E45" s="59" t="n">
        <f aca="false">IF($A45&gt;p_horizon,"",SUMIFS(TblCalculs[RAM provisionnée],TblCalculs[Mois],$B45,TblCalculs[Plateforme],"IKS"))</f>
        <v>1024</v>
      </c>
      <c r="F45" s="59" t="n">
        <f aca="false">IF($A45&gt;p_horizon,"",SUMIFS(TblCalculs[RAM provisionnée],TblCalculs[Mois],$B45,TblCalculs[Plateforme],"ROKS"))</f>
        <v>2720</v>
      </c>
      <c r="G45" s="59" t="n">
        <f aca="false">IF($A45&gt;p_horizon,"",SUMIFS(TblCalculs[Workers],TblCalculs[Mois],$B45,TblCalculs[Plateforme],"IKS"))</f>
        <v>8</v>
      </c>
      <c r="H45" s="59" t="n">
        <f aca="false">IF($A45&gt;p_horizon,"",SUMIFS(TblCalculs[Workers],TblCalculs[Mois],$B45,TblCalculs[Plateforme],"ROKS"))</f>
        <v>23</v>
      </c>
      <c r="I45" s="22" t="n">
        <f aca="false">IF($A45&gt;p_horizon,"",SUMIFS(TblCalculs[Coût mensuel],TblCalculs[Mois],$B45,TblCalculs[Plateforme],"IKS"))</f>
        <v>8496</v>
      </c>
      <c r="J45" s="22" t="n">
        <f aca="false">IF($A45&gt;p_horizon,"",SUMIFS(TblCalculs[Coût mensuel],TblCalculs[Mois],$B45,TblCalculs[Plateforme],"ROKS"))</f>
        <v>25024</v>
      </c>
      <c r="K45" s="22" t="n">
        <f aca="false">IF($A45&gt;p_horizon,"",I45+J45)</f>
        <v>33520</v>
      </c>
      <c r="L45" s="22" t="n">
        <f aca="false">IF($A45&gt;p_horizon,"",K45-R45)</f>
        <v>0</v>
      </c>
      <c r="M45" s="22" t="n">
        <f aca="false">IF($A45&gt;p_horizon,"",SUM($L$23:L45))</f>
        <v>35577</v>
      </c>
      <c r="N45" s="59" t="n">
        <f aca="false">IF($A45&gt;p_horizon,"",SUMPRODUCT((TblApplications[Action]="À migrer")*(TblApplications[Mois prov (calc)]&lt;=$B45)*(TblApplications[Mois lib (calc)]&gt;$B45)))</f>
        <v>0</v>
      </c>
      <c r="O45" s="59" t="n">
        <f aca="false">IF($A45&gt;p_horizon,"",C45+D45)</f>
        <v>800</v>
      </c>
      <c r="P45" s="59" t="n">
        <f aca="false">IF($A45&gt;p_horizon,"",SUMIFS(TblCalculs[Besoin CPU],TblCalculs[Mois],$B45,TblCalculs[Plateforme],"ROKS"))</f>
        <v>497</v>
      </c>
      <c r="Q45" s="59" t="n">
        <f aca="false">IF($A45&gt;p_horizon,"",SUMIFS(TblCalculs[Besoin RAM],TblCalculs[Mois],$B45,TblCalculs[Plateforme],"ROKS"))</f>
        <v>2608</v>
      </c>
      <c r="R45" s="22" t="n">
        <f aca="false">IF($A45&gt;p_horizon,"",SUMIFS(TblCalculs[Sans DR – coût],TblCalculs[Mois],$B45))</f>
        <v>33520</v>
      </c>
      <c r="S45" s="22" t="n">
        <f aca="false">IF($A45&gt;p_horizon,"",SUMIFS(TblCalculs[Sans migration – coût],TblCalculs[Mois],$B45))</f>
        <v>42984</v>
      </c>
      <c r="T45" s="22" t="n">
        <f aca="false">IF($A45&gt;p_horizon,"",K45-S45)</f>
        <v>-9464</v>
      </c>
      <c r="U45" s="22" t="n">
        <f aca="false">IF($A45&gt;p_horizon,"",SUMIFS(TblCalculs[Coût mensuel],TblCalculs[Mois],$B45,TblCalculs[Plateforme],"IKS",TblCalculs[Environnement],p_envcrit))</f>
        <v>8496</v>
      </c>
      <c r="V45" s="22" t="n">
        <f aca="false">IF($A45&gt;p_horizon,"",SUMIFS(TblCalculs[Coût mensuel],TblCalculs[Mois],$B45,TblCalculs[Plateforme],"ROKS",TblCalculs[Environnement],p_envcrit))</f>
        <v>25024</v>
      </c>
      <c r="W45" s="22" t="n">
        <f aca="false">IF($A45&gt;p_horizon,"",SUMIFS(TblCalculs[Coût mensuel],TblCalculs[Mois],$B45,TblCalculs[Environnement],p_envcrit)-SUMIFS(TblCalculs[Sans DR – coût],TblCalculs[Mois],$B45,TblCalculs[Environnement],p_envcrit))</f>
        <v>0</v>
      </c>
      <c r="X45" s="22" t="n">
        <f aca="false">IF($A45&gt;p_horizon,"",U45+V45)</f>
        <v>33520</v>
      </c>
    </row>
    <row r="46" customFormat="false" ht="15" hidden="false" customHeight="false" outlineLevel="0" collapsed="false">
      <c r="A46" s="59" t="n">
        <v>24</v>
      </c>
      <c r="B46" s="39" t="n">
        <f aca="false">IF($A46&gt;p_horizon,"",EDATE(p_debut,$A46-1))</f>
        <v>46997</v>
      </c>
      <c r="C46" s="59" t="n">
        <f aca="false">IF($A46&gt;p_horizon,"",SUMIFS(TblCalculs[CPU provisionné],TblCalculs[Mois],$B46,TblCalculs[Plateforme],"IKS"))</f>
        <v>256</v>
      </c>
      <c r="D46" s="59" t="n">
        <f aca="false">IF($A46&gt;p_horizon,"",SUMIFS(TblCalculs[CPU provisionné],TblCalculs[Mois],$B46,TblCalculs[Plateforme],"ROKS"))</f>
        <v>640</v>
      </c>
      <c r="E46" s="59" t="n">
        <f aca="false">IF($A46&gt;p_horizon,"",SUMIFS(TblCalculs[RAM provisionnée],TblCalculs[Mois],$B46,TblCalculs[Plateforme],"IKS"))</f>
        <v>1024</v>
      </c>
      <c r="F46" s="59" t="n">
        <f aca="false">IF($A46&gt;p_horizon,"",SUMIFS(TblCalculs[RAM provisionnée],TblCalculs[Mois],$B46,TblCalculs[Plateforme],"ROKS"))</f>
        <v>3200</v>
      </c>
      <c r="G46" s="59" t="n">
        <f aca="false">IF($A46&gt;p_horizon,"",SUMIFS(TblCalculs[Workers],TblCalculs[Mois],$B46,TblCalculs[Plateforme],"IKS"))</f>
        <v>8</v>
      </c>
      <c r="H46" s="59" t="n">
        <f aca="false">IF($A46&gt;p_horizon,"",SUMIFS(TblCalculs[Workers],TblCalculs[Mois],$B46,TblCalculs[Plateforme],"ROKS"))</f>
        <v>26</v>
      </c>
      <c r="I46" s="22" t="n">
        <f aca="false">IF($A46&gt;p_horizon,"",SUMIFS(TblCalculs[Coût mensuel],TblCalculs[Mois],$B46,TblCalculs[Plateforme],"IKS"))</f>
        <v>8496</v>
      </c>
      <c r="J46" s="22" t="n">
        <f aca="false">IF($A46&gt;p_horizon,"",SUMIFS(TblCalculs[Coût mensuel],TblCalculs[Mois],$B46,TblCalculs[Plateforme],"ROKS"))</f>
        <v>29440</v>
      </c>
      <c r="K46" s="22" t="n">
        <f aca="false">IF($A46&gt;p_horizon,"",I46+J46)</f>
        <v>37936</v>
      </c>
      <c r="L46" s="22" t="n">
        <f aca="false">IF($A46&gt;p_horizon,"",K46-R46)</f>
        <v>5310</v>
      </c>
      <c r="M46" s="22" t="n">
        <f aca="false">IF($A46&gt;p_horizon,"",SUM($L$23:L46))</f>
        <v>40887</v>
      </c>
      <c r="N46" s="59" t="n">
        <f aca="false">IF($A46&gt;p_horizon,"",SUMPRODUCT((TblApplications[Action]="À migrer")*(TblApplications[Mois prov (calc)]&lt;=$B46)*(TblApplications[Mois lib (calc)]&gt;$B46)))</f>
        <v>1</v>
      </c>
      <c r="O46" s="59" t="n">
        <f aca="false">IF($A46&gt;p_horizon,"",C46+D46)</f>
        <v>896</v>
      </c>
      <c r="P46" s="59" t="n">
        <f aca="false">IF($A46&gt;p_horizon,"",SUMIFS(TblCalculs[Besoin CPU],TblCalculs[Mois],$B46,TblCalculs[Plateforme],"ROKS"))</f>
        <v>552</v>
      </c>
      <c r="Q46" s="59" t="n">
        <f aca="false">IF($A46&gt;p_horizon,"",SUMIFS(TblCalculs[Besoin RAM],TblCalculs[Mois],$B46,TblCalculs[Plateforme],"ROKS"))</f>
        <v>3088</v>
      </c>
      <c r="R46" s="22" t="n">
        <f aca="false">IF($A46&gt;p_horizon,"",SUMIFS(TblCalculs[Sans DR – coût],TblCalculs[Mois],$B46))</f>
        <v>32626</v>
      </c>
      <c r="S46" s="22" t="n">
        <f aca="false">IF($A46&gt;p_horizon,"",SUMIFS(TblCalculs[Sans migration – coût],TblCalculs[Mois],$B46))</f>
        <v>42984</v>
      </c>
      <c r="T46" s="22" t="n">
        <f aca="false">IF($A46&gt;p_horizon,"",K46-S46)</f>
        <v>-5048</v>
      </c>
      <c r="U46" s="22" t="n">
        <f aca="false">IF($A46&gt;p_horizon,"",SUMIFS(TblCalculs[Coût mensuel],TblCalculs[Mois],$B46,TblCalculs[Plateforme],"IKS",TblCalculs[Environnement],p_envcrit))</f>
        <v>8496</v>
      </c>
      <c r="V46" s="22" t="n">
        <f aca="false">IF($A46&gt;p_horizon,"",SUMIFS(TblCalculs[Coût mensuel],TblCalculs[Mois],$B46,TblCalculs[Plateforme],"ROKS",TblCalculs[Environnement],p_envcrit))</f>
        <v>29440</v>
      </c>
      <c r="W46" s="22" t="n">
        <f aca="false">IF($A46&gt;p_horizon,"",SUMIFS(TblCalculs[Coût mensuel],TblCalculs[Mois],$B46,TblCalculs[Environnement],p_envcrit)-SUMIFS(TblCalculs[Sans DR – coût],TblCalculs[Mois],$B46,TblCalculs[Environnement],p_envcrit))</f>
        <v>5310</v>
      </c>
      <c r="X46" s="22" t="n">
        <f aca="false">IF($A46&gt;p_horizon,"",U46+V46)</f>
        <v>37936</v>
      </c>
    </row>
    <row r="47" customFormat="false" ht="15" hidden="false" customHeight="false" outlineLevel="0" collapsed="false">
      <c r="A47" s="59" t="n">
        <v>25</v>
      </c>
      <c r="B47" s="39" t="n">
        <f aca="false">IF($A47&gt;p_horizon,"",EDATE(p_debut,$A47-1))</f>
        <v>47027</v>
      </c>
      <c r="C47" s="59" t="n">
        <f aca="false">IF($A47&gt;p_horizon,"",SUMIFS(TblCalculs[CPU provisionné],TblCalculs[Mois],$B47,TblCalculs[Plateforme],"IKS"))</f>
        <v>256</v>
      </c>
      <c r="D47" s="59" t="n">
        <f aca="false">IF($A47&gt;p_horizon,"",SUMIFS(TblCalculs[CPU provisionné],TblCalculs[Mois],$B47,TblCalculs[Plateforme],"ROKS"))</f>
        <v>640</v>
      </c>
      <c r="E47" s="59" t="n">
        <f aca="false">IF($A47&gt;p_horizon,"",SUMIFS(TblCalculs[RAM provisionnée],TblCalculs[Mois],$B47,TblCalculs[Plateforme],"IKS"))</f>
        <v>1024</v>
      </c>
      <c r="F47" s="59" t="n">
        <f aca="false">IF($A47&gt;p_horizon,"",SUMIFS(TblCalculs[RAM provisionnée],TblCalculs[Mois],$B47,TblCalculs[Plateforme],"ROKS"))</f>
        <v>3200</v>
      </c>
      <c r="G47" s="59" t="n">
        <f aca="false">IF($A47&gt;p_horizon,"",SUMIFS(TblCalculs[Workers],TblCalculs[Mois],$B47,TblCalculs[Plateforme],"IKS"))</f>
        <v>8</v>
      </c>
      <c r="H47" s="59" t="n">
        <f aca="false">IF($A47&gt;p_horizon,"",SUMIFS(TblCalculs[Workers],TblCalculs[Mois],$B47,TblCalculs[Plateforme],"ROKS"))</f>
        <v>26</v>
      </c>
      <c r="I47" s="22" t="n">
        <f aca="false">IF($A47&gt;p_horizon,"",SUMIFS(TblCalculs[Coût mensuel],TblCalculs[Mois],$B47,TblCalculs[Plateforme],"IKS"))</f>
        <v>8496</v>
      </c>
      <c r="J47" s="22" t="n">
        <f aca="false">IF($A47&gt;p_horizon,"",SUMIFS(TblCalculs[Coût mensuel],TblCalculs[Mois],$B47,TblCalculs[Plateforme],"ROKS"))</f>
        <v>29440</v>
      </c>
      <c r="K47" s="22" t="n">
        <f aca="false">IF($A47&gt;p_horizon,"",I47+J47)</f>
        <v>37936</v>
      </c>
      <c r="L47" s="22" t="n">
        <f aca="false">IF($A47&gt;p_horizon,"",K47-R47)</f>
        <v>5310</v>
      </c>
      <c r="M47" s="22" t="n">
        <f aca="false">IF($A47&gt;p_horizon,"",SUM($L$23:L47))</f>
        <v>46197</v>
      </c>
      <c r="N47" s="59" t="n">
        <f aca="false">IF($A47&gt;p_horizon,"",SUMPRODUCT((TblApplications[Action]="À migrer")*(TblApplications[Mois prov (calc)]&lt;=$B47)*(TblApplications[Mois lib (calc)]&gt;$B47)))</f>
        <v>1</v>
      </c>
      <c r="O47" s="59" t="n">
        <f aca="false">IF($A47&gt;p_horizon,"",C47+D47)</f>
        <v>896</v>
      </c>
      <c r="P47" s="59" t="n">
        <f aca="false">IF($A47&gt;p_horizon,"",SUMIFS(TblCalculs[Besoin CPU],TblCalculs[Mois],$B47,TblCalculs[Plateforme],"ROKS"))</f>
        <v>552</v>
      </c>
      <c r="Q47" s="59" t="n">
        <f aca="false">IF($A47&gt;p_horizon,"",SUMIFS(TblCalculs[Besoin RAM],TblCalculs[Mois],$B47,TblCalculs[Plateforme],"ROKS"))</f>
        <v>3088</v>
      </c>
      <c r="R47" s="22" t="n">
        <f aca="false">IF($A47&gt;p_horizon,"",SUMIFS(TblCalculs[Sans DR – coût],TblCalculs[Mois],$B47))</f>
        <v>32626</v>
      </c>
      <c r="S47" s="22" t="n">
        <f aca="false">IF($A47&gt;p_horizon,"",SUMIFS(TblCalculs[Sans migration – coût],TblCalculs[Mois],$B47))</f>
        <v>42984</v>
      </c>
      <c r="T47" s="22" t="n">
        <f aca="false">IF($A47&gt;p_horizon,"",K47-S47)</f>
        <v>-5048</v>
      </c>
      <c r="U47" s="22" t="n">
        <f aca="false">IF($A47&gt;p_horizon,"",SUMIFS(TblCalculs[Coût mensuel],TblCalculs[Mois],$B47,TblCalculs[Plateforme],"IKS",TblCalculs[Environnement],p_envcrit))</f>
        <v>8496</v>
      </c>
      <c r="V47" s="22" t="n">
        <f aca="false">IF($A47&gt;p_horizon,"",SUMIFS(TblCalculs[Coût mensuel],TblCalculs[Mois],$B47,TblCalculs[Plateforme],"ROKS",TblCalculs[Environnement],p_envcrit))</f>
        <v>29440</v>
      </c>
      <c r="W47" s="22" t="n">
        <f aca="false">IF($A47&gt;p_horizon,"",SUMIFS(TblCalculs[Coût mensuel],TblCalculs[Mois],$B47,TblCalculs[Environnement],p_envcrit)-SUMIFS(TblCalculs[Sans DR – coût],TblCalculs[Mois],$B47,TblCalculs[Environnement],p_envcrit))</f>
        <v>5310</v>
      </c>
      <c r="X47" s="22" t="n">
        <f aca="false">IF($A47&gt;p_horizon,"",U47+V47)</f>
        <v>37936</v>
      </c>
    </row>
    <row r="48" customFormat="false" ht="15" hidden="false" customHeight="false" outlineLevel="0" collapsed="false">
      <c r="A48" s="59" t="n">
        <v>26</v>
      </c>
      <c r="B48" s="39" t="n">
        <f aca="false">IF($A48&gt;p_horizon,"",EDATE(p_debut,$A48-1))</f>
        <v>47058</v>
      </c>
      <c r="C48" s="59" t="n">
        <f aca="false">IF($A48&gt;p_horizon,"",SUMIFS(TblCalculs[CPU provisionné],TblCalculs[Mois],$B48,TblCalculs[Plateforme],"IKS"))</f>
        <v>256</v>
      </c>
      <c r="D48" s="59" t="n">
        <f aca="false">IF($A48&gt;p_horizon,"",SUMIFS(TblCalculs[CPU provisionné],TblCalculs[Mois],$B48,TblCalculs[Plateforme],"ROKS"))</f>
        <v>640</v>
      </c>
      <c r="E48" s="59" t="n">
        <f aca="false">IF($A48&gt;p_horizon,"",SUMIFS(TblCalculs[RAM provisionnée],TblCalculs[Mois],$B48,TblCalculs[Plateforme],"IKS"))</f>
        <v>1024</v>
      </c>
      <c r="F48" s="59" t="n">
        <f aca="false">IF($A48&gt;p_horizon,"",SUMIFS(TblCalculs[RAM provisionnée],TblCalculs[Mois],$B48,TblCalculs[Plateforme],"ROKS"))</f>
        <v>3200</v>
      </c>
      <c r="G48" s="59" t="n">
        <f aca="false">IF($A48&gt;p_horizon,"",SUMIFS(TblCalculs[Workers],TblCalculs[Mois],$B48,TblCalculs[Plateforme],"IKS"))</f>
        <v>8</v>
      </c>
      <c r="H48" s="59" t="n">
        <f aca="false">IF($A48&gt;p_horizon,"",SUMIFS(TblCalculs[Workers],TblCalculs[Mois],$B48,TblCalculs[Plateforme],"ROKS"))</f>
        <v>26</v>
      </c>
      <c r="I48" s="22" t="n">
        <f aca="false">IF($A48&gt;p_horizon,"",SUMIFS(TblCalculs[Coût mensuel],TblCalculs[Mois],$B48,TblCalculs[Plateforme],"IKS"))</f>
        <v>8496</v>
      </c>
      <c r="J48" s="22" t="n">
        <f aca="false">IF($A48&gt;p_horizon,"",SUMIFS(TblCalculs[Coût mensuel],TblCalculs[Mois],$B48,TblCalculs[Plateforme],"ROKS"))</f>
        <v>29440</v>
      </c>
      <c r="K48" s="22" t="n">
        <f aca="false">IF($A48&gt;p_horizon,"",I48+J48)</f>
        <v>37936</v>
      </c>
      <c r="L48" s="22" t="n">
        <f aca="false">IF($A48&gt;p_horizon,"",K48-R48)</f>
        <v>5310</v>
      </c>
      <c r="M48" s="22" t="n">
        <f aca="false">IF($A48&gt;p_horizon,"",SUM($L$23:L48))</f>
        <v>51507</v>
      </c>
      <c r="N48" s="59" t="n">
        <f aca="false">IF($A48&gt;p_horizon,"",SUMPRODUCT((TblApplications[Action]="À migrer")*(TblApplications[Mois prov (calc)]&lt;=$B48)*(TblApplications[Mois lib (calc)]&gt;$B48)))</f>
        <v>1</v>
      </c>
      <c r="O48" s="59" t="n">
        <f aca="false">IF($A48&gt;p_horizon,"",C48+D48)</f>
        <v>896</v>
      </c>
      <c r="P48" s="59" t="n">
        <f aca="false">IF($A48&gt;p_horizon,"",SUMIFS(TblCalculs[Besoin CPU],TblCalculs[Mois],$B48,TblCalculs[Plateforme],"ROKS"))</f>
        <v>552</v>
      </c>
      <c r="Q48" s="59" t="n">
        <f aca="false">IF($A48&gt;p_horizon,"",SUMIFS(TblCalculs[Besoin RAM],TblCalculs[Mois],$B48,TblCalculs[Plateforme],"ROKS"))</f>
        <v>3088</v>
      </c>
      <c r="R48" s="22" t="n">
        <f aca="false">IF($A48&gt;p_horizon,"",SUMIFS(TblCalculs[Sans DR – coût],TblCalculs[Mois],$B48))</f>
        <v>32626</v>
      </c>
      <c r="S48" s="22" t="n">
        <f aca="false">IF($A48&gt;p_horizon,"",SUMIFS(TblCalculs[Sans migration – coût],TblCalculs[Mois],$B48))</f>
        <v>42984</v>
      </c>
      <c r="T48" s="22" t="n">
        <f aca="false">IF($A48&gt;p_horizon,"",K48-S48)</f>
        <v>-5048</v>
      </c>
      <c r="U48" s="22" t="n">
        <f aca="false">IF($A48&gt;p_horizon,"",SUMIFS(TblCalculs[Coût mensuel],TblCalculs[Mois],$B48,TblCalculs[Plateforme],"IKS",TblCalculs[Environnement],p_envcrit))</f>
        <v>8496</v>
      </c>
      <c r="V48" s="22" t="n">
        <f aca="false">IF($A48&gt;p_horizon,"",SUMIFS(TblCalculs[Coût mensuel],TblCalculs[Mois],$B48,TblCalculs[Plateforme],"ROKS",TblCalculs[Environnement],p_envcrit))</f>
        <v>29440</v>
      </c>
      <c r="W48" s="22" t="n">
        <f aca="false">IF($A48&gt;p_horizon,"",SUMIFS(TblCalculs[Coût mensuel],TblCalculs[Mois],$B48,TblCalculs[Environnement],p_envcrit)-SUMIFS(TblCalculs[Sans DR – coût],TblCalculs[Mois],$B48,TblCalculs[Environnement],p_envcrit))</f>
        <v>5310</v>
      </c>
      <c r="X48" s="22" t="n">
        <f aca="false">IF($A48&gt;p_horizon,"",U48+V48)</f>
        <v>37936</v>
      </c>
    </row>
    <row r="49" customFormat="false" ht="15" hidden="false" customHeight="false" outlineLevel="0" collapsed="false">
      <c r="A49" s="59" t="n">
        <v>27</v>
      </c>
      <c r="B49" s="39" t="n">
        <f aca="false">IF($A49&gt;p_horizon,"",EDATE(p_debut,$A49-1))</f>
        <v>47088</v>
      </c>
      <c r="C49" s="59" t="n">
        <f aca="false">IF($A49&gt;p_horizon,"",SUMIFS(TblCalculs[CPU provisionné],TblCalculs[Mois],$B49,TblCalculs[Plateforme],"IKS"))</f>
        <v>0</v>
      </c>
      <c r="D49" s="59" t="n">
        <f aca="false">IF($A49&gt;p_horizon,"",SUMIFS(TblCalculs[CPU provisionné],TblCalculs[Mois],$B49,TblCalculs[Plateforme],"ROKS"))</f>
        <v>640</v>
      </c>
      <c r="E49" s="59" t="n">
        <f aca="false">IF($A49&gt;p_horizon,"",SUMIFS(TblCalculs[RAM provisionnée],TblCalculs[Mois],$B49,TblCalculs[Plateforme],"IKS"))</f>
        <v>0</v>
      </c>
      <c r="F49" s="59" t="n">
        <f aca="false">IF($A49&gt;p_horizon,"",SUMIFS(TblCalculs[RAM provisionnée],TblCalculs[Mois],$B49,TblCalculs[Plateforme],"ROKS"))</f>
        <v>3200</v>
      </c>
      <c r="G49" s="59" t="n">
        <f aca="false">IF($A49&gt;p_horizon,"",SUMIFS(TblCalculs[Workers],TblCalculs[Mois],$B49,TblCalculs[Plateforme],"IKS"))</f>
        <v>0</v>
      </c>
      <c r="H49" s="59" t="n">
        <f aca="false">IF($A49&gt;p_horizon,"",SUMIFS(TblCalculs[Workers],TblCalculs[Mois],$B49,TblCalculs[Plateforme],"ROKS"))</f>
        <v>26</v>
      </c>
      <c r="I49" s="22" t="n">
        <f aca="false">IF($A49&gt;p_horizon,"",SUMIFS(TblCalculs[Coût mensuel],TblCalculs[Mois],$B49,TblCalculs[Plateforme],"IKS"))</f>
        <v>0</v>
      </c>
      <c r="J49" s="22" t="n">
        <f aca="false">IF($A49&gt;p_horizon,"",SUMIFS(TblCalculs[Coût mensuel],TblCalculs[Mois],$B49,TblCalculs[Plateforme],"ROKS"))</f>
        <v>29440</v>
      </c>
      <c r="K49" s="22" t="n">
        <f aca="false">IF($A49&gt;p_horizon,"",I49+J49)</f>
        <v>29440</v>
      </c>
      <c r="L49" s="22" t="n">
        <f aca="false">IF($A49&gt;p_horizon,"",K49-R49)</f>
        <v>0</v>
      </c>
      <c r="M49" s="22" t="n">
        <f aca="false">IF($A49&gt;p_horizon,"",SUM($L$23:L49))</f>
        <v>51507</v>
      </c>
      <c r="N49" s="59" t="n">
        <f aca="false">IF($A49&gt;p_horizon,"",SUMPRODUCT((TblApplications[Action]="À migrer")*(TblApplications[Mois prov (calc)]&lt;=$B49)*(TblApplications[Mois lib (calc)]&gt;$B49)))</f>
        <v>0</v>
      </c>
      <c r="O49" s="59" t="n">
        <f aca="false">IF($A49&gt;p_horizon,"",C49+D49)</f>
        <v>640</v>
      </c>
      <c r="P49" s="59" t="n">
        <f aca="false">IF($A49&gt;p_horizon,"",SUMIFS(TblCalculs[Besoin CPU],TblCalculs[Mois],$B49,TblCalculs[Plateforme],"ROKS"))</f>
        <v>552</v>
      </c>
      <c r="Q49" s="59" t="n">
        <f aca="false">IF($A49&gt;p_horizon,"",SUMIFS(TblCalculs[Besoin RAM],TblCalculs[Mois],$B49,TblCalculs[Plateforme],"ROKS"))</f>
        <v>3088</v>
      </c>
      <c r="R49" s="22" t="n">
        <f aca="false">IF($A49&gt;p_horizon,"",SUMIFS(TblCalculs[Sans DR – coût],TblCalculs[Mois],$B49))</f>
        <v>29440</v>
      </c>
      <c r="S49" s="22" t="n">
        <f aca="false">IF($A49&gt;p_horizon,"",SUMIFS(TblCalculs[Sans migration – coût],TblCalculs[Mois],$B49))</f>
        <v>42984</v>
      </c>
      <c r="T49" s="22" t="n">
        <f aca="false">IF($A49&gt;p_horizon,"",K49-S49)</f>
        <v>-13544</v>
      </c>
      <c r="U49" s="22" t="n">
        <f aca="false">IF($A49&gt;p_horizon,"",SUMIFS(TblCalculs[Coût mensuel],TblCalculs[Mois],$B49,TblCalculs[Plateforme],"IKS",TblCalculs[Environnement],p_envcrit))</f>
        <v>0</v>
      </c>
      <c r="V49" s="22" t="n">
        <f aca="false">IF($A49&gt;p_horizon,"",SUMIFS(TblCalculs[Coût mensuel],TblCalculs[Mois],$B49,TblCalculs[Plateforme],"ROKS",TblCalculs[Environnement],p_envcrit))</f>
        <v>29440</v>
      </c>
      <c r="W49" s="22" t="n">
        <f aca="false">IF($A49&gt;p_horizon,"",SUMIFS(TblCalculs[Coût mensuel],TblCalculs[Mois],$B49,TblCalculs[Environnement],p_envcrit)-SUMIFS(TblCalculs[Sans DR – coût],TblCalculs[Mois],$B49,TblCalculs[Environnement],p_envcrit))</f>
        <v>0</v>
      </c>
      <c r="X49" s="22" t="n">
        <f aca="false">IF($A49&gt;p_horizon,"",U49+V49)</f>
        <v>29440</v>
      </c>
    </row>
    <row r="50" customFormat="false" ht="15" hidden="false" customHeight="false" outlineLevel="0" collapsed="false">
      <c r="A50" s="59" t="n">
        <v>28</v>
      </c>
      <c r="B50" s="39" t="n">
        <f aca="false">IF($A50&gt;p_horizon,"",EDATE(p_debut,$A50-1))</f>
        <v>47119</v>
      </c>
      <c r="C50" s="59" t="n">
        <f aca="false">IF($A50&gt;p_horizon,"",SUMIFS(TblCalculs[CPU provisionné],TblCalculs[Mois],$B50,TblCalculs[Plateforme],"IKS"))</f>
        <v>0</v>
      </c>
      <c r="D50" s="59" t="n">
        <f aca="false">IF($A50&gt;p_horizon,"",SUMIFS(TblCalculs[CPU provisionné],TblCalculs[Mois],$B50,TblCalculs[Plateforme],"ROKS"))</f>
        <v>640</v>
      </c>
      <c r="E50" s="59" t="n">
        <f aca="false">IF($A50&gt;p_horizon,"",SUMIFS(TblCalculs[RAM provisionnée],TblCalculs[Mois],$B50,TblCalculs[Plateforme],"IKS"))</f>
        <v>0</v>
      </c>
      <c r="F50" s="59" t="n">
        <f aca="false">IF($A50&gt;p_horizon,"",SUMIFS(TblCalculs[RAM provisionnée],TblCalculs[Mois],$B50,TblCalculs[Plateforme],"ROKS"))</f>
        <v>3200</v>
      </c>
      <c r="G50" s="59" t="n">
        <f aca="false">IF($A50&gt;p_horizon,"",SUMIFS(TblCalculs[Workers],TblCalculs[Mois],$B50,TblCalculs[Plateforme],"IKS"))</f>
        <v>0</v>
      </c>
      <c r="H50" s="59" t="n">
        <f aca="false">IF($A50&gt;p_horizon,"",SUMIFS(TblCalculs[Workers],TblCalculs[Mois],$B50,TblCalculs[Plateforme],"ROKS"))</f>
        <v>26</v>
      </c>
      <c r="I50" s="22" t="n">
        <f aca="false">IF($A50&gt;p_horizon,"",SUMIFS(TblCalculs[Coût mensuel],TblCalculs[Mois],$B50,TblCalculs[Plateforme],"IKS"))</f>
        <v>0</v>
      </c>
      <c r="J50" s="22" t="n">
        <f aca="false">IF($A50&gt;p_horizon,"",SUMIFS(TblCalculs[Coût mensuel],TblCalculs[Mois],$B50,TblCalculs[Plateforme],"ROKS"))</f>
        <v>29440</v>
      </c>
      <c r="K50" s="22" t="n">
        <f aca="false">IF($A50&gt;p_horizon,"",I50+J50)</f>
        <v>29440</v>
      </c>
      <c r="L50" s="22" t="n">
        <f aca="false">IF($A50&gt;p_horizon,"",K50-R50)</f>
        <v>0</v>
      </c>
      <c r="M50" s="22" t="n">
        <f aca="false">IF($A50&gt;p_horizon,"",SUM($L$23:L50))</f>
        <v>51507</v>
      </c>
      <c r="N50" s="59" t="n">
        <f aca="false">IF($A50&gt;p_horizon,"",SUMPRODUCT((TblApplications[Action]="À migrer")*(TblApplications[Mois prov (calc)]&lt;=$B50)*(TblApplications[Mois lib (calc)]&gt;$B50)))</f>
        <v>0</v>
      </c>
      <c r="O50" s="59" t="n">
        <f aca="false">IF($A50&gt;p_horizon,"",C50+D50)</f>
        <v>640</v>
      </c>
      <c r="P50" s="59" t="n">
        <f aca="false">IF($A50&gt;p_horizon,"",SUMIFS(TblCalculs[Besoin CPU],TblCalculs[Mois],$B50,TblCalculs[Plateforme],"ROKS"))</f>
        <v>552</v>
      </c>
      <c r="Q50" s="59" t="n">
        <f aca="false">IF($A50&gt;p_horizon,"",SUMIFS(TblCalculs[Besoin RAM],TblCalculs[Mois],$B50,TblCalculs[Plateforme],"ROKS"))</f>
        <v>3088</v>
      </c>
      <c r="R50" s="22" t="n">
        <f aca="false">IF($A50&gt;p_horizon,"",SUMIFS(TblCalculs[Sans DR – coût],TblCalculs[Mois],$B50))</f>
        <v>29440</v>
      </c>
      <c r="S50" s="22" t="n">
        <f aca="false">IF($A50&gt;p_horizon,"",SUMIFS(TblCalculs[Sans migration – coût],TblCalculs[Mois],$B50))</f>
        <v>42984</v>
      </c>
      <c r="T50" s="22" t="n">
        <f aca="false">IF($A50&gt;p_horizon,"",K50-S50)</f>
        <v>-13544</v>
      </c>
      <c r="U50" s="22" t="n">
        <f aca="false">IF($A50&gt;p_horizon,"",SUMIFS(TblCalculs[Coût mensuel],TblCalculs[Mois],$B50,TblCalculs[Plateforme],"IKS",TblCalculs[Environnement],p_envcrit))</f>
        <v>0</v>
      </c>
      <c r="V50" s="22" t="n">
        <f aca="false">IF($A50&gt;p_horizon,"",SUMIFS(TblCalculs[Coût mensuel],TblCalculs[Mois],$B50,TblCalculs[Plateforme],"ROKS",TblCalculs[Environnement],p_envcrit))</f>
        <v>29440</v>
      </c>
      <c r="W50" s="22" t="n">
        <f aca="false">IF($A50&gt;p_horizon,"",SUMIFS(TblCalculs[Coût mensuel],TblCalculs[Mois],$B50,TblCalculs[Environnement],p_envcrit)-SUMIFS(TblCalculs[Sans DR – coût],TblCalculs[Mois],$B50,TblCalculs[Environnement],p_envcrit))</f>
        <v>0</v>
      </c>
      <c r="X50" s="22" t="n">
        <f aca="false">IF($A50&gt;p_horizon,"",U50+V50)</f>
        <v>29440</v>
      </c>
    </row>
    <row r="51" customFormat="false" ht="15" hidden="false" customHeight="false" outlineLevel="0" collapsed="false">
      <c r="A51" s="59" t="n">
        <v>29</v>
      </c>
      <c r="B51" s="39" t="n">
        <f aca="false">IF($A51&gt;p_horizon,"",EDATE(p_debut,$A51-1))</f>
        <v>47150</v>
      </c>
      <c r="C51" s="59" t="n">
        <f aca="false">IF($A51&gt;p_horizon,"",SUMIFS(TblCalculs[CPU provisionné],TblCalculs[Mois],$B51,TblCalculs[Plateforme],"IKS"))</f>
        <v>0</v>
      </c>
      <c r="D51" s="59" t="n">
        <f aca="false">IF($A51&gt;p_horizon,"",SUMIFS(TblCalculs[CPU provisionné],TblCalculs[Mois],$B51,TblCalculs[Plateforme],"ROKS"))</f>
        <v>640</v>
      </c>
      <c r="E51" s="59" t="n">
        <f aca="false">IF($A51&gt;p_horizon,"",SUMIFS(TblCalculs[RAM provisionnée],TblCalculs[Mois],$B51,TblCalculs[Plateforme],"IKS"))</f>
        <v>0</v>
      </c>
      <c r="F51" s="59" t="n">
        <f aca="false">IF($A51&gt;p_horizon,"",SUMIFS(TblCalculs[RAM provisionnée],TblCalculs[Mois],$B51,TblCalculs[Plateforme],"ROKS"))</f>
        <v>3200</v>
      </c>
      <c r="G51" s="59" t="n">
        <f aca="false">IF($A51&gt;p_horizon,"",SUMIFS(TblCalculs[Workers],TblCalculs[Mois],$B51,TblCalculs[Plateforme],"IKS"))</f>
        <v>0</v>
      </c>
      <c r="H51" s="59" t="n">
        <f aca="false">IF($A51&gt;p_horizon,"",SUMIFS(TblCalculs[Workers],TblCalculs[Mois],$B51,TblCalculs[Plateforme],"ROKS"))</f>
        <v>26</v>
      </c>
      <c r="I51" s="22" t="n">
        <f aca="false">IF($A51&gt;p_horizon,"",SUMIFS(TblCalculs[Coût mensuel],TblCalculs[Mois],$B51,TblCalculs[Plateforme],"IKS"))</f>
        <v>0</v>
      </c>
      <c r="J51" s="22" t="n">
        <f aca="false">IF($A51&gt;p_horizon,"",SUMIFS(TblCalculs[Coût mensuel],TblCalculs[Mois],$B51,TblCalculs[Plateforme],"ROKS"))</f>
        <v>29440</v>
      </c>
      <c r="K51" s="22" t="n">
        <f aca="false">IF($A51&gt;p_horizon,"",I51+J51)</f>
        <v>29440</v>
      </c>
      <c r="L51" s="22" t="n">
        <f aca="false">IF($A51&gt;p_horizon,"",K51-R51)</f>
        <v>0</v>
      </c>
      <c r="M51" s="22" t="n">
        <f aca="false">IF($A51&gt;p_horizon,"",SUM($L$23:L51))</f>
        <v>51507</v>
      </c>
      <c r="N51" s="59" t="n">
        <f aca="false">IF($A51&gt;p_horizon,"",SUMPRODUCT((TblApplications[Action]="À migrer")*(TblApplications[Mois prov (calc)]&lt;=$B51)*(TblApplications[Mois lib (calc)]&gt;$B51)))</f>
        <v>0</v>
      </c>
      <c r="O51" s="59" t="n">
        <f aca="false">IF($A51&gt;p_horizon,"",C51+D51)</f>
        <v>640</v>
      </c>
      <c r="P51" s="59" t="n">
        <f aca="false">IF($A51&gt;p_horizon,"",SUMIFS(TblCalculs[Besoin CPU],TblCalculs[Mois],$B51,TblCalculs[Plateforme],"ROKS"))</f>
        <v>552</v>
      </c>
      <c r="Q51" s="59" t="n">
        <f aca="false">IF($A51&gt;p_horizon,"",SUMIFS(TblCalculs[Besoin RAM],TblCalculs[Mois],$B51,TblCalculs[Plateforme],"ROKS"))</f>
        <v>3088</v>
      </c>
      <c r="R51" s="22" t="n">
        <f aca="false">IF($A51&gt;p_horizon,"",SUMIFS(TblCalculs[Sans DR – coût],TblCalculs[Mois],$B51))</f>
        <v>29440</v>
      </c>
      <c r="S51" s="22" t="n">
        <f aca="false">IF($A51&gt;p_horizon,"",SUMIFS(TblCalculs[Sans migration – coût],TblCalculs[Mois],$B51))</f>
        <v>42984</v>
      </c>
      <c r="T51" s="22" t="n">
        <f aca="false">IF($A51&gt;p_horizon,"",K51-S51)</f>
        <v>-13544</v>
      </c>
      <c r="U51" s="22" t="n">
        <f aca="false">IF($A51&gt;p_horizon,"",SUMIFS(TblCalculs[Coût mensuel],TblCalculs[Mois],$B51,TblCalculs[Plateforme],"IKS",TblCalculs[Environnement],p_envcrit))</f>
        <v>0</v>
      </c>
      <c r="V51" s="22" t="n">
        <f aca="false">IF($A51&gt;p_horizon,"",SUMIFS(TblCalculs[Coût mensuel],TblCalculs[Mois],$B51,TblCalculs[Plateforme],"ROKS",TblCalculs[Environnement],p_envcrit))</f>
        <v>29440</v>
      </c>
      <c r="W51" s="22" t="n">
        <f aca="false">IF($A51&gt;p_horizon,"",SUMIFS(TblCalculs[Coût mensuel],TblCalculs[Mois],$B51,TblCalculs[Environnement],p_envcrit)-SUMIFS(TblCalculs[Sans DR – coût],TblCalculs[Mois],$B51,TblCalculs[Environnement],p_envcrit))</f>
        <v>0</v>
      </c>
      <c r="X51" s="22" t="n">
        <f aca="false">IF($A51&gt;p_horizon,"",U51+V51)</f>
        <v>29440</v>
      </c>
    </row>
    <row r="52" customFormat="false" ht="15" hidden="false" customHeight="false" outlineLevel="0" collapsed="false">
      <c r="A52" s="59" t="n">
        <v>30</v>
      </c>
      <c r="B52" s="39" t="n">
        <f aca="false">IF($A52&gt;p_horizon,"",EDATE(p_debut,$A52-1))</f>
        <v>47178</v>
      </c>
      <c r="C52" s="59" t="n">
        <f aca="false">IF($A52&gt;p_horizon,"",SUMIFS(TblCalculs[CPU provisionné],TblCalculs[Mois],$B52,TblCalculs[Plateforme],"IKS"))</f>
        <v>0</v>
      </c>
      <c r="D52" s="59" t="n">
        <f aca="false">IF($A52&gt;p_horizon,"",SUMIFS(TblCalculs[CPU provisionné],TblCalculs[Mois],$B52,TblCalculs[Plateforme],"ROKS"))</f>
        <v>640</v>
      </c>
      <c r="E52" s="59" t="n">
        <f aca="false">IF($A52&gt;p_horizon,"",SUMIFS(TblCalculs[RAM provisionnée],TblCalculs[Mois],$B52,TblCalculs[Plateforme],"IKS"))</f>
        <v>0</v>
      </c>
      <c r="F52" s="59" t="n">
        <f aca="false">IF($A52&gt;p_horizon,"",SUMIFS(TblCalculs[RAM provisionnée],TblCalculs[Mois],$B52,TblCalculs[Plateforme],"ROKS"))</f>
        <v>3200</v>
      </c>
      <c r="G52" s="59" t="n">
        <f aca="false">IF($A52&gt;p_horizon,"",SUMIFS(TblCalculs[Workers],TblCalculs[Mois],$B52,TblCalculs[Plateforme],"IKS"))</f>
        <v>0</v>
      </c>
      <c r="H52" s="59" t="n">
        <f aca="false">IF($A52&gt;p_horizon,"",SUMIFS(TblCalculs[Workers],TblCalculs[Mois],$B52,TblCalculs[Plateforme],"ROKS"))</f>
        <v>26</v>
      </c>
      <c r="I52" s="22" t="n">
        <f aca="false">IF($A52&gt;p_horizon,"",SUMIFS(TblCalculs[Coût mensuel],TblCalculs[Mois],$B52,TblCalculs[Plateforme],"IKS"))</f>
        <v>0</v>
      </c>
      <c r="J52" s="22" t="n">
        <f aca="false">IF($A52&gt;p_horizon,"",SUMIFS(TblCalculs[Coût mensuel],TblCalculs[Mois],$B52,TblCalculs[Plateforme],"ROKS"))</f>
        <v>29440</v>
      </c>
      <c r="K52" s="22" t="n">
        <f aca="false">IF($A52&gt;p_horizon,"",I52+J52)</f>
        <v>29440</v>
      </c>
      <c r="L52" s="22" t="n">
        <f aca="false">IF($A52&gt;p_horizon,"",K52-R52)</f>
        <v>0</v>
      </c>
      <c r="M52" s="22" t="n">
        <f aca="false">IF($A52&gt;p_horizon,"",SUM($L$23:L52))</f>
        <v>51507</v>
      </c>
      <c r="N52" s="59" t="n">
        <f aca="false">IF($A52&gt;p_horizon,"",SUMPRODUCT((TblApplications[Action]="À migrer")*(TblApplications[Mois prov (calc)]&lt;=$B52)*(TblApplications[Mois lib (calc)]&gt;$B52)))</f>
        <v>0</v>
      </c>
      <c r="O52" s="59" t="n">
        <f aca="false">IF($A52&gt;p_horizon,"",C52+D52)</f>
        <v>640</v>
      </c>
      <c r="P52" s="59" t="n">
        <f aca="false">IF($A52&gt;p_horizon,"",SUMIFS(TblCalculs[Besoin CPU],TblCalculs[Mois],$B52,TblCalculs[Plateforme],"ROKS"))</f>
        <v>552</v>
      </c>
      <c r="Q52" s="59" t="n">
        <f aca="false">IF($A52&gt;p_horizon,"",SUMIFS(TblCalculs[Besoin RAM],TblCalculs[Mois],$B52,TblCalculs[Plateforme],"ROKS"))</f>
        <v>3088</v>
      </c>
      <c r="R52" s="22" t="n">
        <f aca="false">IF($A52&gt;p_horizon,"",SUMIFS(TblCalculs[Sans DR – coût],TblCalculs[Mois],$B52))</f>
        <v>29440</v>
      </c>
      <c r="S52" s="22" t="n">
        <f aca="false">IF($A52&gt;p_horizon,"",SUMIFS(TblCalculs[Sans migration – coût],TblCalculs[Mois],$B52))</f>
        <v>42984</v>
      </c>
      <c r="T52" s="22" t="n">
        <f aca="false">IF($A52&gt;p_horizon,"",K52-S52)</f>
        <v>-13544</v>
      </c>
      <c r="U52" s="22" t="n">
        <f aca="false">IF($A52&gt;p_horizon,"",SUMIFS(TblCalculs[Coût mensuel],TblCalculs[Mois],$B52,TblCalculs[Plateforme],"IKS",TblCalculs[Environnement],p_envcrit))</f>
        <v>0</v>
      </c>
      <c r="V52" s="22" t="n">
        <f aca="false">IF($A52&gt;p_horizon,"",SUMIFS(TblCalculs[Coût mensuel],TblCalculs[Mois],$B52,TblCalculs[Plateforme],"ROKS",TblCalculs[Environnement],p_envcrit))</f>
        <v>29440</v>
      </c>
      <c r="W52" s="22" t="n">
        <f aca="false">IF($A52&gt;p_horizon,"",SUMIFS(TblCalculs[Coût mensuel],TblCalculs[Mois],$B52,TblCalculs[Environnement],p_envcrit)-SUMIFS(TblCalculs[Sans DR – coût],TblCalculs[Mois],$B52,TblCalculs[Environnement],p_envcrit))</f>
        <v>0</v>
      </c>
      <c r="X52" s="22" t="n">
        <f aca="false">IF($A52&gt;p_horizon,"",U52+V52)</f>
        <v>29440</v>
      </c>
    </row>
    <row r="53" customFormat="false" ht="15" hidden="false" customHeight="false" outlineLevel="0" collapsed="false">
      <c r="A53" s="59" t="n">
        <v>31</v>
      </c>
      <c r="B53" s="39" t="n">
        <f aca="false">IF($A53&gt;p_horizon,"",EDATE(p_debut,$A53-1))</f>
        <v>47209</v>
      </c>
      <c r="C53" s="59" t="n">
        <f aca="false">IF($A53&gt;p_horizon,"",SUMIFS(TblCalculs[CPU provisionné],TblCalculs[Mois],$B53,TblCalculs[Plateforme],"IKS"))</f>
        <v>0</v>
      </c>
      <c r="D53" s="59" t="n">
        <f aca="false">IF($A53&gt;p_horizon,"",SUMIFS(TblCalculs[CPU provisionné],TblCalculs[Mois],$B53,TblCalculs[Plateforme],"ROKS"))</f>
        <v>640</v>
      </c>
      <c r="E53" s="59" t="n">
        <f aca="false">IF($A53&gt;p_horizon,"",SUMIFS(TblCalculs[RAM provisionnée],TblCalculs[Mois],$B53,TblCalculs[Plateforme],"IKS"))</f>
        <v>0</v>
      </c>
      <c r="F53" s="59" t="n">
        <f aca="false">IF($A53&gt;p_horizon,"",SUMIFS(TblCalculs[RAM provisionnée],TblCalculs[Mois],$B53,TblCalculs[Plateforme],"ROKS"))</f>
        <v>3200</v>
      </c>
      <c r="G53" s="59" t="n">
        <f aca="false">IF($A53&gt;p_horizon,"",SUMIFS(TblCalculs[Workers],TblCalculs[Mois],$B53,TblCalculs[Plateforme],"IKS"))</f>
        <v>0</v>
      </c>
      <c r="H53" s="59" t="n">
        <f aca="false">IF($A53&gt;p_horizon,"",SUMIFS(TblCalculs[Workers],TblCalculs[Mois],$B53,TblCalculs[Plateforme],"ROKS"))</f>
        <v>26</v>
      </c>
      <c r="I53" s="22" t="n">
        <f aca="false">IF($A53&gt;p_horizon,"",SUMIFS(TblCalculs[Coût mensuel],TblCalculs[Mois],$B53,TblCalculs[Plateforme],"IKS"))</f>
        <v>0</v>
      </c>
      <c r="J53" s="22" t="n">
        <f aca="false">IF($A53&gt;p_horizon,"",SUMIFS(TblCalculs[Coût mensuel],TblCalculs[Mois],$B53,TblCalculs[Plateforme],"ROKS"))</f>
        <v>29440</v>
      </c>
      <c r="K53" s="22" t="n">
        <f aca="false">IF($A53&gt;p_horizon,"",I53+J53)</f>
        <v>29440</v>
      </c>
      <c r="L53" s="22" t="n">
        <f aca="false">IF($A53&gt;p_horizon,"",K53-R53)</f>
        <v>0</v>
      </c>
      <c r="M53" s="22" t="n">
        <f aca="false">IF($A53&gt;p_horizon,"",SUM($L$23:L53))</f>
        <v>51507</v>
      </c>
      <c r="N53" s="59" t="n">
        <f aca="false">IF($A53&gt;p_horizon,"",SUMPRODUCT((TblApplications[Action]="À migrer")*(TblApplications[Mois prov (calc)]&lt;=$B53)*(TblApplications[Mois lib (calc)]&gt;$B53)))</f>
        <v>0</v>
      </c>
      <c r="O53" s="59" t="n">
        <f aca="false">IF($A53&gt;p_horizon,"",C53+D53)</f>
        <v>640</v>
      </c>
      <c r="P53" s="59" t="n">
        <f aca="false">IF($A53&gt;p_horizon,"",SUMIFS(TblCalculs[Besoin CPU],TblCalculs[Mois],$B53,TblCalculs[Plateforme],"ROKS"))</f>
        <v>552</v>
      </c>
      <c r="Q53" s="59" t="n">
        <f aca="false">IF($A53&gt;p_horizon,"",SUMIFS(TblCalculs[Besoin RAM],TblCalculs[Mois],$B53,TblCalculs[Plateforme],"ROKS"))</f>
        <v>3088</v>
      </c>
      <c r="R53" s="22" t="n">
        <f aca="false">IF($A53&gt;p_horizon,"",SUMIFS(TblCalculs[Sans DR – coût],TblCalculs[Mois],$B53))</f>
        <v>29440</v>
      </c>
      <c r="S53" s="22" t="n">
        <f aca="false">IF($A53&gt;p_horizon,"",SUMIFS(TblCalculs[Sans migration – coût],TblCalculs[Mois],$B53))</f>
        <v>42984</v>
      </c>
      <c r="T53" s="22" t="n">
        <f aca="false">IF($A53&gt;p_horizon,"",K53-S53)</f>
        <v>-13544</v>
      </c>
      <c r="U53" s="22" t="n">
        <f aca="false">IF($A53&gt;p_horizon,"",SUMIFS(TblCalculs[Coût mensuel],TblCalculs[Mois],$B53,TblCalculs[Plateforme],"IKS",TblCalculs[Environnement],p_envcrit))</f>
        <v>0</v>
      </c>
      <c r="V53" s="22" t="n">
        <f aca="false">IF($A53&gt;p_horizon,"",SUMIFS(TblCalculs[Coût mensuel],TblCalculs[Mois],$B53,TblCalculs[Plateforme],"ROKS",TblCalculs[Environnement],p_envcrit))</f>
        <v>29440</v>
      </c>
      <c r="W53" s="22" t="n">
        <f aca="false">IF($A53&gt;p_horizon,"",SUMIFS(TblCalculs[Coût mensuel],TblCalculs[Mois],$B53,TblCalculs[Environnement],p_envcrit)-SUMIFS(TblCalculs[Sans DR – coût],TblCalculs[Mois],$B53,TblCalculs[Environnement],p_envcrit))</f>
        <v>0</v>
      </c>
      <c r="X53" s="22" t="n">
        <f aca="false">IF($A53&gt;p_horizon,"",U53+V53)</f>
        <v>29440</v>
      </c>
    </row>
    <row r="54" customFormat="false" ht="15" hidden="false" customHeight="false" outlineLevel="0" collapsed="false">
      <c r="A54" s="59" t="n">
        <v>32</v>
      </c>
      <c r="B54" s="39" t="n">
        <f aca="false">IF($A54&gt;p_horizon,"",EDATE(p_debut,$A54-1))</f>
        <v>47239</v>
      </c>
      <c r="C54" s="59" t="n">
        <f aca="false">IF($A54&gt;p_horizon,"",SUMIFS(TblCalculs[CPU provisionné],TblCalculs[Mois],$B54,TblCalculs[Plateforme],"IKS"))</f>
        <v>0</v>
      </c>
      <c r="D54" s="59" t="n">
        <f aca="false">IF($A54&gt;p_horizon,"",SUMIFS(TblCalculs[CPU provisionné],TblCalculs[Mois],$B54,TblCalculs[Plateforme],"ROKS"))</f>
        <v>640</v>
      </c>
      <c r="E54" s="59" t="n">
        <f aca="false">IF($A54&gt;p_horizon,"",SUMIFS(TblCalculs[RAM provisionnée],TblCalculs[Mois],$B54,TblCalculs[Plateforme],"IKS"))</f>
        <v>0</v>
      </c>
      <c r="F54" s="59" t="n">
        <f aca="false">IF($A54&gt;p_horizon,"",SUMIFS(TblCalculs[RAM provisionnée],TblCalculs[Mois],$B54,TblCalculs[Plateforme],"ROKS"))</f>
        <v>3200</v>
      </c>
      <c r="G54" s="59" t="n">
        <f aca="false">IF($A54&gt;p_horizon,"",SUMIFS(TblCalculs[Workers],TblCalculs[Mois],$B54,TblCalculs[Plateforme],"IKS"))</f>
        <v>0</v>
      </c>
      <c r="H54" s="59" t="n">
        <f aca="false">IF($A54&gt;p_horizon,"",SUMIFS(TblCalculs[Workers],TblCalculs[Mois],$B54,TblCalculs[Plateforme],"ROKS"))</f>
        <v>26</v>
      </c>
      <c r="I54" s="22" t="n">
        <f aca="false">IF($A54&gt;p_horizon,"",SUMIFS(TblCalculs[Coût mensuel],TblCalculs[Mois],$B54,TblCalculs[Plateforme],"IKS"))</f>
        <v>0</v>
      </c>
      <c r="J54" s="22" t="n">
        <f aca="false">IF($A54&gt;p_horizon,"",SUMIFS(TblCalculs[Coût mensuel],TblCalculs[Mois],$B54,TblCalculs[Plateforme],"ROKS"))</f>
        <v>29440</v>
      </c>
      <c r="K54" s="22" t="n">
        <f aca="false">IF($A54&gt;p_horizon,"",I54+J54)</f>
        <v>29440</v>
      </c>
      <c r="L54" s="22" t="n">
        <f aca="false">IF($A54&gt;p_horizon,"",K54-R54)</f>
        <v>0</v>
      </c>
      <c r="M54" s="22" t="n">
        <f aca="false">IF($A54&gt;p_horizon,"",SUM($L$23:L54))</f>
        <v>51507</v>
      </c>
      <c r="N54" s="59" t="n">
        <f aca="false">IF($A54&gt;p_horizon,"",SUMPRODUCT((TblApplications[Action]="À migrer")*(TblApplications[Mois prov (calc)]&lt;=$B54)*(TblApplications[Mois lib (calc)]&gt;$B54)))</f>
        <v>0</v>
      </c>
      <c r="O54" s="59" t="n">
        <f aca="false">IF($A54&gt;p_horizon,"",C54+D54)</f>
        <v>640</v>
      </c>
      <c r="P54" s="59" t="n">
        <f aca="false">IF($A54&gt;p_horizon,"",SUMIFS(TblCalculs[Besoin CPU],TblCalculs[Mois],$B54,TblCalculs[Plateforme],"ROKS"))</f>
        <v>552</v>
      </c>
      <c r="Q54" s="59" t="n">
        <f aca="false">IF($A54&gt;p_horizon,"",SUMIFS(TblCalculs[Besoin RAM],TblCalculs[Mois],$B54,TblCalculs[Plateforme],"ROKS"))</f>
        <v>3088</v>
      </c>
      <c r="R54" s="22" t="n">
        <f aca="false">IF($A54&gt;p_horizon,"",SUMIFS(TblCalculs[Sans DR – coût],TblCalculs[Mois],$B54))</f>
        <v>29440</v>
      </c>
      <c r="S54" s="22" t="n">
        <f aca="false">IF($A54&gt;p_horizon,"",SUMIFS(TblCalculs[Sans migration – coût],TblCalculs[Mois],$B54))</f>
        <v>42984</v>
      </c>
      <c r="T54" s="22" t="n">
        <f aca="false">IF($A54&gt;p_horizon,"",K54-S54)</f>
        <v>-13544</v>
      </c>
      <c r="U54" s="22" t="n">
        <f aca="false">IF($A54&gt;p_horizon,"",SUMIFS(TblCalculs[Coût mensuel],TblCalculs[Mois],$B54,TblCalculs[Plateforme],"IKS",TblCalculs[Environnement],p_envcrit))</f>
        <v>0</v>
      </c>
      <c r="V54" s="22" t="n">
        <f aca="false">IF($A54&gt;p_horizon,"",SUMIFS(TblCalculs[Coût mensuel],TblCalculs[Mois],$B54,TblCalculs[Plateforme],"ROKS",TblCalculs[Environnement],p_envcrit))</f>
        <v>29440</v>
      </c>
      <c r="W54" s="22" t="n">
        <f aca="false">IF($A54&gt;p_horizon,"",SUMIFS(TblCalculs[Coût mensuel],TblCalculs[Mois],$B54,TblCalculs[Environnement],p_envcrit)-SUMIFS(TblCalculs[Sans DR – coût],TblCalculs[Mois],$B54,TblCalculs[Environnement],p_envcrit))</f>
        <v>0</v>
      </c>
      <c r="X54" s="22" t="n">
        <f aca="false">IF($A54&gt;p_horizon,"",U54+V54)</f>
        <v>29440</v>
      </c>
    </row>
    <row r="55" customFormat="false" ht="15" hidden="false" customHeight="false" outlineLevel="0" collapsed="false">
      <c r="A55" s="59" t="n">
        <v>33</v>
      </c>
      <c r="B55" s="39" t="n">
        <f aca="false">IF($A55&gt;p_horizon,"",EDATE(p_debut,$A55-1))</f>
        <v>47270</v>
      </c>
      <c r="C55" s="59" t="n">
        <f aca="false">IF($A55&gt;p_horizon,"",SUMIFS(TblCalculs[CPU provisionné],TblCalculs[Mois],$B55,TblCalculs[Plateforme],"IKS"))</f>
        <v>0</v>
      </c>
      <c r="D55" s="59" t="n">
        <f aca="false">IF($A55&gt;p_horizon,"",SUMIFS(TblCalculs[CPU provisionné],TblCalculs[Mois],$B55,TblCalculs[Plateforme],"ROKS"))</f>
        <v>640</v>
      </c>
      <c r="E55" s="59" t="n">
        <f aca="false">IF($A55&gt;p_horizon,"",SUMIFS(TblCalculs[RAM provisionnée],TblCalculs[Mois],$B55,TblCalculs[Plateforme],"IKS"))</f>
        <v>0</v>
      </c>
      <c r="F55" s="59" t="n">
        <f aca="false">IF($A55&gt;p_horizon,"",SUMIFS(TblCalculs[RAM provisionnée],TblCalculs[Mois],$B55,TblCalculs[Plateforme],"ROKS"))</f>
        <v>3200</v>
      </c>
      <c r="G55" s="59" t="n">
        <f aca="false">IF($A55&gt;p_horizon,"",SUMIFS(TblCalculs[Workers],TblCalculs[Mois],$B55,TblCalculs[Plateforme],"IKS"))</f>
        <v>0</v>
      </c>
      <c r="H55" s="59" t="n">
        <f aca="false">IF($A55&gt;p_horizon,"",SUMIFS(TblCalculs[Workers],TblCalculs[Mois],$B55,TblCalculs[Plateforme],"ROKS"))</f>
        <v>26</v>
      </c>
      <c r="I55" s="22" t="n">
        <f aca="false">IF($A55&gt;p_horizon,"",SUMIFS(TblCalculs[Coût mensuel],TblCalculs[Mois],$B55,TblCalculs[Plateforme],"IKS"))</f>
        <v>0</v>
      </c>
      <c r="J55" s="22" t="n">
        <f aca="false">IF($A55&gt;p_horizon,"",SUMIFS(TblCalculs[Coût mensuel],TblCalculs[Mois],$B55,TblCalculs[Plateforme],"ROKS"))</f>
        <v>29440</v>
      </c>
      <c r="K55" s="22" t="n">
        <f aca="false">IF($A55&gt;p_horizon,"",I55+J55)</f>
        <v>29440</v>
      </c>
      <c r="L55" s="22" t="n">
        <f aca="false">IF($A55&gt;p_horizon,"",K55-R55)</f>
        <v>0</v>
      </c>
      <c r="M55" s="22" t="n">
        <f aca="false">IF($A55&gt;p_horizon,"",SUM($L$23:L55))</f>
        <v>51507</v>
      </c>
      <c r="N55" s="59" t="n">
        <f aca="false">IF($A55&gt;p_horizon,"",SUMPRODUCT((TblApplications[Action]="À migrer")*(TblApplications[Mois prov (calc)]&lt;=$B55)*(TblApplications[Mois lib (calc)]&gt;$B55)))</f>
        <v>0</v>
      </c>
      <c r="O55" s="59" t="n">
        <f aca="false">IF($A55&gt;p_horizon,"",C55+D55)</f>
        <v>640</v>
      </c>
      <c r="P55" s="59" t="n">
        <f aca="false">IF($A55&gt;p_horizon,"",SUMIFS(TblCalculs[Besoin CPU],TblCalculs[Mois],$B55,TblCalculs[Plateforme],"ROKS"))</f>
        <v>552</v>
      </c>
      <c r="Q55" s="59" t="n">
        <f aca="false">IF($A55&gt;p_horizon,"",SUMIFS(TblCalculs[Besoin RAM],TblCalculs[Mois],$B55,TblCalculs[Plateforme],"ROKS"))</f>
        <v>3088</v>
      </c>
      <c r="R55" s="22" t="n">
        <f aca="false">IF($A55&gt;p_horizon,"",SUMIFS(TblCalculs[Sans DR – coût],TblCalculs[Mois],$B55))</f>
        <v>29440</v>
      </c>
      <c r="S55" s="22" t="n">
        <f aca="false">IF($A55&gt;p_horizon,"",SUMIFS(TblCalculs[Sans migration – coût],TblCalculs[Mois],$B55))</f>
        <v>42984</v>
      </c>
      <c r="T55" s="22" t="n">
        <f aca="false">IF($A55&gt;p_horizon,"",K55-S55)</f>
        <v>-13544</v>
      </c>
      <c r="U55" s="22" t="n">
        <f aca="false">IF($A55&gt;p_horizon,"",SUMIFS(TblCalculs[Coût mensuel],TblCalculs[Mois],$B55,TblCalculs[Plateforme],"IKS",TblCalculs[Environnement],p_envcrit))</f>
        <v>0</v>
      </c>
      <c r="V55" s="22" t="n">
        <f aca="false">IF($A55&gt;p_horizon,"",SUMIFS(TblCalculs[Coût mensuel],TblCalculs[Mois],$B55,TblCalculs[Plateforme],"ROKS",TblCalculs[Environnement],p_envcrit))</f>
        <v>29440</v>
      </c>
      <c r="W55" s="22" t="n">
        <f aca="false">IF($A55&gt;p_horizon,"",SUMIFS(TblCalculs[Coût mensuel],TblCalculs[Mois],$B55,TblCalculs[Environnement],p_envcrit)-SUMIFS(TblCalculs[Sans DR – coût],TblCalculs[Mois],$B55,TblCalculs[Environnement],p_envcrit))</f>
        <v>0</v>
      </c>
      <c r="X55" s="22" t="n">
        <f aca="false">IF($A55&gt;p_horizon,"",U55+V55)</f>
        <v>29440</v>
      </c>
    </row>
    <row r="56" customFormat="false" ht="15" hidden="false" customHeight="false" outlineLevel="0" collapsed="false">
      <c r="A56" s="59" t="n">
        <v>34</v>
      </c>
      <c r="B56" s="39" t="n">
        <f aca="false">IF($A56&gt;p_horizon,"",EDATE(p_debut,$A56-1))</f>
        <v>47300</v>
      </c>
      <c r="C56" s="59" t="n">
        <f aca="false">IF($A56&gt;p_horizon,"",SUMIFS(TblCalculs[CPU provisionné],TblCalculs[Mois],$B56,TblCalculs[Plateforme],"IKS"))</f>
        <v>0</v>
      </c>
      <c r="D56" s="59" t="n">
        <f aca="false">IF($A56&gt;p_horizon,"",SUMIFS(TblCalculs[CPU provisionné],TblCalculs[Mois],$B56,TblCalculs[Plateforme],"ROKS"))</f>
        <v>640</v>
      </c>
      <c r="E56" s="59" t="n">
        <f aca="false">IF($A56&gt;p_horizon,"",SUMIFS(TblCalculs[RAM provisionnée],TblCalculs[Mois],$B56,TblCalculs[Plateforme],"IKS"))</f>
        <v>0</v>
      </c>
      <c r="F56" s="59" t="n">
        <f aca="false">IF($A56&gt;p_horizon,"",SUMIFS(TblCalculs[RAM provisionnée],TblCalculs[Mois],$B56,TblCalculs[Plateforme],"ROKS"))</f>
        <v>3200</v>
      </c>
      <c r="G56" s="59" t="n">
        <f aca="false">IF($A56&gt;p_horizon,"",SUMIFS(TblCalculs[Workers],TblCalculs[Mois],$B56,TblCalculs[Plateforme],"IKS"))</f>
        <v>0</v>
      </c>
      <c r="H56" s="59" t="n">
        <f aca="false">IF($A56&gt;p_horizon,"",SUMIFS(TblCalculs[Workers],TblCalculs[Mois],$B56,TblCalculs[Plateforme],"ROKS"))</f>
        <v>26</v>
      </c>
      <c r="I56" s="22" t="n">
        <f aca="false">IF($A56&gt;p_horizon,"",SUMIFS(TblCalculs[Coût mensuel],TblCalculs[Mois],$B56,TblCalculs[Plateforme],"IKS"))</f>
        <v>0</v>
      </c>
      <c r="J56" s="22" t="n">
        <f aca="false">IF($A56&gt;p_horizon,"",SUMIFS(TblCalculs[Coût mensuel],TblCalculs[Mois],$B56,TblCalculs[Plateforme],"ROKS"))</f>
        <v>29440</v>
      </c>
      <c r="K56" s="22" t="n">
        <f aca="false">IF($A56&gt;p_horizon,"",I56+J56)</f>
        <v>29440</v>
      </c>
      <c r="L56" s="22" t="n">
        <f aca="false">IF($A56&gt;p_horizon,"",K56-R56)</f>
        <v>0</v>
      </c>
      <c r="M56" s="22" t="n">
        <f aca="false">IF($A56&gt;p_horizon,"",SUM($L$23:L56))</f>
        <v>51507</v>
      </c>
      <c r="N56" s="59" t="n">
        <f aca="false">IF($A56&gt;p_horizon,"",SUMPRODUCT((TblApplications[Action]="À migrer")*(TblApplications[Mois prov (calc)]&lt;=$B56)*(TblApplications[Mois lib (calc)]&gt;$B56)))</f>
        <v>0</v>
      </c>
      <c r="O56" s="59" t="n">
        <f aca="false">IF($A56&gt;p_horizon,"",C56+D56)</f>
        <v>640</v>
      </c>
      <c r="P56" s="59" t="n">
        <f aca="false">IF($A56&gt;p_horizon,"",SUMIFS(TblCalculs[Besoin CPU],TblCalculs[Mois],$B56,TblCalculs[Plateforme],"ROKS"))</f>
        <v>552</v>
      </c>
      <c r="Q56" s="59" t="n">
        <f aca="false">IF($A56&gt;p_horizon,"",SUMIFS(TblCalculs[Besoin RAM],TblCalculs[Mois],$B56,TblCalculs[Plateforme],"ROKS"))</f>
        <v>3088</v>
      </c>
      <c r="R56" s="22" t="n">
        <f aca="false">IF($A56&gt;p_horizon,"",SUMIFS(TblCalculs[Sans DR – coût],TblCalculs[Mois],$B56))</f>
        <v>29440</v>
      </c>
      <c r="S56" s="22" t="n">
        <f aca="false">IF($A56&gt;p_horizon,"",SUMIFS(TblCalculs[Sans migration – coût],TblCalculs[Mois],$B56))</f>
        <v>42984</v>
      </c>
      <c r="T56" s="22" t="n">
        <f aca="false">IF($A56&gt;p_horizon,"",K56-S56)</f>
        <v>-13544</v>
      </c>
      <c r="U56" s="22" t="n">
        <f aca="false">IF($A56&gt;p_horizon,"",SUMIFS(TblCalculs[Coût mensuel],TblCalculs[Mois],$B56,TblCalculs[Plateforme],"IKS",TblCalculs[Environnement],p_envcrit))</f>
        <v>0</v>
      </c>
      <c r="V56" s="22" t="n">
        <f aca="false">IF($A56&gt;p_horizon,"",SUMIFS(TblCalculs[Coût mensuel],TblCalculs[Mois],$B56,TblCalculs[Plateforme],"ROKS",TblCalculs[Environnement],p_envcrit))</f>
        <v>29440</v>
      </c>
      <c r="W56" s="22" t="n">
        <f aca="false">IF($A56&gt;p_horizon,"",SUMIFS(TblCalculs[Coût mensuel],TblCalculs[Mois],$B56,TblCalculs[Environnement],p_envcrit)-SUMIFS(TblCalculs[Sans DR – coût],TblCalculs[Mois],$B56,TblCalculs[Environnement],p_envcrit))</f>
        <v>0</v>
      </c>
      <c r="X56" s="22" t="n">
        <f aca="false">IF($A56&gt;p_horizon,"",U56+V56)</f>
        <v>29440</v>
      </c>
    </row>
    <row r="57" customFormat="false" ht="15" hidden="false" customHeight="false" outlineLevel="0" collapsed="false">
      <c r="A57" s="59" t="n">
        <v>35</v>
      </c>
      <c r="B57" s="39" t="n">
        <f aca="false">IF($A57&gt;p_horizon,"",EDATE(p_debut,$A57-1))</f>
        <v>47331</v>
      </c>
      <c r="C57" s="59" t="n">
        <f aca="false">IF($A57&gt;p_horizon,"",SUMIFS(TblCalculs[CPU provisionné],TblCalculs[Mois],$B57,TblCalculs[Plateforme],"IKS"))</f>
        <v>0</v>
      </c>
      <c r="D57" s="59" t="n">
        <f aca="false">IF($A57&gt;p_horizon,"",SUMIFS(TblCalculs[CPU provisionné],TblCalculs[Mois],$B57,TblCalculs[Plateforme],"ROKS"))</f>
        <v>640</v>
      </c>
      <c r="E57" s="59" t="n">
        <f aca="false">IF($A57&gt;p_horizon,"",SUMIFS(TblCalculs[RAM provisionnée],TblCalculs[Mois],$B57,TblCalculs[Plateforme],"IKS"))</f>
        <v>0</v>
      </c>
      <c r="F57" s="59" t="n">
        <f aca="false">IF($A57&gt;p_horizon,"",SUMIFS(TblCalculs[RAM provisionnée],TblCalculs[Mois],$B57,TblCalculs[Plateforme],"ROKS"))</f>
        <v>3200</v>
      </c>
      <c r="G57" s="59" t="n">
        <f aca="false">IF($A57&gt;p_horizon,"",SUMIFS(TblCalculs[Workers],TblCalculs[Mois],$B57,TblCalculs[Plateforme],"IKS"))</f>
        <v>0</v>
      </c>
      <c r="H57" s="59" t="n">
        <f aca="false">IF($A57&gt;p_horizon,"",SUMIFS(TblCalculs[Workers],TblCalculs[Mois],$B57,TblCalculs[Plateforme],"ROKS"))</f>
        <v>26</v>
      </c>
      <c r="I57" s="22" t="n">
        <f aca="false">IF($A57&gt;p_horizon,"",SUMIFS(TblCalculs[Coût mensuel],TblCalculs[Mois],$B57,TblCalculs[Plateforme],"IKS"))</f>
        <v>0</v>
      </c>
      <c r="J57" s="22" t="n">
        <f aca="false">IF($A57&gt;p_horizon,"",SUMIFS(TblCalculs[Coût mensuel],TblCalculs[Mois],$B57,TblCalculs[Plateforme],"ROKS"))</f>
        <v>29440</v>
      </c>
      <c r="K57" s="22" t="n">
        <f aca="false">IF($A57&gt;p_horizon,"",I57+J57)</f>
        <v>29440</v>
      </c>
      <c r="L57" s="22" t="n">
        <f aca="false">IF($A57&gt;p_horizon,"",K57-R57)</f>
        <v>0</v>
      </c>
      <c r="M57" s="22" t="n">
        <f aca="false">IF($A57&gt;p_horizon,"",SUM($L$23:L57))</f>
        <v>51507</v>
      </c>
      <c r="N57" s="59" t="n">
        <f aca="false">IF($A57&gt;p_horizon,"",SUMPRODUCT((TblApplications[Action]="À migrer")*(TblApplications[Mois prov (calc)]&lt;=$B57)*(TblApplications[Mois lib (calc)]&gt;$B57)))</f>
        <v>0</v>
      </c>
      <c r="O57" s="59" t="n">
        <f aca="false">IF($A57&gt;p_horizon,"",C57+D57)</f>
        <v>640</v>
      </c>
      <c r="P57" s="59" t="n">
        <f aca="false">IF($A57&gt;p_horizon,"",SUMIFS(TblCalculs[Besoin CPU],TblCalculs[Mois],$B57,TblCalculs[Plateforme],"ROKS"))</f>
        <v>552</v>
      </c>
      <c r="Q57" s="59" t="n">
        <f aca="false">IF($A57&gt;p_horizon,"",SUMIFS(TblCalculs[Besoin RAM],TblCalculs[Mois],$B57,TblCalculs[Plateforme],"ROKS"))</f>
        <v>3088</v>
      </c>
      <c r="R57" s="22" t="n">
        <f aca="false">IF($A57&gt;p_horizon,"",SUMIFS(TblCalculs[Sans DR – coût],TblCalculs[Mois],$B57))</f>
        <v>29440</v>
      </c>
      <c r="S57" s="22" t="n">
        <f aca="false">IF($A57&gt;p_horizon,"",SUMIFS(TblCalculs[Sans migration – coût],TblCalculs[Mois],$B57))</f>
        <v>42984</v>
      </c>
      <c r="T57" s="22" t="n">
        <f aca="false">IF($A57&gt;p_horizon,"",K57-S57)</f>
        <v>-13544</v>
      </c>
      <c r="U57" s="22" t="n">
        <f aca="false">IF($A57&gt;p_horizon,"",SUMIFS(TblCalculs[Coût mensuel],TblCalculs[Mois],$B57,TblCalculs[Plateforme],"IKS",TblCalculs[Environnement],p_envcrit))</f>
        <v>0</v>
      </c>
      <c r="V57" s="22" t="n">
        <f aca="false">IF($A57&gt;p_horizon,"",SUMIFS(TblCalculs[Coût mensuel],TblCalculs[Mois],$B57,TblCalculs[Plateforme],"ROKS",TblCalculs[Environnement],p_envcrit))</f>
        <v>29440</v>
      </c>
      <c r="W57" s="22" t="n">
        <f aca="false">IF($A57&gt;p_horizon,"",SUMIFS(TblCalculs[Coût mensuel],TblCalculs[Mois],$B57,TblCalculs[Environnement],p_envcrit)-SUMIFS(TblCalculs[Sans DR – coût],TblCalculs[Mois],$B57,TblCalculs[Environnement],p_envcrit))</f>
        <v>0</v>
      </c>
      <c r="X57" s="22" t="n">
        <f aca="false">IF($A57&gt;p_horizon,"",U57+V57)</f>
        <v>29440</v>
      </c>
    </row>
    <row r="58" customFormat="false" ht="15" hidden="false" customHeight="false" outlineLevel="0" collapsed="false">
      <c r="A58" s="59" t="n">
        <v>36</v>
      </c>
      <c r="B58" s="39" t="n">
        <f aca="false">IF($A58&gt;p_horizon,"",EDATE(p_debut,$A58-1))</f>
        <v>47362</v>
      </c>
      <c r="C58" s="59" t="n">
        <f aca="false">IF($A58&gt;p_horizon,"",SUMIFS(TblCalculs[CPU provisionné],TblCalculs[Mois],$B58,TblCalculs[Plateforme],"IKS"))</f>
        <v>0</v>
      </c>
      <c r="D58" s="59" t="n">
        <f aca="false">IF($A58&gt;p_horizon,"",SUMIFS(TblCalculs[CPU provisionné],TblCalculs[Mois],$B58,TblCalculs[Plateforme],"ROKS"))</f>
        <v>640</v>
      </c>
      <c r="E58" s="59" t="n">
        <f aca="false">IF($A58&gt;p_horizon,"",SUMIFS(TblCalculs[RAM provisionnée],TblCalculs[Mois],$B58,TblCalculs[Plateforme],"IKS"))</f>
        <v>0</v>
      </c>
      <c r="F58" s="59" t="n">
        <f aca="false">IF($A58&gt;p_horizon,"",SUMIFS(TblCalculs[RAM provisionnée],TblCalculs[Mois],$B58,TblCalculs[Plateforme],"ROKS"))</f>
        <v>3200</v>
      </c>
      <c r="G58" s="59" t="n">
        <f aca="false">IF($A58&gt;p_horizon,"",SUMIFS(TblCalculs[Workers],TblCalculs[Mois],$B58,TblCalculs[Plateforme],"IKS"))</f>
        <v>0</v>
      </c>
      <c r="H58" s="59" t="n">
        <f aca="false">IF($A58&gt;p_horizon,"",SUMIFS(TblCalculs[Workers],TblCalculs[Mois],$B58,TblCalculs[Plateforme],"ROKS"))</f>
        <v>26</v>
      </c>
      <c r="I58" s="22" t="n">
        <f aca="false">IF($A58&gt;p_horizon,"",SUMIFS(TblCalculs[Coût mensuel],TblCalculs[Mois],$B58,TblCalculs[Plateforme],"IKS"))</f>
        <v>0</v>
      </c>
      <c r="J58" s="22" t="n">
        <f aca="false">IF($A58&gt;p_horizon,"",SUMIFS(TblCalculs[Coût mensuel],TblCalculs[Mois],$B58,TblCalculs[Plateforme],"ROKS"))</f>
        <v>29440</v>
      </c>
      <c r="K58" s="22" t="n">
        <f aca="false">IF($A58&gt;p_horizon,"",I58+J58)</f>
        <v>29440</v>
      </c>
      <c r="L58" s="22" t="n">
        <f aca="false">IF($A58&gt;p_horizon,"",K58-R58)</f>
        <v>0</v>
      </c>
      <c r="M58" s="22" t="n">
        <f aca="false">IF($A58&gt;p_horizon,"",SUM($L$23:L58))</f>
        <v>51507</v>
      </c>
      <c r="N58" s="59" t="n">
        <f aca="false">IF($A58&gt;p_horizon,"",SUMPRODUCT((TblApplications[Action]="À migrer")*(TblApplications[Mois prov (calc)]&lt;=$B58)*(TblApplications[Mois lib (calc)]&gt;$B58)))</f>
        <v>0</v>
      </c>
      <c r="O58" s="59" t="n">
        <f aca="false">IF($A58&gt;p_horizon,"",C58+D58)</f>
        <v>640</v>
      </c>
      <c r="P58" s="59" t="n">
        <f aca="false">IF($A58&gt;p_horizon,"",SUMIFS(TblCalculs[Besoin CPU],TblCalculs[Mois],$B58,TblCalculs[Plateforme],"ROKS"))</f>
        <v>552</v>
      </c>
      <c r="Q58" s="59" t="n">
        <f aca="false">IF($A58&gt;p_horizon,"",SUMIFS(TblCalculs[Besoin RAM],TblCalculs[Mois],$B58,TblCalculs[Plateforme],"ROKS"))</f>
        <v>3088</v>
      </c>
      <c r="R58" s="22" t="n">
        <f aca="false">IF($A58&gt;p_horizon,"",SUMIFS(TblCalculs[Sans DR – coût],TblCalculs[Mois],$B58))</f>
        <v>29440</v>
      </c>
      <c r="S58" s="22" t="n">
        <f aca="false">IF($A58&gt;p_horizon,"",SUMIFS(TblCalculs[Sans migration – coût],TblCalculs[Mois],$B58))</f>
        <v>42984</v>
      </c>
      <c r="T58" s="22" t="n">
        <f aca="false">IF($A58&gt;p_horizon,"",K58-S58)</f>
        <v>-13544</v>
      </c>
      <c r="U58" s="22" t="n">
        <f aca="false">IF($A58&gt;p_horizon,"",SUMIFS(TblCalculs[Coût mensuel],TblCalculs[Mois],$B58,TblCalculs[Plateforme],"IKS",TblCalculs[Environnement],p_envcrit))</f>
        <v>0</v>
      </c>
      <c r="V58" s="22" t="n">
        <f aca="false">IF($A58&gt;p_horizon,"",SUMIFS(TblCalculs[Coût mensuel],TblCalculs[Mois],$B58,TblCalculs[Plateforme],"ROKS",TblCalculs[Environnement],p_envcrit))</f>
        <v>29440</v>
      </c>
      <c r="W58" s="22" t="n">
        <f aca="false">IF($A58&gt;p_horizon,"",SUMIFS(TblCalculs[Coût mensuel],TblCalculs[Mois],$B58,TblCalculs[Environnement],p_envcrit)-SUMIFS(TblCalculs[Sans DR – coût],TblCalculs[Mois],$B58,TblCalculs[Environnement],p_envcrit))</f>
        <v>0</v>
      </c>
      <c r="X58" s="22" t="n">
        <f aca="false">IF($A58&gt;p_horizon,"",U58+V58)</f>
        <v>29440</v>
      </c>
    </row>
    <row r="62" customFormat="false" ht="15" hidden="false" customHeight="false" outlineLevel="0" collapsed="false">
      <c r="A62" s="72" t="s">
        <v>153</v>
      </c>
    </row>
    <row r="63" customFormat="false" ht="45" hidden="false" customHeight="true" outlineLevel="0" collapsed="false">
      <c r="A63" s="20" t="s">
        <v>75</v>
      </c>
      <c r="B63" s="20" t="s">
        <v>76</v>
      </c>
      <c r="C63" s="20" t="s">
        <v>154</v>
      </c>
      <c r="D63" s="20" t="s">
        <v>155</v>
      </c>
      <c r="E63" s="20" t="s">
        <v>156</v>
      </c>
      <c r="F63" s="20" t="s">
        <v>157</v>
      </c>
      <c r="G63" s="20" t="s">
        <v>158</v>
      </c>
      <c r="H63" s="20" t="s">
        <v>159</v>
      </c>
      <c r="I63" s="20" t="s">
        <v>160</v>
      </c>
      <c r="J63" s="20" t="s">
        <v>161</v>
      </c>
      <c r="K63" s="20" t="s">
        <v>23</v>
      </c>
      <c r="L63" s="20" t="s">
        <v>162</v>
      </c>
      <c r="M63" s="20" t="s">
        <v>163</v>
      </c>
      <c r="N63" s="20" t="s">
        <v>26</v>
      </c>
    </row>
    <row r="64" customFormat="false" ht="15" hidden="false" customHeight="false" outlineLevel="0" collapsed="false">
      <c r="A64" s="59" t="str">
        <f aca="false">IFERROR(IF(INDEX(TblClusters[Cluster],1)="","",INDEX(TblClusters[Cluster],1)),"")</f>
        <v>IKS-PRD-01</v>
      </c>
      <c r="B64" s="59" t="str">
        <f aca="false">IF($A64="","",INDEX(TblClusters[Plateforme],1))</f>
        <v>IKS</v>
      </c>
      <c r="C64" s="59" t="n">
        <f aca="false">IF($A64="","",SUMIFS(TblCalculs[CPU provisionné],TblCalculs[Cluster],$A64,TblCalculs[Idx mois],1))</f>
        <v>576</v>
      </c>
      <c r="D64" s="59" t="n">
        <f aca="false">IF($A64="","",SUMIFS(TblCalculs[CPU provisionné],TblCalculs[Cluster],$A64,TblCalculs[Idx mois],p_horizon))</f>
        <v>0</v>
      </c>
      <c r="E64" s="59" t="n">
        <f aca="false">IF($A64="","",SUMIFS(TblCalculs[RAM provisionnée],TblCalculs[Cluster],$A64,TblCalculs[Idx mois],1))</f>
        <v>2304</v>
      </c>
      <c r="F64" s="59" t="n">
        <f aca="false">IF($A64="","",SUMIFS(TblCalculs[RAM provisionnée],TblCalculs[Cluster],$A64,TblCalculs[Idx mois],p_horizon))</f>
        <v>0</v>
      </c>
      <c r="G64" s="59" t="n">
        <f aca="false">IF($A64="","",SUMIFS(TblCalculs[Workers],TblCalculs[Cluster],$A64,TblCalculs[Idx mois],1))</f>
        <v>18</v>
      </c>
      <c r="H64" s="59" t="n">
        <f aca="false">IF($A64="","",SUMIFS(TblCalculs[Workers],TblCalculs[Cluster],$A64,TblCalculs[Idx mois],p_horizon))</f>
        <v>0</v>
      </c>
      <c r="I64" s="59" t="n">
        <f aca="false">IF($A64="","",SUMIFS(TblCalculs[Besoin CPU],TblCalculs[Cluster],$A64,TblCalculs[Idx mois],p_horizon))</f>
        <v>0</v>
      </c>
      <c r="J64" s="59" t="n">
        <f aca="false">IF($A64="","",SUMIFS(TblCalculs[Besoin RAM],TblCalculs[Cluster],$A64,TblCalculs[Idx mois],p_horizon))</f>
        <v>0</v>
      </c>
      <c r="K64" s="22" t="n">
        <f aca="false">IF($A64="","",SUMIFS(TblCalculs[Coût mensuel],TblCalculs[Cluster],$A64))</f>
        <v>358956</v>
      </c>
      <c r="L64" s="22" t="n">
        <f aca="false">IF($A64="","",SUMIFS(TblCalculs[Coût mensuel],TblCalculs[Cluster],$A64)-SUMIFS(TblCalculs[Sans DR – coût],TblCalculs[Cluster],$A64))</f>
        <v>42480</v>
      </c>
      <c r="M64" s="22" t="n">
        <f aca="false">IF($A64="","",SUMIFS(TblCalculs[Coût mensuel],TblCalculs[Cluster],$A64)-SUMIFS(TblCalculs[Sans migration – coût],TblCalculs[Cluster],$A64))</f>
        <v>-329220</v>
      </c>
      <c r="N64" s="59" t="str">
        <f aca="false">IF($A64="","",INDEX(TblClusters[Environnement],1))</f>
        <v>PRD</v>
      </c>
    </row>
    <row r="65" customFormat="false" ht="15" hidden="false" customHeight="false" outlineLevel="0" collapsed="false">
      <c r="A65" s="59" t="str">
        <f aca="false">IFERROR(IF(INDEX(TblClusters[Cluster],2)="","",INDEX(TblClusters[Cluster],2)),"")</f>
        <v>IKS-NPR-01</v>
      </c>
      <c r="B65" s="59" t="str">
        <f aca="false">IF($A65="","",INDEX(TblClusters[Plateforme],2))</f>
        <v>IKS</v>
      </c>
      <c r="C65" s="59" t="n">
        <f aca="false">IF($A65="","",SUMIFS(TblCalculs[CPU provisionné],TblCalculs[Cluster],$A65,TblCalculs[Idx mois],1))</f>
        <v>320</v>
      </c>
      <c r="D65" s="59" t="n">
        <f aca="false">IF($A65="","",SUMIFS(TblCalculs[CPU provisionné],TblCalculs[Cluster],$A65,TblCalculs[Idx mois],p_horizon))</f>
        <v>0</v>
      </c>
      <c r="E65" s="59" t="n">
        <f aca="false">IF($A65="","",SUMIFS(TblCalculs[RAM provisionnée],TblCalculs[Cluster],$A65,TblCalculs[Idx mois],1))</f>
        <v>1280</v>
      </c>
      <c r="F65" s="59" t="n">
        <f aca="false">IF($A65="","",SUMIFS(TblCalculs[RAM provisionnée],TblCalculs[Cluster],$A65,TblCalculs[Idx mois],p_horizon))</f>
        <v>0</v>
      </c>
      <c r="G65" s="59" t="n">
        <f aca="false">IF($A65="","",SUMIFS(TblCalculs[Workers],TblCalculs[Cluster],$A65,TblCalculs[Idx mois],1))</f>
        <v>20</v>
      </c>
      <c r="H65" s="59" t="n">
        <f aca="false">IF($A65="","",SUMIFS(TblCalculs[Workers],TblCalculs[Cluster],$A65,TblCalculs[Idx mois],p_horizon))</f>
        <v>0</v>
      </c>
      <c r="I65" s="59" t="n">
        <f aca="false">IF($A65="","",SUMIFS(TblCalculs[Besoin CPU],TblCalculs[Cluster],$A65,TblCalculs[Idx mois],p_horizon))</f>
        <v>0</v>
      </c>
      <c r="J65" s="59" t="n">
        <f aca="false">IF($A65="","",SUMIFS(TblCalculs[Besoin RAM],TblCalculs[Cluster],$A65,TblCalculs[Idx mois],p_horizon))</f>
        <v>0</v>
      </c>
      <c r="K65" s="22" t="n">
        <f aca="false">IF($A65="","",SUMIFS(TblCalculs[Coût mensuel],TblCalculs[Cluster],$A65))</f>
        <v>165672</v>
      </c>
      <c r="L65" s="22" t="n">
        <f aca="false">IF($A65="","",SUMIFS(TblCalculs[Coût mensuel],TblCalculs[Cluster],$A65)-SUMIFS(TblCalculs[Sans DR – coût],TblCalculs[Cluster],$A65))</f>
        <v>9027</v>
      </c>
      <c r="M65" s="22" t="n">
        <f aca="false">IF($A65="","",SUMIFS(TblCalculs[Coût mensuel],TblCalculs[Cluster],$A65)-SUMIFS(TblCalculs[Sans migration – coût],TblCalculs[Cluster],$A65))</f>
        <v>-216648</v>
      </c>
      <c r="N65" s="59" t="str">
        <f aca="false">IF($A65="","",INDEX(TblClusters[Environnement],2))</f>
        <v>NPRD</v>
      </c>
    </row>
    <row r="66" customFormat="false" ht="15" hidden="false" customHeight="false" outlineLevel="0" collapsed="false">
      <c r="A66" s="59" t="str">
        <f aca="false">IFERROR(IF(INDEX(TblClusters[Cluster],3)="","",INDEX(TblClusters[Cluster],3)),"")</f>
        <v>ROKS-PRD-01</v>
      </c>
      <c r="B66" s="59" t="str">
        <f aca="false">IF($A66="","",INDEX(TblClusters[Plateforme],3))</f>
        <v>ROKS</v>
      </c>
      <c r="C66" s="59" t="n">
        <f aca="false">IF($A66="","",SUMIFS(TblCalculs[CPU provisionné],TblCalculs[Cluster],$A66,TblCalculs[Idx mois],1))</f>
        <v>192</v>
      </c>
      <c r="D66" s="59" t="n">
        <f aca="false">IF($A66="","",SUMIFS(TblCalculs[CPU provisionné],TblCalculs[Cluster],$A66,TblCalculs[Idx mois],p_horizon))</f>
        <v>448</v>
      </c>
      <c r="E66" s="59" t="n">
        <f aca="false">IF($A66="","",SUMIFS(TblCalculs[RAM provisionnée],TblCalculs[Cluster],$A66,TblCalculs[Idx mois],1))</f>
        <v>960</v>
      </c>
      <c r="F66" s="59" t="n">
        <f aca="false">IF($A66="","",SUMIFS(TblCalculs[RAM provisionnée],TblCalculs[Cluster],$A66,TblCalculs[Idx mois],p_horizon))</f>
        <v>2240</v>
      </c>
      <c r="G66" s="59" t="n">
        <f aca="false">IF($A66="","",SUMIFS(TblCalculs[Workers],TblCalculs[Cluster],$A66,TblCalculs[Idx mois],1))</f>
        <v>6</v>
      </c>
      <c r="H66" s="59" t="n">
        <f aca="false">IF($A66="","",SUMIFS(TblCalculs[Workers],TblCalculs[Cluster],$A66,TblCalculs[Idx mois],p_horizon))</f>
        <v>14</v>
      </c>
      <c r="I66" s="59" t="n">
        <f aca="false">IF($A66="","",SUMIFS(TblCalculs[Besoin CPU],TblCalculs[Cluster],$A66,TblCalculs[Idx mois],p_horizon))</f>
        <v>379</v>
      </c>
      <c r="J66" s="59" t="n">
        <f aca="false">IF($A66="","",SUMIFS(TblCalculs[Besoin RAM],TblCalculs[Cluster],$A66,TblCalculs[Idx mois],p_horizon))</f>
        <v>2160</v>
      </c>
      <c r="K66" s="22" t="n">
        <f aca="false">IF($A66="","",SUMIFS(TblCalculs[Coût mensuel],TblCalculs[Cluster],$A66))</f>
        <v>569664</v>
      </c>
      <c r="L66" s="22" t="n">
        <f aca="false">IF($A66="","",SUMIFS(TblCalculs[Coût mensuel],TblCalculs[Cluster],$A66)-SUMIFS(TblCalculs[Sans DR – coût],TblCalculs[Cluster],$A66))</f>
        <v>0</v>
      </c>
      <c r="M66" s="22" t="n">
        <f aca="false">IF($A66="","",SUMIFS(TblCalculs[Coût mensuel],TblCalculs[Cluster],$A66)-SUMIFS(TblCalculs[Sans migration – coût],TblCalculs[Cluster],$A66))</f>
        <v>251712</v>
      </c>
      <c r="N66" s="59" t="str">
        <f aca="false">IF($A66="","",INDEX(TblClusters[Environnement],3))</f>
        <v>PRD</v>
      </c>
    </row>
    <row r="67" customFormat="false" ht="15" hidden="false" customHeight="false" outlineLevel="0" collapsed="false">
      <c r="A67" s="59" t="str">
        <f aca="false">IFERROR(IF(INDEX(TblClusters[Cluster],4)="","",INDEX(TblClusters[Cluster],4)),"")</f>
        <v>ROKS-NPR-01</v>
      </c>
      <c r="B67" s="59" t="str">
        <f aca="false">IF($A67="","",INDEX(TblClusters[Plateforme],4))</f>
        <v>ROKS</v>
      </c>
      <c r="C67" s="59" t="n">
        <f aca="false">IF($A67="","",SUMIFS(TblCalculs[CPU provisionné],TblCalculs[Cluster],$A67,TblCalculs[Idx mois],1))</f>
        <v>96</v>
      </c>
      <c r="D67" s="59" t="n">
        <f aca="false">IF($A67="","",SUMIFS(TblCalculs[CPU provisionné],TblCalculs[Cluster],$A67,TblCalculs[Idx mois],p_horizon))</f>
        <v>192</v>
      </c>
      <c r="E67" s="59" t="n">
        <f aca="false">IF($A67="","",SUMIFS(TblCalculs[RAM provisionnée],TblCalculs[Cluster],$A67,TblCalculs[Idx mois],1))</f>
        <v>480</v>
      </c>
      <c r="F67" s="59" t="n">
        <f aca="false">IF($A67="","",SUMIFS(TblCalculs[RAM provisionnée],TblCalculs[Cluster],$A67,TblCalculs[Idx mois],p_horizon))</f>
        <v>960</v>
      </c>
      <c r="G67" s="59" t="n">
        <f aca="false">IF($A67="","",SUMIFS(TblCalculs[Workers],TblCalculs[Cluster],$A67,TblCalculs[Idx mois],1))</f>
        <v>6</v>
      </c>
      <c r="H67" s="59" t="n">
        <f aca="false">IF($A67="","",SUMIFS(TblCalculs[Workers],TblCalculs[Cluster],$A67,TblCalculs[Idx mois],p_horizon))</f>
        <v>12</v>
      </c>
      <c r="I67" s="59" t="n">
        <f aca="false">IF($A67="","",SUMIFS(TblCalculs[Besoin CPU],TblCalculs[Cluster],$A67,TblCalculs[Idx mois],p_horizon))</f>
        <v>173</v>
      </c>
      <c r="J67" s="59" t="n">
        <f aca="false">IF($A67="","",SUMIFS(TblCalculs[Besoin RAM],TblCalculs[Cluster],$A67,TblCalculs[Idx mois],p_horizon))</f>
        <v>928</v>
      </c>
      <c r="K67" s="22" t="n">
        <f aca="false">IF($A67="","",SUMIFS(TblCalculs[Coût mensuel],TblCalculs[Cluster],$A67))</f>
        <v>270112</v>
      </c>
      <c r="L67" s="22" t="n">
        <f aca="false">IF($A67="","",SUMIFS(TblCalculs[Coût mensuel],TblCalculs[Cluster],$A67)-SUMIFS(TblCalculs[Sans DR – coût],TblCalculs[Cluster],$A67))</f>
        <v>0</v>
      </c>
      <c r="M67" s="22" t="n">
        <f aca="false">IF($A67="","",SUMIFS(TblCalculs[Coût mensuel],TblCalculs[Cluster],$A67)-SUMIFS(TblCalculs[Sans migration – coût],TblCalculs[Cluster],$A67))</f>
        <v>111136</v>
      </c>
      <c r="N67" s="59" t="str">
        <f aca="false">IF($A67="","",INDEX(TblClusters[Environnement],4))</f>
        <v>NPRD</v>
      </c>
    </row>
    <row r="68" customFormat="false" ht="15" hidden="false" customHeight="false" outlineLevel="0" collapsed="false">
      <c r="A68" s="59" t="str">
        <f aca="false">IFERROR(IF(INDEX(TblClusters[Cluster],5)="","",INDEX(TblClusters[Cluster],5)),"")</f>
        <v/>
      </c>
      <c r="B68" s="59" t="str">
        <f aca="false">IF($A68="","",INDEX(TblClusters[Plateforme],5))</f>
        <v/>
      </c>
      <c r="C68" s="59" t="str">
        <f aca="false">IF($A68="","",SUMIFS(TblCalculs[CPU provisionné],TblCalculs[Cluster],$A68,TblCalculs[Idx mois],1))</f>
        <v/>
      </c>
      <c r="D68" s="59" t="str">
        <f aca="false">IF($A68="","",SUMIFS(TblCalculs[CPU provisionné],TblCalculs[Cluster],$A68,TblCalculs[Idx mois],p_horizon))</f>
        <v/>
      </c>
      <c r="E68" s="59" t="str">
        <f aca="false">IF($A68="","",SUMIFS(TblCalculs[RAM provisionnée],TblCalculs[Cluster],$A68,TblCalculs[Idx mois],1))</f>
        <v/>
      </c>
      <c r="F68" s="59" t="str">
        <f aca="false">IF($A68="","",SUMIFS(TblCalculs[RAM provisionnée],TblCalculs[Cluster],$A68,TblCalculs[Idx mois],p_horizon))</f>
        <v/>
      </c>
      <c r="G68" s="59" t="str">
        <f aca="false">IF($A68="","",SUMIFS(TblCalculs[Workers],TblCalculs[Cluster],$A68,TblCalculs[Idx mois],1))</f>
        <v/>
      </c>
      <c r="H68" s="59" t="str">
        <f aca="false">IF($A68="","",SUMIFS(TblCalculs[Workers],TblCalculs[Cluster],$A68,TblCalculs[Idx mois],p_horizon))</f>
        <v/>
      </c>
      <c r="I68" s="59" t="str">
        <f aca="false">IF($A68="","",SUMIFS(TblCalculs[Besoin CPU],TblCalculs[Cluster],$A68,TblCalculs[Idx mois],p_horizon))</f>
        <v/>
      </c>
      <c r="J68" s="59" t="str">
        <f aca="false">IF($A68="","",SUMIFS(TblCalculs[Besoin RAM],TblCalculs[Cluster],$A68,TblCalculs[Idx mois],p_horizon))</f>
        <v/>
      </c>
      <c r="K68" s="22" t="str">
        <f aca="false">IF($A68="","",SUMIFS(TblCalculs[Coût mensuel],TblCalculs[Cluster],$A68))</f>
        <v/>
      </c>
      <c r="L68" s="22" t="str">
        <f aca="false">IF($A68="","",SUMIFS(TblCalculs[Coût mensuel],TblCalculs[Cluster],$A68)-SUMIFS(TblCalculs[Sans DR – coût],TblCalculs[Cluster],$A68))</f>
        <v/>
      </c>
      <c r="M68" s="22" t="str">
        <f aca="false">IF($A68="","",SUMIFS(TblCalculs[Coût mensuel],TblCalculs[Cluster],$A68)-SUMIFS(TblCalculs[Sans migration – coût],TblCalculs[Cluster],$A68))</f>
        <v/>
      </c>
      <c r="N68" s="59" t="str">
        <f aca="false">IF($A68="","",INDEX(TblClusters[Environnement],5))</f>
        <v/>
      </c>
    </row>
    <row r="69" customFormat="false" ht="15" hidden="false" customHeight="false" outlineLevel="0" collapsed="false">
      <c r="A69" s="59" t="str">
        <f aca="false">IFERROR(IF(INDEX(TblClusters[Cluster],6)="","",INDEX(TblClusters[Cluster],6)),"")</f>
        <v/>
      </c>
      <c r="B69" s="59" t="str">
        <f aca="false">IF($A69="","",INDEX(TblClusters[Plateforme],6))</f>
        <v/>
      </c>
      <c r="C69" s="59" t="str">
        <f aca="false">IF($A69="","",SUMIFS(TblCalculs[CPU provisionné],TblCalculs[Cluster],$A69,TblCalculs[Idx mois],1))</f>
        <v/>
      </c>
      <c r="D69" s="59" t="str">
        <f aca="false">IF($A69="","",SUMIFS(TblCalculs[CPU provisionné],TblCalculs[Cluster],$A69,TblCalculs[Idx mois],p_horizon))</f>
        <v/>
      </c>
      <c r="E69" s="59" t="str">
        <f aca="false">IF($A69="","",SUMIFS(TblCalculs[RAM provisionnée],TblCalculs[Cluster],$A69,TblCalculs[Idx mois],1))</f>
        <v/>
      </c>
      <c r="F69" s="59" t="str">
        <f aca="false">IF($A69="","",SUMIFS(TblCalculs[RAM provisionnée],TblCalculs[Cluster],$A69,TblCalculs[Idx mois],p_horizon))</f>
        <v/>
      </c>
      <c r="G69" s="59" t="str">
        <f aca="false">IF($A69="","",SUMIFS(TblCalculs[Workers],TblCalculs[Cluster],$A69,TblCalculs[Idx mois],1))</f>
        <v/>
      </c>
      <c r="H69" s="59" t="str">
        <f aca="false">IF($A69="","",SUMIFS(TblCalculs[Workers],TblCalculs[Cluster],$A69,TblCalculs[Idx mois],p_horizon))</f>
        <v/>
      </c>
      <c r="I69" s="59" t="str">
        <f aca="false">IF($A69="","",SUMIFS(TblCalculs[Besoin CPU],TblCalculs[Cluster],$A69,TblCalculs[Idx mois],p_horizon))</f>
        <v/>
      </c>
      <c r="J69" s="59" t="str">
        <f aca="false">IF($A69="","",SUMIFS(TblCalculs[Besoin RAM],TblCalculs[Cluster],$A69,TblCalculs[Idx mois],p_horizon))</f>
        <v/>
      </c>
      <c r="K69" s="22" t="str">
        <f aca="false">IF($A69="","",SUMIFS(TblCalculs[Coût mensuel],TblCalculs[Cluster],$A69))</f>
        <v/>
      </c>
      <c r="L69" s="22" t="str">
        <f aca="false">IF($A69="","",SUMIFS(TblCalculs[Coût mensuel],TblCalculs[Cluster],$A69)-SUMIFS(TblCalculs[Sans DR – coût],TblCalculs[Cluster],$A69))</f>
        <v/>
      </c>
      <c r="M69" s="22" t="str">
        <f aca="false">IF($A69="","",SUMIFS(TblCalculs[Coût mensuel],TblCalculs[Cluster],$A69)-SUMIFS(TblCalculs[Sans migration – coût],TblCalculs[Cluster],$A69))</f>
        <v/>
      </c>
      <c r="N69" s="59" t="str">
        <f aca="false">IF($A69="","",INDEX(TblClusters[Environnement],6))</f>
        <v/>
      </c>
    </row>
    <row r="70" customFormat="false" ht="15" hidden="false" customHeight="false" outlineLevel="0" collapsed="false">
      <c r="A70" s="59" t="str">
        <f aca="false">IFERROR(IF(INDEX(TblClusters[Cluster],7)="","",INDEX(TblClusters[Cluster],7)),"")</f>
        <v/>
      </c>
      <c r="B70" s="59" t="str">
        <f aca="false">IF($A70="","",INDEX(TblClusters[Plateforme],7))</f>
        <v/>
      </c>
      <c r="C70" s="59" t="str">
        <f aca="false">IF($A70="","",SUMIFS(TblCalculs[CPU provisionné],TblCalculs[Cluster],$A70,TblCalculs[Idx mois],1))</f>
        <v/>
      </c>
      <c r="D70" s="59" t="str">
        <f aca="false">IF($A70="","",SUMIFS(TblCalculs[CPU provisionné],TblCalculs[Cluster],$A70,TblCalculs[Idx mois],p_horizon))</f>
        <v/>
      </c>
      <c r="E70" s="59" t="str">
        <f aca="false">IF($A70="","",SUMIFS(TblCalculs[RAM provisionnée],TblCalculs[Cluster],$A70,TblCalculs[Idx mois],1))</f>
        <v/>
      </c>
      <c r="F70" s="59" t="str">
        <f aca="false">IF($A70="","",SUMIFS(TblCalculs[RAM provisionnée],TblCalculs[Cluster],$A70,TblCalculs[Idx mois],p_horizon))</f>
        <v/>
      </c>
      <c r="G70" s="59" t="str">
        <f aca="false">IF($A70="","",SUMIFS(TblCalculs[Workers],TblCalculs[Cluster],$A70,TblCalculs[Idx mois],1))</f>
        <v/>
      </c>
      <c r="H70" s="59" t="str">
        <f aca="false">IF($A70="","",SUMIFS(TblCalculs[Workers],TblCalculs[Cluster],$A70,TblCalculs[Idx mois],p_horizon))</f>
        <v/>
      </c>
      <c r="I70" s="59" t="str">
        <f aca="false">IF($A70="","",SUMIFS(TblCalculs[Besoin CPU],TblCalculs[Cluster],$A70,TblCalculs[Idx mois],p_horizon))</f>
        <v/>
      </c>
      <c r="J70" s="59" t="str">
        <f aca="false">IF($A70="","",SUMIFS(TblCalculs[Besoin RAM],TblCalculs[Cluster],$A70,TblCalculs[Idx mois],p_horizon))</f>
        <v/>
      </c>
      <c r="K70" s="22" t="str">
        <f aca="false">IF($A70="","",SUMIFS(TblCalculs[Coût mensuel],TblCalculs[Cluster],$A70))</f>
        <v/>
      </c>
      <c r="L70" s="22" t="str">
        <f aca="false">IF($A70="","",SUMIFS(TblCalculs[Coût mensuel],TblCalculs[Cluster],$A70)-SUMIFS(TblCalculs[Sans DR – coût],TblCalculs[Cluster],$A70))</f>
        <v/>
      </c>
      <c r="M70" s="22" t="str">
        <f aca="false">IF($A70="","",SUMIFS(TblCalculs[Coût mensuel],TblCalculs[Cluster],$A70)-SUMIFS(TblCalculs[Sans migration – coût],TblCalculs[Cluster],$A70))</f>
        <v/>
      </c>
      <c r="N70" s="59" t="str">
        <f aca="false">IF($A70="","",INDEX(TblClusters[Environnement],7))</f>
        <v/>
      </c>
    </row>
    <row r="71" customFormat="false" ht="15" hidden="false" customHeight="false" outlineLevel="0" collapsed="false">
      <c r="A71" s="59" t="str">
        <f aca="false">IFERROR(IF(INDEX(TblClusters[Cluster],8)="","",INDEX(TblClusters[Cluster],8)),"")</f>
        <v/>
      </c>
      <c r="B71" s="59" t="str">
        <f aca="false">IF($A71="","",INDEX(TblClusters[Plateforme],8))</f>
        <v/>
      </c>
      <c r="C71" s="59" t="str">
        <f aca="false">IF($A71="","",SUMIFS(TblCalculs[CPU provisionné],TblCalculs[Cluster],$A71,TblCalculs[Idx mois],1))</f>
        <v/>
      </c>
      <c r="D71" s="59" t="str">
        <f aca="false">IF($A71="","",SUMIFS(TblCalculs[CPU provisionné],TblCalculs[Cluster],$A71,TblCalculs[Idx mois],p_horizon))</f>
        <v/>
      </c>
      <c r="E71" s="59" t="str">
        <f aca="false">IF($A71="","",SUMIFS(TblCalculs[RAM provisionnée],TblCalculs[Cluster],$A71,TblCalculs[Idx mois],1))</f>
        <v/>
      </c>
      <c r="F71" s="59" t="str">
        <f aca="false">IF($A71="","",SUMIFS(TblCalculs[RAM provisionnée],TblCalculs[Cluster],$A71,TblCalculs[Idx mois],p_horizon))</f>
        <v/>
      </c>
      <c r="G71" s="59" t="str">
        <f aca="false">IF($A71="","",SUMIFS(TblCalculs[Workers],TblCalculs[Cluster],$A71,TblCalculs[Idx mois],1))</f>
        <v/>
      </c>
      <c r="H71" s="59" t="str">
        <f aca="false">IF($A71="","",SUMIFS(TblCalculs[Workers],TblCalculs[Cluster],$A71,TblCalculs[Idx mois],p_horizon))</f>
        <v/>
      </c>
      <c r="I71" s="59" t="str">
        <f aca="false">IF($A71="","",SUMIFS(TblCalculs[Besoin CPU],TblCalculs[Cluster],$A71,TblCalculs[Idx mois],p_horizon))</f>
        <v/>
      </c>
      <c r="J71" s="59" t="str">
        <f aca="false">IF($A71="","",SUMIFS(TblCalculs[Besoin RAM],TblCalculs[Cluster],$A71,TblCalculs[Idx mois],p_horizon))</f>
        <v/>
      </c>
      <c r="K71" s="22" t="str">
        <f aca="false">IF($A71="","",SUMIFS(TblCalculs[Coût mensuel],TblCalculs[Cluster],$A71))</f>
        <v/>
      </c>
      <c r="L71" s="22" t="str">
        <f aca="false">IF($A71="","",SUMIFS(TblCalculs[Coût mensuel],TblCalculs[Cluster],$A71)-SUMIFS(TblCalculs[Sans DR – coût],TblCalculs[Cluster],$A71))</f>
        <v/>
      </c>
      <c r="M71" s="22" t="str">
        <f aca="false">IF($A71="","",SUMIFS(TblCalculs[Coût mensuel],TblCalculs[Cluster],$A71)-SUMIFS(TblCalculs[Sans migration – coût],TblCalculs[Cluster],$A71))</f>
        <v/>
      </c>
      <c r="N71" s="59" t="str">
        <f aca="false">IF($A71="","",INDEX(TblClusters[Environnement],8))</f>
        <v/>
      </c>
    </row>
    <row r="72" customFormat="false" ht="15" hidden="false" customHeight="false" outlineLevel="0" collapsed="false">
      <c r="A72" s="59" t="str">
        <f aca="false">IFERROR(IF(INDEX(TblClusters[Cluster],9)="","",INDEX(TblClusters[Cluster],9)),"")</f>
        <v/>
      </c>
      <c r="B72" s="59" t="str">
        <f aca="false">IF($A72="","",INDEX(TblClusters[Plateforme],9))</f>
        <v/>
      </c>
      <c r="C72" s="59" t="str">
        <f aca="false">IF($A72="","",SUMIFS(TblCalculs[CPU provisionné],TblCalculs[Cluster],$A72,TblCalculs[Idx mois],1))</f>
        <v/>
      </c>
      <c r="D72" s="59" t="str">
        <f aca="false">IF($A72="","",SUMIFS(TblCalculs[CPU provisionné],TblCalculs[Cluster],$A72,TblCalculs[Idx mois],p_horizon))</f>
        <v/>
      </c>
      <c r="E72" s="59" t="str">
        <f aca="false">IF($A72="","",SUMIFS(TblCalculs[RAM provisionnée],TblCalculs[Cluster],$A72,TblCalculs[Idx mois],1))</f>
        <v/>
      </c>
      <c r="F72" s="59" t="str">
        <f aca="false">IF($A72="","",SUMIFS(TblCalculs[RAM provisionnée],TblCalculs[Cluster],$A72,TblCalculs[Idx mois],p_horizon))</f>
        <v/>
      </c>
      <c r="G72" s="59" t="str">
        <f aca="false">IF($A72="","",SUMIFS(TblCalculs[Workers],TblCalculs[Cluster],$A72,TblCalculs[Idx mois],1))</f>
        <v/>
      </c>
      <c r="H72" s="59" t="str">
        <f aca="false">IF($A72="","",SUMIFS(TblCalculs[Workers],TblCalculs[Cluster],$A72,TblCalculs[Idx mois],p_horizon))</f>
        <v/>
      </c>
      <c r="I72" s="59" t="str">
        <f aca="false">IF($A72="","",SUMIFS(TblCalculs[Besoin CPU],TblCalculs[Cluster],$A72,TblCalculs[Idx mois],p_horizon))</f>
        <v/>
      </c>
      <c r="J72" s="59" t="str">
        <f aca="false">IF($A72="","",SUMIFS(TblCalculs[Besoin RAM],TblCalculs[Cluster],$A72,TblCalculs[Idx mois],p_horizon))</f>
        <v/>
      </c>
      <c r="K72" s="22" t="str">
        <f aca="false">IF($A72="","",SUMIFS(TblCalculs[Coût mensuel],TblCalculs[Cluster],$A72))</f>
        <v/>
      </c>
      <c r="L72" s="22" t="str">
        <f aca="false">IF($A72="","",SUMIFS(TblCalculs[Coût mensuel],TblCalculs[Cluster],$A72)-SUMIFS(TblCalculs[Sans DR – coût],TblCalculs[Cluster],$A72))</f>
        <v/>
      </c>
      <c r="M72" s="22" t="str">
        <f aca="false">IF($A72="","",SUMIFS(TblCalculs[Coût mensuel],TblCalculs[Cluster],$A72)-SUMIFS(TblCalculs[Sans migration – coût],TblCalculs[Cluster],$A72))</f>
        <v/>
      </c>
      <c r="N72" s="59" t="str">
        <f aca="false">IF($A72="","",INDEX(TblClusters[Environnement],9))</f>
        <v/>
      </c>
    </row>
    <row r="73" customFormat="false" ht="15" hidden="false" customHeight="false" outlineLevel="0" collapsed="false">
      <c r="A73" s="59" t="str">
        <f aca="false">IFERROR(IF(INDEX(TblClusters[Cluster],10)="","",INDEX(TblClusters[Cluster],10)),"")</f>
        <v/>
      </c>
      <c r="B73" s="59" t="str">
        <f aca="false">IF($A73="","",INDEX(TblClusters[Plateforme],10))</f>
        <v/>
      </c>
      <c r="C73" s="59" t="str">
        <f aca="false">IF($A73="","",SUMIFS(TblCalculs[CPU provisionné],TblCalculs[Cluster],$A73,TblCalculs[Idx mois],1))</f>
        <v/>
      </c>
      <c r="D73" s="59" t="str">
        <f aca="false">IF($A73="","",SUMIFS(TblCalculs[CPU provisionné],TblCalculs[Cluster],$A73,TblCalculs[Idx mois],p_horizon))</f>
        <v/>
      </c>
      <c r="E73" s="59" t="str">
        <f aca="false">IF($A73="","",SUMIFS(TblCalculs[RAM provisionnée],TblCalculs[Cluster],$A73,TblCalculs[Idx mois],1))</f>
        <v/>
      </c>
      <c r="F73" s="59" t="str">
        <f aca="false">IF($A73="","",SUMIFS(TblCalculs[RAM provisionnée],TblCalculs[Cluster],$A73,TblCalculs[Idx mois],p_horizon))</f>
        <v/>
      </c>
      <c r="G73" s="59" t="str">
        <f aca="false">IF($A73="","",SUMIFS(TblCalculs[Workers],TblCalculs[Cluster],$A73,TblCalculs[Idx mois],1))</f>
        <v/>
      </c>
      <c r="H73" s="59" t="str">
        <f aca="false">IF($A73="","",SUMIFS(TblCalculs[Workers],TblCalculs[Cluster],$A73,TblCalculs[Idx mois],p_horizon))</f>
        <v/>
      </c>
      <c r="I73" s="59" t="str">
        <f aca="false">IF($A73="","",SUMIFS(TblCalculs[Besoin CPU],TblCalculs[Cluster],$A73,TblCalculs[Idx mois],p_horizon))</f>
        <v/>
      </c>
      <c r="J73" s="59" t="str">
        <f aca="false">IF($A73="","",SUMIFS(TblCalculs[Besoin RAM],TblCalculs[Cluster],$A73,TblCalculs[Idx mois],p_horizon))</f>
        <v/>
      </c>
      <c r="K73" s="22" t="str">
        <f aca="false">IF($A73="","",SUMIFS(TblCalculs[Coût mensuel],TblCalculs[Cluster],$A73))</f>
        <v/>
      </c>
      <c r="L73" s="22" t="str">
        <f aca="false">IF($A73="","",SUMIFS(TblCalculs[Coût mensuel],TblCalculs[Cluster],$A73)-SUMIFS(TblCalculs[Sans DR – coût],TblCalculs[Cluster],$A73))</f>
        <v/>
      </c>
      <c r="M73" s="22" t="str">
        <f aca="false">IF($A73="","",SUMIFS(TblCalculs[Coût mensuel],TblCalculs[Cluster],$A73)-SUMIFS(TblCalculs[Sans migration – coût],TblCalculs[Cluster],$A73))</f>
        <v/>
      </c>
      <c r="N73" s="59" t="str">
        <f aca="false">IF($A73="","",INDEX(TblClusters[Environnement],10))</f>
        <v/>
      </c>
    </row>
    <row r="74" customFormat="false" ht="15" hidden="false" customHeight="false" outlineLevel="0" collapsed="false">
      <c r="A74" s="59" t="str">
        <f aca="false">IFERROR(IF(INDEX(TblClusters[Cluster],11)="","",INDEX(TblClusters[Cluster],11)),"")</f>
        <v/>
      </c>
      <c r="B74" s="59" t="str">
        <f aca="false">IF($A74="","",INDEX(TblClusters[Plateforme],11))</f>
        <v/>
      </c>
      <c r="C74" s="59" t="str">
        <f aca="false">IF($A74="","",SUMIFS(TblCalculs[CPU provisionné],TblCalculs[Cluster],$A74,TblCalculs[Idx mois],1))</f>
        <v/>
      </c>
      <c r="D74" s="59" t="str">
        <f aca="false">IF($A74="","",SUMIFS(TblCalculs[CPU provisionné],TblCalculs[Cluster],$A74,TblCalculs[Idx mois],p_horizon))</f>
        <v/>
      </c>
      <c r="E74" s="59" t="str">
        <f aca="false">IF($A74="","",SUMIFS(TblCalculs[RAM provisionnée],TblCalculs[Cluster],$A74,TblCalculs[Idx mois],1))</f>
        <v/>
      </c>
      <c r="F74" s="59" t="str">
        <f aca="false">IF($A74="","",SUMIFS(TblCalculs[RAM provisionnée],TblCalculs[Cluster],$A74,TblCalculs[Idx mois],p_horizon))</f>
        <v/>
      </c>
      <c r="G74" s="59" t="str">
        <f aca="false">IF($A74="","",SUMIFS(TblCalculs[Workers],TblCalculs[Cluster],$A74,TblCalculs[Idx mois],1))</f>
        <v/>
      </c>
      <c r="H74" s="59" t="str">
        <f aca="false">IF($A74="","",SUMIFS(TblCalculs[Workers],TblCalculs[Cluster],$A74,TblCalculs[Idx mois],p_horizon))</f>
        <v/>
      </c>
      <c r="I74" s="59" t="str">
        <f aca="false">IF($A74="","",SUMIFS(TblCalculs[Besoin CPU],TblCalculs[Cluster],$A74,TblCalculs[Idx mois],p_horizon))</f>
        <v/>
      </c>
      <c r="J74" s="59" t="str">
        <f aca="false">IF($A74="","",SUMIFS(TblCalculs[Besoin RAM],TblCalculs[Cluster],$A74,TblCalculs[Idx mois],p_horizon))</f>
        <v/>
      </c>
      <c r="K74" s="22" t="str">
        <f aca="false">IF($A74="","",SUMIFS(TblCalculs[Coût mensuel],TblCalculs[Cluster],$A74))</f>
        <v/>
      </c>
      <c r="L74" s="22" t="str">
        <f aca="false">IF($A74="","",SUMIFS(TblCalculs[Coût mensuel],TblCalculs[Cluster],$A74)-SUMIFS(TblCalculs[Sans DR – coût],TblCalculs[Cluster],$A74))</f>
        <v/>
      </c>
      <c r="M74" s="22" t="str">
        <f aca="false">IF($A74="","",SUMIFS(TblCalculs[Coût mensuel],TblCalculs[Cluster],$A74)-SUMIFS(TblCalculs[Sans migration – coût],TblCalculs[Cluster],$A74))</f>
        <v/>
      </c>
      <c r="N74" s="59" t="str">
        <f aca="false">IF($A74="","",INDEX(TblClusters[Environnement],11))</f>
        <v/>
      </c>
    </row>
    <row r="75" customFormat="false" ht="15" hidden="false" customHeight="false" outlineLevel="0" collapsed="false">
      <c r="A75" s="59" t="str">
        <f aca="false">IFERROR(IF(INDEX(TblClusters[Cluster],12)="","",INDEX(TblClusters[Cluster],12)),"")</f>
        <v/>
      </c>
      <c r="B75" s="59" t="str">
        <f aca="false">IF($A75="","",INDEX(TblClusters[Plateforme],12))</f>
        <v/>
      </c>
      <c r="C75" s="59" t="str">
        <f aca="false">IF($A75="","",SUMIFS(TblCalculs[CPU provisionné],TblCalculs[Cluster],$A75,TblCalculs[Idx mois],1))</f>
        <v/>
      </c>
      <c r="D75" s="59" t="str">
        <f aca="false">IF($A75="","",SUMIFS(TblCalculs[CPU provisionné],TblCalculs[Cluster],$A75,TblCalculs[Idx mois],p_horizon))</f>
        <v/>
      </c>
      <c r="E75" s="59" t="str">
        <f aca="false">IF($A75="","",SUMIFS(TblCalculs[RAM provisionnée],TblCalculs[Cluster],$A75,TblCalculs[Idx mois],1))</f>
        <v/>
      </c>
      <c r="F75" s="59" t="str">
        <f aca="false">IF($A75="","",SUMIFS(TblCalculs[RAM provisionnée],TblCalculs[Cluster],$A75,TblCalculs[Idx mois],p_horizon))</f>
        <v/>
      </c>
      <c r="G75" s="59" t="str">
        <f aca="false">IF($A75="","",SUMIFS(TblCalculs[Workers],TblCalculs[Cluster],$A75,TblCalculs[Idx mois],1))</f>
        <v/>
      </c>
      <c r="H75" s="59" t="str">
        <f aca="false">IF($A75="","",SUMIFS(TblCalculs[Workers],TblCalculs[Cluster],$A75,TblCalculs[Idx mois],p_horizon))</f>
        <v/>
      </c>
      <c r="I75" s="59" t="str">
        <f aca="false">IF($A75="","",SUMIFS(TblCalculs[Besoin CPU],TblCalculs[Cluster],$A75,TblCalculs[Idx mois],p_horizon))</f>
        <v/>
      </c>
      <c r="J75" s="59" t="str">
        <f aca="false">IF($A75="","",SUMIFS(TblCalculs[Besoin RAM],TblCalculs[Cluster],$A75,TblCalculs[Idx mois],p_horizon))</f>
        <v/>
      </c>
      <c r="K75" s="22" t="str">
        <f aca="false">IF($A75="","",SUMIFS(TblCalculs[Coût mensuel],TblCalculs[Cluster],$A75))</f>
        <v/>
      </c>
      <c r="L75" s="22" t="str">
        <f aca="false">IF($A75="","",SUMIFS(TblCalculs[Coût mensuel],TblCalculs[Cluster],$A75)-SUMIFS(TblCalculs[Sans DR – coût],TblCalculs[Cluster],$A75))</f>
        <v/>
      </c>
      <c r="M75" s="22" t="str">
        <f aca="false">IF($A75="","",SUMIFS(TblCalculs[Coût mensuel],TblCalculs[Cluster],$A75)-SUMIFS(TblCalculs[Sans migration – coût],TblCalculs[Cluster],$A75))</f>
        <v/>
      </c>
      <c r="N75" s="59" t="str">
        <f aca="false">IF($A75="","",INDEX(TblClusters[Environnement],12))</f>
        <v/>
      </c>
    </row>
    <row r="76" customFormat="false" ht="15" hidden="false" customHeight="false" outlineLevel="0" collapsed="false">
      <c r="A76" s="59" t="str">
        <f aca="false">IFERROR(IF(INDEX(TblClusters[Cluster],13)="","",INDEX(TblClusters[Cluster],13)),"")</f>
        <v/>
      </c>
      <c r="B76" s="59" t="str">
        <f aca="false">IF($A76="","",INDEX(TblClusters[Plateforme],13))</f>
        <v/>
      </c>
      <c r="C76" s="59" t="str">
        <f aca="false">IF($A76="","",SUMIFS(TblCalculs[CPU provisionné],TblCalculs[Cluster],$A76,TblCalculs[Idx mois],1))</f>
        <v/>
      </c>
      <c r="D76" s="59" t="str">
        <f aca="false">IF($A76="","",SUMIFS(TblCalculs[CPU provisionné],TblCalculs[Cluster],$A76,TblCalculs[Idx mois],p_horizon))</f>
        <v/>
      </c>
      <c r="E76" s="59" t="str">
        <f aca="false">IF($A76="","",SUMIFS(TblCalculs[RAM provisionnée],TblCalculs[Cluster],$A76,TblCalculs[Idx mois],1))</f>
        <v/>
      </c>
      <c r="F76" s="59" t="str">
        <f aca="false">IF($A76="","",SUMIFS(TblCalculs[RAM provisionnée],TblCalculs[Cluster],$A76,TblCalculs[Idx mois],p_horizon))</f>
        <v/>
      </c>
      <c r="G76" s="59" t="str">
        <f aca="false">IF($A76="","",SUMIFS(TblCalculs[Workers],TblCalculs[Cluster],$A76,TblCalculs[Idx mois],1))</f>
        <v/>
      </c>
      <c r="H76" s="59" t="str">
        <f aca="false">IF($A76="","",SUMIFS(TblCalculs[Workers],TblCalculs[Cluster],$A76,TblCalculs[Idx mois],p_horizon))</f>
        <v/>
      </c>
      <c r="I76" s="59" t="str">
        <f aca="false">IF($A76="","",SUMIFS(TblCalculs[Besoin CPU],TblCalculs[Cluster],$A76,TblCalculs[Idx mois],p_horizon))</f>
        <v/>
      </c>
      <c r="J76" s="59" t="str">
        <f aca="false">IF($A76="","",SUMIFS(TblCalculs[Besoin RAM],TblCalculs[Cluster],$A76,TblCalculs[Idx mois],p_horizon))</f>
        <v/>
      </c>
      <c r="K76" s="22" t="str">
        <f aca="false">IF($A76="","",SUMIFS(TblCalculs[Coût mensuel],TblCalculs[Cluster],$A76))</f>
        <v/>
      </c>
      <c r="L76" s="22" t="str">
        <f aca="false">IF($A76="","",SUMIFS(TblCalculs[Coût mensuel],TblCalculs[Cluster],$A76)-SUMIFS(TblCalculs[Sans DR – coût],TblCalculs[Cluster],$A76))</f>
        <v/>
      </c>
      <c r="M76" s="22" t="str">
        <f aca="false">IF($A76="","",SUMIFS(TblCalculs[Coût mensuel],TblCalculs[Cluster],$A76)-SUMIFS(TblCalculs[Sans migration – coût],TblCalculs[Cluster],$A76))</f>
        <v/>
      </c>
      <c r="N76" s="59" t="str">
        <f aca="false">IF($A76="","",INDEX(TblClusters[Environnement],13))</f>
        <v/>
      </c>
    </row>
    <row r="77" customFormat="false" ht="15" hidden="false" customHeight="false" outlineLevel="0" collapsed="false">
      <c r="A77" s="59" t="str">
        <f aca="false">IFERROR(IF(INDEX(TblClusters[Cluster],14)="","",INDEX(TblClusters[Cluster],14)),"")</f>
        <v/>
      </c>
      <c r="B77" s="59" t="str">
        <f aca="false">IF($A77="","",INDEX(TblClusters[Plateforme],14))</f>
        <v/>
      </c>
      <c r="C77" s="59" t="str">
        <f aca="false">IF($A77="","",SUMIFS(TblCalculs[CPU provisionné],TblCalculs[Cluster],$A77,TblCalculs[Idx mois],1))</f>
        <v/>
      </c>
      <c r="D77" s="59" t="str">
        <f aca="false">IF($A77="","",SUMIFS(TblCalculs[CPU provisionné],TblCalculs[Cluster],$A77,TblCalculs[Idx mois],p_horizon))</f>
        <v/>
      </c>
      <c r="E77" s="59" t="str">
        <f aca="false">IF($A77="","",SUMIFS(TblCalculs[RAM provisionnée],TblCalculs[Cluster],$A77,TblCalculs[Idx mois],1))</f>
        <v/>
      </c>
      <c r="F77" s="59" t="str">
        <f aca="false">IF($A77="","",SUMIFS(TblCalculs[RAM provisionnée],TblCalculs[Cluster],$A77,TblCalculs[Idx mois],p_horizon))</f>
        <v/>
      </c>
      <c r="G77" s="59" t="str">
        <f aca="false">IF($A77="","",SUMIFS(TblCalculs[Workers],TblCalculs[Cluster],$A77,TblCalculs[Idx mois],1))</f>
        <v/>
      </c>
      <c r="H77" s="59" t="str">
        <f aca="false">IF($A77="","",SUMIFS(TblCalculs[Workers],TblCalculs[Cluster],$A77,TblCalculs[Idx mois],p_horizon))</f>
        <v/>
      </c>
      <c r="I77" s="59" t="str">
        <f aca="false">IF($A77="","",SUMIFS(TblCalculs[Besoin CPU],TblCalculs[Cluster],$A77,TblCalculs[Idx mois],p_horizon))</f>
        <v/>
      </c>
      <c r="J77" s="59" t="str">
        <f aca="false">IF($A77="","",SUMIFS(TblCalculs[Besoin RAM],TblCalculs[Cluster],$A77,TblCalculs[Idx mois],p_horizon))</f>
        <v/>
      </c>
      <c r="K77" s="22" t="str">
        <f aca="false">IF($A77="","",SUMIFS(TblCalculs[Coût mensuel],TblCalculs[Cluster],$A77))</f>
        <v/>
      </c>
      <c r="L77" s="22" t="str">
        <f aca="false">IF($A77="","",SUMIFS(TblCalculs[Coût mensuel],TblCalculs[Cluster],$A77)-SUMIFS(TblCalculs[Sans DR – coût],TblCalculs[Cluster],$A77))</f>
        <v/>
      </c>
      <c r="M77" s="22" t="str">
        <f aca="false">IF($A77="","",SUMIFS(TblCalculs[Coût mensuel],TblCalculs[Cluster],$A77)-SUMIFS(TblCalculs[Sans migration – coût],TblCalculs[Cluster],$A77))</f>
        <v/>
      </c>
      <c r="N77" s="59" t="str">
        <f aca="false">IF($A77="","",INDEX(TblClusters[Environnement],14))</f>
        <v/>
      </c>
    </row>
    <row r="78" customFormat="false" ht="15" hidden="false" customHeight="false" outlineLevel="0" collapsed="false">
      <c r="A78" s="59" t="str">
        <f aca="false">IFERROR(IF(INDEX(TblClusters[Cluster],15)="","",INDEX(TblClusters[Cluster],15)),"")</f>
        <v/>
      </c>
      <c r="B78" s="59" t="str">
        <f aca="false">IF($A78="","",INDEX(TblClusters[Plateforme],15))</f>
        <v/>
      </c>
      <c r="C78" s="59" t="str">
        <f aca="false">IF($A78="","",SUMIFS(TblCalculs[CPU provisionné],TblCalculs[Cluster],$A78,TblCalculs[Idx mois],1))</f>
        <v/>
      </c>
      <c r="D78" s="59" t="str">
        <f aca="false">IF($A78="","",SUMIFS(TblCalculs[CPU provisionné],TblCalculs[Cluster],$A78,TblCalculs[Idx mois],p_horizon))</f>
        <v/>
      </c>
      <c r="E78" s="59" t="str">
        <f aca="false">IF($A78="","",SUMIFS(TblCalculs[RAM provisionnée],TblCalculs[Cluster],$A78,TblCalculs[Idx mois],1))</f>
        <v/>
      </c>
      <c r="F78" s="59" t="str">
        <f aca="false">IF($A78="","",SUMIFS(TblCalculs[RAM provisionnée],TblCalculs[Cluster],$A78,TblCalculs[Idx mois],p_horizon))</f>
        <v/>
      </c>
      <c r="G78" s="59" t="str">
        <f aca="false">IF($A78="","",SUMIFS(TblCalculs[Workers],TblCalculs[Cluster],$A78,TblCalculs[Idx mois],1))</f>
        <v/>
      </c>
      <c r="H78" s="59" t="str">
        <f aca="false">IF($A78="","",SUMIFS(TblCalculs[Workers],TblCalculs[Cluster],$A78,TblCalculs[Idx mois],p_horizon))</f>
        <v/>
      </c>
      <c r="I78" s="59" t="str">
        <f aca="false">IF($A78="","",SUMIFS(TblCalculs[Besoin CPU],TblCalculs[Cluster],$A78,TblCalculs[Idx mois],p_horizon))</f>
        <v/>
      </c>
      <c r="J78" s="59" t="str">
        <f aca="false">IF($A78="","",SUMIFS(TblCalculs[Besoin RAM],TblCalculs[Cluster],$A78,TblCalculs[Idx mois],p_horizon))</f>
        <v/>
      </c>
      <c r="K78" s="22" t="str">
        <f aca="false">IF($A78="","",SUMIFS(TblCalculs[Coût mensuel],TblCalculs[Cluster],$A78))</f>
        <v/>
      </c>
      <c r="L78" s="22" t="str">
        <f aca="false">IF($A78="","",SUMIFS(TblCalculs[Coût mensuel],TblCalculs[Cluster],$A78)-SUMIFS(TblCalculs[Sans DR – coût],TblCalculs[Cluster],$A78))</f>
        <v/>
      </c>
      <c r="M78" s="22" t="str">
        <f aca="false">IF($A78="","",SUMIFS(TblCalculs[Coût mensuel],TblCalculs[Cluster],$A78)-SUMIFS(TblCalculs[Sans migration – coût],TblCalculs[Cluster],$A78))</f>
        <v/>
      </c>
      <c r="N78" s="59" t="str">
        <f aca="false">IF($A78="","",INDEX(TblClusters[Environnement],15))</f>
        <v/>
      </c>
    </row>
    <row r="79" customFormat="false" ht="15" hidden="false" customHeight="false" outlineLevel="0" collapsed="false">
      <c r="A79" s="59" t="str">
        <f aca="false">IFERROR(IF(INDEX(TblClusters[Cluster],16)="","",INDEX(TblClusters[Cluster],16)),"")</f>
        <v/>
      </c>
      <c r="B79" s="59" t="str">
        <f aca="false">IF($A79="","",INDEX(TblClusters[Plateforme],16))</f>
        <v/>
      </c>
      <c r="C79" s="59" t="str">
        <f aca="false">IF($A79="","",SUMIFS(TblCalculs[CPU provisionné],TblCalculs[Cluster],$A79,TblCalculs[Idx mois],1))</f>
        <v/>
      </c>
      <c r="D79" s="59" t="str">
        <f aca="false">IF($A79="","",SUMIFS(TblCalculs[CPU provisionné],TblCalculs[Cluster],$A79,TblCalculs[Idx mois],p_horizon))</f>
        <v/>
      </c>
      <c r="E79" s="59" t="str">
        <f aca="false">IF($A79="","",SUMIFS(TblCalculs[RAM provisionnée],TblCalculs[Cluster],$A79,TblCalculs[Idx mois],1))</f>
        <v/>
      </c>
      <c r="F79" s="59" t="str">
        <f aca="false">IF($A79="","",SUMIFS(TblCalculs[RAM provisionnée],TblCalculs[Cluster],$A79,TblCalculs[Idx mois],p_horizon))</f>
        <v/>
      </c>
      <c r="G79" s="59" t="str">
        <f aca="false">IF($A79="","",SUMIFS(TblCalculs[Workers],TblCalculs[Cluster],$A79,TblCalculs[Idx mois],1))</f>
        <v/>
      </c>
      <c r="H79" s="59" t="str">
        <f aca="false">IF($A79="","",SUMIFS(TblCalculs[Workers],TblCalculs[Cluster],$A79,TblCalculs[Idx mois],p_horizon))</f>
        <v/>
      </c>
      <c r="I79" s="59" t="str">
        <f aca="false">IF($A79="","",SUMIFS(TblCalculs[Besoin CPU],TblCalculs[Cluster],$A79,TblCalculs[Idx mois],p_horizon))</f>
        <v/>
      </c>
      <c r="J79" s="59" t="str">
        <f aca="false">IF($A79="","",SUMIFS(TblCalculs[Besoin RAM],TblCalculs[Cluster],$A79,TblCalculs[Idx mois],p_horizon))</f>
        <v/>
      </c>
      <c r="K79" s="22" t="str">
        <f aca="false">IF($A79="","",SUMIFS(TblCalculs[Coût mensuel],TblCalculs[Cluster],$A79))</f>
        <v/>
      </c>
      <c r="L79" s="22" t="str">
        <f aca="false">IF($A79="","",SUMIFS(TblCalculs[Coût mensuel],TblCalculs[Cluster],$A79)-SUMIFS(TblCalculs[Sans DR – coût],TblCalculs[Cluster],$A79))</f>
        <v/>
      </c>
      <c r="M79" s="22" t="str">
        <f aca="false">IF($A79="","",SUMIFS(TblCalculs[Coût mensuel],TblCalculs[Cluster],$A79)-SUMIFS(TblCalculs[Sans migration – coût],TblCalculs[Cluster],$A79))</f>
        <v/>
      </c>
      <c r="N79" s="59" t="str">
        <f aca="false">IF($A79="","",INDEX(TblClusters[Environnement],16))</f>
        <v/>
      </c>
    </row>
    <row r="80" customFormat="false" ht="15" hidden="false" customHeight="false" outlineLevel="0" collapsed="false">
      <c r="A80" s="59" t="str">
        <f aca="false">IFERROR(IF(INDEX(TblClusters[Cluster],17)="","",INDEX(TblClusters[Cluster],17)),"")</f>
        <v/>
      </c>
      <c r="B80" s="59" t="str">
        <f aca="false">IF($A80="","",INDEX(TblClusters[Plateforme],17))</f>
        <v/>
      </c>
      <c r="C80" s="59" t="str">
        <f aca="false">IF($A80="","",SUMIFS(TblCalculs[CPU provisionné],TblCalculs[Cluster],$A80,TblCalculs[Idx mois],1))</f>
        <v/>
      </c>
      <c r="D80" s="59" t="str">
        <f aca="false">IF($A80="","",SUMIFS(TblCalculs[CPU provisionné],TblCalculs[Cluster],$A80,TblCalculs[Idx mois],p_horizon))</f>
        <v/>
      </c>
      <c r="E80" s="59" t="str">
        <f aca="false">IF($A80="","",SUMIFS(TblCalculs[RAM provisionnée],TblCalculs[Cluster],$A80,TblCalculs[Idx mois],1))</f>
        <v/>
      </c>
      <c r="F80" s="59" t="str">
        <f aca="false">IF($A80="","",SUMIFS(TblCalculs[RAM provisionnée],TblCalculs[Cluster],$A80,TblCalculs[Idx mois],p_horizon))</f>
        <v/>
      </c>
      <c r="G80" s="59" t="str">
        <f aca="false">IF($A80="","",SUMIFS(TblCalculs[Workers],TblCalculs[Cluster],$A80,TblCalculs[Idx mois],1))</f>
        <v/>
      </c>
      <c r="H80" s="59" t="str">
        <f aca="false">IF($A80="","",SUMIFS(TblCalculs[Workers],TblCalculs[Cluster],$A80,TblCalculs[Idx mois],p_horizon))</f>
        <v/>
      </c>
      <c r="I80" s="59" t="str">
        <f aca="false">IF($A80="","",SUMIFS(TblCalculs[Besoin CPU],TblCalculs[Cluster],$A80,TblCalculs[Idx mois],p_horizon))</f>
        <v/>
      </c>
      <c r="J80" s="59" t="str">
        <f aca="false">IF($A80="","",SUMIFS(TblCalculs[Besoin RAM],TblCalculs[Cluster],$A80,TblCalculs[Idx mois],p_horizon))</f>
        <v/>
      </c>
      <c r="K80" s="22" t="str">
        <f aca="false">IF($A80="","",SUMIFS(TblCalculs[Coût mensuel],TblCalculs[Cluster],$A80))</f>
        <v/>
      </c>
      <c r="L80" s="22" t="str">
        <f aca="false">IF($A80="","",SUMIFS(TblCalculs[Coût mensuel],TblCalculs[Cluster],$A80)-SUMIFS(TblCalculs[Sans DR – coût],TblCalculs[Cluster],$A80))</f>
        <v/>
      </c>
      <c r="M80" s="22" t="str">
        <f aca="false">IF($A80="","",SUMIFS(TblCalculs[Coût mensuel],TblCalculs[Cluster],$A80)-SUMIFS(TblCalculs[Sans migration – coût],TblCalculs[Cluster],$A80))</f>
        <v/>
      </c>
      <c r="N80" s="59" t="str">
        <f aca="false">IF($A80="","",INDEX(TblClusters[Environnement],17))</f>
        <v/>
      </c>
    </row>
    <row r="81" customFormat="false" ht="15" hidden="false" customHeight="false" outlineLevel="0" collapsed="false">
      <c r="A81" s="59" t="str">
        <f aca="false">IFERROR(IF(INDEX(TblClusters[Cluster],18)="","",INDEX(TblClusters[Cluster],18)),"")</f>
        <v/>
      </c>
      <c r="B81" s="59" t="str">
        <f aca="false">IF($A81="","",INDEX(TblClusters[Plateforme],18))</f>
        <v/>
      </c>
      <c r="C81" s="59" t="str">
        <f aca="false">IF($A81="","",SUMIFS(TblCalculs[CPU provisionné],TblCalculs[Cluster],$A81,TblCalculs[Idx mois],1))</f>
        <v/>
      </c>
      <c r="D81" s="59" t="str">
        <f aca="false">IF($A81="","",SUMIFS(TblCalculs[CPU provisionné],TblCalculs[Cluster],$A81,TblCalculs[Idx mois],p_horizon))</f>
        <v/>
      </c>
      <c r="E81" s="59" t="str">
        <f aca="false">IF($A81="","",SUMIFS(TblCalculs[RAM provisionnée],TblCalculs[Cluster],$A81,TblCalculs[Idx mois],1))</f>
        <v/>
      </c>
      <c r="F81" s="59" t="str">
        <f aca="false">IF($A81="","",SUMIFS(TblCalculs[RAM provisionnée],TblCalculs[Cluster],$A81,TblCalculs[Idx mois],p_horizon))</f>
        <v/>
      </c>
      <c r="G81" s="59" t="str">
        <f aca="false">IF($A81="","",SUMIFS(TblCalculs[Workers],TblCalculs[Cluster],$A81,TblCalculs[Idx mois],1))</f>
        <v/>
      </c>
      <c r="H81" s="59" t="str">
        <f aca="false">IF($A81="","",SUMIFS(TblCalculs[Workers],TblCalculs[Cluster],$A81,TblCalculs[Idx mois],p_horizon))</f>
        <v/>
      </c>
      <c r="I81" s="59" t="str">
        <f aca="false">IF($A81="","",SUMIFS(TblCalculs[Besoin CPU],TblCalculs[Cluster],$A81,TblCalculs[Idx mois],p_horizon))</f>
        <v/>
      </c>
      <c r="J81" s="59" t="str">
        <f aca="false">IF($A81="","",SUMIFS(TblCalculs[Besoin RAM],TblCalculs[Cluster],$A81,TblCalculs[Idx mois],p_horizon))</f>
        <v/>
      </c>
      <c r="K81" s="22" t="str">
        <f aca="false">IF($A81="","",SUMIFS(TblCalculs[Coût mensuel],TblCalculs[Cluster],$A81))</f>
        <v/>
      </c>
      <c r="L81" s="22" t="str">
        <f aca="false">IF($A81="","",SUMIFS(TblCalculs[Coût mensuel],TblCalculs[Cluster],$A81)-SUMIFS(TblCalculs[Sans DR – coût],TblCalculs[Cluster],$A81))</f>
        <v/>
      </c>
      <c r="M81" s="22" t="str">
        <f aca="false">IF($A81="","",SUMIFS(TblCalculs[Coût mensuel],TblCalculs[Cluster],$A81)-SUMIFS(TblCalculs[Sans migration – coût],TblCalculs[Cluster],$A81))</f>
        <v/>
      </c>
      <c r="N81" s="59" t="str">
        <f aca="false">IF($A81="","",INDEX(TblClusters[Environnement],18))</f>
        <v/>
      </c>
    </row>
    <row r="82" customFormat="false" ht="15" hidden="false" customHeight="false" outlineLevel="0" collapsed="false">
      <c r="A82" s="59" t="str">
        <f aca="false">IFERROR(IF(INDEX(TblClusters[Cluster],19)="","",INDEX(TblClusters[Cluster],19)),"")</f>
        <v/>
      </c>
      <c r="B82" s="59" t="str">
        <f aca="false">IF($A82="","",INDEX(TblClusters[Plateforme],19))</f>
        <v/>
      </c>
      <c r="C82" s="59" t="str">
        <f aca="false">IF($A82="","",SUMIFS(TblCalculs[CPU provisionné],TblCalculs[Cluster],$A82,TblCalculs[Idx mois],1))</f>
        <v/>
      </c>
      <c r="D82" s="59" t="str">
        <f aca="false">IF($A82="","",SUMIFS(TblCalculs[CPU provisionné],TblCalculs[Cluster],$A82,TblCalculs[Idx mois],p_horizon))</f>
        <v/>
      </c>
      <c r="E82" s="59" t="str">
        <f aca="false">IF($A82="","",SUMIFS(TblCalculs[RAM provisionnée],TblCalculs[Cluster],$A82,TblCalculs[Idx mois],1))</f>
        <v/>
      </c>
      <c r="F82" s="59" t="str">
        <f aca="false">IF($A82="","",SUMIFS(TblCalculs[RAM provisionnée],TblCalculs[Cluster],$A82,TblCalculs[Idx mois],p_horizon))</f>
        <v/>
      </c>
      <c r="G82" s="59" t="str">
        <f aca="false">IF($A82="","",SUMIFS(TblCalculs[Workers],TblCalculs[Cluster],$A82,TblCalculs[Idx mois],1))</f>
        <v/>
      </c>
      <c r="H82" s="59" t="str">
        <f aca="false">IF($A82="","",SUMIFS(TblCalculs[Workers],TblCalculs[Cluster],$A82,TblCalculs[Idx mois],p_horizon))</f>
        <v/>
      </c>
      <c r="I82" s="59" t="str">
        <f aca="false">IF($A82="","",SUMIFS(TblCalculs[Besoin CPU],TblCalculs[Cluster],$A82,TblCalculs[Idx mois],p_horizon))</f>
        <v/>
      </c>
      <c r="J82" s="59" t="str">
        <f aca="false">IF($A82="","",SUMIFS(TblCalculs[Besoin RAM],TblCalculs[Cluster],$A82,TblCalculs[Idx mois],p_horizon))</f>
        <v/>
      </c>
      <c r="K82" s="22" t="str">
        <f aca="false">IF($A82="","",SUMIFS(TblCalculs[Coût mensuel],TblCalculs[Cluster],$A82))</f>
        <v/>
      </c>
      <c r="L82" s="22" t="str">
        <f aca="false">IF($A82="","",SUMIFS(TblCalculs[Coût mensuel],TblCalculs[Cluster],$A82)-SUMIFS(TblCalculs[Sans DR – coût],TblCalculs[Cluster],$A82))</f>
        <v/>
      </c>
      <c r="M82" s="22" t="str">
        <f aca="false">IF($A82="","",SUMIFS(TblCalculs[Coût mensuel],TblCalculs[Cluster],$A82)-SUMIFS(TblCalculs[Sans migration – coût],TblCalculs[Cluster],$A82))</f>
        <v/>
      </c>
      <c r="N82" s="59" t="str">
        <f aca="false">IF($A82="","",INDEX(TblClusters[Environnement],19))</f>
        <v/>
      </c>
    </row>
    <row r="83" customFormat="false" ht="15" hidden="false" customHeight="false" outlineLevel="0" collapsed="false">
      <c r="A83" s="59" t="str">
        <f aca="false">IFERROR(IF(INDEX(TblClusters[Cluster],20)="","",INDEX(TblClusters[Cluster],20)),"")</f>
        <v/>
      </c>
      <c r="B83" s="59" t="str">
        <f aca="false">IF($A83="","",INDEX(TblClusters[Plateforme],20))</f>
        <v/>
      </c>
      <c r="C83" s="59" t="str">
        <f aca="false">IF($A83="","",SUMIFS(TblCalculs[CPU provisionné],TblCalculs[Cluster],$A83,TblCalculs[Idx mois],1))</f>
        <v/>
      </c>
      <c r="D83" s="59" t="str">
        <f aca="false">IF($A83="","",SUMIFS(TblCalculs[CPU provisionné],TblCalculs[Cluster],$A83,TblCalculs[Idx mois],p_horizon))</f>
        <v/>
      </c>
      <c r="E83" s="59" t="str">
        <f aca="false">IF($A83="","",SUMIFS(TblCalculs[RAM provisionnée],TblCalculs[Cluster],$A83,TblCalculs[Idx mois],1))</f>
        <v/>
      </c>
      <c r="F83" s="59" t="str">
        <f aca="false">IF($A83="","",SUMIFS(TblCalculs[RAM provisionnée],TblCalculs[Cluster],$A83,TblCalculs[Idx mois],p_horizon))</f>
        <v/>
      </c>
      <c r="G83" s="59" t="str">
        <f aca="false">IF($A83="","",SUMIFS(TblCalculs[Workers],TblCalculs[Cluster],$A83,TblCalculs[Idx mois],1))</f>
        <v/>
      </c>
      <c r="H83" s="59" t="str">
        <f aca="false">IF($A83="","",SUMIFS(TblCalculs[Workers],TblCalculs[Cluster],$A83,TblCalculs[Idx mois],p_horizon))</f>
        <v/>
      </c>
      <c r="I83" s="59" t="str">
        <f aca="false">IF($A83="","",SUMIFS(TblCalculs[Besoin CPU],TblCalculs[Cluster],$A83,TblCalculs[Idx mois],p_horizon))</f>
        <v/>
      </c>
      <c r="J83" s="59" t="str">
        <f aca="false">IF($A83="","",SUMIFS(TblCalculs[Besoin RAM],TblCalculs[Cluster],$A83,TblCalculs[Idx mois],p_horizon))</f>
        <v/>
      </c>
      <c r="K83" s="22" t="str">
        <f aca="false">IF($A83="","",SUMIFS(TblCalculs[Coût mensuel],TblCalculs[Cluster],$A83))</f>
        <v/>
      </c>
      <c r="L83" s="22" t="str">
        <f aca="false">IF($A83="","",SUMIFS(TblCalculs[Coût mensuel],TblCalculs[Cluster],$A83)-SUMIFS(TblCalculs[Sans DR – coût],TblCalculs[Cluster],$A83))</f>
        <v/>
      </c>
      <c r="M83" s="22" t="str">
        <f aca="false">IF($A83="","",SUMIFS(TblCalculs[Coût mensuel],TblCalculs[Cluster],$A83)-SUMIFS(TblCalculs[Sans migration – coût],TblCalculs[Cluster],$A83))</f>
        <v/>
      </c>
      <c r="N83" s="59" t="str">
        <f aca="false">IF($A83="","",INDEX(TblClusters[Environnement],20))</f>
        <v/>
      </c>
    </row>
    <row r="84" customFormat="false" ht="15" hidden="false" customHeight="false" outlineLevel="0" collapsed="false">
      <c r="A84" s="59" t="str">
        <f aca="false">IFERROR(IF(INDEX(TblClusters[Cluster],21)="","",INDEX(TblClusters[Cluster],21)),"")</f>
        <v/>
      </c>
      <c r="B84" s="59" t="str">
        <f aca="false">IF($A84="","",INDEX(TblClusters[Plateforme],21))</f>
        <v/>
      </c>
      <c r="C84" s="59" t="str">
        <f aca="false">IF($A84="","",SUMIFS(TblCalculs[CPU provisionné],TblCalculs[Cluster],$A84,TblCalculs[Idx mois],1))</f>
        <v/>
      </c>
      <c r="D84" s="59" t="str">
        <f aca="false">IF($A84="","",SUMIFS(TblCalculs[CPU provisionné],TblCalculs[Cluster],$A84,TblCalculs[Idx mois],p_horizon))</f>
        <v/>
      </c>
      <c r="E84" s="59" t="str">
        <f aca="false">IF($A84="","",SUMIFS(TblCalculs[RAM provisionnée],TblCalculs[Cluster],$A84,TblCalculs[Idx mois],1))</f>
        <v/>
      </c>
      <c r="F84" s="59" t="str">
        <f aca="false">IF($A84="","",SUMIFS(TblCalculs[RAM provisionnée],TblCalculs[Cluster],$A84,TblCalculs[Idx mois],p_horizon))</f>
        <v/>
      </c>
      <c r="G84" s="59" t="str">
        <f aca="false">IF($A84="","",SUMIFS(TblCalculs[Workers],TblCalculs[Cluster],$A84,TblCalculs[Idx mois],1))</f>
        <v/>
      </c>
      <c r="H84" s="59" t="str">
        <f aca="false">IF($A84="","",SUMIFS(TblCalculs[Workers],TblCalculs[Cluster],$A84,TblCalculs[Idx mois],p_horizon))</f>
        <v/>
      </c>
      <c r="I84" s="59" t="str">
        <f aca="false">IF($A84="","",SUMIFS(TblCalculs[Besoin CPU],TblCalculs[Cluster],$A84,TblCalculs[Idx mois],p_horizon))</f>
        <v/>
      </c>
      <c r="J84" s="59" t="str">
        <f aca="false">IF($A84="","",SUMIFS(TblCalculs[Besoin RAM],TblCalculs[Cluster],$A84,TblCalculs[Idx mois],p_horizon))</f>
        <v/>
      </c>
      <c r="K84" s="22" t="str">
        <f aca="false">IF($A84="","",SUMIFS(TblCalculs[Coût mensuel],TblCalculs[Cluster],$A84))</f>
        <v/>
      </c>
      <c r="L84" s="22" t="str">
        <f aca="false">IF($A84="","",SUMIFS(TblCalculs[Coût mensuel],TblCalculs[Cluster],$A84)-SUMIFS(TblCalculs[Sans DR – coût],TblCalculs[Cluster],$A84))</f>
        <v/>
      </c>
      <c r="M84" s="22" t="str">
        <f aca="false">IF($A84="","",SUMIFS(TblCalculs[Coût mensuel],TblCalculs[Cluster],$A84)-SUMIFS(TblCalculs[Sans migration – coût],TblCalculs[Cluster],$A84))</f>
        <v/>
      </c>
      <c r="N84" s="59" t="str">
        <f aca="false">IF($A84="","",INDEX(TblClusters[Environnement],21))</f>
        <v/>
      </c>
    </row>
    <row r="85" customFormat="false" ht="15" hidden="false" customHeight="false" outlineLevel="0" collapsed="false">
      <c r="A85" s="59" t="str">
        <f aca="false">IFERROR(IF(INDEX(TblClusters[Cluster],22)="","",INDEX(TblClusters[Cluster],22)),"")</f>
        <v/>
      </c>
      <c r="B85" s="59" t="str">
        <f aca="false">IF($A85="","",INDEX(TblClusters[Plateforme],22))</f>
        <v/>
      </c>
      <c r="C85" s="59" t="str">
        <f aca="false">IF($A85="","",SUMIFS(TblCalculs[CPU provisionné],TblCalculs[Cluster],$A85,TblCalculs[Idx mois],1))</f>
        <v/>
      </c>
      <c r="D85" s="59" t="str">
        <f aca="false">IF($A85="","",SUMIFS(TblCalculs[CPU provisionné],TblCalculs[Cluster],$A85,TblCalculs[Idx mois],p_horizon))</f>
        <v/>
      </c>
      <c r="E85" s="59" t="str">
        <f aca="false">IF($A85="","",SUMIFS(TblCalculs[RAM provisionnée],TblCalculs[Cluster],$A85,TblCalculs[Idx mois],1))</f>
        <v/>
      </c>
      <c r="F85" s="59" t="str">
        <f aca="false">IF($A85="","",SUMIFS(TblCalculs[RAM provisionnée],TblCalculs[Cluster],$A85,TblCalculs[Idx mois],p_horizon))</f>
        <v/>
      </c>
      <c r="G85" s="59" t="str">
        <f aca="false">IF($A85="","",SUMIFS(TblCalculs[Workers],TblCalculs[Cluster],$A85,TblCalculs[Idx mois],1))</f>
        <v/>
      </c>
      <c r="H85" s="59" t="str">
        <f aca="false">IF($A85="","",SUMIFS(TblCalculs[Workers],TblCalculs[Cluster],$A85,TblCalculs[Idx mois],p_horizon))</f>
        <v/>
      </c>
      <c r="I85" s="59" t="str">
        <f aca="false">IF($A85="","",SUMIFS(TblCalculs[Besoin CPU],TblCalculs[Cluster],$A85,TblCalculs[Idx mois],p_horizon))</f>
        <v/>
      </c>
      <c r="J85" s="59" t="str">
        <f aca="false">IF($A85="","",SUMIFS(TblCalculs[Besoin RAM],TblCalculs[Cluster],$A85,TblCalculs[Idx mois],p_horizon))</f>
        <v/>
      </c>
      <c r="K85" s="22" t="str">
        <f aca="false">IF($A85="","",SUMIFS(TblCalculs[Coût mensuel],TblCalculs[Cluster],$A85))</f>
        <v/>
      </c>
      <c r="L85" s="22" t="str">
        <f aca="false">IF($A85="","",SUMIFS(TblCalculs[Coût mensuel],TblCalculs[Cluster],$A85)-SUMIFS(TblCalculs[Sans DR – coût],TblCalculs[Cluster],$A85))</f>
        <v/>
      </c>
      <c r="M85" s="22" t="str">
        <f aca="false">IF($A85="","",SUMIFS(TblCalculs[Coût mensuel],TblCalculs[Cluster],$A85)-SUMIFS(TblCalculs[Sans migration – coût],TblCalculs[Cluster],$A85))</f>
        <v/>
      </c>
      <c r="N85" s="59" t="str">
        <f aca="false">IF($A85="","",INDEX(TblClusters[Environnement],22))</f>
        <v/>
      </c>
    </row>
    <row r="86" customFormat="false" ht="15" hidden="false" customHeight="false" outlineLevel="0" collapsed="false">
      <c r="A86" s="59" t="str">
        <f aca="false">IFERROR(IF(INDEX(TblClusters[Cluster],23)="","",INDEX(TblClusters[Cluster],23)),"")</f>
        <v/>
      </c>
      <c r="B86" s="59" t="str">
        <f aca="false">IF($A86="","",INDEX(TblClusters[Plateforme],23))</f>
        <v/>
      </c>
      <c r="C86" s="59" t="str">
        <f aca="false">IF($A86="","",SUMIFS(TblCalculs[CPU provisionné],TblCalculs[Cluster],$A86,TblCalculs[Idx mois],1))</f>
        <v/>
      </c>
      <c r="D86" s="59" t="str">
        <f aca="false">IF($A86="","",SUMIFS(TblCalculs[CPU provisionné],TblCalculs[Cluster],$A86,TblCalculs[Idx mois],p_horizon))</f>
        <v/>
      </c>
      <c r="E86" s="59" t="str">
        <f aca="false">IF($A86="","",SUMIFS(TblCalculs[RAM provisionnée],TblCalculs[Cluster],$A86,TblCalculs[Idx mois],1))</f>
        <v/>
      </c>
      <c r="F86" s="59" t="str">
        <f aca="false">IF($A86="","",SUMIFS(TblCalculs[RAM provisionnée],TblCalculs[Cluster],$A86,TblCalculs[Idx mois],p_horizon))</f>
        <v/>
      </c>
      <c r="G86" s="59" t="str">
        <f aca="false">IF($A86="","",SUMIFS(TblCalculs[Workers],TblCalculs[Cluster],$A86,TblCalculs[Idx mois],1))</f>
        <v/>
      </c>
      <c r="H86" s="59" t="str">
        <f aca="false">IF($A86="","",SUMIFS(TblCalculs[Workers],TblCalculs[Cluster],$A86,TblCalculs[Idx mois],p_horizon))</f>
        <v/>
      </c>
      <c r="I86" s="59" t="str">
        <f aca="false">IF($A86="","",SUMIFS(TblCalculs[Besoin CPU],TblCalculs[Cluster],$A86,TblCalculs[Idx mois],p_horizon))</f>
        <v/>
      </c>
      <c r="J86" s="59" t="str">
        <f aca="false">IF($A86="","",SUMIFS(TblCalculs[Besoin RAM],TblCalculs[Cluster],$A86,TblCalculs[Idx mois],p_horizon))</f>
        <v/>
      </c>
      <c r="K86" s="22" t="str">
        <f aca="false">IF($A86="","",SUMIFS(TblCalculs[Coût mensuel],TblCalculs[Cluster],$A86))</f>
        <v/>
      </c>
      <c r="L86" s="22" t="str">
        <f aca="false">IF($A86="","",SUMIFS(TblCalculs[Coût mensuel],TblCalculs[Cluster],$A86)-SUMIFS(TblCalculs[Sans DR – coût],TblCalculs[Cluster],$A86))</f>
        <v/>
      </c>
      <c r="M86" s="22" t="str">
        <f aca="false">IF($A86="","",SUMIFS(TblCalculs[Coût mensuel],TblCalculs[Cluster],$A86)-SUMIFS(TblCalculs[Sans migration – coût],TblCalculs[Cluster],$A86))</f>
        <v/>
      </c>
      <c r="N86" s="59" t="str">
        <f aca="false">IF($A86="","",INDEX(TblClusters[Environnement],23))</f>
        <v/>
      </c>
    </row>
    <row r="87" customFormat="false" ht="15" hidden="false" customHeight="false" outlineLevel="0" collapsed="false">
      <c r="A87" s="59" t="str">
        <f aca="false">IFERROR(IF(INDEX(TblClusters[Cluster],24)="","",INDEX(TblClusters[Cluster],24)),"")</f>
        <v/>
      </c>
      <c r="B87" s="59" t="str">
        <f aca="false">IF($A87="","",INDEX(TblClusters[Plateforme],24))</f>
        <v/>
      </c>
      <c r="C87" s="59" t="str">
        <f aca="false">IF($A87="","",SUMIFS(TblCalculs[CPU provisionné],TblCalculs[Cluster],$A87,TblCalculs[Idx mois],1))</f>
        <v/>
      </c>
      <c r="D87" s="59" t="str">
        <f aca="false">IF($A87="","",SUMIFS(TblCalculs[CPU provisionné],TblCalculs[Cluster],$A87,TblCalculs[Idx mois],p_horizon))</f>
        <v/>
      </c>
      <c r="E87" s="59" t="str">
        <f aca="false">IF($A87="","",SUMIFS(TblCalculs[RAM provisionnée],TblCalculs[Cluster],$A87,TblCalculs[Idx mois],1))</f>
        <v/>
      </c>
      <c r="F87" s="59" t="str">
        <f aca="false">IF($A87="","",SUMIFS(TblCalculs[RAM provisionnée],TblCalculs[Cluster],$A87,TblCalculs[Idx mois],p_horizon))</f>
        <v/>
      </c>
      <c r="G87" s="59" t="str">
        <f aca="false">IF($A87="","",SUMIFS(TblCalculs[Workers],TblCalculs[Cluster],$A87,TblCalculs[Idx mois],1))</f>
        <v/>
      </c>
      <c r="H87" s="59" t="str">
        <f aca="false">IF($A87="","",SUMIFS(TblCalculs[Workers],TblCalculs[Cluster],$A87,TblCalculs[Idx mois],p_horizon))</f>
        <v/>
      </c>
      <c r="I87" s="59" t="str">
        <f aca="false">IF($A87="","",SUMIFS(TblCalculs[Besoin CPU],TblCalculs[Cluster],$A87,TblCalculs[Idx mois],p_horizon))</f>
        <v/>
      </c>
      <c r="J87" s="59" t="str">
        <f aca="false">IF($A87="","",SUMIFS(TblCalculs[Besoin RAM],TblCalculs[Cluster],$A87,TblCalculs[Idx mois],p_horizon))</f>
        <v/>
      </c>
      <c r="K87" s="22" t="str">
        <f aca="false">IF($A87="","",SUMIFS(TblCalculs[Coût mensuel],TblCalculs[Cluster],$A87))</f>
        <v/>
      </c>
      <c r="L87" s="22" t="str">
        <f aca="false">IF($A87="","",SUMIFS(TblCalculs[Coût mensuel],TblCalculs[Cluster],$A87)-SUMIFS(TblCalculs[Sans DR – coût],TblCalculs[Cluster],$A87))</f>
        <v/>
      </c>
      <c r="M87" s="22" t="str">
        <f aca="false">IF($A87="","",SUMIFS(TblCalculs[Coût mensuel],TblCalculs[Cluster],$A87)-SUMIFS(TblCalculs[Sans migration – coût],TblCalculs[Cluster],$A87))</f>
        <v/>
      </c>
      <c r="N87" s="59" t="str">
        <f aca="false">IF($A87="","",INDEX(TblClusters[Environnement],24))</f>
        <v/>
      </c>
    </row>
    <row r="88" customFormat="false" ht="15" hidden="false" customHeight="false" outlineLevel="0" collapsed="false">
      <c r="A88" s="59" t="str">
        <f aca="false">IFERROR(IF(INDEX(TblClusters[Cluster],25)="","",INDEX(TblClusters[Cluster],25)),"")</f>
        <v/>
      </c>
      <c r="B88" s="59" t="str">
        <f aca="false">IF($A88="","",INDEX(TblClusters[Plateforme],25))</f>
        <v/>
      </c>
      <c r="C88" s="59" t="str">
        <f aca="false">IF($A88="","",SUMIFS(TblCalculs[CPU provisionné],TblCalculs[Cluster],$A88,TblCalculs[Idx mois],1))</f>
        <v/>
      </c>
      <c r="D88" s="59" t="str">
        <f aca="false">IF($A88="","",SUMIFS(TblCalculs[CPU provisionné],TblCalculs[Cluster],$A88,TblCalculs[Idx mois],p_horizon))</f>
        <v/>
      </c>
      <c r="E88" s="59" t="str">
        <f aca="false">IF($A88="","",SUMIFS(TblCalculs[RAM provisionnée],TblCalculs[Cluster],$A88,TblCalculs[Idx mois],1))</f>
        <v/>
      </c>
      <c r="F88" s="59" t="str">
        <f aca="false">IF($A88="","",SUMIFS(TblCalculs[RAM provisionnée],TblCalculs[Cluster],$A88,TblCalculs[Idx mois],p_horizon))</f>
        <v/>
      </c>
      <c r="G88" s="59" t="str">
        <f aca="false">IF($A88="","",SUMIFS(TblCalculs[Workers],TblCalculs[Cluster],$A88,TblCalculs[Idx mois],1))</f>
        <v/>
      </c>
      <c r="H88" s="59" t="str">
        <f aca="false">IF($A88="","",SUMIFS(TblCalculs[Workers],TblCalculs[Cluster],$A88,TblCalculs[Idx mois],p_horizon))</f>
        <v/>
      </c>
      <c r="I88" s="59" t="str">
        <f aca="false">IF($A88="","",SUMIFS(TblCalculs[Besoin CPU],TblCalculs[Cluster],$A88,TblCalculs[Idx mois],p_horizon))</f>
        <v/>
      </c>
      <c r="J88" s="59" t="str">
        <f aca="false">IF($A88="","",SUMIFS(TblCalculs[Besoin RAM],TblCalculs[Cluster],$A88,TblCalculs[Idx mois],p_horizon))</f>
        <v/>
      </c>
      <c r="K88" s="22" t="str">
        <f aca="false">IF($A88="","",SUMIFS(TblCalculs[Coût mensuel],TblCalculs[Cluster],$A88))</f>
        <v/>
      </c>
      <c r="L88" s="22" t="str">
        <f aca="false">IF($A88="","",SUMIFS(TblCalculs[Coût mensuel],TblCalculs[Cluster],$A88)-SUMIFS(TblCalculs[Sans DR – coût],TblCalculs[Cluster],$A88))</f>
        <v/>
      </c>
      <c r="M88" s="22" t="str">
        <f aca="false">IF($A88="","",SUMIFS(TblCalculs[Coût mensuel],TblCalculs[Cluster],$A88)-SUMIFS(TblCalculs[Sans migration – coût],TblCalculs[Cluster],$A88))</f>
        <v/>
      </c>
      <c r="N88" s="59" t="str">
        <f aca="false">IF($A88="","",INDEX(TblClusters[Environnement],25))</f>
        <v/>
      </c>
    </row>
    <row r="89" customFormat="false" ht="15" hidden="false" customHeight="false" outlineLevel="0" collapsed="false">
      <c r="A89" s="59" t="str">
        <f aca="false">IFERROR(IF(INDEX(TblClusters[Cluster],26)="","",INDEX(TblClusters[Cluster],26)),"")</f>
        <v/>
      </c>
      <c r="B89" s="59" t="str">
        <f aca="false">IF($A89="","",INDEX(TblClusters[Plateforme],26))</f>
        <v/>
      </c>
      <c r="C89" s="59" t="str">
        <f aca="false">IF($A89="","",SUMIFS(TblCalculs[CPU provisionné],TblCalculs[Cluster],$A89,TblCalculs[Idx mois],1))</f>
        <v/>
      </c>
      <c r="D89" s="59" t="str">
        <f aca="false">IF($A89="","",SUMIFS(TblCalculs[CPU provisionné],TblCalculs[Cluster],$A89,TblCalculs[Idx mois],p_horizon))</f>
        <v/>
      </c>
      <c r="E89" s="59" t="str">
        <f aca="false">IF($A89="","",SUMIFS(TblCalculs[RAM provisionnée],TblCalculs[Cluster],$A89,TblCalculs[Idx mois],1))</f>
        <v/>
      </c>
      <c r="F89" s="59" t="str">
        <f aca="false">IF($A89="","",SUMIFS(TblCalculs[RAM provisionnée],TblCalculs[Cluster],$A89,TblCalculs[Idx mois],p_horizon))</f>
        <v/>
      </c>
      <c r="G89" s="59" t="str">
        <f aca="false">IF($A89="","",SUMIFS(TblCalculs[Workers],TblCalculs[Cluster],$A89,TblCalculs[Idx mois],1))</f>
        <v/>
      </c>
      <c r="H89" s="59" t="str">
        <f aca="false">IF($A89="","",SUMIFS(TblCalculs[Workers],TblCalculs[Cluster],$A89,TblCalculs[Idx mois],p_horizon))</f>
        <v/>
      </c>
      <c r="I89" s="59" t="str">
        <f aca="false">IF($A89="","",SUMIFS(TblCalculs[Besoin CPU],TblCalculs[Cluster],$A89,TblCalculs[Idx mois],p_horizon))</f>
        <v/>
      </c>
      <c r="J89" s="59" t="str">
        <f aca="false">IF($A89="","",SUMIFS(TblCalculs[Besoin RAM],TblCalculs[Cluster],$A89,TblCalculs[Idx mois],p_horizon))</f>
        <v/>
      </c>
      <c r="K89" s="22" t="str">
        <f aca="false">IF($A89="","",SUMIFS(TblCalculs[Coût mensuel],TblCalculs[Cluster],$A89))</f>
        <v/>
      </c>
      <c r="L89" s="22" t="str">
        <f aca="false">IF($A89="","",SUMIFS(TblCalculs[Coût mensuel],TblCalculs[Cluster],$A89)-SUMIFS(TblCalculs[Sans DR – coût],TblCalculs[Cluster],$A89))</f>
        <v/>
      </c>
      <c r="M89" s="22" t="str">
        <f aca="false">IF($A89="","",SUMIFS(TblCalculs[Coût mensuel],TblCalculs[Cluster],$A89)-SUMIFS(TblCalculs[Sans migration – coût],TblCalculs[Cluster],$A89))</f>
        <v/>
      </c>
      <c r="N89" s="59" t="str">
        <f aca="false">IF($A89="","",INDEX(TblClusters[Environnement],26))</f>
        <v/>
      </c>
    </row>
    <row r="90" customFormat="false" ht="15" hidden="false" customHeight="false" outlineLevel="0" collapsed="false">
      <c r="A90" s="59" t="str">
        <f aca="false">IFERROR(IF(INDEX(TblClusters[Cluster],27)="","",INDEX(TblClusters[Cluster],27)),"")</f>
        <v/>
      </c>
      <c r="B90" s="59" t="str">
        <f aca="false">IF($A90="","",INDEX(TblClusters[Plateforme],27))</f>
        <v/>
      </c>
      <c r="C90" s="59" t="str">
        <f aca="false">IF($A90="","",SUMIFS(TblCalculs[CPU provisionné],TblCalculs[Cluster],$A90,TblCalculs[Idx mois],1))</f>
        <v/>
      </c>
      <c r="D90" s="59" t="str">
        <f aca="false">IF($A90="","",SUMIFS(TblCalculs[CPU provisionné],TblCalculs[Cluster],$A90,TblCalculs[Idx mois],p_horizon))</f>
        <v/>
      </c>
      <c r="E90" s="59" t="str">
        <f aca="false">IF($A90="","",SUMIFS(TblCalculs[RAM provisionnée],TblCalculs[Cluster],$A90,TblCalculs[Idx mois],1))</f>
        <v/>
      </c>
      <c r="F90" s="59" t="str">
        <f aca="false">IF($A90="","",SUMIFS(TblCalculs[RAM provisionnée],TblCalculs[Cluster],$A90,TblCalculs[Idx mois],p_horizon))</f>
        <v/>
      </c>
      <c r="G90" s="59" t="str">
        <f aca="false">IF($A90="","",SUMIFS(TblCalculs[Workers],TblCalculs[Cluster],$A90,TblCalculs[Idx mois],1))</f>
        <v/>
      </c>
      <c r="H90" s="59" t="str">
        <f aca="false">IF($A90="","",SUMIFS(TblCalculs[Workers],TblCalculs[Cluster],$A90,TblCalculs[Idx mois],p_horizon))</f>
        <v/>
      </c>
      <c r="I90" s="59" t="str">
        <f aca="false">IF($A90="","",SUMIFS(TblCalculs[Besoin CPU],TblCalculs[Cluster],$A90,TblCalculs[Idx mois],p_horizon))</f>
        <v/>
      </c>
      <c r="J90" s="59" t="str">
        <f aca="false">IF($A90="","",SUMIFS(TblCalculs[Besoin RAM],TblCalculs[Cluster],$A90,TblCalculs[Idx mois],p_horizon))</f>
        <v/>
      </c>
      <c r="K90" s="22" t="str">
        <f aca="false">IF($A90="","",SUMIFS(TblCalculs[Coût mensuel],TblCalculs[Cluster],$A90))</f>
        <v/>
      </c>
      <c r="L90" s="22" t="str">
        <f aca="false">IF($A90="","",SUMIFS(TblCalculs[Coût mensuel],TblCalculs[Cluster],$A90)-SUMIFS(TblCalculs[Sans DR – coût],TblCalculs[Cluster],$A90))</f>
        <v/>
      </c>
      <c r="M90" s="22" t="str">
        <f aca="false">IF($A90="","",SUMIFS(TblCalculs[Coût mensuel],TblCalculs[Cluster],$A90)-SUMIFS(TblCalculs[Sans migration – coût],TblCalculs[Cluster],$A90))</f>
        <v/>
      </c>
      <c r="N90" s="59" t="str">
        <f aca="false">IF($A90="","",INDEX(TblClusters[Environnement],27))</f>
        <v/>
      </c>
    </row>
    <row r="91" customFormat="false" ht="15" hidden="false" customHeight="false" outlineLevel="0" collapsed="false">
      <c r="A91" s="59" t="str">
        <f aca="false">IFERROR(IF(INDEX(TblClusters[Cluster],28)="","",INDEX(TblClusters[Cluster],28)),"")</f>
        <v/>
      </c>
      <c r="B91" s="59" t="str">
        <f aca="false">IF($A91="","",INDEX(TblClusters[Plateforme],28))</f>
        <v/>
      </c>
      <c r="C91" s="59" t="str">
        <f aca="false">IF($A91="","",SUMIFS(TblCalculs[CPU provisionné],TblCalculs[Cluster],$A91,TblCalculs[Idx mois],1))</f>
        <v/>
      </c>
      <c r="D91" s="59" t="str">
        <f aca="false">IF($A91="","",SUMIFS(TblCalculs[CPU provisionné],TblCalculs[Cluster],$A91,TblCalculs[Idx mois],p_horizon))</f>
        <v/>
      </c>
      <c r="E91" s="59" t="str">
        <f aca="false">IF($A91="","",SUMIFS(TblCalculs[RAM provisionnée],TblCalculs[Cluster],$A91,TblCalculs[Idx mois],1))</f>
        <v/>
      </c>
      <c r="F91" s="59" t="str">
        <f aca="false">IF($A91="","",SUMIFS(TblCalculs[RAM provisionnée],TblCalculs[Cluster],$A91,TblCalculs[Idx mois],p_horizon))</f>
        <v/>
      </c>
      <c r="G91" s="59" t="str">
        <f aca="false">IF($A91="","",SUMIFS(TblCalculs[Workers],TblCalculs[Cluster],$A91,TblCalculs[Idx mois],1))</f>
        <v/>
      </c>
      <c r="H91" s="59" t="str">
        <f aca="false">IF($A91="","",SUMIFS(TblCalculs[Workers],TblCalculs[Cluster],$A91,TblCalculs[Idx mois],p_horizon))</f>
        <v/>
      </c>
      <c r="I91" s="59" t="str">
        <f aca="false">IF($A91="","",SUMIFS(TblCalculs[Besoin CPU],TblCalculs[Cluster],$A91,TblCalculs[Idx mois],p_horizon))</f>
        <v/>
      </c>
      <c r="J91" s="59" t="str">
        <f aca="false">IF($A91="","",SUMIFS(TblCalculs[Besoin RAM],TblCalculs[Cluster],$A91,TblCalculs[Idx mois],p_horizon))</f>
        <v/>
      </c>
      <c r="K91" s="22" t="str">
        <f aca="false">IF($A91="","",SUMIFS(TblCalculs[Coût mensuel],TblCalculs[Cluster],$A91))</f>
        <v/>
      </c>
      <c r="L91" s="22" t="str">
        <f aca="false">IF($A91="","",SUMIFS(TblCalculs[Coût mensuel],TblCalculs[Cluster],$A91)-SUMIFS(TblCalculs[Sans DR – coût],TblCalculs[Cluster],$A91))</f>
        <v/>
      </c>
      <c r="M91" s="22" t="str">
        <f aca="false">IF($A91="","",SUMIFS(TblCalculs[Coût mensuel],TblCalculs[Cluster],$A91)-SUMIFS(TblCalculs[Sans migration – coût],TblCalculs[Cluster],$A91))</f>
        <v/>
      </c>
      <c r="N91" s="59" t="str">
        <f aca="false">IF($A91="","",INDEX(TblClusters[Environnement],28))</f>
        <v/>
      </c>
    </row>
    <row r="92" customFormat="false" ht="15" hidden="false" customHeight="false" outlineLevel="0" collapsed="false">
      <c r="A92" s="59" t="str">
        <f aca="false">IFERROR(IF(INDEX(TblClusters[Cluster],29)="","",INDEX(TblClusters[Cluster],29)),"")</f>
        <v/>
      </c>
      <c r="B92" s="59" t="str">
        <f aca="false">IF($A92="","",INDEX(TblClusters[Plateforme],29))</f>
        <v/>
      </c>
      <c r="C92" s="59" t="str">
        <f aca="false">IF($A92="","",SUMIFS(TblCalculs[CPU provisionné],TblCalculs[Cluster],$A92,TblCalculs[Idx mois],1))</f>
        <v/>
      </c>
      <c r="D92" s="59" t="str">
        <f aca="false">IF($A92="","",SUMIFS(TblCalculs[CPU provisionné],TblCalculs[Cluster],$A92,TblCalculs[Idx mois],p_horizon))</f>
        <v/>
      </c>
      <c r="E92" s="59" t="str">
        <f aca="false">IF($A92="","",SUMIFS(TblCalculs[RAM provisionnée],TblCalculs[Cluster],$A92,TblCalculs[Idx mois],1))</f>
        <v/>
      </c>
      <c r="F92" s="59" t="str">
        <f aca="false">IF($A92="","",SUMIFS(TblCalculs[RAM provisionnée],TblCalculs[Cluster],$A92,TblCalculs[Idx mois],p_horizon))</f>
        <v/>
      </c>
      <c r="G92" s="59" t="str">
        <f aca="false">IF($A92="","",SUMIFS(TblCalculs[Workers],TblCalculs[Cluster],$A92,TblCalculs[Idx mois],1))</f>
        <v/>
      </c>
      <c r="H92" s="59" t="str">
        <f aca="false">IF($A92="","",SUMIFS(TblCalculs[Workers],TblCalculs[Cluster],$A92,TblCalculs[Idx mois],p_horizon))</f>
        <v/>
      </c>
      <c r="I92" s="59" t="str">
        <f aca="false">IF($A92="","",SUMIFS(TblCalculs[Besoin CPU],TblCalculs[Cluster],$A92,TblCalculs[Idx mois],p_horizon))</f>
        <v/>
      </c>
      <c r="J92" s="59" t="str">
        <f aca="false">IF($A92="","",SUMIFS(TblCalculs[Besoin RAM],TblCalculs[Cluster],$A92,TblCalculs[Idx mois],p_horizon))</f>
        <v/>
      </c>
      <c r="K92" s="22" t="str">
        <f aca="false">IF($A92="","",SUMIFS(TblCalculs[Coût mensuel],TblCalculs[Cluster],$A92))</f>
        <v/>
      </c>
      <c r="L92" s="22" t="str">
        <f aca="false">IF($A92="","",SUMIFS(TblCalculs[Coût mensuel],TblCalculs[Cluster],$A92)-SUMIFS(TblCalculs[Sans DR – coût],TblCalculs[Cluster],$A92))</f>
        <v/>
      </c>
      <c r="M92" s="22" t="str">
        <f aca="false">IF($A92="","",SUMIFS(TblCalculs[Coût mensuel],TblCalculs[Cluster],$A92)-SUMIFS(TblCalculs[Sans migration – coût],TblCalculs[Cluster],$A92))</f>
        <v/>
      </c>
      <c r="N92" s="59" t="str">
        <f aca="false">IF($A92="","",INDEX(TblClusters[Environnement],29))</f>
        <v/>
      </c>
    </row>
    <row r="93" customFormat="false" ht="15" hidden="false" customHeight="false" outlineLevel="0" collapsed="false">
      <c r="A93" s="59" t="str">
        <f aca="false">IFERROR(IF(INDEX(TblClusters[Cluster],30)="","",INDEX(TblClusters[Cluster],30)),"")</f>
        <v/>
      </c>
      <c r="B93" s="59" t="str">
        <f aca="false">IF($A93="","",INDEX(TblClusters[Plateforme],30))</f>
        <v/>
      </c>
      <c r="C93" s="59" t="str">
        <f aca="false">IF($A93="","",SUMIFS(TblCalculs[CPU provisionné],TblCalculs[Cluster],$A93,TblCalculs[Idx mois],1))</f>
        <v/>
      </c>
      <c r="D93" s="59" t="str">
        <f aca="false">IF($A93="","",SUMIFS(TblCalculs[CPU provisionné],TblCalculs[Cluster],$A93,TblCalculs[Idx mois],p_horizon))</f>
        <v/>
      </c>
      <c r="E93" s="59" t="str">
        <f aca="false">IF($A93="","",SUMIFS(TblCalculs[RAM provisionnée],TblCalculs[Cluster],$A93,TblCalculs[Idx mois],1))</f>
        <v/>
      </c>
      <c r="F93" s="59" t="str">
        <f aca="false">IF($A93="","",SUMIFS(TblCalculs[RAM provisionnée],TblCalculs[Cluster],$A93,TblCalculs[Idx mois],p_horizon))</f>
        <v/>
      </c>
      <c r="G93" s="59" t="str">
        <f aca="false">IF($A93="","",SUMIFS(TblCalculs[Workers],TblCalculs[Cluster],$A93,TblCalculs[Idx mois],1))</f>
        <v/>
      </c>
      <c r="H93" s="59" t="str">
        <f aca="false">IF($A93="","",SUMIFS(TblCalculs[Workers],TblCalculs[Cluster],$A93,TblCalculs[Idx mois],p_horizon))</f>
        <v/>
      </c>
      <c r="I93" s="59" t="str">
        <f aca="false">IF($A93="","",SUMIFS(TblCalculs[Besoin CPU],TblCalculs[Cluster],$A93,TblCalculs[Idx mois],p_horizon))</f>
        <v/>
      </c>
      <c r="J93" s="59" t="str">
        <f aca="false">IF($A93="","",SUMIFS(TblCalculs[Besoin RAM],TblCalculs[Cluster],$A93,TblCalculs[Idx mois],p_horizon))</f>
        <v/>
      </c>
      <c r="K93" s="22" t="str">
        <f aca="false">IF($A93="","",SUMIFS(TblCalculs[Coût mensuel],TblCalculs[Cluster],$A93))</f>
        <v/>
      </c>
      <c r="L93" s="22" t="str">
        <f aca="false">IF($A93="","",SUMIFS(TblCalculs[Coût mensuel],TblCalculs[Cluster],$A93)-SUMIFS(TblCalculs[Sans DR – coût],TblCalculs[Cluster],$A93))</f>
        <v/>
      </c>
      <c r="M93" s="22" t="str">
        <f aca="false">IF($A93="","",SUMIFS(TblCalculs[Coût mensuel],TblCalculs[Cluster],$A93)-SUMIFS(TblCalculs[Sans migration – coût],TblCalculs[Cluster],$A93))</f>
        <v/>
      </c>
      <c r="N93" s="59" t="str">
        <f aca="false">IF($A93="","",INDEX(TblClusters[Environnement],30))</f>
        <v/>
      </c>
    </row>
  </sheetData>
  <mergeCells count="5">
    <mergeCell ref="G10:J10"/>
    <mergeCell ref="G11:J11"/>
    <mergeCell ref="G12:J12"/>
    <mergeCell ref="G13:J13"/>
    <mergeCell ref="G14:J14"/>
  </mergeCells>
  <conditionalFormatting sqref="C16:C17">
    <cfRule type="expression" priority="2" aboveAverage="0" equalAverage="0" bottom="0" percent="0" rank="0" text="" dxfId="10">
      <formula>$C$16&gt;0</formula>
    </cfRule>
    <cfRule type="expression" priority="3" aboveAverage="0" equalAverage="0" bottom="0" percent="0" rank="0" text="" dxfId="9">
      <formula>$C$16=0</formula>
    </cfRule>
  </conditionalFormatting>
  <conditionalFormatting sqref="F10">
    <cfRule type="expression" priority="4" aboveAverage="0" equalAverage="0" bottom="0" percent="0" rank="0" text="" dxfId="12">
      <formula>$F$10&gt;0</formula>
    </cfRule>
  </conditionalFormatting>
  <conditionalFormatting sqref="F11">
    <cfRule type="expression" priority="5" aboveAverage="0" equalAverage="0" bottom="0" percent="0" rank="0" text="" dxfId="12">
      <formula>$F$11&gt;0</formula>
    </cfRule>
  </conditionalFormatting>
  <conditionalFormatting sqref="F12">
    <cfRule type="expression" priority="6" aboveAverage="0" equalAverage="0" bottom="0" percent="0" rank="0" text="" dxfId="12">
      <formula>$F$12&gt;0</formula>
    </cfRule>
  </conditionalFormatting>
  <conditionalFormatting sqref="F13">
    <cfRule type="expression" priority="7" aboveAverage="0" equalAverage="0" bottom="0" percent="0" rank="0" text="" dxfId="12">
      <formula>$F$13&gt;0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0"/>
  </cols>
  <sheetData>
    <row r="1" customFormat="false" ht="17.35" hidden="false" customHeight="false" outlineLevel="0" collapsed="false">
      <c r="A1" s="64" t="s">
        <v>164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72" t="s">
        <v>166</v>
      </c>
    </row>
    <row r="5" customFormat="false" ht="15" hidden="false" customHeight="false" outlineLevel="0" collapsed="false">
      <c r="B5" s="73" t="s">
        <v>167</v>
      </c>
    </row>
    <row r="6" customFormat="false" ht="15" hidden="false" customHeight="false" outlineLevel="0" collapsed="false">
      <c r="B6" s="73" t="s">
        <v>168</v>
      </c>
    </row>
    <row r="7" customFormat="false" ht="15" hidden="false" customHeight="false" outlineLevel="0" collapsed="false">
      <c r="A7" s="72" t="s">
        <v>169</v>
      </c>
    </row>
    <row r="8" customFormat="false" ht="15" hidden="false" customHeight="false" outlineLevel="0" collapsed="false">
      <c r="B8" s="73" t="s">
        <v>170</v>
      </c>
    </row>
    <row r="9" customFormat="false" ht="15" hidden="false" customHeight="false" outlineLevel="0" collapsed="false">
      <c r="A9" s="72" t="s">
        <v>171</v>
      </c>
    </row>
    <row r="10" customFormat="false" ht="15" hidden="false" customHeight="false" outlineLevel="0" collapsed="false">
      <c r="B10" s="73" t="s">
        <v>172</v>
      </c>
    </row>
    <row r="11" customFormat="false" ht="15" hidden="false" customHeight="false" outlineLevel="0" collapsed="false">
      <c r="B11" s="73" t="s">
        <v>173</v>
      </c>
    </row>
    <row r="12" customFormat="false" ht="15" hidden="false" customHeight="false" outlineLevel="0" collapsed="false">
      <c r="A12" s="72" t="s">
        <v>174</v>
      </c>
    </row>
    <row r="13" customFormat="false" ht="15" hidden="false" customHeight="false" outlineLevel="0" collapsed="false">
      <c r="B13" s="73" t="s">
        <v>175</v>
      </c>
    </row>
    <row r="14" customFormat="false" ht="15" hidden="false" customHeight="false" outlineLevel="0" collapsed="false">
      <c r="B14" s="73" t="s">
        <v>176</v>
      </c>
    </row>
    <row r="15" customFormat="false" ht="15" hidden="false" customHeight="false" outlineLevel="0" collapsed="false">
      <c r="B15" s="73" t="s">
        <v>177</v>
      </c>
    </row>
    <row r="16" customFormat="false" ht="15" hidden="false" customHeight="false" outlineLevel="0" collapsed="false">
      <c r="B16" s="73" t="s">
        <v>178</v>
      </c>
    </row>
    <row r="17" customFormat="false" ht="15" hidden="false" customHeight="false" outlineLevel="0" collapsed="false">
      <c r="B17" s="73" t="s">
        <v>179</v>
      </c>
    </row>
    <row r="18" customFormat="false" ht="15" hidden="false" customHeight="false" outlineLevel="0" collapsed="false">
      <c r="B18" s="73" t="s">
        <v>180</v>
      </c>
    </row>
    <row r="19" customFormat="false" ht="15" hidden="false" customHeight="false" outlineLevel="0" collapsed="false">
      <c r="B19" s="73" t="s">
        <v>181</v>
      </c>
    </row>
    <row r="20" customFormat="false" ht="15" hidden="false" customHeight="false" outlineLevel="0" collapsed="false">
      <c r="B20" s="73" t="s">
        <v>182</v>
      </c>
    </row>
    <row r="21" customFormat="false" ht="15" hidden="false" customHeight="false" outlineLevel="0" collapsed="false">
      <c r="B21" s="73" t="s">
        <v>183</v>
      </c>
    </row>
    <row r="22" customFormat="false" ht="15" hidden="false" customHeight="false" outlineLevel="0" collapsed="false">
      <c r="B22" s="73" t="s">
        <v>184</v>
      </c>
    </row>
    <row r="23" customFormat="false" ht="15" hidden="false" customHeight="false" outlineLevel="0" collapsed="false">
      <c r="B23" s="73" t="s">
        <v>185</v>
      </c>
    </row>
    <row r="24" customFormat="false" ht="15" hidden="false" customHeight="false" outlineLevel="0" collapsed="false">
      <c r="A24" s="72" t="s">
        <v>186</v>
      </c>
    </row>
    <row r="25" customFormat="false" ht="15" hidden="false" customHeight="false" outlineLevel="0" collapsed="false">
      <c r="B25" s="73" t="s">
        <v>187</v>
      </c>
    </row>
    <row r="26" customFormat="false" ht="15" hidden="false" customHeight="false" outlineLevel="0" collapsed="false">
      <c r="B26" s="73" t="s">
        <v>188</v>
      </c>
    </row>
    <row r="27" customFormat="false" ht="15" hidden="false" customHeight="false" outlineLevel="0" collapsed="false">
      <c r="A27" s="72" t="s">
        <v>189</v>
      </c>
    </row>
    <row r="28" customFormat="false" ht="15" hidden="false" customHeight="false" outlineLevel="0" collapsed="false">
      <c r="B28" s="73" t="s">
        <v>190</v>
      </c>
    </row>
    <row r="29" customFormat="false" ht="15" hidden="false" customHeight="false" outlineLevel="0" collapsed="false">
      <c r="B29" s="73" t="s">
        <v>191</v>
      </c>
    </row>
    <row r="30" customFormat="false" ht="15" hidden="false" customHeight="false" outlineLevel="0" collapsed="false">
      <c r="B30" s="73" t="s">
        <v>192</v>
      </c>
    </row>
    <row r="31" customFormat="false" ht="15" hidden="false" customHeight="false" outlineLevel="0" collapsed="false">
      <c r="A31" s="72" t="s">
        <v>193</v>
      </c>
    </row>
    <row r="32" customFormat="false" ht="15" hidden="false" customHeight="false" outlineLevel="0" collapsed="false">
      <c r="B32" s="73" t="s">
        <v>194</v>
      </c>
    </row>
    <row r="33" customFormat="false" ht="15" hidden="false" customHeight="false" outlineLevel="0" collapsed="false">
      <c r="B33" s="73" t="s">
        <v>195</v>
      </c>
    </row>
    <row r="34" customFormat="false" ht="15" hidden="false" customHeight="false" outlineLevel="0" collapsed="false">
      <c r="B34" s="73" t="s">
        <v>196</v>
      </c>
    </row>
    <row r="35" customFormat="false" ht="15" hidden="false" customHeight="false" outlineLevel="0" collapsed="false">
      <c r="B35" s="73" t="s">
        <v>197</v>
      </c>
    </row>
    <row r="36" customFormat="false" ht="15" hidden="false" customHeight="false" outlineLevel="0" collapsed="false">
      <c r="B36" s="73" t="s">
        <v>198</v>
      </c>
    </row>
    <row r="37" customFormat="false" ht="15" hidden="false" customHeight="false" outlineLevel="0" collapsed="false">
      <c r="B37" s="73" t="s">
        <v>199</v>
      </c>
    </row>
    <row r="38" customFormat="false" ht="15" hidden="false" customHeight="false" outlineLevel="0" collapsed="false">
      <c r="B38" s="73" t="s">
        <v>200</v>
      </c>
    </row>
    <row r="39" customFormat="false" ht="15" hidden="false" customHeight="false" outlineLevel="0" collapsed="false">
      <c r="B39" s="73" t="s">
        <v>201</v>
      </c>
    </row>
    <row r="40" customFormat="false" ht="15" hidden="false" customHeight="false" outlineLevel="0" collapsed="false">
      <c r="B40" s="73" t="s">
        <v>202</v>
      </c>
    </row>
    <row r="41" customFormat="false" ht="15" hidden="false" customHeight="false" outlineLevel="0" collapsed="false">
      <c r="B41" s="73" t="s">
        <v>203</v>
      </c>
    </row>
    <row r="42" customFormat="false" ht="15" hidden="false" customHeight="false" outlineLevel="0" collapsed="false">
      <c r="B42" s="73" t="s">
        <v>204</v>
      </c>
    </row>
    <row r="43" customFormat="false" ht="15" hidden="false" customHeight="false" outlineLevel="0" collapsed="false">
      <c r="B43" s="73" t="s">
        <v>205</v>
      </c>
    </row>
    <row r="44" customFormat="false" ht="15" hidden="false" customHeight="false" outlineLevel="0" collapsed="false">
      <c r="B44" s="73" t="s">
        <v>206</v>
      </c>
    </row>
    <row r="45" customFormat="false" ht="15" hidden="false" customHeight="false" outlineLevel="0" collapsed="false">
      <c r="B45" s="73" t="s">
        <v>207</v>
      </c>
    </row>
    <row r="46" customFormat="false" ht="15" hidden="false" customHeight="false" outlineLevel="0" collapsed="false">
      <c r="B46" s="73" t="s">
        <v>208</v>
      </c>
    </row>
    <row r="47" customFormat="false" ht="15" hidden="false" customHeight="false" outlineLevel="0" collapsed="false">
      <c r="B47" s="73" t="s">
        <v>209</v>
      </c>
    </row>
    <row r="48" customFormat="false" ht="15" hidden="false" customHeight="false" outlineLevel="0" collapsed="false">
      <c r="A48" s="72" t="s">
        <v>210</v>
      </c>
    </row>
    <row r="49" customFormat="false" ht="15" hidden="false" customHeight="false" outlineLevel="0" collapsed="false">
      <c r="B49" s="73" t="s">
        <v>211</v>
      </c>
    </row>
    <row r="50" customFormat="false" ht="15" hidden="false" customHeight="false" outlineLevel="0" collapsed="false">
      <c r="B50" s="73" t="s">
        <v>212</v>
      </c>
    </row>
    <row r="51" customFormat="false" ht="15" hidden="false" customHeight="false" outlineLevel="0" collapsed="false">
      <c r="B51" s="73" t="s">
        <v>213</v>
      </c>
    </row>
    <row r="52" customFormat="false" ht="15" hidden="false" customHeight="false" outlineLevel="0" collapsed="false">
      <c r="A52" s="72" t="s">
        <v>214</v>
      </c>
    </row>
    <row r="53" customFormat="false" ht="15" hidden="false" customHeight="false" outlineLevel="0" collapsed="false">
      <c r="B53" s="73" t="s">
        <v>215</v>
      </c>
    </row>
    <row r="54" customFormat="false" ht="15" hidden="false" customHeight="false" outlineLevel="0" collapsed="false">
      <c r="B54" s="73" t="s">
        <v>216</v>
      </c>
    </row>
    <row r="55" customFormat="false" ht="15" hidden="false" customHeight="false" outlineLevel="0" collapsed="false">
      <c r="B55" s="73" t="s">
        <v>217</v>
      </c>
    </row>
    <row r="56" customFormat="false" ht="15" hidden="false" customHeight="false" outlineLevel="0" collapsed="false">
      <c r="B56" s="73" t="s">
        <v>218</v>
      </c>
    </row>
    <row r="57" customFormat="false" ht="15" hidden="false" customHeight="false" outlineLevel="0" collapsed="false">
      <c r="B57" s="73" t="s">
        <v>219</v>
      </c>
    </row>
    <row r="58" customFormat="false" ht="15" hidden="false" customHeight="false" outlineLevel="0" collapsed="false">
      <c r="B58" s="73" t="s">
        <v>220</v>
      </c>
    </row>
    <row r="59" customFormat="false" ht="15" hidden="false" customHeight="false" outlineLevel="0" collapsed="false">
      <c r="B59" s="73" t="s">
        <v>221</v>
      </c>
    </row>
    <row r="60" customFormat="false" ht="15" hidden="false" customHeight="false" outlineLevel="0" collapsed="false">
      <c r="B60" s="73" t="s">
        <v>222</v>
      </c>
    </row>
    <row r="62" customFormat="false" ht="15" hidden="false" customHeight="false" outlineLevel="0" collapsed="false">
      <c r="B62" s="74" t="s">
        <v>223</v>
      </c>
    </row>
    <row r="63" customFormat="false" ht="15" hidden="false" customHeight="false" outlineLevel="0" collapsed="false">
      <c r="B63" s="21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10" min="9" style="0" width="14"/>
    <col collapsed="false" customWidth="true" hidden="false" outlineLevel="0" max="12" min="11" style="0" width="10"/>
    <col collapsed="false" customWidth="true" hidden="false" outlineLevel="0" max="13" min="13" style="0" width="15"/>
    <col collapsed="false" customWidth="true" hidden="false" outlineLevel="0" max="15" min="14" style="0" width="10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8"/>
    <col collapsed="false" customWidth="true" hidden="false" outlineLevel="0" max="21" min="20" style="0" width="10"/>
    <col collapsed="false" customWidth="true" hidden="false" outlineLevel="0" max="25" min="22" style="0" width="9"/>
    <col collapsed="false" customWidth="true" hidden="false" outlineLevel="0" max="27" min="26" style="0" width="10"/>
    <col collapsed="false" customWidth="true" hidden="false" outlineLevel="0" max="28" min="28" style="0" width="36"/>
    <col collapsed="false" customWidth="true" hidden="false" outlineLevel="1" max="30" min="29" style="0" width="10"/>
    <col collapsed="false" customWidth="true" hidden="false" outlineLevel="0" max="33" min="31" style="0" width="12"/>
  </cols>
  <sheetData>
    <row r="1" customFormat="false" ht="17.35" hidden="false" customHeight="false" outlineLevel="0" collapsed="false">
      <c r="A1" s="64" t="s">
        <v>225</v>
      </c>
    </row>
    <row r="2" customFormat="false" ht="15" hidden="false" customHeight="false" outlineLevel="0" collapsed="false">
      <c r="A2" s="2" t="s">
        <v>226</v>
      </c>
    </row>
    <row r="3" customFormat="false" ht="15" hidden="false" customHeight="false" outlineLevel="0" collapsed="false">
      <c r="F3" s="13" t="s">
        <v>227</v>
      </c>
      <c r="G3" s="74" t="s">
        <v>228</v>
      </c>
      <c r="H3" s="21" t="s">
        <v>229</v>
      </c>
    </row>
    <row r="5" customFormat="false" ht="45" hidden="false" customHeight="true" outlineLevel="0" collapsed="false">
      <c r="A5" s="20" t="s">
        <v>20</v>
      </c>
      <c r="B5" s="20" t="s">
        <v>19</v>
      </c>
      <c r="C5" s="20" t="s">
        <v>57</v>
      </c>
      <c r="D5" s="20" t="s">
        <v>58</v>
      </c>
      <c r="E5" s="20" t="s">
        <v>26</v>
      </c>
      <c r="F5" s="20" t="s">
        <v>60</v>
      </c>
      <c r="G5" s="20" t="s">
        <v>61</v>
      </c>
      <c r="H5" s="20" t="s">
        <v>230</v>
      </c>
      <c r="I5" s="20" t="s">
        <v>231</v>
      </c>
      <c r="J5" s="20" t="s">
        <v>232</v>
      </c>
      <c r="K5" s="20" t="s">
        <v>233</v>
      </c>
      <c r="L5" s="20" t="s">
        <v>234</v>
      </c>
      <c r="M5" s="20" t="s">
        <v>235</v>
      </c>
      <c r="N5" s="20" t="s">
        <v>236</v>
      </c>
      <c r="O5" s="20" t="s">
        <v>237</v>
      </c>
      <c r="P5" s="20" t="s">
        <v>238</v>
      </c>
      <c r="Q5" s="20" t="s">
        <v>239</v>
      </c>
      <c r="R5" s="20" t="s">
        <v>240</v>
      </c>
      <c r="S5" s="20" t="s">
        <v>241</v>
      </c>
      <c r="T5" s="20" t="s">
        <v>242</v>
      </c>
      <c r="U5" s="20" t="s">
        <v>243</v>
      </c>
      <c r="V5" s="20" t="s">
        <v>244</v>
      </c>
      <c r="W5" s="20" t="s">
        <v>245</v>
      </c>
      <c r="X5" s="20" t="s">
        <v>246</v>
      </c>
      <c r="Y5" s="20" t="s">
        <v>247</v>
      </c>
      <c r="Z5" s="20" t="s">
        <v>248</v>
      </c>
      <c r="AA5" s="20" t="s">
        <v>249</v>
      </c>
      <c r="AB5" s="20" t="s">
        <v>250</v>
      </c>
      <c r="AC5" s="20" t="s">
        <v>251</v>
      </c>
      <c r="AD5" s="20" t="s">
        <v>252</v>
      </c>
      <c r="AE5" s="20" t="s">
        <v>253</v>
      </c>
      <c r="AF5" s="20" t="s">
        <v>254</v>
      </c>
      <c r="AG5" s="20" t="s">
        <v>255</v>
      </c>
      <c r="AH5" s="20" t="s">
        <v>256</v>
      </c>
      <c r="AI5" s="20" t="s">
        <v>257</v>
      </c>
      <c r="AJ5" s="20" t="s">
        <v>258</v>
      </c>
    </row>
    <row r="6" customFormat="false" ht="15" hidden="false" customHeight="false" outlineLevel="0" collapsed="false">
      <c r="A6" s="74" t="s">
        <v>259</v>
      </c>
      <c r="B6" s="74" t="s">
        <v>260</v>
      </c>
      <c r="C6" s="74" t="s">
        <v>261</v>
      </c>
      <c r="D6" s="74" t="s">
        <v>262</v>
      </c>
      <c r="E6" s="74" t="s">
        <v>40</v>
      </c>
      <c r="F6" s="74" t="s">
        <v>263</v>
      </c>
      <c r="G6" s="74" t="s">
        <v>29</v>
      </c>
      <c r="H6" s="74" t="s">
        <v>264</v>
      </c>
      <c r="I6" s="74" t="s">
        <v>265</v>
      </c>
      <c r="J6" s="74" t="s">
        <v>266</v>
      </c>
      <c r="K6" s="74" t="n">
        <v>8</v>
      </c>
      <c r="L6" s="74" t="n">
        <v>40</v>
      </c>
      <c r="M6" s="74" t="s">
        <v>267</v>
      </c>
      <c r="N6" s="74" t="n">
        <v>16</v>
      </c>
      <c r="O6" s="74" t="n">
        <v>64</v>
      </c>
      <c r="P6" s="75" t="n">
        <v>46388</v>
      </c>
      <c r="Q6" s="75" t="n">
        <v>46388</v>
      </c>
      <c r="R6" s="75" t="n">
        <v>46419</v>
      </c>
      <c r="S6" s="74" t="s">
        <v>268</v>
      </c>
      <c r="T6" s="21" t="n">
        <f aca="false">IF(OR($C6="",NOT(OR($G6="À migrer",$G6="Migré")),NOT(ISNUMBER($K6))),"",ROUNDUP($K6*(1+IF($AC6="",p_margeCPU,$AC6)),0))</f>
        <v>10</v>
      </c>
      <c r="U6" s="21" t="n">
        <f aca="false">IF(OR($C6="",NOT(OR($G6="À migrer",$G6="Migré")),NOT(ISNUMBER($L6))),"",ROUNDUP($L6*(1+IF($AD6="",p_margeRAM,$AD6)),0))</f>
        <v>48</v>
      </c>
      <c r="V6" s="39" t="n">
        <f aca="false">IF(OR(NOT($G6="À migrer"),$P6=""),"",IFERROR(DATE(YEAR($P6),MONTH($P6),1),""))</f>
        <v>46388</v>
      </c>
      <c r="W6" s="39" t="n">
        <f aca="false">IF(OR(NOT(OR($G6="À migrer",$G6="À décommissionner")),$R6=""),"",IFERROR(DATE(YEAR($R6),MONTH($R6),1),""))</f>
        <v>46419</v>
      </c>
      <c r="X6" s="21" t="n">
        <f aca="false">IF(OR($V6="",$W6=""),"",MAX(0,(YEAR($W6)-YEAR($V6))*12+MONTH($W6)-MONTH($V6)))</f>
        <v>1</v>
      </c>
      <c r="Y6" s="21" t="n">
        <f aca="false">IF($C6="","",COUNTIF(TblApplications[ID],$C6))</f>
        <v>3</v>
      </c>
      <c r="Z6" s="39" t="n">
        <f aca="false">IF($C6="","",IFERROR(1/(1/_xlfn.MINIFS(TblApplications[Mois prov (calc)],TblApplications[ID],$C6)),""))</f>
        <v>46388</v>
      </c>
      <c r="AA6" s="39" t="n">
        <f aca="false">IF($C6="","",IFERROR(1/(1/_xlfn.MAXIFS(TblApplications[Mois lib (calc)],TblApplications[ID],$C6)),""))</f>
        <v>46569</v>
      </c>
      <c r="AB6" s="21" t="str">
        <f aca="false">IF($C6="","",IF(OR(OR($A6="",$B6="",$D6="",$E6="",$F6="",$G6=""),AND($G6="À migrer",OR($H6="",$I6="",$J6="",$K6="",$L6="",$N6="",$O6="",$P6="",$Q6="",$R6="")),AND($G6="Migré",OR($J6="",$K6="",$L6="")),AND($G6="À décommissionner",OR($I6="",$N6="",$O6="",$R6=""))),"Données manquantes (selon l’action)",IF(AND($G6&lt;&gt;"Migré",$G6&lt;&gt;"À migrer",$G6&lt;&gt;"À décommissionner",$G6&lt;&gt;"Décommissionné"),"Action invalide",IF(COUNTIF(TblDomaines[Domaine],$A6)=0,"Domaine inconnu (référentiel)",IF(COUNTIFS(TblTribes[Tribe],$B6,TblTribes[Domaine de la tribe],$A6)=0,"Tribe inconnue ou hors domaine",IF(AND($G6="À migrer",$H6&lt;&gt;"Oui",$H6&lt;&gt;"Non"),"Valeur Oui/Non invalide (Déjà incluse ROKS)",IF(AND($E6&lt;&gt;"PRD",$E6&lt;&gt;"NPRD"),"Environnement invalide",IF(COUNTIFS(TblApplications[ID],$C6,TblApplications[Environnement],$E6,TblApplications[Couloir],$F6)&gt;1,"Déploiement en doublon (ID + env + couloir)",IF(OR(AND($K6&lt;&gt;"",NOT(ISNUMBER($K6))),AND($L6&lt;&gt;"",NOT(ISNUMBER($L6))),AND($N6&lt;&gt;"",NOT(ISNUMBER($N6))),AND($O6&lt;&gt;"",NOT(ISNUMBER($O6)))),"Ressource non numérique",IF(MIN(N($K6),N($L6),N($N6),N($O6))&lt;0,"Ressource négative",IF(OR(AND($AC6&lt;&gt;"",OR(NOT(ISNUMBER($AC6)),$AC6&lt;0,$AC6&gt;1)),AND($AD6&lt;&gt;"",OR(NOT(ISNUMBER($AD6)),$AD6&lt;0,$AD6&gt;1))),"Marge spécifique invalide (0–100 %)",IF(OR(AND($P6&lt;&gt;"",NOT(ISNUMBER($P6))),AND($Q6&lt;&gt;"",NOT(ISNUMBER($Q6))),AND($R6&lt;&gt;"",NOT(ISNUMBER($R6)))),"Mois invalide",IF(AND(OR($G6="À migrer",$G6="À décommissionner"),COUNTIFS(TblClusters[Cluster],$I6,TblClusters[Plateforme],"IKS")=0),"Cluster IKS inconnu",IF(AND(OR($G6="À migrer",$G6="Migré"),COUNTIFS(TblClusters[Cluster],$J6,TblClusters[Plateforme],"ROKS")=0),"Cluster ROKS inconnu",IF(AND(OR($G6="À migrer",$G6="À décommissionner"),COUNTIFS(TblClusters[Cluster],$I6,TblClusters[Environnement],$E6)=0),"Environnement ≠ cluster IKS",IF(AND(OR($G6="À migrer",$G6="Migré"),COUNTIFS(TblClusters[Cluster],$J6,TblClusters[Environnement],$E6)=0),"Environnement ≠ cluster ROKS",IF(AND($G6="À migrer",OR($P6&gt;$Q6,$Q6&gt;$R6)),"Dates incohérentes (prov ≤ bascule ≤ libération)",IF(AND(OR($G6="À migrer",$G6="À décommissionner"),OR(N($N6)&gt;SUMIFS(TblClusters[CPU initial (vCPU)],TblClusters[Cluster],$I6),N($O6)&gt;SUMIFS(TblClusters[RAM initiale (Go)],TblClusters[Cluster],$I6))),"Libération &gt; capacité du cluster source",IF(OR(AND($V6&lt;&gt;"",$V6&lt;p_debut),AND($W6&lt;&gt;"",$W6&gt;p_fin)),"Hors horizon (info)",IF(AND($G6="À migrer",$E6="PRD",COUNTIFS(TblApplications[ID],$C6,TblApplications[Environnement],"NPRD",TblApplications[Action],"À migrer")&gt;0,$V6&lt;_xlfn.MINIFS(TblApplications[Mois prov (calc)],TblApplications[ID],$C6,TblApplications[Environnement],"NPRD")),"PRD avant NPRD (info)","OK"))))))))))))))))))))</f>
        <v>OK</v>
      </c>
      <c r="AC6" s="76"/>
      <c r="AD6" s="76"/>
      <c r="AE6" s="22" t="n">
        <f aca="false">IF(OR($C6="",NOT(OR($G6="À migrer",$G6="À décommissionner")),NOT(ISNUMBER($N6)),NOT(ISNUMBER($O6)),$W6=""),"",($N6+p_poidsram*$O6)*SUMIFS(TblCalculs[Coût par unité],TblCalculs[Cluster],$I6,TblCalculs[Mois],"&lt;"&amp;$W6))</f>
        <v>2124</v>
      </c>
      <c r="AF6" s="22" t="n">
        <f aca="false">IF($C6="","",IF(AND($G6="À migrer",$H6="Non",$T6&lt;&gt;"",$V6&lt;&gt;""),($T6+p_poidsram*$U6)*SUMIFS(TblCalculs[Coût par unité],TblCalculs[Cluster],$J6,TblCalculs[Mois],"&gt;="&amp;$V6),IF(AND($G6="Migré",$T6&lt;&gt;""),($T6+p_poidsram*$U6)*SUMIFS(TblCalculs[Coût par unité],TblCalculs[Cluster],$J6),"")))</f>
        <v>16118.2867746646</v>
      </c>
      <c r="AG6" s="22" t="n">
        <f aca="false">IF($C6="","",N($AE6)+N($AF6))</f>
        <v>18242.2867746646</v>
      </c>
      <c r="AH6" s="21" t="n">
        <f aca="false">IF(OR($C6="",$G6="Décommissionné",COUNTIFS($E6,av_envc,$A6,av_domc,$B6,av_tric)=0),"",COUNTIFS($C$6:$C6,"&lt;&gt;",$G$6:$G6,"&lt;&gt;Décommissionné",$E$6:$E6,av_envc,$A$6:$A6,av_domc,$B$6:$B6,av_tric))</f>
        <v>1</v>
      </c>
      <c r="AI6" s="21" t="n">
        <f aca="false">IF($C6="","",IF(AND(OR($G6="À migrer",$G6="À décommissionner"),$W6&lt;&gt;"",$W6&gt;ex_mois),1,0))</f>
        <v>0</v>
      </c>
      <c r="AJ6" s="21" t="str">
        <f aca="false">IF(OR($C6="",$AI6&lt;&gt;1,COUNTIFS($E6,ex_envc,$A6,ex_domc,$B6,ex_tric)=0),"",COUNTIFS($AI$6:$AI6,1,$E$6:$E6,ex_envc,$A$6:$A6,ex_domc,$B$6:$B6,ex_tric))</f>
        <v/>
      </c>
    </row>
    <row r="7" customFormat="false" ht="15" hidden="false" customHeight="false" outlineLevel="0" collapsed="false">
      <c r="A7" s="74" t="s">
        <v>259</v>
      </c>
      <c r="B7" s="74" t="s">
        <v>260</v>
      </c>
      <c r="C7" s="74" t="s">
        <v>261</v>
      </c>
      <c r="D7" s="74" t="s">
        <v>262</v>
      </c>
      <c r="E7" s="74" t="s">
        <v>40</v>
      </c>
      <c r="F7" s="74" t="s">
        <v>269</v>
      </c>
      <c r="G7" s="74" t="s">
        <v>29</v>
      </c>
      <c r="H7" s="74" t="s">
        <v>264</v>
      </c>
      <c r="I7" s="74" t="s">
        <v>265</v>
      </c>
      <c r="J7" s="74" t="s">
        <v>266</v>
      </c>
      <c r="K7" s="74" t="n">
        <v>12</v>
      </c>
      <c r="L7" s="74" t="n">
        <v>60</v>
      </c>
      <c r="M7" s="74" t="s">
        <v>267</v>
      </c>
      <c r="N7" s="74" t="n">
        <v>32</v>
      </c>
      <c r="O7" s="74" t="n">
        <v>128</v>
      </c>
      <c r="P7" s="75" t="n">
        <v>46388</v>
      </c>
      <c r="Q7" s="75" t="n">
        <v>46419</v>
      </c>
      <c r="R7" s="75" t="n">
        <v>46447</v>
      </c>
      <c r="S7" s="74" t="s">
        <v>268</v>
      </c>
      <c r="T7" s="21" t="n">
        <f aca="false">IF(OR($C7="",NOT(OR($G7="À migrer",$G7="Migré")),NOT(ISNUMBER($K7))),"",ROUNDUP($K7*(1+IF($AC7="",p_margeCPU,$AC7)),0))</f>
        <v>15</v>
      </c>
      <c r="U7" s="21" t="n">
        <f aca="false">IF(OR($C7="",NOT(OR($G7="À migrer",$G7="Migré")),NOT(ISNUMBER($L7))),"",ROUNDUP($L7*(1+IF($AD7="",p_margeRAM,$AD7)),0))</f>
        <v>72</v>
      </c>
      <c r="V7" s="39" t="n">
        <f aca="false">IF(OR(NOT($G7="À migrer"),$P7=""),"",IFERROR(DATE(YEAR($P7),MONTH($P7),1),""))</f>
        <v>46388</v>
      </c>
      <c r="W7" s="39" t="n">
        <f aca="false">IF(OR(NOT(OR($G7="À migrer",$G7="À décommissionner")),$R7=""),"",IFERROR(DATE(YEAR($R7),MONTH($R7),1),""))</f>
        <v>46447</v>
      </c>
      <c r="X7" s="21" t="n">
        <f aca="false">IF(OR($V7="",$W7=""),"",MAX(0,(YEAR($W7)-YEAR($V7))*12+MONTH($W7)-MONTH($V7)))</f>
        <v>2</v>
      </c>
      <c r="Y7" s="21" t="n">
        <f aca="false">IF($C7="","",COUNTIF(TblApplications[ID],$C7))</f>
        <v>3</v>
      </c>
      <c r="Z7" s="39" t="n">
        <f aca="false">IF($C7="","",IFERROR(1/(1/_xlfn.MINIFS(TblApplications[Mois prov (calc)],TblApplications[ID],$C7)),""))</f>
        <v>46388</v>
      </c>
      <c r="AA7" s="39" t="n">
        <f aca="false">IF($C7="","",IFERROR(1/(1/_xlfn.MAXIFS(TblApplications[Mois lib (calc)],TblApplications[ID],$C7)),""))</f>
        <v>46569</v>
      </c>
      <c r="AB7" s="21" t="str">
        <f aca="false">IF($C7="","",IF(OR(OR($A7="",$B7="",$D7="",$E7="",$F7="",$G7=""),AND($G7="À migrer",OR($H7="",$I7="",$J7="",$K7="",$L7="",$N7="",$O7="",$P7="",$Q7="",$R7="")),AND($G7="Migré",OR($J7="",$K7="",$L7="")),AND($G7="À décommissionner",OR($I7="",$N7="",$O7="",$R7=""))),"Données manquantes (selon l’action)",IF(AND($G7&lt;&gt;"Migré",$G7&lt;&gt;"À migrer",$G7&lt;&gt;"À décommissionner",$G7&lt;&gt;"Décommissionné"),"Action invalide",IF(COUNTIF(TblDomaines[Domaine],$A7)=0,"Domaine inconnu (référentiel)",IF(COUNTIFS(TblTribes[Tribe],$B7,TblTribes[Domaine de la tribe],$A7)=0,"Tribe inconnue ou hors domaine",IF(AND($G7="À migrer",$H7&lt;&gt;"Oui",$H7&lt;&gt;"Non"),"Valeur Oui/Non invalide (Déjà incluse ROKS)",IF(AND($E7&lt;&gt;"PRD",$E7&lt;&gt;"NPRD"),"Environnement invalide",IF(COUNTIFS(TblApplications[ID],$C7,TblApplications[Environnement],$E7,TblApplications[Couloir],$F7)&gt;1,"Déploiement en doublon (ID + env + couloir)",IF(OR(AND($K7&lt;&gt;"",NOT(ISNUMBER($K7))),AND($L7&lt;&gt;"",NOT(ISNUMBER($L7))),AND($N7&lt;&gt;"",NOT(ISNUMBER($N7))),AND($O7&lt;&gt;"",NOT(ISNUMBER($O7)))),"Ressource non numérique",IF(MIN(N($K7),N($L7),N($N7),N($O7))&lt;0,"Ressource négative",IF(OR(AND($AC7&lt;&gt;"",OR(NOT(ISNUMBER($AC7)),$AC7&lt;0,$AC7&gt;1)),AND($AD7&lt;&gt;"",OR(NOT(ISNUMBER($AD7)),$AD7&lt;0,$AD7&gt;1))),"Marge spécifique invalide (0–100 %)",IF(OR(AND($P7&lt;&gt;"",NOT(ISNUMBER($P7))),AND($Q7&lt;&gt;"",NOT(ISNUMBER($Q7))),AND($R7&lt;&gt;"",NOT(ISNUMBER($R7)))),"Mois invalide",IF(AND(OR($G7="À migrer",$G7="À décommissionner"),COUNTIFS(TblClusters[Cluster],$I7,TblClusters[Plateforme],"IKS")=0),"Cluster IKS inconnu",IF(AND(OR($G7="À migrer",$G7="Migré"),COUNTIFS(TblClusters[Cluster],$J7,TblClusters[Plateforme],"ROKS")=0),"Cluster ROKS inconnu",IF(AND(OR($G7="À migrer",$G7="À décommissionner"),COUNTIFS(TblClusters[Cluster],$I7,TblClusters[Environnement],$E7)=0),"Environnement ≠ cluster IKS",IF(AND(OR($G7="À migrer",$G7="Migré"),COUNTIFS(TblClusters[Cluster],$J7,TblClusters[Environnement],$E7)=0),"Environnement ≠ cluster ROKS",IF(AND($G7="À migrer",OR($P7&gt;$Q7,$Q7&gt;$R7)),"Dates incohérentes (prov ≤ bascule ≤ libération)",IF(AND(OR($G7="À migrer",$G7="À décommissionner"),OR(N($N7)&gt;SUMIFS(TblClusters[CPU initial (vCPU)],TblClusters[Cluster],$I7),N($O7)&gt;SUMIFS(TblClusters[RAM initiale (Go)],TblClusters[Cluster],$I7))),"Libération &gt; capacité du cluster source",IF(OR(AND($V7&lt;&gt;"",$V7&lt;p_debut),AND($W7&lt;&gt;"",$W7&gt;p_fin)),"Hors horizon (info)",IF(AND($G7="À migrer",$E7="PRD",COUNTIFS(TblApplications[ID],$C7,TblApplications[Environnement],"NPRD",TblApplications[Action],"À migrer")&gt;0,$V7&lt;_xlfn.MINIFS(TblApplications[Mois prov (calc)],TblApplications[ID],$C7,TblApplications[Environnement],"NPRD")),"PRD avant NPRD (info)","OK"))))))))))))))))))))</f>
        <v>OK</v>
      </c>
      <c r="AC7" s="76"/>
      <c r="AD7" s="76"/>
      <c r="AE7" s="22" t="n">
        <f aca="false">IF(OR($C7="",NOT(OR($G7="À migrer",$G7="À décommissionner")),NOT(ISNUMBER($N7)),NOT(ISNUMBER($O7)),$W7=""),"",($N7+p_poidsram*$O7)*SUMIFS(TblCalculs[Coût par unité],TblCalculs[Cluster],$I7,TblCalculs[Mois],"&lt;"&amp;$W7))</f>
        <v>5310</v>
      </c>
      <c r="AF7" s="22" t="n">
        <f aca="false">IF($C7="","",IF(AND($G7="À migrer",$H7="Non",$T7&lt;&gt;"",$V7&lt;&gt;""),($T7+p_poidsram*$U7)*SUMIFS(TblCalculs[Coût par unité],TblCalculs[Cluster],$J7,TblCalculs[Mois],"&gt;="&amp;$V7),IF(AND($G7="Migré",$T7&lt;&gt;""),($T7+p_poidsram*$U7)*SUMIFS(TblCalculs[Coût par unité],TblCalculs[Cluster],$J7),"")))</f>
        <v>24177.4301619969</v>
      </c>
      <c r="AG7" s="22" t="n">
        <f aca="false">IF($C7="","",N($AE7)+N($AF7))</f>
        <v>29487.4301619969</v>
      </c>
      <c r="AH7" s="21" t="n">
        <f aca="false">IF(OR($C7="",$G7="Décommissionné",COUNTIFS($E7,av_envc,$A7,av_domc,$B7,av_tric)=0),"",COUNTIFS($C$6:$C7,"&lt;&gt;",$G$6:$G7,"&lt;&gt;Décommissionné",$E$6:$E7,av_envc,$A$6:$A7,av_domc,$B$6:$B7,av_tric))</f>
        <v>2</v>
      </c>
      <c r="AI7" s="21" t="n">
        <f aca="false">IF($C7="","",IF(AND(OR($G7="À migrer",$G7="À décommissionner"),$W7&lt;&gt;"",$W7&gt;ex_mois),1,0))</f>
        <v>0</v>
      </c>
      <c r="AJ7" s="21" t="str">
        <f aca="false">IF(OR($C7="",$AI7&lt;&gt;1,COUNTIFS($E7,ex_envc,$A7,ex_domc,$B7,ex_tric)=0),"",COUNTIFS($AI$6:$AI7,1,$E$6:$E7,ex_envc,$A$6:$A7,ex_domc,$B$6:$B7,ex_tric))</f>
        <v/>
      </c>
    </row>
    <row r="8" customFormat="false" ht="15" hidden="false" customHeight="false" outlineLevel="0" collapsed="false">
      <c r="A8" s="74" t="s">
        <v>259</v>
      </c>
      <c r="B8" s="74" t="s">
        <v>260</v>
      </c>
      <c r="C8" s="74" t="s">
        <v>261</v>
      </c>
      <c r="D8" s="74" t="s">
        <v>262</v>
      </c>
      <c r="E8" s="74" t="s">
        <v>39</v>
      </c>
      <c r="F8" s="74" t="s">
        <v>39</v>
      </c>
      <c r="G8" s="74" t="s">
        <v>29</v>
      </c>
      <c r="H8" s="74" t="s">
        <v>264</v>
      </c>
      <c r="I8" s="74" t="s">
        <v>270</v>
      </c>
      <c r="J8" s="74" t="s">
        <v>271</v>
      </c>
      <c r="K8" s="74" t="n">
        <v>60</v>
      </c>
      <c r="L8" s="74" t="n">
        <v>320</v>
      </c>
      <c r="M8" s="74" t="s">
        <v>267</v>
      </c>
      <c r="N8" s="74" t="n">
        <v>160</v>
      </c>
      <c r="O8" s="74" t="n">
        <v>640</v>
      </c>
      <c r="P8" s="75" t="n">
        <v>46478</v>
      </c>
      <c r="Q8" s="75" t="n">
        <v>46508</v>
      </c>
      <c r="R8" s="75" t="n">
        <v>46569</v>
      </c>
      <c r="S8" s="74" t="s">
        <v>268</v>
      </c>
      <c r="T8" s="21" t="n">
        <f aca="false">IF(OR($C8="",NOT(OR($G8="À migrer",$G8="Migré")),NOT(ISNUMBER($K8))),"",ROUNDUP($K8*(1+IF($AC8="",p_margeCPU,$AC8)),0))</f>
        <v>72</v>
      </c>
      <c r="U8" s="21" t="n">
        <f aca="false">IF(OR($C8="",NOT(OR($G8="À migrer",$G8="Migré")),NOT(ISNUMBER($L8))),"",ROUNDUP($L8*(1+IF($AD8="",p_margeRAM,$AD8)),0))</f>
        <v>384</v>
      </c>
      <c r="V8" s="39" t="n">
        <f aca="false">IF(OR(NOT($G8="À migrer"),$P8=""),"",IFERROR(DATE(YEAR($P8),MONTH($P8),1),""))</f>
        <v>46478</v>
      </c>
      <c r="W8" s="39" t="n">
        <f aca="false">IF(OR(NOT(OR($G8="À migrer",$G8="À décommissionner")),$R8=""),"",IFERROR(DATE(YEAR($R8),MONTH($R8),1),""))</f>
        <v>46569</v>
      </c>
      <c r="X8" s="21" t="n">
        <f aca="false">IF(OR($V8="",$W8=""),"",MAX(0,(YEAR($W8)-YEAR($V8))*12+MONTH($W8)-MONTH($V8)))</f>
        <v>3</v>
      </c>
      <c r="Y8" s="21" t="n">
        <f aca="false">IF($C8="","",COUNTIF(TblApplications[ID],$C8))</f>
        <v>3</v>
      </c>
      <c r="Z8" s="39" t="n">
        <f aca="false">IF($C8="","",IFERROR(1/(1/_xlfn.MINIFS(TblApplications[Mois prov (calc)],TblApplications[ID],$C8)),""))</f>
        <v>46388</v>
      </c>
      <c r="AA8" s="39" t="n">
        <f aca="false">IF($C8="","",IFERROR(1/(1/_xlfn.MAXIFS(TblApplications[Mois lib (calc)],TblApplications[ID],$C8)),""))</f>
        <v>46569</v>
      </c>
      <c r="AB8" s="21" t="str">
        <f aca="false">IF($C8="","",IF(OR(OR($A8="",$B8="",$D8="",$E8="",$F8="",$G8=""),AND($G8="À migrer",OR($H8="",$I8="",$J8="",$K8="",$L8="",$N8="",$O8="",$P8="",$Q8="",$R8="")),AND($G8="Migré",OR($J8="",$K8="",$L8="")),AND($G8="À décommissionner",OR($I8="",$N8="",$O8="",$R8=""))),"Données manquantes (selon l’action)",IF(AND($G8&lt;&gt;"Migré",$G8&lt;&gt;"À migrer",$G8&lt;&gt;"À décommissionner",$G8&lt;&gt;"Décommissionné"),"Action invalide",IF(COUNTIF(TblDomaines[Domaine],$A8)=0,"Domaine inconnu (référentiel)",IF(COUNTIFS(TblTribes[Tribe],$B8,TblTribes[Domaine de la tribe],$A8)=0,"Tribe inconnue ou hors domaine",IF(AND($G8="À migrer",$H8&lt;&gt;"Oui",$H8&lt;&gt;"Non"),"Valeur Oui/Non invalide (Déjà incluse ROKS)",IF(AND($E8&lt;&gt;"PRD",$E8&lt;&gt;"NPRD"),"Environnement invalide",IF(COUNTIFS(TblApplications[ID],$C8,TblApplications[Environnement],$E8,TblApplications[Couloir],$F8)&gt;1,"Déploiement en doublon (ID + env + couloir)",IF(OR(AND($K8&lt;&gt;"",NOT(ISNUMBER($K8))),AND($L8&lt;&gt;"",NOT(ISNUMBER($L8))),AND($N8&lt;&gt;"",NOT(ISNUMBER($N8))),AND($O8&lt;&gt;"",NOT(ISNUMBER($O8)))),"Ressource non numérique",IF(MIN(N($K8),N($L8),N($N8),N($O8))&lt;0,"Ressource négative",IF(OR(AND($AC8&lt;&gt;"",OR(NOT(ISNUMBER($AC8)),$AC8&lt;0,$AC8&gt;1)),AND($AD8&lt;&gt;"",OR(NOT(ISNUMBER($AD8)),$AD8&lt;0,$AD8&gt;1))),"Marge spécifique invalide (0–100 %)",IF(OR(AND($P8&lt;&gt;"",NOT(ISNUMBER($P8))),AND($Q8&lt;&gt;"",NOT(ISNUMBER($Q8))),AND($R8&lt;&gt;"",NOT(ISNUMBER($R8)))),"Mois invalide",IF(AND(OR($G8="À migrer",$G8="À décommissionner"),COUNTIFS(TblClusters[Cluster],$I8,TblClusters[Plateforme],"IKS")=0),"Cluster IKS inconnu",IF(AND(OR($G8="À migrer",$G8="Migré"),COUNTIFS(TblClusters[Cluster],$J8,TblClusters[Plateforme],"ROKS")=0),"Cluster ROKS inconnu",IF(AND(OR($G8="À migrer",$G8="À décommissionner"),COUNTIFS(TblClusters[Cluster],$I8,TblClusters[Environnement],$E8)=0),"Environnement ≠ cluster IKS",IF(AND(OR($G8="À migrer",$G8="Migré"),COUNTIFS(TblClusters[Cluster],$J8,TblClusters[Environnement],$E8)=0),"Environnement ≠ cluster ROKS",IF(AND($G8="À migrer",OR($P8&gt;$Q8,$Q8&gt;$R8)),"Dates incohérentes (prov ≤ bascule ≤ libération)",IF(AND(OR($G8="À migrer",$G8="À décommissionner"),OR(N($N8)&gt;SUMIFS(TblClusters[CPU initial (vCPU)],TblClusters[Cluster],$I8),N($O8)&gt;SUMIFS(TblClusters[RAM initiale (Go)],TblClusters[Cluster],$I8))),"Libération &gt; capacité du cluster source",IF(OR(AND($V8&lt;&gt;"",$V8&lt;p_debut),AND($W8&lt;&gt;"",$W8&gt;p_fin)),"Hors horizon (info)",IF(AND($G8="À migrer",$E8="PRD",COUNTIFS(TblApplications[ID],$C8,TblApplications[Environnement],"NPRD",TblApplications[Action],"À migrer")&gt;0,$V8&lt;_xlfn.MINIFS(TblApplications[Mois prov (calc)],TblApplications[ID],$C8,TblApplications[Environnement],"NPRD")),"PRD avant NPRD (info)","OK"))))))))))))))))))))</f>
        <v>OK</v>
      </c>
      <c r="AC8" s="76"/>
      <c r="AD8" s="76"/>
      <c r="AE8" s="22" t="n">
        <f aca="false">IF(OR($C8="",NOT(OR($G8="À migrer",$G8="À décommissionner")),NOT(ISNUMBER($N8)),NOT(ISNUMBER($O8)),$W8=""),"",($N8+p_poidsram*$O8)*SUMIFS(TblCalculs[Coût par unité],TblCalculs[Cluster],$I8,TblCalculs[Mois],"&lt;"&amp;$W8))</f>
        <v>47790</v>
      </c>
      <c r="AF8" s="22" t="n">
        <f aca="false">IF($C8="","",IF(AND($G8="À migrer",$H8="Non",$T8&lt;&gt;"",$V8&lt;&gt;""),($T8+p_poidsram*$U8)*SUMIFS(TblCalculs[Coût par unité],TblCalculs[Cluster],$J8,TblCalculs[Mois],"&gt;="&amp;$V8),IF(AND($G8="Migré",$T8&lt;&gt;""),($T8+p_poidsram*$U8)*SUMIFS(TblCalculs[Coût par unité],TblCalculs[Cluster],$J8),"")))</f>
        <v>111815.381522878</v>
      </c>
      <c r="AG8" s="22" t="n">
        <f aca="false">IF($C8="","",N($AE8)+N($AF8))</f>
        <v>159605.381522878</v>
      </c>
      <c r="AH8" s="21" t="n">
        <f aca="false">IF(OR($C8="",$G8="Décommissionné",COUNTIFS($E8,av_envc,$A8,av_domc,$B8,av_tric)=0),"",COUNTIFS($C$6:$C8,"&lt;&gt;",$G$6:$G8,"&lt;&gt;Décommissionné",$E$6:$E8,av_envc,$A$6:$A8,av_domc,$B$6:$B8,av_tric))</f>
        <v>3</v>
      </c>
      <c r="AI8" s="21" t="n">
        <f aca="false">IF($C8="","",IF(AND(OR($G8="À migrer",$G8="À décommissionner"),$W8&lt;&gt;"",$W8&gt;ex_mois),1,0))</f>
        <v>0</v>
      </c>
      <c r="AJ8" s="21" t="str">
        <f aca="false">IF(OR($C8="",$AI8&lt;&gt;1,COUNTIFS($E8,ex_envc,$A8,ex_domc,$B8,ex_tric)=0),"",COUNTIFS($AI$6:$AI8,1,$E$6:$E8,ex_envc,$A$6:$A8,ex_domc,$B$6:$B8,ex_tric))</f>
        <v/>
      </c>
    </row>
    <row r="9" customFormat="false" ht="15" hidden="false" customHeight="false" outlineLevel="0" collapsed="false">
      <c r="A9" s="74" t="s">
        <v>259</v>
      </c>
      <c r="B9" s="74" t="s">
        <v>272</v>
      </c>
      <c r="C9" s="74" t="s">
        <v>273</v>
      </c>
      <c r="D9" s="74" t="s">
        <v>274</v>
      </c>
      <c r="E9" s="74" t="s">
        <v>40</v>
      </c>
      <c r="F9" s="74" t="s">
        <v>263</v>
      </c>
      <c r="G9" s="74" t="s">
        <v>29</v>
      </c>
      <c r="H9" s="74" t="s">
        <v>264</v>
      </c>
      <c r="I9" s="74" t="s">
        <v>265</v>
      </c>
      <c r="J9" s="74" t="s">
        <v>266</v>
      </c>
      <c r="K9" s="74" t="n">
        <v>6</v>
      </c>
      <c r="L9" s="74" t="n">
        <v>32</v>
      </c>
      <c r="M9" s="74" t="s">
        <v>267</v>
      </c>
      <c r="N9" s="74" t="n">
        <v>16</v>
      </c>
      <c r="O9" s="74" t="n">
        <v>64</v>
      </c>
      <c r="P9" s="75" t="n">
        <v>46631</v>
      </c>
      <c r="Q9" s="75" t="n">
        <v>46631</v>
      </c>
      <c r="R9" s="75" t="n">
        <v>46661</v>
      </c>
      <c r="S9" s="74" t="s">
        <v>268</v>
      </c>
      <c r="T9" s="21" t="n">
        <f aca="false">IF(OR($C9="",NOT(OR($G9="À migrer",$G9="Migré")),NOT(ISNUMBER($K9))),"",ROUNDUP($K9*(1+IF($AC9="",p_margeCPU,$AC9)),0))</f>
        <v>8</v>
      </c>
      <c r="U9" s="21" t="n">
        <f aca="false">IF(OR($C9="",NOT(OR($G9="À migrer",$G9="Migré")),NOT(ISNUMBER($L9))),"",ROUNDUP($L9*(1+IF($AD9="",p_margeRAM,$AD9)),0))</f>
        <v>39</v>
      </c>
      <c r="V9" s="39" t="n">
        <f aca="false">IF(OR(NOT($G9="À migrer"),$P9=""),"",IFERROR(DATE(YEAR($P9),MONTH($P9),1),""))</f>
        <v>46631</v>
      </c>
      <c r="W9" s="39" t="n">
        <f aca="false">IF(OR(NOT(OR($G9="À migrer",$G9="À décommissionner")),$R9=""),"",IFERROR(DATE(YEAR($R9),MONTH($R9),1),""))</f>
        <v>46661</v>
      </c>
      <c r="X9" s="21" t="n">
        <f aca="false">IF(OR($V9="",$W9=""),"",MAX(0,(YEAR($W9)-YEAR($V9))*12+MONTH($W9)-MONTH($V9)))</f>
        <v>1</v>
      </c>
      <c r="Y9" s="21" t="n">
        <f aca="false">IF($C9="","",COUNTIF(TblApplications[ID],$C9))</f>
        <v>4</v>
      </c>
      <c r="Z9" s="39" t="n">
        <f aca="false">IF($C9="","",IFERROR(1/(1/_xlfn.MINIFS(TblApplications[Mois prov (calc)],TblApplications[ID],$C9)),""))</f>
        <v>46631</v>
      </c>
      <c r="AA9" s="39" t="n">
        <f aca="false">IF($C9="","",IFERROR(1/(1/_xlfn.MAXIFS(TblApplications[Mois lib (calc)],TblApplications[ID],$C9)),""))</f>
        <v>46813</v>
      </c>
      <c r="AB9" s="21" t="str">
        <f aca="false">IF($C9="","",IF(OR(OR($A9="",$B9="",$D9="",$E9="",$F9="",$G9=""),AND($G9="À migrer",OR($H9="",$I9="",$J9="",$K9="",$L9="",$N9="",$O9="",$P9="",$Q9="",$R9="")),AND($G9="Migré",OR($J9="",$K9="",$L9="")),AND($G9="À décommissionner",OR($I9="",$N9="",$O9="",$R9=""))),"Données manquantes (selon l’action)",IF(AND($G9&lt;&gt;"Migré",$G9&lt;&gt;"À migrer",$G9&lt;&gt;"À décommissionner",$G9&lt;&gt;"Décommissionné"),"Action invalide",IF(COUNTIF(TblDomaines[Domaine],$A9)=0,"Domaine inconnu (référentiel)",IF(COUNTIFS(TblTribes[Tribe],$B9,TblTribes[Domaine de la tribe],$A9)=0,"Tribe inconnue ou hors domaine",IF(AND($G9="À migrer",$H9&lt;&gt;"Oui",$H9&lt;&gt;"Non"),"Valeur Oui/Non invalide (Déjà incluse ROKS)",IF(AND($E9&lt;&gt;"PRD",$E9&lt;&gt;"NPRD"),"Environnement invalide",IF(COUNTIFS(TblApplications[ID],$C9,TblApplications[Environnement],$E9,TblApplications[Couloir],$F9)&gt;1,"Déploiement en doublon (ID + env + couloir)",IF(OR(AND($K9&lt;&gt;"",NOT(ISNUMBER($K9))),AND($L9&lt;&gt;"",NOT(ISNUMBER($L9))),AND($N9&lt;&gt;"",NOT(ISNUMBER($N9))),AND($O9&lt;&gt;"",NOT(ISNUMBER($O9)))),"Ressource non numérique",IF(MIN(N($K9),N($L9),N($N9),N($O9))&lt;0,"Ressource négative",IF(OR(AND($AC9&lt;&gt;"",OR(NOT(ISNUMBER($AC9)),$AC9&lt;0,$AC9&gt;1)),AND($AD9&lt;&gt;"",OR(NOT(ISNUMBER($AD9)),$AD9&lt;0,$AD9&gt;1))),"Marge spécifique invalide (0–100 %)",IF(OR(AND($P9&lt;&gt;"",NOT(ISNUMBER($P9))),AND($Q9&lt;&gt;"",NOT(ISNUMBER($Q9))),AND($R9&lt;&gt;"",NOT(ISNUMBER($R9)))),"Mois invalide",IF(AND(OR($G9="À migrer",$G9="À décommissionner"),COUNTIFS(TblClusters[Cluster],$I9,TblClusters[Plateforme],"IKS")=0),"Cluster IKS inconnu",IF(AND(OR($G9="À migrer",$G9="Migré"),COUNTIFS(TblClusters[Cluster],$J9,TblClusters[Plateforme],"ROKS")=0),"Cluster ROKS inconnu",IF(AND(OR($G9="À migrer",$G9="À décommissionner"),COUNTIFS(TblClusters[Cluster],$I9,TblClusters[Environnement],$E9)=0),"Environnement ≠ cluster IKS",IF(AND(OR($G9="À migrer",$G9="Migré"),COUNTIFS(TblClusters[Cluster],$J9,TblClusters[Environnement],$E9)=0),"Environnement ≠ cluster ROKS",IF(AND($G9="À migrer",OR($P9&gt;$Q9,$Q9&gt;$R9)),"Dates incohérentes (prov ≤ bascule ≤ libération)",IF(AND(OR($G9="À migrer",$G9="À décommissionner"),OR(N($N9)&gt;SUMIFS(TblClusters[CPU initial (vCPU)],TblClusters[Cluster],$I9),N($O9)&gt;SUMIFS(TblClusters[RAM initiale (Go)],TblClusters[Cluster],$I9))),"Libération &gt; capacité du cluster source",IF(OR(AND($V9&lt;&gt;"",$V9&lt;p_debut),AND($W9&lt;&gt;"",$W9&gt;p_fin)),"Hors horizon (info)",IF(AND($G9="À migrer",$E9="PRD",COUNTIFS(TblApplications[ID],$C9,TblApplications[Environnement],"NPRD",TblApplications[Action],"À migrer")&gt;0,$V9&lt;_xlfn.MINIFS(TblApplications[Mois prov (calc)],TblApplications[ID],$C9,TblApplications[Environnement],"NPRD")),"PRD avant NPRD (info)","OK"))))))))))))))))))))</f>
        <v>OK</v>
      </c>
      <c r="AC9" s="76"/>
      <c r="AD9" s="76"/>
      <c r="AE9" s="22" t="n">
        <f aca="false">IF(OR($C9="",NOT(OR($G9="À migrer",$G9="À décommissionner")),NOT(ISNUMBER($N9)),NOT(ISNUMBER($O9)),$W9=""),"",($N9+p_poidsram*$O9)*SUMIFS(TblCalculs[Coût par unité],TblCalculs[Cluster],$I9,TblCalculs[Mois],"&lt;"&amp;$W9))</f>
        <v>6372</v>
      </c>
      <c r="AF9" s="22" t="n">
        <f aca="false">IF($C9="","",IF(AND($G9="À migrer",$H9="Non",$T9&lt;&gt;"",$V9&lt;&gt;""),($T9+p_poidsram*$U9)*SUMIFS(TblCalculs[Coût par unité],TblCalculs[Cluster],$J9,TblCalculs[Mois],"&gt;="&amp;$V9),IF(AND($G9="Migré",$T9&lt;&gt;""),($T9+p_poidsram*$U9)*SUMIFS(TblCalculs[Coût par unité],TblCalculs[Cluster],$J9),"")))</f>
        <v>9863.08100789535</v>
      </c>
      <c r="AG9" s="22" t="n">
        <f aca="false">IF($C9="","",N($AE9)+N($AF9))</f>
        <v>16235.0810078954</v>
      </c>
      <c r="AH9" s="21" t="n">
        <f aca="false">IF(OR($C9="",$G9="Décommissionné",COUNTIFS($E9,av_envc,$A9,av_domc,$B9,av_tric)=0),"",COUNTIFS($C$6:$C9,"&lt;&gt;",$G$6:$G9,"&lt;&gt;Décommissionné",$E$6:$E9,av_envc,$A$6:$A9,av_domc,$B$6:$B9,av_tric))</f>
        <v>4</v>
      </c>
      <c r="AI9" s="21" t="n">
        <f aca="false">IF($C9="","",IF(AND(OR($G9="À migrer",$G9="À décommissionner"),$W9&lt;&gt;"",$W9&gt;ex_mois),1,0))</f>
        <v>0</v>
      </c>
      <c r="AJ9" s="21" t="str">
        <f aca="false">IF(OR($C9="",$AI9&lt;&gt;1,COUNTIFS($E9,ex_envc,$A9,ex_domc,$B9,ex_tric)=0),"",COUNTIFS($AI$6:$AI9,1,$E$6:$E9,ex_envc,$A$6:$A9,ex_domc,$B$6:$B9,ex_tric))</f>
        <v/>
      </c>
    </row>
    <row r="10" customFormat="false" ht="15" hidden="false" customHeight="false" outlineLevel="0" collapsed="false">
      <c r="A10" s="74" t="s">
        <v>259</v>
      </c>
      <c r="B10" s="74" t="s">
        <v>272</v>
      </c>
      <c r="C10" s="74" t="s">
        <v>273</v>
      </c>
      <c r="D10" s="74" t="s">
        <v>274</v>
      </c>
      <c r="E10" s="74" t="s">
        <v>40</v>
      </c>
      <c r="F10" s="74" t="s">
        <v>275</v>
      </c>
      <c r="G10" s="74" t="s">
        <v>29</v>
      </c>
      <c r="H10" s="74" t="s">
        <v>264</v>
      </c>
      <c r="I10" s="74" t="s">
        <v>265</v>
      </c>
      <c r="J10" s="74" t="s">
        <v>266</v>
      </c>
      <c r="K10" s="74" t="n">
        <v>6</v>
      </c>
      <c r="L10" s="74" t="n">
        <v>32</v>
      </c>
      <c r="M10" s="74" t="s">
        <v>267</v>
      </c>
      <c r="N10" s="74" t="n">
        <v>16</v>
      </c>
      <c r="O10" s="74" t="n">
        <v>64</v>
      </c>
      <c r="P10" s="75" t="n">
        <v>46631</v>
      </c>
      <c r="Q10" s="75" t="n">
        <v>46661</v>
      </c>
      <c r="R10" s="75" t="n">
        <v>46661</v>
      </c>
      <c r="S10" s="74" t="s">
        <v>268</v>
      </c>
      <c r="T10" s="21" t="n">
        <f aca="false">IF(OR($C10="",NOT(OR($G10="À migrer",$G10="Migré")),NOT(ISNUMBER($K10))),"",ROUNDUP($K10*(1+IF($AC10="",p_margeCPU,$AC10)),0))</f>
        <v>8</v>
      </c>
      <c r="U10" s="21" t="n">
        <f aca="false">IF(OR($C10="",NOT(OR($G10="À migrer",$G10="Migré")),NOT(ISNUMBER($L10))),"",ROUNDUP($L10*(1+IF($AD10="",p_margeRAM,$AD10)),0))</f>
        <v>39</v>
      </c>
      <c r="V10" s="39" t="n">
        <f aca="false">IF(OR(NOT($G10="À migrer"),$P10=""),"",IFERROR(DATE(YEAR($P10),MONTH($P10),1),""))</f>
        <v>46631</v>
      </c>
      <c r="W10" s="39" t="n">
        <f aca="false">IF(OR(NOT(OR($G10="À migrer",$G10="À décommissionner")),$R10=""),"",IFERROR(DATE(YEAR($R10),MONTH($R10),1),""))</f>
        <v>46661</v>
      </c>
      <c r="X10" s="21" t="n">
        <f aca="false">IF(OR($V10="",$W10=""),"",MAX(0,(YEAR($W10)-YEAR($V10))*12+MONTH($W10)-MONTH($V10)))</f>
        <v>1</v>
      </c>
      <c r="Y10" s="21" t="n">
        <f aca="false">IF($C10="","",COUNTIF(TblApplications[ID],$C10))</f>
        <v>4</v>
      </c>
      <c r="Z10" s="39" t="n">
        <f aca="false">IF($C10="","",IFERROR(1/(1/_xlfn.MINIFS(TblApplications[Mois prov (calc)],TblApplications[ID],$C10)),""))</f>
        <v>46631</v>
      </c>
      <c r="AA10" s="39" t="n">
        <f aca="false">IF($C10="","",IFERROR(1/(1/_xlfn.MAXIFS(TblApplications[Mois lib (calc)],TblApplications[ID],$C10)),""))</f>
        <v>46813</v>
      </c>
      <c r="AB10" s="21" t="str">
        <f aca="false">IF($C10="","",IF(OR(OR($A10="",$B10="",$D10="",$E10="",$F10="",$G10=""),AND($G10="À migrer",OR($H10="",$I10="",$J10="",$K10="",$L10="",$N10="",$O10="",$P10="",$Q10="",$R10="")),AND($G10="Migré",OR($J10="",$K10="",$L10="")),AND($G10="À décommissionner",OR($I10="",$N10="",$O10="",$R10=""))),"Données manquantes (selon l’action)",IF(AND($G10&lt;&gt;"Migré",$G10&lt;&gt;"À migrer",$G10&lt;&gt;"À décommissionner",$G10&lt;&gt;"Décommissionné"),"Action invalide",IF(COUNTIF(TblDomaines[Domaine],$A10)=0,"Domaine inconnu (référentiel)",IF(COUNTIFS(TblTribes[Tribe],$B10,TblTribes[Domaine de la tribe],$A10)=0,"Tribe inconnue ou hors domaine",IF(AND($G10="À migrer",$H10&lt;&gt;"Oui",$H10&lt;&gt;"Non"),"Valeur Oui/Non invalide (Déjà incluse ROKS)",IF(AND($E10&lt;&gt;"PRD",$E10&lt;&gt;"NPRD"),"Environnement invalide",IF(COUNTIFS(TblApplications[ID],$C10,TblApplications[Environnement],$E10,TblApplications[Couloir],$F10)&gt;1,"Déploiement en doublon (ID + env + couloir)",IF(OR(AND($K10&lt;&gt;"",NOT(ISNUMBER($K10))),AND($L10&lt;&gt;"",NOT(ISNUMBER($L10))),AND($N10&lt;&gt;"",NOT(ISNUMBER($N10))),AND($O10&lt;&gt;"",NOT(ISNUMBER($O10)))),"Ressource non numérique",IF(MIN(N($K10),N($L10),N($N10),N($O10))&lt;0,"Ressource négative",IF(OR(AND($AC10&lt;&gt;"",OR(NOT(ISNUMBER($AC10)),$AC10&lt;0,$AC10&gt;1)),AND($AD10&lt;&gt;"",OR(NOT(ISNUMBER($AD10)),$AD10&lt;0,$AD10&gt;1))),"Marge spécifique invalide (0–100 %)",IF(OR(AND($P10&lt;&gt;"",NOT(ISNUMBER($P10))),AND($Q10&lt;&gt;"",NOT(ISNUMBER($Q10))),AND($R10&lt;&gt;"",NOT(ISNUMBER($R10)))),"Mois invalide",IF(AND(OR($G10="À migrer",$G10="À décommissionner"),COUNTIFS(TblClusters[Cluster],$I10,TblClusters[Plateforme],"IKS")=0),"Cluster IKS inconnu",IF(AND(OR($G10="À migrer",$G10="Migré"),COUNTIFS(TblClusters[Cluster],$J10,TblClusters[Plateforme],"ROKS")=0),"Cluster ROKS inconnu",IF(AND(OR($G10="À migrer",$G10="À décommissionner"),COUNTIFS(TblClusters[Cluster],$I10,TblClusters[Environnement],$E10)=0),"Environnement ≠ cluster IKS",IF(AND(OR($G10="À migrer",$G10="Migré"),COUNTIFS(TblClusters[Cluster],$J10,TblClusters[Environnement],$E10)=0),"Environnement ≠ cluster ROKS",IF(AND($G10="À migrer",OR($P10&gt;$Q10,$Q10&gt;$R10)),"Dates incohérentes (prov ≤ bascule ≤ libération)",IF(AND(OR($G10="À migrer",$G10="À décommissionner"),OR(N($N10)&gt;SUMIFS(TblClusters[CPU initial (vCPU)],TblClusters[Cluster],$I10),N($O10)&gt;SUMIFS(TblClusters[RAM initiale (Go)],TblClusters[Cluster],$I10))),"Libération &gt; capacité du cluster source",IF(OR(AND($V10&lt;&gt;"",$V10&lt;p_debut),AND($W10&lt;&gt;"",$W10&gt;p_fin)),"Hors horizon (info)",IF(AND($G10="À migrer",$E10="PRD",COUNTIFS(TblApplications[ID],$C10,TblApplications[Environnement],"NPRD",TblApplications[Action],"À migrer")&gt;0,$V10&lt;_xlfn.MINIFS(TblApplications[Mois prov (calc)],TblApplications[ID],$C10,TblApplications[Environnement],"NPRD")),"PRD avant NPRD (info)","OK"))))))))))))))))))))</f>
        <v>OK</v>
      </c>
      <c r="AC10" s="76"/>
      <c r="AD10" s="76"/>
      <c r="AE10" s="22" t="n">
        <f aca="false">IF(OR($C10="",NOT(OR($G10="À migrer",$G10="À décommissionner")),NOT(ISNUMBER($N10)),NOT(ISNUMBER($O10)),$W10=""),"",($N10+p_poidsram*$O10)*SUMIFS(TblCalculs[Coût par unité],TblCalculs[Cluster],$I10,TblCalculs[Mois],"&lt;"&amp;$W10))</f>
        <v>6372</v>
      </c>
      <c r="AF10" s="22" t="n">
        <f aca="false">IF($C10="","",IF(AND($G10="À migrer",$H10="Non",$T10&lt;&gt;"",$V10&lt;&gt;""),($T10+p_poidsram*$U10)*SUMIFS(TblCalculs[Coût par unité],TblCalculs[Cluster],$J10,TblCalculs[Mois],"&gt;="&amp;$V10),IF(AND($G10="Migré",$T10&lt;&gt;""),($T10+p_poidsram*$U10)*SUMIFS(TblCalculs[Coût par unité],TblCalculs[Cluster],$J10),"")))</f>
        <v>9863.08100789535</v>
      </c>
      <c r="AG10" s="22" t="n">
        <f aca="false">IF($C10="","",N($AE10)+N($AF10))</f>
        <v>16235.0810078954</v>
      </c>
      <c r="AH10" s="21" t="n">
        <f aca="false">IF(OR($C10="",$G10="Décommissionné",COUNTIFS($E10,av_envc,$A10,av_domc,$B10,av_tric)=0),"",COUNTIFS($C$6:$C10,"&lt;&gt;",$G$6:$G10,"&lt;&gt;Décommissionné",$E$6:$E10,av_envc,$A$6:$A10,av_domc,$B$6:$B10,av_tric))</f>
        <v>5</v>
      </c>
      <c r="AI10" s="21" t="n">
        <f aca="false">IF($C10="","",IF(AND(OR($G10="À migrer",$G10="À décommissionner"),$W10&lt;&gt;"",$W10&gt;ex_mois),1,0))</f>
        <v>0</v>
      </c>
      <c r="AJ10" s="21" t="str">
        <f aca="false">IF(OR($C10="",$AI10&lt;&gt;1,COUNTIFS($E10,ex_envc,$A10,ex_domc,$B10,ex_tric)=0),"",COUNTIFS($AI$6:$AI10,1,$E$6:$E10,ex_envc,$A$6:$A10,ex_domc,$B$6:$B10,ex_tric))</f>
        <v/>
      </c>
    </row>
    <row r="11" customFormat="false" ht="15" hidden="false" customHeight="false" outlineLevel="0" collapsed="false">
      <c r="A11" s="74" t="s">
        <v>259</v>
      </c>
      <c r="B11" s="74" t="s">
        <v>272</v>
      </c>
      <c r="C11" s="74" t="s">
        <v>273</v>
      </c>
      <c r="D11" s="74" t="s">
        <v>274</v>
      </c>
      <c r="E11" s="74" t="s">
        <v>40</v>
      </c>
      <c r="F11" s="74" t="s">
        <v>269</v>
      </c>
      <c r="G11" s="74" t="s">
        <v>29</v>
      </c>
      <c r="H11" s="74" t="s">
        <v>264</v>
      </c>
      <c r="I11" s="74" t="s">
        <v>265</v>
      </c>
      <c r="J11" s="74" t="s">
        <v>266</v>
      </c>
      <c r="K11" s="74" t="n">
        <v>10</v>
      </c>
      <c r="L11" s="74" t="n">
        <v>48</v>
      </c>
      <c r="M11" s="74" t="s">
        <v>267</v>
      </c>
      <c r="N11" s="74" t="n">
        <v>32</v>
      </c>
      <c r="O11" s="74" t="n">
        <v>128</v>
      </c>
      <c r="P11" s="75" t="n">
        <v>46661</v>
      </c>
      <c r="Q11" s="75" t="n">
        <v>46661</v>
      </c>
      <c r="R11" s="75" t="n">
        <v>46692</v>
      </c>
      <c r="S11" s="74" t="s">
        <v>268</v>
      </c>
      <c r="T11" s="21" t="n">
        <f aca="false">IF(OR($C11="",NOT(OR($G11="À migrer",$G11="Migré")),NOT(ISNUMBER($K11))),"",ROUNDUP($K11*(1+IF($AC11="",p_margeCPU,$AC11)),0))</f>
        <v>12</v>
      </c>
      <c r="U11" s="21" t="n">
        <f aca="false">IF(OR($C11="",NOT(OR($G11="À migrer",$G11="Migré")),NOT(ISNUMBER($L11))),"",ROUNDUP($L11*(1+IF($AD11="",p_margeRAM,$AD11)),0))</f>
        <v>58</v>
      </c>
      <c r="V11" s="39" t="n">
        <f aca="false">IF(OR(NOT($G11="À migrer"),$P11=""),"",IFERROR(DATE(YEAR($P11),MONTH($P11),1),""))</f>
        <v>46661</v>
      </c>
      <c r="W11" s="39" t="n">
        <f aca="false">IF(OR(NOT(OR($G11="À migrer",$G11="À décommissionner")),$R11=""),"",IFERROR(DATE(YEAR($R11),MONTH($R11),1),""))</f>
        <v>46692</v>
      </c>
      <c r="X11" s="21" t="n">
        <f aca="false">IF(OR($V11="",$W11=""),"",MAX(0,(YEAR($W11)-YEAR($V11))*12+MONTH($W11)-MONTH($V11)))</f>
        <v>1</v>
      </c>
      <c r="Y11" s="21" t="n">
        <f aca="false">IF($C11="","",COUNTIF(TblApplications[ID],$C11))</f>
        <v>4</v>
      </c>
      <c r="Z11" s="39" t="n">
        <f aca="false">IF($C11="","",IFERROR(1/(1/_xlfn.MINIFS(TblApplications[Mois prov (calc)],TblApplications[ID],$C11)),""))</f>
        <v>46631</v>
      </c>
      <c r="AA11" s="39" t="n">
        <f aca="false">IF($C11="","",IFERROR(1/(1/_xlfn.MAXIFS(TblApplications[Mois lib (calc)],TblApplications[ID],$C11)),""))</f>
        <v>46813</v>
      </c>
      <c r="AB11" s="21" t="str">
        <f aca="false">IF($C11="","",IF(OR(OR($A11="",$B11="",$D11="",$E11="",$F11="",$G11=""),AND($G11="À migrer",OR($H11="",$I11="",$J11="",$K11="",$L11="",$N11="",$O11="",$P11="",$Q11="",$R11="")),AND($G11="Migré",OR($J11="",$K11="",$L11="")),AND($G11="À décommissionner",OR($I11="",$N11="",$O11="",$R11=""))),"Données manquantes (selon l’action)",IF(AND($G11&lt;&gt;"Migré",$G11&lt;&gt;"À migrer",$G11&lt;&gt;"À décommissionner",$G11&lt;&gt;"Décommissionné"),"Action invalide",IF(COUNTIF(TblDomaines[Domaine],$A11)=0,"Domaine inconnu (référentiel)",IF(COUNTIFS(TblTribes[Tribe],$B11,TblTribes[Domaine de la tribe],$A11)=0,"Tribe inconnue ou hors domaine",IF(AND($G11="À migrer",$H11&lt;&gt;"Oui",$H11&lt;&gt;"Non"),"Valeur Oui/Non invalide (Déjà incluse ROKS)",IF(AND($E11&lt;&gt;"PRD",$E11&lt;&gt;"NPRD"),"Environnement invalide",IF(COUNTIFS(TblApplications[ID],$C11,TblApplications[Environnement],$E11,TblApplications[Couloir],$F11)&gt;1,"Déploiement en doublon (ID + env + couloir)",IF(OR(AND($K11&lt;&gt;"",NOT(ISNUMBER($K11))),AND($L11&lt;&gt;"",NOT(ISNUMBER($L11))),AND($N11&lt;&gt;"",NOT(ISNUMBER($N11))),AND($O11&lt;&gt;"",NOT(ISNUMBER($O11)))),"Ressource non numérique",IF(MIN(N($K11),N($L11),N($N11),N($O11))&lt;0,"Ressource négative",IF(OR(AND($AC11&lt;&gt;"",OR(NOT(ISNUMBER($AC11)),$AC11&lt;0,$AC11&gt;1)),AND($AD11&lt;&gt;"",OR(NOT(ISNUMBER($AD11)),$AD11&lt;0,$AD11&gt;1))),"Marge spécifique invalide (0–100 %)",IF(OR(AND($P11&lt;&gt;"",NOT(ISNUMBER($P11))),AND($Q11&lt;&gt;"",NOT(ISNUMBER($Q11))),AND($R11&lt;&gt;"",NOT(ISNUMBER($R11)))),"Mois invalide",IF(AND(OR($G11="À migrer",$G11="À décommissionner"),COUNTIFS(TblClusters[Cluster],$I11,TblClusters[Plateforme],"IKS")=0),"Cluster IKS inconnu",IF(AND(OR($G11="À migrer",$G11="Migré"),COUNTIFS(TblClusters[Cluster],$J11,TblClusters[Plateforme],"ROKS")=0),"Cluster ROKS inconnu",IF(AND(OR($G11="À migrer",$G11="À décommissionner"),COUNTIFS(TblClusters[Cluster],$I11,TblClusters[Environnement],$E11)=0),"Environnement ≠ cluster IKS",IF(AND(OR($G11="À migrer",$G11="Migré"),COUNTIFS(TblClusters[Cluster],$J11,TblClusters[Environnement],$E11)=0),"Environnement ≠ cluster ROKS",IF(AND($G11="À migrer",OR($P11&gt;$Q11,$Q11&gt;$R11)),"Dates incohérentes (prov ≤ bascule ≤ libération)",IF(AND(OR($G11="À migrer",$G11="À décommissionner"),OR(N($N11)&gt;SUMIFS(TblClusters[CPU initial (vCPU)],TblClusters[Cluster],$I11),N($O11)&gt;SUMIFS(TblClusters[RAM initiale (Go)],TblClusters[Cluster],$I11))),"Libération &gt; capacité du cluster source",IF(OR(AND($V11&lt;&gt;"",$V11&lt;p_debut),AND($W11&lt;&gt;"",$W11&gt;p_fin)),"Hors horizon (info)",IF(AND($G11="À migrer",$E11="PRD",COUNTIFS(TblApplications[ID],$C11,TblApplications[Environnement],"NPRD",TblApplications[Action],"À migrer")&gt;0,$V11&lt;_xlfn.MINIFS(TblApplications[Mois prov (calc)],TblApplications[ID],$C11,TblApplications[Environnement],"NPRD")),"PRD avant NPRD (info)","OK"))))))))))))))))))))</f>
        <v>OK</v>
      </c>
      <c r="AC11" s="76"/>
      <c r="AD11" s="76"/>
      <c r="AE11" s="22" t="n">
        <f aca="false">IF(OR($C11="",NOT(OR($G11="À migrer",$G11="À décommissionner")),NOT(ISNUMBER($N11)),NOT(ISNUMBER($O11)),$W11=""),"",($N11+p_poidsram*$O11)*SUMIFS(TblCalculs[Coût par unité],TblCalculs[Cluster],$I11,TblCalculs[Mois],"&lt;"&amp;$W11))</f>
        <v>13806</v>
      </c>
      <c r="AF11" s="22" t="n">
        <f aca="false">IF($C11="","",IF(AND($G11="À migrer",$H11="Non",$T11&lt;&gt;"",$V11&lt;&gt;""),($T11+p_poidsram*$U11)*SUMIFS(TblCalculs[Coût par unité],TblCalculs[Cluster],$J11,TblCalculs[Mois],"&gt;="&amp;$V11),IF(AND($G11="Migré",$T11&lt;&gt;""),($T11+p_poidsram*$U11)*SUMIFS(TblCalculs[Coût par unité],TblCalculs[Cluster],$J11),"")))</f>
        <v>14177.4612450031</v>
      </c>
      <c r="AG11" s="22" t="n">
        <f aca="false">IF($C11="","",N($AE11)+N($AF11))</f>
        <v>27983.4612450031</v>
      </c>
      <c r="AH11" s="21" t="n">
        <f aca="false">IF(OR($C11="",$G11="Décommissionné",COUNTIFS($E11,av_envc,$A11,av_domc,$B11,av_tric)=0),"",COUNTIFS($C$6:$C11,"&lt;&gt;",$G$6:$G11,"&lt;&gt;Décommissionné",$E$6:$E11,av_envc,$A$6:$A11,av_domc,$B$6:$B11,av_tric))</f>
        <v>6</v>
      </c>
      <c r="AI11" s="21" t="n">
        <f aca="false">IF($C11="","",IF(AND(OR($G11="À migrer",$G11="À décommissionner"),$W11&lt;&gt;"",$W11&gt;ex_mois),1,0))</f>
        <v>0</v>
      </c>
      <c r="AJ11" s="21" t="str">
        <f aca="false">IF(OR($C11="",$AI11&lt;&gt;1,COUNTIFS($E11,ex_envc,$A11,ex_domc,$B11,ex_tric)=0),"",COUNTIFS($AI$6:$AI11,1,$E$6:$E11,ex_envc,$A$6:$A11,ex_domc,$B$6:$B11,ex_tric))</f>
        <v/>
      </c>
    </row>
    <row r="12" customFormat="false" ht="15" hidden="false" customHeight="false" outlineLevel="0" collapsed="false">
      <c r="A12" s="74" t="s">
        <v>259</v>
      </c>
      <c r="B12" s="74" t="s">
        <v>272</v>
      </c>
      <c r="C12" s="74" t="s">
        <v>273</v>
      </c>
      <c r="D12" s="74" t="s">
        <v>274</v>
      </c>
      <c r="E12" s="74" t="s">
        <v>39</v>
      </c>
      <c r="F12" s="74" t="s">
        <v>39</v>
      </c>
      <c r="G12" s="74" t="s">
        <v>29</v>
      </c>
      <c r="H12" s="74" t="s">
        <v>264</v>
      </c>
      <c r="I12" s="74" t="s">
        <v>270</v>
      </c>
      <c r="J12" s="74" t="s">
        <v>271</v>
      </c>
      <c r="K12" s="74" t="n">
        <v>50</v>
      </c>
      <c r="L12" s="74" t="n">
        <v>280</v>
      </c>
      <c r="M12" s="74" t="s">
        <v>267</v>
      </c>
      <c r="N12" s="74" t="n">
        <v>160</v>
      </c>
      <c r="O12" s="74" t="n">
        <v>640</v>
      </c>
      <c r="P12" s="75" t="n">
        <v>46753</v>
      </c>
      <c r="Q12" s="75" t="n">
        <v>46784</v>
      </c>
      <c r="R12" s="75" t="n">
        <v>46813</v>
      </c>
      <c r="S12" s="74" t="s">
        <v>268</v>
      </c>
      <c r="T12" s="21" t="n">
        <f aca="false">IF(OR($C12="",NOT(OR($G12="À migrer",$G12="Migré")),NOT(ISNUMBER($K12))),"",ROUNDUP($K12*(1+IF($AC12="",p_margeCPU,$AC12)),0))</f>
        <v>60</v>
      </c>
      <c r="U12" s="21" t="n">
        <f aca="false">IF(OR($C12="",NOT(OR($G12="À migrer",$G12="Migré")),NOT(ISNUMBER($L12))),"",ROUNDUP($L12*(1+IF($AD12="",p_margeRAM,$AD12)),0))</f>
        <v>336</v>
      </c>
      <c r="V12" s="39" t="n">
        <f aca="false">IF(OR(NOT($G12="À migrer"),$P12=""),"",IFERROR(DATE(YEAR($P12),MONTH($P12),1),""))</f>
        <v>46753</v>
      </c>
      <c r="W12" s="39" t="n">
        <f aca="false">IF(OR(NOT(OR($G12="À migrer",$G12="À décommissionner")),$R12=""),"",IFERROR(DATE(YEAR($R12),MONTH($R12),1),""))</f>
        <v>46813</v>
      </c>
      <c r="X12" s="21" t="n">
        <f aca="false">IF(OR($V12="",$W12=""),"",MAX(0,(YEAR($W12)-YEAR($V12))*12+MONTH($W12)-MONTH($V12)))</f>
        <v>2</v>
      </c>
      <c r="Y12" s="21" t="n">
        <f aca="false">IF($C12="","",COUNTIF(TblApplications[ID],$C12))</f>
        <v>4</v>
      </c>
      <c r="Z12" s="39" t="n">
        <f aca="false">IF($C12="","",IFERROR(1/(1/_xlfn.MINIFS(TblApplications[Mois prov (calc)],TblApplications[ID],$C12)),""))</f>
        <v>46631</v>
      </c>
      <c r="AA12" s="39" t="n">
        <f aca="false">IF($C12="","",IFERROR(1/(1/_xlfn.MAXIFS(TblApplications[Mois lib (calc)],TblApplications[ID],$C12)),""))</f>
        <v>46813</v>
      </c>
      <c r="AB12" s="21" t="str">
        <f aca="false">IF($C12="","",IF(OR(OR($A12="",$B12="",$D12="",$E12="",$F12="",$G12=""),AND($G12="À migrer",OR($H12="",$I12="",$J12="",$K12="",$L12="",$N12="",$O12="",$P12="",$Q12="",$R12="")),AND($G12="Migré",OR($J12="",$K12="",$L12="")),AND($G12="À décommissionner",OR($I12="",$N12="",$O12="",$R12=""))),"Données manquantes (selon l’action)",IF(AND($G12&lt;&gt;"Migré",$G12&lt;&gt;"À migrer",$G12&lt;&gt;"À décommissionner",$G12&lt;&gt;"Décommissionné"),"Action invalide",IF(COUNTIF(TblDomaines[Domaine],$A12)=0,"Domaine inconnu (référentiel)",IF(COUNTIFS(TblTribes[Tribe],$B12,TblTribes[Domaine de la tribe],$A12)=0,"Tribe inconnue ou hors domaine",IF(AND($G12="À migrer",$H12&lt;&gt;"Oui",$H12&lt;&gt;"Non"),"Valeur Oui/Non invalide (Déjà incluse ROKS)",IF(AND($E12&lt;&gt;"PRD",$E12&lt;&gt;"NPRD"),"Environnement invalide",IF(COUNTIFS(TblApplications[ID],$C12,TblApplications[Environnement],$E12,TblApplications[Couloir],$F12)&gt;1,"Déploiement en doublon (ID + env + couloir)",IF(OR(AND($K12&lt;&gt;"",NOT(ISNUMBER($K12))),AND($L12&lt;&gt;"",NOT(ISNUMBER($L12))),AND($N12&lt;&gt;"",NOT(ISNUMBER($N12))),AND($O12&lt;&gt;"",NOT(ISNUMBER($O12)))),"Ressource non numérique",IF(MIN(N($K12),N($L12),N($N12),N($O12))&lt;0,"Ressource négative",IF(OR(AND($AC12&lt;&gt;"",OR(NOT(ISNUMBER($AC12)),$AC12&lt;0,$AC12&gt;1)),AND($AD12&lt;&gt;"",OR(NOT(ISNUMBER($AD12)),$AD12&lt;0,$AD12&gt;1))),"Marge spécifique invalide (0–100 %)",IF(OR(AND($P12&lt;&gt;"",NOT(ISNUMBER($P12))),AND($Q12&lt;&gt;"",NOT(ISNUMBER($Q12))),AND($R12&lt;&gt;"",NOT(ISNUMBER($R12)))),"Mois invalide",IF(AND(OR($G12="À migrer",$G12="À décommissionner"),COUNTIFS(TblClusters[Cluster],$I12,TblClusters[Plateforme],"IKS")=0),"Cluster IKS inconnu",IF(AND(OR($G12="À migrer",$G12="Migré"),COUNTIFS(TblClusters[Cluster],$J12,TblClusters[Plateforme],"ROKS")=0),"Cluster ROKS inconnu",IF(AND(OR($G12="À migrer",$G12="À décommissionner"),COUNTIFS(TblClusters[Cluster],$I12,TblClusters[Environnement],$E12)=0),"Environnement ≠ cluster IKS",IF(AND(OR($G12="À migrer",$G12="Migré"),COUNTIFS(TblClusters[Cluster],$J12,TblClusters[Environnement],$E12)=0),"Environnement ≠ cluster ROKS",IF(AND($G12="À migrer",OR($P12&gt;$Q12,$Q12&gt;$R12)),"Dates incohérentes (prov ≤ bascule ≤ libération)",IF(AND(OR($G12="À migrer",$G12="À décommissionner"),OR(N($N12)&gt;SUMIFS(TblClusters[CPU initial (vCPU)],TblClusters[Cluster],$I12),N($O12)&gt;SUMIFS(TblClusters[RAM initiale (Go)],TblClusters[Cluster],$I12))),"Libération &gt; capacité du cluster source",IF(OR(AND($V12&lt;&gt;"",$V12&lt;p_debut),AND($W12&lt;&gt;"",$W12&gt;p_fin)),"Hors horizon (info)",IF(AND($G12="À migrer",$E12="PRD",COUNTIFS(TblApplications[ID],$C12,TblApplications[Environnement],"NPRD",TblApplications[Action],"À migrer")&gt;0,$V12&lt;_xlfn.MINIFS(TblApplications[Mois prov (calc)],TblApplications[ID],$C12,TblApplications[Environnement],"NPRD")),"PRD avant NPRD (info)","OK"))))))))))))))))))))</f>
        <v>OK</v>
      </c>
      <c r="AC12" s="76"/>
      <c r="AD12" s="76"/>
      <c r="AE12" s="22" t="n">
        <f aca="false">IF(OR($C12="",NOT(OR($G12="À migrer",$G12="À décommissionner")),NOT(ISNUMBER($N12)),NOT(ISNUMBER($O12)),$W12=""),"",($N12+p_poidsram*$O12)*SUMIFS(TblCalculs[Coût par unité],TblCalculs[Cluster],$I12,TblCalculs[Mois],"&lt;"&amp;$W12))</f>
        <v>90270</v>
      </c>
      <c r="AF12" s="22" t="n">
        <f aca="false">IF($C12="","",IF(AND($G12="À migrer",$H12="Non",$T12&lt;&gt;"",$V12&lt;&gt;""),($T12+p_poidsram*$U12)*SUMIFS(TblCalculs[Coût par unité],TblCalculs[Cluster],$J12,TblCalculs[Mois],"&gt;="&amp;$V12),IF(AND($G12="Migré",$T12&lt;&gt;""),($T12+p_poidsram*$U12)*SUMIFS(TblCalculs[Coût par unité],TblCalculs[Cluster],$J12),"")))</f>
        <v>66787.6600286944</v>
      </c>
      <c r="AG12" s="22" t="n">
        <f aca="false">IF($C12="","",N($AE12)+N($AF12))</f>
        <v>157057.660028694</v>
      </c>
      <c r="AH12" s="21" t="n">
        <f aca="false">IF(OR($C12="",$G12="Décommissionné",COUNTIFS($E12,av_envc,$A12,av_domc,$B12,av_tric)=0),"",COUNTIFS($C$6:$C12,"&lt;&gt;",$G$6:$G12,"&lt;&gt;Décommissionné",$E$6:$E12,av_envc,$A$6:$A12,av_domc,$B$6:$B12,av_tric))</f>
        <v>7</v>
      </c>
      <c r="AI12" s="21" t="n">
        <f aca="false">IF($C12="","",IF(AND(OR($G12="À migrer",$G12="À décommissionner"),$W12&lt;&gt;"",$W12&gt;ex_mois),1,0))</f>
        <v>1</v>
      </c>
      <c r="AJ12" s="21" t="n">
        <f aca="false">IF(OR($C12="",$AI12&lt;&gt;1,COUNTIFS($E12,ex_envc,$A12,ex_domc,$B12,ex_tric)=0),"",COUNTIFS($AI$6:$AI12,1,$E$6:$E12,ex_envc,$A$6:$A12,ex_domc,$B$6:$B12,ex_tric))</f>
        <v>1</v>
      </c>
    </row>
    <row r="13" customFormat="false" ht="15" hidden="false" customHeight="false" outlineLevel="0" collapsed="false">
      <c r="A13" s="74" t="s">
        <v>276</v>
      </c>
      <c r="B13" s="74" t="s">
        <v>277</v>
      </c>
      <c r="C13" s="74" t="s">
        <v>278</v>
      </c>
      <c r="D13" s="74" t="s">
        <v>279</v>
      </c>
      <c r="E13" s="74" t="s">
        <v>40</v>
      </c>
      <c r="F13" s="74" t="s">
        <v>269</v>
      </c>
      <c r="G13" s="74" t="s">
        <v>29</v>
      </c>
      <c r="H13" s="74" t="s">
        <v>264</v>
      </c>
      <c r="I13" s="74" t="s">
        <v>265</v>
      </c>
      <c r="J13" s="74" t="s">
        <v>266</v>
      </c>
      <c r="K13" s="74" t="n">
        <v>10</v>
      </c>
      <c r="L13" s="74" t="n">
        <v>80</v>
      </c>
      <c r="M13" s="74" t="s">
        <v>267</v>
      </c>
      <c r="N13" s="74" t="n">
        <v>32</v>
      </c>
      <c r="O13" s="74" t="n">
        <v>128</v>
      </c>
      <c r="P13" s="75" t="n">
        <v>46844</v>
      </c>
      <c r="Q13" s="75" t="n">
        <v>46874</v>
      </c>
      <c r="R13" s="75" t="n">
        <v>46905</v>
      </c>
      <c r="S13" s="74" t="s">
        <v>268</v>
      </c>
      <c r="T13" s="21" t="n">
        <f aca="false">IF(OR($C13="",NOT(OR($G13="À migrer",$G13="Migré")),NOT(ISNUMBER($K13))),"",ROUNDUP($K13*(1+IF($AC13="",p_margeCPU,$AC13)),0))</f>
        <v>12</v>
      </c>
      <c r="U13" s="21" t="n">
        <f aca="false">IF(OR($C13="",NOT(OR($G13="À migrer",$G13="Migré")),NOT(ISNUMBER($L13))),"",ROUNDUP($L13*(1+IF($AD13="",p_margeRAM,$AD13)),0))</f>
        <v>96</v>
      </c>
      <c r="V13" s="39" t="n">
        <f aca="false">IF(OR(NOT($G13="À migrer"),$P13=""),"",IFERROR(DATE(YEAR($P13),MONTH($P13),1),""))</f>
        <v>46844</v>
      </c>
      <c r="W13" s="39" t="n">
        <f aca="false">IF(OR(NOT(OR($G13="À migrer",$G13="À décommissionner")),$R13=""),"",IFERROR(DATE(YEAR($R13),MONTH($R13),1),""))</f>
        <v>46905</v>
      </c>
      <c r="X13" s="21" t="n">
        <f aca="false">IF(OR($V13="",$W13=""),"",MAX(0,(YEAR($W13)-YEAR($V13))*12+MONTH($W13)-MONTH($V13)))</f>
        <v>2</v>
      </c>
      <c r="Y13" s="21" t="n">
        <f aca="false">IF($C13="","",COUNTIF(TblApplications[ID],$C13))</f>
        <v>3</v>
      </c>
      <c r="Z13" s="39" t="n">
        <f aca="false">IF($C13="","",IFERROR(1/(1/_xlfn.MINIFS(TblApplications[Mois prov (calc)],TblApplications[ID],$C13)),""))</f>
        <v>46844</v>
      </c>
      <c r="AA13" s="39" t="n">
        <f aca="false">IF($C13="","",IFERROR(1/(1/_xlfn.MAXIFS(TblApplications[Mois lib (calc)],TblApplications[ID],$C13)),""))</f>
        <v>47088</v>
      </c>
      <c r="AB13" s="21" t="str">
        <f aca="false">IF($C13="","",IF(OR(OR($A13="",$B13="",$D13="",$E13="",$F13="",$G13=""),AND($G13="À migrer",OR($H13="",$I13="",$J13="",$K13="",$L13="",$N13="",$O13="",$P13="",$Q13="",$R13="")),AND($G13="Migré",OR($J13="",$K13="",$L13="")),AND($G13="À décommissionner",OR($I13="",$N13="",$O13="",$R13=""))),"Données manquantes (selon l’action)",IF(AND($G13&lt;&gt;"Migré",$G13&lt;&gt;"À migrer",$G13&lt;&gt;"À décommissionner",$G13&lt;&gt;"Décommissionné"),"Action invalide",IF(COUNTIF(TblDomaines[Domaine],$A13)=0,"Domaine inconnu (référentiel)",IF(COUNTIFS(TblTribes[Tribe],$B13,TblTribes[Domaine de la tribe],$A13)=0,"Tribe inconnue ou hors domaine",IF(AND($G13="À migrer",$H13&lt;&gt;"Oui",$H13&lt;&gt;"Non"),"Valeur Oui/Non invalide (Déjà incluse ROKS)",IF(AND($E13&lt;&gt;"PRD",$E13&lt;&gt;"NPRD"),"Environnement invalide",IF(COUNTIFS(TblApplications[ID],$C13,TblApplications[Environnement],$E13,TblApplications[Couloir],$F13)&gt;1,"Déploiement en doublon (ID + env + couloir)",IF(OR(AND($K13&lt;&gt;"",NOT(ISNUMBER($K13))),AND($L13&lt;&gt;"",NOT(ISNUMBER($L13))),AND($N13&lt;&gt;"",NOT(ISNUMBER($N13))),AND($O13&lt;&gt;"",NOT(ISNUMBER($O13)))),"Ressource non numérique",IF(MIN(N($K13),N($L13),N($N13),N($O13))&lt;0,"Ressource négative",IF(OR(AND($AC13&lt;&gt;"",OR(NOT(ISNUMBER($AC13)),$AC13&lt;0,$AC13&gt;1)),AND($AD13&lt;&gt;"",OR(NOT(ISNUMBER($AD13)),$AD13&lt;0,$AD13&gt;1))),"Marge spécifique invalide (0–100 %)",IF(OR(AND($P13&lt;&gt;"",NOT(ISNUMBER($P13))),AND($Q13&lt;&gt;"",NOT(ISNUMBER($Q13))),AND($R13&lt;&gt;"",NOT(ISNUMBER($R13)))),"Mois invalide",IF(AND(OR($G13="À migrer",$G13="À décommissionner"),COUNTIFS(TblClusters[Cluster],$I13,TblClusters[Plateforme],"IKS")=0),"Cluster IKS inconnu",IF(AND(OR($G13="À migrer",$G13="Migré"),COUNTIFS(TblClusters[Cluster],$J13,TblClusters[Plateforme],"ROKS")=0),"Cluster ROKS inconnu",IF(AND(OR($G13="À migrer",$G13="À décommissionner"),COUNTIFS(TblClusters[Cluster],$I13,TblClusters[Environnement],$E13)=0),"Environnement ≠ cluster IKS",IF(AND(OR($G13="À migrer",$G13="Migré"),COUNTIFS(TblClusters[Cluster],$J13,TblClusters[Environnement],$E13)=0),"Environnement ≠ cluster ROKS",IF(AND($G13="À migrer",OR($P13&gt;$Q13,$Q13&gt;$R13)),"Dates incohérentes (prov ≤ bascule ≤ libération)",IF(AND(OR($G13="À migrer",$G13="À décommissionner"),OR(N($N13)&gt;SUMIFS(TblClusters[CPU initial (vCPU)],TblClusters[Cluster],$I13),N($O13)&gt;SUMIFS(TblClusters[RAM initiale (Go)],TblClusters[Cluster],$I13))),"Libération &gt; capacité du cluster source",IF(OR(AND($V13&lt;&gt;"",$V13&lt;p_debut),AND($W13&lt;&gt;"",$W13&gt;p_fin)),"Hors horizon (info)",IF(AND($G13="À migrer",$E13="PRD",COUNTIFS(TblApplications[ID],$C13,TblApplications[Environnement],"NPRD",TblApplications[Action],"À migrer")&gt;0,$V13&lt;_xlfn.MINIFS(TblApplications[Mois prov (calc)],TblApplications[ID],$C13,TblApplications[Environnement],"NPRD")),"PRD avant NPRD (info)","OK"))))))))))))))))))))</f>
        <v>OK</v>
      </c>
      <c r="AC13" s="76"/>
      <c r="AD13" s="76"/>
      <c r="AE13" s="22" t="n">
        <f aca="false">IF(OR($C13="",NOT(OR($G13="À migrer",$G13="À décommissionner")),NOT(ISNUMBER($N13)),NOT(ISNUMBER($O13)),$W13=""),"",($N13+p_poidsram*$O13)*SUMIFS(TblCalculs[Coût par unité],TblCalculs[Cluster],$I13,TblCalculs[Mois],"&lt;"&amp;$W13))</f>
        <v>21240</v>
      </c>
      <c r="AF13" s="22" t="n">
        <f aca="false">IF($C13="","",IF(AND($G13="À migrer",$H13="Non",$T13&lt;&gt;"",$V13&lt;&gt;""),($T13+p_poidsram*$U13)*SUMIFS(TblCalculs[Coût par unité],TblCalculs[Cluster],$J13,TblCalculs[Mois],"&gt;="&amp;$V13),IF(AND($G13="Migré",$T13&lt;&gt;""),($T13+p_poidsram*$U13)*SUMIFS(TblCalculs[Coût par unité],TblCalculs[Cluster],$J13),"")))</f>
        <v>12919.0428893905</v>
      </c>
      <c r="AG13" s="22" t="n">
        <f aca="false">IF($C13="","",N($AE13)+N($AF13))</f>
        <v>34159.0428893905</v>
      </c>
      <c r="AH13" s="21" t="n">
        <f aca="false">IF(OR($C13="",$G13="Décommissionné",COUNTIFS($E13,av_envc,$A13,av_domc,$B13,av_tric)=0),"",COUNTIFS($C$6:$C13,"&lt;&gt;",$G$6:$G13,"&lt;&gt;Décommissionné",$E$6:$E13,av_envc,$A$6:$A13,av_domc,$B$6:$B13,av_tric))</f>
        <v>8</v>
      </c>
      <c r="AI13" s="21" t="n">
        <f aca="false">IF($C13="","",IF(AND(OR($G13="À migrer",$G13="À décommissionner"),$W13&lt;&gt;"",$W13&gt;ex_mois),1,0))</f>
        <v>1</v>
      </c>
      <c r="AJ13" s="21" t="n">
        <f aca="false">IF(OR($C13="",$AI13&lt;&gt;1,COUNTIFS($E13,ex_envc,$A13,ex_domc,$B13,ex_tric)=0),"",COUNTIFS($AI$6:$AI13,1,$E$6:$E13,ex_envc,$A$6:$A13,ex_domc,$B$6:$B13,ex_tric))</f>
        <v>2</v>
      </c>
    </row>
    <row r="14" customFormat="false" ht="15" hidden="false" customHeight="false" outlineLevel="0" collapsed="false">
      <c r="A14" s="74" t="s">
        <v>276</v>
      </c>
      <c r="B14" s="74" t="s">
        <v>277</v>
      </c>
      <c r="C14" s="74" t="s">
        <v>278</v>
      </c>
      <c r="D14" s="74" t="s">
        <v>279</v>
      </c>
      <c r="E14" s="74" t="s">
        <v>40</v>
      </c>
      <c r="F14" s="74" t="s">
        <v>280</v>
      </c>
      <c r="G14" s="74" t="s">
        <v>29</v>
      </c>
      <c r="H14" s="74" t="s">
        <v>264</v>
      </c>
      <c r="I14" s="74" t="s">
        <v>265</v>
      </c>
      <c r="J14" s="74" t="s">
        <v>266</v>
      </c>
      <c r="K14" s="74" t="n">
        <v>10</v>
      </c>
      <c r="L14" s="74" t="n">
        <v>80</v>
      </c>
      <c r="M14" s="74" t="s">
        <v>267</v>
      </c>
      <c r="N14" s="74" t="n">
        <v>32</v>
      </c>
      <c r="O14" s="74" t="n">
        <v>128</v>
      </c>
      <c r="P14" s="75" t="n">
        <v>46844</v>
      </c>
      <c r="Q14" s="75" t="n">
        <v>46874</v>
      </c>
      <c r="R14" s="75" t="n">
        <v>46905</v>
      </c>
      <c r="S14" s="74" t="s">
        <v>268</v>
      </c>
      <c r="T14" s="21" t="n">
        <f aca="false">IF(OR($C14="",NOT(OR($G14="À migrer",$G14="Migré")),NOT(ISNUMBER($K14))),"",ROUNDUP($K14*(1+IF($AC14="",p_margeCPU,$AC14)),0))</f>
        <v>12</v>
      </c>
      <c r="U14" s="21" t="n">
        <f aca="false">IF(OR($C14="",NOT(OR($G14="À migrer",$G14="Migré")),NOT(ISNUMBER($L14))),"",ROUNDUP($L14*(1+IF($AD14="",p_margeRAM,$AD14)),0))</f>
        <v>96</v>
      </c>
      <c r="V14" s="39" t="n">
        <f aca="false">IF(OR(NOT($G14="À migrer"),$P14=""),"",IFERROR(DATE(YEAR($P14),MONTH($P14),1),""))</f>
        <v>46844</v>
      </c>
      <c r="W14" s="39" t="n">
        <f aca="false">IF(OR(NOT(OR($G14="À migrer",$G14="À décommissionner")),$R14=""),"",IFERROR(DATE(YEAR($R14),MONTH($R14),1),""))</f>
        <v>46905</v>
      </c>
      <c r="X14" s="21" t="n">
        <f aca="false">IF(OR($V14="",$W14=""),"",MAX(0,(YEAR($W14)-YEAR($V14))*12+MONTH($W14)-MONTH($V14)))</f>
        <v>2</v>
      </c>
      <c r="Y14" s="21" t="n">
        <f aca="false">IF($C14="","",COUNTIF(TblApplications[ID],$C14))</f>
        <v>3</v>
      </c>
      <c r="Z14" s="39" t="n">
        <f aca="false">IF($C14="","",IFERROR(1/(1/_xlfn.MINIFS(TblApplications[Mois prov (calc)],TblApplications[ID],$C14)),""))</f>
        <v>46844</v>
      </c>
      <c r="AA14" s="39" t="n">
        <f aca="false">IF($C14="","",IFERROR(1/(1/_xlfn.MAXIFS(TblApplications[Mois lib (calc)],TblApplications[ID],$C14)),""))</f>
        <v>47088</v>
      </c>
      <c r="AB14" s="21" t="str">
        <f aca="false">IF($C14="","",IF(OR(OR($A14="",$B14="",$D14="",$E14="",$F14="",$G14=""),AND($G14="À migrer",OR($H14="",$I14="",$J14="",$K14="",$L14="",$N14="",$O14="",$P14="",$Q14="",$R14="")),AND($G14="Migré",OR($J14="",$K14="",$L14="")),AND($G14="À décommissionner",OR($I14="",$N14="",$O14="",$R14=""))),"Données manquantes (selon l’action)",IF(AND($G14&lt;&gt;"Migré",$G14&lt;&gt;"À migrer",$G14&lt;&gt;"À décommissionner",$G14&lt;&gt;"Décommissionné"),"Action invalide",IF(COUNTIF(TblDomaines[Domaine],$A14)=0,"Domaine inconnu (référentiel)",IF(COUNTIFS(TblTribes[Tribe],$B14,TblTribes[Domaine de la tribe],$A14)=0,"Tribe inconnue ou hors domaine",IF(AND($G14="À migrer",$H14&lt;&gt;"Oui",$H14&lt;&gt;"Non"),"Valeur Oui/Non invalide (Déjà incluse ROKS)",IF(AND($E14&lt;&gt;"PRD",$E14&lt;&gt;"NPRD"),"Environnement invalide",IF(COUNTIFS(TblApplications[ID],$C14,TblApplications[Environnement],$E14,TblApplications[Couloir],$F14)&gt;1,"Déploiement en doublon (ID + env + couloir)",IF(OR(AND($K14&lt;&gt;"",NOT(ISNUMBER($K14))),AND($L14&lt;&gt;"",NOT(ISNUMBER($L14))),AND($N14&lt;&gt;"",NOT(ISNUMBER($N14))),AND($O14&lt;&gt;"",NOT(ISNUMBER($O14)))),"Ressource non numérique",IF(MIN(N($K14),N($L14),N($N14),N($O14))&lt;0,"Ressource négative",IF(OR(AND($AC14&lt;&gt;"",OR(NOT(ISNUMBER($AC14)),$AC14&lt;0,$AC14&gt;1)),AND($AD14&lt;&gt;"",OR(NOT(ISNUMBER($AD14)),$AD14&lt;0,$AD14&gt;1))),"Marge spécifique invalide (0–100 %)",IF(OR(AND($P14&lt;&gt;"",NOT(ISNUMBER($P14))),AND($Q14&lt;&gt;"",NOT(ISNUMBER($Q14))),AND($R14&lt;&gt;"",NOT(ISNUMBER($R14)))),"Mois invalide",IF(AND(OR($G14="À migrer",$G14="À décommissionner"),COUNTIFS(TblClusters[Cluster],$I14,TblClusters[Plateforme],"IKS")=0),"Cluster IKS inconnu",IF(AND(OR($G14="À migrer",$G14="Migré"),COUNTIFS(TblClusters[Cluster],$J14,TblClusters[Plateforme],"ROKS")=0),"Cluster ROKS inconnu",IF(AND(OR($G14="À migrer",$G14="À décommissionner"),COUNTIFS(TblClusters[Cluster],$I14,TblClusters[Environnement],$E14)=0),"Environnement ≠ cluster IKS",IF(AND(OR($G14="À migrer",$G14="Migré"),COUNTIFS(TblClusters[Cluster],$J14,TblClusters[Environnement],$E14)=0),"Environnement ≠ cluster ROKS",IF(AND($G14="À migrer",OR($P14&gt;$Q14,$Q14&gt;$R14)),"Dates incohérentes (prov ≤ bascule ≤ libération)",IF(AND(OR($G14="À migrer",$G14="À décommissionner"),OR(N($N14)&gt;SUMIFS(TblClusters[CPU initial (vCPU)],TblClusters[Cluster],$I14),N($O14)&gt;SUMIFS(TblClusters[RAM initiale (Go)],TblClusters[Cluster],$I14))),"Libération &gt; capacité du cluster source",IF(OR(AND($V14&lt;&gt;"",$V14&lt;p_debut),AND($W14&lt;&gt;"",$W14&gt;p_fin)),"Hors horizon (info)",IF(AND($G14="À migrer",$E14="PRD",COUNTIFS(TblApplications[ID],$C14,TblApplications[Environnement],"NPRD",TblApplications[Action],"À migrer")&gt;0,$V14&lt;_xlfn.MINIFS(TblApplications[Mois prov (calc)],TblApplications[ID],$C14,TblApplications[Environnement],"NPRD")),"PRD avant NPRD (info)","OK"))))))))))))))))))))</f>
        <v>OK</v>
      </c>
      <c r="AC14" s="76"/>
      <c r="AD14" s="76"/>
      <c r="AE14" s="22" t="n">
        <f aca="false">IF(OR($C14="",NOT(OR($G14="À migrer",$G14="À décommissionner")),NOT(ISNUMBER($N14)),NOT(ISNUMBER($O14)),$W14=""),"",($N14+p_poidsram*$O14)*SUMIFS(TblCalculs[Coût par unité],TblCalculs[Cluster],$I14,TblCalculs[Mois],"&lt;"&amp;$W14))</f>
        <v>21240</v>
      </c>
      <c r="AF14" s="22" t="n">
        <f aca="false">IF($C14="","",IF(AND($G14="À migrer",$H14="Non",$T14&lt;&gt;"",$V14&lt;&gt;""),($T14+p_poidsram*$U14)*SUMIFS(TblCalculs[Coût par unité],TblCalculs[Cluster],$J14,TblCalculs[Mois],"&gt;="&amp;$V14),IF(AND($G14="Migré",$T14&lt;&gt;""),($T14+p_poidsram*$U14)*SUMIFS(TblCalculs[Coût par unité],TblCalculs[Cluster],$J14),"")))</f>
        <v>12919.0428893905</v>
      </c>
      <c r="AG14" s="22" t="n">
        <f aca="false">IF($C14="","",N($AE14)+N($AF14))</f>
        <v>34159.0428893905</v>
      </c>
      <c r="AH14" s="21" t="n">
        <f aca="false">IF(OR($C14="",$G14="Décommissionné",COUNTIFS($E14,av_envc,$A14,av_domc,$B14,av_tric)=0),"",COUNTIFS($C$6:$C14,"&lt;&gt;",$G$6:$G14,"&lt;&gt;Décommissionné",$E$6:$E14,av_envc,$A$6:$A14,av_domc,$B$6:$B14,av_tric))</f>
        <v>9</v>
      </c>
      <c r="AI14" s="21" t="n">
        <f aca="false">IF($C14="","",IF(AND(OR($G14="À migrer",$G14="À décommissionner"),$W14&lt;&gt;"",$W14&gt;ex_mois),1,0))</f>
        <v>1</v>
      </c>
      <c r="AJ14" s="21" t="n">
        <f aca="false">IF(OR($C14="",$AI14&lt;&gt;1,COUNTIFS($E14,ex_envc,$A14,ex_domc,$B14,ex_tric)=0),"",COUNTIFS($AI$6:$AI14,1,$E$6:$E14,ex_envc,$A$6:$A14,ex_domc,$B$6:$B14,ex_tric))</f>
        <v>3</v>
      </c>
    </row>
    <row r="15" customFormat="false" ht="15" hidden="false" customHeight="false" outlineLevel="0" collapsed="false">
      <c r="A15" s="74" t="s">
        <v>276</v>
      </c>
      <c r="B15" s="74" t="s">
        <v>277</v>
      </c>
      <c r="C15" s="74" t="s">
        <v>278</v>
      </c>
      <c r="D15" s="74" t="s">
        <v>279</v>
      </c>
      <c r="E15" s="74" t="s">
        <v>39</v>
      </c>
      <c r="F15" s="74" t="s">
        <v>39</v>
      </c>
      <c r="G15" s="74" t="s">
        <v>29</v>
      </c>
      <c r="H15" s="74" t="s">
        <v>264</v>
      </c>
      <c r="I15" s="74" t="s">
        <v>270</v>
      </c>
      <c r="J15" s="74" t="s">
        <v>271</v>
      </c>
      <c r="K15" s="74" t="n">
        <v>50</v>
      </c>
      <c r="L15" s="74" t="n">
        <v>400</v>
      </c>
      <c r="M15" s="74" t="s">
        <v>267</v>
      </c>
      <c r="N15" s="74" t="n">
        <v>160</v>
      </c>
      <c r="O15" s="74" t="n">
        <v>640</v>
      </c>
      <c r="P15" s="75" t="n">
        <v>46997</v>
      </c>
      <c r="Q15" s="75" t="n">
        <v>47027</v>
      </c>
      <c r="R15" s="75" t="n">
        <v>47088</v>
      </c>
      <c r="S15" s="74" t="s">
        <v>268</v>
      </c>
      <c r="T15" s="21" t="n">
        <f aca="false">IF(OR($C15="",NOT(OR($G15="À migrer",$G15="Migré")),NOT(ISNUMBER($K15))),"",ROUNDUP($K15*(1+IF($AC15="",p_margeCPU,$AC15)),0))</f>
        <v>55</v>
      </c>
      <c r="U15" s="21" t="n">
        <f aca="false">IF(OR($C15="",NOT(OR($G15="À migrer",$G15="Migré")),NOT(ISNUMBER($L15))),"",ROUNDUP($L15*(1+IF($AD15="",p_margeRAM,$AD15)),0))</f>
        <v>480</v>
      </c>
      <c r="V15" s="39" t="n">
        <f aca="false">IF(OR(NOT($G15="À migrer"),$P15=""),"",IFERROR(DATE(YEAR($P15),MONTH($P15),1),""))</f>
        <v>46997</v>
      </c>
      <c r="W15" s="39" t="n">
        <f aca="false">IF(OR(NOT(OR($G15="À migrer",$G15="À décommissionner")),$R15=""),"",IFERROR(DATE(YEAR($R15),MONTH($R15),1),""))</f>
        <v>47088</v>
      </c>
      <c r="X15" s="21" t="n">
        <f aca="false">IF(OR($V15="",$W15=""),"",MAX(0,(YEAR($W15)-YEAR($V15))*12+MONTH($W15)-MONTH($V15)))</f>
        <v>3</v>
      </c>
      <c r="Y15" s="21" t="n">
        <f aca="false">IF($C15="","",COUNTIF(TblApplications[ID],$C15))</f>
        <v>3</v>
      </c>
      <c r="Z15" s="39" t="n">
        <f aca="false">IF($C15="","",IFERROR(1/(1/_xlfn.MINIFS(TblApplications[Mois prov (calc)],TblApplications[ID],$C15)),""))</f>
        <v>46844</v>
      </c>
      <c r="AA15" s="39" t="n">
        <f aca="false">IF($C15="","",IFERROR(1/(1/_xlfn.MAXIFS(TblApplications[Mois lib (calc)],TblApplications[ID],$C15)),""))</f>
        <v>47088</v>
      </c>
      <c r="AB15" s="21" t="str">
        <f aca="false">IF($C15="","",IF(OR(OR($A15="",$B15="",$D15="",$E15="",$F15="",$G15=""),AND($G15="À migrer",OR($H15="",$I15="",$J15="",$K15="",$L15="",$N15="",$O15="",$P15="",$Q15="",$R15="")),AND($G15="Migré",OR($J15="",$K15="",$L15="")),AND($G15="À décommissionner",OR($I15="",$N15="",$O15="",$R15=""))),"Données manquantes (selon l’action)",IF(AND($G15&lt;&gt;"Migré",$G15&lt;&gt;"À migrer",$G15&lt;&gt;"À décommissionner",$G15&lt;&gt;"Décommissionné"),"Action invalide",IF(COUNTIF(TblDomaines[Domaine],$A15)=0,"Domaine inconnu (référentiel)",IF(COUNTIFS(TblTribes[Tribe],$B15,TblTribes[Domaine de la tribe],$A15)=0,"Tribe inconnue ou hors domaine",IF(AND($G15="À migrer",$H15&lt;&gt;"Oui",$H15&lt;&gt;"Non"),"Valeur Oui/Non invalide (Déjà incluse ROKS)",IF(AND($E15&lt;&gt;"PRD",$E15&lt;&gt;"NPRD"),"Environnement invalide",IF(COUNTIFS(TblApplications[ID],$C15,TblApplications[Environnement],$E15,TblApplications[Couloir],$F15)&gt;1,"Déploiement en doublon (ID + env + couloir)",IF(OR(AND($K15&lt;&gt;"",NOT(ISNUMBER($K15))),AND($L15&lt;&gt;"",NOT(ISNUMBER($L15))),AND($N15&lt;&gt;"",NOT(ISNUMBER($N15))),AND($O15&lt;&gt;"",NOT(ISNUMBER($O15)))),"Ressource non numérique",IF(MIN(N($K15),N($L15),N($N15),N($O15))&lt;0,"Ressource négative",IF(OR(AND($AC15&lt;&gt;"",OR(NOT(ISNUMBER($AC15)),$AC15&lt;0,$AC15&gt;1)),AND($AD15&lt;&gt;"",OR(NOT(ISNUMBER($AD15)),$AD15&lt;0,$AD15&gt;1))),"Marge spécifique invalide (0–100 %)",IF(OR(AND($P15&lt;&gt;"",NOT(ISNUMBER($P15))),AND($Q15&lt;&gt;"",NOT(ISNUMBER($Q15))),AND($R15&lt;&gt;"",NOT(ISNUMBER($R15)))),"Mois invalide",IF(AND(OR($G15="À migrer",$G15="À décommissionner"),COUNTIFS(TblClusters[Cluster],$I15,TblClusters[Plateforme],"IKS")=0),"Cluster IKS inconnu",IF(AND(OR($G15="À migrer",$G15="Migré"),COUNTIFS(TblClusters[Cluster],$J15,TblClusters[Plateforme],"ROKS")=0),"Cluster ROKS inconnu",IF(AND(OR($G15="À migrer",$G15="À décommissionner"),COUNTIFS(TblClusters[Cluster],$I15,TblClusters[Environnement],$E15)=0),"Environnement ≠ cluster IKS",IF(AND(OR($G15="À migrer",$G15="Migré"),COUNTIFS(TblClusters[Cluster],$J15,TblClusters[Environnement],$E15)=0),"Environnement ≠ cluster ROKS",IF(AND($G15="À migrer",OR($P15&gt;$Q15,$Q15&gt;$R15)),"Dates incohérentes (prov ≤ bascule ≤ libération)",IF(AND(OR($G15="À migrer",$G15="À décommissionner"),OR(N($N15)&gt;SUMIFS(TblClusters[CPU initial (vCPU)],TblClusters[Cluster],$I15),N($O15)&gt;SUMIFS(TblClusters[RAM initiale (Go)],TblClusters[Cluster],$I15))),"Libération &gt; capacité du cluster source",IF(OR(AND($V15&lt;&gt;"",$V15&lt;p_debut),AND($W15&lt;&gt;"",$W15&gt;p_fin)),"Hors horizon (info)",IF(AND($G15="À migrer",$E15="PRD",COUNTIFS(TblApplications[ID],$C15,TblApplications[Environnement],"NPRD",TblApplications[Action],"À migrer")&gt;0,$V15&lt;_xlfn.MINIFS(TblApplications[Mois prov (calc)],TblApplications[ID],$C15,TblApplications[Environnement],"NPRD")),"PRD avant NPRD (info)","OK"))))))))))))))))))))</f>
        <v>OK</v>
      </c>
      <c r="AC15" s="76" t="n">
        <v>0.1</v>
      </c>
      <c r="AD15" s="76"/>
      <c r="AE15" s="22" t="n">
        <f aca="false">IF(OR($C15="",NOT(OR($G15="À migrer",$G15="À décommissionner")),NOT(ISNUMBER($N15)),NOT(ISNUMBER($O15)),$W15=""),"",($N15+p_poidsram*$O15)*SUMIFS(TblCalculs[Coût par unité],TblCalculs[Cluster],$I15,TblCalculs[Mois],"&lt;"&amp;$W15))</f>
        <v>138060</v>
      </c>
      <c r="AF15" s="22" t="n">
        <f aca="false">IF($C15="","",IF(AND($G15="À migrer",$H15="Non",$T15&lt;&gt;"",$V15&lt;&gt;""),($T15+p_poidsram*$U15)*SUMIFS(TblCalculs[Coût par unité],TblCalculs[Cluster],$J15,TblCalculs[Mois],"&gt;="&amp;$V15),IF(AND($G15="Migré",$T15&lt;&gt;""),($T15+p_poidsram*$U15)*SUMIFS(TblCalculs[Coût par unité],TblCalculs[Cluster],$J15),"")))</f>
        <v>46376.6588235294</v>
      </c>
      <c r="AG15" s="22" t="n">
        <f aca="false">IF($C15="","",N($AE15)+N($AF15))</f>
        <v>184436.658823529</v>
      </c>
      <c r="AH15" s="21" t="n">
        <f aca="false">IF(OR($C15="",$G15="Décommissionné",COUNTIFS($E15,av_envc,$A15,av_domc,$B15,av_tric)=0),"",COUNTIFS($C$6:$C15,"&lt;&gt;",$G$6:$G15,"&lt;&gt;Décommissionné",$E$6:$E15,av_envc,$A$6:$A15,av_domc,$B$6:$B15,av_tric))</f>
        <v>10</v>
      </c>
      <c r="AI15" s="21" t="n">
        <f aca="false">IF($C15="","",IF(AND(OR($G15="À migrer",$G15="À décommissionner"),$W15&lt;&gt;"",$W15&gt;ex_mois),1,0))</f>
        <v>1</v>
      </c>
      <c r="AJ15" s="21" t="n">
        <f aca="false">IF(OR($C15="",$AI15&lt;&gt;1,COUNTIFS($E15,ex_envc,$A15,ex_domc,$B15,ex_tric)=0),"",COUNTIFS($AI$6:$AI15,1,$E$6:$E15,ex_envc,$A$6:$A15,ex_domc,$B$6:$B15,ex_tric))</f>
        <v>4</v>
      </c>
    </row>
    <row r="16" customFormat="false" ht="15" hidden="false" customHeight="false" outlineLevel="0" collapsed="false">
      <c r="A16" s="74" t="s">
        <v>259</v>
      </c>
      <c r="B16" s="74" t="s">
        <v>260</v>
      </c>
      <c r="C16" s="74" t="s">
        <v>281</v>
      </c>
      <c r="D16" s="74" t="s">
        <v>282</v>
      </c>
      <c r="E16" s="74" t="s">
        <v>40</v>
      </c>
      <c r="F16" s="74" t="s">
        <v>269</v>
      </c>
      <c r="G16" s="74" t="s">
        <v>30</v>
      </c>
      <c r="H16" s="74"/>
      <c r="I16" s="74" t="s">
        <v>265</v>
      </c>
      <c r="J16" s="74"/>
      <c r="K16" s="74"/>
      <c r="L16" s="74"/>
      <c r="M16" s="74"/>
      <c r="N16" s="74" t="n">
        <v>16</v>
      </c>
      <c r="O16" s="74" t="n">
        <v>64</v>
      </c>
      <c r="P16" s="75"/>
      <c r="Q16" s="75"/>
      <c r="R16" s="75" t="n">
        <v>46539</v>
      </c>
      <c r="S16" s="74" t="s">
        <v>268</v>
      </c>
      <c r="T16" s="21" t="str">
        <f aca="false">IF(OR($C16="",NOT(OR($G16="À migrer",$G16="Migré")),NOT(ISNUMBER($K16))),"",ROUNDUP($K16*(1+IF($AC16="",p_margeCPU,$AC16)),0))</f>
        <v/>
      </c>
      <c r="U16" s="21" t="str">
        <f aca="false">IF(OR($C16="",NOT(OR($G16="À migrer",$G16="Migré")),NOT(ISNUMBER($L16))),"",ROUNDUP($L16*(1+IF($AD16="",p_margeRAM,$AD16)),0))</f>
        <v/>
      </c>
      <c r="V16" s="39" t="str">
        <f aca="false">IF(OR(NOT($G16="À migrer"),$P16=""),"",IFERROR(DATE(YEAR($P16),MONTH($P16),1),""))</f>
        <v/>
      </c>
      <c r="W16" s="39" t="n">
        <f aca="false">IF(OR(NOT(OR($G16="À migrer",$G16="À décommissionner")),$R16=""),"",IFERROR(DATE(YEAR($R16),MONTH($R16),1),""))</f>
        <v>46539</v>
      </c>
      <c r="X16" s="21" t="str">
        <f aca="false">IF(OR($V16="",$W16=""),"",MAX(0,(YEAR($W16)-YEAR($V16))*12+MONTH($W16)-MONTH($V16)))</f>
        <v/>
      </c>
      <c r="Y16" s="21" t="n">
        <f aca="false">IF($C16="","",COUNTIF(TblApplications[ID],$C16))</f>
        <v>1</v>
      </c>
      <c r="Z16" s="39" t="str">
        <f aca="false">IF($C16="","",IFERROR(1/(1/_xlfn.MINIFS(TblApplications[Mois prov (calc)],TblApplications[ID],$C16)),""))</f>
        <v/>
      </c>
      <c r="AA16" s="39" t="n">
        <f aca="false">IF($C16="","",IFERROR(1/(1/_xlfn.MAXIFS(TblApplications[Mois lib (calc)],TblApplications[ID],$C16)),""))</f>
        <v>46539</v>
      </c>
      <c r="AB16" s="21" t="str">
        <f aca="false">IF($C16="","",IF(OR(OR($A16="",$B16="",$D16="",$E16="",$F16="",$G16=""),AND($G16="À migrer",OR($H16="",$I16="",$J16="",$K16="",$L16="",$N16="",$O16="",$P16="",$Q16="",$R16="")),AND($G16="Migré",OR($J16="",$K16="",$L16="")),AND($G16="À décommissionner",OR($I16="",$N16="",$O16="",$R16=""))),"Données manquantes (selon l’action)",IF(AND($G16&lt;&gt;"Migré",$G16&lt;&gt;"À migrer",$G16&lt;&gt;"À décommissionner",$G16&lt;&gt;"Décommissionné"),"Action invalide",IF(COUNTIF(TblDomaines[Domaine],$A16)=0,"Domaine inconnu (référentiel)",IF(COUNTIFS(TblTribes[Tribe],$B16,TblTribes[Domaine de la tribe],$A16)=0,"Tribe inconnue ou hors domaine",IF(AND($G16="À migrer",$H16&lt;&gt;"Oui",$H16&lt;&gt;"Non"),"Valeur Oui/Non invalide (Déjà incluse ROKS)",IF(AND($E16&lt;&gt;"PRD",$E16&lt;&gt;"NPRD"),"Environnement invalide",IF(COUNTIFS(TblApplications[ID],$C16,TblApplications[Environnement],$E16,TblApplications[Couloir],$F16)&gt;1,"Déploiement en doublon (ID + env + couloir)",IF(OR(AND($K16&lt;&gt;"",NOT(ISNUMBER($K16))),AND($L16&lt;&gt;"",NOT(ISNUMBER($L16))),AND($N16&lt;&gt;"",NOT(ISNUMBER($N16))),AND($O16&lt;&gt;"",NOT(ISNUMBER($O16)))),"Ressource non numérique",IF(MIN(N($K16),N($L16),N($N16),N($O16))&lt;0,"Ressource négative",IF(OR(AND($AC16&lt;&gt;"",OR(NOT(ISNUMBER($AC16)),$AC16&lt;0,$AC16&gt;1)),AND($AD16&lt;&gt;"",OR(NOT(ISNUMBER($AD16)),$AD16&lt;0,$AD16&gt;1))),"Marge spécifique invalide (0–100 %)",IF(OR(AND($P16&lt;&gt;"",NOT(ISNUMBER($P16))),AND($Q16&lt;&gt;"",NOT(ISNUMBER($Q16))),AND($R16&lt;&gt;"",NOT(ISNUMBER($R16)))),"Mois invalide",IF(AND(OR($G16="À migrer",$G16="À décommissionner"),COUNTIFS(TblClusters[Cluster],$I16,TblClusters[Plateforme],"IKS")=0),"Cluster IKS inconnu",IF(AND(OR($G16="À migrer",$G16="Migré"),COUNTIFS(TblClusters[Cluster],$J16,TblClusters[Plateforme],"ROKS")=0),"Cluster ROKS inconnu",IF(AND(OR($G16="À migrer",$G16="À décommissionner"),COUNTIFS(TblClusters[Cluster],$I16,TblClusters[Environnement],$E16)=0),"Environnement ≠ cluster IKS",IF(AND(OR($G16="À migrer",$G16="Migré"),COUNTIFS(TblClusters[Cluster],$J16,TblClusters[Environnement],$E16)=0),"Environnement ≠ cluster ROKS",IF(AND($G16="À migrer",OR($P16&gt;$Q16,$Q16&gt;$R16)),"Dates incohérentes (prov ≤ bascule ≤ libération)",IF(AND(OR($G16="À migrer",$G16="À décommissionner"),OR(N($N16)&gt;SUMIFS(TblClusters[CPU initial (vCPU)],TblClusters[Cluster],$I16),N($O16)&gt;SUMIFS(TblClusters[RAM initiale (Go)],TblClusters[Cluster],$I16))),"Libération &gt; capacité du cluster source",IF(OR(AND($V16&lt;&gt;"",$V16&lt;p_debut),AND($W16&lt;&gt;"",$W16&gt;p_fin)),"Hors horizon (info)",IF(AND($G16="À migrer",$E16="PRD",COUNTIFS(TblApplications[ID],$C16,TblApplications[Environnement],"NPRD",TblApplications[Action],"À migrer")&gt;0,$V16&lt;_xlfn.MINIFS(TblApplications[Mois prov (calc)],TblApplications[ID],$C16,TblApplications[Environnement],"NPRD")),"PRD avant NPRD (info)","OK"))))))))))))))))))))</f>
        <v>OK</v>
      </c>
      <c r="AC16" s="76"/>
      <c r="AD16" s="76"/>
      <c r="AE16" s="22" t="n">
        <f aca="false">IF(OR($C16="",NOT(OR($G16="À migrer",$G16="À décommissionner")),NOT(ISNUMBER($N16)),NOT(ISNUMBER($O16)),$W16=""),"",($N16+p_poidsram*$O16)*SUMIFS(TblCalculs[Coût par unité],TblCalculs[Cluster],$I16,TblCalculs[Mois],"&lt;"&amp;$W16))</f>
        <v>4248</v>
      </c>
      <c r="AF16" s="22" t="str">
        <f aca="false">IF($C16="","",IF(AND($G16="À migrer",$H16="Non",$T16&lt;&gt;"",$V16&lt;&gt;""),($T16+p_poidsram*$U16)*SUMIFS(TblCalculs[Coût par unité],TblCalculs[Cluster],$J16,TblCalculs[Mois],"&gt;="&amp;$V16),IF(AND($G16="Migré",$T16&lt;&gt;""),($T16+p_poidsram*$U16)*SUMIFS(TblCalculs[Coût par unité],TblCalculs[Cluster],$J16),"")))</f>
        <v/>
      </c>
      <c r="AG16" s="22" t="n">
        <f aca="false">IF($C16="","",N($AE16)+N($AF16))</f>
        <v>4248</v>
      </c>
      <c r="AH16" s="21" t="n">
        <f aca="false">IF(OR($C16="",$G16="Décommissionné",COUNTIFS($E16,av_envc,$A16,av_domc,$B16,av_tric)=0),"",COUNTIFS($C$6:$C16,"&lt;&gt;",$G$6:$G16,"&lt;&gt;Décommissionné",$E$6:$E16,av_envc,$A$6:$A16,av_domc,$B$6:$B16,av_tric))</f>
        <v>11</v>
      </c>
      <c r="AI16" s="21" t="n">
        <f aca="false">IF($C16="","",IF(AND(OR($G16="À migrer",$G16="À décommissionner"),$W16&lt;&gt;"",$W16&gt;ex_mois),1,0))</f>
        <v>0</v>
      </c>
      <c r="AJ16" s="21" t="str">
        <f aca="false">IF(OR($C16="",$AI16&lt;&gt;1,COUNTIFS($E16,ex_envc,$A16,ex_domc,$B16,ex_tric)=0),"",COUNTIFS($AI$6:$AI16,1,$E$6:$E16,ex_envc,$A$6:$A16,ex_domc,$B$6:$B16,ex_tric))</f>
        <v/>
      </c>
    </row>
    <row r="17" customFormat="false" ht="15" hidden="false" customHeight="false" outlineLevel="0" collapsed="false">
      <c r="A17" s="74" t="s">
        <v>276</v>
      </c>
      <c r="B17" s="74" t="s">
        <v>277</v>
      </c>
      <c r="C17" s="74" t="s">
        <v>283</v>
      </c>
      <c r="D17" s="74" t="s">
        <v>284</v>
      </c>
      <c r="E17" s="74" t="s">
        <v>39</v>
      </c>
      <c r="F17" s="74" t="s">
        <v>39</v>
      </c>
      <c r="G17" s="74" t="s">
        <v>36</v>
      </c>
      <c r="H17" s="74"/>
      <c r="I17" s="74"/>
      <c r="J17" s="74" t="s">
        <v>271</v>
      </c>
      <c r="K17" s="74" t="n">
        <v>20</v>
      </c>
      <c r="L17" s="74" t="n">
        <v>80</v>
      </c>
      <c r="M17" s="74" t="s">
        <v>267</v>
      </c>
      <c r="N17" s="74"/>
      <c r="O17" s="74"/>
      <c r="P17" s="75"/>
      <c r="Q17" s="75"/>
      <c r="R17" s="75"/>
      <c r="S17" s="74" t="s">
        <v>268</v>
      </c>
      <c r="T17" s="21" t="n">
        <f aca="false">IF(OR($C17="",NOT(OR($G17="À migrer",$G17="Migré")),NOT(ISNUMBER($K17))),"",ROUNDUP($K17*(1+IF($AC17="",p_margeCPU,$AC17)),0))</f>
        <v>24</v>
      </c>
      <c r="U17" s="21" t="n">
        <f aca="false">IF(OR($C17="",NOT(OR($G17="À migrer",$G17="Migré")),NOT(ISNUMBER($L17))),"",ROUNDUP($L17*(1+IF($AD17="",p_margeRAM,$AD17)),0))</f>
        <v>96</v>
      </c>
      <c r="V17" s="39" t="str">
        <f aca="false">IF(OR(NOT($G17="À migrer"),$P17=""),"",IFERROR(DATE(YEAR($P17),MONTH($P17),1),""))</f>
        <v/>
      </c>
      <c r="W17" s="39" t="str">
        <f aca="false">IF(OR(NOT(OR($G17="À migrer",$G17="À décommissionner")),$R17=""),"",IFERROR(DATE(YEAR($R17),MONTH($R17),1),""))</f>
        <v/>
      </c>
      <c r="X17" s="21" t="str">
        <f aca="false">IF(OR($V17="",$W17=""),"",MAX(0,(YEAR($W17)-YEAR($V17))*12+MONTH($W17)-MONTH($V17)))</f>
        <v/>
      </c>
      <c r="Y17" s="21" t="n">
        <f aca="false">IF($C17="","",COUNTIF(TblApplications[ID],$C17))</f>
        <v>1</v>
      </c>
      <c r="Z17" s="39" t="str">
        <f aca="false">IF($C17="","",IFERROR(1/(1/_xlfn.MINIFS(TblApplications[Mois prov (calc)],TblApplications[ID],$C17)),""))</f>
        <v/>
      </c>
      <c r="AA17" s="39" t="str">
        <f aca="false">IF($C17="","",IFERROR(1/(1/_xlfn.MAXIFS(TblApplications[Mois lib (calc)],TblApplications[ID],$C17)),""))</f>
        <v/>
      </c>
      <c r="AB17" s="21" t="str">
        <f aca="false">IF($C17="","",IF(OR(OR($A17="",$B17="",$D17="",$E17="",$F17="",$G17=""),AND($G17="À migrer",OR($H17="",$I17="",$J17="",$K17="",$L17="",$N17="",$O17="",$P17="",$Q17="",$R17="")),AND($G17="Migré",OR($J17="",$K17="",$L17="")),AND($G17="À décommissionner",OR($I17="",$N17="",$O17="",$R17=""))),"Données manquantes (selon l’action)",IF(AND($G17&lt;&gt;"Migré",$G17&lt;&gt;"À migrer",$G17&lt;&gt;"À décommissionner",$G17&lt;&gt;"Décommissionné"),"Action invalide",IF(COUNTIF(TblDomaines[Domaine],$A17)=0,"Domaine inconnu (référentiel)",IF(COUNTIFS(TblTribes[Tribe],$B17,TblTribes[Domaine de la tribe],$A17)=0,"Tribe inconnue ou hors domaine",IF(AND($G17="À migrer",$H17&lt;&gt;"Oui",$H17&lt;&gt;"Non"),"Valeur Oui/Non invalide (Déjà incluse ROKS)",IF(AND($E17&lt;&gt;"PRD",$E17&lt;&gt;"NPRD"),"Environnement invalide",IF(COUNTIFS(TblApplications[ID],$C17,TblApplications[Environnement],$E17,TblApplications[Couloir],$F17)&gt;1,"Déploiement en doublon (ID + env + couloir)",IF(OR(AND($K17&lt;&gt;"",NOT(ISNUMBER($K17))),AND($L17&lt;&gt;"",NOT(ISNUMBER($L17))),AND($N17&lt;&gt;"",NOT(ISNUMBER($N17))),AND($O17&lt;&gt;"",NOT(ISNUMBER($O17)))),"Ressource non numérique",IF(MIN(N($K17),N($L17),N($N17),N($O17))&lt;0,"Ressource négative",IF(OR(AND($AC17&lt;&gt;"",OR(NOT(ISNUMBER($AC17)),$AC17&lt;0,$AC17&gt;1)),AND($AD17&lt;&gt;"",OR(NOT(ISNUMBER($AD17)),$AD17&lt;0,$AD17&gt;1))),"Marge spécifique invalide (0–100 %)",IF(OR(AND($P17&lt;&gt;"",NOT(ISNUMBER($P17))),AND($Q17&lt;&gt;"",NOT(ISNUMBER($Q17))),AND($R17&lt;&gt;"",NOT(ISNUMBER($R17)))),"Mois invalide",IF(AND(OR($G17="À migrer",$G17="À décommissionner"),COUNTIFS(TblClusters[Cluster],$I17,TblClusters[Plateforme],"IKS")=0),"Cluster IKS inconnu",IF(AND(OR($G17="À migrer",$G17="Migré"),COUNTIFS(TblClusters[Cluster],$J17,TblClusters[Plateforme],"ROKS")=0),"Cluster ROKS inconnu",IF(AND(OR($G17="À migrer",$G17="À décommissionner"),COUNTIFS(TblClusters[Cluster],$I17,TblClusters[Environnement],$E17)=0),"Environnement ≠ cluster IKS",IF(AND(OR($G17="À migrer",$G17="Migré"),COUNTIFS(TblClusters[Cluster],$J17,TblClusters[Environnement],$E17)=0),"Environnement ≠ cluster ROKS",IF(AND($G17="À migrer",OR($P17&gt;$Q17,$Q17&gt;$R17)),"Dates incohérentes (prov ≤ bascule ≤ libération)",IF(AND(OR($G17="À migrer",$G17="À décommissionner"),OR(N($N17)&gt;SUMIFS(TblClusters[CPU initial (vCPU)],TblClusters[Cluster],$I17),N($O17)&gt;SUMIFS(TblClusters[RAM initiale (Go)],TblClusters[Cluster],$I17))),"Libération &gt; capacité du cluster source",IF(OR(AND($V17&lt;&gt;"",$V17&lt;p_debut),AND($W17&lt;&gt;"",$W17&gt;p_fin)),"Hors horizon (info)",IF(AND($G17="À migrer",$E17="PRD",COUNTIFS(TblApplications[ID],$C17,TblApplications[Environnement],"NPRD",TblApplications[Action],"À migrer")&gt;0,$V17&lt;_xlfn.MINIFS(TblApplications[Mois prov (calc)],TblApplications[ID],$C17,TblApplications[Environnement],"NPRD")),"PRD avant NPRD (info)","OK"))))))))))))))))))))</f>
        <v>OK</v>
      </c>
      <c r="AC17" s="76"/>
      <c r="AD17" s="76"/>
      <c r="AE17" s="22" t="str">
        <f aca="false">IF(OR($C17="",NOT(OR($G17="À migrer",$G17="À décommissionner")),NOT(ISNUMBER($N17)),NOT(ISNUMBER($O17)),$W17=""),"",($N17+p_poidsram*$O17)*SUMIFS(TblCalculs[Coût par unité],TblCalculs[Cluster],$I17,TblCalculs[Mois],"&lt;"&amp;$W17))</f>
        <v/>
      </c>
      <c r="AF17" s="22" t="n">
        <f aca="false">IF($C17="","",IF(AND($G17="À migrer",$H17="Non",$T17&lt;&gt;"",$V17&lt;&gt;""),($T17+p_poidsram*$U17)*SUMIFS(TblCalculs[Coût par unité],TblCalculs[Cluster],$J17,TblCalculs[Mois],"&gt;="&amp;$V17),IF(AND($G17="Migré",$T17&lt;&gt;""),($T17+p_poidsram*$U17)*SUMIFS(TblCalculs[Coût par unité],TblCalculs[Cluster],$J17),"")))</f>
        <v>40213.1682895715</v>
      </c>
      <c r="AG17" s="22" t="n">
        <f aca="false">IF($C17="","",N($AE17)+N($AF17))</f>
        <v>40213.1682895715</v>
      </c>
      <c r="AH17" s="21" t="n">
        <f aca="false">IF(OR($C17="",$G17="Décommissionné",COUNTIFS($E17,av_envc,$A17,av_domc,$B17,av_tric)=0),"",COUNTIFS($C$6:$C17,"&lt;&gt;",$G$6:$G17,"&lt;&gt;Décommissionné",$E$6:$E17,av_envc,$A$6:$A17,av_domc,$B$6:$B17,av_tric))</f>
        <v>12</v>
      </c>
      <c r="AI17" s="21" t="n">
        <f aca="false">IF($C17="","",IF(AND(OR($G17="À migrer",$G17="À décommissionner"),$W17&lt;&gt;"",$W17&gt;ex_mois),1,0))</f>
        <v>0</v>
      </c>
      <c r="AJ17" s="21" t="str">
        <f aca="false">IF(OR($C17="",$AI17&lt;&gt;1,COUNTIFS($E17,ex_envc,$A17,ex_domc,$B17,ex_tric)=0),"",COUNTIFS($AI$6:$AI17,1,$E$6:$E17,ex_envc,$A$6:$A17,ex_domc,$B$6:$B17,ex_tric))</f>
        <v/>
      </c>
    </row>
    <row r="18" customFormat="false" ht="15" hidden="false" customHeight="false" outlineLevel="0" collapsed="false">
      <c r="A18" s="74" t="s">
        <v>259</v>
      </c>
      <c r="B18" s="74" t="s">
        <v>272</v>
      </c>
      <c r="C18" s="74" t="s">
        <v>285</v>
      </c>
      <c r="D18" s="74" t="s">
        <v>286</v>
      </c>
      <c r="E18" s="74" t="s">
        <v>40</v>
      </c>
      <c r="F18" s="74" t="s">
        <v>263</v>
      </c>
      <c r="G18" s="74" t="s">
        <v>37</v>
      </c>
      <c r="H18" s="74"/>
      <c r="I18" s="74"/>
      <c r="J18" s="74"/>
      <c r="K18" s="74"/>
      <c r="L18" s="74"/>
      <c r="M18" s="74"/>
      <c r="N18" s="74"/>
      <c r="O18" s="74"/>
      <c r="P18" s="75"/>
      <c r="Q18" s="75"/>
      <c r="R18" s="75"/>
      <c r="S18" s="74" t="s">
        <v>268</v>
      </c>
      <c r="T18" s="21" t="str">
        <f aca="false">IF(OR($C18="",NOT(OR($G18="À migrer",$G18="Migré")),NOT(ISNUMBER($K18))),"",ROUNDUP($K18*(1+IF($AC18="",p_margeCPU,$AC18)),0))</f>
        <v/>
      </c>
      <c r="U18" s="21" t="str">
        <f aca="false">IF(OR($C18="",NOT(OR($G18="À migrer",$G18="Migré")),NOT(ISNUMBER($L18))),"",ROUNDUP($L18*(1+IF($AD18="",p_margeRAM,$AD18)),0))</f>
        <v/>
      </c>
      <c r="V18" s="39" t="str">
        <f aca="false">IF(OR(NOT($G18="À migrer"),$P18=""),"",IFERROR(DATE(YEAR($P18),MONTH($P18),1),""))</f>
        <v/>
      </c>
      <c r="W18" s="39" t="str">
        <f aca="false">IF(OR(NOT(OR($G18="À migrer",$G18="À décommissionner")),$R18=""),"",IFERROR(DATE(YEAR($R18),MONTH($R18),1),""))</f>
        <v/>
      </c>
      <c r="X18" s="21" t="str">
        <f aca="false">IF(OR($V18="",$W18=""),"",MAX(0,(YEAR($W18)-YEAR($V18))*12+MONTH($W18)-MONTH($V18)))</f>
        <v/>
      </c>
      <c r="Y18" s="21" t="n">
        <f aca="false">IF($C18="","",COUNTIF(TblApplications[ID],$C18))</f>
        <v>1</v>
      </c>
      <c r="Z18" s="39" t="str">
        <f aca="false">IF($C18="","",IFERROR(1/(1/_xlfn.MINIFS(TblApplications[Mois prov (calc)],TblApplications[ID],$C18)),""))</f>
        <v/>
      </c>
      <c r="AA18" s="39" t="str">
        <f aca="false">IF($C18="","",IFERROR(1/(1/_xlfn.MAXIFS(TblApplications[Mois lib (calc)],TblApplications[ID],$C18)),""))</f>
        <v/>
      </c>
      <c r="AB18" s="21" t="str">
        <f aca="false">IF($C18="","",IF(OR(OR($A18="",$B18="",$D18="",$E18="",$F18="",$G18=""),AND($G18="À migrer",OR($H18="",$I18="",$J18="",$K18="",$L18="",$N18="",$O18="",$P18="",$Q18="",$R18="")),AND($G18="Migré",OR($J18="",$K18="",$L18="")),AND($G18="À décommissionner",OR($I18="",$N18="",$O18="",$R18=""))),"Données manquantes (selon l’action)",IF(AND($G18&lt;&gt;"Migré",$G18&lt;&gt;"À migrer",$G18&lt;&gt;"À décommissionner",$G18&lt;&gt;"Décommissionné"),"Action invalide",IF(COUNTIF(TblDomaines[Domaine],$A18)=0,"Domaine inconnu (référentiel)",IF(COUNTIFS(TblTribes[Tribe],$B18,TblTribes[Domaine de la tribe],$A18)=0,"Tribe inconnue ou hors domaine",IF(AND($G18="À migrer",$H18&lt;&gt;"Oui",$H18&lt;&gt;"Non"),"Valeur Oui/Non invalide (Déjà incluse ROKS)",IF(AND($E18&lt;&gt;"PRD",$E18&lt;&gt;"NPRD"),"Environnement invalide",IF(COUNTIFS(TblApplications[ID],$C18,TblApplications[Environnement],$E18,TblApplications[Couloir],$F18)&gt;1,"Déploiement en doublon (ID + env + couloir)",IF(OR(AND($K18&lt;&gt;"",NOT(ISNUMBER($K18))),AND($L18&lt;&gt;"",NOT(ISNUMBER($L18))),AND($N18&lt;&gt;"",NOT(ISNUMBER($N18))),AND($O18&lt;&gt;"",NOT(ISNUMBER($O18)))),"Ressource non numérique",IF(MIN(N($K18),N($L18),N($N18),N($O18))&lt;0,"Ressource négative",IF(OR(AND($AC18&lt;&gt;"",OR(NOT(ISNUMBER($AC18)),$AC18&lt;0,$AC18&gt;1)),AND($AD18&lt;&gt;"",OR(NOT(ISNUMBER($AD18)),$AD18&lt;0,$AD18&gt;1))),"Marge spécifique invalide (0–100 %)",IF(OR(AND($P18&lt;&gt;"",NOT(ISNUMBER($P18))),AND($Q18&lt;&gt;"",NOT(ISNUMBER($Q18))),AND($R18&lt;&gt;"",NOT(ISNUMBER($R18)))),"Mois invalide",IF(AND(OR($G18="À migrer",$G18="À décommissionner"),COUNTIFS(TblClusters[Cluster],$I18,TblClusters[Plateforme],"IKS")=0),"Cluster IKS inconnu",IF(AND(OR($G18="À migrer",$G18="Migré"),COUNTIFS(TblClusters[Cluster],$J18,TblClusters[Plateforme],"ROKS")=0),"Cluster ROKS inconnu",IF(AND(OR($G18="À migrer",$G18="À décommissionner"),COUNTIFS(TblClusters[Cluster],$I18,TblClusters[Environnement],$E18)=0),"Environnement ≠ cluster IKS",IF(AND(OR($G18="À migrer",$G18="Migré"),COUNTIFS(TblClusters[Cluster],$J18,TblClusters[Environnement],$E18)=0),"Environnement ≠ cluster ROKS",IF(AND($G18="À migrer",OR($P18&gt;$Q18,$Q18&gt;$R18)),"Dates incohérentes (prov ≤ bascule ≤ libération)",IF(AND(OR($G18="À migrer",$G18="À décommissionner"),OR(N($N18)&gt;SUMIFS(TblClusters[CPU initial (vCPU)],TblClusters[Cluster],$I18),N($O18)&gt;SUMIFS(TblClusters[RAM initiale (Go)],TblClusters[Cluster],$I18))),"Libération &gt; capacité du cluster source",IF(OR(AND($V18&lt;&gt;"",$V18&lt;p_debut),AND($W18&lt;&gt;"",$W18&gt;p_fin)),"Hors horizon (info)",IF(AND($G18="À migrer",$E18="PRD",COUNTIFS(TblApplications[ID],$C18,TblApplications[Environnement],"NPRD",TblApplications[Action],"À migrer")&gt;0,$V18&lt;_xlfn.MINIFS(TblApplications[Mois prov (calc)],TblApplications[ID],$C18,TblApplications[Environnement],"NPRD")),"PRD avant NPRD (info)","OK"))))))))))))))))))))</f>
        <v>OK</v>
      </c>
      <c r="AC18" s="76"/>
      <c r="AD18" s="76"/>
      <c r="AE18" s="22" t="str">
        <f aca="false">IF(OR($C18="",NOT(OR($G18="À migrer",$G18="À décommissionner")),NOT(ISNUMBER($N18)),NOT(ISNUMBER($O18)),$W18=""),"",($N18+p_poidsram*$O18)*SUMIFS(TblCalculs[Coût par unité],TblCalculs[Cluster],$I18,TblCalculs[Mois],"&lt;"&amp;$W18))</f>
        <v/>
      </c>
      <c r="AF18" s="22" t="str">
        <f aca="false">IF($C18="","",IF(AND($G18="À migrer",$H18="Non",$T18&lt;&gt;"",$V18&lt;&gt;""),($T18+p_poidsram*$U18)*SUMIFS(TblCalculs[Coût par unité],TblCalculs[Cluster],$J18,TblCalculs[Mois],"&gt;="&amp;$V18),IF(AND($G18="Migré",$T18&lt;&gt;""),($T18+p_poidsram*$U18)*SUMIFS(TblCalculs[Coût par unité],TblCalculs[Cluster],$J18),"")))</f>
        <v/>
      </c>
      <c r="AG18" s="22" t="n">
        <f aca="false">IF($C18="","",N($AE18)+N($AF18))</f>
        <v>0</v>
      </c>
      <c r="AH18" s="21" t="str">
        <f aca="false">IF(OR($C18="",$G18="Décommissionné",COUNTIFS($E18,av_envc,$A18,av_domc,$B18,av_tric)=0),"",COUNTIFS($C$6:$C18,"&lt;&gt;",$G$6:$G18,"&lt;&gt;Décommissionné",$E$6:$E18,av_envc,$A$6:$A18,av_domc,$B$6:$B18,av_tric))</f>
        <v/>
      </c>
      <c r="AI18" s="21" t="n">
        <f aca="false">IF($C18="","",IF(AND(OR($G18="À migrer",$G18="À décommissionner"),$W18&lt;&gt;"",$W18&gt;ex_mois),1,0))</f>
        <v>0</v>
      </c>
      <c r="AJ18" s="21" t="str">
        <f aca="false">IF(OR($C18="",$AI18&lt;&gt;1,COUNTIFS($E18,ex_envc,$A18,ex_domc,$B18,ex_tric)=0),"",COUNTIFS($AI$6:$AI18,1,$E$6:$E18,ex_envc,$A$6:$A18,ex_domc,$B$6:$B18,ex_tric))</f>
        <v/>
      </c>
    </row>
    <row r="19" customFormat="false" ht="15" hidden="false" customHeight="false" outlineLevel="0" collapsed="false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5"/>
      <c r="Q19" s="75"/>
      <c r="R19" s="75"/>
      <c r="S19" s="74"/>
      <c r="T19" s="21" t="str">
        <f aca="false">IF(OR($C19="",NOT(OR($G19="À migrer",$G19="Migré")),NOT(ISNUMBER($K19))),"",ROUNDUP($K19*(1+IF($AC19="",p_margeCPU,$AC19)),0))</f>
        <v/>
      </c>
      <c r="U19" s="21" t="str">
        <f aca="false">IF(OR($C19="",NOT(OR($G19="À migrer",$G19="Migré")),NOT(ISNUMBER($L19))),"",ROUNDUP($L19*(1+IF($AD19="",p_margeRAM,$AD19)),0))</f>
        <v/>
      </c>
      <c r="V19" s="39" t="str">
        <f aca="false">IF(OR(NOT($G19="À migrer"),$P19=""),"",IFERROR(DATE(YEAR($P19),MONTH($P19),1),""))</f>
        <v/>
      </c>
      <c r="W19" s="39" t="str">
        <f aca="false">IF(OR(NOT(OR($G19="À migrer",$G19="À décommissionner")),$R19=""),"",IFERROR(DATE(YEAR($R19),MONTH($R19),1),""))</f>
        <v/>
      </c>
      <c r="X19" s="21" t="str">
        <f aca="false">IF(OR($V19="",$W19=""),"",MAX(0,(YEAR($W19)-YEAR($V19))*12+MONTH($W19)-MONTH($V19)))</f>
        <v/>
      </c>
      <c r="Y19" s="21" t="str">
        <f aca="false">IF($C19="","",COUNTIF(TblApplications[ID],$C19))</f>
        <v/>
      </c>
      <c r="Z19" s="39" t="str">
        <f aca="false">IF($C19="","",IFERROR(1/(1/_xlfn.MINIFS(TblApplications[Mois prov (calc)],TblApplications[ID],$C19)),""))</f>
        <v/>
      </c>
      <c r="AA19" s="39" t="str">
        <f aca="false">IF($C19="","",IFERROR(1/(1/_xlfn.MAXIFS(TblApplications[Mois lib (calc)],TblApplications[ID],$C19)),""))</f>
        <v/>
      </c>
      <c r="AB19" s="21" t="str">
        <f aca="false">IF($C19="","",IF(OR(OR($A19="",$B19="",$D19="",$E19="",$F19="",$G19=""),AND($G19="À migrer",OR($H19="",$I19="",$J19="",$K19="",$L19="",$N19="",$O19="",$P19="",$Q19="",$R19="")),AND($G19="Migré",OR($J19="",$K19="",$L19="")),AND($G19="À décommissionner",OR($I19="",$N19="",$O19="",$R19=""))),"Données manquantes (selon l’action)",IF(AND($G19&lt;&gt;"Migré",$G19&lt;&gt;"À migrer",$G19&lt;&gt;"À décommissionner",$G19&lt;&gt;"Décommissionné"),"Action invalide",IF(COUNTIF(TblDomaines[Domaine],$A19)=0,"Domaine inconnu (référentiel)",IF(COUNTIFS(TblTribes[Tribe],$B19,TblTribes[Domaine de la tribe],$A19)=0,"Tribe inconnue ou hors domaine",IF(AND($G19="À migrer",$H19&lt;&gt;"Oui",$H19&lt;&gt;"Non"),"Valeur Oui/Non invalide (Déjà incluse ROKS)",IF(AND($E19&lt;&gt;"PRD",$E19&lt;&gt;"NPRD"),"Environnement invalide",IF(COUNTIFS(TblApplications[ID],$C19,TblApplications[Environnement],$E19,TblApplications[Couloir],$F19)&gt;1,"Déploiement en doublon (ID + env + couloir)",IF(OR(AND($K19&lt;&gt;"",NOT(ISNUMBER($K19))),AND($L19&lt;&gt;"",NOT(ISNUMBER($L19))),AND($N19&lt;&gt;"",NOT(ISNUMBER($N19))),AND($O19&lt;&gt;"",NOT(ISNUMBER($O19)))),"Ressource non numérique",IF(MIN(N($K19),N($L19),N($N19),N($O19))&lt;0,"Ressource négative",IF(OR(AND($AC19&lt;&gt;"",OR(NOT(ISNUMBER($AC19)),$AC19&lt;0,$AC19&gt;1)),AND($AD19&lt;&gt;"",OR(NOT(ISNUMBER($AD19)),$AD19&lt;0,$AD19&gt;1))),"Marge spécifique invalide (0–100 %)",IF(OR(AND($P19&lt;&gt;"",NOT(ISNUMBER($P19))),AND($Q19&lt;&gt;"",NOT(ISNUMBER($Q19))),AND($R19&lt;&gt;"",NOT(ISNUMBER($R19)))),"Mois invalide",IF(AND(OR($G19="À migrer",$G19="À décommissionner"),COUNTIFS(TblClusters[Cluster],$I19,TblClusters[Plateforme],"IKS")=0),"Cluster IKS inconnu",IF(AND(OR($G19="À migrer",$G19="Migré"),COUNTIFS(TblClusters[Cluster],$J19,TblClusters[Plateforme],"ROKS")=0),"Cluster ROKS inconnu",IF(AND(OR($G19="À migrer",$G19="À décommissionner"),COUNTIFS(TblClusters[Cluster],$I19,TblClusters[Environnement],$E19)=0),"Environnement ≠ cluster IKS",IF(AND(OR($G19="À migrer",$G19="Migré"),COUNTIFS(TblClusters[Cluster],$J19,TblClusters[Environnement],$E19)=0),"Environnement ≠ cluster ROKS",IF(AND($G19="À migrer",OR($P19&gt;$Q19,$Q19&gt;$R19)),"Dates incohérentes (prov ≤ bascule ≤ libération)",IF(AND(OR($G19="À migrer",$G19="À décommissionner"),OR(N($N19)&gt;SUMIFS(TblClusters[CPU initial (vCPU)],TblClusters[Cluster],$I19),N($O19)&gt;SUMIFS(TblClusters[RAM initiale (Go)],TblClusters[Cluster],$I19))),"Libération &gt; capacité du cluster source",IF(OR(AND($V19&lt;&gt;"",$V19&lt;p_debut),AND($W19&lt;&gt;"",$W19&gt;p_fin)),"Hors horizon (info)",IF(AND($G19="À migrer",$E19="PRD",COUNTIFS(TblApplications[ID],$C19,TblApplications[Environnement],"NPRD",TblApplications[Action],"À migrer")&gt;0,$V19&lt;_xlfn.MINIFS(TblApplications[Mois prov (calc)],TblApplications[ID],$C19,TblApplications[Environnement],"NPRD")),"PRD avant NPRD (info)","OK"))))))))))))))))))))</f>
        <v/>
      </c>
      <c r="AC19" s="76"/>
      <c r="AD19" s="76"/>
      <c r="AE19" s="22" t="str">
        <f aca="false">IF(OR($C19="",NOT(OR($G19="À migrer",$G19="À décommissionner")),NOT(ISNUMBER($N19)),NOT(ISNUMBER($O19)),$W19=""),"",($N19+p_poidsram*$O19)*SUMIFS(TblCalculs[Coût par unité],TblCalculs[Cluster],$I19,TblCalculs[Mois],"&lt;"&amp;$W19))</f>
        <v/>
      </c>
      <c r="AF19" s="22" t="str">
        <f aca="false">IF($C19="","",IF(AND($G19="À migrer",$H19="Non",$T19&lt;&gt;"",$V19&lt;&gt;""),($T19+p_poidsram*$U19)*SUMIFS(TblCalculs[Coût par unité],TblCalculs[Cluster],$J19,TblCalculs[Mois],"&gt;="&amp;$V19),IF(AND($G19="Migré",$T19&lt;&gt;""),($T19+p_poidsram*$U19)*SUMIFS(TblCalculs[Coût par unité],TblCalculs[Cluster],$J19),"")))</f>
        <v/>
      </c>
      <c r="AG19" s="22" t="str">
        <f aca="false">IF($C19="","",N($AE19)+N($AF19))</f>
        <v/>
      </c>
      <c r="AH19" s="21" t="str">
        <f aca="false">IF(OR($C19="",$G19="Décommissionné",COUNTIFS($E19,av_envc,$A19,av_domc,$B19,av_tric)=0),"",COUNTIFS($C$6:$C19,"&lt;&gt;",$G$6:$G19,"&lt;&gt;Décommissionné",$E$6:$E19,av_envc,$A$6:$A19,av_domc,$B$6:$B19,av_tric))</f>
        <v/>
      </c>
      <c r="AI19" s="21" t="str">
        <f aca="false">IF($C19="","",IF(AND(OR($G19="À migrer",$G19="À décommissionner"),$W19&lt;&gt;"",$W19&gt;ex_mois),1,0))</f>
        <v/>
      </c>
      <c r="AJ19" s="21" t="str">
        <f aca="false">IF(OR($C19="",$AI19&lt;&gt;1,COUNTIFS($E19,ex_envc,$A19,ex_domc,$B19,ex_tric)=0),"",COUNTIFS($AI$6:$AI19,1,$E$6:$E19,ex_envc,$A$6:$A19,ex_domc,$B$6:$B19,ex_tric))</f>
        <v/>
      </c>
    </row>
    <row r="20" customFormat="false" ht="15" hidden="false" customHeight="false" outlineLevel="0" collapsed="false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5"/>
      <c r="Q20" s="75"/>
      <c r="R20" s="75"/>
      <c r="S20" s="74"/>
      <c r="T20" s="21" t="str">
        <f aca="false">IF(OR($C20="",NOT(OR($G20="À migrer",$G20="Migré")),NOT(ISNUMBER($K20))),"",ROUNDUP($K20*(1+IF($AC20="",p_margeCPU,$AC20)),0))</f>
        <v/>
      </c>
      <c r="U20" s="21" t="str">
        <f aca="false">IF(OR($C20="",NOT(OR($G20="À migrer",$G20="Migré")),NOT(ISNUMBER($L20))),"",ROUNDUP($L20*(1+IF($AD20="",p_margeRAM,$AD20)),0))</f>
        <v/>
      </c>
      <c r="V20" s="39" t="str">
        <f aca="false">IF(OR(NOT($G20="À migrer"),$P20=""),"",IFERROR(DATE(YEAR($P20),MONTH($P20),1),""))</f>
        <v/>
      </c>
      <c r="W20" s="39" t="str">
        <f aca="false">IF(OR(NOT(OR($G20="À migrer",$G20="À décommissionner")),$R20=""),"",IFERROR(DATE(YEAR($R20),MONTH($R20),1),""))</f>
        <v/>
      </c>
      <c r="X20" s="21" t="str">
        <f aca="false">IF(OR($V20="",$W20=""),"",MAX(0,(YEAR($W20)-YEAR($V20))*12+MONTH($W20)-MONTH($V20)))</f>
        <v/>
      </c>
      <c r="Y20" s="21" t="str">
        <f aca="false">IF($C20="","",COUNTIF(TblApplications[ID],$C20))</f>
        <v/>
      </c>
      <c r="Z20" s="39" t="str">
        <f aca="false">IF($C20="","",IFERROR(1/(1/_xlfn.MINIFS(TblApplications[Mois prov (calc)],TblApplications[ID],$C20)),""))</f>
        <v/>
      </c>
      <c r="AA20" s="39" t="str">
        <f aca="false">IF($C20="","",IFERROR(1/(1/_xlfn.MAXIFS(TblApplications[Mois lib (calc)],TblApplications[ID],$C20)),""))</f>
        <v/>
      </c>
      <c r="AB20" s="21" t="str">
        <f aca="false">IF($C20="","",IF(OR(OR($A20="",$B20="",$D20="",$E20="",$F20="",$G20=""),AND($G20="À migrer",OR($H20="",$I20="",$J20="",$K20="",$L20="",$N20="",$O20="",$P20="",$Q20="",$R20="")),AND($G20="Migré",OR($J20="",$K20="",$L20="")),AND($G20="À décommissionner",OR($I20="",$N20="",$O20="",$R20=""))),"Données manquantes (selon l’action)",IF(AND($G20&lt;&gt;"Migré",$G20&lt;&gt;"À migrer",$G20&lt;&gt;"À décommissionner",$G20&lt;&gt;"Décommissionné"),"Action invalide",IF(COUNTIF(TblDomaines[Domaine],$A20)=0,"Domaine inconnu (référentiel)",IF(COUNTIFS(TblTribes[Tribe],$B20,TblTribes[Domaine de la tribe],$A20)=0,"Tribe inconnue ou hors domaine",IF(AND($G20="À migrer",$H20&lt;&gt;"Oui",$H20&lt;&gt;"Non"),"Valeur Oui/Non invalide (Déjà incluse ROKS)",IF(AND($E20&lt;&gt;"PRD",$E20&lt;&gt;"NPRD"),"Environnement invalide",IF(COUNTIFS(TblApplications[ID],$C20,TblApplications[Environnement],$E20,TblApplications[Couloir],$F20)&gt;1,"Déploiement en doublon (ID + env + couloir)",IF(OR(AND($K20&lt;&gt;"",NOT(ISNUMBER($K20))),AND($L20&lt;&gt;"",NOT(ISNUMBER($L20))),AND($N20&lt;&gt;"",NOT(ISNUMBER($N20))),AND($O20&lt;&gt;"",NOT(ISNUMBER($O20)))),"Ressource non numérique",IF(MIN(N($K20),N($L20),N($N20),N($O20))&lt;0,"Ressource négative",IF(OR(AND($AC20&lt;&gt;"",OR(NOT(ISNUMBER($AC20)),$AC20&lt;0,$AC20&gt;1)),AND($AD20&lt;&gt;"",OR(NOT(ISNUMBER($AD20)),$AD20&lt;0,$AD20&gt;1))),"Marge spécifique invalide (0–100 %)",IF(OR(AND($P20&lt;&gt;"",NOT(ISNUMBER($P20))),AND($Q20&lt;&gt;"",NOT(ISNUMBER($Q20))),AND($R20&lt;&gt;"",NOT(ISNUMBER($R20)))),"Mois invalide",IF(AND(OR($G20="À migrer",$G20="À décommissionner"),COUNTIFS(TblClusters[Cluster],$I20,TblClusters[Plateforme],"IKS")=0),"Cluster IKS inconnu",IF(AND(OR($G20="À migrer",$G20="Migré"),COUNTIFS(TblClusters[Cluster],$J20,TblClusters[Plateforme],"ROKS")=0),"Cluster ROKS inconnu",IF(AND(OR($G20="À migrer",$G20="À décommissionner"),COUNTIFS(TblClusters[Cluster],$I20,TblClusters[Environnement],$E20)=0),"Environnement ≠ cluster IKS",IF(AND(OR($G20="À migrer",$G20="Migré"),COUNTIFS(TblClusters[Cluster],$J20,TblClusters[Environnement],$E20)=0),"Environnement ≠ cluster ROKS",IF(AND($G20="À migrer",OR($P20&gt;$Q20,$Q20&gt;$R20)),"Dates incohérentes (prov ≤ bascule ≤ libération)",IF(AND(OR($G20="À migrer",$G20="À décommissionner"),OR(N($N20)&gt;SUMIFS(TblClusters[CPU initial (vCPU)],TblClusters[Cluster],$I20),N($O20)&gt;SUMIFS(TblClusters[RAM initiale (Go)],TblClusters[Cluster],$I20))),"Libération &gt; capacité du cluster source",IF(OR(AND($V20&lt;&gt;"",$V20&lt;p_debut),AND($W20&lt;&gt;"",$W20&gt;p_fin)),"Hors horizon (info)",IF(AND($G20="À migrer",$E20="PRD",COUNTIFS(TblApplications[ID],$C20,TblApplications[Environnement],"NPRD",TblApplications[Action],"À migrer")&gt;0,$V20&lt;_xlfn.MINIFS(TblApplications[Mois prov (calc)],TblApplications[ID],$C20,TblApplications[Environnement],"NPRD")),"PRD avant NPRD (info)","OK"))))))))))))))))))))</f>
        <v/>
      </c>
      <c r="AC20" s="76"/>
      <c r="AD20" s="76"/>
      <c r="AE20" s="22" t="str">
        <f aca="false">IF(OR($C20="",NOT(OR($G20="À migrer",$G20="À décommissionner")),NOT(ISNUMBER($N20)),NOT(ISNUMBER($O20)),$W20=""),"",($N20+p_poidsram*$O20)*SUMIFS(TblCalculs[Coût par unité],TblCalculs[Cluster],$I20,TblCalculs[Mois],"&lt;"&amp;$W20))</f>
        <v/>
      </c>
      <c r="AF20" s="22" t="str">
        <f aca="false">IF($C20="","",IF(AND($G20="À migrer",$H20="Non",$T20&lt;&gt;"",$V20&lt;&gt;""),($T20+p_poidsram*$U20)*SUMIFS(TblCalculs[Coût par unité],TblCalculs[Cluster],$J20,TblCalculs[Mois],"&gt;="&amp;$V20),IF(AND($G20="Migré",$T20&lt;&gt;""),($T20+p_poidsram*$U20)*SUMIFS(TblCalculs[Coût par unité],TblCalculs[Cluster],$J20),"")))</f>
        <v/>
      </c>
      <c r="AG20" s="22" t="str">
        <f aca="false">IF($C20="","",N($AE20)+N($AF20))</f>
        <v/>
      </c>
      <c r="AH20" s="21" t="str">
        <f aca="false">IF(OR($C20="",$G20="Décommissionné",COUNTIFS($E20,av_envc,$A20,av_domc,$B20,av_tric)=0),"",COUNTIFS($C$6:$C20,"&lt;&gt;",$G$6:$G20,"&lt;&gt;Décommissionné",$E$6:$E20,av_envc,$A$6:$A20,av_domc,$B$6:$B20,av_tric))</f>
        <v/>
      </c>
      <c r="AI20" s="21" t="str">
        <f aca="false">IF($C20="","",IF(AND(OR($G20="À migrer",$G20="À décommissionner"),$W20&lt;&gt;"",$W20&gt;ex_mois),1,0))</f>
        <v/>
      </c>
      <c r="AJ20" s="21" t="str">
        <f aca="false">IF(OR($C20="",$AI20&lt;&gt;1,COUNTIFS($E20,ex_envc,$A20,ex_domc,$B20,ex_tric)=0),"",COUNTIFS($AI$6:$AI20,1,$E$6:$E20,ex_envc,$A$6:$A20,ex_domc,$B$6:$B20,ex_tric))</f>
        <v/>
      </c>
    </row>
    <row r="21" customFormat="false" ht="15" hidden="false" customHeight="false" outlineLevel="0" collapsed="false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5"/>
      <c r="Q21" s="75"/>
      <c r="R21" s="75"/>
      <c r="S21" s="74"/>
      <c r="T21" s="21" t="str">
        <f aca="false">IF(OR($C21="",NOT(OR($G21="À migrer",$G21="Migré")),NOT(ISNUMBER($K21))),"",ROUNDUP($K21*(1+IF($AC21="",p_margeCPU,$AC21)),0))</f>
        <v/>
      </c>
      <c r="U21" s="21" t="str">
        <f aca="false">IF(OR($C21="",NOT(OR($G21="À migrer",$G21="Migré")),NOT(ISNUMBER($L21))),"",ROUNDUP($L21*(1+IF($AD21="",p_margeRAM,$AD21)),0))</f>
        <v/>
      </c>
      <c r="V21" s="39" t="str">
        <f aca="false">IF(OR(NOT($G21="À migrer"),$P21=""),"",IFERROR(DATE(YEAR($P21),MONTH($P21),1),""))</f>
        <v/>
      </c>
      <c r="W21" s="39" t="str">
        <f aca="false">IF(OR(NOT(OR($G21="À migrer",$G21="À décommissionner")),$R21=""),"",IFERROR(DATE(YEAR($R21),MONTH($R21),1),""))</f>
        <v/>
      </c>
      <c r="X21" s="21" t="str">
        <f aca="false">IF(OR($V21="",$W21=""),"",MAX(0,(YEAR($W21)-YEAR($V21))*12+MONTH($W21)-MONTH($V21)))</f>
        <v/>
      </c>
      <c r="Y21" s="21" t="str">
        <f aca="false">IF($C21="","",COUNTIF(TblApplications[ID],$C21))</f>
        <v/>
      </c>
      <c r="Z21" s="39" t="str">
        <f aca="false">IF($C21="","",IFERROR(1/(1/_xlfn.MINIFS(TblApplications[Mois prov (calc)],TblApplications[ID],$C21)),""))</f>
        <v/>
      </c>
      <c r="AA21" s="39" t="str">
        <f aca="false">IF($C21="","",IFERROR(1/(1/_xlfn.MAXIFS(TblApplications[Mois lib (calc)],TblApplications[ID],$C21)),""))</f>
        <v/>
      </c>
      <c r="AB21" s="21" t="str">
        <f aca="false">IF($C21="","",IF(OR(OR($A21="",$B21="",$D21="",$E21="",$F21="",$G21=""),AND($G21="À migrer",OR($H21="",$I21="",$J21="",$K21="",$L21="",$N21="",$O21="",$P21="",$Q21="",$R21="")),AND($G21="Migré",OR($J21="",$K21="",$L21="")),AND($G21="À décommissionner",OR($I21="",$N21="",$O21="",$R21=""))),"Données manquantes (selon l’action)",IF(AND($G21&lt;&gt;"Migré",$G21&lt;&gt;"À migrer",$G21&lt;&gt;"À décommissionner",$G21&lt;&gt;"Décommissionné"),"Action invalide",IF(COUNTIF(TblDomaines[Domaine],$A21)=0,"Domaine inconnu (référentiel)",IF(COUNTIFS(TblTribes[Tribe],$B21,TblTribes[Domaine de la tribe],$A21)=0,"Tribe inconnue ou hors domaine",IF(AND($G21="À migrer",$H21&lt;&gt;"Oui",$H21&lt;&gt;"Non"),"Valeur Oui/Non invalide (Déjà incluse ROKS)",IF(AND($E21&lt;&gt;"PRD",$E21&lt;&gt;"NPRD"),"Environnement invalide",IF(COUNTIFS(TblApplications[ID],$C21,TblApplications[Environnement],$E21,TblApplications[Couloir],$F21)&gt;1,"Déploiement en doublon (ID + env + couloir)",IF(OR(AND($K21&lt;&gt;"",NOT(ISNUMBER($K21))),AND($L21&lt;&gt;"",NOT(ISNUMBER($L21))),AND($N21&lt;&gt;"",NOT(ISNUMBER($N21))),AND($O21&lt;&gt;"",NOT(ISNUMBER($O21)))),"Ressource non numérique",IF(MIN(N($K21),N($L21),N($N21),N($O21))&lt;0,"Ressource négative",IF(OR(AND($AC21&lt;&gt;"",OR(NOT(ISNUMBER($AC21)),$AC21&lt;0,$AC21&gt;1)),AND($AD21&lt;&gt;"",OR(NOT(ISNUMBER($AD21)),$AD21&lt;0,$AD21&gt;1))),"Marge spécifique invalide (0–100 %)",IF(OR(AND($P21&lt;&gt;"",NOT(ISNUMBER($P21))),AND($Q21&lt;&gt;"",NOT(ISNUMBER($Q21))),AND($R21&lt;&gt;"",NOT(ISNUMBER($R21)))),"Mois invalide",IF(AND(OR($G21="À migrer",$G21="À décommissionner"),COUNTIFS(TblClusters[Cluster],$I21,TblClusters[Plateforme],"IKS")=0),"Cluster IKS inconnu",IF(AND(OR($G21="À migrer",$G21="Migré"),COUNTIFS(TblClusters[Cluster],$J21,TblClusters[Plateforme],"ROKS")=0),"Cluster ROKS inconnu",IF(AND(OR($G21="À migrer",$G21="À décommissionner"),COUNTIFS(TblClusters[Cluster],$I21,TblClusters[Environnement],$E21)=0),"Environnement ≠ cluster IKS",IF(AND(OR($G21="À migrer",$G21="Migré"),COUNTIFS(TblClusters[Cluster],$J21,TblClusters[Environnement],$E21)=0),"Environnement ≠ cluster ROKS",IF(AND($G21="À migrer",OR($P21&gt;$Q21,$Q21&gt;$R21)),"Dates incohérentes (prov ≤ bascule ≤ libération)",IF(AND(OR($G21="À migrer",$G21="À décommissionner"),OR(N($N21)&gt;SUMIFS(TblClusters[CPU initial (vCPU)],TblClusters[Cluster],$I21),N($O21)&gt;SUMIFS(TblClusters[RAM initiale (Go)],TblClusters[Cluster],$I21))),"Libération &gt; capacité du cluster source",IF(OR(AND($V21&lt;&gt;"",$V21&lt;p_debut),AND($W21&lt;&gt;"",$W21&gt;p_fin)),"Hors horizon (info)",IF(AND($G21="À migrer",$E21="PRD",COUNTIFS(TblApplications[ID],$C21,TblApplications[Environnement],"NPRD",TblApplications[Action],"À migrer")&gt;0,$V21&lt;_xlfn.MINIFS(TblApplications[Mois prov (calc)],TblApplications[ID],$C21,TblApplications[Environnement],"NPRD")),"PRD avant NPRD (info)","OK"))))))))))))))))))))</f>
        <v/>
      </c>
      <c r="AC21" s="76"/>
      <c r="AD21" s="76"/>
      <c r="AE21" s="22" t="str">
        <f aca="false">IF(OR($C21="",NOT(OR($G21="À migrer",$G21="À décommissionner")),NOT(ISNUMBER($N21)),NOT(ISNUMBER($O21)),$W21=""),"",($N21+p_poidsram*$O21)*SUMIFS(TblCalculs[Coût par unité],TblCalculs[Cluster],$I21,TblCalculs[Mois],"&lt;"&amp;$W21))</f>
        <v/>
      </c>
      <c r="AF21" s="22" t="str">
        <f aca="false">IF($C21="","",IF(AND($G21="À migrer",$H21="Non",$T21&lt;&gt;"",$V21&lt;&gt;""),($T21+p_poidsram*$U21)*SUMIFS(TblCalculs[Coût par unité],TblCalculs[Cluster],$J21,TblCalculs[Mois],"&gt;="&amp;$V21),IF(AND($G21="Migré",$T21&lt;&gt;""),($T21+p_poidsram*$U21)*SUMIFS(TblCalculs[Coût par unité],TblCalculs[Cluster],$J21),"")))</f>
        <v/>
      </c>
      <c r="AG21" s="22" t="str">
        <f aca="false">IF($C21="","",N($AE21)+N($AF21))</f>
        <v/>
      </c>
      <c r="AH21" s="21" t="str">
        <f aca="false">IF(OR($C21="",$G21="Décommissionné",COUNTIFS($E21,av_envc,$A21,av_domc,$B21,av_tric)=0),"",COUNTIFS($C$6:$C21,"&lt;&gt;",$G$6:$G21,"&lt;&gt;Décommissionné",$E$6:$E21,av_envc,$A$6:$A21,av_domc,$B$6:$B21,av_tric))</f>
        <v/>
      </c>
      <c r="AI21" s="21" t="str">
        <f aca="false">IF($C21="","",IF(AND(OR($G21="À migrer",$G21="À décommissionner"),$W21&lt;&gt;"",$W21&gt;ex_mois),1,0))</f>
        <v/>
      </c>
      <c r="AJ21" s="21" t="str">
        <f aca="false">IF(OR($C21="",$AI21&lt;&gt;1,COUNTIFS($E21,ex_envc,$A21,ex_domc,$B21,ex_tric)=0),"",COUNTIFS($AI$6:$AI21,1,$E$6:$E21,ex_envc,$A$6:$A21,ex_domc,$B$6:$B21,ex_tric))</f>
        <v/>
      </c>
    </row>
    <row r="22" customFormat="false" ht="15" hidden="false" customHeight="false" outlineLevel="0" collapsed="false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5"/>
      <c r="Q22" s="75"/>
      <c r="R22" s="75"/>
      <c r="S22" s="74"/>
      <c r="T22" s="21" t="str">
        <f aca="false">IF(OR($C22="",NOT(OR($G22="À migrer",$G22="Migré")),NOT(ISNUMBER($K22))),"",ROUNDUP($K22*(1+IF($AC22="",p_margeCPU,$AC22)),0))</f>
        <v/>
      </c>
      <c r="U22" s="21" t="str">
        <f aca="false">IF(OR($C22="",NOT(OR($G22="À migrer",$G22="Migré")),NOT(ISNUMBER($L22))),"",ROUNDUP($L22*(1+IF($AD22="",p_margeRAM,$AD22)),0))</f>
        <v/>
      </c>
      <c r="V22" s="39" t="str">
        <f aca="false">IF(OR(NOT($G22="À migrer"),$P22=""),"",IFERROR(DATE(YEAR($P22),MONTH($P22),1),""))</f>
        <v/>
      </c>
      <c r="W22" s="39" t="str">
        <f aca="false">IF(OR(NOT(OR($G22="À migrer",$G22="À décommissionner")),$R22=""),"",IFERROR(DATE(YEAR($R22),MONTH($R22),1),""))</f>
        <v/>
      </c>
      <c r="X22" s="21" t="str">
        <f aca="false">IF(OR($V22="",$W22=""),"",MAX(0,(YEAR($W22)-YEAR($V22))*12+MONTH($W22)-MONTH($V22)))</f>
        <v/>
      </c>
      <c r="Y22" s="21" t="str">
        <f aca="false">IF($C22="","",COUNTIF(TblApplications[ID],$C22))</f>
        <v/>
      </c>
      <c r="Z22" s="39" t="str">
        <f aca="false">IF($C22="","",IFERROR(1/(1/_xlfn.MINIFS(TblApplications[Mois prov (calc)],TblApplications[ID],$C22)),""))</f>
        <v/>
      </c>
      <c r="AA22" s="39" t="str">
        <f aca="false">IF($C22="","",IFERROR(1/(1/_xlfn.MAXIFS(TblApplications[Mois lib (calc)],TblApplications[ID],$C22)),""))</f>
        <v/>
      </c>
      <c r="AB22" s="21" t="str">
        <f aca="false">IF($C22="","",IF(OR(OR($A22="",$B22="",$D22="",$E22="",$F22="",$G22=""),AND($G22="À migrer",OR($H22="",$I22="",$J22="",$K22="",$L22="",$N22="",$O22="",$P22="",$Q22="",$R22="")),AND($G22="Migré",OR($J22="",$K22="",$L22="")),AND($G22="À décommissionner",OR($I22="",$N22="",$O22="",$R22=""))),"Données manquantes (selon l’action)",IF(AND($G22&lt;&gt;"Migré",$G22&lt;&gt;"À migrer",$G22&lt;&gt;"À décommissionner",$G22&lt;&gt;"Décommissionné"),"Action invalide",IF(COUNTIF(TblDomaines[Domaine],$A22)=0,"Domaine inconnu (référentiel)",IF(COUNTIFS(TblTribes[Tribe],$B22,TblTribes[Domaine de la tribe],$A22)=0,"Tribe inconnue ou hors domaine",IF(AND($G22="À migrer",$H22&lt;&gt;"Oui",$H22&lt;&gt;"Non"),"Valeur Oui/Non invalide (Déjà incluse ROKS)",IF(AND($E22&lt;&gt;"PRD",$E22&lt;&gt;"NPRD"),"Environnement invalide",IF(COUNTIFS(TblApplications[ID],$C22,TblApplications[Environnement],$E22,TblApplications[Couloir],$F22)&gt;1,"Déploiement en doublon (ID + env + couloir)",IF(OR(AND($K22&lt;&gt;"",NOT(ISNUMBER($K22))),AND($L22&lt;&gt;"",NOT(ISNUMBER($L22))),AND($N22&lt;&gt;"",NOT(ISNUMBER($N22))),AND($O22&lt;&gt;"",NOT(ISNUMBER($O22)))),"Ressource non numérique",IF(MIN(N($K22),N($L22),N($N22),N($O22))&lt;0,"Ressource négative",IF(OR(AND($AC22&lt;&gt;"",OR(NOT(ISNUMBER($AC22)),$AC22&lt;0,$AC22&gt;1)),AND($AD22&lt;&gt;"",OR(NOT(ISNUMBER($AD22)),$AD22&lt;0,$AD22&gt;1))),"Marge spécifique invalide (0–100 %)",IF(OR(AND($P22&lt;&gt;"",NOT(ISNUMBER($P22))),AND($Q22&lt;&gt;"",NOT(ISNUMBER($Q22))),AND($R22&lt;&gt;"",NOT(ISNUMBER($R22)))),"Mois invalide",IF(AND(OR($G22="À migrer",$G22="À décommissionner"),COUNTIFS(TblClusters[Cluster],$I22,TblClusters[Plateforme],"IKS")=0),"Cluster IKS inconnu",IF(AND(OR($G22="À migrer",$G22="Migré"),COUNTIFS(TblClusters[Cluster],$J22,TblClusters[Plateforme],"ROKS")=0),"Cluster ROKS inconnu",IF(AND(OR($G22="À migrer",$G22="À décommissionner"),COUNTIFS(TblClusters[Cluster],$I22,TblClusters[Environnement],$E22)=0),"Environnement ≠ cluster IKS",IF(AND(OR($G22="À migrer",$G22="Migré"),COUNTIFS(TblClusters[Cluster],$J22,TblClusters[Environnement],$E22)=0),"Environnement ≠ cluster ROKS",IF(AND($G22="À migrer",OR($P22&gt;$Q22,$Q22&gt;$R22)),"Dates incohérentes (prov ≤ bascule ≤ libération)",IF(AND(OR($G22="À migrer",$G22="À décommissionner"),OR(N($N22)&gt;SUMIFS(TblClusters[CPU initial (vCPU)],TblClusters[Cluster],$I22),N($O22)&gt;SUMIFS(TblClusters[RAM initiale (Go)],TblClusters[Cluster],$I22))),"Libération &gt; capacité du cluster source",IF(OR(AND($V22&lt;&gt;"",$V22&lt;p_debut),AND($W22&lt;&gt;"",$W22&gt;p_fin)),"Hors horizon (info)",IF(AND($G22="À migrer",$E22="PRD",COUNTIFS(TblApplications[ID],$C22,TblApplications[Environnement],"NPRD",TblApplications[Action],"À migrer")&gt;0,$V22&lt;_xlfn.MINIFS(TblApplications[Mois prov (calc)],TblApplications[ID],$C22,TblApplications[Environnement],"NPRD")),"PRD avant NPRD (info)","OK"))))))))))))))))))))</f>
        <v/>
      </c>
      <c r="AC22" s="76"/>
      <c r="AD22" s="76"/>
      <c r="AE22" s="22" t="str">
        <f aca="false">IF(OR($C22="",NOT(OR($G22="À migrer",$G22="À décommissionner")),NOT(ISNUMBER($N22)),NOT(ISNUMBER($O22)),$W22=""),"",($N22+p_poidsram*$O22)*SUMIFS(TblCalculs[Coût par unité],TblCalculs[Cluster],$I22,TblCalculs[Mois],"&lt;"&amp;$W22))</f>
        <v/>
      </c>
      <c r="AF22" s="22" t="str">
        <f aca="false">IF($C22="","",IF(AND($G22="À migrer",$H22="Non",$T22&lt;&gt;"",$V22&lt;&gt;""),($T22+p_poidsram*$U22)*SUMIFS(TblCalculs[Coût par unité],TblCalculs[Cluster],$J22,TblCalculs[Mois],"&gt;="&amp;$V22),IF(AND($G22="Migré",$T22&lt;&gt;""),($T22+p_poidsram*$U22)*SUMIFS(TblCalculs[Coût par unité],TblCalculs[Cluster],$J22),"")))</f>
        <v/>
      </c>
      <c r="AG22" s="22" t="str">
        <f aca="false">IF($C22="","",N($AE22)+N($AF22))</f>
        <v/>
      </c>
      <c r="AH22" s="21" t="str">
        <f aca="false">IF(OR($C22="",$G22="Décommissionné",COUNTIFS($E22,av_envc,$A22,av_domc,$B22,av_tric)=0),"",COUNTIFS($C$6:$C22,"&lt;&gt;",$G$6:$G22,"&lt;&gt;Décommissionné",$E$6:$E22,av_envc,$A$6:$A22,av_domc,$B$6:$B22,av_tric))</f>
        <v/>
      </c>
      <c r="AI22" s="21" t="str">
        <f aca="false">IF($C22="","",IF(AND(OR($G22="À migrer",$G22="À décommissionner"),$W22&lt;&gt;"",$W22&gt;ex_mois),1,0))</f>
        <v/>
      </c>
      <c r="AJ22" s="21" t="str">
        <f aca="false">IF(OR($C22="",$AI22&lt;&gt;1,COUNTIFS($E22,ex_envc,$A22,ex_domc,$B22,ex_tric)=0),"",COUNTIFS($AI$6:$AI22,1,$E$6:$E22,ex_envc,$A$6:$A22,ex_domc,$B$6:$B22,ex_tric))</f>
        <v/>
      </c>
    </row>
    <row r="23" customFormat="false" ht="15" hidden="false" customHeight="false" outlineLevel="0" collapsed="false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5"/>
      <c r="Q23" s="75"/>
      <c r="R23" s="75"/>
      <c r="S23" s="74"/>
      <c r="T23" s="21" t="str">
        <f aca="false">IF(OR($C23="",NOT(OR($G23="À migrer",$G23="Migré")),NOT(ISNUMBER($K23))),"",ROUNDUP($K23*(1+IF($AC23="",p_margeCPU,$AC23)),0))</f>
        <v/>
      </c>
      <c r="U23" s="21" t="str">
        <f aca="false">IF(OR($C23="",NOT(OR($G23="À migrer",$G23="Migré")),NOT(ISNUMBER($L23))),"",ROUNDUP($L23*(1+IF($AD23="",p_margeRAM,$AD23)),0))</f>
        <v/>
      </c>
      <c r="V23" s="39" t="str">
        <f aca="false">IF(OR(NOT($G23="À migrer"),$P23=""),"",IFERROR(DATE(YEAR($P23),MONTH($P23),1),""))</f>
        <v/>
      </c>
      <c r="W23" s="39" t="str">
        <f aca="false">IF(OR(NOT(OR($G23="À migrer",$G23="À décommissionner")),$R23=""),"",IFERROR(DATE(YEAR($R23),MONTH($R23),1),""))</f>
        <v/>
      </c>
      <c r="X23" s="21" t="str">
        <f aca="false">IF(OR($V23="",$W23=""),"",MAX(0,(YEAR($W23)-YEAR($V23))*12+MONTH($W23)-MONTH($V23)))</f>
        <v/>
      </c>
      <c r="Y23" s="21" t="str">
        <f aca="false">IF($C23="","",COUNTIF(TblApplications[ID],$C23))</f>
        <v/>
      </c>
      <c r="Z23" s="39" t="str">
        <f aca="false">IF($C23="","",IFERROR(1/(1/_xlfn.MINIFS(TblApplications[Mois prov (calc)],TblApplications[ID],$C23)),""))</f>
        <v/>
      </c>
      <c r="AA23" s="39" t="str">
        <f aca="false">IF($C23="","",IFERROR(1/(1/_xlfn.MAXIFS(TblApplications[Mois lib (calc)],TblApplications[ID],$C23)),""))</f>
        <v/>
      </c>
      <c r="AB23" s="21" t="str">
        <f aca="false">IF($C23="","",IF(OR(OR($A23="",$B23="",$D23="",$E23="",$F23="",$G23=""),AND($G23="À migrer",OR($H23="",$I23="",$J23="",$K23="",$L23="",$N23="",$O23="",$P23="",$Q23="",$R23="")),AND($G23="Migré",OR($J23="",$K23="",$L23="")),AND($G23="À décommissionner",OR($I23="",$N23="",$O23="",$R23=""))),"Données manquantes (selon l’action)",IF(AND($G23&lt;&gt;"Migré",$G23&lt;&gt;"À migrer",$G23&lt;&gt;"À décommissionner",$G23&lt;&gt;"Décommissionné"),"Action invalide",IF(COUNTIF(TblDomaines[Domaine],$A23)=0,"Domaine inconnu (référentiel)",IF(COUNTIFS(TblTribes[Tribe],$B23,TblTribes[Domaine de la tribe],$A23)=0,"Tribe inconnue ou hors domaine",IF(AND($G23="À migrer",$H23&lt;&gt;"Oui",$H23&lt;&gt;"Non"),"Valeur Oui/Non invalide (Déjà incluse ROKS)",IF(AND($E23&lt;&gt;"PRD",$E23&lt;&gt;"NPRD"),"Environnement invalide",IF(COUNTIFS(TblApplications[ID],$C23,TblApplications[Environnement],$E23,TblApplications[Couloir],$F23)&gt;1,"Déploiement en doublon (ID + env + couloir)",IF(OR(AND($K23&lt;&gt;"",NOT(ISNUMBER($K23))),AND($L23&lt;&gt;"",NOT(ISNUMBER($L23))),AND($N23&lt;&gt;"",NOT(ISNUMBER($N23))),AND($O23&lt;&gt;"",NOT(ISNUMBER($O23)))),"Ressource non numérique",IF(MIN(N($K23),N($L23),N($N23),N($O23))&lt;0,"Ressource négative",IF(OR(AND($AC23&lt;&gt;"",OR(NOT(ISNUMBER($AC23)),$AC23&lt;0,$AC23&gt;1)),AND($AD23&lt;&gt;"",OR(NOT(ISNUMBER($AD23)),$AD23&lt;0,$AD23&gt;1))),"Marge spécifique invalide (0–100 %)",IF(OR(AND($P23&lt;&gt;"",NOT(ISNUMBER($P23))),AND($Q23&lt;&gt;"",NOT(ISNUMBER($Q23))),AND($R23&lt;&gt;"",NOT(ISNUMBER($R23)))),"Mois invalide",IF(AND(OR($G23="À migrer",$G23="À décommissionner"),COUNTIFS(TblClusters[Cluster],$I23,TblClusters[Plateforme],"IKS")=0),"Cluster IKS inconnu",IF(AND(OR($G23="À migrer",$G23="Migré"),COUNTIFS(TblClusters[Cluster],$J23,TblClusters[Plateforme],"ROKS")=0),"Cluster ROKS inconnu",IF(AND(OR($G23="À migrer",$G23="À décommissionner"),COUNTIFS(TblClusters[Cluster],$I23,TblClusters[Environnement],$E23)=0),"Environnement ≠ cluster IKS",IF(AND(OR($G23="À migrer",$G23="Migré"),COUNTIFS(TblClusters[Cluster],$J23,TblClusters[Environnement],$E23)=0),"Environnement ≠ cluster ROKS",IF(AND($G23="À migrer",OR($P23&gt;$Q23,$Q23&gt;$R23)),"Dates incohérentes (prov ≤ bascule ≤ libération)",IF(AND(OR($G23="À migrer",$G23="À décommissionner"),OR(N($N23)&gt;SUMIFS(TblClusters[CPU initial (vCPU)],TblClusters[Cluster],$I23),N($O23)&gt;SUMIFS(TblClusters[RAM initiale (Go)],TblClusters[Cluster],$I23))),"Libération &gt; capacité du cluster source",IF(OR(AND($V23&lt;&gt;"",$V23&lt;p_debut),AND($W23&lt;&gt;"",$W23&gt;p_fin)),"Hors horizon (info)",IF(AND($G23="À migrer",$E23="PRD",COUNTIFS(TblApplications[ID],$C23,TblApplications[Environnement],"NPRD",TblApplications[Action],"À migrer")&gt;0,$V23&lt;_xlfn.MINIFS(TblApplications[Mois prov (calc)],TblApplications[ID],$C23,TblApplications[Environnement],"NPRD")),"PRD avant NPRD (info)","OK"))))))))))))))))))))</f>
        <v/>
      </c>
      <c r="AC23" s="76"/>
      <c r="AD23" s="76"/>
      <c r="AE23" s="22" t="str">
        <f aca="false">IF(OR($C23="",NOT(OR($G23="À migrer",$G23="À décommissionner")),NOT(ISNUMBER($N23)),NOT(ISNUMBER($O23)),$W23=""),"",($N23+p_poidsram*$O23)*SUMIFS(TblCalculs[Coût par unité],TblCalculs[Cluster],$I23,TblCalculs[Mois],"&lt;"&amp;$W23))</f>
        <v/>
      </c>
      <c r="AF23" s="22" t="str">
        <f aca="false">IF($C23="","",IF(AND($G23="À migrer",$H23="Non",$T23&lt;&gt;"",$V23&lt;&gt;""),($T23+p_poidsram*$U23)*SUMIFS(TblCalculs[Coût par unité],TblCalculs[Cluster],$J23,TblCalculs[Mois],"&gt;="&amp;$V23),IF(AND($G23="Migré",$T23&lt;&gt;""),($T23+p_poidsram*$U23)*SUMIFS(TblCalculs[Coût par unité],TblCalculs[Cluster],$J23),"")))</f>
        <v/>
      </c>
      <c r="AG23" s="22" t="str">
        <f aca="false">IF($C23="","",N($AE23)+N($AF23))</f>
        <v/>
      </c>
      <c r="AH23" s="21" t="str">
        <f aca="false">IF(OR($C23="",$G23="Décommissionné",COUNTIFS($E23,av_envc,$A23,av_domc,$B23,av_tric)=0),"",COUNTIFS($C$6:$C23,"&lt;&gt;",$G$6:$G23,"&lt;&gt;Décommissionné",$E$6:$E23,av_envc,$A$6:$A23,av_domc,$B$6:$B23,av_tric))</f>
        <v/>
      </c>
      <c r="AI23" s="21" t="str">
        <f aca="false">IF($C23="","",IF(AND(OR($G23="À migrer",$G23="À décommissionner"),$W23&lt;&gt;"",$W23&gt;ex_mois),1,0))</f>
        <v/>
      </c>
      <c r="AJ23" s="21" t="str">
        <f aca="false">IF(OR($C23="",$AI23&lt;&gt;1,COUNTIFS($E23,ex_envc,$A23,ex_domc,$B23,ex_tric)=0),"",COUNTIFS($AI$6:$AI23,1,$E$6:$E23,ex_envc,$A$6:$A23,ex_domc,$B$6:$B23,ex_tric))</f>
        <v/>
      </c>
    </row>
    <row r="24" customFormat="false" ht="15" hidden="false" customHeight="false" outlineLevel="0" collapsed="false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5"/>
      <c r="Q24" s="75"/>
      <c r="R24" s="75"/>
      <c r="S24" s="74"/>
      <c r="T24" s="21" t="str">
        <f aca="false">IF(OR($C24="",NOT(OR($G24="À migrer",$G24="Migré")),NOT(ISNUMBER($K24))),"",ROUNDUP($K24*(1+IF($AC24="",p_margeCPU,$AC24)),0))</f>
        <v/>
      </c>
      <c r="U24" s="21" t="str">
        <f aca="false">IF(OR($C24="",NOT(OR($G24="À migrer",$G24="Migré")),NOT(ISNUMBER($L24))),"",ROUNDUP($L24*(1+IF($AD24="",p_margeRAM,$AD24)),0))</f>
        <v/>
      </c>
      <c r="V24" s="39" t="str">
        <f aca="false">IF(OR(NOT($G24="À migrer"),$P24=""),"",IFERROR(DATE(YEAR($P24),MONTH($P24),1),""))</f>
        <v/>
      </c>
      <c r="W24" s="39" t="str">
        <f aca="false">IF(OR(NOT(OR($G24="À migrer",$G24="À décommissionner")),$R24=""),"",IFERROR(DATE(YEAR($R24),MONTH($R24),1),""))</f>
        <v/>
      </c>
      <c r="X24" s="21" t="str">
        <f aca="false">IF(OR($V24="",$W24=""),"",MAX(0,(YEAR($W24)-YEAR($V24))*12+MONTH($W24)-MONTH($V24)))</f>
        <v/>
      </c>
      <c r="Y24" s="21" t="str">
        <f aca="false">IF($C24="","",COUNTIF(TblApplications[ID],$C24))</f>
        <v/>
      </c>
      <c r="Z24" s="39" t="str">
        <f aca="false">IF($C24="","",IFERROR(1/(1/_xlfn.MINIFS(TblApplications[Mois prov (calc)],TblApplications[ID],$C24)),""))</f>
        <v/>
      </c>
      <c r="AA24" s="39" t="str">
        <f aca="false">IF($C24="","",IFERROR(1/(1/_xlfn.MAXIFS(TblApplications[Mois lib (calc)],TblApplications[ID],$C24)),""))</f>
        <v/>
      </c>
      <c r="AB24" s="21" t="str">
        <f aca="false">IF($C24="","",IF(OR(OR($A24="",$B24="",$D24="",$E24="",$F24="",$G24=""),AND($G24="À migrer",OR($H24="",$I24="",$J24="",$K24="",$L24="",$N24="",$O24="",$P24="",$Q24="",$R24="")),AND($G24="Migré",OR($J24="",$K24="",$L24="")),AND($G24="À décommissionner",OR($I24="",$N24="",$O24="",$R24=""))),"Données manquantes (selon l’action)",IF(AND($G24&lt;&gt;"Migré",$G24&lt;&gt;"À migrer",$G24&lt;&gt;"À décommissionner",$G24&lt;&gt;"Décommissionné"),"Action invalide",IF(COUNTIF(TblDomaines[Domaine],$A24)=0,"Domaine inconnu (référentiel)",IF(COUNTIFS(TblTribes[Tribe],$B24,TblTribes[Domaine de la tribe],$A24)=0,"Tribe inconnue ou hors domaine",IF(AND($G24="À migrer",$H24&lt;&gt;"Oui",$H24&lt;&gt;"Non"),"Valeur Oui/Non invalide (Déjà incluse ROKS)",IF(AND($E24&lt;&gt;"PRD",$E24&lt;&gt;"NPRD"),"Environnement invalide",IF(COUNTIFS(TblApplications[ID],$C24,TblApplications[Environnement],$E24,TblApplications[Couloir],$F24)&gt;1,"Déploiement en doublon (ID + env + couloir)",IF(OR(AND($K24&lt;&gt;"",NOT(ISNUMBER($K24))),AND($L24&lt;&gt;"",NOT(ISNUMBER($L24))),AND($N24&lt;&gt;"",NOT(ISNUMBER($N24))),AND($O24&lt;&gt;"",NOT(ISNUMBER($O24)))),"Ressource non numérique",IF(MIN(N($K24),N($L24),N($N24),N($O24))&lt;0,"Ressource négative",IF(OR(AND($AC24&lt;&gt;"",OR(NOT(ISNUMBER($AC24)),$AC24&lt;0,$AC24&gt;1)),AND($AD24&lt;&gt;"",OR(NOT(ISNUMBER($AD24)),$AD24&lt;0,$AD24&gt;1))),"Marge spécifique invalide (0–100 %)",IF(OR(AND($P24&lt;&gt;"",NOT(ISNUMBER($P24))),AND($Q24&lt;&gt;"",NOT(ISNUMBER($Q24))),AND($R24&lt;&gt;"",NOT(ISNUMBER($R24)))),"Mois invalide",IF(AND(OR($G24="À migrer",$G24="À décommissionner"),COUNTIFS(TblClusters[Cluster],$I24,TblClusters[Plateforme],"IKS")=0),"Cluster IKS inconnu",IF(AND(OR($G24="À migrer",$G24="Migré"),COUNTIFS(TblClusters[Cluster],$J24,TblClusters[Plateforme],"ROKS")=0),"Cluster ROKS inconnu",IF(AND(OR($G24="À migrer",$G24="À décommissionner"),COUNTIFS(TblClusters[Cluster],$I24,TblClusters[Environnement],$E24)=0),"Environnement ≠ cluster IKS",IF(AND(OR($G24="À migrer",$G24="Migré"),COUNTIFS(TblClusters[Cluster],$J24,TblClusters[Environnement],$E24)=0),"Environnement ≠ cluster ROKS",IF(AND($G24="À migrer",OR($P24&gt;$Q24,$Q24&gt;$R24)),"Dates incohérentes (prov ≤ bascule ≤ libération)",IF(AND(OR($G24="À migrer",$G24="À décommissionner"),OR(N($N24)&gt;SUMIFS(TblClusters[CPU initial (vCPU)],TblClusters[Cluster],$I24),N($O24)&gt;SUMIFS(TblClusters[RAM initiale (Go)],TblClusters[Cluster],$I24))),"Libération &gt; capacité du cluster source",IF(OR(AND($V24&lt;&gt;"",$V24&lt;p_debut),AND($W24&lt;&gt;"",$W24&gt;p_fin)),"Hors horizon (info)",IF(AND($G24="À migrer",$E24="PRD",COUNTIFS(TblApplications[ID],$C24,TblApplications[Environnement],"NPRD",TblApplications[Action],"À migrer")&gt;0,$V24&lt;_xlfn.MINIFS(TblApplications[Mois prov (calc)],TblApplications[ID],$C24,TblApplications[Environnement],"NPRD")),"PRD avant NPRD (info)","OK"))))))))))))))))))))</f>
        <v/>
      </c>
      <c r="AC24" s="76"/>
      <c r="AD24" s="76"/>
      <c r="AE24" s="22" t="str">
        <f aca="false">IF(OR($C24="",NOT(OR($G24="À migrer",$G24="À décommissionner")),NOT(ISNUMBER($N24)),NOT(ISNUMBER($O24)),$W24=""),"",($N24+p_poidsram*$O24)*SUMIFS(TblCalculs[Coût par unité],TblCalculs[Cluster],$I24,TblCalculs[Mois],"&lt;"&amp;$W24))</f>
        <v/>
      </c>
      <c r="AF24" s="22" t="str">
        <f aca="false">IF($C24="","",IF(AND($G24="À migrer",$H24="Non",$T24&lt;&gt;"",$V24&lt;&gt;""),($T24+p_poidsram*$U24)*SUMIFS(TblCalculs[Coût par unité],TblCalculs[Cluster],$J24,TblCalculs[Mois],"&gt;="&amp;$V24),IF(AND($G24="Migré",$T24&lt;&gt;""),($T24+p_poidsram*$U24)*SUMIFS(TblCalculs[Coût par unité],TblCalculs[Cluster],$J24),"")))</f>
        <v/>
      </c>
      <c r="AG24" s="22" t="str">
        <f aca="false">IF($C24="","",N($AE24)+N($AF24))</f>
        <v/>
      </c>
      <c r="AH24" s="21" t="str">
        <f aca="false">IF(OR($C24="",$G24="Décommissionné",COUNTIFS($E24,av_envc,$A24,av_domc,$B24,av_tric)=0),"",COUNTIFS($C$6:$C24,"&lt;&gt;",$G$6:$G24,"&lt;&gt;Décommissionné",$E$6:$E24,av_envc,$A$6:$A24,av_domc,$B$6:$B24,av_tric))</f>
        <v/>
      </c>
      <c r="AI24" s="21" t="str">
        <f aca="false">IF($C24="","",IF(AND(OR($G24="À migrer",$G24="À décommissionner"),$W24&lt;&gt;"",$W24&gt;ex_mois),1,0))</f>
        <v/>
      </c>
      <c r="AJ24" s="21" t="str">
        <f aca="false">IF(OR($C24="",$AI24&lt;&gt;1,COUNTIFS($E24,ex_envc,$A24,ex_domc,$B24,ex_tric)=0),"",COUNTIFS($AI$6:$AI24,1,$E$6:$E24,ex_envc,$A$6:$A24,ex_domc,$B$6:$B24,ex_tric))</f>
        <v/>
      </c>
    </row>
    <row r="25" customFormat="false" ht="15" hidden="false" customHeight="false" outlineLevel="0" collapsed="false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5"/>
      <c r="Q25" s="75"/>
      <c r="R25" s="75"/>
      <c r="S25" s="74"/>
      <c r="T25" s="21" t="str">
        <f aca="false">IF(OR($C25="",NOT(OR($G25="À migrer",$G25="Migré")),NOT(ISNUMBER($K25))),"",ROUNDUP($K25*(1+IF($AC25="",p_margeCPU,$AC25)),0))</f>
        <v/>
      </c>
      <c r="U25" s="21" t="str">
        <f aca="false">IF(OR($C25="",NOT(OR($G25="À migrer",$G25="Migré")),NOT(ISNUMBER($L25))),"",ROUNDUP($L25*(1+IF($AD25="",p_margeRAM,$AD25)),0))</f>
        <v/>
      </c>
      <c r="V25" s="39" t="str">
        <f aca="false">IF(OR(NOT($G25="À migrer"),$P25=""),"",IFERROR(DATE(YEAR($P25),MONTH($P25),1),""))</f>
        <v/>
      </c>
      <c r="W25" s="39" t="str">
        <f aca="false">IF(OR(NOT(OR($G25="À migrer",$G25="À décommissionner")),$R25=""),"",IFERROR(DATE(YEAR($R25),MONTH($R25),1),""))</f>
        <v/>
      </c>
      <c r="X25" s="21" t="str">
        <f aca="false">IF(OR($V25="",$W25=""),"",MAX(0,(YEAR($W25)-YEAR($V25))*12+MONTH($W25)-MONTH($V25)))</f>
        <v/>
      </c>
      <c r="Y25" s="21" t="str">
        <f aca="false">IF($C25="","",COUNTIF(TblApplications[ID],$C25))</f>
        <v/>
      </c>
      <c r="Z25" s="39" t="str">
        <f aca="false">IF($C25="","",IFERROR(1/(1/_xlfn.MINIFS(TblApplications[Mois prov (calc)],TblApplications[ID],$C25)),""))</f>
        <v/>
      </c>
      <c r="AA25" s="39" t="str">
        <f aca="false">IF($C25="","",IFERROR(1/(1/_xlfn.MAXIFS(TblApplications[Mois lib (calc)],TblApplications[ID],$C25)),""))</f>
        <v/>
      </c>
      <c r="AB25" s="21" t="str">
        <f aca="false">IF($C25="","",IF(OR(OR($A25="",$B25="",$D25="",$E25="",$F25="",$G25=""),AND($G25="À migrer",OR($H25="",$I25="",$J25="",$K25="",$L25="",$N25="",$O25="",$P25="",$Q25="",$R25="")),AND($G25="Migré",OR($J25="",$K25="",$L25="")),AND($G25="À décommissionner",OR($I25="",$N25="",$O25="",$R25=""))),"Données manquantes (selon l’action)",IF(AND($G25&lt;&gt;"Migré",$G25&lt;&gt;"À migrer",$G25&lt;&gt;"À décommissionner",$G25&lt;&gt;"Décommissionné"),"Action invalide",IF(COUNTIF(TblDomaines[Domaine],$A25)=0,"Domaine inconnu (référentiel)",IF(COUNTIFS(TblTribes[Tribe],$B25,TblTribes[Domaine de la tribe],$A25)=0,"Tribe inconnue ou hors domaine",IF(AND($G25="À migrer",$H25&lt;&gt;"Oui",$H25&lt;&gt;"Non"),"Valeur Oui/Non invalide (Déjà incluse ROKS)",IF(AND($E25&lt;&gt;"PRD",$E25&lt;&gt;"NPRD"),"Environnement invalide",IF(COUNTIFS(TblApplications[ID],$C25,TblApplications[Environnement],$E25,TblApplications[Couloir],$F25)&gt;1,"Déploiement en doublon (ID + env + couloir)",IF(OR(AND($K25&lt;&gt;"",NOT(ISNUMBER($K25))),AND($L25&lt;&gt;"",NOT(ISNUMBER($L25))),AND($N25&lt;&gt;"",NOT(ISNUMBER($N25))),AND($O25&lt;&gt;"",NOT(ISNUMBER($O25)))),"Ressource non numérique",IF(MIN(N($K25),N($L25),N($N25),N($O25))&lt;0,"Ressource négative",IF(OR(AND($AC25&lt;&gt;"",OR(NOT(ISNUMBER($AC25)),$AC25&lt;0,$AC25&gt;1)),AND($AD25&lt;&gt;"",OR(NOT(ISNUMBER($AD25)),$AD25&lt;0,$AD25&gt;1))),"Marge spécifique invalide (0–100 %)",IF(OR(AND($P25&lt;&gt;"",NOT(ISNUMBER($P25))),AND($Q25&lt;&gt;"",NOT(ISNUMBER($Q25))),AND($R25&lt;&gt;"",NOT(ISNUMBER($R25)))),"Mois invalide",IF(AND(OR($G25="À migrer",$G25="À décommissionner"),COUNTIFS(TblClusters[Cluster],$I25,TblClusters[Plateforme],"IKS")=0),"Cluster IKS inconnu",IF(AND(OR($G25="À migrer",$G25="Migré"),COUNTIFS(TblClusters[Cluster],$J25,TblClusters[Plateforme],"ROKS")=0),"Cluster ROKS inconnu",IF(AND(OR($G25="À migrer",$G25="À décommissionner"),COUNTIFS(TblClusters[Cluster],$I25,TblClusters[Environnement],$E25)=0),"Environnement ≠ cluster IKS",IF(AND(OR($G25="À migrer",$G25="Migré"),COUNTIFS(TblClusters[Cluster],$J25,TblClusters[Environnement],$E25)=0),"Environnement ≠ cluster ROKS",IF(AND($G25="À migrer",OR($P25&gt;$Q25,$Q25&gt;$R25)),"Dates incohérentes (prov ≤ bascule ≤ libération)",IF(AND(OR($G25="À migrer",$G25="À décommissionner"),OR(N($N25)&gt;SUMIFS(TblClusters[CPU initial (vCPU)],TblClusters[Cluster],$I25),N($O25)&gt;SUMIFS(TblClusters[RAM initiale (Go)],TblClusters[Cluster],$I25))),"Libération &gt; capacité du cluster source",IF(OR(AND($V25&lt;&gt;"",$V25&lt;p_debut),AND($W25&lt;&gt;"",$W25&gt;p_fin)),"Hors horizon (info)",IF(AND($G25="À migrer",$E25="PRD",COUNTIFS(TblApplications[ID],$C25,TblApplications[Environnement],"NPRD",TblApplications[Action],"À migrer")&gt;0,$V25&lt;_xlfn.MINIFS(TblApplications[Mois prov (calc)],TblApplications[ID],$C25,TblApplications[Environnement],"NPRD")),"PRD avant NPRD (info)","OK"))))))))))))))))))))</f>
        <v/>
      </c>
      <c r="AC25" s="76"/>
      <c r="AD25" s="76"/>
      <c r="AE25" s="22" t="str">
        <f aca="false">IF(OR($C25="",NOT(OR($G25="À migrer",$G25="À décommissionner")),NOT(ISNUMBER($N25)),NOT(ISNUMBER($O25)),$W25=""),"",($N25+p_poidsram*$O25)*SUMIFS(TblCalculs[Coût par unité],TblCalculs[Cluster],$I25,TblCalculs[Mois],"&lt;"&amp;$W25))</f>
        <v/>
      </c>
      <c r="AF25" s="22" t="str">
        <f aca="false">IF($C25="","",IF(AND($G25="À migrer",$H25="Non",$T25&lt;&gt;"",$V25&lt;&gt;""),($T25+p_poidsram*$U25)*SUMIFS(TblCalculs[Coût par unité],TblCalculs[Cluster],$J25,TblCalculs[Mois],"&gt;="&amp;$V25),IF(AND($G25="Migré",$T25&lt;&gt;""),($T25+p_poidsram*$U25)*SUMIFS(TblCalculs[Coût par unité],TblCalculs[Cluster],$J25),"")))</f>
        <v/>
      </c>
      <c r="AG25" s="22" t="str">
        <f aca="false">IF($C25="","",N($AE25)+N($AF25))</f>
        <v/>
      </c>
      <c r="AH25" s="21" t="str">
        <f aca="false">IF(OR($C25="",$G25="Décommissionné",COUNTIFS($E25,av_envc,$A25,av_domc,$B25,av_tric)=0),"",COUNTIFS($C$6:$C25,"&lt;&gt;",$G$6:$G25,"&lt;&gt;Décommissionné",$E$6:$E25,av_envc,$A$6:$A25,av_domc,$B$6:$B25,av_tric))</f>
        <v/>
      </c>
      <c r="AI25" s="21" t="str">
        <f aca="false">IF($C25="","",IF(AND(OR($G25="À migrer",$G25="À décommissionner"),$W25&lt;&gt;"",$W25&gt;ex_mois),1,0))</f>
        <v/>
      </c>
      <c r="AJ25" s="21" t="str">
        <f aca="false">IF(OR($C25="",$AI25&lt;&gt;1,COUNTIFS($E25,ex_envc,$A25,ex_domc,$B25,ex_tric)=0),"",COUNTIFS($AI$6:$AI25,1,$E$6:$E25,ex_envc,$A$6:$A25,ex_domc,$B$6:$B25,ex_tric))</f>
        <v/>
      </c>
    </row>
    <row r="26" customFormat="false" ht="15" hidden="false" customHeight="false" outlineLevel="0" collapsed="false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5"/>
      <c r="Q26" s="75"/>
      <c r="R26" s="75"/>
      <c r="S26" s="74"/>
      <c r="T26" s="21" t="str">
        <f aca="false">IF(OR($C26="",NOT(OR($G26="À migrer",$G26="Migré")),NOT(ISNUMBER($K26))),"",ROUNDUP($K26*(1+IF($AC26="",p_margeCPU,$AC26)),0))</f>
        <v/>
      </c>
      <c r="U26" s="21" t="str">
        <f aca="false">IF(OR($C26="",NOT(OR($G26="À migrer",$G26="Migré")),NOT(ISNUMBER($L26))),"",ROUNDUP($L26*(1+IF($AD26="",p_margeRAM,$AD26)),0))</f>
        <v/>
      </c>
      <c r="V26" s="39" t="str">
        <f aca="false">IF(OR(NOT($G26="À migrer"),$P26=""),"",IFERROR(DATE(YEAR($P26),MONTH($P26),1),""))</f>
        <v/>
      </c>
      <c r="W26" s="39" t="str">
        <f aca="false">IF(OR(NOT(OR($G26="À migrer",$G26="À décommissionner")),$R26=""),"",IFERROR(DATE(YEAR($R26),MONTH($R26),1),""))</f>
        <v/>
      </c>
      <c r="X26" s="21" t="str">
        <f aca="false">IF(OR($V26="",$W26=""),"",MAX(0,(YEAR($W26)-YEAR($V26))*12+MONTH($W26)-MONTH($V26)))</f>
        <v/>
      </c>
      <c r="Y26" s="21" t="str">
        <f aca="false">IF($C26="","",COUNTIF(TblApplications[ID],$C26))</f>
        <v/>
      </c>
      <c r="Z26" s="39" t="str">
        <f aca="false">IF($C26="","",IFERROR(1/(1/_xlfn.MINIFS(TblApplications[Mois prov (calc)],TblApplications[ID],$C26)),""))</f>
        <v/>
      </c>
      <c r="AA26" s="39" t="str">
        <f aca="false">IF($C26="","",IFERROR(1/(1/_xlfn.MAXIFS(TblApplications[Mois lib (calc)],TblApplications[ID],$C26)),""))</f>
        <v/>
      </c>
      <c r="AB26" s="21" t="str">
        <f aca="false">IF($C26="","",IF(OR(OR($A26="",$B26="",$D26="",$E26="",$F26="",$G26=""),AND($G26="À migrer",OR($H26="",$I26="",$J26="",$K26="",$L26="",$N26="",$O26="",$P26="",$Q26="",$R26="")),AND($G26="Migré",OR($J26="",$K26="",$L26="")),AND($G26="À décommissionner",OR($I26="",$N26="",$O26="",$R26=""))),"Données manquantes (selon l’action)",IF(AND($G26&lt;&gt;"Migré",$G26&lt;&gt;"À migrer",$G26&lt;&gt;"À décommissionner",$G26&lt;&gt;"Décommissionné"),"Action invalide",IF(COUNTIF(TblDomaines[Domaine],$A26)=0,"Domaine inconnu (référentiel)",IF(COUNTIFS(TblTribes[Tribe],$B26,TblTribes[Domaine de la tribe],$A26)=0,"Tribe inconnue ou hors domaine",IF(AND($G26="À migrer",$H26&lt;&gt;"Oui",$H26&lt;&gt;"Non"),"Valeur Oui/Non invalide (Déjà incluse ROKS)",IF(AND($E26&lt;&gt;"PRD",$E26&lt;&gt;"NPRD"),"Environnement invalide",IF(COUNTIFS(TblApplications[ID],$C26,TblApplications[Environnement],$E26,TblApplications[Couloir],$F26)&gt;1,"Déploiement en doublon (ID + env + couloir)",IF(OR(AND($K26&lt;&gt;"",NOT(ISNUMBER($K26))),AND($L26&lt;&gt;"",NOT(ISNUMBER($L26))),AND($N26&lt;&gt;"",NOT(ISNUMBER($N26))),AND($O26&lt;&gt;"",NOT(ISNUMBER($O26)))),"Ressource non numérique",IF(MIN(N($K26),N($L26),N($N26),N($O26))&lt;0,"Ressource négative",IF(OR(AND($AC26&lt;&gt;"",OR(NOT(ISNUMBER($AC26)),$AC26&lt;0,$AC26&gt;1)),AND($AD26&lt;&gt;"",OR(NOT(ISNUMBER($AD26)),$AD26&lt;0,$AD26&gt;1))),"Marge spécifique invalide (0–100 %)",IF(OR(AND($P26&lt;&gt;"",NOT(ISNUMBER($P26))),AND($Q26&lt;&gt;"",NOT(ISNUMBER($Q26))),AND($R26&lt;&gt;"",NOT(ISNUMBER($R26)))),"Mois invalide",IF(AND(OR($G26="À migrer",$G26="À décommissionner"),COUNTIFS(TblClusters[Cluster],$I26,TblClusters[Plateforme],"IKS")=0),"Cluster IKS inconnu",IF(AND(OR($G26="À migrer",$G26="Migré"),COUNTIFS(TblClusters[Cluster],$J26,TblClusters[Plateforme],"ROKS")=0),"Cluster ROKS inconnu",IF(AND(OR($G26="À migrer",$G26="À décommissionner"),COUNTIFS(TblClusters[Cluster],$I26,TblClusters[Environnement],$E26)=0),"Environnement ≠ cluster IKS",IF(AND(OR($G26="À migrer",$G26="Migré"),COUNTIFS(TblClusters[Cluster],$J26,TblClusters[Environnement],$E26)=0),"Environnement ≠ cluster ROKS",IF(AND($G26="À migrer",OR($P26&gt;$Q26,$Q26&gt;$R26)),"Dates incohérentes (prov ≤ bascule ≤ libération)",IF(AND(OR($G26="À migrer",$G26="À décommissionner"),OR(N($N26)&gt;SUMIFS(TblClusters[CPU initial (vCPU)],TblClusters[Cluster],$I26),N($O26)&gt;SUMIFS(TblClusters[RAM initiale (Go)],TblClusters[Cluster],$I26))),"Libération &gt; capacité du cluster source",IF(OR(AND($V26&lt;&gt;"",$V26&lt;p_debut),AND($W26&lt;&gt;"",$W26&gt;p_fin)),"Hors horizon (info)",IF(AND($G26="À migrer",$E26="PRD",COUNTIFS(TblApplications[ID],$C26,TblApplications[Environnement],"NPRD",TblApplications[Action],"À migrer")&gt;0,$V26&lt;_xlfn.MINIFS(TblApplications[Mois prov (calc)],TblApplications[ID],$C26,TblApplications[Environnement],"NPRD")),"PRD avant NPRD (info)","OK"))))))))))))))))))))</f>
        <v/>
      </c>
      <c r="AC26" s="76"/>
      <c r="AD26" s="76"/>
      <c r="AE26" s="22" t="str">
        <f aca="false">IF(OR($C26="",NOT(OR($G26="À migrer",$G26="À décommissionner")),NOT(ISNUMBER($N26)),NOT(ISNUMBER($O26)),$W26=""),"",($N26+p_poidsram*$O26)*SUMIFS(TblCalculs[Coût par unité],TblCalculs[Cluster],$I26,TblCalculs[Mois],"&lt;"&amp;$W26))</f>
        <v/>
      </c>
      <c r="AF26" s="22" t="str">
        <f aca="false">IF($C26="","",IF(AND($G26="À migrer",$H26="Non",$T26&lt;&gt;"",$V26&lt;&gt;""),($T26+p_poidsram*$U26)*SUMIFS(TblCalculs[Coût par unité],TblCalculs[Cluster],$J26,TblCalculs[Mois],"&gt;="&amp;$V26),IF(AND($G26="Migré",$T26&lt;&gt;""),($T26+p_poidsram*$U26)*SUMIFS(TblCalculs[Coût par unité],TblCalculs[Cluster],$J26),"")))</f>
        <v/>
      </c>
      <c r="AG26" s="22" t="str">
        <f aca="false">IF($C26="","",N($AE26)+N($AF26))</f>
        <v/>
      </c>
      <c r="AH26" s="21" t="str">
        <f aca="false">IF(OR($C26="",$G26="Décommissionné",COUNTIFS($E26,av_envc,$A26,av_domc,$B26,av_tric)=0),"",COUNTIFS($C$6:$C26,"&lt;&gt;",$G$6:$G26,"&lt;&gt;Décommissionné",$E$6:$E26,av_envc,$A$6:$A26,av_domc,$B$6:$B26,av_tric))</f>
        <v/>
      </c>
      <c r="AI26" s="21" t="str">
        <f aca="false">IF($C26="","",IF(AND(OR($G26="À migrer",$G26="À décommissionner"),$W26&lt;&gt;"",$W26&gt;ex_mois),1,0))</f>
        <v/>
      </c>
      <c r="AJ26" s="21" t="str">
        <f aca="false">IF(OR($C26="",$AI26&lt;&gt;1,COUNTIFS($E26,ex_envc,$A26,ex_domc,$B26,ex_tric)=0),"",COUNTIFS($AI$6:$AI26,1,$E$6:$E26,ex_envc,$A$6:$A26,ex_domc,$B$6:$B26,ex_tric))</f>
        <v/>
      </c>
    </row>
    <row r="27" customFormat="false" ht="15" hidden="false" customHeight="false" outlineLevel="0" collapsed="false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5"/>
      <c r="Q27" s="75"/>
      <c r="R27" s="75"/>
      <c r="S27" s="74"/>
      <c r="T27" s="21" t="str">
        <f aca="false">IF(OR($C27="",NOT(OR($G27="À migrer",$G27="Migré")),NOT(ISNUMBER($K27))),"",ROUNDUP($K27*(1+IF($AC27="",p_margeCPU,$AC27)),0))</f>
        <v/>
      </c>
      <c r="U27" s="21" t="str">
        <f aca="false">IF(OR($C27="",NOT(OR($G27="À migrer",$G27="Migré")),NOT(ISNUMBER($L27))),"",ROUNDUP($L27*(1+IF($AD27="",p_margeRAM,$AD27)),0))</f>
        <v/>
      </c>
      <c r="V27" s="39" t="str">
        <f aca="false">IF(OR(NOT($G27="À migrer"),$P27=""),"",IFERROR(DATE(YEAR($P27),MONTH($P27),1),""))</f>
        <v/>
      </c>
      <c r="W27" s="39" t="str">
        <f aca="false">IF(OR(NOT(OR($G27="À migrer",$G27="À décommissionner")),$R27=""),"",IFERROR(DATE(YEAR($R27),MONTH($R27),1),""))</f>
        <v/>
      </c>
      <c r="X27" s="21" t="str">
        <f aca="false">IF(OR($V27="",$W27=""),"",MAX(0,(YEAR($W27)-YEAR($V27))*12+MONTH($W27)-MONTH($V27)))</f>
        <v/>
      </c>
      <c r="Y27" s="21" t="str">
        <f aca="false">IF($C27="","",COUNTIF(TblApplications[ID],$C27))</f>
        <v/>
      </c>
      <c r="Z27" s="39" t="str">
        <f aca="false">IF($C27="","",IFERROR(1/(1/_xlfn.MINIFS(TblApplications[Mois prov (calc)],TblApplications[ID],$C27)),""))</f>
        <v/>
      </c>
      <c r="AA27" s="39" t="str">
        <f aca="false">IF($C27="","",IFERROR(1/(1/_xlfn.MAXIFS(TblApplications[Mois lib (calc)],TblApplications[ID],$C27)),""))</f>
        <v/>
      </c>
      <c r="AB27" s="21" t="str">
        <f aca="false">IF($C27="","",IF(OR(OR($A27="",$B27="",$D27="",$E27="",$F27="",$G27=""),AND($G27="À migrer",OR($H27="",$I27="",$J27="",$K27="",$L27="",$N27="",$O27="",$P27="",$Q27="",$R27="")),AND($G27="Migré",OR($J27="",$K27="",$L27="")),AND($G27="À décommissionner",OR($I27="",$N27="",$O27="",$R27=""))),"Données manquantes (selon l’action)",IF(AND($G27&lt;&gt;"Migré",$G27&lt;&gt;"À migrer",$G27&lt;&gt;"À décommissionner",$G27&lt;&gt;"Décommissionné"),"Action invalide",IF(COUNTIF(TblDomaines[Domaine],$A27)=0,"Domaine inconnu (référentiel)",IF(COUNTIFS(TblTribes[Tribe],$B27,TblTribes[Domaine de la tribe],$A27)=0,"Tribe inconnue ou hors domaine",IF(AND($G27="À migrer",$H27&lt;&gt;"Oui",$H27&lt;&gt;"Non"),"Valeur Oui/Non invalide (Déjà incluse ROKS)",IF(AND($E27&lt;&gt;"PRD",$E27&lt;&gt;"NPRD"),"Environnement invalide",IF(COUNTIFS(TblApplications[ID],$C27,TblApplications[Environnement],$E27,TblApplications[Couloir],$F27)&gt;1,"Déploiement en doublon (ID + env + couloir)",IF(OR(AND($K27&lt;&gt;"",NOT(ISNUMBER($K27))),AND($L27&lt;&gt;"",NOT(ISNUMBER($L27))),AND($N27&lt;&gt;"",NOT(ISNUMBER($N27))),AND($O27&lt;&gt;"",NOT(ISNUMBER($O27)))),"Ressource non numérique",IF(MIN(N($K27),N($L27),N($N27),N($O27))&lt;0,"Ressource négative",IF(OR(AND($AC27&lt;&gt;"",OR(NOT(ISNUMBER($AC27)),$AC27&lt;0,$AC27&gt;1)),AND($AD27&lt;&gt;"",OR(NOT(ISNUMBER($AD27)),$AD27&lt;0,$AD27&gt;1))),"Marge spécifique invalide (0–100 %)",IF(OR(AND($P27&lt;&gt;"",NOT(ISNUMBER($P27))),AND($Q27&lt;&gt;"",NOT(ISNUMBER($Q27))),AND($R27&lt;&gt;"",NOT(ISNUMBER($R27)))),"Mois invalide",IF(AND(OR($G27="À migrer",$G27="À décommissionner"),COUNTIFS(TblClusters[Cluster],$I27,TblClusters[Plateforme],"IKS")=0),"Cluster IKS inconnu",IF(AND(OR($G27="À migrer",$G27="Migré"),COUNTIFS(TblClusters[Cluster],$J27,TblClusters[Plateforme],"ROKS")=0),"Cluster ROKS inconnu",IF(AND(OR($G27="À migrer",$G27="À décommissionner"),COUNTIFS(TblClusters[Cluster],$I27,TblClusters[Environnement],$E27)=0),"Environnement ≠ cluster IKS",IF(AND(OR($G27="À migrer",$G27="Migré"),COUNTIFS(TblClusters[Cluster],$J27,TblClusters[Environnement],$E27)=0),"Environnement ≠ cluster ROKS",IF(AND($G27="À migrer",OR($P27&gt;$Q27,$Q27&gt;$R27)),"Dates incohérentes (prov ≤ bascule ≤ libération)",IF(AND(OR($G27="À migrer",$G27="À décommissionner"),OR(N($N27)&gt;SUMIFS(TblClusters[CPU initial (vCPU)],TblClusters[Cluster],$I27),N($O27)&gt;SUMIFS(TblClusters[RAM initiale (Go)],TblClusters[Cluster],$I27))),"Libération &gt; capacité du cluster source",IF(OR(AND($V27&lt;&gt;"",$V27&lt;p_debut),AND($W27&lt;&gt;"",$W27&gt;p_fin)),"Hors horizon (info)",IF(AND($G27="À migrer",$E27="PRD",COUNTIFS(TblApplications[ID],$C27,TblApplications[Environnement],"NPRD",TblApplications[Action],"À migrer")&gt;0,$V27&lt;_xlfn.MINIFS(TblApplications[Mois prov (calc)],TblApplications[ID],$C27,TblApplications[Environnement],"NPRD")),"PRD avant NPRD (info)","OK"))))))))))))))))))))</f>
        <v/>
      </c>
      <c r="AC27" s="76"/>
      <c r="AD27" s="76"/>
      <c r="AE27" s="22" t="str">
        <f aca="false">IF(OR($C27="",NOT(OR($G27="À migrer",$G27="À décommissionner")),NOT(ISNUMBER($N27)),NOT(ISNUMBER($O27)),$W27=""),"",($N27+p_poidsram*$O27)*SUMIFS(TblCalculs[Coût par unité],TblCalculs[Cluster],$I27,TblCalculs[Mois],"&lt;"&amp;$W27))</f>
        <v/>
      </c>
      <c r="AF27" s="22" t="str">
        <f aca="false">IF($C27="","",IF(AND($G27="À migrer",$H27="Non",$T27&lt;&gt;"",$V27&lt;&gt;""),($T27+p_poidsram*$U27)*SUMIFS(TblCalculs[Coût par unité],TblCalculs[Cluster],$J27,TblCalculs[Mois],"&gt;="&amp;$V27),IF(AND($G27="Migré",$T27&lt;&gt;""),($T27+p_poidsram*$U27)*SUMIFS(TblCalculs[Coût par unité],TblCalculs[Cluster],$J27),"")))</f>
        <v/>
      </c>
      <c r="AG27" s="22" t="str">
        <f aca="false">IF($C27="","",N($AE27)+N($AF27))</f>
        <v/>
      </c>
      <c r="AH27" s="21" t="str">
        <f aca="false">IF(OR($C27="",$G27="Décommissionné",COUNTIFS($E27,av_envc,$A27,av_domc,$B27,av_tric)=0),"",COUNTIFS($C$6:$C27,"&lt;&gt;",$G$6:$G27,"&lt;&gt;Décommissionné",$E$6:$E27,av_envc,$A$6:$A27,av_domc,$B$6:$B27,av_tric))</f>
        <v/>
      </c>
      <c r="AI27" s="21" t="str">
        <f aca="false">IF($C27="","",IF(AND(OR($G27="À migrer",$G27="À décommissionner"),$W27&lt;&gt;"",$W27&gt;ex_mois),1,0))</f>
        <v/>
      </c>
      <c r="AJ27" s="21" t="str">
        <f aca="false">IF(OR($C27="",$AI27&lt;&gt;1,COUNTIFS($E27,ex_envc,$A27,ex_domc,$B27,ex_tric)=0),"",COUNTIFS($AI$6:$AI27,1,$E$6:$E27,ex_envc,$A$6:$A27,ex_domc,$B$6:$B27,ex_tric))</f>
        <v/>
      </c>
    </row>
    <row r="28" customFormat="false" ht="15" hidden="false" customHeight="false" outlineLevel="0" collapsed="false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5"/>
      <c r="Q28" s="75"/>
      <c r="R28" s="75"/>
      <c r="S28" s="74"/>
      <c r="T28" s="21" t="str">
        <f aca="false">IF(OR($C28="",NOT(OR($G28="À migrer",$G28="Migré")),NOT(ISNUMBER($K28))),"",ROUNDUP($K28*(1+IF($AC28="",p_margeCPU,$AC28)),0))</f>
        <v/>
      </c>
      <c r="U28" s="21" t="str">
        <f aca="false">IF(OR($C28="",NOT(OR($G28="À migrer",$G28="Migré")),NOT(ISNUMBER($L28))),"",ROUNDUP($L28*(1+IF($AD28="",p_margeRAM,$AD28)),0))</f>
        <v/>
      </c>
      <c r="V28" s="39" t="str">
        <f aca="false">IF(OR(NOT($G28="À migrer"),$P28=""),"",IFERROR(DATE(YEAR($P28),MONTH($P28),1),""))</f>
        <v/>
      </c>
      <c r="W28" s="39" t="str">
        <f aca="false">IF(OR(NOT(OR($G28="À migrer",$G28="À décommissionner")),$R28=""),"",IFERROR(DATE(YEAR($R28),MONTH($R28),1),""))</f>
        <v/>
      </c>
      <c r="X28" s="21" t="str">
        <f aca="false">IF(OR($V28="",$W28=""),"",MAX(0,(YEAR($W28)-YEAR($V28))*12+MONTH($W28)-MONTH($V28)))</f>
        <v/>
      </c>
      <c r="Y28" s="21" t="str">
        <f aca="false">IF($C28="","",COUNTIF(TblApplications[ID],$C28))</f>
        <v/>
      </c>
      <c r="Z28" s="39" t="str">
        <f aca="false">IF($C28="","",IFERROR(1/(1/_xlfn.MINIFS(TblApplications[Mois prov (calc)],TblApplications[ID],$C28)),""))</f>
        <v/>
      </c>
      <c r="AA28" s="39" t="str">
        <f aca="false">IF($C28="","",IFERROR(1/(1/_xlfn.MAXIFS(TblApplications[Mois lib (calc)],TblApplications[ID],$C28)),""))</f>
        <v/>
      </c>
      <c r="AB28" s="21" t="str">
        <f aca="false">IF($C28="","",IF(OR(OR($A28="",$B28="",$D28="",$E28="",$F28="",$G28=""),AND($G28="À migrer",OR($H28="",$I28="",$J28="",$K28="",$L28="",$N28="",$O28="",$P28="",$Q28="",$R28="")),AND($G28="Migré",OR($J28="",$K28="",$L28="")),AND($G28="À décommissionner",OR($I28="",$N28="",$O28="",$R28=""))),"Données manquantes (selon l’action)",IF(AND($G28&lt;&gt;"Migré",$G28&lt;&gt;"À migrer",$G28&lt;&gt;"À décommissionner",$G28&lt;&gt;"Décommissionné"),"Action invalide",IF(COUNTIF(TblDomaines[Domaine],$A28)=0,"Domaine inconnu (référentiel)",IF(COUNTIFS(TblTribes[Tribe],$B28,TblTribes[Domaine de la tribe],$A28)=0,"Tribe inconnue ou hors domaine",IF(AND($G28="À migrer",$H28&lt;&gt;"Oui",$H28&lt;&gt;"Non"),"Valeur Oui/Non invalide (Déjà incluse ROKS)",IF(AND($E28&lt;&gt;"PRD",$E28&lt;&gt;"NPRD"),"Environnement invalide",IF(COUNTIFS(TblApplications[ID],$C28,TblApplications[Environnement],$E28,TblApplications[Couloir],$F28)&gt;1,"Déploiement en doublon (ID + env + couloir)",IF(OR(AND($K28&lt;&gt;"",NOT(ISNUMBER($K28))),AND($L28&lt;&gt;"",NOT(ISNUMBER($L28))),AND($N28&lt;&gt;"",NOT(ISNUMBER($N28))),AND($O28&lt;&gt;"",NOT(ISNUMBER($O28)))),"Ressource non numérique",IF(MIN(N($K28),N($L28),N($N28),N($O28))&lt;0,"Ressource négative",IF(OR(AND($AC28&lt;&gt;"",OR(NOT(ISNUMBER($AC28)),$AC28&lt;0,$AC28&gt;1)),AND($AD28&lt;&gt;"",OR(NOT(ISNUMBER($AD28)),$AD28&lt;0,$AD28&gt;1))),"Marge spécifique invalide (0–100 %)",IF(OR(AND($P28&lt;&gt;"",NOT(ISNUMBER($P28))),AND($Q28&lt;&gt;"",NOT(ISNUMBER($Q28))),AND($R28&lt;&gt;"",NOT(ISNUMBER($R28)))),"Mois invalide",IF(AND(OR($G28="À migrer",$G28="À décommissionner"),COUNTIFS(TblClusters[Cluster],$I28,TblClusters[Plateforme],"IKS")=0),"Cluster IKS inconnu",IF(AND(OR($G28="À migrer",$G28="Migré"),COUNTIFS(TblClusters[Cluster],$J28,TblClusters[Plateforme],"ROKS")=0),"Cluster ROKS inconnu",IF(AND(OR($G28="À migrer",$G28="À décommissionner"),COUNTIFS(TblClusters[Cluster],$I28,TblClusters[Environnement],$E28)=0),"Environnement ≠ cluster IKS",IF(AND(OR($G28="À migrer",$G28="Migré"),COUNTIFS(TblClusters[Cluster],$J28,TblClusters[Environnement],$E28)=0),"Environnement ≠ cluster ROKS",IF(AND($G28="À migrer",OR($P28&gt;$Q28,$Q28&gt;$R28)),"Dates incohérentes (prov ≤ bascule ≤ libération)",IF(AND(OR($G28="À migrer",$G28="À décommissionner"),OR(N($N28)&gt;SUMIFS(TblClusters[CPU initial (vCPU)],TblClusters[Cluster],$I28),N($O28)&gt;SUMIFS(TblClusters[RAM initiale (Go)],TblClusters[Cluster],$I28))),"Libération &gt; capacité du cluster source",IF(OR(AND($V28&lt;&gt;"",$V28&lt;p_debut),AND($W28&lt;&gt;"",$W28&gt;p_fin)),"Hors horizon (info)",IF(AND($G28="À migrer",$E28="PRD",COUNTIFS(TblApplications[ID],$C28,TblApplications[Environnement],"NPRD",TblApplications[Action],"À migrer")&gt;0,$V28&lt;_xlfn.MINIFS(TblApplications[Mois prov (calc)],TblApplications[ID],$C28,TblApplications[Environnement],"NPRD")),"PRD avant NPRD (info)","OK"))))))))))))))))))))</f>
        <v/>
      </c>
      <c r="AC28" s="76"/>
      <c r="AD28" s="76"/>
      <c r="AE28" s="22" t="str">
        <f aca="false">IF(OR($C28="",NOT(OR($G28="À migrer",$G28="À décommissionner")),NOT(ISNUMBER($N28)),NOT(ISNUMBER($O28)),$W28=""),"",($N28+p_poidsram*$O28)*SUMIFS(TblCalculs[Coût par unité],TblCalculs[Cluster],$I28,TblCalculs[Mois],"&lt;"&amp;$W28))</f>
        <v/>
      </c>
      <c r="AF28" s="22" t="str">
        <f aca="false">IF($C28="","",IF(AND($G28="À migrer",$H28="Non",$T28&lt;&gt;"",$V28&lt;&gt;""),($T28+p_poidsram*$U28)*SUMIFS(TblCalculs[Coût par unité],TblCalculs[Cluster],$J28,TblCalculs[Mois],"&gt;="&amp;$V28),IF(AND($G28="Migré",$T28&lt;&gt;""),($T28+p_poidsram*$U28)*SUMIFS(TblCalculs[Coût par unité],TblCalculs[Cluster],$J28),"")))</f>
        <v/>
      </c>
      <c r="AG28" s="22" t="str">
        <f aca="false">IF($C28="","",N($AE28)+N($AF28))</f>
        <v/>
      </c>
      <c r="AH28" s="21" t="str">
        <f aca="false">IF(OR($C28="",$G28="Décommissionné",COUNTIFS($E28,av_envc,$A28,av_domc,$B28,av_tric)=0),"",COUNTIFS($C$6:$C28,"&lt;&gt;",$G$6:$G28,"&lt;&gt;Décommissionné",$E$6:$E28,av_envc,$A$6:$A28,av_domc,$B$6:$B28,av_tric))</f>
        <v/>
      </c>
      <c r="AI28" s="21" t="str">
        <f aca="false">IF($C28="","",IF(AND(OR($G28="À migrer",$G28="À décommissionner"),$W28&lt;&gt;"",$W28&gt;ex_mois),1,0))</f>
        <v/>
      </c>
      <c r="AJ28" s="21" t="str">
        <f aca="false">IF(OR($C28="",$AI28&lt;&gt;1,COUNTIFS($E28,ex_envc,$A28,ex_domc,$B28,ex_tric)=0),"",COUNTIFS($AI$6:$AI28,1,$E$6:$E28,ex_envc,$A$6:$A28,ex_domc,$B$6:$B28,ex_tric))</f>
        <v/>
      </c>
    </row>
    <row r="29" customFormat="false" ht="15" hidden="false" customHeight="false" outlineLevel="0" collapsed="false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5"/>
      <c r="Q29" s="75"/>
      <c r="R29" s="75"/>
      <c r="S29" s="74"/>
      <c r="T29" s="21" t="str">
        <f aca="false">IF(OR($C29="",NOT(OR($G29="À migrer",$G29="Migré")),NOT(ISNUMBER($K29))),"",ROUNDUP($K29*(1+IF($AC29="",p_margeCPU,$AC29)),0))</f>
        <v/>
      </c>
      <c r="U29" s="21" t="str">
        <f aca="false">IF(OR($C29="",NOT(OR($G29="À migrer",$G29="Migré")),NOT(ISNUMBER($L29))),"",ROUNDUP($L29*(1+IF($AD29="",p_margeRAM,$AD29)),0))</f>
        <v/>
      </c>
      <c r="V29" s="39" t="str">
        <f aca="false">IF(OR(NOT($G29="À migrer"),$P29=""),"",IFERROR(DATE(YEAR($P29),MONTH($P29),1),""))</f>
        <v/>
      </c>
      <c r="W29" s="39" t="str">
        <f aca="false">IF(OR(NOT(OR($G29="À migrer",$G29="À décommissionner")),$R29=""),"",IFERROR(DATE(YEAR($R29),MONTH($R29),1),""))</f>
        <v/>
      </c>
      <c r="X29" s="21" t="str">
        <f aca="false">IF(OR($V29="",$W29=""),"",MAX(0,(YEAR($W29)-YEAR($V29))*12+MONTH($W29)-MONTH($V29)))</f>
        <v/>
      </c>
      <c r="Y29" s="21" t="str">
        <f aca="false">IF($C29="","",COUNTIF(TblApplications[ID],$C29))</f>
        <v/>
      </c>
      <c r="Z29" s="39" t="str">
        <f aca="false">IF($C29="","",IFERROR(1/(1/_xlfn.MINIFS(TblApplications[Mois prov (calc)],TblApplications[ID],$C29)),""))</f>
        <v/>
      </c>
      <c r="AA29" s="39" t="str">
        <f aca="false">IF($C29="","",IFERROR(1/(1/_xlfn.MAXIFS(TblApplications[Mois lib (calc)],TblApplications[ID],$C29)),""))</f>
        <v/>
      </c>
      <c r="AB29" s="21" t="str">
        <f aca="false">IF($C29="","",IF(OR(OR($A29="",$B29="",$D29="",$E29="",$F29="",$G29=""),AND($G29="À migrer",OR($H29="",$I29="",$J29="",$K29="",$L29="",$N29="",$O29="",$P29="",$Q29="",$R29="")),AND($G29="Migré",OR($J29="",$K29="",$L29="")),AND($G29="À décommissionner",OR($I29="",$N29="",$O29="",$R29=""))),"Données manquantes (selon l’action)",IF(AND($G29&lt;&gt;"Migré",$G29&lt;&gt;"À migrer",$G29&lt;&gt;"À décommissionner",$G29&lt;&gt;"Décommissionné"),"Action invalide",IF(COUNTIF(TblDomaines[Domaine],$A29)=0,"Domaine inconnu (référentiel)",IF(COUNTIFS(TblTribes[Tribe],$B29,TblTribes[Domaine de la tribe],$A29)=0,"Tribe inconnue ou hors domaine",IF(AND($G29="À migrer",$H29&lt;&gt;"Oui",$H29&lt;&gt;"Non"),"Valeur Oui/Non invalide (Déjà incluse ROKS)",IF(AND($E29&lt;&gt;"PRD",$E29&lt;&gt;"NPRD"),"Environnement invalide",IF(COUNTIFS(TblApplications[ID],$C29,TblApplications[Environnement],$E29,TblApplications[Couloir],$F29)&gt;1,"Déploiement en doublon (ID + env + couloir)",IF(OR(AND($K29&lt;&gt;"",NOT(ISNUMBER($K29))),AND($L29&lt;&gt;"",NOT(ISNUMBER($L29))),AND($N29&lt;&gt;"",NOT(ISNUMBER($N29))),AND($O29&lt;&gt;"",NOT(ISNUMBER($O29)))),"Ressource non numérique",IF(MIN(N($K29),N($L29),N($N29),N($O29))&lt;0,"Ressource négative",IF(OR(AND($AC29&lt;&gt;"",OR(NOT(ISNUMBER($AC29)),$AC29&lt;0,$AC29&gt;1)),AND($AD29&lt;&gt;"",OR(NOT(ISNUMBER($AD29)),$AD29&lt;0,$AD29&gt;1))),"Marge spécifique invalide (0–100 %)",IF(OR(AND($P29&lt;&gt;"",NOT(ISNUMBER($P29))),AND($Q29&lt;&gt;"",NOT(ISNUMBER($Q29))),AND($R29&lt;&gt;"",NOT(ISNUMBER($R29)))),"Mois invalide",IF(AND(OR($G29="À migrer",$G29="À décommissionner"),COUNTIFS(TblClusters[Cluster],$I29,TblClusters[Plateforme],"IKS")=0),"Cluster IKS inconnu",IF(AND(OR($G29="À migrer",$G29="Migré"),COUNTIFS(TblClusters[Cluster],$J29,TblClusters[Plateforme],"ROKS")=0),"Cluster ROKS inconnu",IF(AND(OR($G29="À migrer",$G29="À décommissionner"),COUNTIFS(TblClusters[Cluster],$I29,TblClusters[Environnement],$E29)=0),"Environnement ≠ cluster IKS",IF(AND(OR($G29="À migrer",$G29="Migré"),COUNTIFS(TblClusters[Cluster],$J29,TblClusters[Environnement],$E29)=0),"Environnement ≠ cluster ROKS",IF(AND($G29="À migrer",OR($P29&gt;$Q29,$Q29&gt;$R29)),"Dates incohérentes (prov ≤ bascule ≤ libération)",IF(AND(OR($G29="À migrer",$G29="À décommissionner"),OR(N($N29)&gt;SUMIFS(TblClusters[CPU initial (vCPU)],TblClusters[Cluster],$I29),N($O29)&gt;SUMIFS(TblClusters[RAM initiale (Go)],TblClusters[Cluster],$I29))),"Libération &gt; capacité du cluster source",IF(OR(AND($V29&lt;&gt;"",$V29&lt;p_debut),AND($W29&lt;&gt;"",$W29&gt;p_fin)),"Hors horizon (info)",IF(AND($G29="À migrer",$E29="PRD",COUNTIFS(TblApplications[ID],$C29,TblApplications[Environnement],"NPRD",TblApplications[Action],"À migrer")&gt;0,$V29&lt;_xlfn.MINIFS(TblApplications[Mois prov (calc)],TblApplications[ID],$C29,TblApplications[Environnement],"NPRD")),"PRD avant NPRD (info)","OK"))))))))))))))))))))</f>
        <v/>
      </c>
      <c r="AC29" s="76"/>
      <c r="AD29" s="76"/>
      <c r="AE29" s="22" t="str">
        <f aca="false">IF(OR($C29="",NOT(OR($G29="À migrer",$G29="À décommissionner")),NOT(ISNUMBER($N29)),NOT(ISNUMBER($O29)),$W29=""),"",($N29+p_poidsram*$O29)*SUMIFS(TblCalculs[Coût par unité],TblCalculs[Cluster],$I29,TblCalculs[Mois],"&lt;"&amp;$W29))</f>
        <v/>
      </c>
      <c r="AF29" s="22" t="str">
        <f aca="false">IF($C29="","",IF(AND($G29="À migrer",$H29="Non",$T29&lt;&gt;"",$V29&lt;&gt;""),($T29+p_poidsram*$U29)*SUMIFS(TblCalculs[Coût par unité],TblCalculs[Cluster],$J29,TblCalculs[Mois],"&gt;="&amp;$V29),IF(AND($G29="Migré",$T29&lt;&gt;""),($T29+p_poidsram*$U29)*SUMIFS(TblCalculs[Coût par unité],TblCalculs[Cluster],$J29),"")))</f>
        <v/>
      </c>
      <c r="AG29" s="22" t="str">
        <f aca="false">IF($C29="","",N($AE29)+N($AF29))</f>
        <v/>
      </c>
      <c r="AH29" s="21" t="str">
        <f aca="false">IF(OR($C29="",$G29="Décommissionné",COUNTIFS($E29,av_envc,$A29,av_domc,$B29,av_tric)=0),"",COUNTIFS($C$6:$C29,"&lt;&gt;",$G$6:$G29,"&lt;&gt;Décommissionné",$E$6:$E29,av_envc,$A$6:$A29,av_domc,$B$6:$B29,av_tric))</f>
        <v/>
      </c>
      <c r="AI29" s="21" t="str">
        <f aca="false">IF($C29="","",IF(AND(OR($G29="À migrer",$G29="À décommissionner"),$W29&lt;&gt;"",$W29&gt;ex_mois),1,0))</f>
        <v/>
      </c>
      <c r="AJ29" s="21" t="str">
        <f aca="false">IF(OR($C29="",$AI29&lt;&gt;1,COUNTIFS($E29,ex_envc,$A29,ex_domc,$B29,ex_tric)=0),"",COUNTIFS($AI$6:$AI29,1,$E$6:$E29,ex_envc,$A$6:$A29,ex_domc,$B$6:$B29,ex_tric))</f>
        <v/>
      </c>
    </row>
    <row r="30" customFormat="false" ht="15" hidden="false" customHeight="false" outlineLevel="0" collapsed="false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75"/>
      <c r="R30" s="75"/>
      <c r="S30" s="74"/>
      <c r="T30" s="21" t="str">
        <f aca="false">IF(OR($C30="",NOT(OR($G30="À migrer",$G30="Migré")),NOT(ISNUMBER($K30))),"",ROUNDUP($K30*(1+IF($AC30="",p_margeCPU,$AC30)),0))</f>
        <v/>
      </c>
      <c r="U30" s="21" t="str">
        <f aca="false">IF(OR($C30="",NOT(OR($G30="À migrer",$G30="Migré")),NOT(ISNUMBER($L30))),"",ROUNDUP($L30*(1+IF($AD30="",p_margeRAM,$AD30)),0))</f>
        <v/>
      </c>
      <c r="V30" s="39" t="str">
        <f aca="false">IF(OR(NOT($G30="À migrer"),$P30=""),"",IFERROR(DATE(YEAR($P30),MONTH($P30),1),""))</f>
        <v/>
      </c>
      <c r="W30" s="39" t="str">
        <f aca="false">IF(OR(NOT(OR($G30="À migrer",$G30="À décommissionner")),$R30=""),"",IFERROR(DATE(YEAR($R30),MONTH($R30),1),""))</f>
        <v/>
      </c>
      <c r="X30" s="21" t="str">
        <f aca="false">IF(OR($V30="",$W30=""),"",MAX(0,(YEAR($W30)-YEAR($V30))*12+MONTH($W30)-MONTH($V30)))</f>
        <v/>
      </c>
      <c r="Y30" s="21" t="str">
        <f aca="false">IF($C30="","",COUNTIF(TblApplications[ID],$C30))</f>
        <v/>
      </c>
      <c r="Z30" s="39" t="str">
        <f aca="false">IF($C30="","",IFERROR(1/(1/_xlfn.MINIFS(TblApplications[Mois prov (calc)],TblApplications[ID],$C30)),""))</f>
        <v/>
      </c>
      <c r="AA30" s="39" t="str">
        <f aca="false">IF($C30="","",IFERROR(1/(1/_xlfn.MAXIFS(TblApplications[Mois lib (calc)],TblApplications[ID],$C30)),""))</f>
        <v/>
      </c>
      <c r="AB30" s="21" t="str">
        <f aca="false">IF($C30="","",IF(OR(OR($A30="",$B30="",$D30="",$E30="",$F30="",$G30=""),AND($G30="À migrer",OR($H30="",$I30="",$J30="",$K30="",$L30="",$N30="",$O30="",$P30="",$Q30="",$R30="")),AND($G30="Migré",OR($J30="",$K30="",$L30="")),AND($G30="À décommissionner",OR($I30="",$N30="",$O30="",$R30=""))),"Données manquantes (selon l’action)",IF(AND($G30&lt;&gt;"Migré",$G30&lt;&gt;"À migrer",$G30&lt;&gt;"À décommissionner",$G30&lt;&gt;"Décommissionné"),"Action invalide",IF(COUNTIF(TblDomaines[Domaine],$A30)=0,"Domaine inconnu (référentiel)",IF(COUNTIFS(TblTribes[Tribe],$B30,TblTribes[Domaine de la tribe],$A30)=0,"Tribe inconnue ou hors domaine",IF(AND($G30="À migrer",$H30&lt;&gt;"Oui",$H30&lt;&gt;"Non"),"Valeur Oui/Non invalide (Déjà incluse ROKS)",IF(AND($E30&lt;&gt;"PRD",$E30&lt;&gt;"NPRD"),"Environnement invalide",IF(COUNTIFS(TblApplications[ID],$C30,TblApplications[Environnement],$E30,TblApplications[Couloir],$F30)&gt;1,"Déploiement en doublon (ID + env + couloir)",IF(OR(AND($K30&lt;&gt;"",NOT(ISNUMBER($K30))),AND($L30&lt;&gt;"",NOT(ISNUMBER($L30))),AND($N30&lt;&gt;"",NOT(ISNUMBER($N30))),AND($O30&lt;&gt;"",NOT(ISNUMBER($O30)))),"Ressource non numérique",IF(MIN(N($K30),N($L30),N($N30),N($O30))&lt;0,"Ressource négative",IF(OR(AND($AC30&lt;&gt;"",OR(NOT(ISNUMBER($AC30)),$AC30&lt;0,$AC30&gt;1)),AND($AD30&lt;&gt;"",OR(NOT(ISNUMBER($AD30)),$AD30&lt;0,$AD30&gt;1))),"Marge spécifique invalide (0–100 %)",IF(OR(AND($P30&lt;&gt;"",NOT(ISNUMBER($P30))),AND($Q30&lt;&gt;"",NOT(ISNUMBER($Q30))),AND($R30&lt;&gt;"",NOT(ISNUMBER($R30)))),"Mois invalide",IF(AND(OR($G30="À migrer",$G30="À décommissionner"),COUNTIFS(TblClusters[Cluster],$I30,TblClusters[Plateforme],"IKS")=0),"Cluster IKS inconnu",IF(AND(OR($G30="À migrer",$G30="Migré"),COUNTIFS(TblClusters[Cluster],$J30,TblClusters[Plateforme],"ROKS")=0),"Cluster ROKS inconnu",IF(AND(OR($G30="À migrer",$G30="À décommissionner"),COUNTIFS(TblClusters[Cluster],$I30,TblClusters[Environnement],$E30)=0),"Environnement ≠ cluster IKS",IF(AND(OR($G30="À migrer",$G30="Migré"),COUNTIFS(TblClusters[Cluster],$J30,TblClusters[Environnement],$E30)=0),"Environnement ≠ cluster ROKS",IF(AND($G30="À migrer",OR($P30&gt;$Q30,$Q30&gt;$R30)),"Dates incohérentes (prov ≤ bascule ≤ libération)",IF(AND(OR($G30="À migrer",$G30="À décommissionner"),OR(N($N30)&gt;SUMIFS(TblClusters[CPU initial (vCPU)],TblClusters[Cluster],$I30),N($O30)&gt;SUMIFS(TblClusters[RAM initiale (Go)],TblClusters[Cluster],$I30))),"Libération &gt; capacité du cluster source",IF(OR(AND($V30&lt;&gt;"",$V30&lt;p_debut),AND($W30&lt;&gt;"",$W30&gt;p_fin)),"Hors horizon (info)",IF(AND($G30="À migrer",$E30="PRD",COUNTIFS(TblApplications[ID],$C30,TblApplications[Environnement],"NPRD",TblApplications[Action],"À migrer")&gt;0,$V30&lt;_xlfn.MINIFS(TblApplications[Mois prov (calc)],TblApplications[ID],$C30,TblApplications[Environnement],"NPRD")),"PRD avant NPRD (info)","OK"))))))))))))))))))))</f>
        <v/>
      </c>
      <c r="AC30" s="76"/>
      <c r="AD30" s="76"/>
      <c r="AE30" s="22" t="str">
        <f aca="false">IF(OR($C30="",NOT(OR($G30="À migrer",$G30="À décommissionner")),NOT(ISNUMBER($N30)),NOT(ISNUMBER($O30)),$W30=""),"",($N30+p_poidsram*$O30)*SUMIFS(TblCalculs[Coût par unité],TblCalculs[Cluster],$I30,TblCalculs[Mois],"&lt;"&amp;$W30))</f>
        <v/>
      </c>
      <c r="AF30" s="22" t="str">
        <f aca="false">IF($C30="","",IF(AND($G30="À migrer",$H30="Non",$T30&lt;&gt;"",$V30&lt;&gt;""),($T30+p_poidsram*$U30)*SUMIFS(TblCalculs[Coût par unité],TblCalculs[Cluster],$J30,TblCalculs[Mois],"&gt;="&amp;$V30),IF(AND($G30="Migré",$T30&lt;&gt;""),($T30+p_poidsram*$U30)*SUMIFS(TblCalculs[Coût par unité],TblCalculs[Cluster],$J30),"")))</f>
        <v/>
      </c>
      <c r="AG30" s="22" t="str">
        <f aca="false">IF($C30="","",N($AE30)+N($AF30))</f>
        <v/>
      </c>
      <c r="AH30" s="21" t="str">
        <f aca="false">IF(OR($C30="",$G30="Décommissionné",COUNTIFS($E30,av_envc,$A30,av_domc,$B30,av_tric)=0),"",COUNTIFS($C$6:$C30,"&lt;&gt;",$G$6:$G30,"&lt;&gt;Décommissionné",$E$6:$E30,av_envc,$A$6:$A30,av_domc,$B$6:$B30,av_tric))</f>
        <v/>
      </c>
      <c r="AI30" s="21" t="str">
        <f aca="false">IF($C30="","",IF(AND(OR($G30="À migrer",$G30="À décommissionner"),$W30&lt;&gt;"",$W30&gt;ex_mois),1,0))</f>
        <v/>
      </c>
      <c r="AJ30" s="21" t="str">
        <f aca="false">IF(OR($C30="",$AI30&lt;&gt;1,COUNTIFS($E30,ex_envc,$A30,ex_domc,$B30,ex_tric)=0),"",COUNTIFS($AI$6:$AI30,1,$E$6:$E30,ex_envc,$A$6:$A30,ex_domc,$B$6:$B30,ex_tric))</f>
        <v/>
      </c>
    </row>
    <row r="31" customFormat="false" ht="15" hidden="false" customHeight="false" outlineLevel="0" collapsed="false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5"/>
      <c r="Q31" s="75"/>
      <c r="R31" s="75"/>
      <c r="S31" s="74"/>
      <c r="T31" s="21" t="str">
        <f aca="false">IF(OR($C31="",NOT(OR($G31="À migrer",$G31="Migré")),NOT(ISNUMBER($K31))),"",ROUNDUP($K31*(1+IF($AC31="",p_margeCPU,$AC31)),0))</f>
        <v/>
      </c>
      <c r="U31" s="21" t="str">
        <f aca="false">IF(OR($C31="",NOT(OR($G31="À migrer",$G31="Migré")),NOT(ISNUMBER($L31))),"",ROUNDUP($L31*(1+IF($AD31="",p_margeRAM,$AD31)),0))</f>
        <v/>
      </c>
      <c r="V31" s="39" t="str">
        <f aca="false">IF(OR(NOT($G31="À migrer"),$P31=""),"",IFERROR(DATE(YEAR($P31),MONTH($P31),1),""))</f>
        <v/>
      </c>
      <c r="W31" s="39" t="str">
        <f aca="false">IF(OR(NOT(OR($G31="À migrer",$G31="À décommissionner")),$R31=""),"",IFERROR(DATE(YEAR($R31),MONTH($R31),1),""))</f>
        <v/>
      </c>
      <c r="X31" s="21" t="str">
        <f aca="false">IF(OR($V31="",$W31=""),"",MAX(0,(YEAR($W31)-YEAR($V31))*12+MONTH($W31)-MONTH($V31)))</f>
        <v/>
      </c>
      <c r="Y31" s="21" t="str">
        <f aca="false">IF($C31="","",COUNTIF(TblApplications[ID],$C31))</f>
        <v/>
      </c>
      <c r="Z31" s="39" t="str">
        <f aca="false">IF($C31="","",IFERROR(1/(1/_xlfn.MINIFS(TblApplications[Mois prov (calc)],TblApplications[ID],$C31)),""))</f>
        <v/>
      </c>
      <c r="AA31" s="39" t="str">
        <f aca="false">IF($C31="","",IFERROR(1/(1/_xlfn.MAXIFS(TblApplications[Mois lib (calc)],TblApplications[ID],$C31)),""))</f>
        <v/>
      </c>
      <c r="AB31" s="21" t="str">
        <f aca="false">IF($C31="","",IF(OR(OR($A31="",$B31="",$D31="",$E31="",$F31="",$G31=""),AND($G31="À migrer",OR($H31="",$I31="",$J31="",$K31="",$L31="",$N31="",$O31="",$P31="",$Q31="",$R31="")),AND($G31="Migré",OR($J31="",$K31="",$L31="")),AND($G31="À décommissionner",OR($I31="",$N31="",$O31="",$R31=""))),"Données manquantes (selon l’action)",IF(AND($G31&lt;&gt;"Migré",$G31&lt;&gt;"À migrer",$G31&lt;&gt;"À décommissionner",$G31&lt;&gt;"Décommissionné"),"Action invalide",IF(COUNTIF(TblDomaines[Domaine],$A31)=0,"Domaine inconnu (référentiel)",IF(COUNTIFS(TblTribes[Tribe],$B31,TblTribes[Domaine de la tribe],$A31)=0,"Tribe inconnue ou hors domaine",IF(AND($G31="À migrer",$H31&lt;&gt;"Oui",$H31&lt;&gt;"Non"),"Valeur Oui/Non invalide (Déjà incluse ROKS)",IF(AND($E31&lt;&gt;"PRD",$E31&lt;&gt;"NPRD"),"Environnement invalide",IF(COUNTIFS(TblApplications[ID],$C31,TblApplications[Environnement],$E31,TblApplications[Couloir],$F31)&gt;1,"Déploiement en doublon (ID + env + couloir)",IF(OR(AND($K31&lt;&gt;"",NOT(ISNUMBER($K31))),AND($L31&lt;&gt;"",NOT(ISNUMBER($L31))),AND($N31&lt;&gt;"",NOT(ISNUMBER($N31))),AND($O31&lt;&gt;"",NOT(ISNUMBER($O31)))),"Ressource non numérique",IF(MIN(N($K31),N($L31),N($N31),N($O31))&lt;0,"Ressource négative",IF(OR(AND($AC31&lt;&gt;"",OR(NOT(ISNUMBER($AC31)),$AC31&lt;0,$AC31&gt;1)),AND($AD31&lt;&gt;"",OR(NOT(ISNUMBER($AD31)),$AD31&lt;0,$AD31&gt;1))),"Marge spécifique invalide (0–100 %)",IF(OR(AND($P31&lt;&gt;"",NOT(ISNUMBER($P31))),AND($Q31&lt;&gt;"",NOT(ISNUMBER($Q31))),AND($R31&lt;&gt;"",NOT(ISNUMBER($R31)))),"Mois invalide",IF(AND(OR($G31="À migrer",$G31="À décommissionner"),COUNTIFS(TblClusters[Cluster],$I31,TblClusters[Plateforme],"IKS")=0),"Cluster IKS inconnu",IF(AND(OR($G31="À migrer",$G31="Migré"),COUNTIFS(TblClusters[Cluster],$J31,TblClusters[Plateforme],"ROKS")=0),"Cluster ROKS inconnu",IF(AND(OR($G31="À migrer",$G31="À décommissionner"),COUNTIFS(TblClusters[Cluster],$I31,TblClusters[Environnement],$E31)=0),"Environnement ≠ cluster IKS",IF(AND(OR($G31="À migrer",$G31="Migré"),COUNTIFS(TblClusters[Cluster],$J31,TblClusters[Environnement],$E31)=0),"Environnement ≠ cluster ROKS",IF(AND($G31="À migrer",OR($P31&gt;$Q31,$Q31&gt;$R31)),"Dates incohérentes (prov ≤ bascule ≤ libération)",IF(AND(OR($G31="À migrer",$G31="À décommissionner"),OR(N($N31)&gt;SUMIFS(TblClusters[CPU initial (vCPU)],TblClusters[Cluster],$I31),N($O31)&gt;SUMIFS(TblClusters[RAM initiale (Go)],TblClusters[Cluster],$I31))),"Libération &gt; capacité du cluster source",IF(OR(AND($V31&lt;&gt;"",$V31&lt;p_debut),AND($W31&lt;&gt;"",$W31&gt;p_fin)),"Hors horizon (info)",IF(AND($G31="À migrer",$E31="PRD",COUNTIFS(TblApplications[ID],$C31,TblApplications[Environnement],"NPRD",TblApplications[Action],"À migrer")&gt;0,$V31&lt;_xlfn.MINIFS(TblApplications[Mois prov (calc)],TblApplications[ID],$C31,TblApplications[Environnement],"NPRD")),"PRD avant NPRD (info)","OK"))))))))))))))))))))</f>
        <v/>
      </c>
      <c r="AC31" s="76"/>
      <c r="AD31" s="76"/>
      <c r="AE31" s="22" t="str">
        <f aca="false">IF(OR($C31="",NOT(OR($G31="À migrer",$G31="À décommissionner")),NOT(ISNUMBER($N31)),NOT(ISNUMBER($O31)),$W31=""),"",($N31+p_poidsram*$O31)*SUMIFS(TblCalculs[Coût par unité],TblCalculs[Cluster],$I31,TblCalculs[Mois],"&lt;"&amp;$W31))</f>
        <v/>
      </c>
      <c r="AF31" s="22" t="str">
        <f aca="false">IF($C31="","",IF(AND($G31="À migrer",$H31="Non",$T31&lt;&gt;"",$V31&lt;&gt;""),($T31+p_poidsram*$U31)*SUMIFS(TblCalculs[Coût par unité],TblCalculs[Cluster],$J31,TblCalculs[Mois],"&gt;="&amp;$V31),IF(AND($G31="Migré",$T31&lt;&gt;""),($T31+p_poidsram*$U31)*SUMIFS(TblCalculs[Coût par unité],TblCalculs[Cluster],$J31),"")))</f>
        <v/>
      </c>
      <c r="AG31" s="22" t="str">
        <f aca="false">IF($C31="","",N($AE31)+N($AF31))</f>
        <v/>
      </c>
      <c r="AH31" s="21" t="str">
        <f aca="false">IF(OR($C31="",$G31="Décommissionné",COUNTIFS($E31,av_envc,$A31,av_domc,$B31,av_tric)=0),"",COUNTIFS($C$6:$C31,"&lt;&gt;",$G$6:$G31,"&lt;&gt;Décommissionné",$E$6:$E31,av_envc,$A$6:$A31,av_domc,$B$6:$B31,av_tric))</f>
        <v/>
      </c>
      <c r="AI31" s="21" t="str">
        <f aca="false">IF($C31="","",IF(AND(OR($G31="À migrer",$G31="À décommissionner"),$W31&lt;&gt;"",$W31&gt;ex_mois),1,0))</f>
        <v/>
      </c>
      <c r="AJ31" s="21" t="str">
        <f aca="false">IF(OR($C31="",$AI31&lt;&gt;1,COUNTIFS($E31,ex_envc,$A31,ex_domc,$B31,ex_tric)=0),"",COUNTIFS($AI$6:$AI31,1,$E$6:$E31,ex_envc,$A$6:$A31,ex_domc,$B$6:$B31,ex_tric))</f>
        <v/>
      </c>
    </row>
    <row r="32" customFormat="false" ht="15" hidden="false" customHeight="false" outlineLevel="0" collapsed="false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5"/>
      <c r="Q32" s="75"/>
      <c r="R32" s="75"/>
      <c r="S32" s="74"/>
      <c r="T32" s="21" t="str">
        <f aca="false">IF(OR($C32="",NOT(OR($G32="À migrer",$G32="Migré")),NOT(ISNUMBER($K32))),"",ROUNDUP($K32*(1+IF($AC32="",p_margeCPU,$AC32)),0))</f>
        <v/>
      </c>
      <c r="U32" s="21" t="str">
        <f aca="false">IF(OR($C32="",NOT(OR($G32="À migrer",$G32="Migré")),NOT(ISNUMBER($L32))),"",ROUNDUP($L32*(1+IF($AD32="",p_margeRAM,$AD32)),0))</f>
        <v/>
      </c>
      <c r="V32" s="39" t="str">
        <f aca="false">IF(OR(NOT($G32="À migrer"),$P32=""),"",IFERROR(DATE(YEAR($P32),MONTH($P32),1),""))</f>
        <v/>
      </c>
      <c r="W32" s="39" t="str">
        <f aca="false">IF(OR(NOT(OR($G32="À migrer",$G32="À décommissionner")),$R32=""),"",IFERROR(DATE(YEAR($R32),MONTH($R32),1),""))</f>
        <v/>
      </c>
      <c r="X32" s="21" t="str">
        <f aca="false">IF(OR($V32="",$W32=""),"",MAX(0,(YEAR($W32)-YEAR($V32))*12+MONTH($W32)-MONTH($V32)))</f>
        <v/>
      </c>
      <c r="Y32" s="21" t="str">
        <f aca="false">IF($C32="","",COUNTIF(TblApplications[ID],$C32))</f>
        <v/>
      </c>
      <c r="Z32" s="39" t="str">
        <f aca="false">IF($C32="","",IFERROR(1/(1/_xlfn.MINIFS(TblApplications[Mois prov (calc)],TblApplications[ID],$C32)),""))</f>
        <v/>
      </c>
      <c r="AA32" s="39" t="str">
        <f aca="false">IF($C32="","",IFERROR(1/(1/_xlfn.MAXIFS(TblApplications[Mois lib (calc)],TblApplications[ID],$C32)),""))</f>
        <v/>
      </c>
      <c r="AB32" s="21" t="str">
        <f aca="false">IF($C32="","",IF(OR(OR($A32="",$B32="",$D32="",$E32="",$F32="",$G32=""),AND($G32="À migrer",OR($H32="",$I32="",$J32="",$K32="",$L32="",$N32="",$O32="",$P32="",$Q32="",$R32="")),AND($G32="Migré",OR($J32="",$K32="",$L32="")),AND($G32="À décommissionner",OR($I32="",$N32="",$O32="",$R32=""))),"Données manquantes (selon l’action)",IF(AND($G32&lt;&gt;"Migré",$G32&lt;&gt;"À migrer",$G32&lt;&gt;"À décommissionner",$G32&lt;&gt;"Décommissionné"),"Action invalide",IF(COUNTIF(TblDomaines[Domaine],$A32)=0,"Domaine inconnu (référentiel)",IF(COUNTIFS(TblTribes[Tribe],$B32,TblTribes[Domaine de la tribe],$A32)=0,"Tribe inconnue ou hors domaine",IF(AND($G32="À migrer",$H32&lt;&gt;"Oui",$H32&lt;&gt;"Non"),"Valeur Oui/Non invalide (Déjà incluse ROKS)",IF(AND($E32&lt;&gt;"PRD",$E32&lt;&gt;"NPRD"),"Environnement invalide",IF(COUNTIFS(TblApplications[ID],$C32,TblApplications[Environnement],$E32,TblApplications[Couloir],$F32)&gt;1,"Déploiement en doublon (ID + env + couloir)",IF(OR(AND($K32&lt;&gt;"",NOT(ISNUMBER($K32))),AND($L32&lt;&gt;"",NOT(ISNUMBER($L32))),AND($N32&lt;&gt;"",NOT(ISNUMBER($N32))),AND($O32&lt;&gt;"",NOT(ISNUMBER($O32)))),"Ressource non numérique",IF(MIN(N($K32),N($L32),N($N32),N($O32))&lt;0,"Ressource négative",IF(OR(AND($AC32&lt;&gt;"",OR(NOT(ISNUMBER($AC32)),$AC32&lt;0,$AC32&gt;1)),AND($AD32&lt;&gt;"",OR(NOT(ISNUMBER($AD32)),$AD32&lt;0,$AD32&gt;1))),"Marge spécifique invalide (0–100 %)",IF(OR(AND($P32&lt;&gt;"",NOT(ISNUMBER($P32))),AND($Q32&lt;&gt;"",NOT(ISNUMBER($Q32))),AND($R32&lt;&gt;"",NOT(ISNUMBER($R32)))),"Mois invalide",IF(AND(OR($G32="À migrer",$G32="À décommissionner"),COUNTIFS(TblClusters[Cluster],$I32,TblClusters[Plateforme],"IKS")=0),"Cluster IKS inconnu",IF(AND(OR($G32="À migrer",$G32="Migré"),COUNTIFS(TblClusters[Cluster],$J32,TblClusters[Plateforme],"ROKS")=0),"Cluster ROKS inconnu",IF(AND(OR($G32="À migrer",$G32="À décommissionner"),COUNTIFS(TblClusters[Cluster],$I32,TblClusters[Environnement],$E32)=0),"Environnement ≠ cluster IKS",IF(AND(OR($G32="À migrer",$G32="Migré"),COUNTIFS(TblClusters[Cluster],$J32,TblClusters[Environnement],$E32)=0),"Environnement ≠ cluster ROKS",IF(AND($G32="À migrer",OR($P32&gt;$Q32,$Q32&gt;$R32)),"Dates incohérentes (prov ≤ bascule ≤ libération)",IF(AND(OR($G32="À migrer",$G32="À décommissionner"),OR(N($N32)&gt;SUMIFS(TblClusters[CPU initial (vCPU)],TblClusters[Cluster],$I32),N($O32)&gt;SUMIFS(TblClusters[RAM initiale (Go)],TblClusters[Cluster],$I32))),"Libération &gt; capacité du cluster source",IF(OR(AND($V32&lt;&gt;"",$V32&lt;p_debut),AND($W32&lt;&gt;"",$W32&gt;p_fin)),"Hors horizon (info)",IF(AND($G32="À migrer",$E32="PRD",COUNTIFS(TblApplications[ID],$C32,TblApplications[Environnement],"NPRD",TblApplications[Action],"À migrer")&gt;0,$V32&lt;_xlfn.MINIFS(TblApplications[Mois prov (calc)],TblApplications[ID],$C32,TblApplications[Environnement],"NPRD")),"PRD avant NPRD (info)","OK"))))))))))))))))))))</f>
        <v/>
      </c>
      <c r="AC32" s="76"/>
      <c r="AD32" s="76"/>
      <c r="AE32" s="22" t="str">
        <f aca="false">IF(OR($C32="",NOT(OR($G32="À migrer",$G32="À décommissionner")),NOT(ISNUMBER($N32)),NOT(ISNUMBER($O32)),$W32=""),"",($N32+p_poidsram*$O32)*SUMIFS(TblCalculs[Coût par unité],TblCalculs[Cluster],$I32,TblCalculs[Mois],"&lt;"&amp;$W32))</f>
        <v/>
      </c>
      <c r="AF32" s="22" t="str">
        <f aca="false">IF($C32="","",IF(AND($G32="À migrer",$H32="Non",$T32&lt;&gt;"",$V32&lt;&gt;""),($T32+p_poidsram*$U32)*SUMIFS(TblCalculs[Coût par unité],TblCalculs[Cluster],$J32,TblCalculs[Mois],"&gt;="&amp;$V32),IF(AND($G32="Migré",$T32&lt;&gt;""),($T32+p_poidsram*$U32)*SUMIFS(TblCalculs[Coût par unité],TblCalculs[Cluster],$J32),"")))</f>
        <v/>
      </c>
      <c r="AG32" s="22" t="str">
        <f aca="false">IF($C32="","",N($AE32)+N($AF32))</f>
        <v/>
      </c>
      <c r="AH32" s="21" t="str">
        <f aca="false">IF(OR($C32="",$G32="Décommissionné",COUNTIFS($E32,av_envc,$A32,av_domc,$B32,av_tric)=0),"",COUNTIFS($C$6:$C32,"&lt;&gt;",$G$6:$G32,"&lt;&gt;Décommissionné",$E$6:$E32,av_envc,$A$6:$A32,av_domc,$B$6:$B32,av_tric))</f>
        <v/>
      </c>
      <c r="AI32" s="21" t="str">
        <f aca="false">IF($C32="","",IF(AND(OR($G32="À migrer",$G32="À décommissionner"),$W32&lt;&gt;"",$W32&gt;ex_mois),1,0))</f>
        <v/>
      </c>
      <c r="AJ32" s="21" t="str">
        <f aca="false">IF(OR($C32="",$AI32&lt;&gt;1,COUNTIFS($E32,ex_envc,$A32,ex_domc,$B32,ex_tric)=0),"",COUNTIFS($AI$6:$AI32,1,$E$6:$E32,ex_envc,$A$6:$A32,ex_domc,$B$6:$B32,ex_tric))</f>
        <v/>
      </c>
    </row>
    <row r="33" customFormat="false" ht="15" hidden="false" customHeight="false" outlineLevel="0" collapsed="false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5"/>
      <c r="Q33" s="75"/>
      <c r="R33" s="75"/>
      <c r="S33" s="74"/>
      <c r="T33" s="21" t="str">
        <f aca="false">IF(OR($C33="",NOT(OR($G33="À migrer",$G33="Migré")),NOT(ISNUMBER($K33))),"",ROUNDUP($K33*(1+IF($AC33="",p_margeCPU,$AC33)),0))</f>
        <v/>
      </c>
      <c r="U33" s="21" t="str">
        <f aca="false">IF(OR($C33="",NOT(OR($G33="À migrer",$G33="Migré")),NOT(ISNUMBER($L33))),"",ROUNDUP($L33*(1+IF($AD33="",p_margeRAM,$AD33)),0))</f>
        <v/>
      </c>
      <c r="V33" s="39" t="str">
        <f aca="false">IF(OR(NOT($G33="À migrer"),$P33=""),"",IFERROR(DATE(YEAR($P33),MONTH($P33),1),""))</f>
        <v/>
      </c>
      <c r="W33" s="39" t="str">
        <f aca="false">IF(OR(NOT(OR($G33="À migrer",$G33="À décommissionner")),$R33=""),"",IFERROR(DATE(YEAR($R33),MONTH($R33),1),""))</f>
        <v/>
      </c>
      <c r="X33" s="21" t="str">
        <f aca="false">IF(OR($V33="",$W33=""),"",MAX(0,(YEAR($W33)-YEAR($V33))*12+MONTH($W33)-MONTH($V33)))</f>
        <v/>
      </c>
      <c r="Y33" s="21" t="str">
        <f aca="false">IF($C33="","",COUNTIF(TblApplications[ID],$C33))</f>
        <v/>
      </c>
      <c r="Z33" s="39" t="str">
        <f aca="false">IF($C33="","",IFERROR(1/(1/_xlfn.MINIFS(TblApplications[Mois prov (calc)],TblApplications[ID],$C33)),""))</f>
        <v/>
      </c>
      <c r="AA33" s="39" t="str">
        <f aca="false">IF($C33="","",IFERROR(1/(1/_xlfn.MAXIFS(TblApplications[Mois lib (calc)],TblApplications[ID],$C33)),""))</f>
        <v/>
      </c>
      <c r="AB33" s="21" t="str">
        <f aca="false">IF($C33="","",IF(OR(OR($A33="",$B33="",$D33="",$E33="",$F33="",$G33=""),AND($G33="À migrer",OR($H33="",$I33="",$J33="",$K33="",$L33="",$N33="",$O33="",$P33="",$Q33="",$R33="")),AND($G33="Migré",OR($J33="",$K33="",$L33="")),AND($G33="À décommissionner",OR($I33="",$N33="",$O33="",$R33=""))),"Données manquantes (selon l’action)",IF(AND($G33&lt;&gt;"Migré",$G33&lt;&gt;"À migrer",$G33&lt;&gt;"À décommissionner",$G33&lt;&gt;"Décommissionné"),"Action invalide",IF(COUNTIF(TblDomaines[Domaine],$A33)=0,"Domaine inconnu (référentiel)",IF(COUNTIFS(TblTribes[Tribe],$B33,TblTribes[Domaine de la tribe],$A33)=0,"Tribe inconnue ou hors domaine",IF(AND($G33="À migrer",$H33&lt;&gt;"Oui",$H33&lt;&gt;"Non"),"Valeur Oui/Non invalide (Déjà incluse ROKS)",IF(AND($E33&lt;&gt;"PRD",$E33&lt;&gt;"NPRD"),"Environnement invalide",IF(COUNTIFS(TblApplications[ID],$C33,TblApplications[Environnement],$E33,TblApplications[Couloir],$F33)&gt;1,"Déploiement en doublon (ID + env + couloir)",IF(OR(AND($K33&lt;&gt;"",NOT(ISNUMBER($K33))),AND($L33&lt;&gt;"",NOT(ISNUMBER($L33))),AND($N33&lt;&gt;"",NOT(ISNUMBER($N33))),AND($O33&lt;&gt;"",NOT(ISNUMBER($O33)))),"Ressource non numérique",IF(MIN(N($K33),N($L33),N($N33),N($O33))&lt;0,"Ressource négative",IF(OR(AND($AC33&lt;&gt;"",OR(NOT(ISNUMBER($AC33)),$AC33&lt;0,$AC33&gt;1)),AND($AD33&lt;&gt;"",OR(NOT(ISNUMBER($AD33)),$AD33&lt;0,$AD33&gt;1))),"Marge spécifique invalide (0–100 %)",IF(OR(AND($P33&lt;&gt;"",NOT(ISNUMBER($P33))),AND($Q33&lt;&gt;"",NOT(ISNUMBER($Q33))),AND($R33&lt;&gt;"",NOT(ISNUMBER($R33)))),"Mois invalide",IF(AND(OR($G33="À migrer",$G33="À décommissionner"),COUNTIFS(TblClusters[Cluster],$I33,TblClusters[Plateforme],"IKS")=0),"Cluster IKS inconnu",IF(AND(OR($G33="À migrer",$G33="Migré"),COUNTIFS(TblClusters[Cluster],$J33,TblClusters[Plateforme],"ROKS")=0),"Cluster ROKS inconnu",IF(AND(OR($G33="À migrer",$G33="À décommissionner"),COUNTIFS(TblClusters[Cluster],$I33,TblClusters[Environnement],$E33)=0),"Environnement ≠ cluster IKS",IF(AND(OR($G33="À migrer",$G33="Migré"),COUNTIFS(TblClusters[Cluster],$J33,TblClusters[Environnement],$E33)=0),"Environnement ≠ cluster ROKS",IF(AND($G33="À migrer",OR($P33&gt;$Q33,$Q33&gt;$R33)),"Dates incohérentes (prov ≤ bascule ≤ libération)",IF(AND(OR($G33="À migrer",$G33="À décommissionner"),OR(N($N33)&gt;SUMIFS(TblClusters[CPU initial (vCPU)],TblClusters[Cluster],$I33),N($O33)&gt;SUMIFS(TblClusters[RAM initiale (Go)],TblClusters[Cluster],$I33))),"Libération &gt; capacité du cluster source",IF(OR(AND($V33&lt;&gt;"",$V33&lt;p_debut),AND($W33&lt;&gt;"",$W33&gt;p_fin)),"Hors horizon (info)",IF(AND($G33="À migrer",$E33="PRD",COUNTIFS(TblApplications[ID],$C33,TblApplications[Environnement],"NPRD",TblApplications[Action],"À migrer")&gt;0,$V33&lt;_xlfn.MINIFS(TblApplications[Mois prov (calc)],TblApplications[ID],$C33,TblApplications[Environnement],"NPRD")),"PRD avant NPRD (info)","OK"))))))))))))))))))))</f>
        <v/>
      </c>
      <c r="AC33" s="76"/>
      <c r="AD33" s="76"/>
      <c r="AE33" s="22" t="str">
        <f aca="false">IF(OR($C33="",NOT(OR($G33="À migrer",$G33="À décommissionner")),NOT(ISNUMBER($N33)),NOT(ISNUMBER($O33)),$W33=""),"",($N33+p_poidsram*$O33)*SUMIFS(TblCalculs[Coût par unité],TblCalculs[Cluster],$I33,TblCalculs[Mois],"&lt;"&amp;$W33))</f>
        <v/>
      </c>
      <c r="AF33" s="22" t="str">
        <f aca="false">IF($C33="","",IF(AND($G33="À migrer",$H33="Non",$T33&lt;&gt;"",$V33&lt;&gt;""),($T33+p_poidsram*$U33)*SUMIFS(TblCalculs[Coût par unité],TblCalculs[Cluster],$J33,TblCalculs[Mois],"&gt;="&amp;$V33),IF(AND($G33="Migré",$T33&lt;&gt;""),($T33+p_poidsram*$U33)*SUMIFS(TblCalculs[Coût par unité],TblCalculs[Cluster],$J33),"")))</f>
        <v/>
      </c>
      <c r="AG33" s="22" t="str">
        <f aca="false">IF($C33="","",N($AE33)+N($AF33))</f>
        <v/>
      </c>
      <c r="AH33" s="21" t="str">
        <f aca="false">IF(OR($C33="",$G33="Décommissionné",COUNTIFS($E33,av_envc,$A33,av_domc,$B33,av_tric)=0),"",COUNTIFS($C$6:$C33,"&lt;&gt;",$G$6:$G33,"&lt;&gt;Décommissionné",$E$6:$E33,av_envc,$A$6:$A33,av_domc,$B$6:$B33,av_tric))</f>
        <v/>
      </c>
      <c r="AI33" s="21" t="str">
        <f aca="false">IF($C33="","",IF(AND(OR($G33="À migrer",$G33="À décommissionner"),$W33&lt;&gt;"",$W33&gt;ex_mois),1,0))</f>
        <v/>
      </c>
      <c r="AJ33" s="21" t="str">
        <f aca="false">IF(OR($C33="",$AI33&lt;&gt;1,COUNTIFS($E33,ex_envc,$A33,ex_domc,$B33,ex_tric)=0),"",COUNTIFS($AI$6:$AI33,1,$E$6:$E33,ex_envc,$A$6:$A33,ex_domc,$B$6:$B33,ex_tric))</f>
        <v/>
      </c>
    </row>
    <row r="34" customFormat="false" ht="15" hidden="false" customHeight="false" outlineLevel="0" collapsed="false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5"/>
      <c r="Q34" s="75"/>
      <c r="R34" s="75"/>
      <c r="S34" s="74"/>
      <c r="T34" s="21" t="str">
        <f aca="false">IF(OR($C34="",NOT(OR($G34="À migrer",$G34="Migré")),NOT(ISNUMBER($K34))),"",ROUNDUP($K34*(1+IF($AC34="",p_margeCPU,$AC34)),0))</f>
        <v/>
      </c>
      <c r="U34" s="21" t="str">
        <f aca="false">IF(OR($C34="",NOT(OR($G34="À migrer",$G34="Migré")),NOT(ISNUMBER($L34))),"",ROUNDUP($L34*(1+IF($AD34="",p_margeRAM,$AD34)),0))</f>
        <v/>
      </c>
      <c r="V34" s="39" t="str">
        <f aca="false">IF(OR(NOT($G34="À migrer"),$P34=""),"",IFERROR(DATE(YEAR($P34),MONTH($P34),1),""))</f>
        <v/>
      </c>
      <c r="W34" s="39" t="str">
        <f aca="false">IF(OR(NOT(OR($G34="À migrer",$G34="À décommissionner")),$R34=""),"",IFERROR(DATE(YEAR($R34),MONTH($R34),1),""))</f>
        <v/>
      </c>
      <c r="X34" s="21" t="str">
        <f aca="false">IF(OR($V34="",$W34=""),"",MAX(0,(YEAR($W34)-YEAR($V34))*12+MONTH($W34)-MONTH($V34)))</f>
        <v/>
      </c>
      <c r="Y34" s="21" t="str">
        <f aca="false">IF($C34="","",COUNTIF(TblApplications[ID],$C34))</f>
        <v/>
      </c>
      <c r="Z34" s="39" t="str">
        <f aca="false">IF($C34="","",IFERROR(1/(1/_xlfn.MINIFS(TblApplications[Mois prov (calc)],TblApplications[ID],$C34)),""))</f>
        <v/>
      </c>
      <c r="AA34" s="39" t="str">
        <f aca="false">IF($C34="","",IFERROR(1/(1/_xlfn.MAXIFS(TblApplications[Mois lib (calc)],TblApplications[ID],$C34)),""))</f>
        <v/>
      </c>
      <c r="AB34" s="21" t="str">
        <f aca="false">IF($C34="","",IF(OR(OR($A34="",$B34="",$D34="",$E34="",$F34="",$G34=""),AND($G34="À migrer",OR($H34="",$I34="",$J34="",$K34="",$L34="",$N34="",$O34="",$P34="",$Q34="",$R34="")),AND($G34="Migré",OR($J34="",$K34="",$L34="")),AND($G34="À décommissionner",OR($I34="",$N34="",$O34="",$R34=""))),"Données manquantes (selon l’action)",IF(AND($G34&lt;&gt;"Migré",$G34&lt;&gt;"À migrer",$G34&lt;&gt;"À décommissionner",$G34&lt;&gt;"Décommissionné"),"Action invalide",IF(COUNTIF(TblDomaines[Domaine],$A34)=0,"Domaine inconnu (référentiel)",IF(COUNTIFS(TblTribes[Tribe],$B34,TblTribes[Domaine de la tribe],$A34)=0,"Tribe inconnue ou hors domaine",IF(AND($G34="À migrer",$H34&lt;&gt;"Oui",$H34&lt;&gt;"Non"),"Valeur Oui/Non invalide (Déjà incluse ROKS)",IF(AND($E34&lt;&gt;"PRD",$E34&lt;&gt;"NPRD"),"Environnement invalide",IF(COUNTIFS(TblApplications[ID],$C34,TblApplications[Environnement],$E34,TblApplications[Couloir],$F34)&gt;1,"Déploiement en doublon (ID + env + couloir)",IF(OR(AND($K34&lt;&gt;"",NOT(ISNUMBER($K34))),AND($L34&lt;&gt;"",NOT(ISNUMBER($L34))),AND($N34&lt;&gt;"",NOT(ISNUMBER($N34))),AND($O34&lt;&gt;"",NOT(ISNUMBER($O34)))),"Ressource non numérique",IF(MIN(N($K34),N($L34),N($N34),N($O34))&lt;0,"Ressource négative",IF(OR(AND($AC34&lt;&gt;"",OR(NOT(ISNUMBER($AC34)),$AC34&lt;0,$AC34&gt;1)),AND($AD34&lt;&gt;"",OR(NOT(ISNUMBER($AD34)),$AD34&lt;0,$AD34&gt;1))),"Marge spécifique invalide (0–100 %)",IF(OR(AND($P34&lt;&gt;"",NOT(ISNUMBER($P34))),AND($Q34&lt;&gt;"",NOT(ISNUMBER($Q34))),AND($R34&lt;&gt;"",NOT(ISNUMBER($R34)))),"Mois invalide",IF(AND(OR($G34="À migrer",$G34="À décommissionner"),COUNTIFS(TblClusters[Cluster],$I34,TblClusters[Plateforme],"IKS")=0),"Cluster IKS inconnu",IF(AND(OR($G34="À migrer",$G34="Migré"),COUNTIFS(TblClusters[Cluster],$J34,TblClusters[Plateforme],"ROKS")=0),"Cluster ROKS inconnu",IF(AND(OR($G34="À migrer",$G34="À décommissionner"),COUNTIFS(TblClusters[Cluster],$I34,TblClusters[Environnement],$E34)=0),"Environnement ≠ cluster IKS",IF(AND(OR($G34="À migrer",$G34="Migré"),COUNTIFS(TblClusters[Cluster],$J34,TblClusters[Environnement],$E34)=0),"Environnement ≠ cluster ROKS",IF(AND($G34="À migrer",OR($P34&gt;$Q34,$Q34&gt;$R34)),"Dates incohérentes (prov ≤ bascule ≤ libération)",IF(AND(OR($G34="À migrer",$G34="À décommissionner"),OR(N($N34)&gt;SUMIFS(TblClusters[CPU initial (vCPU)],TblClusters[Cluster],$I34),N($O34)&gt;SUMIFS(TblClusters[RAM initiale (Go)],TblClusters[Cluster],$I34))),"Libération &gt; capacité du cluster source",IF(OR(AND($V34&lt;&gt;"",$V34&lt;p_debut),AND($W34&lt;&gt;"",$W34&gt;p_fin)),"Hors horizon (info)",IF(AND($G34="À migrer",$E34="PRD",COUNTIFS(TblApplications[ID],$C34,TblApplications[Environnement],"NPRD",TblApplications[Action],"À migrer")&gt;0,$V34&lt;_xlfn.MINIFS(TblApplications[Mois prov (calc)],TblApplications[ID],$C34,TblApplications[Environnement],"NPRD")),"PRD avant NPRD (info)","OK"))))))))))))))))))))</f>
        <v/>
      </c>
      <c r="AC34" s="76"/>
      <c r="AD34" s="76"/>
      <c r="AE34" s="22" t="str">
        <f aca="false">IF(OR($C34="",NOT(OR($G34="À migrer",$G34="À décommissionner")),NOT(ISNUMBER($N34)),NOT(ISNUMBER($O34)),$W34=""),"",($N34+p_poidsram*$O34)*SUMIFS(TblCalculs[Coût par unité],TblCalculs[Cluster],$I34,TblCalculs[Mois],"&lt;"&amp;$W34))</f>
        <v/>
      </c>
      <c r="AF34" s="22" t="str">
        <f aca="false">IF($C34="","",IF(AND($G34="À migrer",$H34="Non",$T34&lt;&gt;"",$V34&lt;&gt;""),($T34+p_poidsram*$U34)*SUMIFS(TblCalculs[Coût par unité],TblCalculs[Cluster],$J34,TblCalculs[Mois],"&gt;="&amp;$V34),IF(AND($G34="Migré",$T34&lt;&gt;""),($T34+p_poidsram*$U34)*SUMIFS(TblCalculs[Coût par unité],TblCalculs[Cluster],$J34),"")))</f>
        <v/>
      </c>
      <c r="AG34" s="22" t="str">
        <f aca="false">IF($C34="","",N($AE34)+N($AF34))</f>
        <v/>
      </c>
      <c r="AH34" s="21" t="str">
        <f aca="false">IF(OR($C34="",$G34="Décommissionné",COUNTIFS($E34,av_envc,$A34,av_domc,$B34,av_tric)=0),"",COUNTIFS($C$6:$C34,"&lt;&gt;",$G$6:$G34,"&lt;&gt;Décommissionné",$E$6:$E34,av_envc,$A$6:$A34,av_domc,$B$6:$B34,av_tric))</f>
        <v/>
      </c>
      <c r="AI34" s="21" t="str">
        <f aca="false">IF($C34="","",IF(AND(OR($G34="À migrer",$G34="À décommissionner"),$W34&lt;&gt;"",$W34&gt;ex_mois),1,0))</f>
        <v/>
      </c>
      <c r="AJ34" s="21" t="str">
        <f aca="false">IF(OR($C34="",$AI34&lt;&gt;1,COUNTIFS($E34,ex_envc,$A34,ex_domc,$B34,ex_tric)=0),"",COUNTIFS($AI$6:$AI34,1,$E$6:$E34,ex_envc,$A$6:$A34,ex_domc,$B$6:$B34,ex_tric))</f>
        <v/>
      </c>
    </row>
    <row r="35" customFormat="false" ht="15" hidden="false" customHeight="false" outlineLevel="0" collapsed="false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5"/>
      <c r="Q35" s="75"/>
      <c r="R35" s="75"/>
      <c r="S35" s="74"/>
      <c r="T35" s="21" t="str">
        <f aca="false">IF(OR($C35="",NOT(OR($G35="À migrer",$G35="Migré")),NOT(ISNUMBER($K35))),"",ROUNDUP($K35*(1+IF($AC35="",p_margeCPU,$AC35)),0))</f>
        <v/>
      </c>
      <c r="U35" s="21" t="str">
        <f aca="false">IF(OR($C35="",NOT(OR($G35="À migrer",$G35="Migré")),NOT(ISNUMBER($L35))),"",ROUNDUP($L35*(1+IF($AD35="",p_margeRAM,$AD35)),0))</f>
        <v/>
      </c>
      <c r="V35" s="39" t="str">
        <f aca="false">IF(OR(NOT($G35="À migrer"),$P35=""),"",IFERROR(DATE(YEAR($P35),MONTH($P35),1),""))</f>
        <v/>
      </c>
      <c r="W35" s="39" t="str">
        <f aca="false">IF(OR(NOT(OR($G35="À migrer",$G35="À décommissionner")),$R35=""),"",IFERROR(DATE(YEAR($R35),MONTH($R35),1),""))</f>
        <v/>
      </c>
      <c r="X35" s="21" t="str">
        <f aca="false">IF(OR($V35="",$W35=""),"",MAX(0,(YEAR($W35)-YEAR($V35))*12+MONTH($W35)-MONTH($V35)))</f>
        <v/>
      </c>
      <c r="Y35" s="21" t="str">
        <f aca="false">IF($C35="","",COUNTIF(TblApplications[ID],$C35))</f>
        <v/>
      </c>
      <c r="Z35" s="39" t="str">
        <f aca="false">IF($C35="","",IFERROR(1/(1/_xlfn.MINIFS(TblApplications[Mois prov (calc)],TblApplications[ID],$C35)),""))</f>
        <v/>
      </c>
      <c r="AA35" s="39" t="str">
        <f aca="false">IF($C35="","",IFERROR(1/(1/_xlfn.MAXIFS(TblApplications[Mois lib (calc)],TblApplications[ID],$C35)),""))</f>
        <v/>
      </c>
      <c r="AB35" s="21" t="str">
        <f aca="false">IF($C35="","",IF(OR(OR($A35="",$B35="",$D35="",$E35="",$F35="",$G35=""),AND($G35="À migrer",OR($H35="",$I35="",$J35="",$K35="",$L35="",$N35="",$O35="",$P35="",$Q35="",$R35="")),AND($G35="Migré",OR($J35="",$K35="",$L35="")),AND($G35="À décommissionner",OR($I35="",$N35="",$O35="",$R35=""))),"Données manquantes (selon l’action)",IF(AND($G35&lt;&gt;"Migré",$G35&lt;&gt;"À migrer",$G35&lt;&gt;"À décommissionner",$G35&lt;&gt;"Décommissionné"),"Action invalide",IF(COUNTIF(TblDomaines[Domaine],$A35)=0,"Domaine inconnu (référentiel)",IF(COUNTIFS(TblTribes[Tribe],$B35,TblTribes[Domaine de la tribe],$A35)=0,"Tribe inconnue ou hors domaine",IF(AND($G35="À migrer",$H35&lt;&gt;"Oui",$H35&lt;&gt;"Non"),"Valeur Oui/Non invalide (Déjà incluse ROKS)",IF(AND($E35&lt;&gt;"PRD",$E35&lt;&gt;"NPRD"),"Environnement invalide",IF(COUNTIFS(TblApplications[ID],$C35,TblApplications[Environnement],$E35,TblApplications[Couloir],$F35)&gt;1,"Déploiement en doublon (ID + env + couloir)",IF(OR(AND($K35&lt;&gt;"",NOT(ISNUMBER($K35))),AND($L35&lt;&gt;"",NOT(ISNUMBER($L35))),AND($N35&lt;&gt;"",NOT(ISNUMBER($N35))),AND($O35&lt;&gt;"",NOT(ISNUMBER($O35)))),"Ressource non numérique",IF(MIN(N($K35),N($L35),N($N35),N($O35))&lt;0,"Ressource négative",IF(OR(AND($AC35&lt;&gt;"",OR(NOT(ISNUMBER($AC35)),$AC35&lt;0,$AC35&gt;1)),AND($AD35&lt;&gt;"",OR(NOT(ISNUMBER($AD35)),$AD35&lt;0,$AD35&gt;1))),"Marge spécifique invalide (0–100 %)",IF(OR(AND($P35&lt;&gt;"",NOT(ISNUMBER($P35))),AND($Q35&lt;&gt;"",NOT(ISNUMBER($Q35))),AND($R35&lt;&gt;"",NOT(ISNUMBER($R35)))),"Mois invalide",IF(AND(OR($G35="À migrer",$G35="À décommissionner"),COUNTIFS(TblClusters[Cluster],$I35,TblClusters[Plateforme],"IKS")=0),"Cluster IKS inconnu",IF(AND(OR($G35="À migrer",$G35="Migré"),COUNTIFS(TblClusters[Cluster],$J35,TblClusters[Plateforme],"ROKS")=0),"Cluster ROKS inconnu",IF(AND(OR($G35="À migrer",$G35="À décommissionner"),COUNTIFS(TblClusters[Cluster],$I35,TblClusters[Environnement],$E35)=0),"Environnement ≠ cluster IKS",IF(AND(OR($G35="À migrer",$G35="Migré"),COUNTIFS(TblClusters[Cluster],$J35,TblClusters[Environnement],$E35)=0),"Environnement ≠ cluster ROKS",IF(AND($G35="À migrer",OR($P35&gt;$Q35,$Q35&gt;$R35)),"Dates incohérentes (prov ≤ bascule ≤ libération)",IF(AND(OR($G35="À migrer",$G35="À décommissionner"),OR(N($N35)&gt;SUMIFS(TblClusters[CPU initial (vCPU)],TblClusters[Cluster],$I35),N($O35)&gt;SUMIFS(TblClusters[RAM initiale (Go)],TblClusters[Cluster],$I35))),"Libération &gt; capacité du cluster source",IF(OR(AND($V35&lt;&gt;"",$V35&lt;p_debut),AND($W35&lt;&gt;"",$W35&gt;p_fin)),"Hors horizon (info)",IF(AND($G35="À migrer",$E35="PRD",COUNTIFS(TblApplications[ID],$C35,TblApplications[Environnement],"NPRD",TblApplications[Action],"À migrer")&gt;0,$V35&lt;_xlfn.MINIFS(TblApplications[Mois prov (calc)],TblApplications[ID],$C35,TblApplications[Environnement],"NPRD")),"PRD avant NPRD (info)","OK"))))))))))))))))))))</f>
        <v/>
      </c>
      <c r="AC35" s="76"/>
      <c r="AD35" s="76"/>
      <c r="AE35" s="22" t="str">
        <f aca="false">IF(OR($C35="",NOT(OR($G35="À migrer",$G35="À décommissionner")),NOT(ISNUMBER($N35)),NOT(ISNUMBER($O35)),$W35=""),"",($N35+p_poidsram*$O35)*SUMIFS(TblCalculs[Coût par unité],TblCalculs[Cluster],$I35,TblCalculs[Mois],"&lt;"&amp;$W35))</f>
        <v/>
      </c>
      <c r="AF35" s="22" t="str">
        <f aca="false">IF($C35="","",IF(AND($G35="À migrer",$H35="Non",$T35&lt;&gt;"",$V35&lt;&gt;""),($T35+p_poidsram*$U35)*SUMIFS(TblCalculs[Coût par unité],TblCalculs[Cluster],$J35,TblCalculs[Mois],"&gt;="&amp;$V35),IF(AND($G35="Migré",$T35&lt;&gt;""),($T35+p_poidsram*$U35)*SUMIFS(TblCalculs[Coût par unité],TblCalculs[Cluster],$J35),"")))</f>
        <v/>
      </c>
      <c r="AG35" s="22" t="str">
        <f aca="false">IF($C35="","",N($AE35)+N($AF35))</f>
        <v/>
      </c>
      <c r="AH35" s="21" t="str">
        <f aca="false">IF(OR($C35="",$G35="Décommissionné",COUNTIFS($E35,av_envc,$A35,av_domc,$B35,av_tric)=0),"",COUNTIFS($C$6:$C35,"&lt;&gt;",$G$6:$G35,"&lt;&gt;Décommissionné",$E$6:$E35,av_envc,$A$6:$A35,av_domc,$B$6:$B35,av_tric))</f>
        <v/>
      </c>
      <c r="AI35" s="21" t="str">
        <f aca="false">IF($C35="","",IF(AND(OR($G35="À migrer",$G35="À décommissionner"),$W35&lt;&gt;"",$W35&gt;ex_mois),1,0))</f>
        <v/>
      </c>
      <c r="AJ35" s="21" t="str">
        <f aca="false">IF(OR($C35="",$AI35&lt;&gt;1,COUNTIFS($E35,ex_envc,$A35,ex_domc,$B35,ex_tric)=0),"",COUNTIFS($AI$6:$AI35,1,$E$6:$E35,ex_envc,$A$6:$A35,ex_domc,$B$6:$B35,ex_tric))</f>
        <v/>
      </c>
    </row>
    <row r="36" customFormat="false" ht="15" hidden="false" customHeight="false" outlineLevel="0" collapsed="false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5"/>
      <c r="Q36" s="75"/>
      <c r="R36" s="75"/>
      <c r="S36" s="74"/>
      <c r="T36" s="21" t="str">
        <f aca="false">IF(OR($C36="",NOT(OR($G36="À migrer",$G36="Migré")),NOT(ISNUMBER($K36))),"",ROUNDUP($K36*(1+IF($AC36="",p_margeCPU,$AC36)),0))</f>
        <v/>
      </c>
      <c r="U36" s="21" t="str">
        <f aca="false">IF(OR($C36="",NOT(OR($G36="À migrer",$G36="Migré")),NOT(ISNUMBER($L36))),"",ROUNDUP($L36*(1+IF($AD36="",p_margeRAM,$AD36)),0))</f>
        <v/>
      </c>
      <c r="V36" s="39" t="str">
        <f aca="false">IF(OR(NOT($G36="À migrer"),$P36=""),"",IFERROR(DATE(YEAR($P36),MONTH($P36),1),""))</f>
        <v/>
      </c>
      <c r="W36" s="39" t="str">
        <f aca="false">IF(OR(NOT(OR($G36="À migrer",$G36="À décommissionner")),$R36=""),"",IFERROR(DATE(YEAR($R36),MONTH($R36),1),""))</f>
        <v/>
      </c>
      <c r="X36" s="21" t="str">
        <f aca="false">IF(OR($V36="",$W36=""),"",MAX(0,(YEAR($W36)-YEAR($V36))*12+MONTH($W36)-MONTH($V36)))</f>
        <v/>
      </c>
      <c r="Y36" s="21" t="str">
        <f aca="false">IF($C36="","",COUNTIF(TblApplications[ID],$C36))</f>
        <v/>
      </c>
      <c r="Z36" s="39" t="str">
        <f aca="false">IF($C36="","",IFERROR(1/(1/_xlfn.MINIFS(TblApplications[Mois prov (calc)],TblApplications[ID],$C36)),""))</f>
        <v/>
      </c>
      <c r="AA36" s="39" t="str">
        <f aca="false">IF($C36="","",IFERROR(1/(1/_xlfn.MAXIFS(TblApplications[Mois lib (calc)],TblApplications[ID],$C36)),""))</f>
        <v/>
      </c>
      <c r="AB36" s="21" t="str">
        <f aca="false">IF($C36="","",IF(OR(OR($A36="",$B36="",$D36="",$E36="",$F36="",$G36=""),AND($G36="À migrer",OR($H36="",$I36="",$J36="",$K36="",$L36="",$N36="",$O36="",$P36="",$Q36="",$R36="")),AND($G36="Migré",OR($J36="",$K36="",$L36="")),AND($G36="À décommissionner",OR($I36="",$N36="",$O36="",$R36=""))),"Données manquantes (selon l’action)",IF(AND($G36&lt;&gt;"Migré",$G36&lt;&gt;"À migrer",$G36&lt;&gt;"À décommissionner",$G36&lt;&gt;"Décommissionné"),"Action invalide",IF(COUNTIF(TblDomaines[Domaine],$A36)=0,"Domaine inconnu (référentiel)",IF(COUNTIFS(TblTribes[Tribe],$B36,TblTribes[Domaine de la tribe],$A36)=0,"Tribe inconnue ou hors domaine",IF(AND($G36="À migrer",$H36&lt;&gt;"Oui",$H36&lt;&gt;"Non"),"Valeur Oui/Non invalide (Déjà incluse ROKS)",IF(AND($E36&lt;&gt;"PRD",$E36&lt;&gt;"NPRD"),"Environnement invalide",IF(COUNTIFS(TblApplications[ID],$C36,TblApplications[Environnement],$E36,TblApplications[Couloir],$F36)&gt;1,"Déploiement en doublon (ID + env + couloir)",IF(OR(AND($K36&lt;&gt;"",NOT(ISNUMBER($K36))),AND($L36&lt;&gt;"",NOT(ISNUMBER($L36))),AND($N36&lt;&gt;"",NOT(ISNUMBER($N36))),AND($O36&lt;&gt;"",NOT(ISNUMBER($O36)))),"Ressource non numérique",IF(MIN(N($K36),N($L36),N($N36),N($O36))&lt;0,"Ressource négative",IF(OR(AND($AC36&lt;&gt;"",OR(NOT(ISNUMBER($AC36)),$AC36&lt;0,$AC36&gt;1)),AND($AD36&lt;&gt;"",OR(NOT(ISNUMBER($AD36)),$AD36&lt;0,$AD36&gt;1))),"Marge spécifique invalide (0–100 %)",IF(OR(AND($P36&lt;&gt;"",NOT(ISNUMBER($P36))),AND($Q36&lt;&gt;"",NOT(ISNUMBER($Q36))),AND($R36&lt;&gt;"",NOT(ISNUMBER($R36)))),"Mois invalide",IF(AND(OR($G36="À migrer",$G36="À décommissionner"),COUNTIFS(TblClusters[Cluster],$I36,TblClusters[Plateforme],"IKS")=0),"Cluster IKS inconnu",IF(AND(OR($G36="À migrer",$G36="Migré"),COUNTIFS(TblClusters[Cluster],$J36,TblClusters[Plateforme],"ROKS")=0),"Cluster ROKS inconnu",IF(AND(OR($G36="À migrer",$G36="À décommissionner"),COUNTIFS(TblClusters[Cluster],$I36,TblClusters[Environnement],$E36)=0),"Environnement ≠ cluster IKS",IF(AND(OR($G36="À migrer",$G36="Migré"),COUNTIFS(TblClusters[Cluster],$J36,TblClusters[Environnement],$E36)=0),"Environnement ≠ cluster ROKS",IF(AND($G36="À migrer",OR($P36&gt;$Q36,$Q36&gt;$R36)),"Dates incohérentes (prov ≤ bascule ≤ libération)",IF(AND(OR($G36="À migrer",$G36="À décommissionner"),OR(N($N36)&gt;SUMIFS(TblClusters[CPU initial (vCPU)],TblClusters[Cluster],$I36),N($O36)&gt;SUMIFS(TblClusters[RAM initiale (Go)],TblClusters[Cluster],$I36))),"Libération &gt; capacité du cluster source",IF(OR(AND($V36&lt;&gt;"",$V36&lt;p_debut),AND($W36&lt;&gt;"",$W36&gt;p_fin)),"Hors horizon (info)",IF(AND($G36="À migrer",$E36="PRD",COUNTIFS(TblApplications[ID],$C36,TblApplications[Environnement],"NPRD",TblApplications[Action],"À migrer")&gt;0,$V36&lt;_xlfn.MINIFS(TblApplications[Mois prov (calc)],TblApplications[ID],$C36,TblApplications[Environnement],"NPRD")),"PRD avant NPRD (info)","OK"))))))))))))))))))))</f>
        <v/>
      </c>
      <c r="AC36" s="76"/>
      <c r="AD36" s="76"/>
      <c r="AE36" s="22" t="str">
        <f aca="false">IF(OR($C36="",NOT(OR($G36="À migrer",$G36="À décommissionner")),NOT(ISNUMBER($N36)),NOT(ISNUMBER($O36)),$W36=""),"",($N36+p_poidsram*$O36)*SUMIFS(TblCalculs[Coût par unité],TblCalculs[Cluster],$I36,TblCalculs[Mois],"&lt;"&amp;$W36))</f>
        <v/>
      </c>
      <c r="AF36" s="22" t="str">
        <f aca="false">IF($C36="","",IF(AND($G36="À migrer",$H36="Non",$T36&lt;&gt;"",$V36&lt;&gt;""),($T36+p_poidsram*$U36)*SUMIFS(TblCalculs[Coût par unité],TblCalculs[Cluster],$J36,TblCalculs[Mois],"&gt;="&amp;$V36),IF(AND($G36="Migré",$T36&lt;&gt;""),($T36+p_poidsram*$U36)*SUMIFS(TblCalculs[Coût par unité],TblCalculs[Cluster],$J36),"")))</f>
        <v/>
      </c>
      <c r="AG36" s="22" t="str">
        <f aca="false">IF($C36="","",N($AE36)+N($AF36))</f>
        <v/>
      </c>
      <c r="AH36" s="21" t="str">
        <f aca="false">IF(OR($C36="",$G36="Décommissionné",COUNTIFS($E36,av_envc,$A36,av_domc,$B36,av_tric)=0),"",COUNTIFS($C$6:$C36,"&lt;&gt;",$G$6:$G36,"&lt;&gt;Décommissionné",$E$6:$E36,av_envc,$A$6:$A36,av_domc,$B$6:$B36,av_tric))</f>
        <v/>
      </c>
      <c r="AI36" s="21" t="str">
        <f aca="false">IF($C36="","",IF(AND(OR($G36="À migrer",$G36="À décommissionner"),$W36&lt;&gt;"",$W36&gt;ex_mois),1,0))</f>
        <v/>
      </c>
      <c r="AJ36" s="21" t="str">
        <f aca="false">IF(OR($C36="",$AI36&lt;&gt;1,COUNTIFS($E36,ex_envc,$A36,ex_domc,$B36,ex_tric)=0),"",COUNTIFS($AI$6:$AI36,1,$E$6:$E36,ex_envc,$A$6:$A36,ex_domc,$B$6:$B36,ex_tric))</f>
        <v/>
      </c>
    </row>
    <row r="37" customFormat="false" ht="15" hidden="false" customHeight="false" outlineLevel="0" collapsed="false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5"/>
      <c r="Q37" s="75"/>
      <c r="R37" s="75"/>
      <c r="S37" s="74"/>
      <c r="T37" s="21" t="str">
        <f aca="false">IF(OR($C37="",NOT(OR($G37="À migrer",$G37="Migré")),NOT(ISNUMBER($K37))),"",ROUNDUP($K37*(1+IF($AC37="",p_margeCPU,$AC37)),0))</f>
        <v/>
      </c>
      <c r="U37" s="21" t="str">
        <f aca="false">IF(OR($C37="",NOT(OR($G37="À migrer",$G37="Migré")),NOT(ISNUMBER($L37))),"",ROUNDUP($L37*(1+IF($AD37="",p_margeRAM,$AD37)),0))</f>
        <v/>
      </c>
      <c r="V37" s="39" t="str">
        <f aca="false">IF(OR(NOT($G37="À migrer"),$P37=""),"",IFERROR(DATE(YEAR($P37),MONTH($P37),1),""))</f>
        <v/>
      </c>
      <c r="W37" s="39" t="str">
        <f aca="false">IF(OR(NOT(OR($G37="À migrer",$G37="À décommissionner")),$R37=""),"",IFERROR(DATE(YEAR($R37),MONTH($R37),1),""))</f>
        <v/>
      </c>
      <c r="X37" s="21" t="str">
        <f aca="false">IF(OR($V37="",$W37=""),"",MAX(0,(YEAR($W37)-YEAR($V37))*12+MONTH($W37)-MONTH($V37)))</f>
        <v/>
      </c>
      <c r="Y37" s="21" t="str">
        <f aca="false">IF($C37="","",COUNTIF(TblApplications[ID],$C37))</f>
        <v/>
      </c>
      <c r="Z37" s="39" t="str">
        <f aca="false">IF($C37="","",IFERROR(1/(1/_xlfn.MINIFS(TblApplications[Mois prov (calc)],TblApplications[ID],$C37)),""))</f>
        <v/>
      </c>
      <c r="AA37" s="39" t="str">
        <f aca="false">IF($C37="","",IFERROR(1/(1/_xlfn.MAXIFS(TblApplications[Mois lib (calc)],TblApplications[ID],$C37)),""))</f>
        <v/>
      </c>
      <c r="AB37" s="21" t="str">
        <f aca="false">IF($C37="","",IF(OR(OR($A37="",$B37="",$D37="",$E37="",$F37="",$G37=""),AND($G37="À migrer",OR($H37="",$I37="",$J37="",$K37="",$L37="",$N37="",$O37="",$P37="",$Q37="",$R37="")),AND($G37="Migré",OR($J37="",$K37="",$L37="")),AND($G37="À décommissionner",OR($I37="",$N37="",$O37="",$R37=""))),"Données manquantes (selon l’action)",IF(AND($G37&lt;&gt;"Migré",$G37&lt;&gt;"À migrer",$G37&lt;&gt;"À décommissionner",$G37&lt;&gt;"Décommissionné"),"Action invalide",IF(COUNTIF(TblDomaines[Domaine],$A37)=0,"Domaine inconnu (référentiel)",IF(COUNTIFS(TblTribes[Tribe],$B37,TblTribes[Domaine de la tribe],$A37)=0,"Tribe inconnue ou hors domaine",IF(AND($G37="À migrer",$H37&lt;&gt;"Oui",$H37&lt;&gt;"Non"),"Valeur Oui/Non invalide (Déjà incluse ROKS)",IF(AND($E37&lt;&gt;"PRD",$E37&lt;&gt;"NPRD"),"Environnement invalide",IF(COUNTIFS(TblApplications[ID],$C37,TblApplications[Environnement],$E37,TblApplications[Couloir],$F37)&gt;1,"Déploiement en doublon (ID + env + couloir)",IF(OR(AND($K37&lt;&gt;"",NOT(ISNUMBER($K37))),AND($L37&lt;&gt;"",NOT(ISNUMBER($L37))),AND($N37&lt;&gt;"",NOT(ISNUMBER($N37))),AND($O37&lt;&gt;"",NOT(ISNUMBER($O37)))),"Ressource non numérique",IF(MIN(N($K37),N($L37),N($N37),N($O37))&lt;0,"Ressource négative",IF(OR(AND($AC37&lt;&gt;"",OR(NOT(ISNUMBER($AC37)),$AC37&lt;0,$AC37&gt;1)),AND($AD37&lt;&gt;"",OR(NOT(ISNUMBER($AD37)),$AD37&lt;0,$AD37&gt;1))),"Marge spécifique invalide (0–100 %)",IF(OR(AND($P37&lt;&gt;"",NOT(ISNUMBER($P37))),AND($Q37&lt;&gt;"",NOT(ISNUMBER($Q37))),AND($R37&lt;&gt;"",NOT(ISNUMBER($R37)))),"Mois invalide",IF(AND(OR($G37="À migrer",$G37="À décommissionner"),COUNTIFS(TblClusters[Cluster],$I37,TblClusters[Plateforme],"IKS")=0),"Cluster IKS inconnu",IF(AND(OR($G37="À migrer",$G37="Migré"),COUNTIFS(TblClusters[Cluster],$J37,TblClusters[Plateforme],"ROKS")=0),"Cluster ROKS inconnu",IF(AND(OR($G37="À migrer",$G37="À décommissionner"),COUNTIFS(TblClusters[Cluster],$I37,TblClusters[Environnement],$E37)=0),"Environnement ≠ cluster IKS",IF(AND(OR($G37="À migrer",$G37="Migré"),COUNTIFS(TblClusters[Cluster],$J37,TblClusters[Environnement],$E37)=0),"Environnement ≠ cluster ROKS",IF(AND($G37="À migrer",OR($P37&gt;$Q37,$Q37&gt;$R37)),"Dates incohérentes (prov ≤ bascule ≤ libération)",IF(AND(OR($G37="À migrer",$G37="À décommissionner"),OR(N($N37)&gt;SUMIFS(TblClusters[CPU initial (vCPU)],TblClusters[Cluster],$I37),N($O37)&gt;SUMIFS(TblClusters[RAM initiale (Go)],TblClusters[Cluster],$I37))),"Libération &gt; capacité du cluster source",IF(OR(AND($V37&lt;&gt;"",$V37&lt;p_debut),AND($W37&lt;&gt;"",$W37&gt;p_fin)),"Hors horizon (info)",IF(AND($G37="À migrer",$E37="PRD",COUNTIFS(TblApplications[ID],$C37,TblApplications[Environnement],"NPRD",TblApplications[Action],"À migrer")&gt;0,$V37&lt;_xlfn.MINIFS(TblApplications[Mois prov (calc)],TblApplications[ID],$C37,TblApplications[Environnement],"NPRD")),"PRD avant NPRD (info)","OK"))))))))))))))))))))</f>
        <v/>
      </c>
      <c r="AC37" s="76"/>
      <c r="AD37" s="76"/>
      <c r="AE37" s="22" t="str">
        <f aca="false">IF(OR($C37="",NOT(OR($G37="À migrer",$G37="À décommissionner")),NOT(ISNUMBER($N37)),NOT(ISNUMBER($O37)),$W37=""),"",($N37+p_poidsram*$O37)*SUMIFS(TblCalculs[Coût par unité],TblCalculs[Cluster],$I37,TblCalculs[Mois],"&lt;"&amp;$W37))</f>
        <v/>
      </c>
      <c r="AF37" s="22" t="str">
        <f aca="false">IF($C37="","",IF(AND($G37="À migrer",$H37="Non",$T37&lt;&gt;"",$V37&lt;&gt;""),($T37+p_poidsram*$U37)*SUMIFS(TblCalculs[Coût par unité],TblCalculs[Cluster],$J37,TblCalculs[Mois],"&gt;="&amp;$V37),IF(AND($G37="Migré",$T37&lt;&gt;""),($T37+p_poidsram*$U37)*SUMIFS(TblCalculs[Coût par unité],TblCalculs[Cluster],$J37),"")))</f>
        <v/>
      </c>
      <c r="AG37" s="22" t="str">
        <f aca="false">IF($C37="","",N($AE37)+N($AF37))</f>
        <v/>
      </c>
      <c r="AH37" s="21" t="str">
        <f aca="false">IF(OR($C37="",$G37="Décommissionné",COUNTIFS($E37,av_envc,$A37,av_domc,$B37,av_tric)=0),"",COUNTIFS($C$6:$C37,"&lt;&gt;",$G$6:$G37,"&lt;&gt;Décommissionné",$E$6:$E37,av_envc,$A$6:$A37,av_domc,$B$6:$B37,av_tric))</f>
        <v/>
      </c>
      <c r="AI37" s="21" t="str">
        <f aca="false">IF($C37="","",IF(AND(OR($G37="À migrer",$G37="À décommissionner"),$W37&lt;&gt;"",$W37&gt;ex_mois),1,0))</f>
        <v/>
      </c>
      <c r="AJ37" s="21" t="str">
        <f aca="false">IF(OR($C37="",$AI37&lt;&gt;1,COUNTIFS($E37,ex_envc,$A37,ex_domc,$B37,ex_tric)=0),"",COUNTIFS($AI$6:$AI37,1,$E$6:$E37,ex_envc,$A$6:$A37,ex_domc,$B$6:$B37,ex_tric))</f>
        <v/>
      </c>
    </row>
    <row r="38" customFormat="false" ht="15" hidden="false" customHeight="false" outlineLevel="0" collapsed="false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5"/>
      <c r="Q38" s="75"/>
      <c r="R38" s="75"/>
      <c r="S38" s="74"/>
      <c r="T38" s="21" t="str">
        <f aca="false">IF(OR($C38="",NOT(OR($G38="À migrer",$G38="Migré")),NOT(ISNUMBER($K38))),"",ROUNDUP($K38*(1+IF($AC38="",p_margeCPU,$AC38)),0))</f>
        <v/>
      </c>
      <c r="U38" s="21" t="str">
        <f aca="false">IF(OR($C38="",NOT(OR($G38="À migrer",$G38="Migré")),NOT(ISNUMBER($L38))),"",ROUNDUP($L38*(1+IF($AD38="",p_margeRAM,$AD38)),0))</f>
        <v/>
      </c>
      <c r="V38" s="39" t="str">
        <f aca="false">IF(OR(NOT($G38="À migrer"),$P38=""),"",IFERROR(DATE(YEAR($P38),MONTH($P38),1),""))</f>
        <v/>
      </c>
      <c r="W38" s="39" t="str">
        <f aca="false">IF(OR(NOT(OR($G38="À migrer",$G38="À décommissionner")),$R38=""),"",IFERROR(DATE(YEAR($R38),MONTH($R38),1),""))</f>
        <v/>
      </c>
      <c r="X38" s="21" t="str">
        <f aca="false">IF(OR($V38="",$W38=""),"",MAX(0,(YEAR($W38)-YEAR($V38))*12+MONTH($W38)-MONTH($V38)))</f>
        <v/>
      </c>
      <c r="Y38" s="21" t="str">
        <f aca="false">IF($C38="","",COUNTIF(TblApplications[ID],$C38))</f>
        <v/>
      </c>
      <c r="Z38" s="39" t="str">
        <f aca="false">IF($C38="","",IFERROR(1/(1/_xlfn.MINIFS(TblApplications[Mois prov (calc)],TblApplications[ID],$C38)),""))</f>
        <v/>
      </c>
      <c r="AA38" s="39" t="str">
        <f aca="false">IF($C38="","",IFERROR(1/(1/_xlfn.MAXIFS(TblApplications[Mois lib (calc)],TblApplications[ID],$C38)),""))</f>
        <v/>
      </c>
      <c r="AB38" s="21" t="str">
        <f aca="false">IF($C38="","",IF(OR(OR($A38="",$B38="",$D38="",$E38="",$F38="",$G38=""),AND($G38="À migrer",OR($H38="",$I38="",$J38="",$K38="",$L38="",$N38="",$O38="",$P38="",$Q38="",$R38="")),AND($G38="Migré",OR($J38="",$K38="",$L38="")),AND($G38="À décommissionner",OR($I38="",$N38="",$O38="",$R38=""))),"Données manquantes (selon l’action)",IF(AND($G38&lt;&gt;"Migré",$G38&lt;&gt;"À migrer",$G38&lt;&gt;"À décommissionner",$G38&lt;&gt;"Décommissionné"),"Action invalide",IF(COUNTIF(TblDomaines[Domaine],$A38)=0,"Domaine inconnu (référentiel)",IF(COUNTIFS(TblTribes[Tribe],$B38,TblTribes[Domaine de la tribe],$A38)=0,"Tribe inconnue ou hors domaine",IF(AND($G38="À migrer",$H38&lt;&gt;"Oui",$H38&lt;&gt;"Non"),"Valeur Oui/Non invalide (Déjà incluse ROKS)",IF(AND($E38&lt;&gt;"PRD",$E38&lt;&gt;"NPRD"),"Environnement invalide",IF(COUNTIFS(TblApplications[ID],$C38,TblApplications[Environnement],$E38,TblApplications[Couloir],$F38)&gt;1,"Déploiement en doublon (ID + env + couloir)",IF(OR(AND($K38&lt;&gt;"",NOT(ISNUMBER($K38))),AND($L38&lt;&gt;"",NOT(ISNUMBER($L38))),AND($N38&lt;&gt;"",NOT(ISNUMBER($N38))),AND($O38&lt;&gt;"",NOT(ISNUMBER($O38)))),"Ressource non numérique",IF(MIN(N($K38),N($L38),N($N38),N($O38))&lt;0,"Ressource négative",IF(OR(AND($AC38&lt;&gt;"",OR(NOT(ISNUMBER($AC38)),$AC38&lt;0,$AC38&gt;1)),AND($AD38&lt;&gt;"",OR(NOT(ISNUMBER($AD38)),$AD38&lt;0,$AD38&gt;1))),"Marge spécifique invalide (0–100 %)",IF(OR(AND($P38&lt;&gt;"",NOT(ISNUMBER($P38))),AND($Q38&lt;&gt;"",NOT(ISNUMBER($Q38))),AND($R38&lt;&gt;"",NOT(ISNUMBER($R38)))),"Mois invalide",IF(AND(OR($G38="À migrer",$G38="À décommissionner"),COUNTIFS(TblClusters[Cluster],$I38,TblClusters[Plateforme],"IKS")=0),"Cluster IKS inconnu",IF(AND(OR($G38="À migrer",$G38="Migré"),COUNTIFS(TblClusters[Cluster],$J38,TblClusters[Plateforme],"ROKS")=0),"Cluster ROKS inconnu",IF(AND(OR($G38="À migrer",$G38="À décommissionner"),COUNTIFS(TblClusters[Cluster],$I38,TblClusters[Environnement],$E38)=0),"Environnement ≠ cluster IKS",IF(AND(OR($G38="À migrer",$G38="Migré"),COUNTIFS(TblClusters[Cluster],$J38,TblClusters[Environnement],$E38)=0),"Environnement ≠ cluster ROKS",IF(AND($G38="À migrer",OR($P38&gt;$Q38,$Q38&gt;$R38)),"Dates incohérentes (prov ≤ bascule ≤ libération)",IF(AND(OR($G38="À migrer",$G38="À décommissionner"),OR(N($N38)&gt;SUMIFS(TblClusters[CPU initial (vCPU)],TblClusters[Cluster],$I38),N($O38)&gt;SUMIFS(TblClusters[RAM initiale (Go)],TblClusters[Cluster],$I38))),"Libération &gt; capacité du cluster source",IF(OR(AND($V38&lt;&gt;"",$V38&lt;p_debut),AND($W38&lt;&gt;"",$W38&gt;p_fin)),"Hors horizon (info)",IF(AND($G38="À migrer",$E38="PRD",COUNTIFS(TblApplications[ID],$C38,TblApplications[Environnement],"NPRD",TblApplications[Action],"À migrer")&gt;0,$V38&lt;_xlfn.MINIFS(TblApplications[Mois prov (calc)],TblApplications[ID],$C38,TblApplications[Environnement],"NPRD")),"PRD avant NPRD (info)","OK"))))))))))))))))))))</f>
        <v/>
      </c>
      <c r="AC38" s="76"/>
      <c r="AD38" s="76"/>
      <c r="AE38" s="22" t="str">
        <f aca="false">IF(OR($C38="",NOT(OR($G38="À migrer",$G38="À décommissionner")),NOT(ISNUMBER($N38)),NOT(ISNUMBER($O38)),$W38=""),"",($N38+p_poidsram*$O38)*SUMIFS(TblCalculs[Coût par unité],TblCalculs[Cluster],$I38,TblCalculs[Mois],"&lt;"&amp;$W38))</f>
        <v/>
      </c>
      <c r="AF38" s="22" t="str">
        <f aca="false">IF($C38="","",IF(AND($G38="À migrer",$H38="Non",$T38&lt;&gt;"",$V38&lt;&gt;""),($T38+p_poidsram*$U38)*SUMIFS(TblCalculs[Coût par unité],TblCalculs[Cluster],$J38,TblCalculs[Mois],"&gt;="&amp;$V38),IF(AND($G38="Migré",$T38&lt;&gt;""),($T38+p_poidsram*$U38)*SUMIFS(TblCalculs[Coût par unité],TblCalculs[Cluster],$J38),"")))</f>
        <v/>
      </c>
      <c r="AG38" s="22" t="str">
        <f aca="false">IF($C38="","",N($AE38)+N($AF38))</f>
        <v/>
      </c>
      <c r="AH38" s="21" t="str">
        <f aca="false">IF(OR($C38="",$G38="Décommissionné",COUNTIFS($E38,av_envc,$A38,av_domc,$B38,av_tric)=0),"",COUNTIFS($C$6:$C38,"&lt;&gt;",$G$6:$G38,"&lt;&gt;Décommissionné",$E$6:$E38,av_envc,$A$6:$A38,av_domc,$B$6:$B38,av_tric))</f>
        <v/>
      </c>
      <c r="AI38" s="21" t="str">
        <f aca="false">IF($C38="","",IF(AND(OR($G38="À migrer",$G38="À décommissionner"),$W38&lt;&gt;"",$W38&gt;ex_mois),1,0))</f>
        <v/>
      </c>
      <c r="AJ38" s="21" t="str">
        <f aca="false">IF(OR($C38="",$AI38&lt;&gt;1,COUNTIFS($E38,ex_envc,$A38,ex_domc,$B38,ex_tric)=0),"",COUNTIFS($AI$6:$AI38,1,$E$6:$E38,ex_envc,$A$6:$A38,ex_domc,$B$6:$B38,ex_tric))</f>
        <v/>
      </c>
    </row>
    <row r="39" customFormat="false" ht="15" hidden="false" customHeight="false" outlineLevel="0" collapsed="false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5"/>
      <c r="Q39" s="75"/>
      <c r="R39" s="75"/>
      <c r="S39" s="74"/>
      <c r="T39" s="21" t="str">
        <f aca="false">IF(OR($C39="",NOT(OR($G39="À migrer",$G39="Migré")),NOT(ISNUMBER($K39))),"",ROUNDUP($K39*(1+IF($AC39="",p_margeCPU,$AC39)),0))</f>
        <v/>
      </c>
      <c r="U39" s="21" t="str">
        <f aca="false">IF(OR($C39="",NOT(OR($G39="À migrer",$G39="Migré")),NOT(ISNUMBER($L39))),"",ROUNDUP($L39*(1+IF($AD39="",p_margeRAM,$AD39)),0))</f>
        <v/>
      </c>
      <c r="V39" s="39" t="str">
        <f aca="false">IF(OR(NOT($G39="À migrer"),$P39=""),"",IFERROR(DATE(YEAR($P39),MONTH($P39),1),""))</f>
        <v/>
      </c>
      <c r="W39" s="39" t="str">
        <f aca="false">IF(OR(NOT(OR($G39="À migrer",$G39="À décommissionner")),$R39=""),"",IFERROR(DATE(YEAR($R39),MONTH($R39),1),""))</f>
        <v/>
      </c>
      <c r="X39" s="21" t="str">
        <f aca="false">IF(OR($V39="",$W39=""),"",MAX(0,(YEAR($W39)-YEAR($V39))*12+MONTH($W39)-MONTH($V39)))</f>
        <v/>
      </c>
      <c r="Y39" s="21" t="str">
        <f aca="false">IF($C39="","",COUNTIF(TblApplications[ID],$C39))</f>
        <v/>
      </c>
      <c r="Z39" s="39" t="str">
        <f aca="false">IF($C39="","",IFERROR(1/(1/_xlfn.MINIFS(TblApplications[Mois prov (calc)],TblApplications[ID],$C39)),""))</f>
        <v/>
      </c>
      <c r="AA39" s="39" t="str">
        <f aca="false">IF($C39="","",IFERROR(1/(1/_xlfn.MAXIFS(TblApplications[Mois lib (calc)],TblApplications[ID],$C39)),""))</f>
        <v/>
      </c>
      <c r="AB39" s="21" t="str">
        <f aca="false">IF($C39="","",IF(OR(OR($A39="",$B39="",$D39="",$E39="",$F39="",$G39=""),AND($G39="À migrer",OR($H39="",$I39="",$J39="",$K39="",$L39="",$N39="",$O39="",$P39="",$Q39="",$R39="")),AND($G39="Migré",OR($J39="",$K39="",$L39="")),AND($G39="À décommissionner",OR($I39="",$N39="",$O39="",$R39=""))),"Données manquantes (selon l’action)",IF(AND($G39&lt;&gt;"Migré",$G39&lt;&gt;"À migrer",$G39&lt;&gt;"À décommissionner",$G39&lt;&gt;"Décommissionné"),"Action invalide",IF(COUNTIF(TblDomaines[Domaine],$A39)=0,"Domaine inconnu (référentiel)",IF(COUNTIFS(TblTribes[Tribe],$B39,TblTribes[Domaine de la tribe],$A39)=0,"Tribe inconnue ou hors domaine",IF(AND($G39="À migrer",$H39&lt;&gt;"Oui",$H39&lt;&gt;"Non"),"Valeur Oui/Non invalide (Déjà incluse ROKS)",IF(AND($E39&lt;&gt;"PRD",$E39&lt;&gt;"NPRD"),"Environnement invalide",IF(COUNTIFS(TblApplications[ID],$C39,TblApplications[Environnement],$E39,TblApplications[Couloir],$F39)&gt;1,"Déploiement en doublon (ID + env + couloir)",IF(OR(AND($K39&lt;&gt;"",NOT(ISNUMBER($K39))),AND($L39&lt;&gt;"",NOT(ISNUMBER($L39))),AND($N39&lt;&gt;"",NOT(ISNUMBER($N39))),AND($O39&lt;&gt;"",NOT(ISNUMBER($O39)))),"Ressource non numérique",IF(MIN(N($K39),N($L39),N($N39),N($O39))&lt;0,"Ressource négative",IF(OR(AND($AC39&lt;&gt;"",OR(NOT(ISNUMBER($AC39)),$AC39&lt;0,$AC39&gt;1)),AND($AD39&lt;&gt;"",OR(NOT(ISNUMBER($AD39)),$AD39&lt;0,$AD39&gt;1))),"Marge spécifique invalide (0–100 %)",IF(OR(AND($P39&lt;&gt;"",NOT(ISNUMBER($P39))),AND($Q39&lt;&gt;"",NOT(ISNUMBER($Q39))),AND($R39&lt;&gt;"",NOT(ISNUMBER($R39)))),"Mois invalide",IF(AND(OR($G39="À migrer",$G39="À décommissionner"),COUNTIFS(TblClusters[Cluster],$I39,TblClusters[Plateforme],"IKS")=0),"Cluster IKS inconnu",IF(AND(OR($G39="À migrer",$G39="Migré"),COUNTIFS(TblClusters[Cluster],$J39,TblClusters[Plateforme],"ROKS")=0),"Cluster ROKS inconnu",IF(AND(OR($G39="À migrer",$G39="À décommissionner"),COUNTIFS(TblClusters[Cluster],$I39,TblClusters[Environnement],$E39)=0),"Environnement ≠ cluster IKS",IF(AND(OR($G39="À migrer",$G39="Migré"),COUNTIFS(TblClusters[Cluster],$J39,TblClusters[Environnement],$E39)=0),"Environnement ≠ cluster ROKS",IF(AND($G39="À migrer",OR($P39&gt;$Q39,$Q39&gt;$R39)),"Dates incohérentes (prov ≤ bascule ≤ libération)",IF(AND(OR($G39="À migrer",$G39="À décommissionner"),OR(N($N39)&gt;SUMIFS(TblClusters[CPU initial (vCPU)],TblClusters[Cluster],$I39),N($O39)&gt;SUMIFS(TblClusters[RAM initiale (Go)],TblClusters[Cluster],$I39))),"Libération &gt; capacité du cluster source",IF(OR(AND($V39&lt;&gt;"",$V39&lt;p_debut),AND($W39&lt;&gt;"",$W39&gt;p_fin)),"Hors horizon (info)",IF(AND($G39="À migrer",$E39="PRD",COUNTIFS(TblApplications[ID],$C39,TblApplications[Environnement],"NPRD",TblApplications[Action],"À migrer")&gt;0,$V39&lt;_xlfn.MINIFS(TblApplications[Mois prov (calc)],TblApplications[ID],$C39,TblApplications[Environnement],"NPRD")),"PRD avant NPRD (info)","OK"))))))))))))))))))))</f>
        <v/>
      </c>
      <c r="AC39" s="76"/>
      <c r="AD39" s="76"/>
      <c r="AE39" s="22" t="str">
        <f aca="false">IF(OR($C39="",NOT(OR($G39="À migrer",$G39="À décommissionner")),NOT(ISNUMBER($N39)),NOT(ISNUMBER($O39)),$W39=""),"",($N39+p_poidsram*$O39)*SUMIFS(TblCalculs[Coût par unité],TblCalculs[Cluster],$I39,TblCalculs[Mois],"&lt;"&amp;$W39))</f>
        <v/>
      </c>
      <c r="AF39" s="22" t="str">
        <f aca="false">IF($C39="","",IF(AND($G39="À migrer",$H39="Non",$T39&lt;&gt;"",$V39&lt;&gt;""),($T39+p_poidsram*$U39)*SUMIFS(TblCalculs[Coût par unité],TblCalculs[Cluster],$J39,TblCalculs[Mois],"&gt;="&amp;$V39),IF(AND($G39="Migré",$T39&lt;&gt;""),($T39+p_poidsram*$U39)*SUMIFS(TblCalculs[Coût par unité],TblCalculs[Cluster],$J39),"")))</f>
        <v/>
      </c>
      <c r="AG39" s="22" t="str">
        <f aca="false">IF($C39="","",N($AE39)+N($AF39))</f>
        <v/>
      </c>
      <c r="AH39" s="21" t="str">
        <f aca="false">IF(OR($C39="",$G39="Décommissionné",COUNTIFS($E39,av_envc,$A39,av_domc,$B39,av_tric)=0),"",COUNTIFS($C$6:$C39,"&lt;&gt;",$G$6:$G39,"&lt;&gt;Décommissionné",$E$6:$E39,av_envc,$A$6:$A39,av_domc,$B$6:$B39,av_tric))</f>
        <v/>
      </c>
      <c r="AI39" s="21" t="str">
        <f aca="false">IF($C39="","",IF(AND(OR($G39="À migrer",$G39="À décommissionner"),$W39&lt;&gt;"",$W39&gt;ex_mois),1,0))</f>
        <v/>
      </c>
      <c r="AJ39" s="21" t="str">
        <f aca="false">IF(OR($C39="",$AI39&lt;&gt;1,COUNTIFS($E39,ex_envc,$A39,ex_domc,$B39,ex_tric)=0),"",COUNTIFS($AI$6:$AI39,1,$E$6:$E39,ex_envc,$A$6:$A39,ex_domc,$B$6:$B39,ex_tric))</f>
        <v/>
      </c>
    </row>
    <row r="40" customFormat="false" ht="15" hidden="false" customHeight="false" outlineLevel="0" collapsed="false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5"/>
      <c r="Q40" s="75"/>
      <c r="R40" s="75"/>
      <c r="S40" s="74"/>
      <c r="T40" s="21" t="str">
        <f aca="false">IF(OR($C40="",NOT(OR($G40="À migrer",$G40="Migré")),NOT(ISNUMBER($K40))),"",ROUNDUP($K40*(1+IF($AC40="",p_margeCPU,$AC40)),0))</f>
        <v/>
      </c>
      <c r="U40" s="21" t="str">
        <f aca="false">IF(OR($C40="",NOT(OR($G40="À migrer",$G40="Migré")),NOT(ISNUMBER($L40))),"",ROUNDUP($L40*(1+IF($AD40="",p_margeRAM,$AD40)),0))</f>
        <v/>
      </c>
      <c r="V40" s="39" t="str">
        <f aca="false">IF(OR(NOT($G40="À migrer"),$P40=""),"",IFERROR(DATE(YEAR($P40),MONTH($P40),1),""))</f>
        <v/>
      </c>
      <c r="W40" s="39" t="str">
        <f aca="false">IF(OR(NOT(OR($G40="À migrer",$G40="À décommissionner")),$R40=""),"",IFERROR(DATE(YEAR($R40),MONTH($R40),1),""))</f>
        <v/>
      </c>
      <c r="X40" s="21" t="str">
        <f aca="false">IF(OR($V40="",$W40=""),"",MAX(0,(YEAR($W40)-YEAR($V40))*12+MONTH($W40)-MONTH($V40)))</f>
        <v/>
      </c>
      <c r="Y40" s="21" t="str">
        <f aca="false">IF($C40="","",COUNTIF(TblApplications[ID],$C40))</f>
        <v/>
      </c>
      <c r="Z40" s="39" t="str">
        <f aca="false">IF($C40="","",IFERROR(1/(1/_xlfn.MINIFS(TblApplications[Mois prov (calc)],TblApplications[ID],$C40)),""))</f>
        <v/>
      </c>
      <c r="AA40" s="39" t="str">
        <f aca="false">IF($C40="","",IFERROR(1/(1/_xlfn.MAXIFS(TblApplications[Mois lib (calc)],TblApplications[ID],$C40)),""))</f>
        <v/>
      </c>
      <c r="AB40" s="21" t="str">
        <f aca="false">IF($C40="","",IF(OR(OR($A40="",$B40="",$D40="",$E40="",$F40="",$G40=""),AND($G40="À migrer",OR($H40="",$I40="",$J40="",$K40="",$L40="",$N40="",$O40="",$P40="",$Q40="",$R40="")),AND($G40="Migré",OR($J40="",$K40="",$L40="")),AND($G40="À décommissionner",OR($I40="",$N40="",$O40="",$R40=""))),"Données manquantes (selon l’action)",IF(AND($G40&lt;&gt;"Migré",$G40&lt;&gt;"À migrer",$G40&lt;&gt;"À décommissionner",$G40&lt;&gt;"Décommissionné"),"Action invalide",IF(COUNTIF(TblDomaines[Domaine],$A40)=0,"Domaine inconnu (référentiel)",IF(COUNTIFS(TblTribes[Tribe],$B40,TblTribes[Domaine de la tribe],$A40)=0,"Tribe inconnue ou hors domaine",IF(AND($G40="À migrer",$H40&lt;&gt;"Oui",$H40&lt;&gt;"Non"),"Valeur Oui/Non invalide (Déjà incluse ROKS)",IF(AND($E40&lt;&gt;"PRD",$E40&lt;&gt;"NPRD"),"Environnement invalide",IF(COUNTIFS(TblApplications[ID],$C40,TblApplications[Environnement],$E40,TblApplications[Couloir],$F40)&gt;1,"Déploiement en doublon (ID + env + couloir)",IF(OR(AND($K40&lt;&gt;"",NOT(ISNUMBER($K40))),AND($L40&lt;&gt;"",NOT(ISNUMBER($L40))),AND($N40&lt;&gt;"",NOT(ISNUMBER($N40))),AND($O40&lt;&gt;"",NOT(ISNUMBER($O40)))),"Ressource non numérique",IF(MIN(N($K40),N($L40),N($N40),N($O40))&lt;0,"Ressource négative",IF(OR(AND($AC40&lt;&gt;"",OR(NOT(ISNUMBER($AC40)),$AC40&lt;0,$AC40&gt;1)),AND($AD40&lt;&gt;"",OR(NOT(ISNUMBER($AD40)),$AD40&lt;0,$AD40&gt;1))),"Marge spécifique invalide (0–100 %)",IF(OR(AND($P40&lt;&gt;"",NOT(ISNUMBER($P40))),AND($Q40&lt;&gt;"",NOT(ISNUMBER($Q40))),AND($R40&lt;&gt;"",NOT(ISNUMBER($R40)))),"Mois invalide",IF(AND(OR($G40="À migrer",$G40="À décommissionner"),COUNTIFS(TblClusters[Cluster],$I40,TblClusters[Plateforme],"IKS")=0),"Cluster IKS inconnu",IF(AND(OR($G40="À migrer",$G40="Migré"),COUNTIFS(TblClusters[Cluster],$J40,TblClusters[Plateforme],"ROKS")=0),"Cluster ROKS inconnu",IF(AND(OR($G40="À migrer",$G40="À décommissionner"),COUNTIFS(TblClusters[Cluster],$I40,TblClusters[Environnement],$E40)=0),"Environnement ≠ cluster IKS",IF(AND(OR($G40="À migrer",$G40="Migré"),COUNTIFS(TblClusters[Cluster],$J40,TblClusters[Environnement],$E40)=0),"Environnement ≠ cluster ROKS",IF(AND($G40="À migrer",OR($P40&gt;$Q40,$Q40&gt;$R40)),"Dates incohérentes (prov ≤ bascule ≤ libération)",IF(AND(OR($G40="À migrer",$G40="À décommissionner"),OR(N($N40)&gt;SUMIFS(TblClusters[CPU initial (vCPU)],TblClusters[Cluster],$I40),N($O40)&gt;SUMIFS(TblClusters[RAM initiale (Go)],TblClusters[Cluster],$I40))),"Libération &gt; capacité du cluster source",IF(OR(AND($V40&lt;&gt;"",$V40&lt;p_debut),AND($W40&lt;&gt;"",$W40&gt;p_fin)),"Hors horizon (info)",IF(AND($G40="À migrer",$E40="PRD",COUNTIFS(TblApplications[ID],$C40,TblApplications[Environnement],"NPRD",TblApplications[Action],"À migrer")&gt;0,$V40&lt;_xlfn.MINIFS(TblApplications[Mois prov (calc)],TblApplications[ID],$C40,TblApplications[Environnement],"NPRD")),"PRD avant NPRD (info)","OK"))))))))))))))))))))</f>
        <v/>
      </c>
      <c r="AC40" s="76"/>
      <c r="AD40" s="76"/>
      <c r="AE40" s="22" t="str">
        <f aca="false">IF(OR($C40="",NOT(OR($G40="À migrer",$G40="À décommissionner")),NOT(ISNUMBER($N40)),NOT(ISNUMBER($O40)),$W40=""),"",($N40+p_poidsram*$O40)*SUMIFS(TblCalculs[Coût par unité],TblCalculs[Cluster],$I40,TblCalculs[Mois],"&lt;"&amp;$W40))</f>
        <v/>
      </c>
      <c r="AF40" s="22" t="str">
        <f aca="false">IF($C40="","",IF(AND($G40="À migrer",$H40="Non",$T40&lt;&gt;"",$V40&lt;&gt;""),($T40+p_poidsram*$U40)*SUMIFS(TblCalculs[Coût par unité],TblCalculs[Cluster],$J40,TblCalculs[Mois],"&gt;="&amp;$V40),IF(AND($G40="Migré",$T40&lt;&gt;""),($T40+p_poidsram*$U40)*SUMIFS(TblCalculs[Coût par unité],TblCalculs[Cluster],$J40),"")))</f>
        <v/>
      </c>
      <c r="AG40" s="22" t="str">
        <f aca="false">IF($C40="","",N($AE40)+N($AF40))</f>
        <v/>
      </c>
      <c r="AH40" s="21" t="str">
        <f aca="false">IF(OR($C40="",$G40="Décommissionné",COUNTIFS($E40,av_envc,$A40,av_domc,$B40,av_tric)=0),"",COUNTIFS($C$6:$C40,"&lt;&gt;",$G$6:$G40,"&lt;&gt;Décommissionné",$E$6:$E40,av_envc,$A$6:$A40,av_domc,$B$6:$B40,av_tric))</f>
        <v/>
      </c>
      <c r="AI40" s="21" t="str">
        <f aca="false">IF($C40="","",IF(AND(OR($G40="À migrer",$G40="À décommissionner"),$W40&lt;&gt;"",$W40&gt;ex_mois),1,0))</f>
        <v/>
      </c>
      <c r="AJ40" s="21" t="str">
        <f aca="false">IF(OR($C40="",$AI40&lt;&gt;1,COUNTIFS($E40,ex_envc,$A40,ex_domc,$B40,ex_tric)=0),"",COUNTIFS($AI$6:$AI40,1,$E$6:$E40,ex_envc,$A$6:$A40,ex_domc,$B$6:$B40,ex_tric))</f>
        <v/>
      </c>
    </row>
    <row r="41" customFormat="false" ht="15" hidden="false" customHeight="false" outlineLevel="0" collapsed="false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5"/>
      <c r="Q41" s="75"/>
      <c r="R41" s="75"/>
      <c r="S41" s="74"/>
      <c r="T41" s="21" t="str">
        <f aca="false">IF(OR($C41="",NOT(OR($G41="À migrer",$G41="Migré")),NOT(ISNUMBER($K41))),"",ROUNDUP($K41*(1+IF($AC41="",p_margeCPU,$AC41)),0))</f>
        <v/>
      </c>
      <c r="U41" s="21" t="str">
        <f aca="false">IF(OR($C41="",NOT(OR($G41="À migrer",$G41="Migré")),NOT(ISNUMBER($L41))),"",ROUNDUP($L41*(1+IF($AD41="",p_margeRAM,$AD41)),0))</f>
        <v/>
      </c>
      <c r="V41" s="39" t="str">
        <f aca="false">IF(OR(NOT($G41="À migrer"),$P41=""),"",IFERROR(DATE(YEAR($P41),MONTH($P41),1),""))</f>
        <v/>
      </c>
      <c r="W41" s="39" t="str">
        <f aca="false">IF(OR(NOT(OR($G41="À migrer",$G41="À décommissionner")),$R41=""),"",IFERROR(DATE(YEAR($R41),MONTH($R41),1),""))</f>
        <v/>
      </c>
      <c r="X41" s="21" t="str">
        <f aca="false">IF(OR($V41="",$W41=""),"",MAX(0,(YEAR($W41)-YEAR($V41))*12+MONTH($W41)-MONTH($V41)))</f>
        <v/>
      </c>
      <c r="Y41" s="21" t="str">
        <f aca="false">IF($C41="","",COUNTIF(TblApplications[ID],$C41))</f>
        <v/>
      </c>
      <c r="Z41" s="39" t="str">
        <f aca="false">IF($C41="","",IFERROR(1/(1/_xlfn.MINIFS(TblApplications[Mois prov (calc)],TblApplications[ID],$C41)),""))</f>
        <v/>
      </c>
      <c r="AA41" s="39" t="str">
        <f aca="false">IF($C41="","",IFERROR(1/(1/_xlfn.MAXIFS(TblApplications[Mois lib (calc)],TblApplications[ID],$C41)),""))</f>
        <v/>
      </c>
      <c r="AB41" s="21" t="str">
        <f aca="false">IF($C41="","",IF(OR(OR($A41="",$B41="",$D41="",$E41="",$F41="",$G41=""),AND($G41="À migrer",OR($H41="",$I41="",$J41="",$K41="",$L41="",$N41="",$O41="",$P41="",$Q41="",$R41="")),AND($G41="Migré",OR($J41="",$K41="",$L41="")),AND($G41="À décommissionner",OR($I41="",$N41="",$O41="",$R41=""))),"Données manquantes (selon l’action)",IF(AND($G41&lt;&gt;"Migré",$G41&lt;&gt;"À migrer",$G41&lt;&gt;"À décommissionner",$G41&lt;&gt;"Décommissionné"),"Action invalide",IF(COUNTIF(TblDomaines[Domaine],$A41)=0,"Domaine inconnu (référentiel)",IF(COUNTIFS(TblTribes[Tribe],$B41,TblTribes[Domaine de la tribe],$A41)=0,"Tribe inconnue ou hors domaine",IF(AND($G41="À migrer",$H41&lt;&gt;"Oui",$H41&lt;&gt;"Non"),"Valeur Oui/Non invalide (Déjà incluse ROKS)",IF(AND($E41&lt;&gt;"PRD",$E41&lt;&gt;"NPRD"),"Environnement invalide",IF(COUNTIFS(TblApplications[ID],$C41,TblApplications[Environnement],$E41,TblApplications[Couloir],$F41)&gt;1,"Déploiement en doublon (ID + env + couloir)",IF(OR(AND($K41&lt;&gt;"",NOT(ISNUMBER($K41))),AND($L41&lt;&gt;"",NOT(ISNUMBER($L41))),AND($N41&lt;&gt;"",NOT(ISNUMBER($N41))),AND($O41&lt;&gt;"",NOT(ISNUMBER($O41)))),"Ressource non numérique",IF(MIN(N($K41),N($L41),N($N41),N($O41))&lt;0,"Ressource négative",IF(OR(AND($AC41&lt;&gt;"",OR(NOT(ISNUMBER($AC41)),$AC41&lt;0,$AC41&gt;1)),AND($AD41&lt;&gt;"",OR(NOT(ISNUMBER($AD41)),$AD41&lt;0,$AD41&gt;1))),"Marge spécifique invalide (0–100 %)",IF(OR(AND($P41&lt;&gt;"",NOT(ISNUMBER($P41))),AND($Q41&lt;&gt;"",NOT(ISNUMBER($Q41))),AND($R41&lt;&gt;"",NOT(ISNUMBER($R41)))),"Mois invalide",IF(AND(OR($G41="À migrer",$G41="À décommissionner"),COUNTIFS(TblClusters[Cluster],$I41,TblClusters[Plateforme],"IKS")=0),"Cluster IKS inconnu",IF(AND(OR($G41="À migrer",$G41="Migré"),COUNTIFS(TblClusters[Cluster],$J41,TblClusters[Plateforme],"ROKS")=0),"Cluster ROKS inconnu",IF(AND(OR($G41="À migrer",$G41="À décommissionner"),COUNTIFS(TblClusters[Cluster],$I41,TblClusters[Environnement],$E41)=0),"Environnement ≠ cluster IKS",IF(AND(OR($G41="À migrer",$G41="Migré"),COUNTIFS(TblClusters[Cluster],$J41,TblClusters[Environnement],$E41)=0),"Environnement ≠ cluster ROKS",IF(AND($G41="À migrer",OR($P41&gt;$Q41,$Q41&gt;$R41)),"Dates incohérentes (prov ≤ bascule ≤ libération)",IF(AND(OR($G41="À migrer",$G41="À décommissionner"),OR(N($N41)&gt;SUMIFS(TblClusters[CPU initial (vCPU)],TblClusters[Cluster],$I41),N($O41)&gt;SUMIFS(TblClusters[RAM initiale (Go)],TblClusters[Cluster],$I41))),"Libération &gt; capacité du cluster source",IF(OR(AND($V41&lt;&gt;"",$V41&lt;p_debut),AND($W41&lt;&gt;"",$W41&gt;p_fin)),"Hors horizon (info)",IF(AND($G41="À migrer",$E41="PRD",COUNTIFS(TblApplications[ID],$C41,TblApplications[Environnement],"NPRD",TblApplications[Action],"À migrer")&gt;0,$V41&lt;_xlfn.MINIFS(TblApplications[Mois prov (calc)],TblApplications[ID],$C41,TblApplications[Environnement],"NPRD")),"PRD avant NPRD (info)","OK"))))))))))))))))))))</f>
        <v/>
      </c>
      <c r="AC41" s="76"/>
      <c r="AD41" s="76"/>
      <c r="AE41" s="22" t="str">
        <f aca="false">IF(OR($C41="",NOT(OR($G41="À migrer",$G41="À décommissionner")),NOT(ISNUMBER($N41)),NOT(ISNUMBER($O41)),$W41=""),"",($N41+p_poidsram*$O41)*SUMIFS(TblCalculs[Coût par unité],TblCalculs[Cluster],$I41,TblCalculs[Mois],"&lt;"&amp;$W41))</f>
        <v/>
      </c>
      <c r="AF41" s="22" t="str">
        <f aca="false">IF($C41="","",IF(AND($G41="À migrer",$H41="Non",$T41&lt;&gt;"",$V41&lt;&gt;""),($T41+p_poidsram*$U41)*SUMIFS(TblCalculs[Coût par unité],TblCalculs[Cluster],$J41,TblCalculs[Mois],"&gt;="&amp;$V41),IF(AND($G41="Migré",$T41&lt;&gt;""),($T41+p_poidsram*$U41)*SUMIFS(TblCalculs[Coût par unité],TblCalculs[Cluster],$J41),"")))</f>
        <v/>
      </c>
      <c r="AG41" s="22" t="str">
        <f aca="false">IF($C41="","",N($AE41)+N($AF41))</f>
        <v/>
      </c>
      <c r="AH41" s="21" t="str">
        <f aca="false">IF(OR($C41="",$G41="Décommissionné",COUNTIFS($E41,av_envc,$A41,av_domc,$B41,av_tric)=0),"",COUNTIFS($C$6:$C41,"&lt;&gt;",$G$6:$G41,"&lt;&gt;Décommissionné",$E$6:$E41,av_envc,$A$6:$A41,av_domc,$B$6:$B41,av_tric))</f>
        <v/>
      </c>
      <c r="AI41" s="21" t="str">
        <f aca="false">IF($C41="","",IF(AND(OR($G41="À migrer",$G41="À décommissionner"),$W41&lt;&gt;"",$W41&gt;ex_mois),1,0))</f>
        <v/>
      </c>
      <c r="AJ41" s="21" t="str">
        <f aca="false">IF(OR($C41="",$AI41&lt;&gt;1,COUNTIFS($E41,ex_envc,$A41,ex_domc,$B41,ex_tric)=0),"",COUNTIFS($AI$6:$AI41,1,$E$6:$E41,ex_envc,$A$6:$A41,ex_domc,$B$6:$B41,ex_tric))</f>
        <v/>
      </c>
    </row>
    <row r="42" customFormat="false" ht="15" hidden="false" customHeight="false" outlineLevel="0" collapsed="false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5"/>
      <c r="Q42" s="75"/>
      <c r="R42" s="75"/>
      <c r="S42" s="74"/>
      <c r="T42" s="21" t="str">
        <f aca="false">IF(OR($C42="",NOT(OR($G42="À migrer",$G42="Migré")),NOT(ISNUMBER($K42))),"",ROUNDUP($K42*(1+IF($AC42="",p_margeCPU,$AC42)),0))</f>
        <v/>
      </c>
      <c r="U42" s="21" t="str">
        <f aca="false">IF(OR($C42="",NOT(OR($G42="À migrer",$G42="Migré")),NOT(ISNUMBER($L42))),"",ROUNDUP($L42*(1+IF($AD42="",p_margeRAM,$AD42)),0))</f>
        <v/>
      </c>
      <c r="V42" s="39" t="str">
        <f aca="false">IF(OR(NOT($G42="À migrer"),$P42=""),"",IFERROR(DATE(YEAR($P42),MONTH($P42),1),""))</f>
        <v/>
      </c>
      <c r="W42" s="39" t="str">
        <f aca="false">IF(OR(NOT(OR($G42="À migrer",$G42="À décommissionner")),$R42=""),"",IFERROR(DATE(YEAR($R42),MONTH($R42),1),""))</f>
        <v/>
      </c>
      <c r="X42" s="21" t="str">
        <f aca="false">IF(OR($V42="",$W42=""),"",MAX(0,(YEAR($W42)-YEAR($V42))*12+MONTH($W42)-MONTH($V42)))</f>
        <v/>
      </c>
      <c r="Y42" s="21" t="str">
        <f aca="false">IF($C42="","",COUNTIF(TblApplications[ID],$C42))</f>
        <v/>
      </c>
      <c r="Z42" s="39" t="str">
        <f aca="false">IF($C42="","",IFERROR(1/(1/_xlfn.MINIFS(TblApplications[Mois prov (calc)],TblApplications[ID],$C42)),""))</f>
        <v/>
      </c>
      <c r="AA42" s="39" t="str">
        <f aca="false">IF($C42="","",IFERROR(1/(1/_xlfn.MAXIFS(TblApplications[Mois lib (calc)],TblApplications[ID],$C42)),""))</f>
        <v/>
      </c>
      <c r="AB42" s="21" t="str">
        <f aca="false">IF($C42="","",IF(OR(OR($A42="",$B42="",$D42="",$E42="",$F42="",$G42=""),AND($G42="À migrer",OR($H42="",$I42="",$J42="",$K42="",$L42="",$N42="",$O42="",$P42="",$Q42="",$R42="")),AND($G42="Migré",OR($J42="",$K42="",$L42="")),AND($G42="À décommissionner",OR($I42="",$N42="",$O42="",$R42=""))),"Données manquantes (selon l’action)",IF(AND($G42&lt;&gt;"Migré",$G42&lt;&gt;"À migrer",$G42&lt;&gt;"À décommissionner",$G42&lt;&gt;"Décommissionné"),"Action invalide",IF(COUNTIF(TblDomaines[Domaine],$A42)=0,"Domaine inconnu (référentiel)",IF(COUNTIFS(TblTribes[Tribe],$B42,TblTribes[Domaine de la tribe],$A42)=0,"Tribe inconnue ou hors domaine",IF(AND($G42="À migrer",$H42&lt;&gt;"Oui",$H42&lt;&gt;"Non"),"Valeur Oui/Non invalide (Déjà incluse ROKS)",IF(AND($E42&lt;&gt;"PRD",$E42&lt;&gt;"NPRD"),"Environnement invalide",IF(COUNTIFS(TblApplications[ID],$C42,TblApplications[Environnement],$E42,TblApplications[Couloir],$F42)&gt;1,"Déploiement en doublon (ID + env + couloir)",IF(OR(AND($K42&lt;&gt;"",NOT(ISNUMBER($K42))),AND($L42&lt;&gt;"",NOT(ISNUMBER($L42))),AND($N42&lt;&gt;"",NOT(ISNUMBER($N42))),AND($O42&lt;&gt;"",NOT(ISNUMBER($O42)))),"Ressource non numérique",IF(MIN(N($K42),N($L42),N($N42),N($O42))&lt;0,"Ressource négative",IF(OR(AND($AC42&lt;&gt;"",OR(NOT(ISNUMBER($AC42)),$AC42&lt;0,$AC42&gt;1)),AND($AD42&lt;&gt;"",OR(NOT(ISNUMBER($AD42)),$AD42&lt;0,$AD42&gt;1))),"Marge spécifique invalide (0–100 %)",IF(OR(AND($P42&lt;&gt;"",NOT(ISNUMBER($P42))),AND($Q42&lt;&gt;"",NOT(ISNUMBER($Q42))),AND($R42&lt;&gt;"",NOT(ISNUMBER($R42)))),"Mois invalide",IF(AND(OR($G42="À migrer",$G42="À décommissionner"),COUNTIFS(TblClusters[Cluster],$I42,TblClusters[Plateforme],"IKS")=0),"Cluster IKS inconnu",IF(AND(OR($G42="À migrer",$G42="Migré"),COUNTIFS(TblClusters[Cluster],$J42,TblClusters[Plateforme],"ROKS")=0),"Cluster ROKS inconnu",IF(AND(OR($G42="À migrer",$G42="À décommissionner"),COUNTIFS(TblClusters[Cluster],$I42,TblClusters[Environnement],$E42)=0),"Environnement ≠ cluster IKS",IF(AND(OR($G42="À migrer",$G42="Migré"),COUNTIFS(TblClusters[Cluster],$J42,TblClusters[Environnement],$E42)=0),"Environnement ≠ cluster ROKS",IF(AND($G42="À migrer",OR($P42&gt;$Q42,$Q42&gt;$R42)),"Dates incohérentes (prov ≤ bascule ≤ libération)",IF(AND(OR($G42="À migrer",$G42="À décommissionner"),OR(N($N42)&gt;SUMIFS(TblClusters[CPU initial (vCPU)],TblClusters[Cluster],$I42),N($O42)&gt;SUMIFS(TblClusters[RAM initiale (Go)],TblClusters[Cluster],$I42))),"Libération &gt; capacité du cluster source",IF(OR(AND($V42&lt;&gt;"",$V42&lt;p_debut),AND($W42&lt;&gt;"",$W42&gt;p_fin)),"Hors horizon (info)",IF(AND($G42="À migrer",$E42="PRD",COUNTIFS(TblApplications[ID],$C42,TblApplications[Environnement],"NPRD",TblApplications[Action],"À migrer")&gt;0,$V42&lt;_xlfn.MINIFS(TblApplications[Mois prov (calc)],TblApplications[ID],$C42,TblApplications[Environnement],"NPRD")),"PRD avant NPRD (info)","OK"))))))))))))))))))))</f>
        <v/>
      </c>
      <c r="AC42" s="76"/>
      <c r="AD42" s="76"/>
      <c r="AE42" s="22" t="str">
        <f aca="false">IF(OR($C42="",NOT(OR($G42="À migrer",$G42="À décommissionner")),NOT(ISNUMBER($N42)),NOT(ISNUMBER($O42)),$W42=""),"",($N42+p_poidsram*$O42)*SUMIFS(TblCalculs[Coût par unité],TblCalculs[Cluster],$I42,TblCalculs[Mois],"&lt;"&amp;$W42))</f>
        <v/>
      </c>
      <c r="AF42" s="22" t="str">
        <f aca="false">IF($C42="","",IF(AND($G42="À migrer",$H42="Non",$T42&lt;&gt;"",$V42&lt;&gt;""),($T42+p_poidsram*$U42)*SUMIFS(TblCalculs[Coût par unité],TblCalculs[Cluster],$J42,TblCalculs[Mois],"&gt;="&amp;$V42),IF(AND($G42="Migré",$T42&lt;&gt;""),($T42+p_poidsram*$U42)*SUMIFS(TblCalculs[Coût par unité],TblCalculs[Cluster],$J42),"")))</f>
        <v/>
      </c>
      <c r="AG42" s="22" t="str">
        <f aca="false">IF($C42="","",N($AE42)+N($AF42))</f>
        <v/>
      </c>
      <c r="AH42" s="21" t="str">
        <f aca="false">IF(OR($C42="",$G42="Décommissionné",COUNTIFS($E42,av_envc,$A42,av_domc,$B42,av_tric)=0),"",COUNTIFS($C$6:$C42,"&lt;&gt;",$G$6:$G42,"&lt;&gt;Décommissionné",$E$6:$E42,av_envc,$A$6:$A42,av_domc,$B$6:$B42,av_tric))</f>
        <v/>
      </c>
      <c r="AI42" s="21" t="str">
        <f aca="false">IF($C42="","",IF(AND(OR($G42="À migrer",$G42="À décommissionner"),$W42&lt;&gt;"",$W42&gt;ex_mois),1,0))</f>
        <v/>
      </c>
      <c r="AJ42" s="21" t="str">
        <f aca="false">IF(OR($C42="",$AI42&lt;&gt;1,COUNTIFS($E42,ex_envc,$A42,ex_domc,$B42,ex_tric)=0),"",COUNTIFS($AI$6:$AI42,1,$E$6:$E42,ex_envc,$A$6:$A42,ex_domc,$B$6:$B42,ex_tric))</f>
        <v/>
      </c>
    </row>
    <row r="43" customFormat="false" ht="15" hidden="false" customHeight="false" outlineLevel="0" collapsed="false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5"/>
      <c r="Q43" s="75"/>
      <c r="R43" s="75"/>
      <c r="S43" s="74"/>
      <c r="T43" s="21" t="str">
        <f aca="false">IF(OR($C43="",NOT(OR($G43="À migrer",$G43="Migré")),NOT(ISNUMBER($K43))),"",ROUNDUP($K43*(1+IF($AC43="",p_margeCPU,$AC43)),0))</f>
        <v/>
      </c>
      <c r="U43" s="21" t="str">
        <f aca="false">IF(OR($C43="",NOT(OR($G43="À migrer",$G43="Migré")),NOT(ISNUMBER($L43))),"",ROUNDUP($L43*(1+IF($AD43="",p_margeRAM,$AD43)),0))</f>
        <v/>
      </c>
      <c r="V43" s="39" t="str">
        <f aca="false">IF(OR(NOT($G43="À migrer"),$P43=""),"",IFERROR(DATE(YEAR($P43),MONTH($P43),1),""))</f>
        <v/>
      </c>
      <c r="W43" s="39" t="str">
        <f aca="false">IF(OR(NOT(OR($G43="À migrer",$G43="À décommissionner")),$R43=""),"",IFERROR(DATE(YEAR($R43),MONTH($R43),1),""))</f>
        <v/>
      </c>
      <c r="X43" s="21" t="str">
        <f aca="false">IF(OR($V43="",$W43=""),"",MAX(0,(YEAR($W43)-YEAR($V43))*12+MONTH($W43)-MONTH($V43)))</f>
        <v/>
      </c>
      <c r="Y43" s="21" t="str">
        <f aca="false">IF($C43="","",COUNTIF(TblApplications[ID],$C43))</f>
        <v/>
      </c>
      <c r="Z43" s="39" t="str">
        <f aca="false">IF($C43="","",IFERROR(1/(1/_xlfn.MINIFS(TblApplications[Mois prov (calc)],TblApplications[ID],$C43)),""))</f>
        <v/>
      </c>
      <c r="AA43" s="39" t="str">
        <f aca="false">IF($C43="","",IFERROR(1/(1/_xlfn.MAXIFS(TblApplications[Mois lib (calc)],TblApplications[ID],$C43)),""))</f>
        <v/>
      </c>
      <c r="AB43" s="21" t="str">
        <f aca="false">IF($C43="","",IF(OR(OR($A43="",$B43="",$D43="",$E43="",$F43="",$G43=""),AND($G43="À migrer",OR($H43="",$I43="",$J43="",$K43="",$L43="",$N43="",$O43="",$P43="",$Q43="",$R43="")),AND($G43="Migré",OR($J43="",$K43="",$L43="")),AND($G43="À décommissionner",OR($I43="",$N43="",$O43="",$R43=""))),"Données manquantes (selon l’action)",IF(AND($G43&lt;&gt;"Migré",$G43&lt;&gt;"À migrer",$G43&lt;&gt;"À décommissionner",$G43&lt;&gt;"Décommissionné"),"Action invalide",IF(COUNTIF(TblDomaines[Domaine],$A43)=0,"Domaine inconnu (référentiel)",IF(COUNTIFS(TblTribes[Tribe],$B43,TblTribes[Domaine de la tribe],$A43)=0,"Tribe inconnue ou hors domaine",IF(AND($G43="À migrer",$H43&lt;&gt;"Oui",$H43&lt;&gt;"Non"),"Valeur Oui/Non invalide (Déjà incluse ROKS)",IF(AND($E43&lt;&gt;"PRD",$E43&lt;&gt;"NPRD"),"Environnement invalide",IF(COUNTIFS(TblApplications[ID],$C43,TblApplications[Environnement],$E43,TblApplications[Couloir],$F43)&gt;1,"Déploiement en doublon (ID + env + couloir)",IF(OR(AND($K43&lt;&gt;"",NOT(ISNUMBER($K43))),AND($L43&lt;&gt;"",NOT(ISNUMBER($L43))),AND($N43&lt;&gt;"",NOT(ISNUMBER($N43))),AND($O43&lt;&gt;"",NOT(ISNUMBER($O43)))),"Ressource non numérique",IF(MIN(N($K43),N($L43),N($N43),N($O43))&lt;0,"Ressource négative",IF(OR(AND($AC43&lt;&gt;"",OR(NOT(ISNUMBER($AC43)),$AC43&lt;0,$AC43&gt;1)),AND($AD43&lt;&gt;"",OR(NOT(ISNUMBER($AD43)),$AD43&lt;0,$AD43&gt;1))),"Marge spécifique invalide (0–100 %)",IF(OR(AND($P43&lt;&gt;"",NOT(ISNUMBER($P43))),AND($Q43&lt;&gt;"",NOT(ISNUMBER($Q43))),AND($R43&lt;&gt;"",NOT(ISNUMBER($R43)))),"Mois invalide",IF(AND(OR($G43="À migrer",$G43="À décommissionner"),COUNTIFS(TblClusters[Cluster],$I43,TblClusters[Plateforme],"IKS")=0),"Cluster IKS inconnu",IF(AND(OR($G43="À migrer",$G43="Migré"),COUNTIFS(TblClusters[Cluster],$J43,TblClusters[Plateforme],"ROKS")=0),"Cluster ROKS inconnu",IF(AND(OR($G43="À migrer",$G43="À décommissionner"),COUNTIFS(TblClusters[Cluster],$I43,TblClusters[Environnement],$E43)=0),"Environnement ≠ cluster IKS",IF(AND(OR($G43="À migrer",$G43="Migré"),COUNTIFS(TblClusters[Cluster],$J43,TblClusters[Environnement],$E43)=0),"Environnement ≠ cluster ROKS",IF(AND($G43="À migrer",OR($P43&gt;$Q43,$Q43&gt;$R43)),"Dates incohérentes (prov ≤ bascule ≤ libération)",IF(AND(OR($G43="À migrer",$G43="À décommissionner"),OR(N($N43)&gt;SUMIFS(TblClusters[CPU initial (vCPU)],TblClusters[Cluster],$I43),N($O43)&gt;SUMIFS(TblClusters[RAM initiale (Go)],TblClusters[Cluster],$I43))),"Libération &gt; capacité du cluster source",IF(OR(AND($V43&lt;&gt;"",$V43&lt;p_debut),AND($W43&lt;&gt;"",$W43&gt;p_fin)),"Hors horizon (info)",IF(AND($G43="À migrer",$E43="PRD",COUNTIFS(TblApplications[ID],$C43,TblApplications[Environnement],"NPRD",TblApplications[Action],"À migrer")&gt;0,$V43&lt;_xlfn.MINIFS(TblApplications[Mois prov (calc)],TblApplications[ID],$C43,TblApplications[Environnement],"NPRD")),"PRD avant NPRD (info)","OK"))))))))))))))))))))</f>
        <v/>
      </c>
      <c r="AC43" s="76"/>
      <c r="AD43" s="76"/>
      <c r="AE43" s="22" t="str">
        <f aca="false">IF(OR($C43="",NOT(OR($G43="À migrer",$G43="À décommissionner")),NOT(ISNUMBER($N43)),NOT(ISNUMBER($O43)),$W43=""),"",($N43+p_poidsram*$O43)*SUMIFS(TblCalculs[Coût par unité],TblCalculs[Cluster],$I43,TblCalculs[Mois],"&lt;"&amp;$W43))</f>
        <v/>
      </c>
      <c r="AF43" s="22" t="str">
        <f aca="false">IF($C43="","",IF(AND($G43="À migrer",$H43="Non",$T43&lt;&gt;"",$V43&lt;&gt;""),($T43+p_poidsram*$U43)*SUMIFS(TblCalculs[Coût par unité],TblCalculs[Cluster],$J43,TblCalculs[Mois],"&gt;="&amp;$V43),IF(AND($G43="Migré",$T43&lt;&gt;""),($T43+p_poidsram*$U43)*SUMIFS(TblCalculs[Coût par unité],TblCalculs[Cluster],$J43),"")))</f>
        <v/>
      </c>
      <c r="AG43" s="22" t="str">
        <f aca="false">IF($C43="","",N($AE43)+N($AF43))</f>
        <v/>
      </c>
      <c r="AH43" s="21" t="str">
        <f aca="false">IF(OR($C43="",$G43="Décommissionné",COUNTIFS($E43,av_envc,$A43,av_domc,$B43,av_tric)=0),"",COUNTIFS($C$6:$C43,"&lt;&gt;",$G$6:$G43,"&lt;&gt;Décommissionné",$E$6:$E43,av_envc,$A$6:$A43,av_domc,$B$6:$B43,av_tric))</f>
        <v/>
      </c>
      <c r="AI43" s="21" t="str">
        <f aca="false">IF($C43="","",IF(AND(OR($G43="À migrer",$G43="À décommissionner"),$W43&lt;&gt;"",$W43&gt;ex_mois),1,0))</f>
        <v/>
      </c>
      <c r="AJ43" s="21" t="str">
        <f aca="false">IF(OR($C43="",$AI43&lt;&gt;1,COUNTIFS($E43,ex_envc,$A43,ex_domc,$B43,ex_tric)=0),"",COUNTIFS($AI$6:$AI43,1,$E$6:$E43,ex_envc,$A$6:$A43,ex_domc,$B$6:$B43,ex_tric))</f>
        <v/>
      </c>
    </row>
    <row r="44" customFormat="false" ht="15" hidden="false" customHeight="false" outlineLevel="0" collapsed="false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5"/>
      <c r="Q44" s="75"/>
      <c r="R44" s="75"/>
      <c r="S44" s="74"/>
      <c r="T44" s="21" t="str">
        <f aca="false">IF(OR($C44="",NOT(OR($G44="À migrer",$G44="Migré")),NOT(ISNUMBER($K44))),"",ROUNDUP($K44*(1+IF($AC44="",p_margeCPU,$AC44)),0))</f>
        <v/>
      </c>
      <c r="U44" s="21" t="str">
        <f aca="false">IF(OR($C44="",NOT(OR($G44="À migrer",$G44="Migré")),NOT(ISNUMBER($L44))),"",ROUNDUP($L44*(1+IF($AD44="",p_margeRAM,$AD44)),0))</f>
        <v/>
      </c>
      <c r="V44" s="39" t="str">
        <f aca="false">IF(OR(NOT($G44="À migrer"),$P44=""),"",IFERROR(DATE(YEAR($P44),MONTH($P44),1),""))</f>
        <v/>
      </c>
      <c r="W44" s="39" t="str">
        <f aca="false">IF(OR(NOT(OR($G44="À migrer",$G44="À décommissionner")),$R44=""),"",IFERROR(DATE(YEAR($R44),MONTH($R44),1),""))</f>
        <v/>
      </c>
      <c r="X44" s="21" t="str">
        <f aca="false">IF(OR($V44="",$W44=""),"",MAX(0,(YEAR($W44)-YEAR($V44))*12+MONTH($W44)-MONTH($V44)))</f>
        <v/>
      </c>
      <c r="Y44" s="21" t="str">
        <f aca="false">IF($C44="","",COUNTIF(TblApplications[ID],$C44))</f>
        <v/>
      </c>
      <c r="Z44" s="39" t="str">
        <f aca="false">IF($C44="","",IFERROR(1/(1/_xlfn.MINIFS(TblApplications[Mois prov (calc)],TblApplications[ID],$C44)),""))</f>
        <v/>
      </c>
      <c r="AA44" s="39" t="str">
        <f aca="false">IF($C44="","",IFERROR(1/(1/_xlfn.MAXIFS(TblApplications[Mois lib (calc)],TblApplications[ID],$C44)),""))</f>
        <v/>
      </c>
      <c r="AB44" s="21" t="str">
        <f aca="false">IF($C44="","",IF(OR(OR($A44="",$B44="",$D44="",$E44="",$F44="",$G44=""),AND($G44="À migrer",OR($H44="",$I44="",$J44="",$K44="",$L44="",$N44="",$O44="",$P44="",$Q44="",$R44="")),AND($G44="Migré",OR($J44="",$K44="",$L44="")),AND($G44="À décommissionner",OR($I44="",$N44="",$O44="",$R44=""))),"Données manquantes (selon l’action)",IF(AND($G44&lt;&gt;"Migré",$G44&lt;&gt;"À migrer",$G44&lt;&gt;"À décommissionner",$G44&lt;&gt;"Décommissionné"),"Action invalide",IF(COUNTIF(TblDomaines[Domaine],$A44)=0,"Domaine inconnu (référentiel)",IF(COUNTIFS(TblTribes[Tribe],$B44,TblTribes[Domaine de la tribe],$A44)=0,"Tribe inconnue ou hors domaine",IF(AND($G44="À migrer",$H44&lt;&gt;"Oui",$H44&lt;&gt;"Non"),"Valeur Oui/Non invalide (Déjà incluse ROKS)",IF(AND($E44&lt;&gt;"PRD",$E44&lt;&gt;"NPRD"),"Environnement invalide",IF(COUNTIFS(TblApplications[ID],$C44,TblApplications[Environnement],$E44,TblApplications[Couloir],$F44)&gt;1,"Déploiement en doublon (ID + env + couloir)",IF(OR(AND($K44&lt;&gt;"",NOT(ISNUMBER($K44))),AND($L44&lt;&gt;"",NOT(ISNUMBER($L44))),AND($N44&lt;&gt;"",NOT(ISNUMBER($N44))),AND($O44&lt;&gt;"",NOT(ISNUMBER($O44)))),"Ressource non numérique",IF(MIN(N($K44),N($L44),N($N44),N($O44))&lt;0,"Ressource négative",IF(OR(AND($AC44&lt;&gt;"",OR(NOT(ISNUMBER($AC44)),$AC44&lt;0,$AC44&gt;1)),AND($AD44&lt;&gt;"",OR(NOT(ISNUMBER($AD44)),$AD44&lt;0,$AD44&gt;1))),"Marge spécifique invalide (0–100 %)",IF(OR(AND($P44&lt;&gt;"",NOT(ISNUMBER($P44))),AND($Q44&lt;&gt;"",NOT(ISNUMBER($Q44))),AND($R44&lt;&gt;"",NOT(ISNUMBER($R44)))),"Mois invalide",IF(AND(OR($G44="À migrer",$G44="À décommissionner"),COUNTIFS(TblClusters[Cluster],$I44,TblClusters[Plateforme],"IKS")=0),"Cluster IKS inconnu",IF(AND(OR($G44="À migrer",$G44="Migré"),COUNTIFS(TblClusters[Cluster],$J44,TblClusters[Plateforme],"ROKS")=0),"Cluster ROKS inconnu",IF(AND(OR($G44="À migrer",$G44="À décommissionner"),COUNTIFS(TblClusters[Cluster],$I44,TblClusters[Environnement],$E44)=0),"Environnement ≠ cluster IKS",IF(AND(OR($G44="À migrer",$G44="Migré"),COUNTIFS(TblClusters[Cluster],$J44,TblClusters[Environnement],$E44)=0),"Environnement ≠ cluster ROKS",IF(AND($G44="À migrer",OR($P44&gt;$Q44,$Q44&gt;$R44)),"Dates incohérentes (prov ≤ bascule ≤ libération)",IF(AND(OR($G44="À migrer",$G44="À décommissionner"),OR(N($N44)&gt;SUMIFS(TblClusters[CPU initial (vCPU)],TblClusters[Cluster],$I44),N($O44)&gt;SUMIFS(TblClusters[RAM initiale (Go)],TblClusters[Cluster],$I44))),"Libération &gt; capacité du cluster source",IF(OR(AND($V44&lt;&gt;"",$V44&lt;p_debut),AND($W44&lt;&gt;"",$W44&gt;p_fin)),"Hors horizon (info)",IF(AND($G44="À migrer",$E44="PRD",COUNTIFS(TblApplications[ID],$C44,TblApplications[Environnement],"NPRD",TblApplications[Action],"À migrer")&gt;0,$V44&lt;_xlfn.MINIFS(TblApplications[Mois prov (calc)],TblApplications[ID],$C44,TblApplications[Environnement],"NPRD")),"PRD avant NPRD (info)","OK"))))))))))))))))))))</f>
        <v/>
      </c>
      <c r="AC44" s="76"/>
      <c r="AD44" s="76"/>
      <c r="AE44" s="22" t="str">
        <f aca="false">IF(OR($C44="",NOT(OR($G44="À migrer",$G44="À décommissionner")),NOT(ISNUMBER($N44)),NOT(ISNUMBER($O44)),$W44=""),"",($N44+p_poidsram*$O44)*SUMIFS(TblCalculs[Coût par unité],TblCalculs[Cluster],$I44,TblCalculs[Mois],"&lt;"&amp;$W44))</f>
        <v/>
      </c>
      <c r="AF44" s="22" t="str">
        <f aca="false">IF($C44="","",IF(AND($G44="À migrer",$H44="Non",$T44&lt;&gt;"",$V44&lt;&gt;""),($T44+p_poidsram*$U44)*SUMIFS(TblCalculs[Coût par unité],TblCalculs[Cluster],$J44,TblCalculs[Mois],"&gt;="&amp;$V44),IF(AND($G44="Migré",$T44&lt;&gt;""),($T44+p_poidsram*$U44)*SUMIFS(TblCalculs[Coût par unité],TblCalculs[Cluster],$J44),"")))</f>
        <v/>
      </c>
      <c r="AG44" s="22" t="str">
        <f aca="false">IF($C44="","",N($AE44)+N($AF44))</f>
        <v/>
      </c>
      <c r="AH44" s="21" t="str">
        <f aca="false">IF(OR($C44="",$G44="Décommissionné",COUNTIFS($E44,av_envc,$A44,av_domc,$B44,av_tric)=0),"",COUNTIFS($C$6:$C44,"&lt;&gt;",$G$6:$G44,"&lt;&gt;Décommissionné",$E$6:$E44,av_envc,$A$6:$A44,av_domc,$B$6:$B44,av_tric))</f>
        <v/>
      </c>
      <c r="AI44" s="21" t="str">
        <f aca="false">IF($C44="","",IF(AND(OR($G44="À migrer",$G44="À décommissionner"),$W44&lt;&gt;"",$W44&gt;ex_mois),1,0))</f>
        <v/>
      </c>
      <c r="AJ44" s="21" t="str">
        <f aca="false">IF(OR($C44="",$AI44&lt;&gt;1,COUNTIFS($E44,ex_envc,$A44,ex_domc,$B44,ex_tric)=0),"",COUNTIFS($AI$6:$AI44,1,$E$6:$E44,ex_envc,$A$6:$A44,ex_domc,$B$6:$B44,ex_tric))</f>
        <v/>
      </c>
    </row>
    <row r="45" customFormat="false" ht="15" hidden="false" customHeight="false" outlineLevel="0" collapsed="false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5"/>
      <c r="Q45" s="75"/>
      <c r="R45" s="75"/>
      <c r="S45" s="74"/>
      <c r="T45" s="21" t="str">
        <f aca="false">IF(OR($C45="",NOT(OR($G45="À migrer",$G45="Migré")),NOT(ISNUMBER($K45))),"",ROUNDUP($K45*(1+IF($AC45="",p_margeCPU,$AC45)),0))</f>
        <v/>
      </c>
      <c r="U45" s="21" t="str">
        <f aca="false">IF(OR($C45="",NOT(OR($G45="À migrer",$G45="Migré")),NOT(ISNUMBER($L45))),"",ROUNDUP($L45*(1+IF($AD45="",p_margeRAM,$AD45)),0))</f>
        <v/>
      </c>
      <c r="V45" s="39" t="str">
        <f aca="false">IF(OR(NOT($G45="À migrer"),$P45=""),"",IFERROR(DATE(YEAR($P45),MONTH($P45),1),""))</f>
        <v/>
      </c>
      <c r="W45" s="39" t="str">
        <f aca="false">IF(OR(NOT(OR($G45="À migrer",$G45="À décommissionner")),$R45=""),"",IFERROR(DATE(YEAR($R45),MONTH($R45),1),""))</f>
        <v/>
      </c>
      <c r="X45" s="21" t="str">
        <f aca="false">IF(OR($V45="",$W45=""),"",MAX(0,(YEAR($W45)-YEAR($V45))*12+MONTH($W45)-MONTH($V45)))</f>
        <v/>
      </c>
      <c r="Y45" s="21" t="str">
        <f aca="false">IF($C45="","",COUNTIF(TblApplications[ID],$C45))</f>
        <v/>
      </c>
      <c r="Z45" s="39" t="str">
        <f aca="false">IF($C45="","",IFERROR(1/(1/_xlfn.MINIFS(TblApplications[Mois prov (calc)],TblApplications[ID],$C45)),""))</f>
        <v/>
      </c>
      <c r="AA45" s="39" t="str">
        <f aca="false">IF($C45="","",IFERROR(1/(1/_xlfn.MAXIFS(TblApplications[Mois lib (calc)],TblApplications[ID],$C45)),""))</f>
        <v/>
      </c>
      <c r="AB45" s="21" t="str">
        <f aca="false">IF($C45="","",IF(OR(OR($A45="",$B45="",$D45="",$E45="",$F45="",$G45=""),AND($G45="À migrer",OR($H45="",$I45="",$J45="",$K45="",$L45="",$N45="",$O45="",$P45="",$Q45="",$R45="")),AND($G45="Migré",OR($J45="",$K45="",$L45="")),AND($G45="À décommissionner",OR($I45="",$N45="",$O45="",$R45=""))),"Données manquantes (selon l’action)",IF(AND($G45&lt;&gt;"Migré",$G45&lt;&gt;"À migrer",$G45&lt;&gt;"À décommissionner",$G45&lt;&gt;"Décommissionné"),"Action invalide",IF(COUNTIF(TblDomaines[Domaine],$A45)=0,"Domaine inconnu (référentiel)",IF(COUNTIFS(TblTribes[Tribe],$B45,TblTribes[Domaine de la tribe],$A45)=0,"Tribe inconnue ou hors domaine",IF(AND($G45="À migrer",$H45&lt;&gt;"Oui",$H45&lt;&gt;"Non"),"Valeur Oui/Non invalide (Déjà incluse ROKS)",IF(AND($E45&lt;&gt;"PRD",$E45&lt;&gt;"NPRD"),"Environnement invalide",IF(COUNTIFS(TblApplications[ID],$C45,TblApplications[Environnement],$E45,TblApplications[Couloir],$F45)&gt;1,"Déploiement en doublon (ID + env + couloir)",IF(OR(AND($K45&lt;&gt;"",NOT(ISNUMBER($K45))),AND($L45&lt;&gt;"",NOT(ISNUMBER($L45))),AND($N45&lt;&gt;"",NOT(ISNUMBER($N45))),AND($O45&lt;&gt;"",NOT(ISNUMBER($O45)))),"Ressource non numérique",IF(MIN(N($K45),N($L45),N($N45),N($O45))&lt;0,"Ressource négative",IF(OR(AND($AC45&lt;&gt;"",OR(NOT(ISNUMBER($AC45)),$AC45&lt;0,$AC45&gt;1)),AND($AD45&lt;&gt;"",OR(NOT(ISNUMBER($AD45)),$AD45&lt;0,$AD45&gt;1))),"Marge spécifique invalide (0–100 %)",IF(OR(AND($P45&lt;&gt;"",NOT(ISNUMBER($P45))),AND($Q45&lt;&gt;"",NOT(ISNUMBER($Q45))),AND($R45&lt;&gt;"",NOT(ISNUMBER($R45)))),"Mois invalide",IF(AND(OR($G45="À migrer",$G45="À décommissionner"),COUNTIFS(TblClusters[Cluster],$I45,TblClusters[Plateforme],"IKS")=0),"Cluster IKS inconnu",IF(AND(OR($G45="À migrer",$G45="Migré"),COUNTIFS(TblClusters[Cluster],$J45,TblClusters[Plateforme],"ROKS")=0),"Cluster ROKS inconnu",IF(AND(OR($G45="À migrer",$G45="À décommissionner"),COUNTIFS(TblClusters[Cluster],$I45,TblClusters[Environnement],$E45)=0),"Environnement ≠ cluster IKS",IF(AND(OR($G45="À migrer",$G45="Migré"),COUNTIFS(TblClusters[Cluster],$J45,TblClusters[Environnement],$E45)=0),"Environnement ≠ cluster ROKS",IF(AND($G45="À migrer",OR($P45&gt;$Q45,$Q45&gt;$R45)),"Dates incohérentes (prov ≤ bascule ≤ libération)",IF(AND(OR($G45="À migrer",$G45="À décommissionner"),OR(N($N45)&gt;SUMIFS(TblClusters[CPU initial (vCPU)],TblClusters[Cluster],$I45),N($O45)&gt;SUMIFS(TblClusters[RAM initiale (Go)],TblClusters[Cluster],$I45))),"Libération &gt; capacité du cluster source",IF(OR(AND($V45&lt;&gt;"",$V45&lt;p_debut),AND($W45&lt;&gt;"",$W45&gt;p_fin)),"Hors horizon (info)",IF(AND($G45="À migrer",$E45="PRD",COUNTIFS(TblApplications[ID],$C45,TblApplications[Environnement],"NPRD",TblApplications[Action],"À migrer")&gt;0,$V45&lt;_xlfn.MINIFS(TblApplications[Mois prov (calc)],TblApplications[ID],$C45,TblApplications[Environnement],"NPRD")),"PRD avant NPRD (info)","OK"))))))))))))))))))))</f>
        <v/>
      </c>
      <c r="AC45" s="76"/>
      <c r="AD45" s="76"/>
      <c r="AE45" s="22" t="str">
        <f aca="false">IF(OR($C45="",NOT(OR($G45="À migrer",$G45="À décommissionner")),NOT(ISNUMBER($N45)),NOT(ISNUMBER($O45)),$W45=""),"",($N45+p_poidsram*$O45)*SUMIFS(TblCalculs[Coût par unité],TblCalculs[Cluster],$I45,TblCalculs[Mois],"&lt;"&amp;$W45))</f>
        <v/>
      </c>
      <c r="AF45" s="22" t="str">
        <f aca="false">IF($C45="","",IF(AND($G45="À migrer",$H45="Non",$T45&lt;&gt;"",$V45&lt;&gt;""),($T45+p_poidsram*$U45)*SUMIFS(TblCalculs[Coût par unité],TblCalculs[Cluster],$J45,TblCalculs[Mois],"&gt;="&amp;$V45),IF(AND($G45="Migré",$T45&lt;&gt;""),($T45+p_poidsram*$U45)*SUMIFS(TblCalculs[Coût par unité],TblCalculs[Cluster],$J45),"")))</f>
        <v/>
      </c>
      <c r="AG45" s="22" t="str">
        <f aca="false">IF($C45="","",N($AE45)+N($AF45))</f>
        <v/>
      </c>
      <c r="AH45" s="21" t="str">
        <f aca="false">IF(OR($C45="",$G45="Décommissionné",COUNTIFS($E45,av_envc,$A45,av_domc,$B45,av_tric)=0),"",COUNTIFS($C$6:$C45,"&lt;&gt;",$G$6:$G45,"&lt;&gt;Décommissionné",$E$6:$E45,av_envc,$A$6:$A45,av_domc,$B$6:$B45,av_tric))</f>
        <v/>
      </c>
      <c r="AI45" s="21" t="str">
        <f aca="false">IF($C45="","",IF(AND(OR($G45="À migrer",$G45="À décommissionner"),$W45&lt;&gt;"",$W45&gt;ex_mois),1,0))</f>
        <v/>
      </c>
      <c r="AJ45" s="21" t="str">
        <f aca="false">IF(OR($C45="",$AI45&lt;&gt;1,COUNTIFS($E45,ex_envc,$A45,ex_domc,$B45,ex_tric)=0),"",COUNTIFS($AI$6:$AI45,1,$E$6:$E45,ex_envc,$A$6:$A45,ex_domc,$B$6:$B45,ex_tric))</f>
        <v/>
      </c>
    </row>
    <row r="46" customFormat="false" ht="15" hidden="false" customHeight="false" outlineLevel="0" collapsed="false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5"/>
      <c r="Q46" s="75"/>
      <c r="R46" s="75"/>
      <c r="S46" s="74"/>
      <c r="T46" s="21" t="str">
        <f aca="false">IF(OR($C46="",NOT(OR($G46="À migrer",$G46="Migré")),NOT(ISNUMBER($K46))),"",ROUNDUP($K46*(1+IF($AC46="",p_margeCPU,$AC46)),0))</f>
        <v/>
      </c>
      <c r="U46" s="21" t="str">
        <f aca="false">IF(OR($C46="",NOT(OR($G46="À migrer",$G46="Migré")),NOT(ISNUMBER($L46))),"",ROUNDUP($L46*(1+IF($AD46="",p_margeRAM,$AD46)),0))</f>
        <v/>
      </c>
      <c r="V46" s="39" t="str">
        <f aca="false">IF(OR(NOT($G46="À migrer"),$P46=""),"",IFERROR(DATE(YEAR($P46),MONTH($P46),1),""))</f>
        <v/>
      </c>
      <c r="W46" s="39" t="str">
        <f aca="false">IF(OR(NOT(OR($G46="À migrer",$G46="À décommissionner")),$R46=""),"",IFERROR(DATE(YEAR($R46),MONTH($R46),1),""))</f>
        <v/>
      </c>
      <c r="X46" s="21" t="str">
        <f aca="false">IF(OR($V46="",$W46=""),"",MAX(0,(YEAR($W46)-YEAR($V46))*12+MONTH($W46)-MONTH($V46)))</f>
        <v/>
      </c>
      <c r="Y46" s="21" t="str">
        <f aca="false">IF($C46="","",COUNTIF(TblApplications[ID],$C46))</f>
        <v/>
      </c>
      <c r="Z46" s="39" t="str">
        <f aca="false">IF($C46="","",IFERROR(1/(1/_xlfn.MINIFS(TblApplications[Mois prov (calc)],TblApplications[ID],$C46)),""))</f>
        <v/>
      </c>
      <c r="AA46" s="39" t="str">
        <f aca="false">IF($C46="","",IFERROR(1/(1/_xlfn.MAXIFS(TblApplications[Mois lib (calc)],TblApplications[ID],$C46)),""))</f>
        <v/>
      </c>
      <c r="AB46" s="21" t="str">
        <f aca="false">IF($C46="","",IF(OR(OR($A46="",$B46="",$D46="",$E46="",$F46="",$G46=""),AND($G46="À migrer",OR($H46="",$I46="",$J46="",$K46="",$L46="",$N46="",$O46="",$P46="",$Q46="",$R46="")),AND($G46="Migré",OR($J46="",$K46="",$L46="")),AND($G46="À décommissionner",OR($I46="",$N46="",$O46="",$R46=""))),"Données manquantes (selon l’action)",IF(AND($G46&lt;&gt;"Migré",$G46&lt;&gt;"À migrer",$G46&lt;&gt;"À décommissionner",$G46&lt;&gt;"Décommissionné"),"Action invalide",IF(COUNTIF(TblDomaines[Domaine],$A46)=0,"Domaine inconnu (référentiel)",IF(COUNTIFS(TblTribes[Tribe],$B46,TblTribes[Domaine de la tribe],$A46)=0,"Tribe inconnue ou hors domaine",IF(AND($G46="À migrer",$H46&lt;&gt;"Oui",$H46&lt;&gt;"Non"),"Valeur Oui/Non invalide (Déjà incluse ROKS)",IF(AND($E46&lt;&gt;"PRD",$E46&lt;&gt;"NPRD"),"Environnement invalide",IF(COUNTIFS(TblApplications[ID],$C46,TblApplications[Environnement],$E46,TblApplications[Couloir],$F46)&gt;1,"Déploiement en doublon (ID + env + couloir)",IF(OR(AND($K46&lt;&gt;"",NOT(ISNUMBER($K46))),AND($L46&lt;&gt;"",NOT(ISNUMBER($L46))),AND($N46&lt;&gt;"",NOT(ISNUMBER($N46))),AND($O46&lt;&gt;"",NOT(ISNUMBER($O46)))),"Ressource non numérique",IF(MIN(N($K46),N($L46),N($N46),N($O46))&lt;0,"Ressource négative",IF(OR(AND($AC46&lt;&gt;"",OR(NOT(ISNUMBER($AC46)),$AC46&lt;0,$AC46&gt;1)),AND($AD46&lt;&gt;"",OR(NOT(ISNUMBER($AD46)),$AD46&lt;0,$AD46&gt;1))),"Marge spécifique invalide (0–100 %)",IF(OR(AND($P46&lt;&gt;"",NOT(ISNUMBER($P46))),AND($Q46&lt;&gt;"",NOT(ISNUMBER($Q46))),AND($R46&lt;&gt;"",NOT(ISNUMBER($R46)))),"Mois invalide",IF(AND(OR($G46="À migrer",$G46="À décommissionner"),COUNTIFS(TblClusters[Cluster],$I46,TblClusters[Plateforme],"IKS")=0),"Cluster IKS inconnu",IF(AND(OR($G46="À migrer",$G46="Migré"),COUNTIFS(TblClusters[Cluster],$J46,TblClusters[Plateforme],"ROKS")=0),"Cluster ROKS inconnu",IF(AND(OR($G46="À migrer",$G46="À décommissionner"),COUNTIFS(TblClusters[Cluster],$I46,TblClusters[Environnement],$E46)=0),"Environnement ≠ cluster IKS",IF(AND(OR($G46="À migrer",$G46="Migré"),COUNTIFS(TblClusters[Cluster],$J46,TblClusters[Environnement],$E46)=0),"Environnement ≠ cluster ROKS",IF(AND($G46="À migrer",OR($P46&gt;$Q46,$Q46&gt;$R46)),"Dates incohérentes (prov ≤ bascule ≤ libération)",IF(AND(OR($G46="À migrer",$G46="À décommissionner"),OR(N($N46)&gt;SUMIFS(TblClusters[CPU initial (vCPU)],TblClusters[Cluster],$I46),N($O46)&gt;SUMIFS(TblClusters[RAM initiale (Go)],TblClusters[Cluster],$I46))),"Libération &gt; capacité du cluster source",IF(OR(AND($V46&lt;&gt;"",$V46&lt;p_debut),AND($W46&lt;&gt;"",$W46&gt;p_fin)),"Hors horizon (info)",IF(AND($G46="À migrer",$E46="PRD",COUNTIFS(TblApplications[ID],$C46,TblApplications[Environnement],"NPRD",TblApplications[Action],"À migrer")&gt;0,$V46&lt;_xlfn.MINIFS(TblApplications[Mois prov (calc)],TblApplications[ID],$C46,TblApplications[Environnement],"NPRD")),"PRD avant NPRD (info)","OK"))))))))))))))))))))</f>
        <v/>
      </c>
      <c r="AC46" s="76"/>
      <c r="AD46" s="76"/>
      <c r="AE46" s="22" t="str">
        <f aca="false">IF(OR($C46="",NOT(OR($G46="À migrer",$G46="À décommissionner")),NOT(ISNUMBER($N46)),NOT(ISNUMBER($O46)),$W46=""),"",($N46+p_poidsram*$O46)*SUMIFS(TblCalculs[Coût par unité],TblCalculs[Cluster],$I46,TblCalculs[Mois],"&lt;"&amp;$W46))</f>
        <v/>
      </c>
      <c r="AF46" s="22" t="str">
        <f aca="false">IF($C46="","",IF(AND($G46="À migrer",$H46="Non",$T46&lt;&gt;"",$V46&lt;&gt;""),($T46+p_poidsram*$U46)*SUMIFS(TblCalculs[Coût par unité],TblCalculs[Cluster],$J46,TblCalculs[Mois],"&gt;="&amp;$V46),IF(AND($G46="Migré",$T46&lt;&gt;""),($T46+p_poidsram*$U46)*SUMIFS(TblCalculs[Coût par unité],TblCalculs[Cluster],$J46),"")))</f>
        <v/>
      </c>
      <c r="AG46" s="22" t="str">
        <f aca="false">IF($C46="","",N($AE46)+N($AF46))</f>
        <v/>
      </c>
      <c r="AH46" s="21" t="str">
        <f aca="false">IF(OR($C46="",$G46="Décommissionné",COUNTIFS($E46,av_envc,$A46,av_domc,$B46,av_tric)=0),"",COUNTIFS($C$6:$C46,"&lt;&gt;",$G$6:$G46,"&lt;&gt;Décommissionné",$E$6:$E46,av_envc,$A$6:$A46,av_domc,$B$6:$B46,av_tric))</f>
        <v/>
      </c>
      <c r="AI46" s="21" t="str">
        <f aca="false">IF($C46="","",IF(AND(OR($G46="À migrer",$G46="À décommissionner"),$W46&lt;&gt;"",$W46&gt;ex_mois),1,0))</f>
        <v/>
      </c>
      <c r="AJ46" s="21" t="str">
        <f aca="false">IF(OR($C46="",$AI46&lt;&gt;1,COUNTIFS($E46,ex_envc,$A46,ex_domc,$B46,ex_tric)=0),"",COUNTIFS($AI$6:$AI46,1,$E$6:$E46,ex_envc,$A$6:$A46,ex_domc,$B$6:$B46,ex_tric))</f>
        <v/>
      </c>
    </row>
    <row r="47" customFormat="false" ht="15" hidden="false" customHeight="false" outlineLevel="0" collapsed="false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5"/>
      <c r="Q47" s="75"/>
      <c r="R47" s="75"/>
      <c r="S47" s="74"/>
      <c r="T47" s="21" t="str">
        <f aca="false">IF(OR($C47="",NOT(OR($G47="À migrer",$G47="Migré")),NOT(ISNUMBER($K47))),"",ROUNDUP($K47*(1+IF($AC47="",p_margeCPU,$AC47)),0))</f>
        <v/>
      </c>
      <c r="U47" s="21" t="str">
        <f aca="false">IF(OR($C47="",NOT(OR($G47="À migrer",$G47="Migré")),NOT(ISNUMBER($L47))),"",ROUNDUP($L47*(1+IF($AD47="",p_margeRAM,$AD47)),0))</f>
        <v/>
      </c>
      <c r="V47" s="39" t="str">
        <f aca="false">IF(OR(NOT($G47="À migrer"),$P47=""),"",IFERROR(DATE(YEAR($P47),MONTH($P47),1),""))</f>
        <v/>
      </c>
      <c r="W47" s="39" t="str">
        <f aca="false">IF(OR(NOT(OR($G47="À migrer",$G47="À décommissionner")),$R47=""),"",IFERROR(DATE(YEAR($R47),MONTH($R47),1),""))</f>
        <v/>
      </c>
      <c r="X47" s="21" t="str">
        <f aca="false">IF(OR($V47="",$W47=""),"",MAX(0,(YEAR($W47)-YEAR($V47))*12+MONTH($W47)-MONTH($V47)))</f>
        <v/>
      </c>
      <c r="Y47" s="21" t="str">
        <f aca="false">IF($C47="","",COUNTIF(TblApplications[ID],$C47))</f>
        <v/>
      </c>
      <c r="Z47" s="39" t="str">
        <f aca="false">IF($C47="","",IFERROR(1/(1/_xlfn.MINIFS(TblApplications[Mois prov (calc)],TblApplications[ID],$C47)),""))</f>
        <v/>
      </c>
      <c r="AA47" s="39" t="str">
        <f aca="false">IF($C47="","",IFERROR(1/(1/_xlfn.MAXIFS(TblApplications[Mois lib (calc)],TblApplications[ID],$C47)),""))</f>
        <v/>
      </c>
      <c r="AB47" s="21" t="str">
        <f aca="false">IF($C47="","",IF(OR(OR($A47="",$B47="",$D47="",$E47="",$F47="",$G47=""),AND($G47="À migrer",OR($H47="",$I47="",$J47="",$K47="",$L47="",$N47="",$O47="",$P47="",$Q47="",$R47="")),AND($G47="Migré",OR($J47="",$K47="",$L47="")),AND($G47="À décommissionner",OR($I47="",$N47="",$O47="",$R47=""))),"Données manquantes (selon l’action)",IF(AND($G47&lt;&gt;"Migré",$G47&lt;&gt;"À migrer",$G47&lt;&gt;"À décommissionner",$G47&lt;&gt;"Décommissionné"),"Action invalide",IF(COUNTIF(TblDomaines[Domaine],$A47)=0,"Domaine inconnu (référentiel)",IF(COUNTIFS(TblTribes[Tribe],$B47,TblTribes[Domaine de la tribe],$A47)=0,"Tribe inconnue ou hors domaine",IF(AND($G47="À migrer",$H47&lt;&gt;"Oui",$H47&lt;&gt;"Non"),"Valeur Oui/Non invalide (Déjà incluse ROKS)",IF(AND($E47&lt;&gt;"PRD",$E47&lt;&gt;"NPRD"),"Environnement invalide",IF(COUNTIFS(TblApplications[ID],$C47,TblApplications[Environnement],$E47,TblApplications[Couloir],$F47)&gt;1,"Déploiement en doublon (ID + env + couloir)",IF(OR(AND($K47&lt;&gt;"",NOT(ISNUMBER($K47))),AND($L47&lt;&gt;"",NOT(ISNUMBER($L47))),AND($N47&lt;&gt;"",NOT(ISNUMBER($N47))),AND($O47&lt;&gt;"",NOT(ISNUMBER($O47)))),"Ressource non numérique",IF(MIN(N($K47),N($L47),N($N47),N($O47))&lt;0,"Ressource négative",IF(OR(AND($AC47&lt;&gt;"",OR(NOT(ISNUMBER($AC47)),$AC47&lt;0,$AC47&gt;1)),AND($AD47&lt;&gt;"",OR(NOT(ISNUMBER($AD47)),$AD47&lt;0,$AD47&gt;1))),"Marge spécifique invalide (0–100 %)",IF(OR(AND($P47&lt;&gt;"",NOT(ISNUMBER($P47))),AND($Q47&lt;&gt;"",NOT(ISNUMBER($Q47))),AND($R47&lt;&gt;"",NOT(ISNUMBER($R47)))),"Mois invalide",IF(AND(OR($G47="À migrer",$G47="À décommissionner"),COUNTIFS(TblClusters[Cluster],$I47,TblClusters[Plateforme],"IKS")=0),"Cluster IKS inconnu",IF(AND(OR($G47="À migrer",$G47="Migré"),COUNTIFS(TblClusters[Cluster],$J47,TblClusters[Plateforme],"ROKS")=0),"Cluster ROKS inconnu",IF(AND(OR($G47="À migrer",$G47="À décommissionner"),COUNTIFS(TblClusters[Cluster],$I47,TblClusters[Environnement],$E47)=0),"Environnement ≠ cluster IKS",IF(AND(OR($G47="À migrer",$G47="Migré"),COUNTIFS(TblClusters[Cluster],$J47,TblClusters[Environnement],$E47)=0),"Environnement ≠ cluster ROKS",IF(AND($G47="À migrer",OR($P47&gt;$Q47,$Q47&gt;$R47)),"Dates incohérentes (prov ≤ bascule ≤ libération)",IF(AND(OR($G47="À migrer",$G47="À décommissionner"),OR(N($N47)&gt;SUMIFS(TblClusters[CPU initial (vCPU)],TblClusters[Cluster],$I47),N($O47)&gt;SUMIFS(TblClusters[RAM initiale (Go)],TblClusters[Cluster],$I47))),"Libération &gt; capacité du cluster source",IF(OR(AND($V47&lt;&gt;"",$V47&lt;p_debut),AND($W47&lt;&gt;"",$W47&gt;p_fin)),"Hors horizon (info)",IF(AND($G47="À migrer",$E47="PRD",COUNTIFS(TblApplications[ID],$C47,TblApplications[Environnement],"NPRD",TblApplications[Action],"À migrer")&gt;0,$V47&lt;_xlfn.MINIFS(TblApplications[Mois prov (calc)],TblApplications[ID],$C47,TblApplications[Environnement],"NPRD")),"PRD avant NPRD (info)","OK"))))))))))))))))))))</f>
        <v/>
      </c>
      <c r="AC47" s="76"/>
      <c r="AD47" s="76"/>
      <c r="AE47" s="22" t="str">
        <f aca="false">IF(OR($C47="",NOT(OR($G47="À migrer",$G47="À décommissionner")),NOT(ISNUMBER($N47)),NOT(ISNUMBER($O47)),$W47=""),"",($N47+p_poidsram*$O47)*SUMIFS(TblCalculs[Coût par unité],TblCalculs[Cluster],$I47,TblCalculs[Mois],"&lt;"&amp;$W47))</f>
        <v/>
      </c>
      <c r="AF47" s="22" t="str">
        <f aca="false">IF($C47="","",IF(AND($G47="À migrer",$H47="Non",$T47&lt;&gt;"",$V47&lt;&gt;""),($T47+p_poidsram*$U47)*SUMIFS(TblCalculs[Coût par unité],TblCalculs[Cluster],$J47,TblCalculs[Mois],"&gt;="&amp;$V47),IF(AND($G47="Migré",$T47&lt;&gt;""),($T47+p_poidsram*$U47)*SUMIFS(TblCalculs[Coût par unité],TblCalculs[Cluster],$J47),"")))</f>
        <v/>
      </c>
      <c r="AG47" s="22" t="str">
        <f aca="false">IF($C47="","",N($AE47)+N($AF47))</f>
        <v/>
      </c>
      <c r="AH47" s="21" t="str">
        <f aca="false">IF(OR($C47="",$G47="Décommissionné",COUNTIFS($E47,av_envc,$A47,av_domc,$B47,av_tric)=0),"",COUNTIFS($C$6:$C47,"&lt;&gt;",$G$6:$G47,"&lt;&gt;Décommissionné",$E$6:$E47,av_envc,$A$6:$A47,av_domc,$B$6:$B47,av_tric))</f>
        <v/>
      </c>
      <c r="AI47" s="21" t="str">
        <f aca="false">IF($C47="","",IF(AND(OR($G47="À migrer",$G47="À décommissionner"),$W47&lt;&gt;"",$W47&gt;ex_mois),1,0))</f>
        <v/>
      </c>
      <c r="AJ47" s="21" t="str">
        <f aca="false">IF(OR($C47="",$AI47&lt;&gt;1,COUNTIFS($E47,ex_envc,$A47,ex_domc,$B47,ex_tric)=0),"",COUNTIFS($AI$6:$AI47,1,$E$6:$E47,ex_envc,$A$6:$A47,ex_domc,$B$6:$B47,ex_tric))</f>
        <v/>
      </c>
    </row>
    <row r="48" customFormat="false" ht="15" hidden="false" customHeight="false" outlineLevel="0" collapsed="false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5"/>
      <c r="Q48" s="75"/>
      <c r="R48" s="75"/>
      <c r="S48" s="74"/>
      <c r="T48" s="21" t="str">
        <f aca="false">IF(OR($C48="",NOT(OR($G48="À migrer",$G48="Migré")),NOT(ISNUMBER($K48))),"",ROUNDUP($K48*(1+IF($AC48="",p_margeCPU,$AC48)),0))</f>
        <v/>
      </c>
      <c r="U48" s="21" t="str">
        <f aca="false">IF(OR($C48="",NOT(OR($G48="À migrer",$G48="Migré")),NOT(ISNUMBER($L48))),"",ROUNDUP($L48*(1+IF($AD48="",p_margeRAM,$AD48)),0))</f>
        <v/>
      </c>
      <c r="V48" s="39" t="str">
        <f aca="false">IF(OR(NOT($G48="À migrer"),$P48=""),"",IFERROR(DATE(YEAR($P48),MONTH($P48),1),""))</f>
        <v/>
      </c>
      <c r="W48" s="39" t="str">
        <f aca="false">IF(OR(NOT(OR($G48="À migrer",$G48="À décommissionner")),$R48=""),"",IFERROR(DATE(YEAR($R48),MONTH($R48),1),""))</f>
        <v/>
      </c>
      <c r="X48" s="21" t="str">
        <f aca="false">IF(OR($V48="",$W48=""),"",MAX(0,(YEAR($W48)-YEAR($V48))*12+MONTH($W48)-MONTH($V48)))</f>
        <v/>
      </c>
      <c r="Y48" s="21" t="str">
        <f aca="false">IF($C48="","",COUNTIF(TblApplications[ID],$C48))</f>
        <v/>
      </c>
      <c r="Z48" s="39" t="str">
        <f aca="false">IF($C48="","",IFERROR(1/(1/_xlfn.MINIFS(TblApplications[Mois prov (calc)],TblApplications[ID],$C48)),""))</f>
        <v/>
      </c>
      <c r="AA48" s="39" t="str">
        <f aca="false">IF($C48="","",IFERROR(1/(1/_xlfn.MAXIFS(TblApplications[Mois lib (calc)],TblApplications[ID],$C48)),""))</f>
        <v/>
      </c>
      <c r="AB48" s="21" t="str">
        <f aca="false">IF($C48="","",IF(OR(OR($A48="",$B48="",$D48="",$E48="",$F48="",$G48=""),AND($G48="À migrer",OR($H48="",$I48="",$J48="",$K48="",$L48="",$N48="",$O48="",$P48="",$Q48="",$R48="")),AND($G48="Migré",OR($J48="",$K48="",$L48="")),AND($G48="À décommissionner",OR($I48="",$N48="",$O48="",$R48=""))),"Données manquantes (selon l’action)",IF(AND($G48&lt;&gt;"Migré",$G48&lt;&gt;"À migrer",$G48&lt;&gt;"À décommissionner",$G48&lt;&gt;"Décommissionné"),"Action invalide",IF(COUNTIF(TblDomaines[Domaine],$A48)=0,"Domaine inconnu (référentiel)",IF(COUNTIFS(TblTribes[Tribe],$B48,TblTribes[Domaine de la tribe],$A48)=0,"Tribe inconnue ou hors domaine",IF(AND($G48="À migrer",$H48&lt;&gt;"Oui",$H48&lt;&gt;"Non"),"Valeur Oui/Non invalide (Déjà incluse ROKS)",IF(AND($E48&lt;&gt;"PRD",$E48&lt;&gt;"NPRD"),"Environnement invalide",IF(COUNTIFS(TblApplications[ID],$C48,TblApplications[Environnement],$E48,TblApplications[Couloir],$F48)&gt;1,"Déploiement en doublon (ID + env + couloir)",IF(OR(AND($K48&lt;&gt;"",NOT(ISNUMBER($K48))),AND($L48&lt;&gt;"",NOT(ISNUMBER($L48))),AND($N48&lt;&gt;"",NOT(ISNUMBER($N48))),AND($O48&lt;&gt;"",NOT(ISNUMBER($O48)))),"Ressource non numérique",IF(MIN(N($K48),N($L48),N($N48),N($O48))&lt;0,"Ressource négative",IF(OR(AND($AC48&lt;&gt;"",OR(NOT(ISNUMBER($AC48)),$AC48&lt;0,$AC48&gt;1)),AND($AD48&lt;&gt;"",OR(NOT(ISNUMBER($AD48)),$AD48&lt;0,$AD48&gt;1))),"Marge spécifique invalide (0–100 %)",IF(OR(AND($P48&lt;&gt;"",NOT(ISNUMBER($P48))),AND($Q48&lt;&gt;"",NOT(ISNUMBER($Q48))),AND($R48&lt;&gt;"",NOT(ISNUMBER($R48)))),"Mois invalide",IF(AND(OR($G48="À migrer",$G48="À décommissionner"),COUNTIFS(TblClusters[Cluster],$I48,TblClusters[Plateforme],"IKS")=0),"Cluster IKS inconnu",IF(AND(OR($G48="À migrer",$G48="Migré"),COUNTIFS(TblClusters[Cluster],$J48,TblClusters[Plateforme],"ROKS")=0),"Cluster ROKS inconnu",IF(AND(OR($G48="À migrer",$G48="À décommissionner"),COUNTIFS(TblClusters[Cluster],$I48,TblClusters[Environnement],$E48)=0),"Environnement ≠ cluster IKS",IF(AND(OR($G48="À migrer",$G48="Migré"),COUNTIFS(TblClusters[Cluster],$J48,TblClusters[Environnement],$E48)=0),"Environnement ≠ cluster ROKS",IF(AND($G48="À migrer",OR($P48&gt;$Q48,$Q48&gt;$R48)),"Dates incohérentes (prov ≤ bascule ≤ libération)",IF(AND(OR($G48="À migrer",$G48="À décommissionner"),OR(N($N48)&gt;SUMIFS(TblClusters[CPU initial (vCPU)],TblClusters[Cluster],$I48),N($O48)&gt;SUMIFS(TblClusters[RAM initiale (Go)],TblClusters[Cluster],$I48))),"Libération &gt; capacité du cluster source",IF(OR(AND($V48&lt;&gt;"",$V48&lt;p_debut),AND($W48&lt;&gt;"",$W48&gt;p_fin)),"Hors horizon (info)",IF(AND($G48="À migrer",$E48="PRD",COUNTIFS(TblApplications[ID],$C48,TblApplications[Environnement],"NPRD",TblApplications[Action],"À migrer")&gt;0,$V48&lt;_xlfn.MINIFS(TblApplications[Mois prov (calc)],TblApplications[ID],$C48,TblApplications[Environnement],"NPRD")),"PRD avant NPRD (info)","OK"))))))))))))))))))))</f>
        <v/>
      </c>
      <c r="AC48" s="76"/>
      <c r="AD48" s="76"/>
      <c r="AE48" s="22" t="str">
        <f aca="false">IF(OR($C48="",NOT(OR($G48="À migrer",$G48="À décommissionner")),NOT(ISNUMBER($N48)),NOT(ISNUMBER($O48)),$W48=""),"",($N48+p_poidsram*$O48)*SUMIFS(TblCalculs[Coût par unité],TblCalculs[Cluster],$I48,TblCalculs[Mois],"&lt;"&amp;$W48))</f>
        <v/>
      </c>
      <c r="AF48" s="22" t="str">
        <f aca="false">IF($C48="","",IF(AND($G48="À migrer",$H48="Non",$T48&lt;&gt;"",$V48&lt;&gt;""),($T48+p_poidsram*$U48)*SUMIFS(TblCalculs[Coût par unité],TblCalculs[Cluster],$J48,TblCalculs[Mois],"&gt;="&amp;$V48),IF(AND($G48="Migré",$T48&lt;&gt;""),($T48+p_poidsram*$U48)*SUMIFS(TblCalculs[Coût par unité],TblCalculs[Cluster],$J48),"")))</f>
        <v/>
      </c>
      <c r="AG48" s="22" t="str">
        <f aca="false">IF($C48="","",N($AE48)+N($AF48))</f>
        <v/>
      </c>
      <c r="AH48" s="21" t="str">
        <f aca="false">IF(OR($C48="",$G48="Décommissionné",COUNTIFS($E48,av_envc,$A48,av_domc,$B48,av_tric)=0),"",COUNTIFS($C$6:$C48,"&lt;&gt;",$G$6:$G48,"&lt;&gt;Décommissionné",$E$6:$E48,av_envc,$A$6:$A48,av_domc,$B$6:$B48,av_tric))</f>
        <v/>
      </c>
      <c r="AI48" s="21" t="str">
        <f aca="false">IF($C48="","",IF(AND(OR($G48="À migrer",$G48="À décommissionner"),$W48&lt;&gt;"",$W48&gt;ex_mois),1,0))</f>
        <v/>
      </c>
      <c r="AJ48" s="21" t="str">
        <f aca="false">IF(OR($C48="",$AI48&lt;&gt;1,COUNTIFS($E48,ex_envc,$A48,ex_domc,$B48,ex_tric)=0),"",COUNTIFS($AI$6:$AI48,1,$E$6:$E48,ex_envc,$A$6:$A48,ex_domc,$B$6:$B48,ex_tric))</f>
        <v/>
      </c>
    </row>
    <row r="49" customFormat="false" ht="15" hidden="false" customHeight="false" outlineLevel="0" collapsed="false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5"/>
      <c r="Q49" s="75"/>
      <c r="R49" s="75"/>
      <c r="S49" s="74"/>
      <c r="T49" s="21" t="str">
        <f aca="false">IF(OR($C49="",NOT(OR($G49="À migrer",$G49="Migré")),NOT(ISNUMBER($K49))),"",ROUNDUP($K49*(1+IF($AC49="",p_margeCPU,$AC49)),0))</f>
        <v/>
      </c>
      <c r="U49" s="21" t="str">
        <f aca="false">IF(OR($C49="",NOT(OR($G49="À migrer",$G49="Migré")),NOT(ISNUMBER($L49))),"",ROUNDUP($L49*(1+IF($AD49="",p_margeRAM,$AD49)),0))</f>
        <v/>
      </c>
      <c r="V49" s="39" t="str">
        <f aca="false">IF(OR(NOT($G49="À migrer"),$P49=""),"",IFERROR(DATE(YEAR($P49),MONTH($P49),1),""))</f>
        <v/>
      </c>
      <c r="W49" s="39" t="str">
        <f aca="false">IF(OR(NOT(OR($G49="À migrer",$G49="À décommissionner")),$R49=""),"",IFERROR(DATE(YEAR($R49),MONTH($R49),1),""))</f>
        <v/>
      </c>
      <c r="X49" s="21" t="str">
        <f aca="false">IF(OR($V49="",$W49=""),"",MAX(0,(YEAR($W49)-YEAR($V49))*12+MONTH($W49)-MONTH($V49)))</f>
        <v/>
      </c>
      <c r="Y49" s="21" t="str">
        <f aca="false">IF($C49="","",COUNTIF(TblApplications[ID],$C49))</f>
        <v/>
      </c>
      <c r="Z49" s="39" t="str">
        <f aca="false">IF($C49="","",IFERROR(1/(1/_xlfn.MINIFS(TblApplications[Mois prov (calc)],TblApplications[ID],$C49)),""))</f>
        <v/>
      </c>
      <c r="AA49" s="39" t="str">
        <f aca="false">IF($C49="","",IFERROR(1/(1/_xlfn.MAXIFS(TblApplications[Mois lib (calc)],TblApplications[ID],$C49)),""))</f>
        <v/>
      </c>
      <c r="AB49" s="21" t="str">
        <f aca="false">IF($C49="","",IF(OR(OR($A49="",$B49="",$D49="",$E49="",$F49="",$G49=""),AND($G49="À migrer",OR($H49="",$I49="",$J49="",$K49="",$L49="",$N49="",$O49="",$P49="",$Q49="",$R49="")),AND($G49="Migré",OR($J49="",$K49="",$L49="")),AND($G49="À décommissionner",OR($I49="",$N49="",$O49="",$R49=""))),"Données manquantes (selon l’action)",IF(AND($G49&lt;&gt;"Migré",$G49&lt;&gt;"À migrer",$G49&lt;&gt;"À décommissionner",$G49&lt;&gt;"Décommissionné"),"Action invalide",IF(COUNTIF(TblDomaines[Domaine],$A49)=0,"Domaine inconnu (référentiel)",IF(COUNTIFS(TblTribes[Tribe],$B49,TblTribes[Domaine de la tribe],$A49)=0,"Tribe inconnue ou hors domaine",IF(AND($G49="À migrer",$H49&lt;&gt;"Oui",$H49&lt;&gt;"Non"),"Valeur Oui/Non invalide (Déjà incluse ROKS)",IF(AND($E49&lt;&gt;"PRD",$E49&lt;&gt;"NPRD"),"Environnement invalide",IF(COUNTIFS(TblApplications[ID],$C49,TblApplications[Environnement],$E49,TblApplications[Couloir],$F49)&gt;1,"Déploiement en doublon (ID + env + couloir)",IF(OR(AND($K49&lt;&gt;"",NOT(ISNUMBER($K49))),AND($L49&lt;&gt;"",NOT(ISNUMBER($L49))),AND($N49&lt;&gt;"",NOT(ISNUMBER($N49))),AND($O49&lt;&gt;"",NOT(ISNUMBER($O49)))),"Ressource non numérique",IF(MIN(N($K49),N($L49),N($N49),N($O49))&lt;0,"Ressource négative",IF(OR(AND($AC49&lt;&gt;"",OR(NOT(ISNUMBER($AC49)),$AC49&lt;0,$AC49&gt;1)),AND($AD49&lt;&gt;"",OR(NOT(ISNUMBER($AD49)),$AD49&lt;0,$AD49&gt;1))),"Marge spécifique invalide (0–100 %)",IF(OR(AND($P49&lt;&gt;"",NOT(ISNUMBER($P49))),AND($Q49&lt;&gt;"",NOT(ISNUMBER($Q49))),AND($R49&lt;&gt;"",NOT(ISNUMBER($R49)))),"Mois invalide",IF(AND(OR($G49="À migrer",$G49="À décommissionner"),COUNTIFS(TblClusters[Cluster],$I49,TblClusters[Plateforme],"IKS")=0),"Cluster IKS inconnu",IF(AND(OR($G49="À migrer",$G49="Migré"),COUNTIFS(TblClusters[Cluster],$J49,TblClusters[Plateforme],"ROKS")=0),"Cluster ROKS inconnu",IF(AND(OR($G49="À migrer",$G49="À décommissionner"),COUNTIFS(TblClusters[Cluster],$I49,TblClusters[Environnement],$E49)=0),"Environnement ≠ cluster IKS",IF(AND(OR($G49="À migrer",$G49="Migré"),COUNTIFS(TblClusters[Cluster],$J49,TblClusters[Environnement],$E49)=0),"Environnement ≠ cluster ROKS",IF(AND($G49="À migrer",OR($P49&gt;$Q49,$Q49&gt;$R49)),"Dates incohérentes (prov ≤ bascule ≤ libération)",IF(AND(OR($G49="À migrer",$G49="À décommissionner"),OR(N($N49)&gt;SUMIFS(TblClusters[CPU initial (vCPU)],TblClusters[Cluster],$I49),N($O49)&gt;SUMIFS(TblClusters[RAM initiale (Go)],TblClusters[Cluster],$I49))),"Libération &gt; capacité du cluster source",IF(OR(AND($V49&lt;&gt;"",$V49&lt;p_debut),AND($W49&lt;&gt;"",$W49&gt;p_fin)),"Hors horizon (info)",IF(AND($G49="À migrer",$E49="PRD",COUNTIFS(TblApplications[ID],$C49,TblApplications[Environnement],"NPRD",TblApplications[Action],"À migrer")&gt;0,$V49&lt;_xlfn.MINIFS(TblApplications[Mois prov (calc)],TblApplications[ID],$C49,TblApplications[Environnement],"NPRD")),"PRD avant NPRD (info)","OK"))))))))))))))))))))</f>
        <v/>
      </c>
      <c r="AC49" s="76"/>
      <c r="AD49" s="76"/>
      <c r="AE49" s="22" t="str">
        <f aca="false">IF(OR($C49="",NOT(OR($G49="À migrer",$G49="À décommissionner")),NOT(ISNUMBER($N49)),NOT(ISNUMBER($O49)),$W49=""),"",($N49+p_poidsram*$O49)*SUMIFS(TblCalculs[Coût par unité],TblCalculs[Cluster],$I49,TblCalculs[Mois],"&lt;"&amp;$W49))</f>
        <v/>
      </c>
      <c r="AF49" s="22" t="str">
        <f aca="false">IF($C49="","",IF(AND($G49="À migrer",$H49="Non",$T49&lt;&gt;"",$V49&lt;&gt;""),($T49+p_poidsram*$U49)*SUMIFS(TblCalculs[Coût par unité],TblCalculs[Cluster],$J49,TblCalculs[Mois],"&gt;="&amp;$V49),IF(AND($G49="Migré",$T49&lt;&gt;""),($T49+p_poidsram*$U49)*SUMIFS(TblCalculs[Coût par unité],TblCalculs[Cluster],$J49),"")))</f>
        <v/>
      </c>
      <c r="AG49" s="22" t="str">
        <f aca="false">IF($C49="","",N($AE49)+N($AF49))</f>
        <v/>
      </c>
      <c r="AH49" s="21" t="str">
        <f aca="false">IF(OR($C49="",$G49="Décommissionné",COUNTIFS($E49,av_envc,$A49,av_domc,$B49,av_tric)=0),"",COUNTIFS($C$6:$C49,"&lt;&gt;",$G$6:$G49,"&lt;&gt;Décommissionné",$E$6:$E49,av_envc,$A$6:$A49,av_domc,$B$6:$B49,av_tric))</f>
        <v/>
      </c>
      <c r="AI49" s="21" t="str">
        <f aca="false">IF($C49="","",IF(AND(OR($G49="À migrer",$G49="À décommissionner"),$W49&lt;&gt;"",$W49&gt;ex_mois),1,0))</f>
        <v/>
      </c>
      <c r="AJ49" s="21" t="str">
        <f aca="false">IF(OR($C49="",$AI49&lt;&gt;1,COUNTIFS($E49,ex_envc,$A49,ex_domc,$B49,ex_tric)=0),"",COUNTIFS($AI$6:$AI49,1,$E$6:$E49,ex_envc,$A$6:$A49,ex_domc,$B$6:$B49,ex_tric))</f>
        <v/>
      </c>
    </row>
    <row r="50" customFormat="false" ht="15" hidden="false" customHeight="false" outlineLevel="0" collapsed="false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5"/>
      <c r="Q50" s="75"/>
      <c r="R50" s="75"/>
      <c r="S50" s="74"/>
      <c r="T50" s="21" t="str">
        <f aca="false">IF(OR($C50="",NOT(OR($G50="À migrer",$G50="Migré")),NOT(ISNUMBER($K50))),"",ROUNDUP($K50*(1+IF($AC50="",p_margeCPU,$AC50)),0))</f>
        <v/>
      </c>
      <c r="U50" s="21" t="str">
        <f aca="false">IF(OR($C50="",NOT(OR($G50="À migrer",$G50="Migré")),NOT(ISNUMBER($L50))),"",ROUNDUP($L50*(1+IF($AD50="",p_margeRAM,$AD50)),0))</f>
        <v/>
      </c>
      <c r="V50" s="39" t="str">
        <f aca="false">IF(OR(NOT($G50="À migrer"),$P50=""),"",IFERROR(DATE(YEAR($P50),MONTH($P50),1),""))</f>
        <v/>
      </c>
      <c r="W50" s="39" t="str">
        <f aca="false">IF(OR(NOT(OR($G50="À migrer",$G50="À décommissionner")),$R50=""),"",IFERROR(DATE(YEAR($R50),MONTH($R50),1),""))</f>
        <v/>
      </c>
      <c r="X50" s="21" t="str">
        <f aca="false">IF(OR($V50="",$W50=""),"",MAX(0,(YEAR($W50)-YEAR($V50))*12+MONTH($W50)-MONTH($V50)))</f>
        <v/>
      </c>
      <c r="Y50" s="21" t="str">
        <f aca="false">IF($C50="","",COUNTIF(TblApplications[ID],$C50))</f>
        <v/>
      </c>
      <c r="Z50" s="39" t="str">
        <f aca="false">IF($C50="","",IFERROR(1/(1/_xlfn.MINIFS(TblApplications[Mois prov (calc)],TblApplications[ID],$C50)),""))</f>
        <v/>
      </c>
      <c r="AA50" s="39" t="str">
        <f aca="false">IF($C50="","",IFERROR(1/(1/_xlfn.MAXIFS(TblApplications[Mois lib (calc)],TblApplications[ID],$C50)),""))</f>
        <v/>
      </c>
      <c r="AB50" s="21" t="str">
        <f aca="false">IF($C50="","",IF(OR(OR($A50="",$B50="",$D50="",$E50="",$F50="",$G50=""),AND($G50="À migrer",OR($H50="",$I50="",$J50="",$K50="",$L50="",$N50="",$O50="",$P50="",$Q50="",$R50="")),AND($G50="Migré",OR($J50="",$K50="",$L50="")),AND($G50="À décommissionner",OR($I50="",$N50="",$O50="",$R50=""))),"Données manquantes (selon l’action)",IF(AND($G50&lt;&gt;"Migré",$G50&lt;&gt;"À migrer",$G50&lt;&gt;"À décommissionner",$G50&lt;&gt;"Décommissionné"),"Action invalide",IF(COUNTIF(TblDomaines[Domaine],$A50)=0,"Domaine inconnu (référentiel)",IF(COUNTIFS(TblTribes[Tribe],$B50,TblTribes[Domaine de la tribe],$A50)=0,"Tribe inconnue ou hors domaine",IF(AND($G50="À migrer",$H50&lt;&gt;"Oui",$H50&lt;&gt;"Non"),"Valeur Oui/Non invalide (Déjà incluse ROKS)",IF(AND($E50&lt;&gt;"PRD",$E50&lt;&gt;"NPRD"),"Environnement invalide",IF(COUNTIFS(TblApplications[ID],$C50,TblApplications[Environnement],$E50,TblApplications[Couloir],$F50)&gt;1,"Déploiement en doublon (ID + env + couloir)",IF(OR(AND($K50&lt;&gt;"",NOT(ISNUMBER($K50))),AND($L50&lt;&gt;"",NOT(ISNUMBER($L50))),AND($N50&lt;&gt;"",NOT(ISNUMBER($N50))),AND($O50&lt;&gt;"",NOT(ISNUMBER($O50)))),"Ressource non numérique",IF(MIN(N($K50),N($L50),N($N50),N($O50))&lt;0,"Ressource négative",IF(OR(AND($AC50&lt;&gt;"",OR(NOT(ISNUMBER($AC50)),$AC50&lt;0,$AC50&gt;1)),AND($AD50&lt;&gt;"",OR(NOT(ISNUMBER($AD50)),$AD50&lt;0,$AD50&gt;1))),"Marge spécifique invalide (0–100 %)",IF(OR(AND($P50&lt;&gt;"",NOT(ISNUMBER($P50))),AND($Q50&lt;&gt;"",NOT(ISNUMBER($Q50))),AND($R50&lt;&gt;"",NOT(ISNUMBER($R50)))),"Mois invalide",IF(AND(OR($G50="À migrer",$G50="À décommissionner"),COUNTIFS(TblClusters[Cluster],$I50,TblClusters[Plateforme],"IKS")=0),"Cluster IKS inconnu",IF(AND(OR($G50="À migrer",$G50="Migré"),COUNTIFS(TblClusters[Cluster],$J50,TblClusters[Plateforme],"ROKS")=0),"Cluster ROKS inconnu",IF(AND(OR($G50="À migrer",$G50="À décommissionner"),COUNTIFS(TblClusters[Cluster],$I50,TblClusters[Environnement],$E50)=0),"Environnement ≠ cluster IKS",IF(AND(OR($G50="À migrer",$G50="Migré"),COUNTIFS(TblClusters[Cluster],$J50,TblClusters[Environnement],$E50)=0),"Environnement ≠ cluster ROKS",IF(AND($G50="À migrer",OR($P50&gt;$Q50,$Q50&gt;$R50)),"Dates incohérentes (prov ≤ bascule ≤ libération)",IF(AND(OR($G50="À migrer",$G50="À décommissionner"),OR(N($N50)&gt;SUMIFS(TblClusters[CPU initial (vCPU)],TblClusters[Cluster],$I50),N($O50)&gt;SUMIFS(TblClusters[RAM initiale (Go)],TblClusters[Cluster],$I50))),"Libération &gt; capacité du cluster source",IF(OR(AND($V50&lt;&gt;"",$V50&lt;p_debut),AND($W50&lt;&gt;"",$W50&gt;p_fin)),"Hors horizon (info)",IF(AND($G50="À migrer",$E50="PRD",COUNTIFS(TblApplications[ID],$C50,TblApplications[Environnement],"NPRD",TblApplications[Action],"À migrer")&gt;0,$V50&lt;_xlfn.MINIFS(TblApplications[Mois prov (calc)],TblApplications[ID],$C50,TblApplications[Environnement],"NPRD")),"PRD avant NPRD (info)","OK"))))))))))))))))))))</f>
        <v/>
      </c>
      <c r="AC50" s="76"/>
      <c r="AD50" s="76"/>
      <c r="AE50" s="22" t="str">
        <f aca="false">IF(OR($C50="",NOT(OR($G50="À migrer",$G50="À décommissionner")),NOT(ISNUMBER($N50)),NOT(ISNUMBER($O50)),$W50=""),"",($N50+p_poidsram*$O50)*SUMIFS(TblCalculs[Coût par unité],TblCalculs[Cluster],$I50,TblCalculs[Mois],"&lt;"&amp;$W50))</f>
        <v/>
      </c>
      <c r="AF50" s="22" t="str">
        <f aca="false">IF($C50="","",IF(AND($G50="À migrer",$H50="Non",$T50&lt;&gt;"",$V50&lt;&gt;""),($T50+p_poidsram*$U50)*SUMIFS(TblCalculs[Coût par unité],TblCalculs[Cluster],$J50,TblCalculs[Mois],"&gt;="&amp;$V50),IF(AND($G50="Migré",$T50&lt;&gt;""),($T50+p_poidsram*$U50)*SUMIFS(TblCalculs[Coût par unité],TblCalculs[Cluster],$J50),"")))</f>
        <v/>
      </c>
      <c r="AG50" s="22" t="str">
        <f aca="false">IF($C50="","",N($AE50)+N($AF50))</f>
        <v/>
      </c>
      <c r="AH50" s="21" t="str">
        <f aca="false">IF(OR($C50="",$G50="Décommissionné",COUNTIFS($E50,av_envc,$A50,av_domc,$B50,av_tric)=0),"",COUNTIFS($C$6:$C50,"&lt;&gt;",$G$6:$G50,"&lt;&gt;Décommissionné",$E$6:$E50,av_envc,$A$6:$A50,av_domc,$B$6:$B50,av_tric))</f>
        <v/>
      </c>
      <c r="AI50" s="21" t="str">
        <f aca="false">IF($C50="","",IF(AND(OR($G50="À migrer",$G50="À décommissionner"),$W50&lt;&gt;"",$W50&gt;ex_mois),1,0))</f>
        <v/>
      </c>
      <c r="AJ50" s="21" t="str">
        <f aca="false">IF(OR($C50="",$AI50&lt;&gt;1,COUNTIFS($E50,ex_envc,$A50,ex_domc,$B50,ex_tric)=0),"",COUNTIFS($AI$6:$AI50,1,$E$6:$E50,ex_envc,$A$6:$A50,ex_domc,$B$6:$B50,ex_tric))</f>
        <v/>
      </c>
    </row>
    <row r="51" customFormat="false" ht="15" hidden="false" customHeight="false" outlineLevel="0" collapsed="false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5"/>
      <c r="Q51" s="75"/>
      <c r="R51" s="75"/>
      <c r="S51" s="74"/>
      <c r="T51" s="21" t="str">
        <f aca="false">IF(OR($C51="",NOT(OR($G51="À migrer",$G51="Migré")),NOT(ISNUMBER($K51))),"",ROUNDUP($K51*(1+IF($AC51="",p_margeCPU,$AC51)),0))</f>
        <v/>
      </c>
      <c r="U51" s="21" t="str">
        <f aca="false">IF(OR($C51="",NOT(OR($G51="À migrer",$G51="Migré")),NOT(ISNUMBER($L51))),"",ROUNDUP($L51*(1+IF($AD51="",p_margeRAM,$AD51)),0))</f>
        <v/>
      </c>
      <c r="V51" s="39" t="str">
        <f aca="false">IF(OR(NOT($G51="À migrer"),$P51=""),"",IFERROR(DATE(YEAR($P51),MONTH($P51),1),""))</f>
        <v/>
      </c>
      <c r="W51" s="39" t="str">
        <f aca="false">IF(OR(NOT(OR($G51="À migrer",$G51="À décommissionner")),$R51=""),"",IFERROR(DATE(YEAR($R51),MONTH($R51),1),""))</f>
        <v/>
      </c>
      <c r="X51" s="21" t="str">
        <f aca="false">IF(OR($V51="",$W51=""),"",MAX(0,(YEAR($W51)-YEAR($V51))*12+MONTH($W51)-MONTH($V51)))</f>
        <v/>
      </c>
      <c r="Y51" s="21" t="str">
        <f aca="false">IF($C51="","",COUNTIF(TblApplications[ID],$C51))</f>
        <v/>
      </c>
      <c r="Z51" s="39" t="str">
        <f aca="false">IF($C51="","",IFERROR(1/(1/_xlfn.MINIFS(TblApplications[Mois prov (calc)],TblApplications[ID],$C51)),""))</f>
        <v/>
      </c>
      <c r="AA51" s="39" t="str">
        <f aca="false">IF($C51="","",IFERROR(1/(1/_xlfn.MAXIFS(TblApplications[Mois lib (calc)],TblApplications[ID],$C51)),""))</f>
        <v/>
      </c>
      <c r="AB51" s="21" t="str">
        <f aca="false">IF($C51="","",IF(OR(OR($A51="",$B51="",$D51="",$E51="",$F51="",$G51=""),AND($G51="À migrer",OR($H51="",$I51="",$J51="",$K51="",$L51="",$N51="",$O51="",$P51="",$Q51="",$R51="")),AND($G51="Migré",OR($J51="",$K51="",$L51="")),AND($G51="À décommissionner",OR($I51="",$N51="",$O51="",$R51=""))),"Données manquantes (selon l’action)",IF(AND($G51&lt;&gt;"Migré",$G51&lt;&gt;"À migrer",$G51&lt;&gt;"À décommissionner",$G51&lt;&gt;"Décommissionné"),"Action invalide",IF(COUNTIF(TblDomaines[Domaine],$A51)=0,"Domaine inconnu (référentiel)",IF(COUNTIFS(TblTribes[Tribe],$B51,TblTribes[Domaine de la tribe],$A51)=0,"Tribe inconnue ou hors domaine",IF(AND($G51="À migrer",$H51&lt;&gt;"Oui",$H51&lt;&gt;"Non"),"Valeur Oui/Non invalide (Déjà incluse ROKS)",IF(AND($E51&lt;&gt;"PRD",$E51&lt;&gt;"NPRD"),"Environnement invalide",IF(COUNTIFS(TblApplications[ID],$C51,TblApplications[Environnement],$E51,TblApplications[Couloir],$F51)&gt;1,"Déploiement en doublon (ID + env + couloir)",IF(OR(AND($K51&lt;&gt;"",NOT(ISNUMBER($K51))),AND($L51&lt;&gt;"",NOT(ISNUMBER($L51))),AND($N51&lt;&gt;"",NOT(ISNUMBER($N51))),AND($O51&lt;&gt;"",NOT(ISNUMBER($O51)))),"Ressource non numérique",IF(MIN(N($K51),N($L51),N($N51),N($O51))&lt;0,"Ressource négative",IF(OR(AND($AC51&lt;&gt;"",OR(NOT(ISNUMBER($AC51)),$AC51&lt;0,$AC51&gt;1)),AND($AD51&lt;&gt;"",OR(NOT(ISNUMBER($AD51)),$AD51&lt;0,$AD51&gt;1))),"Marge spécifique invalide (0–100 %)",IF(OR(AND($P51&lt;&gt;"",NOT(ISNUMBER($P51))),AND($Q51&lt;&gt;"",NOT(ISNUMBER($Q51))),AND($R51&lt;&gt;"",NOT(ISNUMBER($R51)))),"Mois invalide",IF(AND(OR($G51="À migrer",$G51="À décommissionner"),COUNTIFS(TblClusters[Cluster],$I51,TblClusters[Plateforme],"IKS")=0),"Cluster IKS inconnu",IF(AND(OR($G51="À migrer",$G51="Migré"),COUNTIFS(TblClusters[Cluster],$J51,TblClusters[Plateforme],"ROKS")=0),"Cluster ROKS inconnu",IF(AND(OR($G51="À migrer",$G51="À décommissionner"),COUNTIFS(TblClusters[Cluster],$I51,TblClusters[Environnement],$E51)=0),"Environnement ≠ cluster IKS",IF(AND(OR($G51="À migrer",$G51="Migré"),COUNTIFS(TblClusters[Cluster],$J51,TblClusters[Environnement],$E51)=0),"Environnement ≠ cluster ROKS",IF(AND($G51="À migrer",OR($P51&gt;$Q51,$Q51&gt;$R51)),"Dates incohérentes (prov ≤ bascule ≤ libération)",IF(AND(OR($G51="À migrer",$G51="À décommissionner"),OR(N($N51)&gt;SUMIFS(TblClusters[CPU initial (vCPU)],TblClusters[Cluster],$I51),N($O51)&gt;SUMIFS(TblClusters[RAM initiale (Go)],TblClusters[Cluster],$I51))),"Libération &gt; capacité du cluster source",IF(OR(AND($V51&lt;&gt;"",$V51&lt;p_debut),AND($W51&lt;&gt;"",$W51&gt;p_fin)),"Hors horizon (info)",IF(AND($G51="À migrer",$E51="PRD",COUNTIFS(TblApplications[ID],$C51,TblApplications[Environnement],"NPRD",TblApplications[Action],"À migrer")&gt;0,$V51&lt;_xlfn.MINIFS(TblApplications[Mois prov (calc)],TblApplications[ID],$C51,TblApplications[Environnement],"NPRD")),"PRD avant NPRD (info)","OK"))))))))))))))))))))</f>
        <v/>
      </c>
      <c r="AC51" s="76"/>
      <c r="AD51" s="76"/>
      <c r="AE51" s="22" t="str">
        <f aca="false">IF(OR($C51="",NOT(OR($G51="À migrer",$G51="À décommissionner")),NOT(ISNUMBER($N51)),NOT(ISNUMBER($O51)),$W51=""),"",($N51+p_poidsram*$O51)*SUMIFS(TblCalculs[Coût par unité],TblCalculs[Cluster],$I51,TblCalculs[Mois],"&lt;"&amp;$W51))</f>
        <v/>
      </c>
      <c r="AF51" s="22" t="str">
        <f aca="false">IF($C51="","",IF(AND($G51="À migrer",$H51="Non",$T51&lt;&gt;"",$V51&lt;&gt;""),($T51+p_poidsram*$U51)*SUMIFS(TblCalculs[Coût par unité],TblCalculs[Cluster],$J51,TblCalculs[Mois],"&gt;="&amp;$V51),IF(AND($G51="Migré",$T51&lt;&gt;""),($T51+p_poidsram*$U51)*SUMIFS(TblCalculs[Coût par unité],TblCalculs[Cluster],$J51),"")))</f>
        <v/>
      </c>
      <c r="AG51" s="22" t="str">
        <f aca="false">IF($C51="","",N($AE51)+N($AF51))</f>
        <v/>
      </c>
      <c r="AH51" s="21" t="str">
        <f aca="false">IF(OR($C51="",$G51="Décommissionné",COUNTIFS($E51,av_envc,$A51,av_domc,$B51,av_tric)=0),"",COUNTIFS($C$6:$C51,"&lt;&gt;",$G$6:$G51,"&lt;&gt;Décommissionné",$E$6:$E51,av_envc,$A$6:$A51,av_domc,$B$6:$B51,av_tric))</f>
        <v/>
      </c>
      <c r="AI51" s="21" t="str">
        <f aca="false">IF($C51="","",IF(AND(OR($G51="À migrer",$G51="À décommissionner"),$W51&lt;&gt;"",$W51&gt;ex_mois),1,0))</f>
        <v/>
      </c>
      <c r="AJ51" s="21" t="str">
        <f aca="false">IF(OR($C51="",$AI51&lt;&gt;1,COUNTIFS($E51,ex_envc,$A51,ex_domc,$B51,ex_tric)=0),"",COUNTIFS($AI$6:$AI51,1,$E$6:$E51,ex_envc,$A$6:$A51,ex_domc,$B$6:$B51,ex_tric))</f>
        <v/>
      </c>
    </row>
    <row r="52" customFormat="false" ht="15" hidden="false" customHeight="false" outlineLevel="0" collapsed="false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5"/>
      <c r="Q52" s="75"/>
      <c r="R52" s="75"/>
      <c r="S52" s="74"/>
      <c r="T52" s="21" t="str">
        <f aca="false">IF(OR($C52="",NOT(OR($G52="À migrer",$G52="Migré")),NOT(ISNUMBER($K52))),"",ROUNDUP($K52*(1+IF($AC52="",p_margeCPU,$AC52)),0))</f>
        <v/>
      </c>
      <c r="U52" s="21" t="str">
        <f aca="false">IF(OR($C52="",NOT(OR($G52="À migrer",$G52="Migré")),NOT(ISNUMBER($L52))),"",ROUNDUP($L52*(1+IF($AD52="",p_margeRAM,$AD52)),0))</f>
        <v/>
      </c>
      <c r="V52" s="39" t="str">
        <f aca="false">IF(OR(NOT($G52="À migrer"),$P52=""),"",IFERROR(DATE(YEAR($P52),MONTH($P52),1),""))</f>
        <v/>
      </c>
      <c r="W52" s="39" t="str">
        <f aca="false">IF(OR(NOT(OR($G52="À migrer",$G52="À décommissionner")),$R52=""),"",IFERROR(DATE(YEAR($R52),MONTH($R52),1),""))</f>
        <v/>
      </c>
      <c r="X52" s="21" t="str">
        <f aca="false">IF(OR($V52="",$W52=""),"",MAX(0,(YEAR($W52)-YEAR($V52))*12+MONTH($W52)-MONTH($V52)))</f>
        <v/>
      </c>
      <c r="Y52" s="21" t="str">
        <f aca="false">IF($C52="","",COUNTIF(TblApplications[ID],$C52))</f>
        <v/>
      </c>
      <c r="Z52" s="39" t="str">
        <f aca="false">IF($C52="","",IFERROR(1/(1/_xlfn.MINIFS(TblApplications[Mois prov (calc)],TblApplications[ID],$C52)),""))</f>
        <v/>
      </c>
      <c r="AA52" s="39" t="str">
        <f aca="false">IF($C52="","",IFERROR(1/(1/_xlfn.MAXIFS(TblApplications[Mois lib (calc)],TblApplications[ID],$C52)),""))</f>
        <v/>
      </c>
      <c r="AB52" s="21" t="str">
        <f aca="false">IF($C52="","",IF(OR(OR($A52="",$B52="",$D52="",$E52="",$F52="",$G52=""),AND($G52="À migrer",OR($H52="",$I52="",$J52="",$K52="",$L52="",$N52="",$O52="",$P52="",$Q52="",$R52="")),AND($G52="Migré",OR($J52="",$K52="",$L52="")),AND($G52="À décommissionner",OR($I52="",$N52="",$O52="",$R52=""))),"Données manquantes (selon l’action)",IF(AND($G52&lt;&gt;"Migré",$G52&lt;&gt;"À migrer",$G52&lt;&gt;"À décommissionner",$G52&lt;&gt;"Décommissionné"),"Action invalide",IF(COUNTIF(TblDomaines[Domaine],$A52)=0,"Domaine inconnu (référentiel)",IF(COUNTIFS(TblTribes[Tribe],$B52,TblTribes[Domaine de la tribe],$A52)=0,"Tribe inconnue ou hors domaine",IF(AND($G52="À migrer",$H52&lt;&gt;"Oui",$H52&lt;&gt;"Non"),"Valeur Oui/Non invalide (Déjà incluse ROKS)",IF(AND($E52&lt;&gt;"PRD",$E52&lt;&gt;"NPRD"),"Environnement invalide",IF(COUNTIFS(TblApplications[ID],$C52,TblApplications[Environnement],$E52,TblApplications[Couloir],$F52)&gt;1,"Déploiement en doublon (ID + env + couloir)",IF(OR(AND($K52&lt;&gt;"",NOT(ISNUMBER($K52))),AND($L52&lt;&gt;"",NOT(ISNUMBER($L52))),AND($N52&lt;&gt;"",NOT(ISNUMBER($N52))),AND($O52&lt;&gt;"",NOT(ISNUMBER($O52)))),"Ressource non numérique",IF(MIN(N($K52),N($L52),N($N52),N($O52))&lt;0,"Ressource négative",IF(OR(AND($AC52&lt;&gt;"",OR(NOT(ISNUMBER($AC52)),$AC52&lt;0,$AC52&gt;1)),AND($AD52&lt;&gt;"",OR(NOT(ISNUMBER($AD52)),$AD52&lt;0,$AD52&gt;1))),"Marge spécifique invalide (0–100 %)",IF(OR(AND($P52&lt;&gt;"",NOT(ISNUMBER($P52))),AND($Q52&lt;&gt;"",NOT(ISNUMBER($Q52))),AND($R52&lt;&gt;"",NOT(ISNUMBER($R52)))),"Mois invalide",IF(AND(OR($G52="À migrer",$G52="À décommissionner"),COUNTIFS(TblClusters[Cluster],$I52,TblClusters[Plateforme],"IKS")=0),"Cluster IKS inconnu",IF(AND(OR($G52="À migrer",$G52="Migré"),COUNTIFS(TblClusters[Cluster],$J52,TblClusters[Plateforme],"ROKS")=0),"Cluster ROKS inconnu",IF(AND(OR($G52="À migrer",$G52="À décommissionner"),COUNTIFS(TblClusters[Cluster],$I52,TblClusters[Environnement],$E52)=0),"Environnement ≠ cluster IKS",IF(AND(OR($G52="À migrer",$G52="Migré"),COUNTIFS(TblClusters[Cluster],$J52,TblClusters[Environnement],$E52)=0),"Environnement ≠ cluster ROKS",IF(AND($G52="À migrer",OR($P52&gt;$Q52,$Q52&gt;$R52)),"Dates incohérentes (prov ≤ bascule ≤ libération)",IF(AND(OR($G52="À migrer",$G52="À décommissionner"),OR(N($N52)&gt;SUMIFS(TblClusters[CPU initial (vCPU)],TblClusters[Cluster],$I52),N($O52)&gt;SUMIFS(TblClusters[RAM initiale (Go)],TblClusters[Cluster],$I52))),"Libération &gt; capacité du cluster source",IF(OR(AND($V52&lt;&gt;"",$V52&lt;p_debut),AND($W52&lt;&gt;"",$W52&gt;p_fin)),"Hors horizon (info)",IF(AND($G52="À migrer",$E52="PRD",COUNTIFS(TblApplications[ID],$C52,TblApplications[Environnement],"NPRD",TblApplications[Action],"À migrer")&gt;0,$V52&lt;_xlfn.MINIFS(TblApplications[Mois prov (calc)],TblApplications[ID],$C52,TblApplications[Environnement],"NPRD")),"PRD avant NPRD (info)","OK"))))))))))))))))))))</f>
        <v/>
      </c>
      <c r="AC52" s="76"/>
      <c r="AD52" s="76"/>
      <c r="AE52" s="22" t="str">
        <f aca="false">IF(OR($C52="",NOT(OR($G52="À migrer",$G52="À décommissionner")),NOT(ISNUMBER($N52)),NOT(ISNUMBER($O52)),$W52=""),"",($N52+p_poidsram*$O52)*SUMIFS(TblCalculs[Coût par unité],TblCalculs[Cluster],$I52,TblCalculs[Mois],"&lt;"&amp;$W52))</f>
        <v/>
      </c>
      <c r="AF52" s="22" t="str">
        <f aca="false">IF($C52="","",IF(AND($G52="À migrer",$H52="Non",$T52&lt;&gt;"",$V52&lt;&gt;""),($T52+p_poidsram*$U52)*SUMIFS(TblCalculs[Coût par unité],TblCalculs[Cluster],$J52,TblCalculs[Mois],"&gt;="&amp;$V52),IF(AND($G52="Migré",$T52&lt;&gt;""),($T52+p_poidsram*$U52)*SUMIFS(TblCalculs[Coût par unité],TblCalculs[Cluster],$J52),"")))</f>
        <v/>
      </c>
      <c r="AG52" s="22" t="str">
        <f aca="false">IF($C52="","",N($AE52)+N($AF52))</f>
        <v/>
      </c>
      <c r="AH52" s="21" t="str">
        <f aca="false">IF(OR($C52="",$G52="Décommissionné",COUNTIFS($E52,av_envc,$A52,av_domc,$B52,av_tric)=0),"",COUNTIFS($C$6:$C52,"&lt;&gt;",$G$6:$G52,"&lt;&gt;Décommissionné",$E$6:$E52,av_envc,$A$6:$A52,av_domc,$B$6:$B52,av_tric))</f>
        <v/>
      </c>
      <c r="AI52" s="21" t="str">
        <f aca="false">IF($C52="","",IF(AND(OR($G52="À migrer",$G52="À décommissionner"),$W52&lt;&gt;"",$W52&gt;ex_mois),1,0))</f>
        <v/>
      </c>
      <c r="AJ52" s="21" t="str">
        <f aca="false">IF(OR($C52="",$AI52&lt;&gt;1,COUNTIFS($E52,ex_envc,$A52,ex_domc,$B52,ex_tric)=0),"",COUNTIFS($AI$6:$AI52,1,$E$6:$E52,ex_envc,$A$6:$A52,ex_domc,$B$6:$B52,ex_tric))</f>
        <v/>
      </c>
    </row>
    <row r="53" customFormat="false" ht="15" hidden="false" customHeight="false" outlineLevel="0" collapsed="false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5"/>
      <c r="Q53" s="75"/>
      <c r="R53" s="75"/>
      <c r="S53" s="74"/>
      <c r="T53" s="21" t="str">
        <f aca="false">IF(OR($C53="",NOT(OR($G53="À migrer",$G53="Migré")),NOT(ISNUMBER($K53))),"",ROUNDUP($K53*(1+IF($AC53="",p_margeCPU,$AC53)),0))</f>
        <v/>
      </c>
      <c r="U53" s="21" t="str">
        <f aca="false">IF(OR($C53="",NOT(OR($G53="À migrer",$G53="Migré")),NOT(ISNUMBER($L53))),"",ROUNDUP($L53*(1+IF($AD53="",p_margeRAM,$AD53)),0))</f>
        <v/>
      </c>
      <c r="V53" s="39" t="str">
        <f aca="false">IF(OR(NOT($G53="À migrer"),$P53=""),"",IFERROR(DATE(YEAR($P53),MONTH($P53),1),""))</f>
        <v/>
      </c>
      <c r="W53" s="39" t="str">
        <f aca="false">IF(OR(NOT(OR($G53="À migrer",$G53="À décommissionner")),$R53=""),"",IFERROR(DATE(YEAR($R53),MONTH($R53),1),""))</f>
        <v/>
      </c>
      <c r="X53" s="21" t="str">
        <f aca="false">IF(OR($V53="",$W53=""),"",MAX(0,(YEAR($W53)-YEAR($V53))*12+MONTH($W53)-MONTH($V53)))</f>
        <v/>
      </c>
      <c r="Y53" s="21" t="str">
        <f aca="false">IF($C53="","",COUNTIF(TblApplications[ID],$C53))</f>
        <v/>
      </c>
      <c r="Z53" s="39" t="str">
        <f aca="false">IF($C53="","",IFERROR(1/(1/_xlfn.MINIFS(TblApplications[Mois prov (calc)],TblApplications[ID],$C53)),""))</f>
        <v/>
      </c>
      <c r="AA53" s="39" t="str">
        <f aca="false">IF($C53="","",IFERROR(1/(1/_xlfn.MAXIFS(TblApplications[Mois lib (calc)],TblApplications[ID],$C53)),""))</f>
        <v/>
      </c>
      <c r="AB53" s="21" t="str">
        <f aca="false">IF($C53="","",IF(OR(OR($A53="",$B53="",$D53="",$E53="",$F53="",$G53=""),AND($G53="À migrer",OR($H53="",$I53="",$J53="",$K53="",$L53="",$N53="",$O53="",$P53="",$Q53="",$R53="")),AND($G53="Migré",OR($J53="",$K53="",$L53="")),AND($G53="À décommissionner",OR($I53="",$N53="",$O53="",$R53=""))),"Données manquantes (selon l’action)",IF(AND($G53&lt;&gt;"Migré",$G53&lt;&gt;"À migrer",$G53&lt;&gt;"À décommissionner",$G53&lt;&gt;"Décommissionné"),"Action invalide",IF(COUNTIF(TblDomaines[Domaine],$A53)=0,"Domaine inconnu (référentiel)",IF(COUNTIFS(TblTribes[Tribe],$B53,TblTribes[Domaine de la tribe],$A53)=0,"Tribe inconnue ou hors domaine",IF(AND($G53="À migrer",$H53&lt;&gt;"Oui",$H53&lt;&gt;"Non"),"Valeur Oui/Non invalide (Déjà incluse ROKS)",IF(AND($E53&lt;&gt;"PRD",$E53&lt;&gt;"NPRD"),"Environnement invalide",IF(COUNTIFS(TblApplications[ID],$C53,TblApplications[Environnement],$E53,TblApplications[Couloir],$F53)&gt;1,"Déploiement en doublon (ID + env + couloir)",IF(OR(AND($K53&lt;&gt;"",NOT(ISNUMBER($K53))),AND($L53&lt;&gt;"",NOT(ISNUMBER($L53))),AND($N53&lt;&gt;"",NOT(ISNUMBER($N53))),AND($O53&lt;&gt;"",NOT(ISNUMBER($O53)))),"Ressource non numérique",IF(MIN(N($K53),N($L53),N($N53),N($O53))&lt;0,"Ressource négative",IF(OR(AND($AC53&lt;&gt;"",OR(NOT(ISNUMBER($AC53)),$AC53&lt;0,$AC53&gt;1)),AND($AD53&lt;&gt;"",OR(NOT(ISNUMBER($AD53)),$AD53&lt;0,$AD53&gt;1))),"Marge spécifique invalide (0–100 %)",IF(OR(AND($P53&lt;&gt;"",NOT(ISNUMBER($P53))),AND($Q53&lt;&gt;"",NOT(ISNUMBER($Q53))),AND($R53&lt;&gt;"",NOT(ISNUMBER($R53)))),"Mois invalide",IF(AND(OR($G53="À migrer",$G53="À décommissionner"),COUNTIFS(TblClusters[Cluster],$I53,TblClusters[Plateforme],"IKS")=0),"Cluster IKS inconnu",IF(AND(OR($G53="À migrer",$G53="Migré"),COUNTIFS(TblClusters[Cluster],$J53,TblClusters[Plateforme],"ROKS")=0),"Cluster ROKS inconnu",IF(AND(OR($G53="À migrer",$G53="À décommissionner"),COUNTIFS(TblClusters[Cluster],$I53,TblClusters[Environnement],$E53)=0),"Environnement ≠ cluster IKS",IF(AND(OR($G53="À migrer",$G53="Migré"),COUNTIFS(TblClusters[Cluster],$J53,TblClusters[Environnement],$E53)=0),"Environnement ≠ cluster ROKS",IF(AND($G53="À migrer",OR($P53&gt;$Q53,$Q53&gt;$R53)),"Dates incohérentes (prov ≤ bascule ≤ libération)",IF(AND(OR($G53="À migrer",$G53="À décommissionner"),OR(N($N53)&gt;SUMIFS(TblClusters[CPU initial (vCPU)],TblClusters[Cluster],$I53),N($O53)&gt;SUMIFS(TblClusters[RAM initiale (Go)],TblClusters[Cluster],$I53))),"Libération &gt; capacité du cluster source",IF(OR(AND($V53&lt;&gt;"",$V53&lt;p_debut),AND($W53&lt;&gt;"",$W53&gt;p_fin)),"Hors horizon (info)",IF(AND($G53="À migrer",$E53="PRD",COUNTIFS(TblApplications[ID],$C53,TblApplications[Environnement],"NPRD",TblApplications[Action],"À migrer")&gt;0,$V53&lt;_xlfn.MINIFS(TblApplications[Mois prov (calc)],TblApplications[ID],$C53,TblApplications[Environnement],"NPRD")),"PRD avant NPRD (info)","OK"))))))))))))))))))))</f>
        <v/>
      </c>
      <c r="AC53" s="76"/>
      <c r="AD53" s="76"/>
      <c r="AE53" s="22" t="str">
        <f aca="false">IF(OR($C53="",NOT(OR($G53="À migrer",$G53="À décommissionner")),NOT(ISNUMBER($N53)),NOT(ISNUMBER($O53)),$W53=""),"",($N53+p_poidsram*$O53)*SUMIFS(TblCalculs[Coût par unité],TblCalculs[Cluster],$I53,TblCalculs[Mois],"&lt;"&amp;$W53))</f>
        <v/>
      </c>
      <c r="AF53" s="22" t="str">
        <f aca="false">IF($C53="","",IF(AND($G53="À migrer",$H53="Non",$T53&lt;&gt;"",$V53&lt;&gt;""),($T53+p_poidsram*$U53)*SUMIFS(TblCalculs[Coût par unité],TblCalculs[Cluster],$J53,TblCalculs[Mois],"&gt;="&amp;$V53),IF(AND($G53="Migré",$T53&lt;&gt;""),($T53+p_poidsram*$U53)*SUMIFS(TblCalculs[Coût par unité],TblCalculs[Cluster],$J53),"")))</f>
        <v/>
      </c>
      <c r="AG53" s="22" t="str">
        <f aca="false">IF($C53="","",N($AE53)+N($AF53))</f>
        <v/>
      </c>
      <c r="AH53" s="21" t="str">
        <f aca="false">IF(OR($C53="",$G53="Décommissionné",COUNTIFS($E53,av_envc,$A53,av_domc,$B53,av_tric)=0),"",COUNTIFS($C$6:$C53,"&lt;&gt;",$G$6:$G53,"&lt;&gt;Décommissionné",$E$6:$E53,av_envc,$A$6:$A53,av_domc,$B$6:$B53,av_tric))</f>
        <v/>
      </c>
      <c r="AI53" s="21" t="str">
        <f aca="false">IF($C53="","",IF(AND(OR($G53="À migrer",$G53="À décommissionner"),$W53&lt;&gt;"",$W53&gt;ex_mois),1,0))</f>
        <v/>
      </c>
      <c r="AJ53" s="21" t="str">
        <f aca="false">IF(OR($C53="",$AI53&lt;&gt;1,COUNTIFS($E53,ex_envc,$A53,ex_domc,$B53,ex_tric)=0),"",COUNTIFS($AI$6:$AI53,1,$E$6:$E53,ex_envc,$A$6:$A53,ex_domc,$B$6:$B53,ex_tric))</f>
        <v/>
      </c>
    </row>
    <row r="54" customFormat="false" ht="15" hidden="false" customHeight="false" outlineLevel="0" collapsed="false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5"/>
      <c r="Q54" s="75"/>
      <c r="R54" s="75"/>
      <c r="S54" s="74"/>
      <c r="T54" s="21" t="str">
        <f aca="false">IF(OR($C54="",NOT(OR($G54="À migrer",$G54="Migré")),NOT(ISNUMBER($K54))),"",ROUNDUP($K54*(1+IF($AC54="",p_margeCPU,$AC54)),0))</f>
        <v/>
      </c>
      <c r="U54" s="21" t="str">
        <f aca="false">IF(OR($C54="",NOT(OR($G54="À migrer",$G54="Migré")),NOT(ISNUMBER($L54))),"",ROUNDUP($L54*(1+IF($AD54="",p_margeRAM,$AD54)),0))</f>
        <v/>
      </c>
      <c r="V54" s="39" t="str">
        <f aca="false">IF(OR(NOT($G54="À migrer"),$P54=""),"",IFERROR(DATE(YEAR($P54),MONTH($P54),1),""))</f>
        <v/>
      </c>
      <c r="W54" s="39" t="str">
        <f aca="false">IF(OR(NOT(OR($G54="À migrer",$G54="À décommissionner")),$R54=""),"",IFERROR(DATE(YEAR($R54),MONTH($R54),1),""))</f>
        <v/>
      </c>
      <c r="X54" s="21" t="str">
        <f aca="false">IF(OR($V54="",$W54=""),"",MAX(0,(YEAR($W54)-YEAR($V54))*12+MONTH($W54)-MONTH($V54)))</f>
        <v/>
      </c>
      <c r="Y54" s="21" t="str">
        <f aca="false">IF($C54="","",COUNTIF(TblApplications[ID],$C54))</f>
        <v/>
      </c>
      <c r="Z54" s="39" t="str">
        <f aca="false">IF($C54="","",IFERROR(1/(1/_xlfn.MINIFS(TblApplications[Mois prov (calc)],TblApplications[ID],$C54)),""))</f>
        <v/>
      </c>
      <c r="AA54" s="39" t="str">
        <f aca="false">IF($C54="","",IFERROR(1/(1/_xlfn.MAXIFS(TblApplications[Mois lib (calc)],TblApplications[ID],$C54)),""))</f>
        <v/>
      </c>
      <c r="AB54" s="21" t="str">
        <f aca="false">IF($C54="","",IF(OR(OR($A54="",$B54="",$D54="",$E54="",$F54="",$G54=""),AND($G54="À migrer",OR($H54="",$I54="",$J54="",$K54="",$L54="",$N54="",$O54="",$P54="",$Q54="",$R54="")),AND($G54="Migré",OR($J54="",$K54="",$L54="")),AND($G54="À décommissionner",OR($I54="",$N54="",$O54="",$R54=""))),"Données manquantes (selon l’action)",IF(AND($G54&lt;&gt;"Migré",$G54&lt;&gt;"À migrer",$G54&lt;&gt;"À décommissionner",$G54&lt;&gt;"Décommissionné"),"Action invalide",IF(COUNTIF(TblDomaines[Domaine],$A54)=0,"Domaine inconnu (référentiel)",IF(COUNTIFS(TblTribes[Tribe],$B54,TblTribes[Domaine de la tribe],$A54)=0,"Tribe inconnue ou hors domaine",IF(AND($G54="À migrer",$H54&lt;&gt;"Oui",$H54&lt;&gt;"Non"),"Valeur Oui/Non invalide (Déjà incluse ROKS)",IF(AND($E54&lt;&gt;"PRD",$E54&lt;&gt;"NPRD"),"Environnement invalide",IF(COUNTIFS(TblApplications[ID],$C54,TblApplications[Environnement],$E54,TblApplications[Couloir],$F54)&gt;1,"Déploiement en doublon (ID + env + couloir)",IF(OR(AND($K54&lt;&gt;"",NOT(ISNUMBER($K54))),AND($L54&lt;&gt;"",NOT(ISNUMBER($L54))),AND($N54&lt;&gt;"",NOT(ISNUMBER($N54))),AND($O54&lt;&gt;"",NOT(ISNUMBER($O54)))),"Ressource non numérique",IF(MIN(N($K54),N($L54),N($N54),N($O54))&lt;0,"Ressource négative",IF(OR(AND($AC54&lt;&gt;"",OR(NOT(ISNUMBER($AC54)),$AC54&lt;0,$AC54&gt;1)),AND($AD54&lt;&gt;"",OR(NOT(ISNUMBER($AD54)),$AD54&lt;0,$AD54&gt;1))),"Marge spécifique invalide (0–100 %)",IF(OR(AND($P54&lt;&gt;"",NOT(ISNUMBER($P54))),AND($Q54&lt;&gt;"",NOT(ISNUMBER($Q54))),AND($R54&lt;&gt;"",NOT(ISNUMBER($R54)))),"Mois invalide",IF(AND(OR($G54="À migrer",$G54="À décommissionner"),COUNTIFS(TblClusters[Cluster],$I54,TblClusters[Plateforme],"IKS")=0),"Cluster IKS inconnu",IF(AND(OR($G54="À migrer",$G54="Migré"),COUNTIFS(TblClusters[Cluster],$J54,TblClusters[Plateforme],"ROKS")=0),"Cluster ROKS inconnu",IF(AND(OR($G54="À migrer",$G54="À décommissionner"),COUNTIFS(TblClusters[Cluster],$I54,TblClusters[Environnement],$E54)=0),"Environnement ≠ cluster IKS",IF(AND(OR($G54="À migrer",$G54="Migré"),COUNTIFS(TblClusters[Cluster],$J54,TblClusters[Environnement],$E54)=0),"Environnement ≠ cluster ROKS",IF(AND($G54="À migrer",OR($P54&gt;$Q54,$Q54&gt;$R54)),"Dates incohérentes (prov ≤ bascule ≤ libération)",IF(AND(OR($G54="À migrer",$G54="À décommissionner"),OR(N($N54)&gt;SUMIFS(TblClusters[CPU initial (vCPU)],TblClusters[Cluster],$I54),N($O54)&gt;SUMIFS(TblClusters[RAM initiale (Go)],TblClusters[Cluster],$I54))),"Libération &gt; capacité du cluster source",IF(OR(AND($V54&lt;&gt;"",$V54&lt;p_debut),AND($W54&lt;&gt;"",$W54&gt;p_fin)),"Hors horizon (info)",IF(AND($G54="À migrer",$E54="PRD",COUNTIFS(TblApplications[ID],$C54,TblApplications[Environnement],"NPRD",TblApplications[Action],"À migrer")&gt;0,$V54&lt;_xlfn.MINIFS(TblApplications[Mois prov (calc)],TblApplications[ID],$C54,TblApplications[Environnement],"NPRD")),"PRD avant NPRD (info)","OK"))))))))))))))))))))</f>
        <v/>
      </c>
      <c r="AC54" s="76"/>
      <c r="AD54" s="76"/>
      <c r="AE54" s="22" t="str">
        <f aca="false">IF(OR($C54="",NOT(OR($G54="À migrer",$G54="À décommissionner")),NOT(ISNUMBER($N54)),NOT(ISNUMBER($O54)),$W54=""),"",($N54+p_poidsram*$O54)*SUMIFS(TblCalculs[Coût par unité],TblCalculs[Cluster],$I54,TblCalculs[Mois],"&lt;"&amp;$W54))</f>
        <v/>
      </c>
      <c r="AF54" s="22" t="str">
        <f aca="false">IF($C54="","",IF(AND($G54="À migrer",$H54="Non",$T54&lt;&gt;"",$V54&lt;&gt;""),($T54+p_poidsram*$U54)*SUMIFS(TblCalculs[Coût par unité],TblCalculs[Cluster],$J54,TblCalculs[Mois],"&gt;="&amp;$V54),IF(AND($G54="Migré",$T54&lt;&gt;""),($T54+p_poidsram*$U54)*SUMIFS(TblCalculs[Coût par unité],TblCalculs[Cluster],$J54),"")))</f>
        <v/>
      </c>
      <c r="AG54" s="22" t="str">
        <f aca="false">IF($C54="","",N($AE54)+N($AF54))</f>
        <v/>
      </c>
      <c r="AH54" s="21" t="str">
        <f aca="false">IF(OR($C54="",$G54="Décommissionné",COUNTIFS($E54,av_envc,$A54,av_domc,$B54,av_tric)=0),"",COUNTIFS($C$6:$C54,"&lt;&gt;",$G$6:$G54,"&lt;&gt;Décommissionné",$E$6:$E54,av_envc,$A$6:$A54,av_domc,$B$6:$B54,av_tric))</f>
        <v/>
      </c>
      <c r="AI54" s="21" t="str">
        <f aca="false">IF($C54="","",IF(AND(OR($G54="À migrer",$G54="À décommissionner"),$W54&lt;&gt;"",$W54&gt;ex_mois),1,0))</f>
        <v/>
      </c>
      <c r="AJ54" s="21" t="str">
        <f aca="false">IF(OR($C54="",$AI54&lt;&gt;1,COUNTIFS($E54,ex_envc,$A54,ex_domc,$B54,ex_tric)=0),"",COUNTIFS($AI$6:$AI54,1,$E$6:$E54,ex_envc,$A$6:$A54,ex_domc,$B$6:$B54,ex_tric))</f>
        <v/>
      </c>
    </row>
    <row r="55" customFormat="false" ht="15" hidden="false" customHeight="false" outlineLevel="0" collapsed="false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5"/>
      <c r="Q55" s="75"/>
      <c r="R55" s="75"/>
      <c r="S55" s="74"/>
      <c r="T55" s="21" t="str">
        <f aca="false">IF(OR($C55="",NOT(OR($G55="À migrer",$G55="Migré")),NOT(ISNUMBER($K55))),"",ROUNDUP($K55*(1+IF($AC55="",p_margeCPU,$AC55)),0))</f>
        <v/>
      </c>
      <c r="U55" s="21" t="str">
        <f aca="false">IF(OR($C55="",NOT(OR($G55="À migrer",$G55="Migré")),NOT(ISNUMBER($L55))),"",ROUNDUP($L55*(1+IF($AD55="",p_margeRAM,$AD55)),0))</f>
        <v/>
      </c>
      <c r="V55" s="39" t="str">
        <f aca="false">IF(OR(NOT($G55="À migrer"),$P55=""),"",IFERROR(DATE(YEAR($P55),MONTH($P55),1),""))</f>
        <v/>
      </c>
      <c r="W55" s="39" t="str">
        <f aca="false">IF(OR(NOT(OR($G55="À migrer",$G55="À décommissionner")),$R55=""),"",IFERROR(DATE(YEAR($R55),MONTH($R55),1),""))</f>
        <v/>
      </c>
      <c r="X55" s="21" t="str">
        <f aca="false">IF(OR($V55="",$W55=""),"",MAX(0,(YEAR($W55)-YEAR($V55))*12+MONTH($W55)-MONTH($V55)))</f>
        <v/>
      </c>
      <c r="Y55" s="21" t="str">
        <f aca="false">IF($C55="","",COUNTIF(TblApplications[ID],$C55))</f>
        <v/>
      </c>
      <c r="Z55" s="39" t="str">
        <f aca="false">IF($C55="","",IFERROR(1/(1/_xlfn.MINIFS(TblApplications[Mois prov (calc)],TblApplications[ID],$C55)),""))</f>
        <v/>
      </c>
      <c r="AA55" s="39" t="str">
        <f aca="false">IF($C55="","",IFERROR(1/(1/_xlfn.MAXIFS(TblApplications[Mois lib (calc)],TblApplications[ID],$C55)),""))</f>
        <v/>
      </c>
      <c r="AB55" s="21" t="str">
        <f aca="false">IF($C55="","",IF(OR(OR($A55="",$B55="",$D55="",$E55="",$F55="",$G55=""),AND($G55="À migrer",OR($H55="",$I55="",$J55="",$K55="",$L55="",$N55="",$O55="",$P55="",$Q55="",$R55="")),AND($G55="Migré",OR($J55="",$K55="",$L55="")),AND($G55="À décommissionner",OR($I55="",$N55="",$O55="",$R55=""))),"Données manquantes (selon l’action)",IF(AND($G55&lt;&gt;"Migré",$G55&lt;&gt;"À migrer",$G55&lt;&gt;"À décommissionner",$G55&lt;&gt;"Décommissionné"),"Action invalide",IF(COUNTIF(TblDomaines[Domaine],$A55)=0,"Domaine inconnu (référentiel)",IF(COUNTIFS(TblTribes[Tribe],$B55,TblTribes[Domaine de la tribe],$A55)=0,"Tribe inconnue ou hors domaine",IF(AND($G55="À migrer",$H55&lt;&gt;"Oui",$H55&lt;&gt;"Non"),"Valeur Oui/Non invalide (Déjà incluse ROKS)",IF(AND($E55&lt;&gt;"PRD",$E55&lt;&gt;"NPRD"),"Environnement invalide",IF(COUNTIFS(TblApplications[ID],$C55,TblApplications[Environnement],$E55,TblApplications[Couloir],$F55)&gt;1,"Déploiement en doublon (ID + env + couloir)",IF(OR(AND($K55&lt;&gt;"",NOT(ISNUMBER($K55))),AND($L55&lt;&gt;"",NOT(ISNUMBER($L55))),AND($N55&lt;&gt;"",NOT(ISNUMBER($N55))),AND($O55&lt;&gt;"",NOT(ISNUMBER($O55)))),"Ressource non numérique",IF(MIN(N($K55),N($L55),N($N55),N($O55))&lt;0,"Ressource négative",IF(OR(AND($AC55&lt;&gt;"",OR(NOT(ISNUMBER($AC55)),$AC55&lt;0,$AC55&gt;1)),AND($AD55&lt;&gt;"",OR(NOT(ISNUMBER($AD55)),$AD55&lt;0,$AD55&gt;1))),"Marge spécifique invalide (0–100 %)",IF(OR(AND($P55&lt;&gt;"",NOT(ISNUMBER($P55))),AND($Q55&lt;&gt;"",NOT(ISNUMBER($Q55))),AND($R55&lt;&gt;"",NOT(ISNUMBER($R55)))),"Mois invalide",IF(AND(OR($G55="À migrer",$G55="À décommissionner"),COUNTIFS(TblClusters[Cluster],$I55,TblClusters[Plateforme],"IKS")=0),"Cluster IKS inconnu",IF(AND(OR($G55="À migrer",$G55="Migré"),COUNTIFS(TblClusters[Cluster],$J55,TblClusters[Plateforme],"ROKS")=0),"Cluster ROKS inconnu",IF(AND(OR($G55="À migrer",$G55="À décommissionner"),COUNTIFS(TblClusters[Cluster],$I55,TblClusters[Environnement],$E55)=0),"Environnement ≠ cluster IKS",IF(AND(OR($G55="À migrer",$G55="Migré"),COUNTIFS(TblClusters[Cluster],$J55,TblClusters[Environnement],$E55)=0),"Environnement ≠ cluster ROKS",IF(AND($G55="À migrer",OR($P55&gt;$Q55,$Q55&gt;$R55)),"Dates incohérentes (prov ≤ bascule ≤ libération)",IF(AND(OR($G55="À migrer",$G55="À décommissionner"),OR(N($N55)&gt;SUMIFS(TblClusters[CPU initial (vCPU)],TblClusters[Cluster],$I55),N($O55)&gt;SUMIFS(TblClusters[RAM initiale (Go)],TblClusters[Cluster],$I55))),"Libération &gt; capacité du cluster source",IF(OR(AND($V55&lt;&gt;"",$V55&lt;p_debut),AND($W55&lt;&gt;"",$W55&gt;p_fin)),"Hors horizon (info)",IF(AND($G55="À migrer",$E55="PRD",COUNTIFS(TblApplications[ID],$C55,TblApplications[Environnement],"NPRD",TblApplications[Action],"À migrer")&gt;0,$V55&lt;_xlfn.MINIFS(TblApplications[Mois prov (calc)],TblApplications[ID],$C55,TblApplications[Environnement],"NPRD")),"PRD avant NPRD (info)","OK"))))))))))))))))))))</f>
        <v/>
      </c>
      <c r="AC55" s="76"/>
      <c r="AD55" s="76"/>
      <c r="AE55" s="22" t="str">
        <f aca="false">IF(OR($C55="",NOT(OR($G55="À migrer",$G55="À décommissionner")),NOT(ISNUMBER($N55)),NOT(ISNUMBER($O55)),$W55=""),"",($N55+p_poidsram*$O55)*SUMIFS(TblCalculs[Coût par unité],TblCalculs[Cluster],$I55,TblCalculs[Mois],"&lt;"&amp;$W55))</f>
        <v/>
      </c>
      <c r="AF55" s="22" t="str">
        <f aca="false">IF($C55="","",IF(AND($G55="À migrer",$H55="Non",$T55&lt;&gt;"",$V55&lt;&gt;""),($T55+p_poidsram*$U55)*SUMIFS(TblCalculs[Coût par unité],TblCalculs[Cluster],$J55,TblCalculs[Mois],"&gt;="&amp;$V55),IF(AND($G55="Migré",$T55&lt;&gt;""),($T55+p_poidsram*$U55)*SUMIFS(TblCalculs[Coût par unité],TblCalculs[Cluster],$J55),"")))</f>
        <v/>
      </c>
      <c r="AG55" s="22" t="str">
        <f aca="false">IF($C55="","",N($AE55)+N($AF55))</f>
        <v/>
      </c>
      <c r="AH55" s="21" t="str">
        <f aca="false">IF(OR($C55="",$G55="Décommissionné",COUNTIFS($E55,av_envc,$A55,av_domc,$B55,av_tric)=0),"",COUNTIFS($C$6:$C55,"&lt;&gt;",$G$6:$G55,"&lt;&gt;Décommissionné",$E$6:$E55,av_envc,$A$6:$A55,av_domc,$B$6:$B55,av_tric))</f>
        <v/>
      </c>
      <c r="AI55" s="21" t="str">
        <f aca="false">IF($C55="","",IF(AND(OR($G55="À migrer",$G55="À décommissionner"),$W55&lt;&gt;"",$W55&gt;ex_mois),1,0))</f>
        <v/>
      </c>
      <c r="AJ55" s="21" t="str">
        <f aca="false">IF(OR($C55="",$AI55&lt;&gt;1,COUNTIFS($E55,ex_envc,$A55,ex_domc,$B55,ex_tric)=0),"",COUNTIFS($AI$6:$AI55,1,$E$6:$E55,ex_envc,$A$6:$A55,ex_domc,$B$6:$B55,ex_tric))</f>
        <v/>
      </c>
    </row>
    <row r="56" customFormat="false" ht="15" hidden="false" customHeight="false" outlineLevel="0" collapsed="false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5"/>
      <c r="Q56" s="75"/>
      <c r="R56" s="75"/>
      <c r="S56" s="74"/>
      <c r="T56" s="21" t="str">
        <f aca="false">IF(OR($C56="",NOT(OR($G56="À migrer",$G56="Migré")),NOT(ISNUMBER($K56))),"",ROUNDUP($K56*(1+IF($AC56="",p_margeCPU,$AC56)),0))</f>
        <v/>
      </c>
      <c r="U56" s="21" t="str">
        <f aca="false">IF(OR($C56="",NOT(OR($G56="À migrer",$G56="Migré")),NOT(ISNUMBER($L56))),"",ROUNDUP($L56*(1+IF($AD56="",p_margeRAM,$AD56)),0))</f>
        <v/>
      </c>
      <c r="V56" s="39" t="str">
        <f aca="false">IF(OR(NOT($G56="À migrer"),$P56=""),"",IFERROR(DATE(YEAR($P56),MONTH($P56),1),""))</f>
        <v/>
      </c>
      <c r="W56" s="39" t="str">
        <f aca="false">IF(OR(NOT(OR($G56="À migrer",$G56="À décommissionner")),$R56=""),"",IFERROR(DATE(YEAR($R56),MONTH($R56),1),""))</f>
        <v/>
      </c>
      <c r="X56" s="21" t="str">
        <f aca="false">IF(OR($V56="",$W56=""),"",MAX(0,(YEAR($W56)-YEAR($V56))*12+MONTH($W56)-MONTH($V56)))</f>
        <v/>
      </c>
      <c r="Y56" s="21" t="str">
        <f aca="false">IF($C56="","",COUNTIF(TblApplications[ID],$C56))</f>
        <v/>
      </c>
      <c r="Z56" s="39" t="str">
        <f aca="false">IF($C56="","",IFERROR(1/(1/_xlfn.MINIFS(TblApplications[Mois prov (calc)],TblApplications[ID],$C56)),""))</f>
        <v/>
      </c>
      <c r="AA56" s="39" t="str">
        <f aca="false">IF($C56="","",IFERROR(1/(1/_xlfn.MAXIFS(TblApplications[Mois lib (calc)],TblApplications[ID],$C56)),""))</f>
        <v/>
      </c>
      <c r="AB56" s="21" t="str">
        <f aca="false">IF($C56="","",IF(OR(OR($A56="",$B56="",$D56="",$E56="",$F56="",$G56=""),AND($G56="À migrer",OR($H56="",$I56="",$J56="",$K56="",$L56="",$N56="",$O56="",$P56="",$Q56="",$R56="")),AND($G56="Migré",OR($J56="",$K56="",$L56="")),AND($G56="À décommissionner",OR($I56="",$N56="",$O56="",$R56=""))),"Données manquantes (selon l’action)",IF(AND($G56&lt;&gt;"Migré",$G56&lt;&gt;"À migrer",$G56&lt;&gt;"À décommissionner",$G56&lt;&gt;"Décommissionné"),"Action invalide",IF(COUNTIF(TblDomaines[Domaine],$A56)=0,"Domaine inconnu (référentiel)",IF(COUNTIFS(TblTribes[Tribe],$B56,TblTribes[Domaine de la tribe],$A56)=0,"Tribe inconnue ou hors domaine",IF(AND($G56="À migrer",$H56&lt;&gt;"Oui",$H56&lt;&gt;"Non"),"Valeur Oui/Non invalide (Déjà incluse ROKS)",IF(AND($E56&lt;&gt;"PRD",$E56&lt;&gt;"NPRD"),"Environnement invalide",IF(COUNTIFS(TblApplications[ID],$C56,TblApplications[Environnement],$E56,TblApplications[Couloir],$F56)&gt;1,"Déploiement en doublon (ID + env + couloir)",IF(OR(AND($K56&lt;&gt;"",NOT(ISNUMBER($K56))),AND($L56&lt;&gt;"",NOT(ISNUMBER($L56))),AND($N56&lt;&gt;"",NOT(ISNUMBER($N56))),AND($O56&lt;&gt;"",NOT(ISNUMBER($O56)))),"Ressource non numérique",IF(MIN(N($K56),N($L56),N($N56),N($O56))&lt;0,"Ressource négative",IF(OR(AND($AC56&lt;&gt;"",OR(NOT(ISNUMBER($AC56)),$AC56&lt;0,$AC56&gt;1)),AND($AD56&lt;&gt;"",OR(NOT(ISNUMBER($AD56)),$AD56&lt;0,$AD56&gt;1))),"Marge spécifique invalide (0–100 %)",IF(OR(AND($P56&lt;&gt;"",NOT(ISNUMBER($P56))),AND($Q56&lt;&gt;"",NOT(ISNUMBER($Q56))),AND($R56&lt;&gt;"",NOT(ISNUMBER($R56)))),"Mois invalide",IF(AND(OR($G56="À migrer",$G56="À décommissionner"),COUNTIFS(TblClusters[Cluster],$I56,TblClusters[Plateforme],"IKS")=0),"Cluster IKS inconnu",IF(AND(OR($G56="À migrer",$G56="Migré"),COUNTIFS(TblClusters[Cluster],$J56,TblClusters[Plateforme],"ROKS")=0),"Cluster ROKS inconnu",IF(AND(OR($G56="À migrer",$G56="À décommissionner"),COUNTIFS(TblClusters[Cluster],$I56,TblClusters[Environnement],$E56)=0),"Environnement ≠ cluster IKS",IF(AND(OR($G56="À migrer",$G56="Migré"),COUNTIFS(TblClusters[Cluster],$J56,TblClusters[Environnement],$E56)=0),"Environnement ≠ cluster ROKS",IF(AND($G56="À migrer",OR($P56&gt;$Q56,$Q56&gt;$R56)),"Dates incohérentes (prov ≤ bascule ≤ libération)",IF(AND(OR($G56="À migrer",$G56="À décommissionner"),OR(N($N56)&gt;SUMIFS(TblClusters[CPU initial (vCPU)],TblClusters[Cluster],$I56),N($O56)&gt;SUMIFS(TblClusters[RAM initiale (Go)],TblClusters[Cluster],$I56))),"Libération &gt; capacité du cluster source",IF(OR(AND($V56&lt;&gt;"",$V56&lt;p_debut),AND($W56&lt;&gt;"",$W56&gt;p_fin)),"Hors horizon (info)",IF(AND($G56="À migrer",$E56="PRD",COUNTIFS(TblApplications[ID],$C56,TblApplications[Environnement],"NPRD",TblApplications[Action],"À migrer")&gt;0,$V56&lt;_xlfn.MINIFS(TblApplications[Mois prov (calc)],TblApplications[ID],$C56,TblApplications[Environnement],"NPRD")),"PRD avant NPRD (info)","OK"))))))))))))))))))))</f>
        <v/>
      </c>
      <c r="AC56" s="76"/>
      <c r="AD56" s="76"/>
      <c r="AE56" s="22" t="str">
        <f aca="false">IF(OR($C56="",NOT(OR($G56="À migrer",$G56="À décommissionner")),NOT(ISNUMBER($N56)),NOT(ISNUMBER($O56)),$W56=""),"",($N56+p_poidsram*$O56)*SUMIFS(TblCalculs[Coût par unité],TblCalculs[Cluster],$I56,TblCalculs[Mois],"&lt;"&amp;$W56))</f>
        <v/>
      </c>
      <c r="AF56" s="22" t="str">
        <f aca="false">IF($C56="","",IF(AND($G56="À migrer",$H56="Non",$T56&lt;&gt;"",$V56&lt;&gt;""),($T56+p_poidsram*$U56)*SUMIFS(TblCalculs[Coût par unité],TblCalculs[Cluster],$J56,TblCalculs[Mois],"&gt;="&amp;$V56),IF(AND($G56="Migré",$T56&lt;&gt;""),($T56+p_poidsram*$U56)*SUMIFS(TblCalculs[Coût par unité],TblCalculs[Cluster],$J56),"")))</f>
        <v/>
      </c>
      <c r="AG56" s="22" t="str">
        <f aca="false">IF($C56="","",N($AE56)+N($AF56))</f>
        <v/>
      </c>
      <c r="AH56" s="21" t="str">
        <f aca="false">IF(OR($C56="",$G56="Décommissionné",COUNTIFS($E56,av_envc,$A56,av_domc,$B56,av_tric)=0),"",COUNTIFS($C$6:$C56,"&lt;&gt;",$G$6:$G56,"&lt;&gt;Décommissionné",$E$6:$E56,av_envc,$A$6:$A56,av_domc,$B$6:$B56,av_tric))</f>
        <v/>
      </c>
      <c r="AI56" s="21" t="str">
        <f aca="false">IF($C56="","",IF(AND(OR($G56="À migrer",$G56="À décommissionner"),$W56&lt;&gt;"",$W56&gt;ex_mois),1,0))</f>
        <v/>
      </c>
      <c r="AJ56" s="21" t="str">
        <f aca="false">IF(OR($C56="",$AI56&lt;&gt;1,COUNTIFS($E56,ex_envc,$A56,ex_domc,$B56,ex_tric)=0),"",COUNTIFS($AI$6:$AI56,1,$E$6:$E56,ex_envc,$A$6:$A56,ex_domc,$B$6:$B56,ex_tric))</f>
        <v/>
      </c>
    </row>
    <row r="57" customFormat="false" ht="15" hidden="false" customHeight="false" outlineLevel="0" collapsed="false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5"/>
      <c r="Q57" s="75"/>
      <c r="R57" s="75"/>
      <c r="S57" s="74"/>
      <c r="T57" s="21" t="str">
        <f aca="false">IF(OR($C57="",NOT(OR($G57="À migrer",$G57="Migré")),NOT(ISNUMBER($K57))),"",ROUNDUP($K57*(1+IF($AC57="",p_margeCPU,$AC57)),0))</f>
        <v/>
      </c>
      <c r="U57" s="21" t="str">
        <f aca="false">IF(OR($C57="",NOT(OR($G57="À migrer",$G57="Migré")),NOT(ISNUMBER($L57))),"",ROUNDUP($L57*(1+IF($AD57="",p_margeRAM,$AD57)),0))</f>
        <v/>
      </c>
      <c r="V57" s="39" t="str">
        <f aca="false">IF(OR(NOT($G57="À migrer"),$P57=""),"",IFERROR(DATE(YEAR($P57),MONTH($P57),1),""))</f>
        <v/>
      </c>
      <c r="W57" s="39" t="str">
        <f aca="false">IF(OR(NOT(OR($G57="À migrer",$G57="À décommissionner")),$R57=""),"",IFERROR(DATE(YEAR($R57),MONTH($R57),1),""))</f>
        <v/>
      </c>
      <c r="X57" s="21" t="str">
        <f aca="false">IF(OR($V57="",$W57=""),"",MAX(0,(YEAR($W57)-YEAR($V57))*12+MONTH($W57)-MONTH($V57)))</f>
        <v/>
      </c>
      <c r="Y57" s="21" t="str">
        <f aca="false">IF($C57="","",COUNTIF(TblApplications[ID],$C57))</f>
        <v/>
      </c>
      <c r="Z57" s="39" t="str">
        <f aca="false">IF($C57="","",IFERROR(1/(1/_xlfn.MINIFS(TblApplications[Mois prov (calc)],TblApplications[ID],$C57)),""))</f>
        <v/>
      </c>
      <c r="AA57" s="39" t="str">
        <f aca="false">IF($C57="","",IFERROR(1/(1/_xlfn.MAXIFS(TblApplications[Mois lib (calc)],TblApplications[ID],$C57)),""))</f>
        <v/>
      </c>
      <c r="AB57" s="21" t="str">
        <f aca="false">IF($C57="","",IF(OR(OR($A57="",$B57="",$D57="",$E57="",$F57="",$G57=""),AND($G57="À migrer",OR($H57="",$I57="",$J57="",$K57="",$L57="",$N57="",$O57="",$P57="",$Q57="",$R57="")),AND($G57="Migré",OR($J57="",$K57="",$L57="")),AND($G57="À décommissionner",OR($I57="",$N57="",$O57="",$R57=""))),"Données manquantes (selon l’action)",IF(AND($G57&lt;&gt;"Migré",$G57&lt;&gt;"À migrer",$G57&lt;&gt;"À décommissionner",$G57&lt;&gt;"Décommissionné"),"Action invalide",IF(COUNTIF(TblDomaines[Domaine],$A57)=0,"Domaine inconnu (référentiel)",IF(COUNTIFS(TblTribes[Tribe],$B57,TblTribes[Domaine de la tribe],$A57)=0,"Tribe inconnue ou hors domaine",IF(AND($G57="À migrer",$H57&lt;&gt;"Oui",$H57&lt;&gt;"Non"),"Valeur Oui/Non invalide (Déjà incluse ROKS)",IF(AND($E57&lt;&gt;"PRD",$E57&lt;&gt;"NPRD"),"Environnement invalide",IF(COUNTIFS(TblApplications[ID],$C57,TblApplications[Environnement],$E57,TblApplications[Couloir],$F57)&gt;1,"Déploiement en doublon (ID + env + couloir)",IF(OR(AND($K57&lt;&gt;"",NOT(ISNUMBER($K57))),AND($L57&lt;&gt;"",NOT(ISNUMBER($L57))),AND($N57&lt;&gt;"",NOT(ISNUMBER($N57))),AND($O57&lt;&gt;"",NOT(ISNUMBER($O57)))),"Ressource non numérique",IF(MIN(N($K57),N($L57),N($N57),N($O57))&lt;0,"Ressource négative",IF(OR(AND($AC57&lt;&gt;"",OR(NOT(ISNUMBER($AC57)),$AC57&lt;0,$AC57&gt;1)),AND($AD57&lt;&gt;"",OR(NOT(ISNUMBER($AD57)),$AD57&lt;0,$AD57&gt;1))),"Marge spécifique invalide (0–100 %)",IF(OR(AND($P57&lt;&gt;"",NOT(ISNUMBER($P57))),AND($Q57&lt;&gt;"",NOT(ISNUMBER($Q57))),AND($R57&lt;&gt;"",NOT(ISNUMBER($R57)))),"Mois invalide",IF(AND(OR($G57="À migrer",$G57="À décommissionner"),COUNTIFS(TblClusters[Cluster],$I57,TblClusters[Plateforme],"IKS")=0),"Cluster IKS inconnu",IF(AND(OR($G57="À migrer",$G57="Migré"),COUNTIFS(TblClusters[Cluster],$J57,TblClusters[Plateforme],"ROKS")=0),"Cluster ROKS inconnu",IF(AND(OR($G57="À migrer",$G57="À décommissionner"),COUNTIFS(TblClusters[Cluster],$I57,TblClusters[Environnement],$E57)=0),"Environnement ≠ cluster IKS",IF(AND(OR($G57="À migrer",$G57="Migré"),COUNTIFS(TblClusters[Cluster],$J57,TblClusters[Environnement],$E57)=0),"Environnement ≠ cluster ROKS",IF(AND($G57="À migrer",OR($P57&gt;$Q57,$Q57&gt;$R57)),"Dates incohérentes (prov ≤ bascule ≤ libération)",IF(AND(OR($G57="À migrer",$G57="À décommissionner"),OR(N($N57)&gt;SUMIFS(TblClusters[CPU initial (vCPU)],TblClusters[Cluster],$I57),N($O57)&gt;SUMIFS(TblClusters[RAM initiale (Go)],TblClusters[Cluster],$I57))),"Libération &gt; capacité du cluster source",IF(OR(AND($V57&lt;&gt;"",$V57&lt;p_debut),AND($W57&lt;&gt;"",$W57&gt;p_fin)),"Hors horizon (info)",IF(AND($G57="À migrer",$E57="PRD",COUNTIFS(TblApplications[ID],$C57,TblApplications[Environnement],"NPRD",TblApplications[Action],"À migrer")&gt;0,$V57&lt;_xlfn.MINIFS(TblApplications[Mois prov (calc)],TblApplications[ID],$C57,TblApplications[Environnement],"NPRD")),"PRD avant NPRD (info)","OK"))))))))))))))))))))</f>
        <v/>
      </c>
      <c r="AC57" s="76"/>
      <c r="AD57" s="76"/>
      <c r="AE57" s="22" t="str">
        <f aca="false">IF(OR($C57="",NOT(OR($G57="À migrer",$G57="À décommissionner")),NOT(ISNUMBER($N57)),NOT(ISNUMBER($O57)),$W57=""),"",($N57+p_poidsram*$O57)*SUMIFS(TblCalculs[Coût par unité],TblCalculs[Cluster],$I57,TblCalculs[Mois],"&lt;"&amp;$W57))</f>
        <v/>
      </c>
      <c r="AF57" s="22" t="str">
        <f aca="false">IF($C57="","",IF(AND($G57="À migrer",$H57="Non",$T57&lt;&gt;"",$V57&lt;&gt;""),($T57+p_poidsram*$U57)*SUMIFS(TblCalculs[Coût par unité],TblCalculs[Cluster],$J57,TblCalculs[Mois],"&gt;="&amp;$V57),IF(AND($G57="Migré",$T57&lt;&gt;""),($T57+p_poidsram*$U57)*SUMIFS(TblCalculs[Coût par unité],TblCalculs[Cluster],$J57),"")))</f>
        <v/>
      </c>
      <c r="AG57" s="22" t="str">
        <f aca="false">IF($C57="","",N($AE57)+N($AF57))</f>
        <v/>
      </c>
      <c r="AH57" s="21" t="str">
        <f aca="false">IF(OR($C57="",$G57="Décommissionné",COUNTIFS($E57,av_envc,$A57,av_domc,$B57,av_tric)=0),"",COUNTIFS($C$6:$C57,"&lt;&gt;",$G$6:$G57,"&lt;&gt;Décommissionné",$E$6:$E57,av_envc,$A$6:$A57,av_domc,$B$6:$B57,av_tric))</f>
        <v/>
      </c>
      <c r="AI57" s="21" t="str">
        <f aca="false">IF($C57="","",IF(AND(OR($G57="À migrer",$G57="À décommissionner"),$W57&lt;&gt;"",$W57&gt;ex_mois),1,0))</f>
        <v/>
      </c>
      <c r="AJ57" s="21" t="str">
        <f aca="false">IF(OR($C57="",$AI57&lt;&gt;1,COUNTIFS($E57,ex_envc,$A57,ex_domc,$B57,ex_tric)=0),"",COUNTIFS($AI$6:$AI57,1,$E$6:$E57,ex_envc,$A$6:$A57,ex_domc,$B$6:$B57,ex_tric))</f>
        <v/>
      </c>
    </row>
    <row r="58" customFormat="false" ht="15" hidden="false" customHeight="false" outlineLevel="0" collapsed="false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5"/>
      <c r="Q58" s="75"/>
      <c r="R58" s="75"/>
      <c r="S58" s="74"/>
      <c r="T58" s="21" t="str">
        <f aca="false">IF(OR($C58="",NOT(OR($G58="À migrer",$G58="Migré")),NOT(ISNUMBER($K58))),"",ROUNDUP($K58*(1+IF($AC58="",p_margeCPU,$AC58)),0))</f>
        <v/>
      </c>
      <c r="U58" s="21" t="str">
        <f aca="false">IF(OR($C58="",NOT(OR($G58="À migrer",$G58="Migré")),NOT(ISNUMBER($L58))),"",ROUNDUP($L58*(1+IF($AD58="",p_margeRAM,$AD58)),0))</f>
        <v/>
      </c>
      <c r="V58" s="39" t="str">
        <f aca="false">IF(OR(NOT($G58="À migrer"),$P58=""),"",IFERROR(DATE(YEAR($P58),MONTH($P58),1),""))</f>
        <v/>
      </c>
      <c r="W58" s="39" t="str">
        <f aca="false">IF(OR(NOT(OR($G58="À migrer",$G58="À décommissionner")),$R58=""),"",IFERROR(DATE(YEAR($R58),MONTH($R58),1),""))</f>
        <v/>
      </c>
      <c r="X58" s="21" t="str">
        <f aca="false">IF(OR($V58="",$W58=""),"",MAX(0,(YEAR($W58)-YEAR($V58))*12+MONTH($W58)-MONTH($V58)))</f>
        <v/>
      </c>
      <c r="Y58" s="21" t="str">
        <f aca="false">IF($C58="","",COUNTIF(TblApplications[ID],$C58))</f>
        <v/>
      </c>
      <c r="Z58" s="39" t="str">
        <f aca="false">IF($C58="","",IFERROR(1/(1/_xlfn.MINIFS(TblApplications[Mois prov (calc)],TblApplications[ID],$C58)),""))</f>
        <v/>
      </c>
      <c r="AA58" s="39" t="str">
        <f aca="false">IF($C58="","",IFERROR(1/(1/_xlfn.MAXIFS(TblApplications[Mois lib (calc)],TblApplications[ID],$C58)),""))</f>
        <v/>
      </c>
      <c r="AB58" s="21" t="str">
        <f aca="false">IF($C58="","",IF(OR(OR($A58="",$B58="",$D58="",$E58="",$F58="",$G58=""),AND($G58="À migrer",OR($H58="",$I58="",$J58="",$K58="",$L58="",$N58="",$O58="",$P58="",$Q58="",$R58="")),AND($G58="Migré",OR($J58="",$K58="",$L58="")),AND($G58="À décommissionner",OR($I58="",$N58="",$O58="",$R58=""))),"Données manquantes (selon l’action)",IF(AND($G58&lt;&gt;"Migré",$G58&lt;&gt;"À migrer",$G58&lt;&gt;"À décommissionner",$G58&lt;&gt;"Décommissionné"),"Action invalide",IF(COUNTIF(TblDomaines[Domaine],$A58)=0,"Domaine inconnu (référentiel)",IF(COUNTIFS(TblTribes[Tribe],$B58,TblTribes[Domaine de la tribe],$A58)=0,"Tribe inconnue ou hors domaine",IF(AND($G58="À migrer",$H58&lt;&gt;"Oui",$H58&lt;&gt;"Non"),"Valeur Oui/Non invalide (Déjà incluse ROKS)",IF(AND($E58&lt;&gt;"PRD",$E58&lt;&gt;"NPRD"),"Environnement invalide",IF(COUNTIFS(TblApplications[ID],$C58,TblApplications[Environnement],$E58,TblApplications[Couloir],$F58)&gt;1,"Déploiement en doublon (ID + env + couloir)",IF(OR(AND($K58&lt;&gt;"",NOT(ISNUMBER($K58))),AND($L58&lt;&gt;"",NOT(ISNUMBER($L58))),AND($N58&lt;&gt;"",NOT(ISNUMBER($N58))),AND($O58&lt;&gt;"",NOT(ISNUMBER($O58)))),"Ressource non numérique",IF(MIN(N($K58),N($L58),N($N58),N($O58))&lt;0,"Ressource négative",IF(OR(AND($AC58&lt;&gt;"",OR(NOT(ISNUMBER($AC58)),$AC58&lt;0,$AC58&gt;1)),AND($AD58&lt;&gt;"",OR(NOT(ISNUMBER($AD58)),$AD58&lt;0,$AD58&gt;1))),"Marge spécifique invalide (0–100 %)",IF(OR(AND($P58&lt;&gt;"",NOT(ISNUMBER($P58))),AND($Q58&lt;&gt;"",NOT(ISNUMBER($Q58))),AND($R58&lt;&gt;"",NOT(ISNUMBER($R58)))),"Mois invalide",IF(AND(OR($G58="À migrer",$G58="À décommissionner"),COUNTIFS(TblClusters[Cluster],$I58,TblClusters[Plateforme],"IKS")=0),"Cluster IKS inconnu",IF(AND(OR($G58="À migrer",$G58="Migré"),COUNTIFS(TblClusters[Cluster],$J58,TblClusters[Plateforme],"ROKS")=0),"Cluster ROKS inconnu",IF(AND(OR($G58="À migrer",$G58="À décommissionner"),COUNTIFS(TblClusters[Cluster],$I58,TblClusters[Environnement],$E58)=0),"Environnement ≠ cluster IKS",IF(AND(OR($G58="À migrer",$G58="Migré"),COUNTIFS(TblClusters[Cluster],$J58,TblClusters[Environnement],$E58)=0),"Environnement ≠ cluster ROKS",IF(AND($G58="À migrer",OR($P58&gt;$Q58,$Q58&gt;$R58)),"Dates incohérentes (prov ≤ bascule ≤ libération)",IF(AND(OR($G58="À migrer",$G58="À décommissionner"),OR(N($N58)&gt;SUMIFS(TblClusters[CPU initial (vCPU)],TblClusters[Cluster],$I58),N($O58)&gt;SUMIFS(TblClusters[RAM initiale (Go)],TblClusters[Cluster],$I58))),"Libération &gt; capacité du cluster source",IF(OR(AND($V58&lt;&gt;"",$V58&lt;p_debut),AND($W58&lt;&gt;"",$W58&gt;p_fin)),"Hors horizon (info)",IF(AND($G58="À migrer",$E58="PRD",COUNTIFS(TblApplications[ID],$C58,TblApplications[Environnement],"NPRD",TblApplications[Action],"À migrer")&gt;0,$V58&lt;_xlfn.MINIFS(TblApplications[Mois prov (calc)],TblApplications[ID],$C58,TblApplications[Environnement],"NPRD")),"PRD avant NPRD (info)","OK"))))))))))))))))))))</f>
        <v/>
      </c>
      <c r="AC58" s="76"/>
      <c r="AD58" s="76"/>
      <c r="AE58" s="22" t="str">
        <f aca="false">IF(OR($C58="",NOT(OR($G58="À migrer",$G58="À décommissionner")),NOT(ISNUMBER($N58)),NOT(ISNUMBER($O58)),$W58=""),"",($N58+p_poidsram*$O58)*SUMIFS(TblCalculs[Coût par unité],TblCalculs[Cluster],$I58,TblCalculs[Mois],"&lt;"&amp;$W58))</f>
        <v/>
      </c>
      <c r="AF58" s="22" t="str">
        <f aca="false">IF($C58="","",IF(AND($G58="À migrer",$H58="Non",$T58&lt;&gt;"",$V58&lt;&gt;""),($T58+p_poidsram*$U58)*SUMIFS(TblCalculs[Coût par unité],TblCalculs[Cluster],$J58,TblCalculs[Mois],"&gt;="&amp;$V58),IF(AND($G58="Migré",$T58&lt;&gt;""),($T58+p_poidsram*$U58)*SUMIFS(TblCalculs[Coût par unité],TblCalculs[Cluster],$J58),"")))</f>
        <v/>
      </c>
      <c r="AG58" s="22" t="str">
        <f aca="false">IF($C58="","",N($AE58)+N($AF58))</f>
        <v/>
      </c>
      <c r="AH58" s="21" t="str">
        <f aca="false">IF(OR($C58="",$G58="Décommissionné",COUNTIFS($E58,av_envc,$A58,av_domc,$B58,av_tric)=0),"",COUNTIFS($C$6:$C58,"&lt;&gt;",$G$6:$G58,"&lt;&gt;Décommissionné",$E$6:$E58,av_envc,$A$6:$A58,av_domc,$B$6:$B58,av_tric))</f>
        <v/>
      </c>
      <c r="AI58" s="21" t="str">
        <f aca="false">IF($C58="","",IF(AND(OR($G58="À migrer",$G58="À décommissionner"),$W58&lt;&gt;"",$W58&gt;ex_mois),1,0))</f>
        <v/>
      </c>
      <c r="AJ58" s="21" t="str">
        <f aca="false">IF(OR($C58="",$AI58&lt;&gt;1,COUNTIFS($E58,ex_envc,$A58,ex_domc,$B58,ex_tric)=0),"",COUNTIFS($AI$6:$AI58,1,$E$6:$E58,ex_envc,$A$6:$A58,ex_domc,$B$6:$B58,ex_tric))</f>
        <v/>
      </c>
    </row>
    <row r="59" customFormat="false" ht="15" hidden="false" customHeight="false" outlineLevel="0" collapsed="false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5"/>
      <c r="Q59" s="75"/>
      <c r="R59" s="75"/>
      <c r="S59" s="74"/>
      <c r="T59" s="21" t="str">
        <f aca="false">IF(OR($C59="",NOT(OR($G59="À migrer",$G59="Migré")),NOT(ISNUMBER($K59))),"",ROUNDUP($K59*(1+IF($AC59="",p_margeCPU,$AC59)),0))</f>
        <v/>
      </c>
      <c r="U59" s="21" t="str">
        <f aca="false">IF(OR($C59="",NOT(OR($G59="À migrer",$G59="Migré")),NOT(ISNUMBER($L59))),"",ROUNDUP($L59*(1+IF($AD59="",p_margeRAM,$AD59)),0))</f>
        <v/>
      </c>
      <c r="V59" s="39" t="str">
        <f aca="false">IF(OR(NOT($G59="À migrer"),$P59=""),"",IFERROR(DATE(YEAR($P59),MONTH($P59),1),""))</f>
        <v/>
      </c>
      <c r="W59" s="39" t="str">
        <f aca="false">IF(OR(NOT(OR($G59="À migrer",$G59="À décommissionner")),$R59=""),"",IFERROR(DATE(YEAR($R59),MONTH($R59),1),""))</f>
        <v/>
      </c>
      <c r="X59" s="21" t="str">
        <f aca="false">IF(OR($V59="",$W59=""),"",MAX(0,(YEAR($W59)-YEAR($V59))*12+MONTH($W59)-MONTH($V59)))</f>
        <v/>
      </c>
      <c r="Y59" s="21" t="str">
        <f aca="false">IF($C59="","",COUNTIF(TblApplications[ID],$C59))</f>
        <v/>
      </c>
      <c r="Z59" s="39" t="str">
        <f aca="false">IF($C59="","",IFERROR(1/(1/_xlfn.MINIFS(TblApplications[Mois prov (calc)],TblApplications[ID],$C59)),""))</f>
        <v/>
      </c>
      <c r="AA59" s="39" t="str">
        <f aca="false">IF($C59="","",IFERROR(1/(1/_xlfn.MAXIFS(TblApplications[Mois lib (calc)],TblApplications[ID],$C59)),""))</f>
        <v/>
      </c>
      <c r="AB59" s="21" t="str">
        <f aca="false">IF($C59="","",IF(OR(OR($A59="",$B59="",$D59="",$E59="",$F59="",$G59=""),AND($G59="À migrer",OR($H59="",$I59="",$J59="",$K59="",$L59="",$N59="",$O59="",$P59="",$Q59="",$R59="")),AND($G59="Migré",OR($J59="",$K59="",$L59="")),AND($G59="À décommissionner",OR($I59="",$N59="",$O59="",$R59=""))),"Données manquantes (selon l’action)",IF(AND($G59&lt;&gt;"Migré",$G59&lt;&gt;"À migrer",$G59&lt;&gt;"À décommissionner",$G59&lt;&gt;"Décommissionné"),"Action invalide",IF(COUNTIF(TblDomaines[Domaine],$A59)=0,"Domaine inconnu (référentiel)",IF(COUNTIFS(TblTribes[Tribe],$B59,TblTribes[Domaine de la tribe],$A59)=0,"Tribe inconnue ou hors domaine",IF(AND($G59="À migrer",$H59&lt;&gt;"Oui",$H59&lt;&gt;"Non"),"Valeur Oui/Non invalide (Déjà incluse ROKS)",IF(AND($E59&lt;&gt;"PRD",$E59&lt;&gt;"NPRD"),"Environnement invalide",IF(COUNTIFS(TblApplications[ID],$C59,TblApplications[Environnement],$E59,TblApplications[Couloir],$F59)&gt;1,"Déploiement en doublon (ID + env + couloir)",IF(OR(AND($K59&lt;&gt;"",NOT(ISNUMBER($K59))),AND($L59&lt;&gt;"",NOT(ISNUMBER($L59))),AND($N59&lt;&gt;"",NOT(ISNUMBER($N59))),AND($O59&lt;&gt;"",NOT(ISNUMBER($O59)))),"Ressource non numérique",IF(MIN(N($K59),N($L59),N($N59),N($O59))&lt;0,"Ressource négative",IF(OR(AND($AC59&lt;&gt;"",OR(NOT(ISNUMBER($AC59)),$AC59&lt;0,$AC59&gt;1)),AND($AD59&lt;&gt;"",OR(NOT(ISNUMBER($AD59)),$AD59&lt;0,$AD59&gt;1))),"Marge spécifique invalide (0–100 %)",IF(OR(AND($P59&lt;&gt;"",NOT(ISNUMBER($P59))),AND($Q59&lt;&gt;"",NOT(ISNUMBER($Q59))),AND($R59&lt;&gt;"",NOT(ISNUMBER($R59)))),"Mois invalide",IF(AND(OR($G59="À migrer",$G59="À décommissionner"),COUNTIFS(TblClusters[Cluster],$I59,TblClusters[Plateforme],"IKS")=0),"Cluster IKS inconnu",IF(AND(OR($G59="À migrer",$G59="Migré"),COUNTIFS(TblClusters[Cluster],$J59,TblClusters[Plateforme],"ROKS")=0),"Cluster ROKS inconnu",IF(AND(OR($G59="À migrer",$G59="À décommissionner"),COUNTIFS(TblClusters[Cluster],$I59,TblClusters[Environnement],$E59)=0),"Environnement ≠ cluster IKS",IF(AND(OR($G59="À migrer",$G59="Migré"),COUNTIFS(TblClusters[Cluster],$J59,TblClusters[Environnement],$E59)=0),"Environnement ≠ cluster ROKS",IF(AND($G59="À migrer",OR($P59&gt;$Q59,$Q59&gt;$R59)),"Dates incohérentes (prov ≤ bascule ≤ libération)",IF(AND(OR($G59="À migrer",$G59="À décommissionner"),OR(N($N59)&gt;SUMIFS(TblClusters[CPU initial (vCPU)],TblClusters[Cluster],$I59),N($O59)&gt;SUMIFS(TblClusters[RAM initiale (Go)],TblClusters[Cluster],$I59))),"Libération &gt; capacité du cluster source",IF(OR(AND($V59&lt;&gt;"",$V59&lt;p_debut),AND($W59&lt;&gt;"",$W59&gt;p_fin)),"Hors horizon (info)",IF(AND($G59="À migrer",$E59="PRD",COUNTIFS(TblApplications[ID],$C59,TblApplications[Environnement],"NPRD",TblApplications[Action],"À migrer")&gt;0,$V59&lt;_xlfn.MINIFS(TblApplications[Mois prov (calc)],TblApplications[ID],$C59,TblApplications[Environnement],"NPRD")),"PRD avant NPRD (info)","OK"))))))))))))))))))))</f>
        <v/>
      </c>
      <c r="AC59" s="76"/>
      <c r="AD59" s="76"/>
      <c r="AE59" s="22" t="str">
        <f aca="false">IF(OR($C59="",NOT(OR($G59="À migrer",$G59="À décommissionner")),NOT(ISNUMBER($N59)),NOT(ISNUMBER($O59)),$W59=""),"",($N59+p_poidsram*$O59)*SUMIFS(TblCalculs[Coût par unité],TblCalculs[Cluster],$I59,TblCalculs[Mois],"&lt;"&amp;$W59))</f>
        <v/>
      </c>
      <c r="AF59" s="22" t="str">
        <f aca="false">IF($C59="","",IF(AND($G59="À migrer",$H59="Non",$T59&lt;&gt;"",$V59&lt;&gt;""),($T59+p_poidsram*$U59)*SUMIFS(TblCalculs[Coût par unité],TblCalculs[Cluster],$J59,TblCalculs[Mois],"&gt;="&amp;$V59),IF(AND($G59="Migré",$T59&lt;&gt;""),($T59+p_poidsram*$U59)*SUMIFS(TblCalculs[Coût par unité],TblCalculs[Cluster],$J59),"")))</f>
        <v/>
      </c>
      <c r="AG59" s="22" t="str">
        <f aca="false">IF($C59="","",N($AE59)+N($AF59))</f>
        <v/>
      </c>
      <c r="AH59" s="21" t="str">
        <f aca="false">IF(OR($C59="",$G59="Décommissionné",COUNTIFS($E59,av_envc,$A59,av_domc,$B59,av_tric)=0),"",COUNTIFS($C$6:$C59,"&lt;&gt;",$G$6:$G59,"&lt;&gt;Décommissionné",$E$6:$E59,av_envc,$A$6:$A59,av_domc,$B$6:$B59,av_tric))</f>
        <v/>
      </c>
      <c r="AI59" s="21" t="str">
        <f aca="false">IF($C59="","",IF(AND(OR($G59="À migrer",$G59="À décommissionner"),$W59&lt;&gt;"",$W59&gt;ex_mois),1,0))</f>
        <v/>
      </c>
      <c r="AJ59" s="21" t="str">
        <f aca="false">IF(OR($C59="",$AI59&lt;&gt;1,COUNTIFS($E59,ex_envc,$A59,ex_domc,$B59,ex_tric)=0),"",COUNTIFS($AI$6:$AI59,1,$E$6:$E59,ex_envc,$A$6:$A59,ex_domc,$B$6:$B59,ex_tric))</f>
        <v/>
      </c>
    </row>
    <row r="60" customFormat="false" ht="15" hidden="false" customHeight="false" outlineLevel="0" collapsed="false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5"/>
      <c r="Q60" s="75"/>
      <c r="R60" s="75"/>
      <c r="S60" s="74"/>
      <c r="T60" s="21" t="str">
        <f aca="false">IF(OR($C60="",NOT(OR($G60="À migrer",$G60="Migré")),NOT(ISNUMBER($K60))),"",ROUNDUP($K60*(1+IF($AC60="",p_margeCPU,$AC60)),0))</f>
        <v/>
      </c>
      <c r="U60" s="21" t="str">
        <f aca="false">IF(OR($C60="",NOT(OR($G60="À migrer",$G60="Migré")),NOT(ISNUMBER($L60))),"",ROUNDUP($L60*(1+IF($AD60="",p_margeRAM,$AD60)),0))</f>
        <v/>
      </c>
      <c r="V60" s="39" t="str">
        <f aca="false">IF(OR(NOT($G60="À migrer"),$P60=""),"",IFERROR(DATE(YEAR($P60),MONTH($P60),1),""))</f>
        <v/>
      </c>
      <c r="W60" s="39" t="str">
        <f aca="false">IF(OR(NOT(OR($G60="À migrer",$G60="À décommissionner")),$R60=""),"",IFERROR(DATE(YEAR($R60),MONTH($R60),1),""))</f>
        <v/>
      </c>
      <c r="X60" s="21" t="str">
        <f aca="false">IF(OR($V60="",$W60=""),"",MAX(0,(YEAR($W60)-YEAR($V60))*12+MONTH($W60)-MONTH($V60)))</f>
        <v/>
      </c>
      <c r="Y60" s="21" t="str">
        <f aca="false">IF($C60="","",COUNTIF(TblApplications[ID],$C60))</f>
        <v/>
      </c>
      <c r="Z60" s="39" t="str">
        <f aca="false">IF($C60="","",IFERROR(1/(1/_xlfn.MINIFS(TblApplications[Mois prov (calc)],TblApplications[ID],$C60)),""))</f>
        <v/>
      </c>
      <c r="AA60" s="39" t="str">
        <f aca="false">IF($C60="","",IFERROR(1/(1/_xlfn.MAXIFS(TblApplications[Mois lib (calc)],TblApplications[ID],$C60)),""))</f>
        <v/>
      </c>
      <c r="AB60" s="21" t="str">
        <f aca="false">IF($C60="","",IF(OR(OR($A60="",$B60="",$D60="",$E60="",$F60="",$G60=""),AND($G60="À migrer",OR($H60="",$I60="",$J60="",$K60="",$L60="",$N60="",$O60="",$P60="",$Q60="",$R60="")),AND($G60="Migré",OR($J60="",$K60="",$L60="")),AND($G60="À décommissionner",OR($I60="",$N60="",$O60="",$R60=""))),"Données manquantes (selon l’action)",IF(AND($G60&lt;&gt;"Migré",$G60&lt;&gt;"À migrer",$G60&lt;&gt;"À décommissionner",$G60&lt;&gt;"Décommissionné"),"Action invalide",IF(COUNTIF(TblDomaines[Domaine],$A60)=0,"Domaine inconnu (référentiel)",IF(COUNTIFS(TblTribes[Tribe],$B60,TblTribes[Domaine de la tribe],$A60)=0,"Tribe inconnue ou hors domaine",IF(AND($G60="À migrer",$H60&lt;&gt;"Oui",$H60&lt;&gt;"Non"),"Valeur Oui/Non invalide (Déjà incluse ROKS)",IF(AND($E60&lt;&gt;"PRD",$E60&lt;&gt;"NPRD"),"Environnement invalide",IF(COUNTIFS(TblApplications[ID],$C60,TblApplications[Environnement],$E60,TblApplications[Couloir],$F60)&gt;1,"Déploiement en doublon (ID + env + couloir)",IF(OR(AND($K60&lt;&gt;"",NOT(ISNUMBER($K60))),AND($L60&lt;&gt;"",NOT(ISNUMBER($L60))),AND($N60&lt;&gt;"",NOT(ISNUMBER($N60))),AND($O60&lt;&gt;"",NOT(ISNUMBER($O60)))),"Ressource non numérique",IF(MIN(N($K60),N($L60),N($N60),N($O60))&lt;0,"Ressource négative",IF(OR(AND($AC60&lt;&gt;"",OR(NOT(ISNUMBER($AC60)),$AC60&lt;0,$AC60&gt;1)),AND($AD60&lt;&gt;"",OR(NOT(ISNUMBER($AD60)),$AD60&lt;0,$AD60&gt;1))),"Marge spécifique invalide (0–100 %)",IF(OR(AND($P60&lt;&gt;"",NOT(ISNUMBER($P60))),AND($Q60&lt;&gt;"",NOT(ISNUMBER($Q60))),AND($R60&lt;&gt;"",NOT(ISNUMBER($R60)))),"Mois invalide",IF(AND(OR($G60="À migrer",$G60="À décommissionner"),COUNTIFS(TblClusters[Cluster],$I60,TblClusters[Plateforme],"IKS")=0),"Cluster IKS inconnu",IF(AND(OR($G60="À migrer",$G60="Migré"),COUNTIFS(TblClusters[Cluster],$J60,TblClusters[Plateforme],"ROKS")=0),"Cluster ROKS inconnu",IF(AND(OR($G60="À migrer",$G60="À décommissionner"),COUNTIFS(TblClusters[Cluster],$I60,TblClusters[Environnement],$E60)=0),"Environnement ≠ cluster IKS",IF(AND(OR($G60="À migrer",$G60="Migré"),COUNTIFS(TblClusters[Cluster],$J60,TblClusters[Environnement],$E60)=0),"Environnement ≠ cluster ROKS",IF(AND($G60="À migrer",OR($P60&gt;$Q60,$Q60&gt;$R60)),"Dates incohérentes (prov ≤ bascule ≤ libération)",IF(AND(OR($G60="À migrer",$G60="À décommissionner"),OR(N($N60)&gt;SUMIFS(TblClusters[CPU initial (vCPU)],TblClusters[Cluster],$I60),N($O60)&gt;SUMIFS(TblClusters[RAM initiale (Go)],TblClusters[Cluster],$I60))),"Libération &gt; capacité du cluster source",IF(OR(AND($V60&lt;&gt;"",$V60&lt;p_debut),AND($W60&lt;&gt;"",$W60&gt;p_fin)),"Hors horizon (info)",IF(AND($G60="À migrer",$E60="PRD",COUNTIFS(TblApplications[ID],$C60,TblApplications[Environnement],"NPRD",TblApplications[Action],"À migrer")&gt;0,$V60&lt;_xlfn.MINIFS(TblApplications[Mois prov (calc)],TblApplications[ID],$C60,TblApplications[Environnement],"NPRD")),"PRD avant NPRD (info)","OK"))))))))))))))))))))</f>
        <v/>
      </c>
      <c r="AC60" s="76"/>
      <c r="AD60" s="76"/>
      <c r="AE60" s="22" t="str">
        <f aca="false">IF(OR($C60="",NOT(OR($G60="À migrer",$G60="À décommissionner")),NOT(ISNUMBER($N60)),NOT(ISNUMBER($O60)),$W60=""),"",($N60+p_poidsram*$O60)*SUMIFS(TblCalculs[Coût par unité],TblCalculs[Cluster],$I60,TblCalculs[Mois],"&lt;"&amp;$W60))</f>
        <v/>
      </c>
      <c r="AF60" s="22" t="str">
        <f aca="false">IF($C60="","",IF(AND($G60="À migrer",$H60="Non",$T60&lt;&gt;"",$V60&lt;&gt;""),($T60+p_poidsram*$U60)*SUMIFS(TblCalculs[Coût par unité],TblCalculs[Cluster],$J60,TblCalculs[Mois],"&gt;="&amp;$V60),IF(AND($G60="Migré",$T60&lt;&gt;""),($T60+p_poidsram*$U60)*SUMIFS(TblCalculs[Coût par unité],TblCalculs[Cluster],$J60),"")))</f>
        <v/>
      </c>
      <c r="AG60" s="22" t="str">
        <f aca="false">IF($C60="","",N($AE60)+N($AF60))</f>
        <v/>
      </c>
      <c r="AH60" s="21" t="str">
        <f aca="false">IF(OR($C60="",$G60="Décommissionné",COUNTIFS($E60,av_envc,$A60,av_domc,$B60,av_tric)=0),"",COUNTIFS($C$6:$C60,"&lt;&gt;",$G$6:$G60,"&lt;&gt;Décommissionné",$E$6:$E60,av_envc,$A$6:$A60,av_domc,$B$6:$B60,av_tric))</f>
        <v/>
      </c>
      <c r="AI60" s="21" t="str">
        <f aca="false">IF($C60="","",IF(AND(OR($G60="À migrer",$G60="À décommissionner"),$W60&lt;&gt;"",$W60&gt;ex_mois),1,0))</f>
        <v/>
      </c>
      <c r="AJ60" s="21" t="str">
        <f aca="false">IF(OR($C60="",$AI60&lt;&gt;1,COUNTIFS($E60,ex_envc,$A60,ex_domc,$B60,ex_tric)=0),"",COUNTIFS($AI$6:$AI60,1,$E$6:$E60,ex_envc,$A$6:$A60,ex_domc,$B$6:$B60,ex_tric))</f>
        <v/>
      </c>
    </row>
    <row r="61" customFormat="false" ht="15" hidden="false" customHeight="false" outlineLevel="0" collapsed="false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5"/>
      <c r="Q61" s="75"/>
      <c r="R61" s="75"/>
      <c r="S61" s="74"/>
      <c r="T61" s="21" t="str">
        <f aca="false">IF(OR($C61="",NOT(OR($G61="À migrer",$G61="Migré")),NOT(ISNUMBER($K61))),"",ROUNDUP($K61*(1+IF($AC61="",p_margeCPU,$AC61)),0))</f>
        <v/>
      </c>
      <c r="U61" s="21" t="str">
        <f aca="false">IF(OR($C61="",NOT(OR($G61="À migrer",$G61="Migré")),NOT(ISNUMBER($L61))),"",ROUNDUP($L61*(1+IF($AD61="",p_margeRAM,$AD61)),0))</f>
        <v/>
      </c>
      <c r="V61" s="39" t="str">
        <f aca="false">IF(OR(NOT($G61="À migrer"),$P61=""),"",IFERROR(DATE(YEAR($P61),MONTH($P61),1),""))</f>
        <v/>
      </c>
      <c r="W61" s="39" t="str">
        <f aca="false">IF(OR(NOT(OR($G61="À migrer",$G61="À décommissionner")),$R61=""),"",IFERROR(DATE(YEAR($R61),MONTH($R61),1),""))</f>
        <v/>
      </c>
      <c r="X61" s="21" t="str">
        <f aca="false">IF(OR($V61="",$W61=""),"",MAX(0,(YEAR($W61)-YEAR($V61))*12+MONTH($W61)-MONTH($V61)))</f>
        <v/>
      </c>
      <c r="Y61" s="21" t="str">
        <f aca="false">IF($C61="","",COUNTIF(TblApplications[ID],$C61))</f>
        <v/>
      </c>
      <c r="Z61" s="39" t="str">
        <f aca="false">IF($C61="","",IFERROR(1/(1/_xlfn.MINIFS(TblApplications[Mois prov (calc)],TblApplications[ID],$C61)),""))</f>
        <v/>
      </c>
      <c r="AA61" s="39" t="str">
        <f aca="false">IF($C61="","",IFERROR(1/(1/_xlfn.MAXIFS(TblApplications[Mois lib (calc)],TblApplications[ID],$C61)),""))</f>
        <v/>
      </c>
      <c r="AB61" s="21" t="str">
        <f aca="false">IF($C61="","",IF(OR(OR($A61="",$B61="",$D61="",$E61="",$F61="",$G61=""),AND($G61="À migrer",OR($H61="",$I61="",$J61="",$K61="",$L61="",$N61="",$O61="",$P61="",$Q61="",$R61="")),AND($G61="Migré",OR($J61="",$K61="",$L61="")),AND($G61="À décommissionner",OR($I61="",$N61="",$O61="",$R61=""))),"Données manquantes (selon l’action)",IF(AND($G61&lt;&gt;"Migré",$G61&lt;&gt;"À migrer",$G61&lt;&gt;"À décommissionner",$G61&lt;&gt;"Décommissionné"),"Action invalide",IF(COUNTIF(TblDomaines[Domaine],$A61)=0,"Domaine inconnu (référentiel)",IF(COUNTIFS(TblTribes[Tribe],$B61,TblTribes[Domaine de la tribe],$A61)=0,"Tribe inconnue ou hors domaine",IF(AND($G61="À migrer",$H61&lt;&gt;"Oui",$H61&lt;&gt;"Non"),"Valeur Oui/Non invalide (Déjà incluse ROKS)",IF(AND($E61&lt;&gt;"PRD",$E61&lt;&gt;"NPRD"),"Environnement invalide",IF(COUNTIFS(TblApplications[ID],$C61,TblApplications[Environnement],$E61,TblApplications[Couloir],$F61)&gt;1,"Déploiement en doublon (ID + env + couloir)",IF(OR(AND($K61&lt;&gt;"",NOT(ISNUMBER($K61))),AND($L61&lt;&gt;"",NOT(ISNUMBER($L61))),AND($N61&lt;&gt;"",NOT(ISNUMBER($N61))),AND($O61&lt;&gt;"",NOT(ISNUMBER($O61)))),"Ressource non numérique",IF(MIN(N($K61),N($L61),N($N61),N($O61))&lt;0,"Ressource négative",IF(OR(AND($AC61&lt;&gt;"",OR(NOT(ISNUMBER($AC61)),$AC61&lt;0,$AC61&gt;1)),AND($AD61&lt;&gt;"",OR(NOT(ISNUMBER($AD61)),$AD61&lt;0,$AD61&gt;1))),"Marge spécifique invalide (0–100 %)",IF(OR(AND($P61&lt;&gt;"",NOT(ISNUMBER($P61))),AND($Q61&lt;&gt;"",NOT(ISNUMBER($Q61))),AND($R61&lt;&gt;"",NOT(ISNUMBER($R61)))),"Mois invalide",IF(AND(OR($G61="À migrer",$G61="À décommissionner"),COUNTIFS(TblClusters[Cluster],$I61,TblClusters[Plateforme],"IKS")=0),"Cluster IKS inconnu",IF(AND(OR($G61="À migrer",$G61="Migré"),COUNTIFS(TblClusters[Cluster],$J61,TblClusters[Plateforme],"ROKS")=0),"Cluster ROKS inconnu",IF(AND(OR($G61="À migrer",$G61="À décommissionner"),COUNTIFS(TblClusters[Cluster],$I61,TblClusters[Environnement],$E61)=0),"Environnement ≠ cluster IKS",IF(AND(OR($G61="À migrer",$G61="Migré"),COUNTIFS(TblClusters[Cluster],$J61,TblClusters[Environnement],$E61)=0),"Environnement ≠ cluster ROKS",IF(AND($G61="À migrer",OR($P61&gt;$Q61,$Q61&gt;$R61)),"Dates incohérentes (prov ≤ bascule ≤ libération)",IF(AND(OR($G61="À migrer",$G61="À décommissionner"),OR(N($N61)&gt;SUMIFS(TblClusters[CPU initial (vCPU)],TblClusters[Cluster],$I61),N($O61)&gt;SUMIFS(TblClusters[RAM initiale (Go)],TblClusters[Cluster],$I61))),"Libération &gt; capacité du cluster source",IF(OR(AND($V61&lt;&gt;"",$V61&lt;p_debut),AND($W61&lt;&gt;"",$W61&gt;p_fin)),"Hors horizon (info)",IF(AND($G61="À migrer",$E61="PRD",COUNTIFS(TblApplications[ID],$C61,TblApplications[Environnement],"NPRD",TblApplications[Action],"À migrer")&gt;0,$V61&lt;_xlfn.MINIFS(TblApplications[Mois prov (calc)],TblApplications[ID],$C61,TblApplications[Environnement],"NPRD")),"PRD avant NPRD (info)","OK"))))))))))))))))))))</f>
        <v/>
      </c>
      <c r="AC61" s="76"/>
      <c r="AD61" s="76"/>
      <c r="AE61" s="22" t="str">
        <f aca="false">IF(OR($C61="",NOT(OR($G61="À migrer",$G61="À décommissionner")),NOT(ISNUMBER($N61)),NOT(ISNUMBER($O61)),$W61=""),"",($N61+p_poidsram*$O61)*SUMIFS(TblCalculs[Coût par unité],TblCalculs[Cluster],$I61,TblCalculs[Mois],"&lt;"&amp;$W61))</f>
        <v/>
      </c>
      <c r="AF61" s="22" t="str">
        <f aca="false">IF($C61="","",IF(AND($G61="À migrer",$H61="Non",$T61&lt;&gt;"",$V61&lt;&gt;""),($T61+p_poidsram*$U61)*SUMIFS(TblCalculs[Coût par unité],TblCalculs[Cluster],$J61,TblCalculs[Mois],"&gt;="&amp;$V61),IF(AND($G61="Migré",$T61&lt;&gt;""),($T61+p_poidsram*$U61)*SUMIFS(TblCalculs[Coût par unité],TblCalculs[Cluster],$J61),"")))</f>
        <v/>
      </c>
      <c r="AG61" s="22" t="str">
        <f aca="false">IF($C61="","",N($AE61)+N($AF61))</f>
        <v/>
      </c>
      <c r="AH61" s="21" t="str">
        <f aca="false">IF(OR($C61="",$G61="Décommissionné",COUNTIFS($E61,av_envc,$A61,av_domc,$B61,av_tric)=0),"",COUNTIFS($C$6:$C61,"&lt;&gt;",$G$6:$G61,"&lt;&gt;Décommissionné",$E$6:$E61,av_envc,$A$6:$A61,av_domc,$B$6:$B61,av_tric))</f>
        <v/>
      </c>
      <c r="AI61" s="21" t="str">
        <f aca="false">IF($C61="","",IF(AND(OR($G61="À migrer",$G61="À décommissionner"),$W61&lt;&gt;"",$W61&gt;ex_mois),1,0))</f>
        <v/>
      </c>
      <c r="AJ61" s="21" t="str">
        <f aca="false">IF(OR($C61="",$AI61&lt;&gt;1,COUNTIFS($E61,ex_envc,$A61,ex_domc,$B61,ex_tric)=0),"",COUNTIFS($AI$6:$AI61,1,$E$6:$E61,ex_envc,$A$6:$A61,ex_domc,$B$6:$B61,ex_tric))</f>
        <v/>
      </c>
    </row>
    <row r="62" customFormat="false" ht="15" hidden="false" customHeight="false" outlineLevel="0" collapsed="false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5"/>
      <c r="Q62" s="75"/>
      <c r="R62" s="75"/>
      <c r="S62" s="74"/>
      <c r="T62" s="21" t="str">
        <f aca="false">IF(OR($C62="",NOT(OR($G62="À migrer",$G62="Migré")),NOT(ISNUMBER($K62))),"",ROUNDUP($K62*(1+IF($AC62="",p_margeCPU,$AC62)),0))</f>
        <v/>
      </c>
      <c r="U62" s="21" t="str">
        <f aca="false">IF(OR($C62="",NOT(OR($G62="À migrer",$G62="Migré")),NOT(ISNUMBER($L62))),"",ROUNDUP($L62*(1+IF($AD62="",p_margeRAM,$AD62)),0))</f>
        <v/>
      </c>
      <c r="V62" s="39" t="str">
        <f aca="false">IF(OR(NOT($G62="À migrer"),$P62=""),"",IFERROR(DATE(YEAR($P62),MONTH($P62),1),""))</f>
        <v/>
      </c>
      <c r="W62" s="39" t="str">
        <f aca="false">IF(OR(NOT(OR($G62="À migrer",$G62="À décommissionner")),$R62=""),"",IFERROR(DATE(YEAR($R62),MONTH($R62),1),""))</f>
        <v/>
      </c>
      <c r="X62" s="21" t="str">
        <f aca="false">IF(OR($V62="",$W62=""),"",MAX(0,(YEAR($W62)-YEAR($V62))*12+MONTH($W62)-MONTH($V62)))</f>
        <v/>
      </c>
      <c r="Y62" s="21" t="str">
        <f aca="false">IF($C62="","",COUNTIF(TblApplications[ID],$C62))</f>
        <v/>
      </c>
      <c r="Z62" s="39" t="str">
        <f aca="false">IF($C62="","",IFERROR(1/(1/_xlfn.MINIFS(TblApplications[Mois prov (calc)],TblApplications[ID],$C62)),""))</f>
        <v/>
      </c>
      <c r="AA62" s="39" t="str">
        <f aca="false">IF($C62="","",IFERROR(1/(1/_xlfn.MAXIFS(TblApplications[Mois lib (calc)],TblApplications[ID],$C62)),""))</f>
        <v/>
      </c>
      <c r="AB62" s="21" t="str">
        <f aca="false">IF($C62="","",IF(OR(OR($A62="",$B62="",$D62="",$E62="",$F62="",$G62=""),AND($G62="À migrer",OR($H62="",$I62="",$J62="",$K62="",$L62="",$N62="",$O62="",$P62="",$Q62="",$R62="")),AND($G62="Migré",OR($J62="",$K62="",$L62="")),AND($G62="À décommissionner",OR($I62="",$N62="",$O62="",$R62=""))),"Données manquantes (selon l’action)",IF(AND($G62&lt;&gt;"Migré",$G62&lt;&gt;"À migrer",$G62&lt;&gt;"À décommissionner",$G62&lt;&gt;"Décommissionné"),"Action invalide",IF(COUNTIF(TblDomaines[Domaine],$A62)=0,"Domaine inconnu (référentiel)",IF(COUNTIFS(TblTribes[Tribe],$B62,TblTribes[Domaine de la tribe],$A62)=0,"Tribe inconnue ou hors domaine",IF(AND($G62="À migrer",$H62&lt;&gt;"Oui",$H62&lt;&gt;"Non"),"Valeur Oui/Non invalide (Déjà incluse ROKS)",IF(AND($E62&lt;&gt;"PRD",$E62&lt;&gt;"NPRD"),"Environnement invalide",IF(COUNTIFS(TblApplications[ID],$C62,TblApplications[Environnement],$E62,TblApplications[Couloir],$F62)&gt;1,"Déploiement en doublon (ID + env + couloir)",IF(OR(AND($K62&lt;&gt;"",NOT(ISNUMBER($K62))),AND($L62&lt;&gt;"",NOT(ISNUMBER($L62))),AND($N62&lt;&gt;"",NOT(ISNUMBER($N62))),AND($O62&lt;&gt;"",NOT(ISNUMBER($O62)))),"Ressource non numérique",IF(MIN(N($K62),N($L62),N($N62),N($O62))&lt;0,"Ressource négative",IF(OR(AND($AC62&lt;&gt;"",OR(NOT(ISNUMBER($AC62)),$AC62&lt;0,$AC62&gt;1)),AND($AD62&lt;&gt;"",OR(NOT(ISNUMBER($AD62)),$AD62&lt;0,$AD62&gt;1))),"Marge spécifique invalide (0–100 %)",IF(OR(AND($P62&lt;&gt;"",NOT(ISNUMBER($P62))),AND($Q62&lt;&gt;"",NOT(ISNUMBER($Q62))),AND($R62&lt;&gt;"",NOT(ISNUMBER($R62)))),"Mois invalide",IF(AND(OR($G62="À migrer",$G62="À décommissionner"),COUNTIFS(TblClusters[Cluster],$I62,TblClusters[Plateforme],"IKS")=0),"Cluster IKS inconnu",IF(AND(OR($G62="À migrer",$G62="Migré"),COUNTIFS(TblClusters[Cluster],$J62,TblClusters[Plateforme],"ROKS")=0),"Cluster ROKS inconnu",IF(AND(OR($G62="À migrer",$G62="À décommissionner"),COUNTIFS(TblClusters[Cluster],$I62,TblClusters[Environnement],$E62)=0),"Environnement ≠ cluster IKS",IF(AND(OR($G62="À migrer",$G62="Migré"),COUNTIFS(TblClusters[Cluster],$J62,TblClusters[Environnement],$E62)=0),"Environnement ≠ cluster ROKS",IF(AND($G62="À migrer",OR($P62&gt;$Q62,$Q62&gt;$R62)),"Dates incohérentes (prov ≤ bascule ≤ libération)",IF(AND(OR($G62="À migrer",$G62="À décommissionner"),OR(N($N62)&gt;SUMIFS(TblClusters[CPU initial (vCPU)],TblClusters[Cluster],$I62),N($O62)&gt;SUMIFS(TblClusters[RAM initiale (Go)],TblClusters[Cluster],$I62))),"Libération &gt; capacité du cluster source",IF(OR(AND($V62&lt;&gt;"",$V62&lt;p_debut),AND($W62&lt;&gt;"",$W62&gt;p_fin)),"Hors horizon (info)",IF(AND($G62="À migrer",$E62="PRD",COUNTIFS(TblApplications[ID],$C62,TblApplications[Environnement],"NPRD",TblApplications[Action],"À migrer")&gt;0,$V62&lt;_xlfn.MINIFS(TblApplications[Mois prov (calc)],TblApplications[ID],$C62,TblApplications[Environnement],"NPRD")),"PRD avant NPRD (info)","OK"))))))))))))))))))))</f>
        <v/>
      </c>
      <c r="AC62" s="76"/>
      <c r="AD62" s="76"/>
      <c r="AE62" s="22" t="str">
        <f aca="false">IF(OR($C62="",NOT(OR($G62="À migrer",$G62="À décommissionner")),NOT(ISNUMBER($N62)),NOT(ISNUMBER($O62)),$W62=""),"",($N62+p_poidsram*$O62)*SUMIFS(TblCalculs[Coût par unité],TblCalculs[Cluster],$I62,TblCalculs[Mois],"&lt;"&amp;$W62))</f>
        <v/>
      </c>
      <c r="AF62" s="22" t="str">
        <f aca="false">IF($C62="","",IF(AND($G62="À migrer",$H62="Non",$T62&lt;&gt;"",$V62&lt;&gt;""),($T62+p_poidsram*$U62)*SUMIFS(TblCalculs[Coût par unité],TblCalculs[Cluster],$J62,TblCalculs[Mois],"&gt;="&amp;$V62),IF(AND($G62="Migré",$T62&lt;&gt;""),($T62+p_poidsram*$U62)*SUMIFS(TblCalculs[Coût par unité],TblCalculs[Cluster],$J62),"")))</f>
        <v/>
      </c>
      <c r="AG62" s="22" t="str">
        <f aca="false">IF($C62="","",N($AE62)+N($AF62))</f>
        <v/>
      </c>
      <c r="AH62" s="21" t="str">
        <f aca="false">IF(OR($C62="",$G62="Décommissionné",COUNTIFS($E62,av_envc,$A62,av_domc,$B62,av_tric)=0),"",COUNTIFS($C$6:$C62,"&lt;&gt;",$G$6:$G62,"&lt;&gt;Décommissionné",$E$6:$E62,av_envc,$A$6:$A62,av_domc,$B$6:$B62,av_tric))</f>
        <v/>
      </c>
      <c r="AI62" s="21" t="str">
        <f aca="false">IF($C62="","",IF(AND(OR($G62="À migrer",$G62="À décommissionner"),$W62&lt;&gt;"",$W62&gt;ex_mois),1,0))</f>
        <v/>
      </c>
      <c r="AJ62" s="21" t="str">
        <f aca="false">IF(OR($C62="",$AI62&lt;&gt;1,COUNTIFS($E62,ex_envc,$A62,ex_domc,$B62,ex_tric)=0),"",COUNTIFS($AI$6:$AI62,1,$E$6:$E62,ex_envc,$A$6:$A62,ex_domc,$B$6:$B62,ex_tric))</f>
        <v/>
      </c>
    </row>
    <row r="63" customFormat="false" ht="15" hidden="false" customHeight="false" outlineLevel="0" collapsed="false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5"/>
      <c r="Q63" s="75"/>
      <c r="R63" s="75"/>
      <c r="S63" s="74"/>
      <c r="T63" s="21" t="str">
        <f aca="false">IF(OR($C63="",NOT(OR($G63="À migrer",$G63="Migré")),NOT(ISNUMBER($K63))),"",ROUNDUP($K63*(1+IF($AC63="",p_margeCPU,$AC63)),0))</f>
        <v/>
      </c>
      <c r="U63" s="21" t="str">
        <f aca="false">IF(OR($C63="",NOT(OR($G63="À migrer",$G63="Migré")),NOT(ISNUMBER($L63))),"",ROUNDUP($L63*(1+IF($AD63="",p_margeRAM,$AD63)),0))</f>
        <v/>
      </c>
      <c r="V63" s="39" t="str">
        <f aca="false">IF(OR(NOT($G63="À migrer"),$P63=""),"",IFERROR(DATE(YEAR($P63),MONTH($P63),1),""))</f>
        <v/>
      </c>
      <c r="W63" s="39" t="str">
        <f aca="false">IF(OR(NOT(OR($G63="À migrer",$G63="À décommissionner")),$R63=""),"",IFERROR(DATE(YEAR($R63),MONTH($R63),1),""))</f>
        <v/>
      </c>
      <c r="X63" s="21" t="str">
        <f aca="false">IF(OR($V63="",$W63=""),"",MAX(0,(YEAR($W63)-YEAR($V63))*12+MONTH($W63)-MONTH($V63)))</f>
        <v/>
      </c>
      <c r="Y63" s="21" t="str">
        <f aca="false">IF($C63="","",COUNTIF(TblApplications[ID],$C63))</f>
        <v/>
      </c>
      <c r="Z63" s="39" t="str">
        <f aca="false">IF($C63="","",IFERROR(1/(1/_xlfn.MINIFS(TblApplications[Mois prov (calc)],TblApplications[ID],$C63)),""))</f>
        <v/>
      </c>
      <c r="AA63" s="39" t="str">
        <f aca="false">IF($C63="","",IFERROR(1/(1/_xlfn.MAXIFS(TblApplications[Mois lib (calc)],TblApplications[ID],$C63)),""))</f>
        <v/>
      </c>
      <c r="AB63" s="21" t="str">
        <f aca="false">IF($C63="","",IF(OR(OR($A63="",$B63="",$D63="",$E63="",$F63="",$G63=""),AND($G63="À migrer",OR($H63="",$I63="",$J63="",$K63="",$L63="",$N63="",$O63="",$P63="",$Q63="",$R63="")),AND($G63="Migré",OR($J63="",$K63="",$L63="")),AND($G63="À décommissionner",OR($I63="",$N63="",$O63="",$R63=""))),"Données manquantes (selon l’action)",IF(AND($G63&lt;&gt;"Migré",$G63&lt;&gt;"À migrer",$G63&lt;&gt;"À décommissionner",$G63&lt;&gt;"Décommissionné"),"Action invalide",IF(COUNTIF(TblDomaines[Domaine],$A63)=0,"Domaine inconnu (référentiel)",IF(COUNTIFS(TblTribes[Tribe],$B63,TblTribes[Domaine de la tribe],$A63)=0,"Tribe inconnue ou hors domaine",IF(AND($G63="À migrer",$H63&lt;&gt;"Oui",$H63&lt;&gt;"Non"),"Valeur Oui/Non invalide (Déjà incluse ROKS)",IF(AND($E63&lt;&gt;"PRD",$E63&lt;&gt;"NPRD"),"Environnement invalide",IF(COUNTIFS(TblApplications[ID],$C63,TblApplications[Environnement],$E63,TblApplications[Couloir],$F63)&gt;1,"Déploiement en doublon (ID + env + couloir)",IF(OR(AND($K63&lt;&gt;"",NOT(ISNUMBER($K63))),AND($L63&lt;&gt;"",NOT(ISNUMBER($L63))),AND($N63&lt;&gt;"",NOT(ISNUMBER($N63))),AND($O63&lt;&gt;"",NOT(ISNUMBER($O63)))),"Ressource non numérique",IF(MIN(N($K63),N($L63),N($N63),N($O63))&lt;0,"Ressource négative",IF(OR(AND($AC63&lt;&gt;"",OR(NOT(ISNUMBER($AC63)),$AC63&lt;0,$AC63&gt;1)),AND($AD63&lt;&gt;"",OR(NOT(ISNUMBER($AD63)),$AD63&lt;0,$AD63&gt;1))),"Marge spécifique invalide (0–100 %)",IF(OR(AND($P63&lt;&gt;"",NOT(ISNUMBER($P63))),AND($Q63&lt;&gt;"",NOT(ISNUMBER($Q63))),AND($R63&lt;&gt;"",NOT(ISNUMBER($R63)))),"Mois invalide",IF(AND(OR($G63="À migrer",$G63="À décommissionner"),COUNTIFS(TblClusters[Cluster],$I63,TblClusters[Plateforme],"IKS")=0),"Cluster IKS inconnu",IF(AND(OR($G63="À migrer",$G63="Migré"),COUNTIFS(TblClusters[Cluster],$J63,TblClusters[Plateforme],"ROKS")=0),"Cluster ROKS inconnu",IF(AND(OR($G63="À migrer",$G63="À décommissionner"),COUNTIFS(TblClusters[Cluster],$I63,TblClusters[Environnement],$E63)=0),"Environnement ≠ cluster IKS",IF(AND(OR($G63="À migrer",$G63="Migré"),COUNTIFS(TblClusters[Cluster],$J63,TblClusters[Environnement],$E63)=0),"Environnement ≠ cluster ROKS",IF(AND($G63="À migrer",OR($P63&gt;$Q63,$Q63&gt;$R63)),"Dates incohérentes (prov ≤ bascule ≤ libération)",IF(AND(OR($G63="À migrer",$G63="À décommissionner"),OR(N($N63)&gt;SUMIFS(TblClusters[CPU initial (vCPU)],TblClusters[Cluster],$I63),N($O63)&gt;SUMIFS(TblClusters[RAM initiale (Go)],TblClusters[Cluster],$I63))),"Libération &gt; capacité du cluster source",IF(OR(AND($V63&lt;&gt;"",$V63&lt;p_debut),AND($W63&lt;&gt;"",$W63&gt;p_fin)),"Hors horizon (info)",IF(AND($G63="À migrer",$E63="PRD",COUNTIFS(TblApplications[ID],$C63,TblApplications[Environnement],"NPRD",TblApplications[Action],"À migrer")&gt;0,$V63&lt;_xlfn.MINIFS(TblApplications[Mois prov (calc)],TblApplications[ID],$C63,TblApplications[Environnement],"NPRD")),"PRD avant NPRD (info)","OK"))))))))))))))))))))</f>
        <v/>
      </c>
      <c r="AC63" s="76"/>
      <c r="AD63" s="76"/>
      <c r="AE63" s="22" t="str">
        <f aca="false">IF(OR($C63="",NOT(OR($G63="À migrer",$G63="À décommissionner")),NOT(ISNUMBER($N63)),NOT(ISNUMBER($O63)),$W63=""),"",($N63+p_poidsram*$O63)*SUMIFS(TblCalculs[Coût par unité],TblCalculs[Cluster],$I63,TblCalculs[Mois],"&lt;"&amp;$W63))</f>
        <v/>
      </c>
      <c r="AF63" s="22" t="str">
        <f aca="false">IF($C63="","",IF(AND($G63="À migrer",$H63="Non",$T63&lt;&gt;"",$V63&lt;&gt;""),($T63+p_poidsram*$U63)*SUMIFS(TblCalculs[Coût par unité],TblCalculs[Cluster],$J63,TblCalculs[Mois],"&gt;="&amp;$V63),IF(AND($G63="Migré",$T63&lt;&gt;""),($T63+p_poidsram*$U63)*SUMIFS(TblCalculs[Coût par unité],TblCalculs[Cluster],$J63),"")))</f>
        <v/>
      </c>
      <c r="AG63" s="22" t="str">
        <f aca="false">IF($C63="","",N($AE63)+N($AF63))</f>
        <v/>
      </c>
      <c r="AH63" s="21" t="str">
        <f aca="false">IF(OR($C63="",$G63="Décommissionné",COUNTIFS($E63,av_envc,$A63,av_domc,$B63,av_tric)=0),"",COUNTIFS($C$6:$C63,"&lt;&gt;",$G$6:$G63,"&lt;&gt;Décommissionné",$E$6:$E63,av_envc,$A$6:$A63,av_domc,$B$6:$B63,av_tric))</f>
        <v/>
      </c>
      <c r="AI63" s="21" t="str">
        <f aca="false">IF($C63="","",IF(AND(OR($G63="À migrer",$G63="À décommissionner"),$W63&lt;&gt;"",$W63&gt;ex_mois),1,0))</f>
        <v/>
      </c>
      <c r="AJ63" s="21" t="str">
        <f aca="false">IF(OR($C63="",$AI63&lt;&gt;1,COUNTIFS($E63,ex_envc,$A63,ex_domc,$B63,ex_tric)=0),"",COUNTIFS($AI$6:$AI63,1,$E$6:$E63,ex_envc,$A$6:$A63,ex_domc,$B$6:$B63,ex_tric))</f>
        <v/>
      </c>
    </row>
    <row r="64" customFormat="false" ht="15" hidden="false" customHeight="false" outlineLevel="0" collapsed="false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5"/>
      <c r="Q64" s="75"/>
      <c r="R64" s="75"/>
      <c r="S64" s="74"/>
      <c r="T64" s="21" t="str">
        <f aca="false">IF(OR($C64="",NOT(OR($G64="À migrer",$G64="Migré")),NOT(ISNUMBER($K64))),"",ROUNDUP($K64*(1+IF($AC64="",p_margeCPU,$AC64)),0))</f>
        <v/>
      </c>
      <c r="U64" s="21" t="str">
        <f aca="false">IF(OR($C64="",NOT(OR($G64="À migrer",$G64="Migré")),NOT(ISNUMBER($L64))),"",ROUNDUP($L64*(1+IF($AD64="",p_margeRAM,$AD64)),0))</f>
        <v/>
      </c>
      <c r="V64" s="39" t="str">
        <f aca="false">IF(OR(NOT($G64="À migrer"),$P64=""),"",IFERROR(DATE(YEAR($P64),MONTH($P64),1),""))</f>
        <v/>
      </c>
      <c r="W64" s="39" t="str">
        <f aca="false">IF(OR(NOT(OR($G64="À migrer",$G64="À décommissionner")),$R64=""),"",IFERROR(DATE(YEAR($R64),MONTH($R64),1),""))</f>
        <v/>
      </c>
      <c r="X64" s="21" t="str">
        <f aca="false">IF(OR($V64="",$W64=""),"",MAX(0,(YEAR($W64)-YEAR($V64))*12+MONTH($W64)-MONTH($V64)))</f>
        <v/>
      </c>
      <c r="Y64" s="21" t="str">
        <f aca="false">IF($C64="","",COUNTIF(TblApplications[ID],$C64))</f>
        <v/>
      </c>
      <c r="Z64" s="39" t="str">
        <f aca="false">IF($C64="","",IFERROR(1/(1/_xlfn.MINIFS(TblApplications[Mois prov (calc)],TblApplications[ID],$C64)),""))</f>
        <v/>
      </c>
      <c r="AA64" s="39" t="str">
        <f aca="false">IF($C64="","",IFERROR(1/(1/_xlfn.MAXIFS(TblApplications[Mois lib (calc)],TblApplications[ID],$C64)),""))</f>
        <v/>
      </c>
      <c r="AB64" s="21" t="str">
        <f aca="false">IF($C64="","",IF(OR(OR($A64="",$B64="",$D64="",$E64="",$F64="",$G64=""),AND($G64="À migrer",OR($H64="",$I64="",$J64="",$K64="",$L64="",$N64="",$O64="",$P64="",$Q64="",$R64="")),AND($G64="Migré",OR($J64="",$K64="",$L64="")),AND($G64="À décommissionner",OR($I64="",$N64="",$O64="",$R64=""))),"Données manquantes (selon l’action)",IF(AND($G64&lt;&gt;"Migré",$G64&lt;&gt;"À migrer",$G64&lt;&gt;"À décommissionner",$G64&lt;&gt;"Décommissionné"),"Action invalide",IF(COUNTIF(TblDomaines[Domaine],$A64)=0,"Domaine inconnu (référentiel)",IF(COUNTIFS(TblTribes[Tribe],$B64,TblTribes[Domaine de la tribe],$A64)=0,"Tribe inconnue ou hors domaine",IF(AND($G64="À migrer",$H64&lt;&gt;"Oui",$H64&lt;&gt;"Non"),"Valeur Oui/Non invalide (Déjà incluse ROKS)",IF(AND($E64&lt;&gt;"PRD",$E64&lt;&gt;"NPRD"),"Environnement invalide",IF(COUNTIFS(TblApplications[ID],$C64,TblApplications[Environnement],$E64,TblApplications[Couloir],$F64)&gt;1,"Déploiement en doublon (ID + env + couloir)",IF(OR(AND($K64&lt;&gt;"",NOT(ISNUMBER($K64))),AND($L64&lt;&gt;"",NOT(ISNUMBER($L64))),AND($N64&lt;&gt;"",NOT(ISNUMBER($N64))),AND($O64&lt;&gt;"",NOT(ISNUMBER($O64)))),"Ressource non numérique",IF(MIN(N($K64),N($L64),N($N64),N($O64))&lt;0,"Ressource négative",IF(OR(AND($AC64&lt;&gt;"",OR(NOT(ISNUMBER($AC64)),$AC64&lt;0,$AC64&gt;1)),AND($AD64&lt;&gt;"",OR(NOT(ISNUMBER($AD64)),$AD64&lt;0,$AD64&gt;1))),"Marge spécifique invalide (0–100 %)",IF(OR(AND($P64&lt;&gt;"",NOT(ISNUMBER($P64))),AND($Q64&lt;&gt;"",NOT(ISNUMBER($Q64))),AND($R64&lt;&gt;"",NOT(ISNUMBER($R64)))),"Mois invalide",IF(AND(OR($G64="À migrer",$G64="À décommissionner"),COUNTIFS(TblClusters[Cluster],$I64,TblClusters[Plateforme],"IKS")=0),"Cluster IKS inconnu",IF(AND(OR($G64="À migrer",$G64="Migré"),COUNTIFS(TblClusters[Cluster],$J64,TblClusters[Plateforme],"ROKS")=0),"Cluster ROKS inconnu",IF(AND(OR($G64="À migrer",$G64="À décommissionner"),COUNTIFS(TblClusters[Cluster],$I64,TblClusters[Environnement],$E64)=0),"Environnement ≠ cluster IKS",IF(AND(OR($G64="À migrer",$G64="Migré"),COUNTIFS(TblClusters[Cluster],$J64,TblClusters[Environnement],$E64)=0),"Environnement ≠ cluster ROKS",IF(AND($G64="À migrer",OR($P64&gt;$Q64,$Q64&gt;$R64)),"Dates incohérentes (prov ≤ bascule ≤ libération)",IF(AND(OR($G64="À migrer",$G64="À décommissionner"),OR(N($N64)&gt;SUMIFS(TblClusters[CPU initial (vCPU)],TblClusters[Cluster],$I64),N($O64)&gt;SUMIFS(TblClusters[RAM initiale (Go)],TblClusters[Cluster],$I64))),"Libération &gt; capacité du cluster source",IF(OR(AND($V64&lt;&gt;"",$V64&lt;p_debut),AND($W64&lt;&gt;"",$W64&gt;p_fin)),"Hors horizon (info)",IF(AND($G64="À migrer",$E64="PRD",COUNTIFS(TblApplications[ID],$C64,TblApplications[Environnement],"NPRD",TblApplications[Action],"À migrer")&gt;0,$V64&lt;_xlfn.MINIFS(TblApplications[Mois prov (calc)],TblApplications[ID],$C64,TblApplications[Environnement],"NPRD")),"PRD avant NPRD (info)","OK"))))))))))))))))))))</f>
        <v/>
      </c>
      <c r="AC64" s="76"/>
      <c r="AD64" s="76"/>
      <c r="AE64" s="22" t="str">
        <f aca="false">IF(OR($C64="",NOT(OR($G64="À migrer",$G64="À décommissionner")),NOT(ISNUMBER($N64)),NOT(ISNUMBER($O64)),$W64=""),"",($N64+p_poidsram*$O64)*SUMIFS(TblCalculs[Coût par unité],TblCalculs[Cluster],$I64,TblCalculs[Mois],"&lt;"&amp;$W64))</f>
        <v/>
      </c>
      <c r="AF64" s="22" t="str">
        <f aca="false">IF($C64="","",IF(AND($G64="À migrer",$H64="Non",$T64&lt;&gt;"",$V64&lt;&gt;""),($T64+p_poidsram*$U64)*SUMIFS(TblCalculs[Coût par unité],TblCalculs[Cluster],$J64,TblCalculs[Mois],"&gt;="&amp;$V64),IF(AND($G64="Migré",$T64&lt;&gt;""),($T64+p_poidsram*$U64)*SUMIFS(TblCalculs[Coût par unité],TblCalculs[Cluster],$J64),"")))</f>
        <v/>
      </c>
      <c r="AG64" s="22" t="str">
        <f aca="false">IF($C64="","",N($AE64)+N($AF64))</f>
        <v/>
      </c>
      <c r="AH64" s="21" t="str">
        <f aca="false">IF(OR($C64="",$G64="Décommissionné",COUNTIFS($E64,av_envc,$A64,av_domc,$B64,av_tric)=0),"",COUNTIFS($C$6:$C64,"&lt;&gt;",$G$6:$G64,"&lt;&gt;Décommissionné",$E$6:$E64,av_envc,$A$6:$A64,av_domc,$B$6:$B64,av_tric))</f>
        <v/>
      </c>
      <c r="AI64" s="21" t="str">
        <f aca="false">IF($C64="","",IF(AND(OR($G64="À migrer",$G64="À décommissionner"),$W64&lt;&gt;"",$W64&gt;ex_mois),1,0))</f>
        <v/>
      </c>
      <c r="AJ64" s="21" t="str">
        <f aca="false">IF(OR($C64="",$AI64&lt;&gt;1,COUNTIFS($E64,ex_envc,$A64,ex_domc,$B64,ex_tric)=0),"",COUNTIFS($AI$6:$AI64,1,$E$6:$E64,ex_envc,$A$6:$A64,ex_domc,$B$6:$B64,ex_tric))</f>
        <v/>
      </c>
    </row>
    <row r="65" customFormat="false" ht="15" hidden="false" customHeight="false" outlineLevel="0" collapsed="false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5"/>
      <c r="Q65" s="75"/>
      <c r="R65" s="75"/>
      <c r="S65" s="74"/>
      <c r="T65" s="21" t="str">
        <f aca="false">IF(OR($C65="",NOT(OR($G65="À migrer",$G65="Migré")),NOT(ISNUMBER($K65))),"",ROUNDUP($K65*(1+IF($AC65="",p_margeCPU,$AC65)),0))</f>
        <v/>
      </c>
      <c r="U65" s="21" t="str">
        <f aca="false">IF(OR($C65="",NOT(OR($G65="À migrer",$G65="Migré")),NOT(ISNUMBER($L65))),"",ROUNDUP($L65*(1+IF($AD65="",p_margeRAM,$AD65)),0))</f>
        <v/>
      </c>
      <c r="V65" s="39" t="str">
        <f aca="false">IF(OR(NOT($G65="À migrer"),$P65=""),"",IFERROR(DATE(YEAR($P65),MONTH($P65),1),""))</f>
        <v/>
      </c>
      <c r="W65" s="39" t="str">
        <f aca="false">IF(OR(NOT(OR($G65="À migrer",$G65="À décommissionner")),$R65=""),"",IFERROR(DATE(YEAR($R65),MONTH($R65),1),""))</f>
        <v/>
      </c>
      <c r="X65" s="21" t="str">
        <f aca="false">IF(OR($V65="",$W65=""),"",MAX(0,(YEAR($W65)-YEAR($V65))*12+MONTH($W65)-MONTH($V65)))</f>
        <v/>
      </c>
      <c r="Y65" s="21" t="str">
        <f aca="false">IF($C65="","",COUNTIF(TblApplications[ID],$C65))</f>
        <v/>
      </c>
      <c r="Z65" s="39" t="str">
        <f aca="false">IF($C65="","",IFERROR(1/(1/_xlfn.MINIFS(TblApplications[Mois prov (calc)],TblApplications[ID],$C65)),""))</f>
        <v/>
      </c>
      <c r="AA65" s="39" t="str">
        <f aca="false">IF($C65="","",IFERROR(1/(1/_xlfn.MAXIFS(TblApplications[Mois lib (calc)],TblApplications[ID],$C65)),""))</f>
        <v/>
      </c>
      <c r="AB65" s="21" t="str">
        <f aca="false">IF($C65="","",IF(OR(OR($A65="",$B65="",$D65="",$E65="",$F65="",$G65=""),AND($G65="À migrer",OR($H65="",$I65="",$J65="",$K65="",$L65="",$N65="",$O65="",$P65="",$Q65="",$R65="")),AND($G65="Migré",OR($J65="",$K65="",$L65="")),AND($G65="À décommissionner",OR($I65="",$N65="",$O65="",$R65=""))),"Données manquantes (selon l’action)",IF(AND($G65&lt;&gt;"Migré",$G65&lt;&gt;"À migrer",$G65&lt;&gt;"À décommissionner",$G65&lt;&gt;"Décommissionné"),"Action invalide",IF(COUNTIF(TblDomaines[Domaine],$A65)=0,"Domaine inconnu (référentiel)",IF(COUNTIFS(TblTribes[Tribe],$B65,TblTribes[Domaine de la tribe],$A65)=0,"Tribe inconnue ou hors domaine",IF(AND($G65="À migrer",$H65&lt;&gt;"Oui",$H65&lt;&gt;"Non"),"Valeur Oui/Non invalide (Déjà incluse ROKS)",IF(AND($E65&lt;&gt;"PRD",$E65&lt;&gt;"NPRD"),"Environnement invalide",IF(COUNTIFS(TblApplications[ID],$C65,TblApplications[Environnement],$E65,TblApplications[Couloir],$F65)&gt;1,"Déploiement en doublon (ID + env + couloir)",IF(OR(AND($K65&lt;&gt;"",NOT(ISNUMBER($K65))),AND($L65&lt;&gt;"",NOT(ISNUMBER($L65))),AND($N65&lt;&gt;"",NOT(ISNUMBER($N65))),AND($O65&lt;&gt;"",NOT(ISNUMBER($O65)))),"Ressource non numérique",IF(MIN(N($K65),N($L65),N($N65),N($O65))&lt;0,"Ressource négative",IF(OR(AND($AC65&lt;&gt;"",OR(NOT(ISNUMBER($AC65)),$AC65&lt;0,$AC65&gt;1)),AND($AD65&lt;&gt;"",OR(NOT(ISNUMBER($AD65)),$AD65&lt;0,$AD65&gt;1))),"Marge spécifique invalide (0–100 %)",IF(OR(AND($P65&lt;&gt;"",NOT(ISNUMBER($P65))),AND($Q65&lt;&gt;"",NOT(ISNUMBER($Q65))),AND($R65&lt;&gt;"",NOT(ISNUMBER($R65)))),"Mois invalide",IF(AND(OR($G65="À migrer",$G65="À décommissionner"),COUNTIFS(TblClusters[Cluster],$I65,TblClusters[Plateforme],"IKS")=0),"Cluster IKS inconnu",IF(AND(OR($G65="À migrer",$G65="Migré"),COUNTIFS(TblClusters[Cluster],$J65,TblClusters[Plateforme],"ROKS")=0),"Cluster ROKS inconnu",IF(AND(OR($G65="À migrer",$G65="À décommissionner"),COUNTIFS(TblClusters[Cluster],$I65,TblClusters[Environnement],$E65)=0),"Environnement ≠ cluster IKS",IF(AND(OR($G65="À migrer",$G65="Migré"),COUNTIFS(TblClusters[Cluster],$J65,TblClusters[Environnement],$E65)=0),"Environnement ≠ cluster ROKS",IF(AND($G65="À migrer",OR($P65&gt;$Q65,$Q65&gt;$R65)),"Dates incohérentes (prov ≤ bascule ≤ libération)",IF(AND(OR($G65="À migrer",$G65="À décommissionner"),OR(N($N65)&gt;SUMIFS(TblClusters[CPU initial (vCPU)],TblClusters[Cluster],$I65),N($O65)&gt;SUMIFS(TblClusters[RAM initiale (Go)],TblClusters[Cluster],$I65))),"Libération &gt; capacité du cluster source",IF(OR(AND($V65&lt;&gt;"",$V65&lt;p_debut),AND($W65&lt;&gt;"",$W65&gt;p_fin)),"Hors horizon (info)",IF(AND($G65="À migrer",$E65="PRD",COUNTIFS(TblApplications[ID],$C65,TblApplications[Environnement],"NPRD",TblApplications[Action],"À migrer")&gt;0,$V65&lt;_xlfn.MINIFS(TblApplications[Mois prov (calc)],TblApplications[ID],$C65,TblApplications[Environnement],"NPRD")),"PRD avant NPRD (info)","OK"))))))))))))))))))))</f>
        <v/>
      </c>
      <c r="AC65" s="76"/>
      <c r="AD65" s="76"/>
      <c r="AE65" s="22" t="str">
        <f aca="false">IF(OR($C65="",NOT(OR($G65="À migrer",$G65="À décommissionner")),NOT(ISNUMBER($N65)),NOT(ISNUMBER($O65)),$W65=""),"",($N65+p_poidsram*$O65)*SUMIFS(TblCalculs[Coût par unité],TblCalculs[Cluster],$I65,TblCalculs[Mois],"&lt;"&amp;$W65))</f>
        <v/>
      </c>
      <c r="AF65" s="22" t="str">
        <f aca="false">IF($C65="","",IF(AND($G65="À migrer",$H65="Non",$T65&lt;&gt;"",$V65&lt;&gt;""),($T65+p_poidsram*$U65)*SUMIFS(TblCalculs[Coût par unité],TblCalculs[Cluster],$J65,TblCalculs[Mois],"&gt;="&amp;$V65),IF(AND($G65="Migré",$T65&lt;&gt;""),($T65+p_poidsram*$U65)*SUMIFS(TblCalculs[Coût par unité],TblCalculs[Cluster],$J65),"")))</f>
        <v/>
      </c>
      <c r="AG65" s="22" t="str">
        <f aca="false">IF($C65="","",N($AE65)+N($AF65))</f>
        <v/>
      </c>
      <c r="AH65" s="21" t="str">
        <f aca="false">IF(OR($C65="",$G65="Décommissionné",COUNTIFS($E65,av_envc,$A65,av_domc,$B65,av_tric)=0),"",COUNTIFS($C$6:$C65,"&lt;&gt;",$G$6:$G65,"&lt;&gt;Décommissionné",$E$6:$E65,av_envc,$A$6:$A65,av_domc,$B$6:$B65,av_tric))</f>
        <v/>
      </c>
      <c r="AI65" s="21" t="str">
        <f aca="false">IF($C65="","",IF(AND(OR($G65="À migrer",$G65="À décommissionner"),$W65&lt;&gt;"",$W65&gt;ex_mois),1,0))</f>
        <v/>
      </c>
      <c r="AJ65" s="21" t="str">
        <f aca="false">IF(OR($C65="",$AI65&lt;&gt;1,COUNTIFS($E65,ex_envc,$A65,ex_domc,$B65,ex_tric)=0),"",COUNTIFS($AI$6:$AI65,1,$E$6:$E65,ex_envc,$A$6:$A65,ex_domc,$B$6:$B65,ex_tric))</f>
        <v/>
      </c>
    </row>
    <row r="66" customFormat="false" ht="15" hidden="false" customHeight="false" outlineLevel="0" collapsed="false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5"/>
      <c r="Q66" s="75"/>
      <c r="R66" s="75"/>
      <c r="S66" s="74"/>
      <c r="T66" s="21" t="str">
        <f aca="false">IF(OR($C66="",NOT(OR($G66="À migrer",$G66="Migré")),NOT(ISNUMBER($K66))),"",ROUNDUP($K66*(1+IF($AC66="",p_margeCPU,$AC66)),0))</f>
        <v/>
      </c>
      <c r="U66" s="21" t="str">
        <f aca="false">IF(OR($C66="",NOT(OR($G66="À migrer",$G66="Migré")),NOT(ISNUMBER($L66))),"",ROUNDUP($L66*(1+IF($AD66="",p_margeRAM,$AD66)),0))</f>
        <v/>
      </c>
      <c r="V66" s="39" t="str">
        <f aca="false">IF(OR(NOT($G66="À migrer"),$P66=""),"",IFERROR(DATE(YEAR($P66),MONTH($P66),1),""))</f>
        <v/>
      </c>
      <c r="W66" s="39" t="str">
        <f aca="false">IF(OR(NOT(OR($G66="À migrer",$G66="À décommissionner")),$R66=""),"",IFERROR(DATE(YEAR($R66),MONTH($R66),1),""))</f>
        <v/>
      </c>
      <c r="X66" s="21" t="str">
        <f aca="false">IF(OR($V66="",$W66=""),"",MAX(0,(YEAR($W66)-YEAR($V66))*12+MONTH($W66)-MONTH($V66)))</f>
        <v/>
      </c>
      <c r="Y66" s="21" t="str">
        <f aca="false">IF($C66="","",COUNTIF(TblApplications[ID],$C66))</f>
        <v/>
      </c>
      <c r="Z66" s="39" t="str">
        <f aca="false">IF($C66="","",IFERROR(1/(1/_xlfn.MINIFS(TblApplications[Mois prov (calc)],TblApplications[ID],$C66)),""))</f>
        <v/>
      </c>
      <c r="AA66" s="39" t="str">
        <f aca="false">IF($C66="","",IFERROR(1/(1/_xlfn.MAXIFS(TblApplications[Mois lib (calc)],TblApplications[ID],$C66)),""))</f>
        <v/>
      </c>
      <c r="AB66" s="21" t="str">
        <f aca="false">IF($C66="","",IF(OR(OR($A66="",$B66="",$D66="",$E66="",$F66="",$G66=""),AND($G66="À migrer",OR($H66="",$I66="",$J66="",$K66="",$L66="",$N66="",$O66="",$P66="",$Q66="",$R66="")),AND($G66="Migré",OR($J66="",$K66="",$L66="")),AND($G66="À décommissionner",OR($I66="",$N66="",$O66="",$R66=""))),"Données manquantes (selon l’action)",IF(AND($G66&lt;&gt;"Migré",$G66&lt;&gt;"À migrer",$G66&lt;&gt;"À décommissionner",$G66&lt;&gt;"Décommissionné"),"Action invalide",IF(COUNTIF(TblDomaines[Domaine],$A66)=0,"Domaine inconnu (référentiel)",IF(COUNTIFS(TblTribes[Tribe],$B66,TblTribes[Domaine de la tribe],$A66)=0,"Tribe inconnue ou hors domaine",IF(AND($G66="À migrer",$H66&lt;&gt;"Oui",$H66&lt;&gt;"Non"),"Valeur Oui/Non invalide (Déjà incluse ROKS)",IF(AND($E66&lt;&gt;"PRD",$E66&lt;&gt;"NPRD"),"Environnement invalide",IF(COUNTIFS(TblApplications[ID],$C66,TblApplications[Environnement],$E66,TblApplications[Couloir],$F66)&gt;1,"Déploiement en doublon (ID + env + couloir)",IF(OR(AND($K66&lt;&gt;"",NOT(ISNUMBER($K66))),AND($L66&lt;&gt;"",NOT(ISNUMBER($L66))),AND($N66&lt;&gt;"",NOT(ISNUMBER($N66))),AND($O66&lt;&gt;"",NOT(ISNUMBER($O66)))),"Ressource non numérique",IF(MIN(N($K66),N($L66),N($N66),N($O66))&lt;0,"Ressource négative",IF(OR(AND($AC66&lt;&gt;"",OR(NOT(ISNUMBER($AC66)),$AC66&lt;0,$AC66&gt;1)),AND($AD66&lt;&gt;"",OR(NOT(ISNUMBER($AD66)),$AD66&lt;0,$AD66&gt;1))),"Marge spécifique invalide (0–100 %)",IF(OR(AND($P66&lt;&gt;"",NOT(ISNUMBER($P66))),AND($Q66&lt;&gt;"",NOT(ISNUMBER($Q66))),AND($R66&lt;&gt;"",NOT(ISNUMBER($R66)))),"Mois invalide",IF(AND(OR($G66="À migrer",$G66="À décommissionner"),COUNTIFS(TblClusters[Cluster],$I66,TblClusters[Plateforme],"IKS")=0),"Cluster IKS inconnu",IF(AND(OR($G66="À migrer",$G66="Migré"),COUNTIFS(TblClusters[Cluster],$J66,TblClusters[Plateforme],"ROKS")=0),"Cluster ROKS inconnu",IF(AND(OR($G66="À migrer",$G66="À décommissionner"),COUNTIFS(TblClusters[Cluster],$I66,TblClusters[Environnement],$E66)=0),"Environnement ≠ cluster IKS",IF(AND(OR($G66="À migrer",$G66="Migré"),COUNTIFS(TblClusters[Cluster],$J66,TblClusters[Environnement],$E66)=0),"Environnement ≠ cluster ROKS",IF(AND($G66="À migrer",OR($P66&gt;$Q66,$Q66&gt;$R66)),"Dates incohérentes (prov ≤ bascule ≤ libération)",IF(AND(OR($G66="À migrer",$G66="À décommissionner"),OR(N($N66)&gt;SUMIFS(TblClusters[CPU initial (vCPU)],TblClusters[Cluster],$I66),N($O66)&gt;SUMIFS(TblClusters[RAM initiale (Go)],TblClusters[Cluster],$I66))),"Libération &gt; capacité du cluster source",IF(OR(AND($V66&lt;&gt;"",$V66&lt;p_debut),AND($W66&lt;&gt;"",$W66&gt;p_fin)),"Hors horizon (info)",IF(AND($G66="À migrer",$E66="PRD",COUNTIFS(TblApplications[ID],$C66,TblApplications[Environnement],"NPRD",TblApplications[Action],"À migrer")&gt;0,$V66&lt;_xlfn.MINIFS(TblApplications[Mois prov (calc)],TblApplications[ID],$C66,TblApplications[Environnement],"NPRD")),"PRD avant NPRD (info)","OK"))))))))))))))))))))</f>
        <v/>
      </c>
      <c r="AC66" s="76"/>
      <c r="AD66" s="76"/>
      <c r="AE66" s="22" t="str">
        <f aca="false">IF(OR($C66="",NOT(OR($G66="À migrer",$G66="À décommissionner")),NOT(ISNUMBER($N66)),NOT(ISNUMBER($O66)),$W66=""),"",($N66+p_poidsram*$O66)*SUMIFS(TblCalculs[Coût par unité],TblCalculs[Cluster],$I66,TblCalculs[Mois],"&lt;"&amp;$W66))</f>
        <v/>
      </c>
      <c r="AF66" s="22" t="str">
        <f aca="false">IF($C66="","",IF(AND($G66="À migrer",$H66="Non",$T66&lt;&gt;"",$V66&lt;&gt;""),($T66+p_poidsram*$U66)*SUMIFS(TblCalculs[Coût par unité],TblCalculs[Cluster],$J66,TblCalculs[Mois],"&gt;="&amp;$V66),IF(AND($G66="Migré",$T66&lt;&gt;""),($T66+p_poidsram*$U66)*SUMIFS(TblCalculs[Coût par unité],TblCalculs[Cluster],$J66),"")))</f>
        <v/>
      </c>
      <c r="AG66" s="22" t="str">
        <f aca="false">IF($C66="","",N($AE66)+N($AF66))</f>
        <v/>
      </c>
      <c r="AH66" s="21" t="str">
        <f aca="false">IF(OR($C66="",$G66="Décommissionné",COUNTIFS($E66,av_envc,$A66,av_domc,$B66,av_tric)=0),"",COUNTIFS($C$6:$C66,"&lt;&gt;",$G$6:$G66,"&lt;&gt;Décommissionné",$E$6:$E66,av_envc,$A$6:$A66,av_domc,$B$6:$B66,av_tric))</f>
        <v/>
      </c>
      <c r="AI66" s="21" t="str">
        <f aca="false">IF($C66="","",IF(AND(OR($G66="À migrer",$G66="À décommissionner"),$W66&lt;&gt;"",$W66&gt;ex_mois),1,0))</f>
        <v/>
      </c>
      <c r="AJ66" s="21" t="str">
        <f aca="false">IF(OR($C66="",$AI66&lt;&gt;1,COUNTIFS($E66,ex_envc,$A66,ex_domc,$B66,ex_tric)=0),"",COUNTIFS($AI$6:$AI66,1,$E$6:$E66,ex_envc,$A$6:$A66,ex_domc,$B$6:$B66,ex_tric))</f>
        <v/>
      </c>
    </row>
    <row r="67" customFormat="false" ht="15" hidden="false" customHeight="false" outlineLevel="0" collapsed="false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5"/>
      <c r="Q67" s="75"/>
      <c r="R67" s="75"/>
      <c r="S67" s="74"/>
      <c r="T67" s="21" t="str">
        <f aca="false">IF(OR($C67="",NOT(OR($G67="À migrer",$G67="Migré")),NOT(ISNUMBER($K67))),"",ROUNDUP($K67*(1+IF($AC67="",p_margeCPU,$AC67)),0))</f>
        <v/>
      </c>
      <c r="U67" s="21" t="str">
        <f aca="false">IF(OR($C67="",NOT(OR($G67="À migrer",$G67="Migré")),NOT(ISNUMBER($L67))),"",ROUNDUP($L67*(1+IF($AD67="",p_margeRAM,$AD67)),0))</f>
        <v/>
      </c>
      <c r="V67" s="39" t="str">
        <f aca="false">IF(OR(NOT($G67="À migrer"),$P67=""),"",IFERROR(DATE(YEAR($P67),MONTH($P67),1),""))</f>
        <v/>
      </c>
      <c r="W67" s="39" t="str">
        <f aca="false">IF(OR(NOT(OR($G67="À migrer",$G67="À décommissionner")),$R67=""),"",IFERROR(DATE(YEAR($R67),MONTH($R67),1),""))</f>
        <v/>
      </c>
      <c r="X67" s="21" t="str">
        <f aca="false">IF(OR($V67="",$W67=""),"",MAX(0,(YEAR($W67)-YEAR($V67))*12+MONTH($W67)-MONTH($V67)))</f>
        <v/>
      </c>
      <c r="Y67" s="21" t="str">
        <f aca="false">IF($C67="","",COUNTIF(TblApplications[ID],$C67))</f>
        <v/>
      </c>
      <c r="Z67" s="39" t="str">
        <f aca="false">IF($C67="","",IFERROR(1/(1/_xlfn.MINIFS(TblApplications[Mois prov (calc)],TblApplications[ID],$C67)),""))</f>
        <v/>
      </c>
      <c r="AA67" s="39" t="str">
        <f aca="false">IF($C67="","",IFERROR(1/(1/_xlfn.MAXIFS(TblApplications[Mois lib (calc)],TblApplications[ID],$C67)),""))</f>
        <v/>
      </c>
      <c r="AB67" s="21" t="str">
        <f aca="false">IF($C67="","",IF(OR(OR($A67="",$B67="",$D67="",$E67="",$F67="",$G67=""),AND($G67="À migrer",OR($H67="",$I67="",$J67="",$K67="",$L67="",$N67="",$O67="",$P67="",$Q67="",$R67="")),AND($G67="Migré",OR($J67="",$K67="",$L67="")),AND($G67="À décommissionner",OR($I67="",$N67="",$O67="",$R67=""))),"Données manquantes (selon l’action)",IF(AND($G67&lt;&gt;"Migré",$G67&lt;&gt;"À migrer",$G67&lt;&gt;"À décommissionner",$G67&lt;&gt;"Décommissionné"),"Action invalide",IF(COUNTIF(TblDomaines[Domaine],$A67)=0,"Domaine inconnu (référentiel)",IF(COUNTIFS(TblTribes[Tribe],$B67,TblTribes[Domaine de la tribe],$A67)=0,"Tribe inconnue ou hors domaine",IF(AND($G67="À migrer",$H67&lt;&gt;"Oui",$H67&lt;&gt;"Non"),"Valeur Oui/Non invalide (Déjà incluse ROKS)",IF(AND($E67&lt;&gt;"PRD",$E67&lt;&gt;"NPRD"),"Environnement invalide",IF(COUNTIFS(TblApplications[ID],$C67,TblApplications[Environnement],$E67,TblApplications[Couloir],$F67)&gt;1,"Déploiement en doublon (ID + env + couloir)",IF(OR(AND($K67&lt;&gt;"",NOT(ISNUMBER($K67))),AND($L67&lt;&gt;"",NOT(ISNUMBER($L67))),AND($N67&lt;&gt;"",NOT(ISNUMBER($N67))),AND($O67&lt;&gt;"",NOT(ISNUMBER($O67)))),"Ressource non numérique",IF(MIN(N($K67),N($L67),N($N67),N($O67))&lt;0,"Ressource négative",IF(OR(AND($AC67&lt;&gt;"",OR(NOT(ISNUMBER($AC67)),$AC67&lt;0,$AC67&gt;1)),AND($AD67&lt;&gt;"",OR(NOT(ISNUMBER($AD67)),$AD67&lt;0,$AD67&gt;1))),"Marge spécifique invalide (0–100 %)",IF(OR(AND($P67&lt;&gt;"",NOT(ISNUMBER($P67))),AND($Q67&lt;&gt;"",NOT(ISNUMBER($Q67))),AND($R67&lt;&gt;"",NOT(ISNUMBER($R67)))),"Mois invalide",IF(AND(OR($G67="À migrer",$G67="À décommissionner"),COUNTIFS(TblClusters[Cluster],$I67,TblClusters[Plateforme],"IKS")=0),"Cluster IKS inconnu",IF(AND(OR($G67="À migrer",$G67="Migré"),COUNTIFS(TblClusters[Cluster],$J67,TblClusters[Plateforme],"ROKS")=0),"Cluster ROKS inconnu",IF(AND(OR($G67="À migrer",$G67="À décommissionner"),COUNTIFS(TblClusters[Cluster],$I67,TblClusters[Environnement],$E67)=0),"Environnement ≠ cluster IKS",IF(AND(OR($G67="À migrer",$G67="Migré"),COUNTIFS(TblClusters[Cluster],$J67,TblClusters[Environnement],$E67)=0),"Environnement ≠ cluster ROKS",IF(AND($G67="À migrer",OR($P67&gt;$Q67,$Q67&gt;$R67)),"Dates incohérentes (prov ≤ bascule ≤ libération)",IF(AND(OR($G67="À migrer",$G67="À décommissionner"),OR(N($N67)&gt;SUMIFS(TblClusters[CPU initial (vCPU)],TblClusters[Cluster],$I67),N($O67)&gt;SUMIFS(TblClusters[RAM initiale (Go)],TblClusters[Cluster],$I67))),"Libération &gt; capacité du cluster source",IF(OR(AND($V67&lt;&gt;"",$V67&lt;p_debut),AND($W67&lt;&gt;"",$W67&gt;p_fin)),"Hors horizon (info)",IF(AND($G67="À migrer",$E67="PRD",COUNTIFS(TblApplications[ID],$C67,TblApplications[Environnement],"NPRD",TblApplications[Action],"À migrer")&gt;0,$V67&lt;_xlfn.MINIFS(TblApplications[Mois prov (calc)],TblApplications[ID],$C67,TblApplications[Environnement],"NPRD")),"PRD avant NPRD (info)","OK"))))))))))))))))))))</f>
        <v/>
      </c>
      <c r="AC67" s="76"/>
      <c r="AD67" s="76"/>
      <c r="AE67" s="22" t="str">
        <f aca="false">IF(OR($C67="",NOT(OR($G67="À migrer",$G67="À décommissionner")),NOT(ISNUMBER($N67)),NOT(ISNUMBER($O67)),$W67=""),"",($N67+p_poidsram*$O67)*SUMIFS(TblCalculs[Coût par unité],TblCalculs[Cluster],$I67,TblCalculs[Mois],"&lt;"&amp;$W67))</f>
        <v/>
      </c>
      <c r="AF67" s="22" t="str">
        <f aca="false">IF($C67="","",IF(AND($G67="À migrer",$H67="Non",$T67&lt;&gt;"",$V67&lt;&gt;""),($T67+p_poidsram*$U67)*SUMIFS(TblCalculs[Coût par unité],TblCalculs[Cluster],$J67,TblCalculs[Mois],"&gt;="&amp;$V67),IF(AND($G67="Migré",$T67&lt;&gt;""),($T67+p_poidsram*$U67)*SUMIFS(TblCalculs[Coût par unité],TblCalculs[Cluster],$J67),"")))</f>
        <v/>
      </c>
      <c r="AG67" s="22" t="str">
        <f aca="false">IF($C67="","",N($AE67)+N($AF67))</f>
        <v/>
      </c>
      <c r="AH67" s="21" t="str">
        <f aca="false">IF(OR($C67="",$G67="Décommissionné",COUNTIFS($E67,av_envc,$A67,av_domc,$B67,av_tric)=0),"",COUNTIFS($C$6:$C67,"&lt;&gt;",$G$6:$G67,"&lt;&gt;Décommissionné",$E$6:$E67,av_envc,$A$6:$A67,av_domc,$B$6:$B67,av_tric))</f>
        <v/>
      </c>
      <c r="AI67" s="21" t="str">
        <f aca="false">IF($C67="","",IF(AND(OR($G67="À migrer",$G67="À décommissionner"),$W67&lt;&gt;"",$W67&gt;ex_mois),1,0))</f>
        <v/>
      </c>
      <c r="AJ67" s="21" t="str">
        <f aca="false">IF(OR($C67="",$AI67&lt;&gt;1,COUNTIFS($E67,ex_envc,$A67,ex_domc,$B67,ex_tric)=0),"",COUNTIFS($AI$6:$AI67,1,$E$6:$E67,ex_envc,$A$6:$A67,ex_domc,$B$6:$B67,ex_tric))</f>
        <v/>
      </c>
    </row>
    <row r="68" customFormat="false" ht="15" hidden="false" customHeight="false" outlineLevel="0" collapsed="false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5"/>
      <c r="Q68" s="75"/>
      <c r="R68" s="75"/>
      <c r="S68" s="74"/>
      <c r="T68" s="21" t="str">
        <f aca="false">IF(OR($C68="",NOT(OR($G68="À migrer",$G68="Migré")),NOT(ISNUMBER($K68))),"",ROUNDUP($K68*(1+IF($AC68="",p_margeCPU,$AC68)),0))</f>
        <v/>
      </c>
      <c r="U68" s="21" t="str">
        <f aca="false">IF(OR($C68="",NOT(OR($G68="À migrer",$G68="Migré")),NOT(ISNUMBER($L68))),"",ROUNDUP($L68*(1+IF($AD68="",p_margeRAM,$AD68)),0))</f>
        <v/>
      </c>
      <c r="V68" s="39" t="str">
        <f aca="false">IF(OR(NOT($G68="À migrer"),$P68=""),"",IFERROR(DATE(YEAR($P68),MONTH($P68),1),""))</f>
        <v/>
      </c>
      <c r="W68" s="39" t="str">
        <f aca="false">IF(OR(NOT(OR($G68="À migrer",$G68="À décommissionner")),$R68=""),"",IFERROR(DATE(YEAR($R68),MONTH($R68),1),""))</f>
        <v/>
      </c>
      <c r="X68" s="21" t="str">
        <f aca="false">IF(OR($V68="",$W68=""),"",MAX(0,(YEAR($W68)-YEAR($V68))*12+MONTH($W68)-MONTH($V68)))</f>
        <v/>
      </c>
      <c r="Y68" s="21" t="str">
        <f aca="false">IF($C68="","",COUNTIF(TblApplications[ID],$C68))</f>
        <v/>
      </c>
      <c r="Z68" s="39" t="str">
        <f aca="false">IF($C68="","",IFERROR(1/(1/_xlfn.MINIFS(TblApplications[Mois prov (calc)],TblApplications[ID],$C68)),""))</f>
        <v/>
      </c>
      <c r="AA68" s="39" t="str">
        <f aca="false">IF($C68="","",IFERROR(1/(1/_xlfn.MAXIFS(TblApplications[Mois lib (calc)],TblApplications[ID],$C68)),""))</f>
        <v/>
      </c>
      <c r="AB68" s="21" t="str">
        <f aca="false">IF($C68="","",IF(OR(OR($A68="",$B68="",$D68="",$E68="",$F68="",$G68=""),AND($G68="À migrer",OR($H68="",$I68="",$J68="",$K68="",$L68="",$N68="",$O68="",$P68="",$Q68="",$R68="")),AND($G68="Migré",OR($J68="",$K68="",$L68="")),AND($G68="À décommissionner",OR($I68="",$N68="",$O68="",$R68=""))),"Données manquantes (selon l’action)",IF(AND($G68&lt;&gt;"Migré",$G68&lt;&gt;"À migrer",$G68&lt;&gt;"À décommissionner",$G68&lt;&gt;"Décommissionné"),"Action invalide",IF(COUNTIF(TblDomaines[Domaine],$A68)=0,"Domaine inconnu (référentiel)",IF(COUNTIFS(TblTribes[Tribe],$B68,TblTribes[Domaine de la tribe],$A68)=0,"Tribe inconnue ou hors domaine",IF(AND($G68="À migrer",$H68&lt;&gt;"Oui",$H68&lt;&gt;"Non"),"Valeur Oui/Non invalide (Déjà incluse ROKS)",IF(AND($E68&lt;&gt;"PRD",$E68&lt;&gt;"NPRD"),"Environnement invalide",IF(COUNTIFS(TblApplications[ID],$C68,TblApplications[Environnement],$E68,TblApplications[Couloir],$F68)&gt;1,"Déploiement en doublon (ID + env + couloir)",IF(OR(AND($K68&lt;&gt;"",NOT(ISNUMBER($K68))),AND($L68&lt;&gt;"",NOT(ISNUMBER($L68))),AND($N68&lt;&gt;"",NOT(ISNUMBER($N68))),AND($O68&lt;&gt;"",NOT(ISNUMBER($O68)))),"Ressource non numérique",IF(MIN(N($K68),N($L68),N($N68),N($O68))&lt;0,"Ressource négative",IF(OR(AND($AC68&lt;&gt;"",OR(NOT(ISNUMBER($AC68)),$AC68&lt;0,$AC68&gt;1)),AND($AD68&lt;&gt;"",OR(NOT(ISNUMBER($AD68)),$AD68&lt;0,$AD68&gt;1))),"Marge spécifique invalide (0–100 %)",IF(OR(AND($P68&lt;&gt;"",NOT(ISNUMBER($P68))),AND($Q68&lt;&gt;"",NOT(ISNUMBER($Q68))),AND($R68&lt;&gt;"",NOT(ISNUMBER($R68)))),"Mois invalide",IF(AND(OR($G68="À migrer",$G68="À décommissionner"),COUNTIFS(TblClusters[Cluster],$I68,TblClusters[Plateforme],"IKS")=0),"Cluster IKS inconnu",IF(AND(OR($G68="À migrer",$G68="Migré"),COUNTIFS(TblClusters[Cluster],$J68,TblClusters[Plateforme],"ROKS")=0),"Cluster ROKS inconnu",IF(AND(OR($G68="À migrer",$G68="À décommissionner"),COUNTIFS(TblClusters[Cluster],$I68,TblClusters[Environnement],$E68)=0),"Environnement ≠ cluster IKS",IF(AND(OR($G68="À migrer",$G68="Migré"),COUNTIFS(TblClusters[Cluster],$J68,TblClusters[Environnement],$E68)=0),"Environnement ≠ cluster ROKS",IF(AND($G68="À migrer",OR($P68&gt;$Q68,$Q68&gt;$R68)),"Dates incohérentes (prov ≤ bascule ≤ libération)",IF(AND(OR($G68="À migrer",$G68="À décommissionner"),OR(N($N68)&gt;SUMIFS(TblClusters[CPU initial (vCPU)],TblClusters[Cluster],$I68),N($O68)&gt;SUMIFS(TblClusters[RAM initiale (Go)],TblClusters[Cluster],$I68))),"Libération &gt; capacité du cluster source",IF(OR(AND($V68&lt;&gt;"",$V68&lt;p_debut),AND($W68&lt;&gt;"",$W68&gt;p_fin)),"Hors horizon (info)",IF(AND($G68="À migrer",$E68="PRD",COUNTIFS(TblApplications[ID],$C68,TblApplications[Environnement],"NPRD",TblApplications[Action],"À migrer")&gt;0,$V68&lt;_xlfn.MINIFS(TblApplications[Mois prov (calc)],TblApplications[ID],$C68,TblApplications[Environnement],"NPRD")),"PRD avant NPRD (info)","OK"))))))))))))))))))))</f>
        <v/>
      </c>
      <c r="AC68" s="76"/>
      <c r="AD68" s="76"/>
      <c r="AE68" s="22" t="str">
        <f aca="false">IF(OR($C68="",NOT(OR($G68="À migrer",$G68="À décommissionner")),NOT(ISNUMBER($N68)),NOT(ISNUMBER($O68)),$W68=""),"",($N68+p_poidsram*$O68)*SUMIFS(TblCalculs[Coût par unité],TblCalculs[Cluster],$I68,TblCalculs[Mois],"&lt;"&amp;$W68))</f>
        <v/>
      </c>
      <c r="AF68" s="22" t="str">
        <f aca="false">IF($C68="","",IF(AND($G68="À migrer",$H68="Non",$T68&lt;&gt;"",$V68&lt;&gt;""),($T68+p_poidsram*$U68)*SUMIFS(TblCalculs[Coût par unité],TblCalculs[Cluster],$J68,TblCalculs[Mois],"&gt;="&amp;$V68),IF(AND($G68="Migré",$T68&lt;&gt;""),($T68+p_poidsram*$U68)*SUMIFS(TblCalculs[Coût par unité],TblCalculs[Cluster],$J68),"")))</f>
        <v/>
      </c>
      <c r="AG68" s="22" t="str">
        <f aca="false">IF($C68="","",N($AE68)+N($AF68))</f>
        <v/>
      </c>
      <c r="AH68" s="21" t="str">
        <f aca="false">IF(OR($C68="",$G68="Décommissionné",COUNTIFS($E68,av_envc,$A68,av_domc,$B68,av_tric)=0),"",COUNTIFS($C$6:$C68,"&lt;&gt;",$G$6:$G68,"&lt;&gt;Décommissionné",$E$6:$E68,av_envc,$A$6:$A68,av_domc,$B$6:$B68,av_tric))</f>
        <v/>
      </c>
      <c r="AI68" s="21" t="str">
        <f aca="false">IF($C68="","",IF(AND(OR($G68="À migrer",$G68="À décommissionner"),$W68&lt;&gt;"",$W68&gt;ex_mois),1,0))</f>
        <v/>
      </c>
      <c r="AJ68" s="21" t="str">
        <f aca="false">IF(OR($C68="",$AI68&lt;&gt;1,COUNTIFS($E68,ex_envc,$A68,ex_domc,$B68,ex_tric)=0),"",COUNTIFS($AI$6:$AI68,1,$E$6:$E68,ex_envc,$A$6:$A68,ex_domc,$B$6:$B68,ex_tric))</f>
        <v/>
      </c>
    </row>
    <row r="69" customFormat="false" ht="15" hidden="false" customHeight="false" outlineLevel="0" collapsed="false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5"/>
      <c r="Q69" s="75"/>
      <c r="R69" s="75"/>
      <c r="S69" s="74"/>
      <c r="T69" s="21" t="str">
        <f aca="false">IF(OR($C69="",NOT(OR($G69="À migrer",$G69="Migré")),NOT(ISNUMBER($K69))),"",ROUNDUP($K69*(1+IF($AC69="",p_margeCPU,$AC69)),0))</f>
        <v/>
      </c>
      <c r="U69" s="21" t="str">
        <f aca="false">IF(OR($C69="",NOT(OR($G69="À migrer",$G69="Migré")),NOT(ISNUMBER($L69))),"",ROUNDUP($L69*(1+IF($AD69="",p_margeRAM,$AD69)),0))</f>
        <v/>
      </c>
      <c r="V69" s="39" t="str">
        <f aca="false">IF(OR(NOT($G69="À migrer"),$P69=""),"",IFERROR(DATE(YEAR($P69),MONTH($P69),1),""))</f>
        <v/>
      </c>
      <c r="W69" s="39" t="str">
        <f aca="false">IF(OR(NOT(OR($G69="À migrer",$G69="À décommissionner")),$R69=""),"",IFERROR(DATE(YEAR($R69),MONTH($R69),1),""))</f>
        <v/>
      </c>
      <c r="X69" s="21" t="str">
        <f aca="false">IF(OR($V69="",$W69=""),"",MAX(0,(YEAR($W69)-YEAR($V69))*12+MONTH($W69)-MONTH($V69)))</f>
        <v/>
      </c>
      <c r="Y69" s="21" t="str">
        <f aca="false">IF($C69="","",COUNTIF(TblApplications[ID],$C69))</f>
        <v/>
      </c>
      <c r="Z69" s="39" t="str">
        <f aca="false">IF($C69="","",IFERROR(1/(1/_xlfn.MINIFS(TblApplications[Mois prov (calc)],TblApplications[ID],$C69)),""))</f>
        <v/>
      </c>
      <c r="AA69" s="39" t="str">
        <f aca="false">IF($C69="","",IFERROR(1/(1/_xlfn.MAXIFS(TblApplications[Mois lib (calc)],TblApplications[ID],$C69)),""))</f>
        <v/>
      </c>
      <c r="AB69" s="21" t="str">
        <f aca="false">IF($C69="","",IF(OR(OR($A69="",$B69="",$D69="",$E69="",$F69="",$G69=""),AND($G69="À migrer",OR($H69="",$I69="",$J69="",$K69="",$L69="",$N69="",$O69="",$P69="",$Q69="",$R69="")),AND($G69="Migré",OR($J69="",$K69="",$L69="")),AND($G69="À décommissionner",OR($I69="",$N69="",$O69="",$R69=""))),"Données manquantes (selon l’action)",IF(AND($G69&lt;&gt;"Migré",$G69&lt;&gt;"À migrer",$G69&lt;&gt;"À décommissionner",$G69&lt;&gt;"Décommissionné"),"Action invalide",IF(COUNTIF(TblDomaines[Domaine],$A69)=0,"Domaine inconnu (référentiel)",IF(COUNTIFS(TblTribes[Tribe],$B69,TblTribes[Domaine de la tribe],$A69)=0,"Tribe inconnue ou hors domaine",IF(AND($G69="À migrer",$H69&lt;&gt;"Oui",$H69&lt;&gt;"Non"),"Valeur Oui/Non invalide (Déjà incluse ROKS)",IF(AND($E69&lt;&gt;"PRD",$E69&lt;&gt;"NPRD"),"Environnement invalide",IF(COUNTIFS(TblApplications[ID],$C69,TblApplications[Environnement],$E69,TblApplications[Couloir],$F69)&gt;1,"Déploiement en doublon (ID + env + couloir)",IF(OR(AND($K69&lt;&gt;"",NOT(ISNUMBER($K69))),AND($L69&lt;&gt;"",NOT(ISNUMBER($L69))),AND($N69&lt;&gt;"",NOT(ISNUMBER($N69))),AND($O69&lt;&gt;"",NOT(ISNUMBER($O69)))),"Ressource non numérique",IF(MIN(N($K69),N($L69),N($N69),N($O69))&lt;0,"Ressource négative",IF(OR(AND($AC69&lt;&gt;"",OR(NOT(ISNUMBER($AC69)),$AC69&lt;0,$AC69&gt;1)),AND($AD69&lt;&gt;"",OR(NOT(ISNUMBER($AD69)),$AD69&lt;0,$AD69&gt;1))),"Marge spécifique invalide (0–100 %)",IF(OR(AND($P69&lt;&gt;"",NOT(ISNUMBER($P69))),AND($Q69&lt;&gt;"",NOT(ISNUMBER($Q69))),AND($R69&lt;&gt;"",NOT(ISNUMBER($R69)))),"Mois invalide",IF(AND(OR($G69="À migrer",$G69="À décommissionner"),COUNTIFS(TblClusters[Cluster],$I69,TblClusters[Plateforme],"IKS")=0),"Cluster IKS inconnu",IF(AND(OR($G69="À migrer",$G69="Migré"),COUNTIFS(TblClusters[Cluster],$J69,TblClusters[Plateforme],"ROKS")=0),"Cluster ROKS inconnu",IF(AND(OR($G69="À migrer",$G69="À décommissionner"),COUNTIFS(TblClusters[Cluster],$I69,TblClusters[Environnement],$E69)=0),"Environnement ≠ cluster IKS",IF(AND(OR($G69="À migrer",$G69="Migré"),COUNTIFS(TblClusters[Cluster],$J69,TblClusters[Environnement],$E69)=0),"Environnement ≠ cluster ROKS",IF(AND($G69="À migrer",OR($P69&gt;$Q69,$Q69&gt;$R69)),"Dates incohérentes (prov ≤ bascule ≤ libération)",IF(AND(OR($G69="À migrer",$G69="À décommissionner"),OR(N($N69)&gt;SUMIFS(TblClusters[CPU initial (vCPU)],TblClusters[Cluster],$I69),N($O69)&gt;SUMIFS(TblClusters[RAM initiale (Go)],TblClusters[Cluster],$I69))),"Libération &gt; capacité du cluster source",IF(OR(AND($V69&lt;&gt;"",$V69&lt;p_debut),AND($W69&lt;&gt;"",$W69&gt;p_fin)),"Hors horizon (info)",IF(AND($G69="À migrer",$E69="PRD",COUNTIFS(TblApplications[ID],$C69,TblApplications[Environnement],"NPRD",TblApplications[Action],"À migrer")&gt;0,$V69&lt;_xlfn.MINIFS(TblApplications[Mois prov (calc)],TblApplications[ID],$C69,TblApplications[Environnement],"NPRD")),"PRD avant NPRD (info)","OK"))))))))))))))))))))</f>
        <v/>
      </c>
      <c r="AC69" s="76"/>
      <c r="AD69" s="76"/>
      <c r="AE69" s="22" t="str">
        <f aca="false">IF(OR($C69="",NOT(OR($G69="À migrer",$G69="À décommissionner")),NOT(ISNUMBER($N69)),NOT(ISNUMBER($O69)),$W69=""),"",($N69+p_poidsram*$O69)*SUMIFS(TblCalculs[Coût par unité],TblCalculs[Cluster],$I69,TblCalculs[Mois],"&lt;"&amp;$W69))</f>
        <v/>
      </c>
      <c r="AF69" s="22" t="str">
        <f aca="false">IF($C69="","",IF(AND($G69="À migrer",$H69="Non",$T69&lt;&gt;"",$V69&lt;&gt;""),($T69+p_poidsram*$U69)*SUMIFS(TblCalculs[Coût par unité],TblCalculs[Cluster],$J69,TblCalculs[Mois],"&gt;="&amp;$V69),IF(AND($G69="Migré",$T69&lt;&gt;""),($T69+p_poidsram*$U69)*SUMIFS(TblCalculs[Coût par unité],TblCalculs[Cluster],$J69),"")))</f>
        <v/>
      </c>
      <c r="AG69" s="22" t="str">
        <f aca="false">IF($C69="","",N($AE69)+N($AF69))</f>
        <v/>
      </c>
      <c r="AH69" s="21" t="str">
        <f aca="false">IF(OR($C69="",$G69="Décommissionné",COUNTIFS($E69,av_envc,$A69,av_domc,$B69,av_tric)=0),"",COUNTIFS($C$6:$C69,"&lt;&gt;",$G$6:$G69,"&lt;&gt;Décommissionné",$E$6:$E69,av_envc,$A$6:$A69,av_domc,$B$6:$B69,av_tric))</f>
        <v/>
      </c>
      <c r="AI69" s="21" t="str">
        <f aca="false">IF($C69="","",IF(AND(OR($G69="À migrer",$G69="À décommissionner"),$W69&lt;&gt;"",$W69&gt;ex_mois),1,0))</f>
        <v/>
      </c>
      <c r="AJ69" s="21" t="str">
        <f aca="false">IF(OR($C69="",$AI69&lt;&gt;1,COUNTIFS($E69,ex_envc,$A69,ex_domc,$B69,ex_tric)=0),"",COUNTIFS($AI$6:$AI69,1,$E$6:$E69,ex_envc,$A$6:$A69,ex_domc,$B$6:$B69,ex_tric))</f>
        <v/>
      </c>
    </row>
    <row r="70" customFormat="false" ht="15" hidden="false" customHeight="false" outlineLevel="0" collapsed="false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5"/>
      <c r="Q70" s="75"/>
      <c r="R70" s="75"/>
      <c r="S70" s="74"/>
      <c r="T70" s="21" t="str">
        <f aca="false">IF(OR($C70="",NOT(OR($G70="À migrer",$G70="Migré")),NOT(ISNUMBER($K70))),"",ROUNDUP($K70*(1+IF($AC70="",p_margeCPU,$AC70)),0))</f>
        <v/>
      </c>
      <c r="U70" s="21" t="str">
        <f aca="false">IF(OR($C70="",NOT(OR($G70="À migrer",$G70="Migré")),NOT(ISNUMBER($L70))),"",ROUNDUP($L70*(1+IF($AD70="",p_margeRAM,$AD70)),0))</f>
        <v/>
      </c>
      <c r="V70" s="39" t="str">
        <f aca="false">IF(OR(NOT($G70="À migrer"),$P70=""),"",IFERROR(DATE(YEAR($P70),MONTH($P70),1),""))</f>
        <v/>
      </c>
      <c r="W70" s="39" t="str">
        <f aca="false">IF(OR(NOT(OR($G70="À migrer",$G70="À décommissionner")),$R70=""),"",IFERROR(DATE(YEAR($R70),MONTH($R70),1),""))</f>
        <v/>
      </c>
      <c r="X70" s="21" t="str">
        <f aca="false">IF(OR($V70="",$W70=""),"",MAX(0,(YEAR($W70)-YEAR($V70))*12+MONTH($W70)-MONTH($V70)))</f>
        <v/>
      </c>
      <c r="Y70" s="21" t="str">
        <f aca="false">IF($C70="","",COUNTIF(TblApplications[ID],$C70))</f>
        <v/>
      </c>
      <c r="Z70" s="39" t="str">
        <f aca="false">IF($C70="","",IFERROR(1/(1/_xlfn.MINIFS(TblApplications[Mois prov (calc)],TblApplications[ID],$C70)),""))</f>
        <v/>
      </c>
      <c r="AA70" s="39" t="str">
        <f aca="false">IF($C70="","",IFERROR(1/(1/_xlfn.MAXIFS(TblApplications[Mois lib (calc)],TblApplications[ID],$C70)),""))</f>
        <v/>
      </c>
      <c r="AB70" s="21" t="str">
        <f aca="false">IF($C70="","",IF(OR(OR($A70="",$B70="",$D70="",$E70="",$F70="",$G70=""),AND($G70="À migrer",OR($H70="",$I70="",$J70="",$K70="",$L70="",$N70="",$O70="",$P70="",$Q70="",$R70="")),AND($G70="Migré",OR($J70="",$K70="",$L70="")),AND($G70="À décommissionner",OR($I70="",$N70="",$O70="",$R70=""))),"Données manquantes (selon l’action)",IF(AND($G70&lt;&gt;"Migré",$G70&lt;&gt;"À migrer",$G70&lt;&gt;"À décommissionner",$G70&lt;&gt;"Décommissionné"),"Action invalide",IF(COUNTIF(TblDomaines[Domaine],$A70)=0,"Domaine inconnu (référentiel)",IF(COUNTIFS(TblTribes[Tribe],$B70,TblTribes[Domaine de la tribe],$A70)=0,"Tribe inconnue ou hors domaine",IF(AND($G70="À migrer",$H70&lt;&gt;"Oui",$H70&lt;&gt;"Non"),"Valeur Oui/Non invalide (Déjà incluse ROKS)",IF(AND($E70&lt;&gt;"PRD",$E70&lt;&gt;"NPRD"),"Environnement invalide",IF(COUNTIFS(TblApplications[ID],$C70,TblApplications[Environnement],$E70,TblApplications[Couloir],$F70)&gt;1,"Déploiement en doublon (ID + env + couloir)",IF(OR(AND($K70&lt;&gt;"",NOT(ISNUMBER($K70))),AND($L70&lt;&gt;"",NOT(ISNUMBER($L70))),AND($N70&lt;&gt;"",NOT(ISNUMBER($N70))),AND($O70&lt;&gt;"",NOT(ISNUMBER($O70)))),"Ressource non numérique",IF(MIN(N($K70),N($L70),N($N70),N($O70))&lt;0,"Ressource négative",IF(OR(AND($AC70&lt;&gt;"",OR(NOT(ISNUMBER($AC70)),$AC70&lt;0,$AC70&gt;1)),AND($AD70&lt;&gt;"",OR(NOT(ISNUMBER($AD70)),$AD70&lt;0,$AD70&gt;1))),"Marge spécifique invalide (0–100 %)",IF(OR(AND($P70&lt;&gt;"",NOT(ISNUMBER($P70))),AND($Q70&lt;&gt;"",NOT(ISNUMBER($Q70))),AND($R70&lt;&gt;"",NOT(ISNUMBER($R70)))),"Mois invalide",IF(AND(OR($G70="À migrer",$G70="À décommissionner"),COUNTIFS(TblClusters[Cluster],$I70,TblClusters[Plateforme],"IKS")=0),"Cluster IKS inconnu",IF(AND(OR($G70="À migrer",$G70="Migré"),COUNTIFS(TblClusters[Cluster],$J70,TblClusters[Plateforme],"ROKS")=0),"Cluster ROKS inconnu",IF(AND(OR($G70="À migrer",$G70="À décommissionner"),COUNTIFS(TblClusters[Cluster],$I70,TblClusters[Environnement],$E70)=0),"Environnement ≠ cluster IKS",IF(AND(OR($G70="À migrer",$G70="Migré"),COUNTIFS(TblClusters[Cluster],$J70,TblClusters[Environnement],$E70)=0),"Environnement ≠ cluster ROKS",IF(AND($G70="À migrer",OR($P70&gt;$Q70,$Q70&gt;$R70)),"Dates incohérentes (prov ≤ bascule ≤ libération)",IF(AND(OR($G70="À migrer",$G70="À décommissionner"),OR(N($N70)&gt;SUMIFS(TblClusters[CPU initial (vCPU)],TblClusters[Cluster],$I70),N($O70)&gt;SUMIFS(TblClusters[RAM initiale (Go)],TblClusters[Cluster],$I70))),"Libération &gt; capacité du cluster source",IF(OR(AND($V70&lt;&gt;"",$V70&lt;p_debut),AND($W70&lt;&gt;"",$W70&gt;p_fin)),"Hors horizon (info)",IF(AND($G70="À migrer",$E70="PRD",COUNTIFS(TblApplications[ID],$C70,TblApplications[Environnement],"NPRD",TblApplications[Action],"À migrer")&gt;0,$V70&lt;_xlfn.MINIFS(TblApplications[Mois prov (calc)],TblApplications[ID],$C70,TblApplications[Environnement],"NPRD")),"PRD avant NPRD (info)","OK"))))))))))))))))))))</f>
        <v/>
      </c>
      <c r="AC70" s="76"/>
      <c r="AD70" s="76"/>
      <c r="AE70" s="22" t="str">
        <f aca="false">IF(OR($C70="",NOT(OR($G70="À migrer",$G70="À décommissionner")),NOT(ISNUMBER($N70)),NOT(ISNUMBER($O70)),$W70=""),"",($N70+p_poidsram*$O70)*SUMIFS(TblCalculs[Coût par unité],TblCalculs[Cluster],$I70,TblCalculs[Mois],"&lt;"&amp;$W70))</f>
        <v/>
      </c>
      <c r="AF70" s="22" t="str">
        <f aca="false">IF($C70="","",IF(AND($G70="À migrer",$H70="Non",$T70&lt;&gt;"",$V70&lt;&gt;""),($T70+p_poidsram*$U70)*SUMIFS(TblCalculs[Coût par unité],TblCalculs[Cluster],$J70,TblCalculs[Mois],"&gt;="&amp;$V70),IF(AND($G70="Migré",$T70&lt;&gt;""),($T70+p_poidsram*$U70)*SUMIFS(TblCalculs[Coût par unité],TblCalculs[Cluster],$J70),"")))</f>
        <v/>
      </c>
      <c r="AG70" s="22" t="str">
        <f aca="false">IF($C70="","",N($AE70)+N($AF70))</f>
        <v/>
      </c>
      <c r="AH70" s="21" t="str">
        <f aca="false">IF(OR($C70="",$G70="Décommissionné",COUNTIFS($E70,av_envc,$A70,av_domc,$B70,av_tric)=0),"",COUNTIFS($C$6:$C70,"&lt;&gt;",$G$6:$G70,"&lt;&gt;Décommissionné",$E$6:$E70,av_envc,$A$6:$A70,av_domc,$B$6:$B70,av_tric))</f>
        <v/>
      </c>
      <c r="AI70" s="21" t="str">
        <f aca="false">IF($C70="","",IF(AND(OR($G70="À migrer",$G70="À décommissionner"),$W70&lt;&gt;"",$W70&gt;ex_mois),1,0))</f>
        <v/>
      </c>
      <c r="AJ70" s="21" t="str">
        <f aca="false">IF(OR($C70="",$AI70&lt;&gt;1,COUNTIFS($E70,ex_envc,$A70,ex_domc,$B70,ex_tric)=0),"",COUNTIFS($AI$6:$AI70,1,$E$6:$E70,ex_envc,$A$6:$A70,ex_domc,$B$6:$B70,ex_tric))</f>
        <v/>
      </c>
    </row>
    <row r="71" customFormat="false" ht="15" hidden="false" customHeight="false" outlineLevel="0" collapsed="false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5"/>
      <c r="Q71" s="75"/>
      <c r="R71" s="75"/>
      <c r="S71" s="74"/>
      <c r="T71" s="21" t="str">
        <f aca="false">IF(OR($C71="",NOT(OR($G71="À migrer",$G71="Migré")),NOT(ISNUMBER($K71))),"",ROUNDUP($K71*(1+IF($AC71="",p_margeCPU,$AC71)),0))</f>
        <v/>
      </c>
      <c r="U71" s="21" t="str">
        <f aca="false">IF(OR($C71="",NOT(OR($G71="À migrer",$G71="Migré")),NOT(ISNUMBER($L71))),"",ROUNDUP($L71*(1+IF($AD71="",p_margeRAM,$AD71)),0))</f>
        <v/>
      </c>
      <c r="V71" s="39" t="str">
        <f aca="false">IF(OR(NOT($G71="À migrer"),$P71=""),"",IFERROR(DATE(YEAR($P71),MONTH($P71),1),""))</f>
        <v/>
      </c>
      <c r="W71" s="39" t="str">
        <f aca="false">IF(OR(NOT(OR($G71="À migrer",$G71="À décommissionner")),$R71=""),"",IFERROR(DATE(YEAR($R71),MONTH($R71),1),""))</f>
        <v/>
      </c>
      <c r="X71" s="21" t="str">
        <f aca="false">IF(OR($V71="",$W71=""),"",MAX(0,(YEAR($W71)-YEAR($V71))*12+MONTH($W71)-MONTH($V71)))</f>
        <v/>
      </c>
      <c r="Y71" s="21" t="str">
        <f aca="false">IF($C71="","",COUNTIF(TblApplications[ID],$C71))</f>
        <v/>
      </c>
      <c r="Z71" s="39" t="str">
        <f aca="false">IF($C71="","",IFERROR(1/(1/_xlfn.MINIFS(TblApplications[Mois prov (calc)],TblApplications[ID],$C71)),""))</f>
        <v/>
      </c>
      <c r="AA71" s="39" t="str">
        <f aca="false">IF($C71="","",IFERROR(1/(1/_xlfn.MAXIFS(TblApplications[Mois lib (calc)],TblApplications[ID],$C71)),""))</f>
        <v/>
      </c>
      <c r="AB71" s="21" t="str">
        <f aca="false">IF($C71="","",IF(OR(OR($A71="",$B71="",$D71="",$E71="",$F71="",$G71=""),AND($G71="À migrer",OR($H71="",$I71="",$J71="",$K71="",$L71="",$N71="",$O71="",$P71="",$Q71="",$R71="")),AND($G71="Migré",OR($J71="",$K71="",$L71="")),AND($G71="À décommissionner",OR($I71="",$N71="",$O71="",$R71=""))),"Données manquantes (selon l’action)",IF(AND($G71&lt;&gt;"Migré",$G71&lt;&gt;"À migrer",$G71&lt;&gt;"À décommissionner",$G71&lt;&gt;"Décommissionné"),"Action invalide",IF(COUNTIF(TblDomaines[Domaine],$A71)=0,"Domaine inconnu (référentiel)",IF(COUNTIFS(TblTribes[Tribe],$B71,TblTribes[Domaine de la tribe],$A71)=0,"Tribe inconnue ou hors domaine",IF(AND($G71="À migrer",$H71&lt;&gt;"Oui",$H71&lt;&gt;"Non"),"Valeur Oui/Non invalide (Déjà incluse ROKS)",IF(AND($E71&lt;&gt;"PRD",$E71&lt;&gt;"NPRD"),"Environnement invalide",IF(COUNTIFS(TblApplications[ID],$C71,TblApplications[Environnement],$E71,TblApplications[Couloir],$F71)&gt;1,"Déploiement en doublon (ID + env + couloir)",IF(OR(AND($K71&lt;&gt;"",NOT(ISNUMBER($K71))),AND($L71&lt;&gt;"",NOT(ISNUMBER($L71))),AND($N71&lt;&gt;"",NOT(ISNUMBER($N71))),AND($O71&lt;&gt;"",NOT(ISNUMBER($O71)))),"Ressource non numérique",IF(MIN(N($K71),N($L71),N($N71),N($O71))&lt;0,"Ressource négative",IF(OR(AND($AC71&lt;&gt;"",OR(NOT(ISNUMBER($AC71)),$AC71&lt;0,$AC71&gt;1)),AND($AD71&lt;&gt;"",OR(NOT(ISNUMBER($AD71)),$AD71&lt;0,$AD71&gt;1))),"Marge spécifique invalide (0–100 %)",IF(OR(AND($P71&lt;&gt;"",NOT(ISNUMBER($P71))),AND($Q71&lt;&gt;"",NOT(ISNUMBER($Q71))),AND($R71&lt;&gt;"",NOT(ISNUMBER($R71)))),"Mois invalide",IF(AND(OR($G71="À migrer",$G71="À décommissionner"),COUNTIFS(TblClusters[Cluster],$I71,TblClusters[Plateforme],"IKS")=0),"Cluster IKS inconnu",IF(AND(OR($G71="À migrer",$G71="Migré"),COUNTIFS(TblClusters[Cluster],$J71,TblClusters[Plateforme],"ROKS")=0),"Cluster ROKS inconnu",IF(AND(OR($G71="À migrer",$G71="À décommissionner"),COUNTIFS(TblClusters[Cluster],$I71,TblClusters[Environnement],$E71)=0),"Environnement ≠ cluster IKS",IF(AND(OR($G71="À migrer",$G71="Migré"),COUNTIFS(TblClusters[Cluster],$J71,TblClusters[Environnement],$E71)=0),"Environnement ≠ cluster ROKS",IF(AND($G71="À migrer",OR($P71&gt;$Q71,$Q71&gt;$R71)),"Dates incohérentes (prov ≤ bascule ≤ libération)",IF(AND(OR($G71="À migrer",$G71="À décommissionner"),OR(N($N71)&gt;SUMIFS(TblClusters[CPU initial (vCPU)],TblClusters[Cluster],$I71),N($O71)&gt;SUMIFS(TblClusters[RAM initiale (Go)],TblClusters[Cluster],$I71))),"Libération &gt; capacité du cluster source",IF(OR(AND($V71&lt;&gt;"",$V71&lt;p_debut),AND($W71&lt;&gt;"",$W71&gt;p_fin)),"Hors horizon (info)",IF(AND($G71="À migrer",$E71="PRD",COUNTIFS(TblApplications[ID],$C71,TblApplications[Environnement],"NPRD",TblApplications[Action],"À migrer")&gt;0,$V71&lt;_xlfn.MINIFS(TblApplications[Mois prov (calc)],TblApplications[ID],$C71,TblApplications[Environnement],"NPRD")),"PRD avant NPRD (info)","OK"))))))))))))))))))))</f>
        <v/>
      </c>
      <c r="AC71" s="76"/>
      <c r="AD71" s="76"/>
      <c r="AE71" s="22" t="str">
        <f aca="false">IF(OR($C71="",NOT(OR($G71="À migrer",$G71="À décommissionner")),NOT(ISNUMBER($N71)),NOT(ISNUMBER($O71)),$W71=""),"",($N71+p_poidsram*$O71)*SUMIFS(TblCalculs[Coût par unité],TblCalculs[Cluster],$I71,TblCalculs[Mois],"&lt;"&amp;$W71))</f>
        <v/>
      </c>
      <c r="AF71" s="22" t="str">
        <f aca="false">IF($C71="","",IF(AND($G71="À migrer",$H71="Non",$T71&lt;&gt;"",$V71&lt;&gt;""),($T71+p_poidsram*$U71)*SUMIFS(TblCalculs[Coût par unité],TblCalculs[Cluster],$J71,TblCalculs[Mois],"&gt;="&amp;$V71),IF(AND($G71="Migré",$T71&lt;&gt;""),($T71+p_poidsram*$U71)*SUMIFS(TblCalculs[Coût par unité],TblCalculs[Cluster],$J71),"")))</f>
        <v/>
      </c>
      <c r="AG71" s="22" t="str">
        <f aca="false">IF($C71="","",N($AE71)+N($AF71))</f>
        <v/>
      </c>
      <c r="AH71" s="21" t="str">
        <f aca="false">IF(OR($C71="",$G71="Décommissionné",COUNTIFS($E71,av_envc,$A71,av_domc,$B71,av_tric)=0),"",COUNTIFS($C$6:$C71,"&lt;&gt;",$G$6:$G71,"&lt;&gt;Décommissionné",$E$6:$E71,av_envc,$A$6:$A71,av_domc,$B$6:$B71,av_tric))</f>
        <v/>
      </c>
      <c r="AI71" s="21" t="str">
        <f aca="false">IF($C71="","",IF(AND(OR($G71="À migrer",$G71="À décommissionner"),$W71&lt;&gt;"",$W71&gt;ex_mois),1,0))</f>
        <v/>
      </c>
      <c r="AJ71" s="21" t="str">
        <f aca="false">IF(OR($C71="",$AI71&lt;&gt;1,COUNTIFS($E71,ex_envc,$A71,ex_domc,$B71,ex_tric)=0),"",COUNTIFS($AI$6:$AI71,1,$E$6:$E71,ex_envc,$A$6:$A71,ex_domc,$B$6:$B71,ex_tric))</f>
        <v/>
      </c>
    </row>
    <row r="72" customFormat="false" ht="15" hidden="false" customHeight="false" outlineLevel="0" collapsed="false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5"/>
      <c r="Q72" s="75"/>
      <c r="R72" s="75"/>
      <c r="S72" s="74"/>
      <c r="T72" s="21" t="str">
        <f aca="false">IF(OR($C72="",NOT(OR($G72="À migrer",$G72="Migré")),NOT(ISNUMBER($K72))),"",ROUNDUP($K72*(1+IF($AC72="",p_margeCPU,$AC72)),0))</f>
        <v/>
      </c>
      <c r="U72" s="21" t="str">
        <f aca="false">IF(OR($C72="",NOT(OR($G72="À migrer",$G72="Migré")),NOT(ISNUMBER($L72))),"",ROUNDUP($L72*(1+IF($AD72="",p_margeRAM,$AD72)),0))</f>
        <v/>
      </c>
      <c r="V72" s="39" t="str">
        <f aca="false">IF(OR(NOT($G72="À migrer"),$P72=""),"",IFERROR(DATE(YEAR($P72),MONTH($P72),1),""))</f>
        <v/>
      </c>
      <c r="W72" s="39" t="str">
        <f aca="false">IF(OR(NOT(OR($G72="À migrer",$G72="À décommissionner")),$R72=""),"",IFERROR(DATE(YEAR($R72),MONTH($R72),1),""))</f>
        <v/>
      </c>
      <c r="X72" s="21" t="str">
        <f aca="false">IF(OR($V72="",$W72=""),"",MAX(0,(YEAR($W72)-YEAR($V72))*12+MONTH($W72)-MONTH($V72)))</f>
        <v/>
      </c>
      <c r="Y72" s="21" t="str">
        <f aca="false">IF($C72="","",COUNTIF(TblApplications[ID],$C72))</f>
        <v/>
      </c>
      <c r="Z72" s="39" t="str">
        <f aca="false">IF($C72="","",IFERROR(1/(1/_xlfn.MINIFS(TblApplications[Mois prov (calc)],TblApplications[ID],$C72)),""))</f>
        <v/>
      </c>
      <c r="AA72" s="39" t="str">
        <f aca="false">IF($C72="","",IFERROR(1/(1/_xlfn.MAXIFS(TblApplications[Mois lib (calc)],TblApplications[ID],$C72)),""))</f>
        <v/>
      </c>
      <c r="AB72" s="21" t="str">
        <f aca="false">IF($C72="","",IF(OR(OR($A72="",$B72="",$D72="",$E72="",$F72="",$G72=""),AND($G72="À migrer",OR($H72="",$I72="",$J72="",$K72="",$L72="",$N72="",$O72="",$P72="",$Q72="",$R72="")),AND($G72="Migré",OR($J72="",$K72="",$L72="")),AND($G72="À décommissionner",OR($I72="",$N72="",$O72="",$R72=""))),"Données manquantes (selon l’action)",IF(AND($G72&lt;&gt;"Migré",$G72&lt;&gt;"À migrer",$G72&lt;&gt;"À décommissionner",$G72&lt;&gt;"Décommissionné"),"Action invalide",IF(COUNTIF(TblDomaines[Domaine],$A72)=0,"Domaine inconnu (référentiel)",IF(COUNTIFS(TblTribes[Tribe],$B72,TblTribes[Domaine de la tribe],$A72)=0,"Tribe inconnue ou hors domaine",IF(AND($G72="À migrer",$H72&lt;&gt;"Oui",$H72&lt;&gt;"Non"),"Valeur Oui/Non invalide (Déjà incluse ROKS)",IF(AND($E72&lt;&gt;"PRD",$E72&lt;&gt;"NPRD"),"Environnement invalide",IF(COUNTIFS(TblApplications[ID],$C72,TblApplications[Environnement],$E72,TblApplications[Couloir],$F72)&gt;1,"Déploiement en doublon (ID + env + couloir)",IF(OR(AND($K72&lt;&gt;"",NOT(ISNUMBER($K72))),AND($L72&lt;&gt;"",NOT(ISNUMBER($L72))),AND($N72&lt;&gt;"",NOT(ISNUMBER($N72))),AND($O72&lt;&gt;"",NOT(ISNUMBER($O72)))),"Ressource non numérique",IF(MIN(N($K72),N($L72),N($N72),N($O72))&lt;0,"Ressource négative",IF(OR(AND($AC72&lt;&gt;"",OR(NOT(ISNUMBER($AC72)),$AC72&lt;0,$AC72&gt;1)),AND($AD72&lt;&gt;"",OR(NOT(ISNUMBER($AD72)),$AD72&lt;0,$AD72&gt;1))),"Marge spécifique invalide (0–100 %)",IF(OR(AND($P72&lt;&gt;"",NOT(ISNUMBER($P72))),AND($Q72&lt;&gt;"",NOT(ISNUMBER($Q72))),AND($R72&lt;&gt;"",NOT(ISNUMBER($R72)))),"Mois invalide",IF(AND(OR($G72="À migrer",$G72="À décommissionner"),COUNTIFS(TblClusters[Cluster],$I72,TblClusters[Plateforme],"IKS")=0),"Cluster IKS inconnu",IF(AND(OR($G72="À migrer",$G72="Migré"),COUNTIFS(TblClusters[Cluster],$J72,TblClusters[Plateforme],"ROKS")=0),"Cluster ROKS inconnu",IF(AND(OR($G72="À migrer",$G72="À décommissionner"),COUNTIFS(TblClusters[Cluster],$I72,TblClusters[Environnement],$E72)=0),"Environnement ≠ cluster IKS",IF(AND(OR($G72="À migrer",$G72="Migré"),COUNTIFS(TblClusters[Cluster],$J72,TblClusters[Environnement],$E72)=0),"Environnement ≠ cluster ROKS",IF(AND($G72="À migrer",OR($P72&gt;$Q72,$Q72&gt;$R72)),"Dates incohérentes (prov ≤ bascule ≤ libération)",IF(AND(OR($G72="À migrer",$G72="À décommissionner"),OR(N($N72)&gt;SUMIFS(TblClusters[CPU initial (vCPU)],TblClusters[Cluster],$I72),N($O72)&gt;SUMIFS(TblClusters[RAM initiale (Go)],TblClusters[Cluster],$I72))),"Libération &gt; capacité du cluster source",IF(OR(AND($V72&lt;&gt;"",$V72&lt;p_debut),AND($W72&lt;&gt;"",$W72&gt;p_fin)),"Hors horizon (info)",IF(AND($G72="À migrer",$E72="PRD",COUNTIFS(TblApplications[ID],$C72,TblApplications[Environnement],"NPRD",TblApplications[Action],"À migrer")&gt;0,$V72&lt;_xlfn.MINIFS(TblApplications[Mois prov (calc)],TblApplications[ID],$C72,TblApplications[Environnement],"NPRD")),"PRD avant NPRD (info)","OK"))))))))))))))))))))</f>
        <v/>
      </c>
      <c r="AC72" s="76"/>
      <c r="AD72" s="76"/>
      <c r="AE72" s="22" t="str">
        <f aca="false">IF(OR($C72="",NOT(OR($G72="À migrer",$G72="À décommissionner")),NOT(ISNUMBER($N72)),NOT(ISNUMBER($O72)),$W72=""),"",($N72+p_poidsram*$O72)*SUMIFS(TblCalculs[Coût par unité],TblCalculs[Cluster],$I72,TblCalculs[Mois],"&lt;"&amp;$W72))</f>
        <v/>
      </c>
      <c r="AF72" s="22" t="str">
        <f aca="false">IF($C72="","",IF(AND($G72="À migrer",$H72="Non",$T72&lt;&gt;"",$V72&lt;&gt;""),($T72+p_poidsram*$U72)*SUMIFS(TblCalculs[Coût par unité],TblCalculs[Cluster],$J72,TblCalculs[Mois],"&gt;="&amp;$V72),IF(AND($G72="Migré",$T72&lt;&gt;""),($T72+p_poidsram*$U72)*SUMIFS(TblCalculs[Coût par unité],TblCalculs[Cluster],$J72),"")))</f>
        <v/>
      </c>
      <c r="AG72" s="22" t="str">
        <f aca="false">IF($C72="","",N($AE72)+N($AF72))</f>
        <v/>
      </c>
      <c r="AH72" s="21" t="str">
        <f aca="false">IF(OR($C72="",$G72="Décommissionné",COUNTIFS($E72,av_envc,$A72,av_domc,$B72,av_tric)=0),"",COUNTIFS($C$6:$C72,"&lt;&gt;",$G$6:$G72,"&lt;&gt;Décommissionné",$E$6:$E72,av_envc,$A$6:$A72,av_domc,$B$6:$B72,av_tric))</f>
        <v/>
      </c>
      <c r="AI72" s="21" t="str">
        <f aca="false">IF($C72="","",IF(AND(OR($G72="À migrer",$G72="À décommissionner"),$W72&lt;&gt;"",$W72&gt;ex_mois),1,0))</f>
        <v/>
      </c>
      <c r="AJ72" s="21" t="str">
        <f aca="false">IF(OR($C72="",$AI72&lt;&gt;1,COUNTIFS($E72,ex_envc,$A72,ex_domc,$B72,ex_tric)=0),"",COUNTIFS($AI$6:$AI72,1,$E$6:$E72,ex_envc,$A$6:$A72,ex_domc,$B$6:$B72,ex_tric))</f>
        <v/>
      </c>
    </row>
    <row r="73" customFormat="false" ht="15" hidden="false" customHeight="false" outlineLevel="0" collapsed="false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5"/>
      <c r="Q73" s="75"/>
      <c r="R73" s="75"/>
      <c r="S73" s="74"/>
      <c r="T73" s="21" t="str">
        <f aca="false">IF(OR($C73="",NOT(OR($G73="À migrer",$G73="Migré")),NOT(ISNUMBER($K73))),"",ROUNDUP($K73*(1+IF($AC73="",p_margeCPU,$AC73)),0))</f>
        <v/>
      </c>
      <c r="U73" s="21" t="str">
        <f aca="false">IF(OR($C73="",NOT(OR($G73="À migrer",$G73="Migré")),NOT(ISNUMBER($L73))),"",ROUNDUP($L73*(1+IF($AD73="",p_margeRAM,$AD73)),0))</f>
        <v/>
      </c>
      <c r="V73" s="39" t="str">
        <f aca="false">IF(OR(NOT($G73="À migrer"),$P73=""),"",IFERROR(DATE(YEAR($P73),MONTH($P73),1),""))</f>
        <v/>
      </c>
      <c r="W73" s="39" t="str">
        <f aca="false">IF(OR(NOT(OR($G73="À migrer",$G73="À décommissionner")),$R73=""),"",IFERROR(DATE(YEAR($R73),MONTH($R73),1),""))</f>
        <v/>
      </c>
      <c r="X73" s="21" t="str">
        <f aca="false">IF(OR($V73="",$W73=""),"",MAX(0,(YEAR($W73)-YEAR($V73))*12+MONTH($W73)-MONTH($V73)))</f>
        <v/>
      </c>
      <c r="Y73" s="21" t="str">
        <f aca="false">IF($C73="","",COUNTIF(TblApplications[ID],$C73))</f>
        <v/>
      </c>
      <c r="Z73" s="39" t="str">
        <f aca="false">IF($C73="","",IFERROR(1/(1/_xlfn.MINIFS(TblApplications[Mois prov (calc)],TblApplications[ID],$C73)),""))</f>
        <v/>
      </c>
      <c r="AA73" s="39" t="str">
        <f aca="false">IF($C73="","",IFERROR(1/(1/_xlfn.MAXIFS(TblApplications[Mois lib (calc)],TblApplications[ID],$C73)),""))</f>
        <v/>
      </c>
      <c r="AB73" s="21" t="str">
        <f aca="false">IF($C73="","",IF(OR(OR($A73="",$B73="",$D73="",$E73="",$F73="",$G73=""),AND($G73="À migrer",OR($H73="",$I73="",$J73="",$K73="",$L73="",$N73="",$O73="",$P73="",$Q73="",$R73="")),AND($G73="Migré",OR($J73="",$K73="",$L73="")),AND($G73="À décommissionner",OR($I73="",$N73="",$O73="",$R73=""))),"Données manquantes (selon l’action)",IF(AND($G73&lt;&gt;"Migré",$G73&lt;&gt;"À migrer",$G73&lt;&gt;"À décommissionner",$G73&lt;&gt;"Décommissionné"),"Action invalide",IF(COUNTIF(TblDomaines[Domaine],$A73)=0,"Domaine inconnu (référentiel)",IF(COUNTIFS(TblTribes[Tribe],$B73,TblTribes[Domaine de la tribe],$A73)=0,"Tribe inconnue ou hors domaine",IF(AND($G73="À migrer",$H73&lt;&gt;"Oui",$H73&lt;&gt;"Non"),"Valeur Oui/Non invalide (Déjà incluse ROKS)",IF(AND($E73&lt;&gt;"PRD",$E73&lt;&gt;"NPRD"),"Environnement invalide",IF(COUNTIFS(TblApplications[ID],$C73,TblApplications[Environnement],$E73,TblApplications[Couloir],$F73)&gt;1,"Déploiement en doublon (ID + env + couloir)",IF(OR(AND($K73&lt;&gt;"",NOT(ISNUMBER($K73))),AND($L73&lt;&gt;"",NOT(ISNUMBER($L73))),AND($N73&lt;&gt;"",NOT(ISNUMBER($N73))),AND($O73&lt;&gt;"",NOT(ISNUMBER($O73)))),"Ressource non numérique",IF(MIN(N($K73),N($L73),N($N73),N($O73))&lt;0,"Ressource négative",IF(OR(AND($AC73&lt;&gt;"",OR(NOT(ISNUMBER($AC73)),$AC73&lt;0,$AC73&gt;1)),AND($AD73&lt;&gt;"",OR(NOT(ISNUMBER($AD73)),$AD73&lt;0,$AD73&gt;1))),"Marge spécifique invalide (0–100 %)",IF(OR(AND($P73&lt;&gt;"",NOT(ISNUMBER($P73))),AND($Q73&lt;&gt;"",NOT(ISNUMBER($Q73))),AND($R73&lt;&gt;"",NOT(ISNUMBER($R73)))),"Mois invalide",IF(AND(OR($G73="À migrer",$G73="À décommissionner"),COUNTIFS(TblClusters[Cluster],$I73,TblClusters[Plateforme],"IKS")=0),"Cluster IKS inconnu",IF(AND(OR($G73="À migrer",$G73="Migré"),COUNTIFS(TblClusters[Cluster],$J73,TblClusters[Plateforme],"ROKS")=0),"Cluster ROKS inconnu",IF(AND(OR($G73="À migrer",$G73="À décommissionner"),COUNTIFS(TblClusters[Cluster],$I73,TblClusters[Environnement],$E73)=0),"Environnement ≠ cluster IKS",IF(AND(OR($G73="À migrer",$G73="Migré"),COUNTIFS(TblClusters[Cluster],$J73,TblClusters[Environnement],$E73)=0),"Environnement ≠ cluster ROKS",IF(AND($G73="À migrer",OR($P73&gt;$Q73,$Q73&gt;$R73)),"Dates incohérentes (prov ≤ bascule ≤ libération)",IF(AND(OR($G73="À migrer",$G73="À décommissionner"),OR(N($N73)&gt;SUMIFS(TblClusters[CPU initial (vCPU)],TblClusters[Cluster],$I73),N($O73)&gt;SUMIFS(TblClusters[RAM initiale (Go)],TblClusters[Cluster],$I73))),"Libération &gt; capacité du cluster source",IF(OR(AND($V73&lt;&gt;"",$V73&lt;p_debut),AND($W73&lt;&gt;"",$W73&gt;p_fin)),"Hors horizon (info)",IF(AND($G73="À migrer",$E73="PRD",COUNTIFS(TblApplications[ID],$C73,TblApplications[Environnement],"NPRD",TblApplications[Action],"À migrer")&gt;0,$V73&lt;_xlfn.MINIFS(TblApplications[Mois prov (calc)],TblApplications[ID],$C73,TblApplications[Environnement],"NPRD")),"PRD avant NPRD (info)","OK"))))))))))))))))))))</f>
        <v/>
      </c>
      <c r="AC73" s="76"/>
      <c r="AD73" s="76"/>
      <c r="AE73" s="22" t="str">
        <f aca="false">IF(OR($C73="",NOT(OR($G73="À migrer",$G73="À décommissionner")),NOT(ISNUMBER($N73)),NOT(ISNUMBER($O73)),$W73=""),"",($N73+p_poidsram*$O73)*SUMIFS(TblCalculs[Coût par unité],TblCalculs[Cluster],$I73,TblCalculs[Mois],"&lt;"&amp;$W73))</f>
        <v/>
      </c>
      <c r="AF73" s="22" t="str">
        <f aca="false">IF($C73="","",IF(AND($G73="À migrer",$H73="Non",$T73&lt;&gt;"",$V73&lt;&gt;""),($T73+p_poidsram*$U73)*SUMIFS(TblCalculs[Coût par unité],TblCalculs[Cluster],$J73,TblCalculs[Mois],"&gt;="&amp;$V73),IF(AND($G73="Migré",$T73&lt;&gt;""),($T73+p_poidsram*$U73)*SUMIFS(TblCalculs[Coût par unité],TblCalculs[Cluster],$J73),"")))</f>
        <v/>
      </c>
      <c r="AG73" s="22" t="str">
        <f aca="false">IF($C73="","",N($AE73)+N($AF73))</f>
        <v/>
      </c>
      <c r="AH73" s="21" t="str">
        <f aca="false">IF(OR($C73="",$G73="Décommissionné",COUNTIFS($E73,av_envc,$A73,av_domc,$B73,av_tric)=0),"",COUNTIFS($C$6:$C73,"&lt;&gt;",$G$6:$G73,"&lt;&gt;Décommissionné",$E$6:$E73,av_envc,$A$6:$A73,av_domc,$B$6:$B73,av_tric))</f>
        <v/>
      </c>
      <c r="AI73" s="21" t="str">
        <f aca="false">IF($C73="","",IF(AND(OR($G73="À migrer",$G73="À décommissionner"),$W73&lt;&gt;"",$W73&gt;ex_mois),1,0))</f>
        <v/>
      </c>
      <c r="AJ73" s="21" t="str">
        <f aca="false">IF(OR($C73="",$AI73&lt;&gt;1,COUNTIFS($E73,ex_envc,$A73,ex_domc,$B73,ex_tric)=0),"",COUNTIFS($AI$6:$AI73,1,$E$6:$E73,ex_envc,$A$6:$A73,ex_domc,$B$6:$B73,ex_tric))</f>
        <v/>
      </c>
    </row>
    <row r="74" customFormat="false" ht="15" hidden="false" customHeight="false" outlineLevel="0" collapsed="false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5"/>
      <c r="Q74" s="75"/>
      <c r="R74" s="75"/>
      <c r="S74" s="74"/>
      <c r="T74" s="21" t="str">
        <f aca="false">IF(OR($C74="",NOT(OR($G74="À migrer",$G74="Migré")),NOT(ISNUMBER($K74))),"",ROUNDUP($K74*(1+IF($AC74="",p_margeCPU,$AC74)),0))</f>
        <v/>
      </c>
      <c r="U74" s="21" t="str">
        <f aca="false">IF(OR($C74="",NOT(OR($G74="À migrer",$G74="Migré")),NOT(ISNUMBER($L74))),"",ROUNDUP($L74*(1+IF($AD74="",p_margeRAM,$AD74)),0))</f>
        <v/>
      </c>
      <c r="V74" s="39" t="str">
        <f aca="false">IF(OR(NOT($G74="À migrer"),$P74=""),"",IFERROR(DATE(YEAR($P74),MONTH($P74),1),""))</f>
        <v/>
      </c>
      <c r="W74" s="39" t="str">
        <f aca="false">IF(OR(NOT(OR($G74="À migrer",$G74="À décommissionner")),$R74=""),"",IFERROR(DATE(YEAR($R74),MONTH($R74),1),""))</f>
        <v/>
      </c>
      <c r="X74" s="21" t="str">
        <f aca="false">IF(OR($V74="",$W74=""),"",MAX(0,(YEAR($W74)-YEAR($V74))*12+MONTH($W74)-MONTH($V74)))</f>
        <v/>
      </c>
      <c r="Y74" s="21" t="str">
        <f aca="false">IF($C74="","",COUNTIF(TblApplications[ID],$C74))</f>
        <v/>
      </c>
      <c r="Z74" s="39" t="str">
        <f aca="false">IF($C74="","",IFERROR(1/(1/_xlfn.MINIFS(TblApplications[Mois prov (calc)],TblApplications[ID],$C74)),""))</f>
        <v/>
      </c>
      <c r="AA74" s="39" t="str">
        <f aca="false">IF($C74="","",IFERROR(1/(1/_xlfn.MAXIFS(TblApplications[Mois lib (calc)],TblApplications[ID],$C74)),""))</f>
        <v/>
      </c>
      <c r="AB74" s="21" t="str">
        <f aca="false">IF($C74="","",IF(OR(OR($A74="",$B74="",$D74="",$E74="",$F74="",$G74=""),AND($G74="À migrer",OR($H74="",$I74="",$J74="",$K74="",$L74="",$N74="",$O74="",$P74="",$Q74="",$R74="")),AND($G74="Migré",OR($J74="",$K74="",$L74="")),AND($G74="À décommissionner",OR($I74="",$N74="",$O74="",$R74=""))),"Données manquantes (selon l’action)",IF(AND($G74&lt;&gt;"Migré",$G74&lt;&gt;"À migrer",$G74&lt;&gt;"À décommissionner",$G74&lt;&gt;"Décommissionné"),"Action invalide",IF(COUNTIF(TblDomaines[Domaine],$A74)=0,"Domaine inconnu (référentiel)",IF(COUNTIFS(TblTribes[Tribe],$B74,TblTribes[Domaine de la tribe],$A74)=0,"Tribe inconnue ou hors domaine",IF(AND($G74="À migrer",$H74&lt;&gt;"Oui",$H74&lt;&gt;"Non"),"Valeur Oui/Non invalide (Déjà incluse ROKS)",IF(AND($E74&lt;&gt;"PRD",$E74&lt;&gt;"NPRD"),"Environnement invalide",IF(COUNTIFS(TblApplications[ID],$C74,TblApplications[Environnement],$E74,TblApplications[Couloir],$F74)&gt;1,"Déploiement en doublon (ID + env + couloir)",IF(OR(AND($K74&lt;&gt;"",NOT(ISNUMBER($K74))),AND($L74&lt;&gt;"",NOT(ISNUMBER($L74))),AND($N74&lt;&gt;"",NOT(ISNUMBER($N74))),AND($O74&lt;&gt;"",NOT(ISNUMBER($O74)))),"Ressource non numérique",IF(MIN(N($K74),N($L74),N($N74),N($O74))&lt;0,"Ressource négative",IF(OR(AND($AC74&lt;&gt;"",OR(NOT(ISNUMBER($AC74)),$AC74&lt;0,$AC74&gt;1)),AND($AD74&lt;&gt;"",OR(NOT(ISNUMBER($AD74)),$AD74&lt;0,$AD74&gt;1))),"Marge spécifique invalide (0–100 %)",IF(OR(AND($P74&lt;&gt;"",NOT(ISNUMBER($P74))),AND($Q74&lt;&gt;"",NOT(ISNUMBER($Q74))),AND($R74&lt;&gt;"",NOT(ISNUMBER($R74)))),"Mois invalide",IF(AND(OR($G74="À migrer",$G74="À décommissionner"),COUNTIFS(TblClusters[Cluster],$I74,TblClusters[Plateforme],"IKS")=0),"Cluster IKS inconnu",IF(AND(OR($G74="À migrer",$G74="Migré"),COUNTIFS(TblClusters[Cluster],$J74,TblClusters[Plateforme],"ROKS")=0),"Cluster ROKS inconnu",IF(AND(OR($G74="À migrer",$G74="À décommissionner"),COUNTIFS(TblClusters[Cluster],$I74,TblClusters[Environnement],$E74)=0),"Environnement ≠ cluster IKS",IF(AND(OR($G74="À migrer",$G74="Migré"),COUNTIFS(TblClusters[Cluster],$J74,TblClusters[Environnement],$E74)=0),"Environnement ≠ cluster ROKS",IF(AND($G74="À migrer",OR($P74&gt;$Q74,$Q74&gt;$R74)),"Dates incohérentes (prov ≤ bascule ≤ libération)",IF(AND(OR($G74="À migrer",$G74="À décommissionner"),OR(N($N74)&gt;SUMIFS(TblClusters[CPU initial (vCPU)],TblClusters[Cluster],$I74),N($O74)&gt;SUMIFS(TblClusters[RAM initiale (Go)],TblClusters[Cluster],$I74))),"Libération &gt; capacité du cluster source",IF(OR(AND($V74&lt;&gt;"",$V74&lt;p_debut),AND($W74&lt;&gt;"",$W74&gt;p_fin)),"Hors horizon (info)",IF(AND($G74="À migrer",$E74="PRD",COUNTIFS(TblApplications[ID],$C74,TblApplications[Environnement],"NPRD",TblApplications[Action],"À migrer")&gt;0,$V74&lt;_xlfn.MINIFS(TblApplications[Mois prov (calc)],TblApplications[ID],$C74,TblApplications[Environnement],"NPRD")),"PRD avant NPRD (info)","OK"))))))))))))))))))))</f>
        <v/>
      </c>
      <c r="AC74" s="76"/>
      <c r="AD74" s="76"/>
      <c r="AE74" s="22" t="str">
        <f aca="false">IF(OR($C74="",NOT(OR($G74="À migrer",$G74="À décommissionner")),NOT(ISNUMBER($N74)),NOT(ISNUMBER($O74)),$W74=""),"",($N74+p_poidsram*$O74)*SUMIFS(TblCalculs[Coût par unité],TblCalculs[Cluster],$I74,TblCalculs[Mois],"&lt;"&amp;$W74))</f>
        <v/>
      </c>
      <c r="AF74" s="22" t="str">
        <f aca="false">IF($C74="","",IF(AND($G74="À migrer",$H74="Non",$T74&lt;&gt;"",$V74&lt;&gt;""),($T74+p_poidsram*$U74)*SUMIFS(TblCalculs[Coût par unité],TblCalculs[Cluster],$J74,TblCalculs[Mois],"&gt;="&amp;$V74),IF(AND($G74="Migré",$T74&lt;&gt;""),($T74+p_poidsram*$U74)*SUMIFS(TblCalculs[Coût par unité],TblCalculs[Cluster],$J74),"")))</f>
        <v/>
      </c>
      <c r="AG74" s="22" t="str">
        <f aca="false">IF($C74="","",N($AE74)+N($AF74))</f>
        <v/>
      </c>
      <c r="AH74" s="21" t="str">
        <f aca="false">IF(OR($C74="",$G74="Décommissionné",COUNTIFS($E74,av_envc,$A74,av_domc,$B74,av_tric)=0),"",COUNTIFS($C$6:$C74,"&lt;&gt;",$G$6:$G74,"&lt;&gt;Décommissionné",$E$6:$E74,av_envc,$A$6:$A74,av_domc,$B$6:$B74,av_tric))</f>
        <v/>
      </c>
      <c r="AI74" s="21" t="str">
        <f aca="false">IF($C74="","",IF(AND(OR($G74="À migrer",$G74="À décommissionner"),$W74&lt;&gt;"",$W74&gt;ex_mois),1,0))</f>
        <v/>
      </c>
      <c r="AJ74" s="21" t="str">
        <f aca="false">IF(OR($C74="",$AI74&lt;&gt;1,COUNTIFS($E74,ex_envc,$A74,ex_domc,$B74,ex_tric)=0),"",COUNTIFS($AI$6:$AI74,1,$E$6:$E74,ex_envc,$A$6:$A74,ex_domc,$B$6:$B74,ex_tric))</f>
        <v/>
      </c>
    </row>
    <row r="75" customFormat="false" ht="15" hidden="false" customHeight="false" outlineLevel="0" collapsed="false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5"/>
      <c r="Q75" s="75"/>
      <c r="R75" s="75"/>
      <c r="S75" s="74"/>
      <c r="T75" s="21" t="str">
        <f aca="false">IF(OR($C75="",NOT(OR($G75="À migrer",$G75="Migré")),NOT(ISNUMBER($K75))),"",ROUNDUP($K75*(1+IF($AC75="",p_margeCPU,$AC75)),0))</f>
        <v/>
      </c>
      <c r="U75" s="21" t="str">
        <f aca="false">IF(OR($C75="",NOT(OR($G75="À migrer",$G75="Migré")),NOT(ISNUMBER($L75))),"",ROUNDUP($L75*(1+IF($AD75="",p_margeRAM,$AD75)),0))</f>
        <v/>
      </c>
      <c r="V75" s="39" t="str">
        <f aca="false">IF(OR(NOT($G75="À migrer"),$P75=""),"",IFERROR(DATE(YEAR($P75),MONTH($P75),1),""))</f>
        <v/>
      </c>
      <c r="W75" s="39" t="str">
        <f aca="false">IF(OR(NOT(OR($G75="À migrer",$G75="À décommissionner")),$R75=""),"",IFERROR(DATE(YEAR($R75),MONTH($R75),1),""))</f>
        <v/>
      </c>
      <c r="X75" s="21" t="str">
        <f aca="false">IF(OR($V75="",$W75=""),"",MAX(0,(YEAR($W75)-YEAR($V75))*12+MONTH($W75)-MONTH($V75)))</f>
        <v/>
      </c>
      <c r="Y75" s="21" t="str">
        <f aca="false">IF($C75="","",COUNTIF(TblApplications[ID],$C75))</f>
        <v/>
      </c>
      <c r="Z75" s="39" t="str">
        <f aca="false">IF($C75="","",IFERROR(1/(1/_xlfn.MINIFS(TblApplications[Mois prov (calc)],TblApplications[ID],$C75)),""))</f>
        <v/>
      </c>
      <c r="AA75" s="39" t="str">
        <f aca="false">IF($C75="","",IFERROR(1/(1/_xlfn.MAXIFS(TblApplications[Mois lib (calc)],TblApplications[ID],$C75)),""))</f>
        <v/>
      </c>
      <c r="AB75" s="21" t="str">
        <f aca="false">IF($C75="","",IF(OR(OR($A75="",$B75="",$D75="",$E75="",$F75="",$G75=""),AND($G75="À migrer",OR($H75="",$I75="",$J75="",$K75="",$L75="",$N75="",$O75="",$P75="",$Q75="",$R75="")),AND($G75="Migré",OR($J75="",$K75="",$L75="")),AND($G75="À décommissionner",OR($I75="",$N75="",$O75="",$R75=""))),"Données manquantes (selon l’action)",IF(AND($G75&lt;&gt;"Migré",$G75&lt;&gt;"À migrer",$G75&lt;&gt;"À décommissionner",$G75&lt;&gt;"Décommissionné"),"Action invalide",IF(COUNTIF(TblDomaines[Domaine],$A75)=0,"Domaine inconnu (référentiel)",IF(COUNTIFS(TblTribes[Tribe],$B75,TblTribes[Domaine de la tribe],$A75)=0,"Tribe inconnue ou hors domaine",IF(AND($G75="À migrer",$H75&lt;&gt;"Oui",$H75&lt;&gt;"Non"),"Valeur Oui/Non invalide (Déjà incluse ROKS)",IF(AND($E75&lt;&gt;"PRD",$E75&lt;&gt;"NPRD"),"Environnement invalide",IF(COUNTIFS(TblApplications[ID],$C75,TblApplications[Environnement],$E75,TblApplications[Couloir],$F75)&gt;1,"Déploiement en doublon (ID + env + couloir)",IF(OR(AND($K75&lt;&gt;"",NOT(ISNUMBER($K75))),AND($L75&lt;&gt;"",NOT(ISNUMBER($L75))),AND($N75&lt;&gt;"",NOT(ISNUMBER($N75))),AND($O75&lt;&gt;"",NOT(ISNUMBER($O75)))),"Ressource non numérique",IF(MIN(N($K75),N($L75),N($N75),N($O75))&lt;0,"Ressource négative",IF(OR(AND($AC75&lt;&gt;"",OR(NOT(ISNUMBER($AC75)),$AC75&lt;0,$AC75&gt;1)),AND($AD75&lt;&gt;"",OR(NOT(ISNUMBER($AD75)),$AD75&lt;0,$AD75&gt;1))),"Marge spécifique invalide (0–100 %)",IF(OR(AND($P75&lt;&gt;"",NOT(ISNUMBER($P75))),AND($Q75&lt;&gt;"",NOT(ISNUMBER($Q75))),AND($R75&lt;&gt;"",NOT(ISNUMBER($R75)))),"Mois invalide",IF(AND(OR($G75="À migrer",$G75="À décommissionner"),COUNTIFS(TblClusters[Cluster],$I75,TblClusters[Plateforme],"IKS")=0),"Cluster IKS inconnu",IF(AND(OR($G75="À migrer",$G75="Migré"),COUNTIFS(TblClusters[Cluster],$J75,TblClusters[Plateforme],"ROKS")=0),"Cluster ROKS inconnu",IF(AND(OR($G75="À migrer",$G75="À décommissionner"),COUNTIFS(TblClusters[Cluster],$I75,TblClusters[Environnement],$E75)=0),"Environnement ≠ cluster IKS",IF(AND(OR($G75="À migrer",$G75="Migré"),COUNTIFS(TblClusters[Cluster],$J75,TblClusters[Environnement],$E75)=0),"Environnement ≠ cluster ROKS",IF(AND($G75="À migrer",OR($P75&gt;$Q75,$Q75&gt;$R75)),"Dates incohérentes (prov ≤ bascule ≤ libération)",IF(AND(OR($G75="À migrer",$G75="À décommissionner"),OR(N($N75)&gt;SUMIFS(TblClusters[CPU initial (vCPU)],TblClusters[Cluster],$I75),N($O75)&gt;SUMIFS(TblClusters[RAM initiale (Go)],TblClusters[Cluster],$I75))),"Libération &gt; capacité du cluster source",IF(OR(AND($V75&lt;&gt;"",$V75&lt;p_debut),AND($W75&lt;&gt;"",$W75&gt;p_fin)),"Hors horizon (info)",IF(AND($G75="À migrer",$E75="PRD",COUNTIFS(TblApplications[ID],$C75,TblApplications[Environnement],"NPRD",TblApplications[Action],"À migrer")&gt;0,$V75&lt;_xlfn.MINIFS(TblApplications[Mois prov (calc)],TblApplications[ID],$C75,TblApplications[Environnement],"NPRD")),"PRD avant NPRD (info)","OK"))))))))))))))))))))</f>
        <v/>
      </c>
      <c r="AC75" s="76"/>
      <c r="AD75" s="76"/>
      <c r="AE75" s="22" t="str">
        <f aca="false">IF(OR($C75="",NOT(OR($G75="À migrer",$G75="À décommissionner")),NOT(ISNUMBER($N75)),NOT(ISNUMBER($O75)),$W75=""),"",($N75+p_poidsram*$O75)*SUMIFS(TblCalculs[Coût par unité],TblCalculs[Cluster],$I75,TblCalculs[Mois],"&lt;"&amp;$W75))</f>
        <v/>
      </c>
      <c r="AF75" s="22" t="str">
        <f aca="false">IF($C75="","",IF(AND($G75="À migrer",$H75="Non",$T75&lt;&gt;"",$V75&lt;&gt;""),($T75+p_poidsram*$U75)*SUMIFS(TblCalculs[Coût par unité],TblCalculs[Cluster],$J75,TblCalculs[Mois],"&gt;="&amp;$V75),IF(AND($G75="Migré",$T75&lt;&gt;""),($T75+p_poidsram*$U75)*SUMIFS(TblCalculs[Coût par unité],TblCalculs[Cluster],$J75),"")))</f>
        <v/>
      </c>
      <c r="AG75" s="22" t="str">
        <f aca="false">IF($C75="","",N($AE75)+N($AF75))</f>
        <v/>
      </c>
      <c r="AH75" s="21" t="str">
        <f aca="false">IF(OR($C75="",$G75="Décommissionné",COUNTIFS($E75,av_envc,$A75,av_domc,$B75,av_tric)=0),"",COUNTIFS($C$6:$C75,"&lt;&gt;",$G$6:$G75,"&lt;&gt;Décommissionné",$E$6:$E75,av_envc,$A$6:$A75,av_domc,$B$6:$B75,av_tric))</f>
        <v/>
      </c>
      <c r="AI75" s="21" t="str">
        <f aca="false">IF($C75="","",IF(AND(OR($G75="À migrer",$G75="À décommissionner"),$W75&lt;&gt;"",$W75&gt;ex_mois),1,0))</f>
        <v/>
      </c>
      <c r="AJ75" s="21" t="str">
        <f aca="false">IF(OR($C75="",$AI75&lt;&gt;1,COUNTIFS($E75,ex_envc,$A75,ex_domc,$B75,ex_tric)=0),"",COUNTIFS($AI$6:$AI75,1,$E$6:$E75,ex_envc,$A$6:$A75,ex_domc,$B$6:$B75,ex_tric))</f>
        <v/>
      </c>
    </row>
    <row r="76" customFormat="false" ht="15" hidden="false" customHeight="false" outlineLevel="0" collapsed="false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5"/>
      <c r="Q76" s="75"/>
      <c r="R76" s="75"/>
      <c r="S76" s="74"/>
      <c r="T76" s="21" t="str">
        <f aca="false">IF(OR($C76="",NOT(OR($G76="À migrer",$G76="Migré")),NOT(ISNUMBER($K76))),"",ROUNDUP($K76*(1+IF($AC76="",p_margeCPU,$AC76)),0))</f>
        <v/>
      </c>
      <c r="U76" s="21" t="str">
        <f aca="false">IF(OR($C76="",NOT(OR($G76="À migrer",$G76="Migré")),NOT(ISNUMBER($L76))),"",ROUNDUP($L76*(1+IF($AD76="",p_margeRAM,$AD76)),0))</f>
        <v/>
      </c>
      <c r="V76" s="39" t="str">
        <f aca="false">IF(OR(NOT($G76="À migrer"),$P76=""),"",IFERROR(DATE(YEAR($P76),MONTH($P76),1),""))</f>
        <v/>
      </c>
      <c r="W76" s="39" t="str">
        <f aca="false">IF(OR(NOT(OR($G76="À migrer",$G76="À décommissionner")),$R76=""),"",IFERROR(DATE(YEAR($R76),MONTH($R76),1),""))</f>
        <v/>
      </c>
      <c r="X76" s="21" t="str">
        <f aca="false">IF(OR($V76="",$W76=""),"",MAX(0,(YEAR($W76)-YEAR($V76))*12+MONTH($W76)-MONTH($V76)))</f>
        <v/>
      </c>
      <c r="Y76" s="21" t="str">
        <f aca="false">IF($C76="","",COUNTIF(TblApplications[ID],$C76))</f>
        <v/>
      </c>
      <c r="Z76" s="39" t="str">
        <f aca="false">IF($C76="","",IFERROR(1/(1/_xlfn.MINIFS(TblApplications[Mois prov (calc)],TblApplications[ID],$C76)),""))</f>
        <v/>
      </c>
      <c r="AA76" s="39" t="str">
        <f aca="false">IF($C76="","",IFERROR(1/(1/_xlfn.MAXIFS(TblApplications[Mois lib (calc)],TblApplications[ID],$C76)),""))</f>
        <v/>
      </c>
      <c r="AB76" s="21" t="str">
        <f aca="false">IF($C76="","",IF(OR(OR($A76="",$B76="",$D76="",$E76="",$F76="",$G76=""),AND($G76="À migrer",OR($H76="",$I76="",$J76="",$K76="",$L76="",$N76="",$O76="",$P76="",$Q76="",$R76="")),AND($G76="Migré",OR($J76="",$K76="",$L76="")),AND($G76="À décommissionner",OR($I76="",$N76="",$O76="",$R76=""))),"Données manquantes (selon l’action)",IF(AND($G76&lt;&gt;"Migré",$G76&lt;&gt;"À migrer",$G76&lt;&gt;"À décommissionner",$G76&lt;&gt;"Décommissionné"),"Action invalide",IF(COUNTIF(TblDomaines[Domaine],$A76)=0,"Domaine inconnu (référentiel)",IF(COUNTIFS(TblTribes[Tribe],$B76,TblTribes[Domaine de la tribe],$A76)=0,"Tribe inconnue ou hors domaine",IF(AND($G76="À migrer",$H76&lt;&gt;"Oui",$H76&lt;&gt;"Non"),"Valeur Oui/Non invalide (Déjà incluse ROKS)",IF(AND($E76&lt;&gt;"PRD",$E76&lt;&gt;"NPRD"),"Environnement invalide",IF(COUNTIFS(TblApplications[ID],$C76,TblApplications[Environnement],$E76,TblApplications[Couloir],$F76)&gt;1,"Déploiement en doublon (ID + env + couloir)",IF(OR(AND($K76&lt;&gt;"",NOT(ISNUMBER($K76))),AND($L76&lt;&gt;"",NOT(ISNUMBER($L76))),AND($N76&lt;&gt;"",NOT(ISNUMBER($N76))),AND($O76&lt;&gt;"",NOT(ISNUMBER($O76)))),"Ressource non numérique",IF(MIN(N($K76),N($L76),N($N76),N($O76))&lt;0,"Ressource négative",IF(OR(AND($AC76&lt;&gt;"",OR(NOT(ISNUMBER($AC76)),$AC76&lt;0,$AC76&gt;1)),AND($AD76&lt;&gt;"",OR(NOT(ISNUMBER($AD76)),$AD76&lt;0,$AD76&gt;1))),"Marge spécifique invalide (0–100 %)",IF(OR(AND($P76&lt;&gt;"",NOT(ISNUMBER($P76))),AND($Q76&lt;&gt;"",NOT(ISNUMBER($Q76))),AND($R76&lt;&gt;"",NOT(ISNUMBER($R76)))),"Mois invalide",IF(AND(OR($G76="À migrer",$G76="À décommissionner"),COUNTIFS(TblClusters[Cluster],$I76,TblClusters[Plateforme],"IKS")=0),"Cluster IKS inconnu",IF(AND(OR($G76="À migrer",$G76="Migré"),COUNTIFS(TblClusters[Cluster],$J76,TblClusters[Plateforme],"ROKS")=0),"Cluster ROKS inconnu",IF(AND(OR($G76="À migrer",$G76="À décommissionner"),COUNTIFS(TblClusters[Cluster],$I76,TblClusters[Environnement],$E76)=0),"Environnement ≠ cluster IKS",IF(AND(OR($G76="À migrer",$G76="Migré"),COUNTIFS(TblClusters[Cluster],$J76,TblClusters[Environnement],$E76)=0),"Environnement ≠ cluster ROKS",IF(AND($G76="À migrer",OR($P76&gt;$Q76,$Q76&gt;$R76)),"Dates incohérentes (prov ≤ bascule ≤ libération)",IF(AND(OR($G76="À migrer",$G76="À décommissionner"),OR(N($N76)&gt;SUMIFS(TblClusters[CPU initial (vCPU)],TblClusters[Cluster],$I76),N($O76)&gt;SUMIFS(TblClusters[RAM initiale (Go)],TblClusters[Cluster],$I76))),"Libération &gt; capacité du cluster source",IF(OR(AND($V76&lt;&gt;"",$V76&lt;p_debut),AND($W76&lt;&gt;"",$W76&gt;p_fin)),"Hors horizon (info)",IF(AND($G76="À migrer",$E76="PRD",COUNTIFS(TblApplications[ID],$C76,TblApplications[Environnement],"NPRD",TblApplications[Action],"À migrer")&gt;0,$V76&lt;_xlfn.MINIFS(TblApplications[Mois prov (calc)],TblApplications[ID],$C76,TblApplications[Environnement],"NPRD")),"PRD avant NPRD (info)","OK"))))))))))))))))))))</f>
        <v/>
      </c>
      <c r="AC76" s="76"/>
      <c r="AD76" s="76"/>
      <c r="AE76" s="22" t="str">
        <f aca="false">IF(OR($C76="",NOT(OR($G76="À migrer",$G76="À décommissionner")),NOT(ISNUMBER($N76)),NOT(ISNUMBER($O76)),$W76=""),"",($N76+p_poidsram*$O76)*SUMIFS(TblCalculs[Coût par unité],TblCalculs[Cluster],$I76,TblCalculs[Mois],"&lt;"&amp;$W76))</f>
        <v/>
      </c>
      <c r="AF76" s="22" t="str">
        <f aca="false">IF($C76="","",IF(AND($G76="À migrer",$H76="Non",$T76&lt;&gt;"",$V76&lt;&gt;""),($T76+p_poidsram*$U76)*SUMIFS(TblCalculs[Coût par unité],TblCalculs[Cluster],$J76,TblCalculs[Mois],"&gt;="&amp;$V76),IF(AND($G76="Migré",$T76&lt;&gt;""),($T76+p_poidsram*$U76)*SUMIFS(TblCalculs[Coût par unité],TblCalculs[Cluster],$J76),"")))</f>
        <v/>
      </c>
      <c r="AG76" s="22" t="str">
        <f aca="false">IF($C76="","",N($AE76)+N($AF76))</f>
        <v/>
      </c>
      <c r="AH76" s="21" t="str">
        <f aca="false">IF(OR($C76="",$G76="Décommissionné",COUNTIFS($E76,av_envc,$A76,av_domc,$B76,av_tric)=0),"",COUNTIFS($C$6:$C76,"&lt;&gt;",$G$6:$G76,"&lt;&gt;Décommissionné",$E$6:$E76,av_envc,$A$6:$A76,av_domc,$B$6:$B76,av_tric))</f>
        <v/>
      </c>
      <c r="AI76" s="21" t="str">
        <f aca="false">IF($C76="","",IF(AND(OR($G76="À migrer",$G76="À décommissionner"),$W76&lt;&gt;"",$W76&gt;ex_mois),1,0))</f>
        <v/>
      </c>
      <c r="AJ76" s="21" t="str">
        <f aca="false">IF(OR($C76="",$AI76&lt;&gt;1,COUNTIFS($E76,ex_envc,$A76,ex_domc,$B76,ex_tric)=0),"",COUNTIFS($AI$6:$AI76,1,$E$6:$E76,ex_envc,$A$6:$A76,ex_domc,$B$6:$B76,ex_tric))</f>
        <v/>
      </c>
    </row>
    <row r="77" customFormat="false" ht="15" hidden="false" customHeight="false" outlineLevel="0" collapsed="false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5"/>
      <c r="Q77" s="75"/>
      <c r="R77" s="75"/>
      <c r="S77" s="74"/>
      <c r="T77" s="21" t="str">
        <f aca="false">IF(OR($C77="",NOT(OR($G77="À migrer",$G77="Migré")),NOT(ISNUMBER($K77))),"",ROUNDUP($K77*(1+IF($AC77="",p_margeCPU,$AC77)),0))</f>
        <v/>
      </c>
      <c r="U77" s="21" t="str">
        <f aca="false">IF(OR($C77="",NOT(OR($G77="À migrer",$G77="Migré")),NOT(ISNUMBER($L77))),"",ROUNDUP($L77*(1+IF($AD77="",p_margeRAM,$AD77)),0))</f>
        <v/>
      </c>
      <c r="V77" s="39" t="str">
        <f aca="false">IF(OR(NOT($G77="À migrer"),$P77=""),"",IFERROR(DATE(YEAR($P77),MONTH($P77),1),""))</f>
        <v/>
      </c>
      <c r="W77" s="39" t="str">
        <f aca="false">IF(OR(NOT(OR($G77="À migrer",$G77="À décommissionner")),$R77=""),"",IFERROR(DATE(YEAR($R77),MONTH($R77),1),""))</f>
        <v/>
      </c>
      <c r="X77" s="21" t="str">
        <f aca="false">IF(OR($V77="",$W77=""),"",MAX(0,(YEAR($W77)-YEAR($V77))*12+MONTH($W77)-MONTH($V77)))</f>
        <v/>
      </c>
      <c r="Y77" s="21" t="str">
        <f aca="false">IF($C77="","",COUNTIF(TblApplications[ID],$C77))</f>
        <v/>
      </c>
      <c r="Z77" s="39" t="str">
        <f aca="false">IF($C77="","",IFERROR(1/(1/_xlfn.MINIFS(TblApplications[Mois prov (calc)],TblApplications[ID],$C77)),""))</f>
        <v/>
      </c>
      <c r="AA77" s="39" t="str">
        <f aca="false">IF($C77="","",IFERROR(1/(1/_xlfn.MAXIFS(TblApplications[Mois lib (calc)],TblApplications[ID],$C77)),""))</f>
        <v/>
      </c>
      <c r="AB77" s="21" t="str">
        <f aca="false">IF($C77="","",IF(OR(OR($A77="",$B77="",$D77="",$E77="",$F77="",$G77=""),AND($G77="À migrer",OR($H77="",$I77="",$J77="",$K77="",$L77="",$N77="",$O77="",$P77="",$Q77="",$R77="")),AND($G77="Migré",OR($J77="",$K77="",$L77="")),AND($G77="À décommissionner",OR($I77="",$N77="",$O77="",$R77=""))),"Données manquantes (selon l’action)",IF(AND($G77&lt;&gt;"Migré",$G77&lt;&gt;"À migrer",$G77&lt;&gt;"À décommissionner",$G77&lt;&gt;"Décommissionné"),"Action invalide",IF(COUNTIF(TblDomaines[Domaine],$A77)=0,"Domaine inconnu (référentiel)",IF(COUNTIFS(TblTribes[Tribe],$B77,TblTribes[Domaine de la tribe],$A77)=0,"Tribe inconnue ou hors domaine",IF(AND($G77="À migrer",$H77&lt;&gt;"Oui",$H77&lt;&gt;"Non"),"Valeur Oui/Non invalide (Déjà incluse ROKS)",IF(AND($E77&lt;&gt;"PRD",$E77&lt;&gt;"NPRD"),"Environnement invalide",IF(COUNTIFS(TblApplications[ID],$C77,TblApplications[Environnement],$E77,TblApplications[Couloir],$F77)&gt;1,"Déploiement en doublon (ID + env + couloir)",IF(OR(AND($K77&lt;&gt;"",NOT(ISNUMBER($K77))),AND($L77&lt;&gt;"",NOT(ISNUMBER($L77))),AND($N77&lt;&gt;"",NOT(ISNUMBER($N77))),AND($O77&lt;&gt;"",NOT(ISNUMBER($O77)))),"Ressource non numérique",IF(MIN(N($K77),N($L77),N($N77),N($O77))&lt;0,"Ressource négative",IF(OR(AND($AC77&lt;&gt;"",OR(NOT(ISNUMBER($AC77)),$AC77&lt;0,$AC77&gt;1)),AND($AD77&lt;&gt;"",OR(NOT(ISNUMBER($AD77)),$AD77&lt;0,$AD77&gt;1))),"Marge spécifique invalide (0–100 %)",IF(OR(AND($P77&lt;&gt;"",NOT(ISNUMBER($P77))),AND($Q77&lt;&gt;"",NOT(ISNUMBER($Q77))),AND($R77&lt;&gt;"",NOT(ISNUMBER($R77)))),"Mois invalide",IF(AND(OR($G77="À migrer",$G77="À décommissionner"),COUNTIFS(TblClusters[Cluster],$I77,TblClusters[Plateforme],"IKS")=0),"Cluster IKS inconnu",IF(AND(OR($G77="À migrer",$G77="Migré"),COUNTIFS(TblClusters[Cluster],$J77,TblClusters[Plateforme],"ROKS")=0),"Cluster ROKS inconnu",IF(AND(OR($G77="À migrer",$G77="À décommissionner"),COUNTIFS(TblClusters[Cluster],$I77,TblClusters[Environnement],$E77)=0),"Environnement ≠ cluster IKS",IF(AND(OR($G77="À migrer",$G77="Migré"),COUNTIFS(TblClusters[Cluster],$J77,TblClusters[Environnement],$E77)=0),"Environnement ≠ cluster ROKS",IF(AND($G77="À migrer",OR($P77&gt;$Q77,$Q77&gt;$R77)),"Dates incohérentes (prov ≤ bascule ≤ libération)",IF(AND(OR($G77="À migrer",$G77="À décommissionner"),OR(N($N77)&gt;SUMIFS(TblClusters[CPU initial (vCPU)],TblClusters[Cluster],$I77),N($O77)&gt;SUMIFS(TblClusters[RAM initiale (Go)],TblClusters[Cluster],$I77))),"Libération &gt; capacité du cluster source",IF(OR(AND($V77&lt;&gt;"",$V77&lt;p_debut),AND($W77&lt;&gt;"",$W77&gt;p_fin)),"Hors horizon (info)",IF(AND($G77="À migrer",$E77="PRD",COUNTIFS(TblApplications[ID],$C77,TblApplications[Environnement],"NPRD",TblApplications[Action],"À migrer")&gt;0,$V77&lt;_xlfn.MINIFS(TblApplications[Mois prov (calc)],TblApplications[ID],$C77,TblApplications[Environnement],"NPRD")),"PRD avant NPRD (info)","OK"))))))))))))))))))))</f>
        <v/>
      </c>
      <c r="AC77" s="76"/>
      <c r="AD77" s="76"/>
      <c r="AE77" s="22" t="str">
        <f aca="false">IF(OR($C77="",NOT(OR($G77="À migrer",$G77="À décommissionner")),NOT(ISNUMBER($N77)),NOT(ISNUMBER($O77)),$W77=""),"",($N77+p_poidsram*$O77)*SUMIFS(TblCalculs[Coût par unité],TblCalculs[Cluster],$I77,TblCalculs[Mois],"&lt;"&amp;$W77))</f>
        <v/>
      </c>
      <c r="AF77" s="22" t="str">
        <f aca="false">IF($C77="","",IF(AND($G77="À migrer",$H77="Non",$T77&lt;&gt;"",$V77&lt;&gt;""),($T77+p_poidsram*$U77)*SUMIFS(TblCalculs[Coût par unité],TblCalculs[Cluster],$J77,TblCalculs[Mois],"&gt;="&amp;$V77),IF(AND($G77="Migré",$T77&lt;&gt;""),($T77+p_poidsram*$U77)*SUMIFS(TblCalculs[Coût par unité],TblCalculs[Cluster],$J77),"")))</f>
        <v/>
      </c>
      <c r="AG77" s="22" t="str">
        <f aca="false">IF($C77="","",N($AE77)+N($AF77))</f>
        <v/>
      </c>
      <c r="AH77" s="21" t="str">
        <f aca="false">IF(OR($C77="",$G77="Décommissionné",COUNTIFS($E77,av_envc,$A77,av_domc,$B77,av_tric)=0),"",COUNTIFS($C$6:$C77,"&lt;&gt;",$G$6:$G77,"&lt;&gt;Décommissionné",$E$6:$E77,av_envc,$A$6:$A77,av_domc,$B$6:$B77,av_tric))</f>
        <v/>
      </c>
      <c r="AI77" s="21" t="str">
        <f aca="false">IF($C77="","",IF(AND(OR($G77="À migrer",$G77="À décommissionner"),$W77&lt;&gt;"",$W77&gt;ex_mois),1,0))</f>
        <v/>
      </c>
      <c r="AJ77" s="21" t="str">
        <f aca="false">IF(OR($C77="",$AI77&lt;&gt;1,COUNTIFS($E77,ex_envc,$A77,ex_domc,$B77,ex_tric)=0),"",COUNTIFS($AI$6:$AI77,1,$E$6:$E77,ex_envc,$A$6:$A77,ex_domc,$B$6:$B77,ex_tric))</f>
        <v/>
      </c>
    </row>
    <row r="78" customFormat="false" ht="15" hidden="false" customHeight="false" outlineLevel="0" collapsed="false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5"/>
      <c r="Q78" s="75"/>
      <c r="R78" s="75"/>
      <c r="S78" s="74"/>
      <c r="T78" s="21" t="str">
        <f aca="false">IF(OR($C78="",NOT(OR($G78="À migrer",$G78="Migré")),NOT(ISNUMBER($K78))),"",ROUNDUP($K78*(1+IF($AC78="",p_margeCPU,$AC78)),0))</f>
        <v/>
      </c>
      <c r="U78" s="21" t="str">
        <f aca="false">IF(OR($C78="",NOT(OR($G78="À migrer",$G78="Migré")),NOT(ISNUMBER($L78))),"",ROUNDUP($L78*(1+IF($AD78="",p_margeRAM,$AD78)),0))</f>
        <v/>
      </c>
      <c r="V78" s="39" t="str">
        <f aca="false">IF(OR(NOT($G78="À migrer"),$P78=""),"",IFERROR(DATE(YEAR($P78),MONTH($P78),1),""))</f>
        <v/>
      </c>
      <c r="W78" s="39" t="str">
        <f aca="false">IF(OR(NOT(OR($G78="À migrer",$G78="À décommissionner")),$R78=""),"",IFERROR(DATE(YEAR($R78),MONTH($R78),1),""))</f>
        <v/>
      </c>
      <c r="X78" s="21" t="str">
        <f aca="false">IF(OR($V78="",$W78=""),"",MAX(0,(YEAR($W78)-YEAR($V78))*12+MONTH($W78)-MONTH($V78)))</f>
        <v/>
      </c>
      <c r="Y78" s="21" t="str">
        <f aca="false">IF($C78="","",COUNTIF(TblApplications[ID],$C78))</f>
        <v/>
      </c>
      <c r="Z78" s="39" t="str">
        <f aca="false">IF($C78="","",IFERROR(1/(1/_xlfn.MINIFS(TblApplications[Mois prov (calc)],TblApplications[ID],$C78)),""))</f>
        <v/>
      </c>
      <c r="AA78" s="39" t="str">
        <f aca="false">IF($C78="","",IFERROR(1/(1/_xlfn.MAXIFS(TblApplications[Mois lib (calc)],TblApplications[ID],$C78)),""))</f>
        <v/>
      </c>
      <c r="AB78" s="21" t="str">
        <f aca="false">IF($C78="","",IF(OR(OR($A78="",$B78="",$D78="",$E78="",$F78="",$G78=""),AND($G78="À migrer",OR($H78="",$I78="",$J78="",$K78="",$L78="",$N78="",$O78="",$P78="",$Q78="",$R78="")),AND($G78="Migré",OR($J78="",$K78="",$L78="")),AND($G78="À décommissionner",OR($I78="",$N78="",$O78="",$R78=""))),"Données manquantes (selon l’action)",IF(AND($G78&lt;&gt;"Migré",$G78&lt;&gt;"À migrer",$G78&lt;&gt;"À décommissionner",$G78&lt;&gt;"Décommissionné"),"Action invalide",IF(COUNTIF(TblDomaines[Domaine],$A78)=0,"Domaine inconnu (référentiel)",IF(COUNTIFS(TblTribes[Tribe],$B78,TblTribes[Domaine de la tribe],$A78)=0,"Tribe inconnue ou hors domaine",IF(AND($G78="À migrer",$H78&lt;&gt;"Oui",$H78&lt;&gt;"Non"),"Valeur Oui/Non invalide (Déjà incluse ROKS)",IF(AND($E78&lt;&gt;"PRD",$E78&lt;&gt;"NPRD"),"Environnement invalide",IF(COUNTIFS(TblApplications[ID],$C78,TblApplications[Environnement],$E78,TblApplications[Couloir],$F78)&gt;1,"Déploiement en doublon (ID + env + couloir)",IF(OR(AND($K78&lt;&gt;"",NOT(ISNUMBER($K78))),AND($L78&lt;&gt;"",NOT(ISNUMBER($L78))),AND($N78&lt;&gt;"",NOT(ISNUMBER($N78))),AND($O78&lt;&gt;"",NOT(ISNUMBER($O78)))),"Ressource non numérique",IF(MIN(N($K78),N($L78),N($N78),N($O78))&lt;0,"Ressource négative",IF(OR(AND($AC78&lt;&gt;"",OR(NOT(ISNUMBER($AC78)),$AC78&lt;0,$AC78&gt;1)),AND($AD78&lt;&gt;"",OR(NOT(ISNUMBER($AD78)),$AD78&lt;0,$AD78&gt;1))),"Marge spécifique invalide (0–100 %)",IF(OR(AND($P78&lt;&gt;"",NOT(ISNUMBER($P78))),AND($Q78&lt;&gt;"",NOT(ISNUMBER($Q78))),AND($R78&lt;&gt;"",NOT(ISNUMBER($R78)))),"Mois invalide",IF(AND(OR($G78="À migrer",$G78="À décommissionner"),COUNTIFS(TblClusters[Cluster],$I78,TblClusters[Plateforme],"IKS")=0),"Cluster IKS inconnu",IF(AND(OR($G78="À migrer",$G78="Migré"),COUNTIFS(TblClusters[Cluster],$J78,TblClusters[Plateforme],"ROKS")=0),"Cluster ROKS inconnu",IF(AND(OR($G78="À migrer",$G78="À décommissionner"),COUNTIFS(TblClusters[Cluster],$I78,TblClusters[Environnement],$E78)=0),"Environnement ≠ cluster IKS",IF(AND(OR($G78="À migrer",$G78="Migré"),COUNTIFS(TblClusters[Cluster],$J78,TblClusters[Environnement],$E78)=0),"Environnement ≠ cluster ROKS",IF(AND($G78="À migrer",OR($P78&gt;$Q78,$Q78&gt;$R78)),"Dates incohérentes (prov ≤ bascule ≤ libération)",IF(AND(OR($G78="À migrer",$G78="À décommissionner"),OR(N($N78)&gt;SUMIFS(TblClusters[CPU initial (vCPU)],TblClusters[Cluster],$I78),N($O78)&gt;SUMIFS(TblClusters[RAM initiale (Go)],TblClusters[Cluster],$I78))),"Libération &gt; capacité du cluster source",IF(OR(AND($V78&lt;&gt;"",$V78&lt;p_debut),AND($W78&lt;&gt;"",$W78&gt;p_fin)),"Hors horizon (info)",IF(AND($G78="À migrer",$E78="PRD",COUNTIFS(TblApplications[ID],$C78,TblApplications[Environnement],"NPRD",TblApplications[Action],"À migrer")&gt;0,$V78&lt;_xlfn.MINIFS(TblApplications[Mois prov (calc)],TblApplications[ID],$C78,TblApplications[Environnement],"NPRD")),"PRD avant NPRD (info)","OK"))))))))))))))))))))</f>
        <v/>
      </c>
      <c r="AC78" s="76"/>
      <c r="AD78" s="76"/>
      <c r="AE78" s="22" t="str">
        <f aca="false">IF(OR($C78="",NOT(OR($G78="À migrer",$G78="À décommissionner")),NOT(ISNUMBER($N78)),NOT(ISNUMBER($O78)),$W78=""),"",($N78+p_poidsram*$O78)*SUMIFS(TblCalculs[Coût par unité],TblCalculs[Cluster],$I78,TblCalculs[Mois],"&lt;"&amp;$W78))</f>
        <v/>
      </c>
      <c r="AF78" s="22" t="str">
        <f aca="false">IF($C78="","",IF(AND($G78="À migrer",$H78="Non",$T78&lt;&gt;"",$V78&lt;&gt;""),($T78+p_poidsram*$U78)*SUMIFS(TblCalculs[Coût par unité],TblCalculs[Cluster],$J78,TblCalculs[Mois],"&gt;="&amp;$V78),IF(AND($G78="Migré",$T78&lt;&gt;""),($T78+p_poidsram*$U78)*SUMIFS(TblCalculs[Coût par unité],TblCalculs[Cluster],$J78),"")))</f>
        <v/>
      </c>
      <c r="AG78" s="22" t="str">
        <f aca="false">IF($C78="","",N($AE78)+N($AF78))</f>
        <v/>
      </c>
      <c r="AH78" s="21" t="str">
        <f aca="false">IF(OR($C78="",$G78="Décommissionné",COUNTIFS($E78,av_envc,$A78,av_domc,$B78,av_tric)=0),"",COUNTIFS($C$6:$C78,"&lt;&gt;",$G$6:$G78,"&lt;&gt;Décommissionné",$E$6:$E78,av_envc,$A$6:$A78,av_domc,$B$6:$B78,av_tric))</f>
        <v/>
      </c>
      <c r="AI78" s="21" t="str">
        <f aca="false">IF($C78="","",IF(AND(OR($G78="À migrer",$G78="À décommissionner"),$W78&lt;&gt;"",$W78&gt;ex_mois),1,0))</f>
        <v/>
      </c>
      <c r="AJ78" s="21" t="str">
        <f aca="false">IF(OR($C78="",$AI78&lt;&gt;1,COUNTIFS($E78,ex_envc,$A78,ex_domc,$B78,ex_tric)=0),"",COUNTIFS($AI$6:$AI78,1,$E$6:$E78,ex_envc,$A$6:$A78,ex_domc,$B$6:$B78,ex_tric))</f>
        <v/>
      </c>
    </row>
    <row r="79" customFormat="false" ht="15" hidden="false" customHeight="false" outlineLevel="0" collapsed="false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5"/>
      <c r="Q79" s="75"/>
      <c r="R79" s="75"/>
      <c r="S79" s="74"/>
      <c r="T79" s="21" t="str">
        <f aca="false">IF(OR($C79="",NOT(OR($G79="À migrer",$G79="Migré")),NOT(ISNUMBER($K79))),"",ROUNDUP($K79*(1+IF($AC79="",p_margeCPU,$AC79)),0))</f>
        <v/>
      </c>
      <c r="U79" s="21" t="str">
        <f aca="false">IF(OR($C79="",NOT(OR($G79="À migrer",$G79="Migré")),NOT(ISNUMBER($L79))),"",ROUNDUP($L79*(1+IF($AD79="",p_margeRAM,$AD79)),0))</f>
        <v/>
      </c>
      <c r="V79" s="39" t="str">
        <f aca="false">IF(OR(NOT($G79="À migrer"),$P79=""),"",IFERROR(DATE(YEAR($P79),MONTH($P79),1),""))</f>
        <v/>
      </c>
      <c r="W79" s="39" t="str">
        <f aca="false">IF(OR(NOT(OR($G79="À migrer",$G79="À décommissionner")),$R79=""),"",IFERROR(DATE(YEAR($R79),MONTH($R79),1),""))</f>
        <v/>
      </c>
      <c r="X79" s="21" t="str">
        <f aca="false">IF(OR($V79="",$W79=""),"",MAX(0,(YEAR($W79)-YEAR($V79))*12+MONTH($W79)-MONTH($V79)))</f>
        <v/>
      </c>
      <c r="Y79" s="21" t="str">
        <f aca="false">IF($C79="","",COUNTIF(TblApplications[ID],$C79))</f>
        <v/>
      </c>
      <c r="Z79" s="39" t="str">
        <f aca="false">IF($C79="","",IFERROR(1/(1/_xlfn.MINIFS(TblApplications[Mois prov (calc)],TblApplications[ID],$C79)),""))</f>
        <v/>
      </c>
      <c r="AA79" s="39" t="str">
        <f aca="false">IF($C79="","",IFERROR(1/(1/_xlfn.MAXIFS(TblApplications[Mois lib (calc)],TblApplications[ID],$C79)),""))</f>
        <v/>
      </c>
      <c r="AB79" s="21" t="str">
        <f aca="false">IF($C79="","",IF(OR(OR($A79="",$B79="",$D79="",$E79="",$F79="",$G79=""),AND($G79="À migrer",OR($H79="",$I79="",$J79="",$K79="",$L79="",$N79="",$O79="",$P79="",$Q79="",$R79="")),AND($G79="Migré",OR($J79="",$K79="",$L79="")),AND($G79="À décommissionner",OR($I79="",$N79="",$O79="",$R79=""))),"Données manquantes (selon l’action)",IF(AND($G79&lt;&gt;"Migré",$G79&lt;&gt;"À migrer",$G79&lt;&gt;"À décommissionner",$G79&lt;&gt;"Décommissionné"),"Action invalide",IF(COUNTIF(TblDomaines[Domaine],$A79)=0,"Domaine inconnu (référentiel)",IF(COUNTIFS(TblTribes[Tribe],$B79,TblTribes[Domaine de la tribe],$A79)=0,"Tribe inconnue ou hors domaine",IF(AND($G79="À migrer",$H79&lt;&gt;"Oui",$H79&lt;&gt;"Non"),"Valeur Oui/Non invalide (Déjà incluse ROKS)",IF(AND($E79&lt;&gt;"PRD",$E79&lt;&gt;"NPRD"),"Environnement invalide",IF(COUNTIFS(TblApplications[ID],$C79,TblApplications[Environnement],$E79,TblApplications[Couloir],$F79)&gt;1,"Déploiement en doublon (ID + env + couloir)",IF(OR(AND($K79&lt;&gt;"",NOT(ISNUMBER($K79))),AND($L79&lt;&gt;"",NOT(ISNUMBER($L79))),AND($N79&lt;&gt;"",NOT(ISNUMBER($N79))),AND($O79&lt;&gt;"",NOT(ISNUMBER($O79)))),"Ressource non numérique",IF(MIN(N($K79),N($L79),N($N79),N($O79))&lt;0,"Ressource négative",IF(OR(AND($AC79&lt;&gt;"",OR(NOT(ISNUMBER($AC79)),$AC79&lt;0,$AC79&gt;1)),AND($AD79&lt;&gt;"",OR(NOT(ISNUMBER($AD79)),$AD79&lt;0,$AD79&gt;1))),"Marge spécifique invalide (0–100 %)",IF(OR(AND($P79&lt;&gt;"",NOT(ISNUMBER($P79))),AND($Q79&lt;&gt;"",NOT(ISNUMBER($Q79))),AND($R79&lt;&gt;"",NOT(ISNUMBER($R79)))),"Mois invalide",IF(AND(OR($G79="À migrer",$G79="À décommissionner"),COUNTIFS(TblClusters[Cluster],$I79,TblClusters[Plateforme],"IKS")=0),"Cluster IKS inconnu",IF(AND(OR($G79="À migrer",$G79="Migré"),COUNTIFS(TblClusters[Cluster],$J79,TblClusters[Plateforme],"ROKS")=0),"Cluster ROKS inconnu",IF(AND(OR($G79="À migrer",$G79="À décommissionner"),COUNTIFS(TblClusters[Cluster],$I79,TblClusters[Environnement],$E79)=0),"Environnement ≠ cluster IKS",IF(AND(OR($G79="À migrer",$G79="Migré"),COUNTIFS(TblClusters[Cluster],$J79,TblClusters[Environnement],$E79)=0),"Environnement ≠ cluster ROKS",IF(AND($G79="À migrer",OR($P79&gt;$Q79,$Q79&gt;$R79)),"Dates incohérentes (prov ≤ bascule ≤ libération)",IF(AND(OR($G79="À migrer",$G79="À décommissionner"),OR(N($N79)&gt;SUMIFS(TblClusters[CPU initial (vCPU)],TblClusters[Cluster],$I79),N($O79)&gt;SUMIFS(TblClusters[RAM initiale (Go)],TblClusters[Cluster],$I79))),"Libération &gt; capacité du cluster source",IF(OR(AND($V79&lt;&gt;"",$V79&lt;p_debut),AND($W79&lt;&gt;"",$W79&gt;p_fin)),"Hors horizon (info)",IF(AND($G79="À migrer",$E79="PRD",COUNTIFS(TblApplications[ID],$C79,TblApplications[Environnement],"NPRD",TblApplications[Action],"À migrer")&gt;0,$V79&lt;_xlfn.MINIFS(TblApplications[Mois prov (calc)],TblApplications[ID],$C79,TblApplications[Environnement],"NPRD")),"PRD avant NPRD (info)","OK"))))))))))))))))))))</f>
        <v/>
      </c>
      <c r="AC79" s="76"/>
      <c r="AD79" s="76"/>
      <c r="AE79" s="22" t="str">
        <f aca="false">IF(OR($C79="",NOT(OR($G79="À migrer",$G79="À décommissionner")),NOT(ISNUMBER($N79)),NOT(ISNUMBER($O79)),$W79=""),"",($N79+p_poidsram*$O79)*SUMIFS(TblCalculs[Coût par unité],TblCalculs[Cluster],$I79,TblCalculs[Mois],"&lt;"&amp;$W79))</f>
        <v/>
      </c>
      <c r="AF79" s="22" t="str">
        <f aca="false">IF($C79="","",IF(AND($G79="À migrer",$H79="Non",$T79&lt;&gt;"",$V79&lt;&gt;""),($T79+p_poidsram*$U79)*SUMIFS(TblCalculs[Coût par unité],TblCalculs[Cluster],$J79,TblCalculs[Mois],"&gt;="&amp;$V79),IF(AND($G79="Migré",$T79&lt;&gt;""),($T79+p_poidsram*$U79)*SUMIFS(TblCalculs[Coût par unité],TblCalculs[Cluster],$J79),"")))</f>
        <v/>
      </c>
      <c r="AG79" s="22" t="str">
        <f aca="false">IF($C79="","",N($AE79)+N($AF79))</f>
        <v/>
      </c>
      <c r="AH79" s="21" t="str">
        <f aca="false">IF(OR($C79="",$G79="Décommissionné",COUNTIFS($E79,av_envc,$A79,av_domc,$B79,av_tric)=0),"",COUNTIFS($C$6:$C79,"&lt;&gt;",$G$6:$G79,"&lt;&gt;Décommissionné",$E$6:$E79,av_envc,$A$6:$A79,av_domc,$B$6:$B79,av_tric))</f>
        <v/>
      </c>
      <c r="AI79" s="21" t="str">
        <f aca="false">IF($C79="","",IF(AND(OR($G79="À migrer",$G79="À décommissionner"),$W79&lt;&gt;"",$W79&gt;ex_mois),1,0))</f>
        <v/>
      </c>
      <c r="AJ79" s="21" t="str">
        <f aca="false">IF(OR($C79="",$AI79&lt;&gt;1,COUNTIFS($E79,ex_envc,$A79,ex_domc,$B79,ex_tric)=0),"",COUNTIFS($AI$6:$AI79,1,$E$6:$E79,ex_envc,$A$6:$A79,ex_domc,$B$6:$B79,ex_tric))</f>
        <v/>
      </c>
    </row>
    <row r="80" customFormat="false" ht="15" hidden="false" customHeight="false" outlineLevel="0" collapsed="false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5"/>
      <c r="Q80" s="75"/>
      <c r="R80" s="75"/>
      <c r="S80" s="74"/>
      <c r="T80" s="21" t="str">
        <f aca="false">IF(OR($C80="",NOT(OR($G80="À migrer",$G80="Migré")),NOT(ISNUMBER($K80))),"",ROUNDUP($K80*(1+IF($AC80="",p_margeCPU,$AC80)),0))</f>
        <v/>
      </c>
      <c r="U80" s="21" t="str">
        <f aca="false">IF(OR($C80="",NOT(OR($G80="À migrer",$G80="Migré")),NOT(ISNUMBER($L80))),"",ROUNDUP($L80*(1+IF($AD80="",p_margeRAM,$AD80)),0))</f>
        <v/>
      </c>
      <c r="V80" s="39" t="str">
        <f aca="false">IF(OR(NOT($G80="À migrer"),$P80=""),"",IFERROR(DATE(YEAR($P80),MONTH($P80),1),""))</f>
        <v/>
      </c>
      <c r="W80" s="39" t="str">
        <f aca="false">IF(OR(NOT(OR($G80="À migrer",$G80="À décommissionner")),$R80=""),"",IFERROR(DATE(YEAR($R80),MONTH($R80),1),""))</f>
        <v/>
      </c>
      <c r="X80" s="21" t="str">
        <f aca="false">IF(OR($V80="",$W80=""),"",MAX(0,(YEAR($W80)-YEAR($V80))*12+MONTH($W80)-MONTH($V80)))</f>
        <v/>
      </c>
      <c r="Y80" s="21" t="str">
        <f aca="false">IF($C80="","",COUNTIF(TblApplications[ID],$C80))</f>
        <v/>
      </c>
      <c r="Z80" s="39" t="str">
        <f aca="false">IF($C80="","",IFERROR(1/(1/_xlfn.MINIFS(TblApplications[Mois prov (calc)],TblApplications[ID],$C80)),""))</f>
        <v/>
      </c>
      <c r="AA80" s="39" t="str">
        <f aca="false">IF($C80="","",IFERROR(1/(1/_xlfn.MAXIFS(TblApplications[Mois lib (calc)],TblApplications[ID],$C80)),""))</f>
        <v/>
      </c>
      <c r="AB80" s="21" t="str">
        <f aca="false">IF($C80="","",IF(OR(OR($A80="",$B80="",$D80="",$E80="",$F80="",$G80=""),AND($G80="À migrer",OR($H80="",$I80="",$J80="",$K80="",$L80="",$N80="",$O80="",$P80="",$Q80="",$R80="")),AND($G80="Migré",OR($J80="",$K80="",$L80="")),AND($G80="À décommissionner",OR($I80="",$N80="",$O80="",$R80=""))),"Données manquantes (selon l’action)",IF(AND($G80&lt;&gt;"Migré",$G80&lt;&gt;"À migrer",$G80&lt;&gt;"À décommissionner",$G80&lt;&gt;"Décommissionné"),"Action invalide",IF(COUNTIF(TblDomaines[Domaine],$A80)=0,"Domaine inconnu (référentiel)",IF(COUNTIFS(TblTribes[Tribe],$B80,TblTribes[Domaine de la tribe],$A80)=0,"Tribe inconnue ou hors domaine",IF(AND($G80="À migrer",$H80&lt;&gt;"Oui",$H80&lt;&gt;"Non"),"Valeur Oui/Non invalide (Déjà incluse ROKS)",IF(AND($E80&lt;&gt;"PRD",$E80&lt;&gt;"NPRD"),"Environnement invalide",IF(COUNTIFS(TblApplications[ID],$C80,TblApplications[Environnement],$E80,TblApplications[Couloir],$F80)&gt;1,"Déploiement en doublon (ID + env + couloir)",IF(OR(AND($K80&lt;&gt;"",NOT(ISNUMBER($K80))),AND($L80&lt;&gt;"",NOT(ISNUMBER($L80))),AND($N80&lt;&gt;"",NOT(ISNUMBER($N80))),AND($O80&lt;&gt;"",NOT(ISNUMBER($O80)))),"Ressource non numérique",IF(MIN(N($K80),N($L80),N($N80),N($O80))&lt;0,"Ressource négative",IF(OR(AND($AC80&lt;&gt;"",OR(NOT(ISNUMBER($AC80)),$AC80&lt;0,$AC80&gt;1)),AND($AD80&lt;&gt;"",OR(NOT(ISNUMBER($AD80)),$AD80&lt;0,$AD80&gt;1))),"Marge spécifique invalide (0–100 %)",IF(OR(AND($P80&lt;&gt;"",NOT(ISNUMBER($P80))),AND($Q80&lt;&gt;"",NOT(ISNUMBER($Q80))),AND($R80&lt;&gt;"",NOT(ISNUMBER($R80)))),"Mois invalide",IF(AND(OR($G80="À migrer",$G80="À décommissionner"),COUNTIFS(TblClusters[Cluster],$I80,TblClusters[Plateforme],"IKS")=0),"Cluster IKS inconnu",IF(AND(OR($G80="À migrer",$G80="Migré"),COUNTIFS(TblClusters[Cluster],$J80,TblClusters[Plateforme],"ROKS")=0),"Cluster ROKS inconnu",IF(AND(OR($G80="À migrer",$G80="À décommissionner"),COUNTIFS(TblClusters[Cluster],$I80,TblClusters[Environnement],$E80)=0),"Environnement ≠ cluster IKS",IF(AND(OR($G80="À migrer",$G80="Migré"),COUNTIFS(TblClusters[Cluster],$J80,TblClusters[Environnement],$E80)=0),"Environnement ≠ cluster ROKS",IF(AND($G80="À migrer",OR($P80&gt;$Q80,$Q80&gt;$R80)),"Dates incohérentes (prov ≤ bascule ≤ libération)",IF(AND(OR($G80="À migrer",$G80="À décommissionner"),OR(N($N80)&gt;SUMIFS(TblClusters[CPU initial (vCPU)],TblClusters[Cluster],$I80),N($O80)&gt;SUMIFS(TblClusters[RAM initiale (Go)],TblClusters[Cluster],$I80))),"Libération &gt; capacité du cluster source",IF(OR(AND($V80&lt;&gt;"",$V80&lt;p_debut),AND($W80&lt;&gt;"",$W80&gt;p_fin)),"Hors horizon (info)",IF(AND($G80="À migrer",$E80="PRD",COUNTIFS(TblApplications[ID],$C80,TblApplications[Environnement],"NPRD",TblApplications[Action],"À migrer")&gt;0,$V80&lt;_xlfn.MINIFS(TblApplications[Mois prov (calc)],TblApplications[ID],$C80,TblApplications[Environnement],"NPRD")),"PRD avant NPRD (info)","OK"))))))))))))))))))))</f>
        <v/>
      </c>
      <c r="AC80" s="76"/>
      <c r="AD80" s="76"/>
      <c r="AE80" s="22" t="str">
        <f aca="false">IF(OR($C80="",NOT(OR($G80="À migrer",$G80="À décommissionner")),NOT(ISNUMBER($N80)),NOT(ISNUMBER($O80)),$W80=""),"",($N80+p_poidsram*$O80)*SUMIFS(TblCalculs[Coût par unité],TblCalculs[Cluster],$I80,TblCalculs[Mois],"&lt;"&amp;$W80))</f>
        <v/>
      </c>
      <c r="AF80" s="22" t="str">
        <f aca="false">IF($C80="","",IF(AND($G80="À migrer",$H80="Non",$T80&lt;&gt;"",$V80&lt;&gt;""),($T80+p_poidsram*$U80)*SUMIFS(TblCalculs[Coût par unité],TblCalculs[Cluster],$J80,TblCalculs[Mois],"&gt;="&amp;$V80),IF(AND($G80="Migré",$T80&lt;&gt;""),($T80+p_poidsram*$U80)*SUMIFS(TblCalculs[Coût par unité],TblCalculs[Cluster],$J80),"")))</f>
        <v/>
      </c>
      <c r="AG80" s="22" t="str">
        <f aca="false">IF($C80="","",N($AE80)+N($AF80))</f>
        <v/>
      </c>
      <c r="AH80" s="21" t="str">
        <f aca="false">IF(OR($C80="",$G80="Décommissionné",COUNTIFS($E80,av_envc,$A80,av_domc,$B80,av_tric)=0),"",COUNTIFS($C$6:$C80,"&lt;&gt;",$G$6:$G80,"&lt;&gt;Décommissionné",$E$6:$E80,av_envc,$A$6:$A80,av_domc,$B$6:$B80,av_tric))</f>
        <v/>
      </c>
      <c r="AI80" s="21" t="str">
        <f aca="false">IF($C80="","",IF(AND(OR($G80="À migrer",$G80="À décommissionner"),$W80&lt;&gt;"",$W80&gt;ex_mois),1,0))</f>
        <v/>
      </c>
      <c r="AJ80" s="21" t="str">
        <f aca="false">IF(OR($C80="",$AI80&lt;&gt;1,COUNTIFS($E80,ex_envc,$A80,ex_domc,$B80,ex_tric)=0),"",COUNTIFS($AI$6:$AI80,1,$E$6:$E80,ex_envc,$A$6:$A80,ex_domc,$B$6:$B80,ex_tric))</f>
        <v/>
      </c>
    </row>
    <row r="81" customFormat="false" ht="15" hidden="false" customHeight="false" outlineLevel="0" collapsed="false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5"/>
      <c r="Q81" s="75"/>
      <c r="R81" s="75"/>
      <c r="S81" s="74"/>
      <c r="T81" s="21" t="str">
        <f aca="false">IF(OR($C81="",NOT(OR($G81="À migrer",$G81="Migré")),NOT(ISNUMBER($K81))),"",ROUNDUP($K81*(1+IF($AC81="",p_margeCPU,$AC81)),0))</f>
        <v/>
      </c>
      <c r="U81" s="21" t="str">
        <f aca="false">IF(OR($C81="",NOT(OR($G81="À migrer",$G81="Migré")),NOT(ISNUMBER($L81))),"",ROUNDUP($L81*(1+IF($AD81="",p_margeRAM,$AD81)),0))</f>
        <v/>
      </c>
      <c r="V81" s="39" t="str">
        <f aca="false">IF(OR(NOT($G81="À migrer"),$P81=""),"",IFERROR(DATE(YEAR($P81),MONTH($P81),1),""))</f>
        <v/>
      </c>
      <c r="W81" s="39" t="str">
        <f aca="false">IF(OR(NOT(OR($G81="À migrer",$G81="À décommissionner")),$R81=""),"",IFERROR(DATE(YEAR($R81),MONTH($R81),1),""))</f>
        <v/>
      </c>
      <c r="X81" s="21" t="str">
        <f aca="false">IF(OR($V81="",$W81=""),"",MAX(0,(YEAR($W81)-YEAR($V81))*12+MONTH($W81)-MONTH($V81)))</f>
        <v/>
      </c>
      <c r="Y81" s="21" t="str">
        <f aca="false">IF($C81="","",COUNTIF(TblApplications[ID],$C81))</f>
        <v/>
      </c>
      <c r="Z81" s="39" t="str">
        <f aca="false">IF($C81="","",IFERROR(1/(1/_xlfn.MINIFS(TblApplications[Mois prov (calc)],TblApplications[ID],$C81)),""))</f>
        <v/>
      </c>
      <c r="AA81" s="39" t="str">
        <f aca="false">IF($C81="","",IFERROR(1/(1/_xlfn.MAXIFS(TblApplications[Mois lib (calc)],TblApplications[ID],$C81)),""))</f>
        <v/>
      </c>
      <c r="AB81" s="21" t="str">
        <f aca="false">IF($C81="","",IF(OR(OR($A81="",$B81="",$D81="",$E81="",$F81="",$G81=""),AND($G81="À migrer",OR($H81="",$I81="",$J81="",$K81="",$L81="",$N81="",$O81="",$P81="",$Q81="",$R81="")),AND($G81="Migré",OR($J81="",$K81="",$L81="")),AND($G81="À décommissionner",OR($I81="",$N81="",$O81="",$R81=""))),"Données manquantes (selon l’action)",IF(AND($G81&lt;&gt;"Migré",$G81&lt;&gt;"À migrer",$G81&lt;&gt;"À décommissionner",$G81&lt;&gt;"Décommissionné"),"Action invalide",IF(COUNTIF(TblDomaines[Domaine],$A81)=0,"Domaine inconnu (référentiel)",IF(COUNTIFS(TblTribes[Tribe],$B81,TblTribes[Domaine de la tribe],$A81)=0,"Tribe inconnue ou hors domaine",IF(AND($G81="À migrer",$H81&lt;&gt;"Oui",$H81&lt;&gt;"Non"),"Valeur Oui/Non invalide (Déjà incluse ROKS)",IF(AND($E81&lt;&gt;"PRD",$E81&lt;&gt;"NPRD"),"Environnement invalide",IF(COUNTIFS(TblApplications[ID],$C81,TblApplications[Environnement],$E81,TblApplications[Couloir],$F81)&gt;1,"Déploiement en doublon (ID + env + couloir)",IF(OR(AND($K81&lt;&gt;"",NOT(ISNUMBER($K81))),AND($L81&lt;&gt;"",NOT(ISNUMBER($L81))),AND($N81&lt;&gt;"",NOT(ISNUMBER($N81))),AND($O81&lt;&gt;"",NOT(ISNUMBER($O81)))),"Ressource non numérique",IF(MIN(N($K81),N($L81),N($N81),N($O81))&lt;0,"Ressource négative",IF(OR(AND($AC81&lt;&gt;"",OR(NOT(ISNUMBER($AC81)),$AC81&lt;0,$AC81&gt;1)),AND($AD81&lt;&gt;"",OR(NOT(ISNUMBER($AD81)),$AD81&lt;0,$AD81&gt;1))),"Marge spécifique invalide (0–100 %)",IF(OR(AND($P81&lt;&gt;"",NOT(ISNUMBER($P81))),AND($Q81&lt;&gt;"",NOT(ISNUMBER($Q81))),AND($R81&lt;&gt;"",NOT(ISNUMBER($R81)))),"Mois invalide",IF(AND(OR($G81="À migrer",$G81="À décommissionner"),COUNTIFS(TblClusters[Cluster],$I81,TblClusters[Plateforme],"IKS")=0),"Cluster IKS inconnu",IF(AND(OR($G81="À migrer",$G81="Migré"),COUNTIFS(TblClusters[Cluster],$J81,TblClusters[Plateforme],"ROKS")=0),"Cluster ROKS inconnu",IF(AND(OR($G81="À migrer",$G81="À décommissionner"),COUNTIFS(TblClusters[Cluster],$I81,TblClusters[Environnement],$E81)=0),"Environnement ≠ cluster IKS",IF(AND(OR($G81="À migrer",$G81="Migré"),COUNTIFS(TblClusters[Cluster],$J81,TblClusters[Environnement],$E81)=0),"Environnement ≠ cluster ROKS",IF(AND($G81="À migrer",OR($P81&gt;$Q81,$Q81&gt;$R81)),"Dates incohérentes (prov ≤ bascule ≤ libération)",IF(AND(OR($G81="À migrer",$G81="À décommissionner"),OR(N($N81)&gt;SUMIFS(TblClusters[CPU initial (vCPU)],TblClusters[Cluster],$I81),N($O81)&gt;SUMIFS(TblClusters[RAM initiale (Go)],TblClusters[Cluster],$I81))),"Libération &gt; capacité du cluster source",IF(OR(AND($V81&lt;&gt;"",$V81&lt;p_debut),AND($W81&lt;&gt;"",$W81&gt;p_fin)),"Hors horizon (info)",IF(AND($G81="À migrer",$E81="PRD",COUNTIFS(TblApplications[ID],$C81,TblApplications[Environnement],"NPRD",TblApplications[Action],"À migrer")&gt;0,$V81&lt;_xlfn.MINIFS(TblApplications[Mois prov (calc)],TblApplications[ID],$C81,TblApplications[Environnement],"NPRD")),"PRD avant NPRD (info)","OK"))))))))))))))))))))</f>
        <v/>
      </c>
      <c r="AC81" s="76"/>
      <c r="AD81" s="76"/>
      <c r="AE81" s="22" t="str">
        <f aca="false">IF(OR($C81="",NOT(OR($G81="À migrer",$G81="À décommissionner")),NOT(ISNUMBER($N81)),NOT(ISNUMBER($O81)),$W81=""),"",($N81+p_poidsram*$O81)*SUMIFS(TblCalculs[Coût par unité],TblCalculs[Cluster],$I81,TblCalculs[Mois],"&lt;"&amp;$W81))</f>
        <v/>
      </c>
      <c r="AF81" s="22" t="str">
        <f aca="false">IF($C81="","",IF(AND($G81="À migrer",$H81="Non",$T81&lt;&gt;"",$V81&lt;&gt;""),($T81+p_poidsram*$U81)*SUMIFS(TblCalculs[Coût par unité],TblCalculs[Cluster],$J81,TblCalculs[Mois],"&gt;="&amp;$V81),IF(AND($G81="Migré",$T81&lt;&gt;""),($T81+p_poidsram*$U81)*SUMIFS(TblCalculs[Coût par unité],TblCalculs[Cluster],$J81),"")))</f>
        <v/>
      </c>
      <c r="AG81" s="22" t="str">
        <f aca="false">IF($C81="","",N($AE81)+N($AF81))</f>
        <v/>
      </c>
      <c r="AH81" s="21" t="str">
        <f aca="false">IF(OR($C81="",$G81="Décommissionné",COUNTIFS($E81,av_envc,$A81,av_domc,$B81,av_tric)=0),"",COUNTIFS($C$6:$C81,"&lt;&gt;",$G$6:$G81,"&lt;&gt;Décommissionné",$E$6:$E81,av_envc,$A$6:$A81,av_domc,$B$6:$B81,av_tric))</f>
        <v/>
      </c>
      <c r="AI81" s="21" t="str">
        <f aca="false">IF($C81="","",IF(AND(OR($G81="À migrer",$G81="À décommissionner"),$W81&lt;&gt;"",$W81&gt;ex_mois),1,0))</f>
        <v/>
      </c>
      <c r="AJ81" s="21" t="str">
        <f aca="false">IF(OR($C81="",$AI81&lt;&gt;1,COUNTIFS($E81,ex_envc,$A81,ex_domc,$B81,ex_tric)=0),"",COUNTIFS($AI$6:$AI81,1,$E$6:$E81,ex_envc,$A$6:$A81,ex_domc,$B$6:$B81,ex_tric))</f>
        <v/>
      </c>
    </row>
    <row r="82" customFormat="false" ht="15" hidden="false" customHeight="false" outlineLevel="0" collapsed="false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5"/>
      <c r="Q82" s="75"/>
      <c r="R82" s="75"/>
      <c r="S82" s="74"/>
      <c r="T82" s="21" t="str">
        <f aca="false">IF(OR($C82="",NOT(OR($G82="À migrer",$G82="Migré")),NOT(ISNUMBER($K82))),"",ROUNDUP($K82*(1+IF($AC82="",p_margeCPU,$AC82)),0))</f>
        <v/>
      </c>
      <c r="U82" s="21" t="str">
        <f aca="false">IF(OR($C82="",NOT(OR($G82="À migrer",$G82="Migré")),NOT(ISNUMBER($L82))),"",ROUNDUP($L82*(1+IF($AD82="",p_margeRAM,$AD82)),0))</f>
        <v/>
      </c>
      <c r="V82" s="39" t="str">
        <f aca="false">IF(OR(NOT($G82="À migrer"),$P82=""),"",IFERROR(DATE(YEAR($P82),MONTH($P82),1),""))</f>
        <v/>
      </c>
      <c r="W82" s="39" t="str">
        <f aca="false">IF(OR(NOT(OR($G82="À migrer",$G82="À décommissionner")),$R82=""),"",IFERROR(DATE(YEAR($R82),MONTH($R82),1),""))</f>
        <v/>
      </c>
      <c r="X82" s="21" t="str">
        <f aca="false">IF(OR($V82="",$W82=""),"",MAX(0,(YEAR($W82)-YEAR($V82))*12+MONTH($W82)-MONTH($V82)))</f>
        <v/>
      </c>
      <c r="Y82" s="21" t="str">
        <f aca="false">IF($C82="","",COUNTIF(TblApplications[ID],$C82))</f>
        <v/>
      </c>
      <c r="Z82" s="39" t="str">
        <f aca="false">IF($C82="","",IFERROR(1/(1/_xlfn.MINIFS(TblApplications[Mois prov (calc)],TblApplications[ID],$C82)),""))</f>
        <v/>
      </c>
      <c r="AA82" s="39" t="str">
        <f aca="false">IF($C82="","",IFERROR(1/(1/_xlfn.MAXIFS(TblApplications[Mois lib (calc)],TblApplications[ID],$C82)),""))</f>
        <v/>
      </c>
      <c r="AB82" s="21" t="str">
        <f aca="false">IF($C82="","",IF(OR(OR($A82="",$B82="",$D82="",$E82="",$F82="",$G82=""),AND($G82="À migrer",OR($H82="",$I82="",$J82="",$K82="",$L82="",$N82="",$O82="",$P82="",$Q82="",$R82="")),AND($G82="Migré",OR($J82="",$K82="",$L82="")),AND($G82="À décommissionner",OR($I82="",$N82="",$O82="",$R82=""))),"Données manquantes (selon l’action)",IF(AND($G82&lt;&gt;"Migré",$G82&lt;&gt;"À migrer",$G82&lt;&gt;"À décommissionner",$G82&lt;&gt;"Décommissionné"),"Action invalide",IF(COUNTIF(TblDomaines[Domaine],$A82)=0,"Domaine inconnu (référentiel)",IF(COUNTIFS(TblTribes[Tribe],$B82,TblTribes[Domaine de la tribe],$A82)=0,"Tribe inconnue ou hors domaine",IF(AND($G82="À migrer",$H82&lt;&gt;"Oui",$H82&lt;&gt;"Non"),"Valeur Oui/Non invalide (Déjà incluse ROKS)",IF(AND($E82&lt;&gt;"PRD",$E82&lt;&gt;"NPRD"),"Environnement invalide",IF(COUNTIFS(TblApplications[ID],$C82,TblApplications[Environnement],$E82,TblApplications[Couloir],$F82)&gt;1,"Déploiement en doublon (ID + env + couloir)",IF(OR(AND($K82&lt;&gt;"",NOT(ISNUMBER($K82))),AND($L82&lt;&gt;"",NOT(ISNUMBER($L82))),AND($N82&lt;&gt;"",NOT(ISNUMBER($N82))),AND($O82&lt;&gt;"",NOT(ISNUMBER($O82)))),"Ressource non numérique",IF(MIN(N($K82),N($L82),N($N82),N($O82))&lt;0,"Ressource négative",IF(OR(AND($AC82&lt;&gt;"",OR(NOT(ISNUMBER($AC82)),$AC82&lt;0,$AC82&gt;1)),AND($AD82&lt;&gt;"",OR(NOT(ISNUMBER($AD82)),$AD82&lt;0,$AD82&gt;1))),"Marge spécifique invalide (0–100 %)",IF(OR(AND($P82&lt;&gt;"",NOT(ISNUMBER($P82))),AND($Q82&lt;&gt;"",NOT(ISNUMBER($Q82))),AND($R82&lt;&gt;"",NOT(ISNUMBER($R82)))),"Mois invalide",IF(AND(OR($G82="À migrer",$G82="À décommissionner"),COUNTIFS(TblClusters[Cluster],$I82,TblClusters[Plateforme],"IKS")=0),"Cluster IKS inconnu",IF(AND(OR($G82="À migrer",$G82="Migré"),COUNTIFS(TblClusters[Cluster],$J82,TblClusters[Plateforme],"ROKS")=0),"Cluster ROKS inconnu",IF(AND(OR($G82="À migrer",$G82="À décommissionner"),COUNTIFS(TblClusters[Cluster],$I82,TblClusters[Environnement],$E82)=0),"Environnement ≠ cluster IKS",IF(AND(OR($G82="À migrer",$G82="Migré"),COUNTIFS(TblClusters[Cluster],$J82,TblClusters[Environnement],$E82)=0),"Environnement ≠ cluster ROKS",IF(AND($G82="À migrer",OR($P82&gt;$Q82,$Q82&gt;$R82)),"Dates incohérentes (prov ≤ bascule ≤ libération)",IF(AND(OR($G82="À migrer",$G82="À décommissionner"),OR(N($N82)&gt;SUMIFS(TblClusters[CPU initial (vCPU)],TblClusters[Cluster],$I82),N($O82)&gt;SUMIFS(TblClusters[RAM initiale (Go)],TblClusters[Cluster],$I82))),"Libération &gt; capacité du cluster source",IF(OR(AND($V82&lt;&gt;"",$V82&lt;p_debut),AND($W82&lt;&gt;"",$W82&gt;p_fin)),"Hors horizon (info)",IF(AND($G82="À migrer",$E82="PRD",COUNTIFS(TblApplications[ID],$C82,TblApplications[Environnement],"NPRD",TblApplications[Action],"À migrer")&gt;0,$V82&lt;_xlfn.MINIFS(TblApplications[Mois prov (calc)],TblApplications[ID],$C82,TblApplications[Environnement],"NPRD")),"PRD avant NPRD (info)","OK"))))))))))))))))))))</f>
        <v/>
      </c>
      <c r="AC82" s="76"/>
      <c r="AD82" s="76"/>
      <c r="AE82" s="22" t="str">
        <f aca="false">IF(OR($C82="",NOT(OR($G82="À migrer",$G82="À décommissionner")),NOT(ISNUMBER($N82)),NOT(ISNUMBER($O82)),$W82=""),"",($N82+p_poidsram*$O82)*SUMIFS(TblCalculs[Coût par unité],TblCalculs[Cluster],$I82,TblCalculs[Mois],"&lt;"&amp;$W82))</f>
        <v/>
      </c>
      <c r="AF82" s="22" t="str">
        <f aca="false">IF($C82="","",IF(AND($G82="À migrer",$H82="Non",$T82&lt;&gt;"",$V82&lt;&gt;""),($T82+p_poidsram*$U82)*SUMIFS(TblCalculs[Coût par unité],TblCalculs[Cluster],$J82,TblCalculs[Mois],"&gt;="&amp;$V82),IF(AND($G82="Migré",$T82&lt;&gt;""),($T82+p_poidsram*$U82)*SUMIFS(TblCalculs[Coût par unité],TblCalculs[Cluster],$J82),"")))</f>
        <v/>
      </c>
      <c r="AG82" s="22" t="str">
        <f aca="false">IF($C82="","",N($AE82)+N($AF82))</f>
        <v/>
      </c>
      <c r="AH82" s="21" t="str">
        <f aca="false">IF(OR($C82="",$G82="Décommissionné",COUNTIFS($E82,av_envc,$A82,av_domc,$B82,av_tric)=0),"",COUNTIFS($C$6:$C82,"&lt;&gt;",$G$6:$G82,"&lt;&gt;Décommissionné",$E$6:$E82,av_envc,$A$6:$A82,av_domc,$B$6:$B82,av_tric))</f>
        <v/>
      </c>
      <c r="AI82" s="21" t="str">
        <f aca="false">IF($C82="","",IF(AND(OR($G82="À migrer",$G82="À décommissionner"),$W82&lt;&gt;"",$W82&gt;ex_mois),1,0))</f>
        <v/>
      </c>
      <c r="AJ82" s="21" t="str">
        <f aca="false">IF(OR($C82="",$AI82&lt;&gt;1,COUNTIFS($E82,ex_envc,$A82,ex_domc,$B82,ex_tric)=0),"",COUNTIFS($AI$6:$AI82,1,$E$6:$E82,ex_envc,$A$6:$A82,ex_domc,$B$6:$B82,ex_tric))</f>
        <v/>
      </c>
    </row>
    <row r="83" customFormat="false" ht="15" hidden="false" customHeight="false" outlineLevel="0" collapsed="false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5"/>
      <c r="Q83" s="75"/>
      <c r="R83" s="75"/>
      <c r="S83" s="74"/>
      <c r="T83" s="21" t="str">
        <f aca="false">IF(OR($C83="",NOT(OR($G83="À migrer",$G83="Migré")),NOT(ISNUMBER($K83))),"",ROUNDUP($K83*(1+IF($AC83="",p_margeCPU,$AC83)),0))</f>
        <v/>
      </c>
      <c r="U83" s="21" t="str">
        <f aca="false">IF(OR($C83="",NOT(OR($G83="À migrer",$G83="Migré")),NOT(ISNUMBER($L83))),"",ROUNDUP($L83*(1+IF($AD83="",p_margeRAM,$AD83)),0))</f>
        <v/>
      </c>
      <c r="V83" s="39" t="str">
        <f aca="false">IF(OR(NOT($G83="À migrer"),$P83=""),"",IFERROR(DATE(YEAR($P83),MONTH($P83),1),""))</f>
        <v/>
      </c>
      <c r="W83" s="39" t="str">
        <f aca="false">IF(OR(NOT(OR($G83="À migrer",$G83="À décommissionner")),$R83=""),"",IFERROR(DATE(YEAR($R83),MONTH($R83),1),""))</f>
        <v/>
      </c>
      <c r="X83" s="21" t="str">
        <f aca="false">IF(OR($V83="",$W83=""),"",MAX(0,(YEAR($W83)-YEAR($V83))*12+MONTH($W83)-MONTH($V83)))</f>
        <v/>
      </c>
      <c r="Y83" s="21" t="str">
        <f aca="false">IF($C83="","",COUNTIF(TblApplications[ID],$C83))</f>
        <v/>
      </c>
      <c r="Z83" s="39" t="str">
        <f aca="false">IF($C83="","",IFERROR(1/(1/_xlfn.MINIFS(TblApplications[Mois prov (calc)],TblApplications[ID],$C83)),""))</f>
        <v/>
      </c>
      <c r="AA83" s="39" t="str">
        <f aca="false">IF($C83="","",IFERROR(1/(1/_xlfn.MAXIFS(TblApplications[Mois lib (calc)],TblApplications[ID],$C83)),""))</f>
        <v/>
      </c>
      <c r="AB83" s="21" t="str">
        <f aca="false">IF($C83="","",IF(OR(OR($A83="",$B83="",$D83="",$E83="",$F83="",$G83=""),AND($G83="À migrer",OR($H83="",$I83="",$J83="",$K83="",$L83="",$N83="",$O83="",$P83="",$Q83="",$R83="")),AND($G83="Migré",OR($J83="",$K83="",$L83="")),AND($G83="À décommissionner",OR($I83="",$N83="",$O83="",$R83=""))),"Données manquantes (selon l’action)",IF(AND($G83&lt;&gt;"Migré",$G83&lt;&gt;"À migrer",$G83&lt;&gt;"À décommissionner",$G83&lt;&gt;"Décommissionné"),"Action invalide",IF(COUNTIF(TblDomaines[Domaine],$A83)=0,"Domaine inconnu (référentiel)",IF(COUNTIFS(TblTribes[Tribe],$B83,TblTribes[Domaine de la tribe],$A83)=0,"Tribe inconnue ou hors domaine",IF(AND($G83="À migrer",$H83&lt;&gt;"Oui",$H83&lt;&gt;"Non"),"Valeur Oui/Non invalide (Déjà incluse ROKS)",IF(AND($E83&lt;&gt;"PRD",$E83&lt;&gt;"NPRD"),"Environnement invalide",IF(COUNTIFS(TblApplications[ID],$C83,TblApplications[Environnement],$E83,TblApplications[Couloir],$F83)&gt;1,"Déploiement en doublon (ID + env + couloir)",IF(OR(AND($K83&lt;&gt;"",NOT(ISNUMBER($K83))),AND($L83&lt;&gt;"",NOT(ISNUMBER($L83))),AND($N83&lt;&gt;"",NOT(ISNUMBER($N83))),AND($O83&lt;&gt;"",NOT(ISNUMBER($O83)))),"Ressource non numérique",IF(MIN(N($K83),N($L83),N($N83),N($O83))&lt;0,"Ressource négative",IF(OR(AND($AC83&lt;&gt;"",OR(NOT(ISNUMBER($AC83)),$AC83&lt;0,$AC83&gt;1)),AND($AD83&lt;&gt;"",OR(NOT(ISNUMBER($AD83)),$AD83&lt;0,$AD83&gt;1))),"Marge spécifique invalide (0–100 %)",IF(OR(AND($P83&lt;&gt;"",NOT(ISNUMBER($P83))),AND($Q83&lt;&gt;"",NOT(ISNUMBER($Q83))),AND($R83&lt;&gt;"",NOT(ISNUMBER($R83)))),"Mois invalide",IF(AND(OR($G83="À migrer",$G83="À décommissionner"),COUNTIFS(TblClusters[Cluster],$I83,TblClusters[Plateforme],"IKS")=0),"Cluster IKS inconnu",IF(AND(OR($G83="À migrer",$G83="Migré"),COUNTIFS(TblClusters[Cluster],$J83,TblClusters[Plateforme],"ROKS")=0),"Cluster ROKS inconnu",IF(AND(OR($G83="À migrer",$G83="À décommissionner"),COUNTIFS(TblClusters[Cluster],$I83,TblClusters[Environnement],$E83)=0),"Environnement ≠ cluster IKS",IF(AND(OR($G83="À migrer",$G83="Migré"),COUNTIFS(TblClusters[Cluster],$J83,TblClusters[Environnement],$E83)=0),"Environnement ≠ cluster ROKS",IF(AND($G83="À migrer",OR($P83&gt;$Q83,$Q83&gt;$R83)),"Dates incohérentes (prov ≤ bascule ≤ libération)",IF(AND(OR($G83="À migrer",$G83="À décommissionner"),OR(N($N83)&gt;SUMIFS(TblClusters[CPU initial (vCPU)],TblClusters[Cluster],$I83),N($O83)&gt;SUMIFS(TblClusters[RAM initiale (Go)],TblClusters[Cluster],$I83))),"Libération &gt; capacité du cluster source",IF(OR(AND($V83&lt;&gt;"",$V83&lt;p_debut),AND($W83&lt;&gt;"",$W83&gt;p_fin)),"Hors horizon (info)",IF(AND($G83="À migrer",$E83="PRD",COUNTIFS(TblApplications[ID],$C83,TblApplications[Environnement],"NPRD",TblApplications[Action],"À migrer")&gt;0,$V83&lt;_xlfn.MINIFS(TblApplications[Mois prov (calc)],TblApplications[ID],$C83,TblApplications[Environnement],"NPRD")),"PRD avant NPRD (info)","OK"))))))))))))))))))))</f>
        <v/>
      </c>
      <c r="AC83" s="76"/>
      <c r="AD83" s="76"/>
      <c r="AE83" s="22" t="str">
        <f aca="false">IF(OR($C83="",NOT(OR($G83="À migrer",$G83="À décommissionner")),NOT(ISNUMBER($N83)),NOT(ISNUMBER($O83)),$W83=""),"",($N83+p_poidsram*$O83)*SUMIFS(TblCalculs[Coût par unité],TblCalculs[Cluster],$I83,TblCalculs[Mois],"&lt;"&amp;$W83))</f>
        <v/>
      </c>
      <c r="AF83" s="22" t="str">
        <f aca="false">IF($C83="","",IF(AND($G83="À migrer",$H83="Non",$T83&lt;&gt;"",$V83&lt;&gt;""),($T83+p_poidsram*$U83)*SUMIFS(TblCalculs[Coût par unité],TblCalculs[Cluster],$J83,TblCalculs[Mois],"&gt;="&amp;$V83),IF(AND($G83="Migré",$T83&lt;&gt;""),($T83+p_poidsram*$U83)*SUMIFS(TblCalculs[Coût par unité],TblCalculs[Cluster],$J83),"")))</f>
        <v/>
      </c>
      <c r="AG83" s="22" t="str">
        <f aca="false">IF($C83="","",N($AE83)+N($AF83))</f>
        <v/>
      </c>
      <c r="AH83" s="21" t="str">
        <f aca="false">IF(OR($C83="",$G83="Décommissionné",COUNTIFS($E83,av_envc,$A83,av_domc,$B83,av_tric)=0),"",COUNTIFS($C$6:$C83,"&lt;&gt;",$G$6:$G83,"&lt;&gt;Décommissionné",$E$6:$E83,av_envc,$A$6:$A83,av_domc,$B$6:$B83,av_tric))</f>
        <v/>
      </c>
      <c r="AI83" s="21" t="str">
        <f aca="false">IF($C83="","",IF(AND(OR($G83="À migrer",$G83="À décommissionner"),$W83&lt;&gt;"",$W83&gt;ex_mois),1,0))</f>
        <v/>
      </c>
      <c r="AJ83" s="21" t="str">
        <f aca="false">IF(OR($C83="",$AI83&lt;&gt;1,COUNTIFS($E83,ex_envc,$A83,ex_domc,$B83,ex_tric)=0),"",COUNTIFS($AI$6:$AI83,1,$E$6:$E83,ex_envc,$A$6:$A83,ex_domc,$B$6:$B83,ex_tric))</f>
        <v/>
      </c>
    </row>
    <row r="84" customFormat="false" ht="15" hidden="false" customHeight="false" outlineLevel="0" collapsed="false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5"/>
      <c r="Q84" s="75"/>
      <c r="R84" s="75"/>
      <c r="S84" s="74"/>
      <c r="T84" s="21" t="str">
        <f aca="false">IF(OR($C84="",NOT(OR($G84="À migrer",$G84="Migré")),NOT(ISNUMBER($K84))),"",ROUNDUP($K84*(1+IF($AC84="",p_margeCPU,$AC84)),0))</f>
        <v/>
      </c>
      <c r="U84" s="21" t="str">
        <f aca="false">IF(OR($C84="",NOT(OR($G84="À migrer",$G84="Migré")),NOT(ISNUMBER($L84))),"",ROUNDUP($L84*(1+IF($AD84="",p_margeRAM,$AD84)),0))</f>
        <v/>
      </c>
      <c r="V84" s="39" t="str">
        <f aca="false">IF(OR(NOT($G84="À migrer"),$P84=""),"",IFERROR(DATE(YEAR($P84),MONTH($P84),1),""))</f>
        <v/>
      </c>
      <c r="W84" s="39" t="str">
        <f aca="false">IF(OR(NOT(OR($G84="À migrer",$G84="À décommissionner")),$R84=""),"",IFERROR(DATE(YEAR($R84),MONTH($R84),1),""))</f>
        <v/>
      </c>
      <c r="X84" s="21" t="str">
        <f aca="false">IF(OR($V84="",$W84=""),"",MAX(0,(YEAR($W84)-YEAR($V84))*12+MONTH($W84)-MONTH($V84)))</f>
        <v/>
      </c>
      <c r="Y84" s="21" t="str">
        <f aca="false">IF($C84="","",COUNTIF(TblApplications[ID],$C84))</f>
        <v/>
      </c>
      <c r="Z84" s="39" t="str">
        <f aca="false">IF($C84="","",IFERROR(1/(1/_xlfn.MINIFS(TblApplications[Mois prov (calc)],TblApplications[ID],$C84)),""))</f>
        <v/>
      </c>
      <c r="AA84" s="39" t="str">
        <f aca="false">IF($C84="","",IFERROR(1/(1/_xlfn.MAXIFS(TblApplications[Mois lib (calc)],TblApplications[ID],$C84)),""))</f>
        <v/>
      </c>
      <c r="AB84" s="21" t="str">
        <f aca="false">IF($C84="","",IF(OR(OR($A84="",$B84="",$D84="",$E84="",$F84="",$G84=""),AND($G84="À migrer",OR($H84="",$I84="",$J84="",$K84="",$L84="",$N84="",$O84="",$P84="",$Q84="",$R84="")),AND($G84="Migré",OR($J84="",$K84="",$L84="")),AND($G84="À décommissionner",OR($I84="",$N84="",$O84="",$R84=""))),"Données manquantes (selon l’action)",IF(AND($G84&lt;&gt;"Migré",$G84&lt;&gt;"À migrer",$G84&lt;&gt;"À décommissionner",$G84&lt;&gt;"Décommissionné"),"Action invalide",IF(COUNTIF(TblDomaines[Domaine],$A84)=0,"Domaine inconnu (référentiel)",IF(COUNTIFS(TblTribes[Tribe],$B84,TblTribes[Domaine de la tribe],$A84)=0,"Tribe inconnue ou hors domaine",IF(AND($G84="À migrer",$H84&lt;&gt;"Oui",$H84&lt;&gt;"Non"),"Valeur Oui/Non invalide (Déjà incluse ROKS)",IF(AND($E84&lt;&gt;"PRD",$E84&lt;&gt;"NPRD"),"Environnement invalide",IF(COUNTIFS(TblApplications[ID],$C84,TblApplications[Environnement],$E84,TblApplications[Couloir],$F84)&gt;1,"Déploiement en doublon (ID + env + couloir)",IF(OR(AND($K84&lt;&gt;"",NOT(ISNUMBER($K84))),AND($L84&lt;&gt;"",NOT(ISNUMBER($L84))),AND($N84&lt;&gt;"",NOT(ISNUMBER($N84))),AND($O84&lt;&gt;"",NOT(ISNUMBER($O84)))),"Ressource non numérique",IF(MIN(N($K84),N($L84),N($N84),N($O84))&lt;0,"Ressource négative",IF(OR(AND($AC84&lt;&gt;"",OR(NOT(ISNUMBER($AC84)),$AC84&lt;0,$AC84&gt;1)),AND($AD84&lt;&gt;"",OR(NOT(ISNUMBER($AD84)),$AD84&lt;0,$AD84&gt;1))),"Marge spécifique invalide (0–100 %)",IF(OR(AND($P84&lt;&gt;"",NOT(ISNUMBER($P84))),AND($Q84&lt;&gt;"",NOT(ISNUMBER($Q84))),AND($R84&lt;&gt;"",NOT(ISNUMBER($R84)))),"Mois invalide",IF(AND(OR($G84="À migrer",$G84="À décommissionner"),COUNTIFS(TblClusters[Cluster],$I84,TblClusters[Plateforme],"IKS")=0),"Cluster IKS inconnu",IF(AND(OR($G84="À migrer",$G84="Migré"),COUNTIFS(TblClusters[Cluster],$J84,TblClusters[Plateforme],"ROKS")=0),"Cluster ROKS inconnu",IF(AND(OR($G84="À migrer",$G84="À décommissionner"),COUNTIFS(TblClusters[Cluster],$I84,TblClusters[Environnement],$E84)=0),"Environnement ≠ cluster IKS",IF(AND(OR($G84="À migrer",$G84="Migré"),COUNTIFS(TblClusters[Cluster],$J84,TblClusters[Environnement],$E84)=0),"Environnement ≠ cluster ROKS",IF(AND($G84="À migrer",OR($P84&gt;$Q84,$Q84&gt;$R84)),"Dates incohérentes (prov ≤ bascule ≤ libération)",IF(AND(OR($G84="À migrer",$G84="À décommissionner"),OR(N($N84)&gt;SUMIFS(TblClusters[CPU initial (vCPU)],TblClusters[Cluster],$I84),N($O84)&gt;SUMIFS(TblClusters[RAM initiale (Go)],TblClusters[Cluster],$I84))),"Libération &gt; capacité du cluster source",IF(OR(AND($V84&lt;&gt;"",$V84&lt;p_debut),AND($W84&lt;&gt;"",$W84&gt;p_fin)),"Hors horizon (info)",IF(AND($G84="À migrer",$E84="PRD",COUNTIFS(TblApplications[ID],$C84,TblApplications[Environnement],"NPRD",TblApplications[Action],"À migrer")&gt;0,$V84&lt;_xlfn.MINIFS(TblApplications[Mois prov (calc)],TblApplications[ID],$C84,TblApplications[Environnement],"NPRD")),"PRD avant NPRD (info)","OK"))))))))))))))))))))</f>
        <v/>
      </c>
      <c r="AC84" s="76"/>
      <c r="AD84" s="76"/>
      <c r="AE84" s="22" t="str">
        <f aca="false">IF(OR($C84="",NOT(OR($G84="À migrer",$G84="À décommissionner")),NOT(ISNUMBER($N84)),NOT(ISNUMBER($O84)),$W84=""),"",($N84+p_poidsram*$O84)*SUMIFS(TblCalculs[Coût par unité],TblCalculs[Cluster],$I84,TblCalculs[Mois],"&lt;"&amp;$W84))</f>
        <v/>
      </c>
      <c r="AF84" s="22" t="str">
        <f aca="false">IF($C84="","",IF(AND($G84="À migrer",$H84="Non",$T84&lt;&gt;"",$V84&lt;&gt;""),($T84+p_poidsram*$U84)*SUMIFS(TblCalculs[Coût par unité],TblCalculs[Cluster],$J84,TblCalculs[Mois],"&gt;="&amp;$V84),IF(AND($G84="Migré",$T84&lt;&gt;""),($T84+p_poidsram*$U84)*SUMIFS(TblCalculs[Coût par unité],TblCalculs[Cluster],$J84),"")))</f>
        <v/>
      </c>
      <c r="AG84" s="22" t="str">
        <f aca="false">IF($C84="","",N($AE84)+N($AF84))</f>
        <v/>
      </c>
      <c r="AH84" s="21" t="str">
        <f aca="false">IF(OR($C84="",$G84="Décommissionné",COUNTIFS($E84,av_envc,$A84,av_domc,$B84,av_tric)=0),"",COUNTIFS($C$6:$C84,"&lt;&gt;",$G$6:$G84,"&lt;&gt;Décommissionné",$E$6:$E84,av_envc,$A$6:$A84,av_domc,$B$6:$B84,av_tric))</f>
        <v/>
      </c>
      <c r="AI84" s="21" t="str">
        <f aca="false">IF($C84="","",IF(AND(OR($G84="À migrer",$G84="À décommissionner"),$W84&lt;&gt;"",$W84&gt;ex_mois),1,0))</f>
        <v/>
      </c>
      <c r="AJ84" s="21" t="str">
        <f aca="false">IF(OR($C84="",$AI84&lt;&gt;1,COUNTIFS($E84,ex_envc,$A84,ex_domc,$B84,ex_tric)=0),"",COUNTIFS($AI$6:$AI84,1,$E$6:$E84,ex_envc,$A$6:$A84,ex_domc,$B$6:$B84,ex_tric))</f>
        <v/>
      </c>
    </row>
    <row r="85" customFormat="false" ht="15" hidden="false" customHeight="false" outlineLevel="0" collapsed="false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5"/>
      <c r="Q85" s="75"/>
      <c r="R85" s="75"/>
      <c r="S85" s="74"/>
      <c r="T85" s="21" t="str">
        <f aca="false">IF(OR($C85="",NOT(OR($G85="À migrer",$G85="Migré")),NOT(ISNUMBER($K85))),"",ROUNDUP($K85*(1+IF($AC85="",p_margeCPU,$AC85)),0))</f>
        <v/>
      </c>
      <c r="U85" s="21" t="str">
        <f aca="false">IF(OR($C85="",NOT(OR($G85="À migrer",$G85="Migré")),NOT(ISNUMBER($L85))),"",ROUNDUP($L85*(1+IF($AD85="",p_margeRAM,$AD85)),0))</f>
        <v/>
      </c>
      <c r="V85" s="39" t="str">
        <f aca="false">IF(OR(NOT($G85="À migrer"),$P85=""),"",IFERROR(DATE(YEAR($P85),MONTH($P85),1),""))</f>
        <v/>
      </c>
      <c r="W85" s="39" t="str">
        <f aca="false">IF(OR(NOT(OR($G85="À migrer",$G85="À décommissionner")),$R85=""),"",IFERROR(DATE(YEAR($R85),MONTH($R85),1),""))</f>
        <v/>
      </c>
      <c r="X85" s="21" t="str">
        <f aca="false">IF(OR($V85="",$W85=""),"",MAX(0,(YEAR($W85)-YEAR($V85))*12+MONTH($W85)-MONTH($V85)))</f>
        <v/>
      </c>
      <c r="Y85" s="21" t="str">
        <f aca="false">IF($C85="","",COUNTIF(TblApplications[ID],$C85))</f>
        <v/>
      </c>
      <c r="Z85" s="39" t="str">
        <f aca="false">IF($C85="","",IFERROR(1/(1/_xlfn.MINIFS(TblApplications[Mois prov (calc)],TblApplications[ID],$C85)),""))</f>
        <v/>
      </c>
      <c r="AA85" s="39" t="str">
        <f aca="false">IF($C85="","",IFERROR(1/(1/_xlfn.MAXIFS(TblApplications[Mois lib (calc)],TblApplications[ID],$C85)),""))</f>
        <v/>
      </c>
      <c r="AB85" s="21" t="str">
        <f aca="false">IF($C85="","",IF(OR(OR($A85="",$B85="",$D85="",$E85="",$F85="",$G85=""),AND($G85="À migrer",OR($H85="",$I85="",$J85="",$K85="",$L85="",$N85="",$O85="",$P85="",$Q85="",$R85="")),AND($G85="Migré",OR($J85="",$K85="",$L85="")),AND($G85="À décommissionner",OR($I85="",$N85="",$O85="",$R85=""))),"Données manquantes (selon l’action)",IF(AND($G85&lt;&gt;"Migré",$G85&lt;&gt;"À migrer",$G85&lt;&gt;"À décommissionner",$G85&lt;&gt;"Décommissionné"),"Action invalide",IF(COUNTIF(TblDomaines[Domaine],$A85)=0,"Domaine inconnu (référentiel)",IF(COUNTIFS(TblTribes[Tribe],$B85,TblTribes[Domaine de la tribe],$A85)=0,"Tribe inconnue ou hors domaine",IF(AND($G85="À migrer",$H85&lt;&gt;"Oui",$H85&lt;&gt;"Non"),"Valeur Oui/Non invalide (Déjà incluse ROKS)",IF(AND($E85&lt;&gt;"PRD",$E85&lt;&gt;"NPRD"),"Environnement invalide",IF(COUNTIFS(TblApplications[ID],$C85,TblApplications[Environnement],$E85,TblApplications[Couloir],$F85)&gt;1,"Déploiement en doublon (ID + env + couloir)",IF(OR(AND($K85&lt;&gt;"",NOT(ISNUMBER($K85))),AND($L85&lt;&gt;"",NOT(ISNUMBER($L85))),AND($N85&lt;&gt;"",NOT(ISNUMBER($N85))),AND($O85&lt;&gt;"",NOT(ISNUMBER($O85)))),"Ressource non numérique",IF(MIN(N($K85),N($L85),N($N85),N($O85))&lt;0,"Ressource négative",IF(OR(AND($AC85&lt;&gt;"",OR(NOT(ISNUMBER($AC85)),$AC85&lt;0,$AC85&gt;1)),AND($AD85&lt;&gt;"",OR(NOT(ISNUMBER($AD85)),$AD85&lt;0,$AD85&gt;1))),"Marge spécifique invalide (0–100 %)",IF(OR(AND($P85&lt;&gt;"",NOT(ISNUMBER($P85))),AND($Q85&lt;&gt;"",NOT(ISNUMBER($Q85))),AND($R85&lt;&gt;"",NOT(ISNUMBER($R85)))),"Mois invalide",IF(AND(OR($G85="À migrer",$G85="À décommissionner"),COUNTIFS(TblClusters[Cluster],$I85,TblClusters[Plateforme],"IKS")=0),"Cluster IKS inconnu",IF(AND(OR($G85="À migrer",$G85="Migré"),COUNTIFS(TblClusters[Cluster],$J85,TblClusters[Plateforme],"ROKS")=0),"Cluster ROKS inconnu",IF(AND(OR($G85="À migrer",$G85="À décommissionner"),COUNTIFS(TblClusters[Cluster],$I85,TblClusters[Environnement],$E85)=0),"Environnement ≠ cluster IKS",IF(AND(OR($G85="À migrer",$G85="Migré"),COUNTIFS(TblClusters[Cluster],$J85,TblClusters[Environnement],$E85)=0),"Environnement ≠ cluster ROKS",IF(AND($G85="À migrer",OR($P85&gt;$Q85,$Q85&gt;$R85)),"Dates incohérentes (prov ≤ bascule ≤ libération)",IF(AND(OR($G85="À migrer",$G85="À décommissionner"),OR(N($N85)&gt;SUMIFS(TblClusters[CPU initial (vCPU)],TblClusters[Cluster],$I85),N($O85)&gt;SUMIFS(TblClusters[RAM initiale (Go)],TblClusters[Cluster],$I85))),"Libération &gt; capacité du cluster source",IF(OR(AND($V85&lt;&gt;"",$V85&lt;p_debut),AND($W85&lt;&gt;"",$W85&gt;p_fin)),"Hors horizon (info)",IF(AND($G85="À migrer",$E85="PRD",COUNTIFS(TblApplications[ID],$C85,TblApplications[Environnement],"NPRD",TblApplications[Action],"À migrer")&gt;0,$V85&lt;_xlfn.MINIFS(TblApplications[Mois prov (calc)],TblApplications[ID],$C85,TblApplications[Environnement],"NPRD")),"PRD avant NPRD (info)","OK"))))))))))))))))))))</f>
        <v/>
      </c>
      <c r="AC85" s="76"/>
      <c r="AD85" s="76"/>
      <c r="AE85" s="22" t="str">
        <f aca="false">IF(OR($C85="",NOT(OR($G85="À migrer",$G85="À décommissionner")),NOT(ISNUMBER($N85)),NOT(ISNUMBER($O85)),$W85=""),"",($N85+p_poidsram*$O85)*SUMIFS(TblCalculs[Coût par unité],TblCalculs[Cluster],$I85,TblCalculs[Mois],"&lt;"&amp;$W85))</f>
        <v/>
      </c>
      <c r="AF85" s="22" t="str">
        <f aca="false">IF($C85="","",IF(AND($G85="À migrer",$H85="Non",$T85&lt;&gt;"",$V85&lt;&gt;""),($T85+p_poidsram*$U85)*SUMIFS(TblCalculs[Coût par unité],TblCalculs[Cluster],$J85,TblCalculs[Mois],"&gt;="&amp;$V85),IF(AND($G85="Migré",$T85&lt;&gt;""),($T85+p_poidsram*$U85)*SUMIFS(TblCalculs[Coût par unité],TblCalculs[Cluster],$J85),"")))</f>
        <v/>
      </c>
      <c r="AG85" s="22" t="str">
        <f aca="false">IF($C85="","",N($AE85)+N($AF85))</f>
        <v/>
      </c>
      <c r="AH85" s="21" t="str">
        <f aca="false">IF(OR($C85="",$G85="Décommissionné",COUNTIFS($E85,av_envc,$A85,av_domc,$B85,av_tric)=0),"",COUNTIFS($C$6:$C85,"&lt;&gt;",$G$6:$G85,"&lt;&gt;Décommissionné",$E$6:$E85,av_envc,$A$6:$A85,av_domc,$B$6:$B85,av_tric))</f>
        <v/>
      </c>
      <c r="AI85" s="21" t="str">
        <f aca="false">IF($C85="","",IF(AND(OR($G85="À migrer",$G85="À décommissionner"),$W85&lt;&gt;"",$W85&gt;ex_mois),1,0))</f>
        <v/>
      </c>
      <c r="AJ85" s="21" t="str">
        <f aca="false">IF(OR($C85="",$AI85&lt;&gt;1,COUNTIFS($E85,ex_envc,$A85,ex_domc,$B85,ex_tric)=0),"",COUNTIFS($AI$6:$AI85,1,$E$6:$E85,ex_envc,$A$6:$A85,ex_domc,$B$6:$B85,ex_tric))</f>
        <v/>
      </c>
    </row>
    <row r="86" customFormat="false" ht="15" hidden="false" customHeight="false" outlineLevel="0" collapsed="false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5"/>
      <c r="Q86" s="75"/>
      <c r="R86" s="75"/>
      <c r="S86" s="74"/>
      <c r="T86" s="21" t="str">
        <f aca="false">IF(OR($C86="",NOT(OR($G86="À migrer",$G86="Migré")),NOT(ISNUMBER($K86))),"",ROUNDUP($K86*(1+IF($AC86="",p_margeCPU,$AC86)),0))</f>
        <v/>
      </c>
      <c r="U86" s="21" t="str">
        <f aca="false">IF(OR($C86="",NOT(OR($G86="À migrer",$G86="Migré")),NOT(ISNUMBER($L86))),"",ROUNDUP($L86*(1+IF($AD86="",p_margeRAM,$AD86)),0))</f>
        <v/>
      </c>
      <c r="V86" s="39" t="str">
        <f aca="false">IF(OR(NOT($G86="À migrer"),$P86=""),"",IFERROR(DATE(YEAR($P86),MONTH($P86),1),""))</f>
        <v/>
      </c>
      <c r="W86" s="39" t="str">
        <f aca="false">IF(OR(NOT(OR($G86="À migrer",$G86="À décommissionner")),$R86=""),"",IFERROR(DATE(YEAR($R86),MONTH($R86),1),""))</f>
        <v/>
      </c>
      <c r="X86" s="21" t="str">
        <f aca="false">IF(OR($V86="",$W86=""),"",MAX(0,(YEAR($W86)-YEAR($V86))*12+MONTH($W86)-MONTH($V86)))</f>
        <v/>
      </c>
      <c r="Y86" s="21" t="str">
        <f aca="false">IF($C86="","",COUNTIF(TblApplications[ID],$C86))</f>
        <v/>
      </c>
      <c r="Z86" s="39" t="str">
        <f aca="false">IF($C86="","",IFERROR(1/(1/_xlfn.MINIFS(TblApplications[Mois prov (calc)],TblApplications[ID],$C86)),""))</f>
        <v/>
      </c>
      <c r="AA86" s="39" t="str">
        <f aca="false">IF($C86="","",IFERROR(1/(1/_xlfn.MAXIFS(TblApplications[Mois lib (calc)],TblApplications[ID],$C86)),""))</f>
        <v/>
      </c>
      <c r="AB86" s="21" t="str">
        <f aca="false">IF($C86="","",IF(OR(OR($A86="",$B86="",$D86="",$E86="",$F86="",$G86=""),AND($G86="À migrer",OR($H86="",$I86="",$J86="",$K86="",$L86="",$N86="",$O86="",$P86="",$Q86="",$R86="")),AND($G86="Migré",OR($J86="",$K86="",$L86="")),AND($G86="À décommissionner",OR($I86="",$N86="",$O86="",$R86=""))),"Données manquantes (selon l’action)",IF(AND($G86&lt;&gt;"Migré",$G86&lt;&gt;"À migrer",$G86&lt;&gt;"À décommissionner",$G86&lt;&gt;"Décommissionné"),"Action invalide",IF(COUNTIF(TblDomaines[Domaine],$A86)=0,"Domaine inconnu (référentiel)",IF(COUNTIFS(TblTribes[Tribe],$B86,TblTribes[Domaine de la tribe],$A86)=0,"Tribe inconnue ou hors domaine",IF(AND($G86="À migrer",$H86&lt;&gt;"Oui",$H86&lt;&gt;"Non"),"Valeur Oui/Non invalide (Déjà incluse ROKS)",IF(AND($E86&lt;&gt;"PRD",$E86&lt;&gt;"NPRD"),"Environnement invalide",IF(COUNTIFS(TblApplications[ID],$C86,TblApplications[Environnement],$E86,TblApplications[Couloir],$F86)&gt;1,"Déploiement en doublon (ID + env + couloir)",IF(OR(AND($K86&lt;&gt;"",NOT(ISNUMBER($K86))),AND($L86&lt;&gt;"",NOT(ISNUMBER($L86))),AND($N86&lt;&gt;"",NOT(ISNUMBER($N86))),AND($O86&lt;&gt;"",NOT(ISNUMBER($O86)))),"Ressource non numérique",IF(MIN(N($K86),N($L86),N($N86),N($O86))&lt;0,"Ressource négative",IF(OR(AND($AC86&lt;&gt;"",OR(NOT(ISNUMBER($AC86)),$AC86&lt;0,$AC86&gt;1)),AND($AD86&lt;&gt;"",OR(NOT(ISNUMBER($AD86)),$AD86&lt;0,$AD86&gt;1))),"Marge spécifique invalide (0–100 %)",IF(OR(AND($P86&lt;&gt;"",NOT(ISNUMBER($P86))),AND($Q86&lt;&gt;"",NOT(ISNUMBER($Q86))),AND($R86&lt;&gt;"",NOT(ISNUMBER($R86)))),"Mois invalide",IF(AND(OR($G86="À migrer",$G86="À décommissionner"),COUNTIFS(TblClusters[Cluster],$I86,TblClusters[Plateforme],"IKS")=0),"Cluster IKS inconnu",IF(AND(OR($G86="À migrer",$G86="Migré"),COUNTIFS(TblClusters[Cluster],$J86,TblClusters[Plateforme],"ROKS")=0),"Cluster ROKS inconnu",IF(AND(OR($G86="À migrer",$G86="À décommissionner"),COUNTIFS(TblClusters[Cluster],$I86,TblClusters[Environnement],$E86)=0),"Environnement ≠ cluster IKS",IF(AND(OR($G86="À migrer",$G86="Migré"),COUNTIFS(TblClusters[Cluster],$J86,TblClusters[Environnement],$E86)=0),"Environnement ≠ cluster ROKS",IF(AND($G86="À migrer",OR($P86&gt;$Q86,$Q86&gt;$R86)),"Dates incohérentes (prov ≤ bascule ≤ libération)",IF(AND(OR($G86="À migrer",$G86="À décommissionner"),OR(N($N86)&gt;SUMIFS(TblClusters[CPU initial (vCPU)],TblClusters[Cluster],$I86),N($O86)&gt;SUMIFS(TblClusters[RAM initiale (Go)],TblClusters[Cluster],$I86))),"Libération &gt; capacité du cluster source",IF(OR(AND($V86&lt;&gt;"",$V86&lt;p_debut),AND($W86&lt;&gt;"",$W86&gt;p_fin)),"Hors horizon (info)",IF(AND($G86="À migrer",$E86="PRD",COUNTIFS(TblApplications[ID],$C86,TblApplications[Environnement],"NPRD",TblApplications[Action],"À migrer")&gt;0,$V86&lt;_xlfn.MINIFS(TblApplications[Mois prov (calc)],TblApplications[ID],$C86,TblApplications[Environnement],"NPRD")),"PRD avant NPRD (info)","OK"))))))))))))))))))))</f>
        <v/>
      </c>
      <c r="AC86" s="76"/>
      <c r="AD86" s="76"/>
      <c r="AE86" s="22" t="str">
        <f aca="false">IF(OR($C86="",NOT(OR($G86="À migrer",$G86="À décommissionner")),NOT(ISNUMBER($N86)),NOT(ISNUMBER($O86)),$W86=""),"",($N86+p_poidsram*$O86)*SUMIFS(TblCalculs[Coût par unité],TblCalculs[Cluster],$I86,TblCalculs[Mois],"&lt;"&amp;$W86))</f>
        <v/>
      </c>
      <c r="AF86" s="22" t="str">
        <f aca="false">IF($C86="","",IF(AND($G86="À migrer",$H86="Non",$T86&lt;&gt;"",$V86&lt;&gt;""),($T86+p_poidsram*$U86)*SUMIFS(TblCalculs[Coût par unité],TblCalculs[Cluster],$J86,TblCalculs[Mois],"&gt;="&amp;$V86),IF(AND($G86="Migré",$T86&lt;&gt;""),($T86+p_poidsram*$U86)*SUMIFS(TblCalculs[Coût par unité],TblCalculs[Cluster],$J86),"")))</f>
        <v/>
      </c>
      <c r="AG86" s="22" t="str">
        <f aca="false">IF($C86="","",N($AE86)+N($AF86))</f>
        <v/>
      </c>
      <c r="AH86" s="21" t="str">
        <f aca="false">IF(OR($C86="",$G86="Décommissionné",COUNTIFS($E86,av_envc,$A86,av_domc,$B86,av_tric)=0),"",COUNTIFS($C$6:$C86,"&lt;&gt;",$G$6:$G86,"&lt;&gt;Décommissionné",$E$6:$E86,av_envc,$A$6:$A86,av_domc,$B$6:$B86,av_tric))</f>
        <v/>
      </c>
      <c r="AI86" s="21" t="str">
        <f aca="false">IF($C86="","",IF(AND(OR($G86="À migrer",$G86="À décommissionner"),$W86&lt;&gt;"",$W86&gt;ex_mois),1,0))</f>
        <v/>
      </c>
      <c r="AJ86" s="21" t="str">
        <f aca="false">IF(OR($C86="",$AI86&lt;&gt;1,COUNTIFS($E86,ex_envc,$A86,ex_domc,$B86,ex_tric)=0),"",COUNTIFS($AI$6:$AI86,1,$E$6:$E86,ex_envc,$A$6:$A86,ex_domc,$B$6:$B86,ex_tric))</f>
        <v/>
      </c>
    </row>
    <row r="87" customFormat="false" ht="15" hidden="false" customHeight="false" outlineLevel="0" collapsed="false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5"/>
      <c r="Q87" s="75"/>
      <c r="R87" s="75"/>
      <c r="S87" s="74"/>
      <c r="T87" s="21" t="str">
        <f aca="false">IF(OR($C87="",NOT(OR($G87="À migrer",$G87="Migré")),NOT(ISNUMBER($K87))),"",ROUNDUP($K87*(1+IF($AC87="",p_margeCPU,$AC87)),0))</f>
        <v/>
      </c>
      <c r="U87" s="21" t="str">
        <f aca="false">IF(OR($C87="",NOT(OR($G87="À migrer",$G87="Migré")),NOT(ISNUMBER($L87))),"",ROUNDUP($L87*(1+IF($AD87="",p_margeRAM,$AD87)),0))</f>
        <v/>
      </c>
      <c r="V87" s="39" t="str">
        <f aca="false">IF(OR(NOT($G87="À migrer"),$P87=""),"",IFERROR(DATE(YEAR($P87),MONTH($P87),1),""))</f>
        <v/>
      </c>
      <c r="W87" s="39" t="str">
        <f aca="false">IF(OR(NOT(OR($G87="À migrer",$G87="À décommissionner")),$R87=""),"",IFERROR(DATE(YEAR($R87),MONTH($R87),1),""))</f>
        <v/>
      </c>
      <c r="X87" s="21" t="str">
        <f aca="false">IF(OR($V87="",$W87=""),"",MAX(0,(YEAR($W87)-YEAR($V87))*12+MONTH($W87)-MONTH($V87)))</f>
        <v/>
      </c>
      <c r="Y87" s="21" t="str">
        <f aca="false">IF($C87="","",COUNTIF(TblApplications[ID],$C87))</f>
        <v/>
      </c>
      <c r="Z87" s="39" t="str">
        <f aca="false">IF($C87="","",IFERROR(1/(1/_xlfn.MINIFS(TblApplications[Mois prov (calc)],TblApplications[ID],$C87)),""))</f>
        <v/>
      </c>
      <c r="AA87" s="39" t="str">
        <f aca="false">IF($C87="","",IFERROR(1/(1/_xlfn.MAXIFS(TblApplications[Mois lib (calc)],TblApplications[ID],$C87)),""))</f>
        <v/>
      </c>
      <c r="AB87" s="21" t="str">
        <f aca="false">IF($C87="","",IF(OR(OR($A87="",$B87="",$D87="",$E87="",$F87="",$G87=""),AND($G87="À migrer",OR($H87="",$I87="",$J87="",$K87="",$L87="",$N87="",$O87="",$P87="",$Q87="",$R87="")),AND($G87="Migré",OR($J87="",$K87="",$L87="")),AND($G87="À décommissionner",OR($I87="",$N87="",$O87="",$R87=""))),"Données manquantes (selon l’action)",IF(AND($G87&lt;&gt;"Migré",$G87&lt;&gt;"À migrer",$G87&lt;&gt;"À décommissionner",$G87&lt;&gt;"Décommissionné"),"Action invalide",IF(COUNTIF(TblDomaines[Domaine],$A87)=0,"Domaine inconnu (référentiel)",IF(COUNTIFS(TblTribes[Tribe],$B87,TblTribes[Domaine de la tribe],$A87)=0,"Tribe inconnue ou hors domaine",IF(AND($G87="À migrer",$H87&lt;&gt;"Oui",$H87&lt;&gt;"Non"),"Valeur Oui/Non invalide (Déjà incluse ROKS)",IF(AND($E87&lt;&gt;"PRD",$E87&lt;&gt;"NPRD"),"Environnement invalide",IF(COUNTIFS(TblApplications[ID],$C87,TblApplications[Environnement],$E87,TblApplications[Couloir],$F87)&gt;1,"Déploiement en doublon (ID + env + couloir)",IF(OR(AND($K87&lt;&gt;"",NOT(ISNUMBER($K87))),AND($L87&lt;&gt;"",NOT(ISNUMBER($L87))),AND($N87&lt;&gt;"",NOT(ISNUMBER($N87))),AND($O87&lt;&gt;"",NOT(ISNUMBER($O87)))),"Ressource non numérique",IF(MIN(N($K87),N($L87),N($N87),N($O87))&lt;0,"Ressource négative",IF(OR(AND($AC87&lt;&gt;"",OR(NOT(ISNUMBER($AC87)),$AC87&lt;0,$AC87&gt;1)),AND($AD87&lt;&gt;"",OR(NOT(ISNUMBER($AD87)),$AD87&lt;0,$AD87&gt;1))),"Marge spécifique invalide (0–100 %)",IF(OR(AND($P87&lt;&gt;"",NOT(ISNUMBER($P87))),AND($Q87&lt;&gt;"",NOT(ISNUMBER($Q87))),AND($R87&lt;&gt;"",NOT(ISNUMBER($R87)))),"Mois invalide",IF(AND(OR($G87="À migrer",$G87="À décommissionner"),COUNTIFS(TblClusters[Cluster],$I87,TblClusters[Plateforme],"IKS")=0),"Cluster IKS inconnu",IF(AND(OR($G87="À migrer",$G87="Migré"),COUNTIFS(TblClusters[Cluster],$J87,TblClusters[Plateforme],"ROKS")=0),"Cluster ROKS inconnu",IF(AND(OR($G87="À migrer",$G87="À décommissionner"),COUNTIFS(TblClusters[Cluster],$I87,TblClusters[Environnement],$E87)=0),"Environnement ≠ cluster IKS",IF(AND(OR($G87="À migrer",$G87="Migré"),COUNTIFS(TblClusters[Cluster],$J87,TblClusters[Environnement],$E87)=0),"Environnement ≠ cluster ROKS",IF(AND($G87="À migrer",OR($P87&gt;$Q87,$Q87&gt;$R87)),"Dates incohérentes (prov ≤ bascule ≤ libération)",IF(AND(OR($G87="À migrer",$G87="À décommissionner"),OR(N($N87)&gt;SUMIFS(TblClusters[CPU initial (vCPU)],TblClusters[Cluster],$I87),N($O87)&gt;SUMIFS(TblClusters[RAM initiale (Go)],TblClusters[Cluster],$I87))),"Libération &gt; capacité du cluster source",IF(OR(AND($V87&lt;&gt;"",$V87&lt;p_debut),AND($W87&lt;&gt;"",$W87&gt;p_fin)),"Hors horizon (info)",IF(AND($G87="À migrer",$E87="PRD",COUNTIFS(TblApplications[ID],$C87,TblApplications[Environnement],"NPRD",TblApplications[Action],"À migrer")&gt;0,$V87&lt;_xlfn.MINIFS(TblApplications[Mois prov (calc)],TblApplications[ID],$C87,TblApplications[Environnement],"NPRD")),"PRD avant NPRD (info)","OK"))))))))))))))))))))</f>
        <v/>
      </c>
      <c r="AC87" s="76"/>
      <c r="AD87" s="76"/>
      <c r="AE87" s="22" t="str">
        <f aca="false">IF(OR($C87="",NOT(OR($G87="À migrer",$G87="À décommissionner")),NOT(ISNUMBER($N87)),NOT(ISNUMBER($O87)),$W87=""),"",($N87+p_poidsram*$O87)*SUMIFS(TblCalculs[Coût par unité],TblCalculs[Cluster],$I87,TblCalculs[Mois],"&lt;"&amp;$W87))</f>
        <v/>
      </c>
      <c r="AF87" s="22" t="str">
        <f aca="false">IF($C87="","",IF(AND($G87="À migrer",$H87="Non",$T87&lt;&gt;"",$V87&lt;&gt;""),($T87+p_poidsram*$U87)*SUMIFS(TblCalculs[Coût par unité],TblCalculs[Cluster],$J87,TblCalculs[Mois],"&gt;="&amp;$V87),IF(AND($G87="Migré",$T87&lt;&gt;""),($T87+p_poidsram*$U87)*SUMIFS(TblCalculs[Coût par unité],TblCalculs[Cluster],$J87),"")))</f>
        <v/>
      </c>
      <c r="AG87" s="22" t="str">
        <f aca="false">IF($C87="","",N($AE87)+N($AF87))</f>
        <v/>
      </c>
      <c r="AH87" s="21" t="str">
        <f aca="false">IF(OR($C87="",$G87="Décommissionné",COUNTIFS($E87,av_envc,$A87,av_domc,$B87,av_tric)=0),"",COUNTIFS($C$6:$C87,"&lt;&gt;",$G$6:$G87,"&lt;&gt;Décommissionné",$E$6:$E87,av_envc,$A$6:$A87,av_domc,$B$6:$B87,av_tric))</f>
        <v/>
      </c>
      <c r="AI87" s="21" t="str">
        <f aca="false">IF($C87="","",IF(AND(OR($G87="À migrer",$G87="À décommissionner"),$W87&lt;&gt;"",$W87&gt;ex_mois),1,0))</f>
        <v/>
      </c>
      <c r="AJ87" s="21" t="str">
        <f aca="false">IF(OR($C87="",$AI87&lt;&gt;1,COUNTIFS($E87,ex_envc,$A87,ex_domc,$B87,ex_tric)=0),"",COUNTIFS($AI$6:$AI87,1,$E$6:$E87,ex_envc,$A$6:$A87,ex_domc,$B$6:$B87,ex_tric))</f>
        <v/>
      </c>
    </row>
    <row r="88" customFormat="false" ht="15" hidden="false" customHeight="false" outlineLevel="0" collapsed="false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5"/>
      <c r="Q88" s="75"/>
      <c r="R88" s="75"/>
      <c r="S88" s="74"/>
      <c r="T88" s="21" t="str">
        <f aca="false">IF(OR($C88="",NOT(OR($G88="À migrer",$G88="Migré")),NOT(ISNUMBER($K88))),"",ROUNDUP($K88*(1+IF($AC88="",p_margeCPU,$AC88)),0))</f>
        <v/>
      </c>
      <c r="U88" s="21" t="str">
        <f aca="false">IF(OR($C88="",NOT(OR($G88="À migrer",$G88="Migré")),NOT(ISNUMBER($L88))),"",ROUNDUP($L88*(1+IF($AD88="",p_margeRAM,$AD88)),0))</f>
        <v/>
      </c>
      <c r="V88" s="39" t="str">
        <f aca="false">IF(OR(NOT($G88="À migrer"),$P88=""),"",IFERROR(DATE(YEAR($P88),MONTH($P88),1),""))</f>
        <v/>
      </c>
      <c r="W88" s="39" t="str">
        <f aca="false">IF(OR(NOT(OR($G88="À migrer",$G88="À décommissionner")),$R88=""),"",IFERROR(DATE(YEAR($R88),MONTH($R88),1),""))</f>
        <v/>
      </c>
      <c r="X88" s="21" t="str">
        <f aca="false">IF(OR($V88="",$W88=""),"",MAX(0,(YEAR($W88)-YEAR($V88))*12+MONTH($W88)-MONTH($V88)))</f>
        <v/>
      </c>
      <c r="Y88" s="21" t="str">
        <f aca="false">IF($C88="","",COUNTIF(TblApplications[ID],$C88))</f>
        <v/>
      </c>
      <c r="Z88" s="39" t="str">
        <f aca="false">IF($C88="","",IFERROR(1/(1/_xlfn.MINIFS(TblApplications[Mois prov (calc)],TblApplications[ID],$C88)),""))</f>
        <v/>
      </c>
      <c r="AA88" s="39" t="str">
        <f aca="false">IF($C88="","",IFERROR(1/(1/_xlfn.MAXIFS(TblApplications[Mois lib (calc)],TblApplications[ID],$C88)),""))</f>
        <v/>
      </c>
      <c r="AB88" s="21" t="str">
        <f aca="false">IF($C88="","",IF(OR(OR($A88="",$B88="",$D88="",$E88="",$F88="",$G88=""),AND($G88="À migrer",OR($H88="",$I88="",$J88="",$K88="",$L88="",$N88="",$O88="",$P88="",$Q88="",$R88="")),AND($G88="Migré",OR($J88="",$K88="",$L88="")),AND($G88="À décommissionner",OR($I88="",$N88="",$O88="",$R88=""))),"Données manquantes (selon l’action)",IF(AND($G88&lt;&gt;"Migré",$G88&lt;&gt;"À migrer",$G88&lt;&gt;"À décommissionner",$G88&lt;&gt;"Décommissionné"),"Action invalide",IF(COUNTIF(TblDomaines[Domaine],$A88)=0,"Domaine inconnu (référentiel)",IF(COUNTIFS(TblTribes[Tribe],$B88,TblTribes[Domaine de la tribe],$A88)=0,"Tribe inconnue ou hors domaine",IF(AND($G88="À migrer",$H88&lt;&gt;"Oui",$H88&lt;&gt;"Non"),"Valeur Oui/Non invalide (Déjà incluse ROKS)",IF(AND($E88&lt;&gt;"PRD",$E88&lt;&gt;"NPRD"),"Environnement invalide",IF(COUNTIFS(TblApplications[ID],$C88,TblApplications[Environnement],$E88,TblApplications[Couloir],$F88)&gt;1,"Déploiement en doublon (ID + env + couloir)",IF(OR(AND($K88&lt;&gt;"",NOT(ISNUMBER($K88))),AND($L88&lt;&gt;"",NOT(ISNUMBER($L88))),AND($N88&lt;&gt;"",NOT(ISNUMBER($N88))),AND($O88&lt;&gt;"",NOT(ISNUMBER($O88)))),"Ressource non numérique",IF(MIN(N($K88),N($L88),N($N88),N($O88))&lt;0,"Ressource négative",IF(OR(AND($AC88&lt;&gt;"",OR(NOT(ISNUMBER($AC88)),$AC88&lt;0,$AC88&gt;1)),AND($AD88&lt;&gt;"",OR(NOT(ISNUMBER($AD88)),$AD88&lt;0,$AD88&gt;1))),"Marge spécifique invalide (0–100 %)",IF(OR(AND($P88&lt;&gt;"",NOT(ISNUMBER($P88))),AND($Q88&lt;&gt;"",NOT(ISNUMBER($Q88))),AND($R88&lt;&gt;"",NOT(ISNUMBER($R88)))),"Mois invalide",IF(AND(OR($G88="À migrer",$G88="À décommissionner"),COUNTIFS(TblClusters[Cluster],$I88,TblClusters[Plateforme],"IKS")=0),"Cluster IKS inconnu",IF(AND(OR($G88="À migrer",$G88="Migré"),COUNTIFS(TblClusters[Cluster],$J88,TblClusters[Plateforme],"ROKS")=0),"Cluster ROKS inconnu",IF(AND(OR($G88="À migrer",$G88="À décommissionner"),COUNTIFS(TblClusters[Cluster],$I88,TblClusters[Environnement],$E88)=0),"Environnement ≠ cluster IKS",IF(AND(OR($G88="À migrer",$G88="Migré"),COUNTIFS(TblClusters[Cluster],$J88,TblClusters[Environnement],$E88)=0),"Environnement ≠ cluster ROKS",IF(AND($G88="À migrer",OR($P88&gt;$Q88,$Q88&gt;$R88)),"Dates incohérentes (prov ≤ bascule ≤ libération)",IF(AND(OR($G88="À migrer",$G88="À décommissionner"),OR(N($N88)&gt;SUMIFS(TblClusters[CPU initial (vCPU)],TblClusters[Cluster],$I88),N($O88)&gt;SUMIFS(TblClusters[RAM initiale (Go)],TblClusters[Cluster],$I88))),"Libération &gt; capacité du cluster source",IF(OR(AND($V88&lt;&gt;"",$V88&lt;p_debut),AND($W88&lt;&gt;"",$W88&gt;p_fin)),"Hors horizon (info)",IF(AND($G88="À migrer",$E88="PRD",COUNTIFS(TblApplications[ID],$C88,TblApplications[Environnement],"NPRD",TblApplications[Action],"À migrer")&gt;0,$V88&lt;_xlfn.MINIFS(TblApplications[Mois prov (calc)],TblApplications[ID],$C88,TblApplications[Environnement],"NPRD")),"PRD avant NPRD (info)","OK"))))))))))))))))))))</f>
        <v/>
      </c>
      <c r="AC88" s="76"/>
      <c r="AD88" s="76"/>
      <c r="AE88" s="22" t="str">
        <f aca="false">IF(OR($C88="",NOT(OR($G88="À migrer",$G88="À décommissionner")),NOT(ISNUMBER($N88)),NOT(ISNUMBER($O88)),$W88=""),"",($N88+p_poidsram*$O88)*SUMIFS(TblCalculs[Coût par unité],TblCalculs[Cluster],$I88,TblCalculs[Mois],"&lt;"&amp;$W88))</f>
        <v/>
      </c>
      <c r="AF88" s="22" t="str">
        <f aca="false">IF($C88="","",IF(AND($G88="À migrer",$H88="Non",$T88&lt;&gt;"",$V88&lt;&gt;""),($T88+p_poidsram*$U88)*SUMIFS(TblCalculs[Coût par unité],TblCalculs[Cluster],$J88,TblCalculs[Mois],"&gt;="&amp;$V88),IF(AND($G88="Migré",$T88&lt;&gt;""),($T88+p_poidsram*$U88)*SUMIFS(TblCalculs[Coût par unité],TblCalculs[Cluster],$J88),"")))</f>
        <v/>
      </c>
      <c r="AG88" s="22" t="str">
        <f aca="false">IF($C88="","",N($AE88)+N($AF88))</f>
        <v/>
      </c>
      <c r="AH88" s="21" t="str">
        <f aca="false">IF(OR($C88="",$G88="Décommissionné",COUNTIFS($E88,av_envc,$A88,av_domc,$B88,av_tric)=0),"",COUNTIFS($C$6:$C88,"&lt;&gt;",$G$6:$G88,"&lt;&gt;Décommissionné",$E$6:$E88,av_envc,$A$6:$A88,av_domc,$B$6:$B88,av_tric))</f>
        <v/>
      </c>
      <c r="AI88" s="21" t="str">
        <f aca="false">IF($C88="","",IF(AND(OR($G88="À migrer",$G88="À décommissionner"),$W88&lt;&gt;"",$W88&gt;ex_mois),1,0))</f>
        <v/>
      </c>
      <c r="AJ88" s="21" t="str">
        <f aca="false">IF(OR($C88="",$AI88&lt;&gt;1,COUNTIFS($E88,ex_envc,$A88,ex_domc,$B88,ex_tric)=0),"",COUNTIFS($AI$6:$AI88,1,$E$6:$E88,ex_envc,$A$6:$A88,ex_domc,$B$6:$B88,ex_tric))</f>
        <v/>
      </c>
    </row>
    <row r="89" customFormat="false" ht="15" hidden="false" customHeight="false" outlineLevel="0" collapsed="false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5"/>
      <c r="Q89" s="75"/>
      <c r="R89" s="75"/>
      <c r="S89" s="74"/>
      <c r="T89" s="21" t="str">
        <f aca="false">IF(OR($C89="",NOT(OR($G89="À migrer",$G89="Migré")),NOT(ISNUMBER($K89))),"",ROUNDUP($K89*(1+IF($AC89="",p_margeCPU,$AC89)),0))</f>
        <v/>
      </c>
      <c r="U89" s="21" t="str">
        <f aca="false">IF(OR($C89="",NOT(OR($G89="À migrer",$G89="Migré")),NOT(ISNUMBER($L89))),"",ROUNDUP($L89*(1+IF($AD89="",p_margeRAM,$AD89)),0))</f>
        <v/>
      </c>
      <c r="V89" s="39" t="str">
        <f aca="false">IF(OR(NOT($G89="À migrer"),$P89=""),"",IFERROR(DATE(YEAR($P89),MONTH($P89),1),""))</f>
        <v/>
      </c>
      <c r="W89" s="39" t="str">
        <f aca="false">IF(OR(NOT(OR($G89="À migrer",$G89="À décommissionner")),$R89=""),"",IFERROR(DATE(YEAR($R89),MONTH($R89),1),""))</f>
        <v/>
      </c>
      <c r="X89" s="21" t="str">
        <f aca="false">IF(OR($V89="",$W89=""),"",MAX(0,(YEAR($W89)-YEAR($V89))*12+MONTH($W89)-MONTH($V89)))</f>
        <v/>
      </c>
      <c r="Y89" s="21" t="str">
        <f aca="false">IF($C89="","",COUNTIF(TblApplications[ID],$C89))</f>
        <v/>
      </c>
      <c r="Z89" s="39" t="str">
        <f aca="false">IF($C89="","",IFERROR(1/(1/_xlfn.MINIFS(TblApplications[Mois prov (calc)],TblApplications[ID],$C89)),""))</f>
        <v/>
      </c>
      <c r="AA89" s="39" t="str">
        <f aca="false">IF($C89="","",IFERROR(1/(1/_xlfn.MAXIFS(TblApplications[Mois lib (calc)],TblApplications[ID],$C89)),""))</f>
        <v/>
      </c>
      <c r="AB89" s="21" t="str">
        <f aca="false">IF($C89="","",IF(OR(OR($A89="",$B89="",$D89="",$E89="",$F89="",$G89=""),AND($G89="À migrer",OR($H89="",$I89="",$J89="",$K89="",$L89="",$N89="",$O89="",$P89="",$Q89="",$R89="")),AND($G89="Migré",OR($J89="",$K89="",$L89="")),AND($G89="À décommissionner",OR($I89="",$N89="",$O89="",$R89=""))),"Données manquantes (selon l’action)",IF(AND($G89&lt;&gt;"Migré",$G89&lt;&gt;"À migrer",$G89&lt;&gt;"À décommissionner",$G89&lt;&gt;"Décommissionné"),"Action invalide",IF(COUNTIF(TblDomaines[Domaine],$A89)=0,"Domaine inconnu (référentiel)",IF(COUNTIFS(TblTribes[Tribe],$B89,TblTribes[Domaine de la tribe],$A89)=0,"Tribe inconnue ou hors domaine",IF(AND($G89="À migrer",$H89&lt;&gt;"Oui",$H89&lt;&gt;"Non"),"Valeur Oui/Non invalide (Déjà incluse ROKS)",IF(AND($E89&lt;&gt;"PRD",$E89&lt;&gt;"NPRD"),"Environnement invalide",IF(COUNTIFS(TblApplications[ID],$C89,TblApplications[Environnement],$E89,TblApplications[Couloir],$F89)&gt;1,"Déploiement en doublon (ID + env + couloir)",IF(OR(AND($K89&lt;&gt;"",NOT(ISNUMBER($K89))),AND($L89&lt;&gt;"",NOT(ISNUMBER($L89))),AND($N89&lt;&gt;"",NOT(ISNUMBER($N89))),AND($O89&lt;&gt;"",NOT(ISNUMBER($O89)))),"Ressource non numérique",IF(MIN(N($K89),N($L89),N($N89),N($O89))&lt;0,"Ressource négative",IF(OR(AND($AC89&lt;&gt;"",OR(NOT(ISNUMBER($AC89)),$AC89&lt;0,$AC89&gt;1)),AND($AD89&lt;&gt;"",OR(NOT(ISNUMBER($AD89)),$AD89&lt;0,$AD89&gt;1))),"Marge spécifique invalide (0–100 %)",IF(OR(AND($P89&lt;&gt;"",NOT(ISNUMBER($P89))),AND($Q89&lt;&gt;"",NOT(ISNUMBER($Q89))),AND($R89&lt;&gt;"",NOT(ISNUMBER($R89)))),"Mois invalide",IF(AND(OR($G89="À migrer",$G89="À décommissionner"),COUNTIFS(TblClusters[Cluster],$I89,TblClusters[Plateforme],"IKS")=0),"Cluster IKS inconnu",IF(AND(OR($G89="À migrer",$G89="Migré"),COUNTIFS(TblClusters[Cluster],$J89,TblClusters[Plateforme],"ROKS")=0),"Cluster ROKS inconnu",IF(AND(OR($G89="À migrer",$G89="À décommissionner"),COUNTIFS(TblClusters[Cluster],$I89,TblClusters[Environnement],$E89)=0),"Environnement ≠ cluster IKS",IF(AND(OR($G89="À migrer",$G89="Migré"),COUNTIFS(TblClusters[Cluster],$J89,TblClusters[Environnement],$E89)=0),"Environnement ≠ cluster ROKS",IF(AND($G89="À migrer",OR($P89&gt;$Q89,$Q89&gt;$R89)),"Dates incohérentes (prov ≤ bascule ≤ libération)",IF(AND(OR($G89="À migrer",$G89="À décommissionner"),OR(N($N89)&gt;SUMIFS(TblClusters[CPU initial (vCPU)],TblClusters[Cluster],$I89),N($O89)&gt;SUMIFS(TblClusters[RAM initiale (Go)],TblClusters[Cluster],$I89))),"Libération &gt; capacité du cluster source",IF(OR(AND($V89&lt;&gt;"",$V89&lt;p_debut),AND($W89&lt;&gt;"",$W89&gt;p_fin)),"Hors horizon (info)",IF(AND($G89="À migrer",$E89="PRD",COUNTIFS(TblApplications[ID],$C89,TblApplications[Environnement],"NPRD",TblApplications[Action],"À migrer")&gt;0,$V89&lt;_xlfn.MINIFS(TblApplications[Mois prov (calc)],TblApplications[ID],$C89,TblApplications[Environnement],"NPRD")),"PRD avant NPRD (info)","OK"))))))))))))))))))))</f>
        <v/>
      </c>
      <c r="AC89" s="76"/>
      <c r="AD89" s="76"/>
      <c r="AE89" s="22" t="str">
        <f aca="false">IF(OR($C89="",NOT(OR($G89="À migrer",$G89="À décommissionner")),NOT(ISNUMBER($N89)),NOT(ISNUMBER($O89)),$W89=""),"",($N89+p_poidsram*$O89)*SUMIFS(TblCalculs[Coût par unité],TblCalculs[Cluster],$I89,TblCalculs[Mois],"&lt;"&amp;$W89))</f>
        <v/>
      </c>
      <c r="AF89" s="22" t="str">
        <f aca="false">IF($C89="","",IF(AND($G89="À migrer",$H89="Non",$T89&lt;&gt;"",$V89&lt;&gt;""),($T89+p_poidsram*$U89)*SUMIFS(TblCalculs[Coût par unité],TblCalculs[Cluster],$J89,TblCalculs[Mois],"&gt;="&amp;$V89),IF(AND($G89="Migré",$T89&lt;&gt;""),($T89+p_poidsram*$U89)*SUMIFS(TblCalculs[Coût par unité],TblCalculs[Cluster],$J89),"")))</f>
        <v/>
      </c>
      <c r="AG89" s="22" t="str">
        <f aca="false">IF($C89="","",N($AE89)+N($AF89))</f>
        <v/>
      </c>
      <c r="AH89" s="21" t="str">
        <f aca="false">IF(OR($C89="",$G89="Décommissionné",COUNTIFS($E89,av_envc,$A89,av_domc,$B89,av_tric)=0),"",COUNTIFS($C$6:$C89,"&lt;&gt;",$G$6:$G89,"&lt;&gt;Décommissionné",$E$6:$E89,av_envc,$A$6:$A89,av_domc,$B$6:$B89,av_tric))</f>
        <v/>
      </c>
      <c r="AI89" s="21" t="str">
        <f aca="false">IF($C89="","",IF(AND(OR($G89="À migrer",$G89="À décommissionner"),$W89&lt;&gt;"",$W89&gt;ex_mois),1,0))</f>
        <v/>
      </c>
      <c r="AJ89" s="21" t="str">
        <f aca="false">IF(OR($C89="",$AI89&lt;&gt;1,COUNTIFS($E89,ex_envc,$A89,ex_domc,$B89,ex_tric)=0),"",COUNTIFS($AI$6:$AI89,1,$E$6:$E89,ex_envc,$A$6:$A89,ex_domc,$B$6:$B89,ex_tric))</f>
        <v/>
      </c>
    </row>
    <row r="90" customFormat="false" ht="15" hidden="false" customHeight="false" outlineLevel="0" collapsed="false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5"/>
      <c r="Q90" s="75"/>
      <c r="R90" s="75"/>
      <c r="S90" s="74"/>
      <c r="T90" s="21" t="str">
        <f aca="false">IF(OR($C90="",NOT(OR($G90="À migrer",$G90="Migré")),NOT(ISNUMBER($K90))),"",ROUNDUP($K90*(1+IF($AC90="",p_margeCPU,$AC90)),0))</f>
        <v/>
      </c>
      <c r="U90" s="21" t="str">
        <f aca="false">IF(OR($C90="",NOT(OR($G90="À migrer",$G90="Migré")),NOT(ISNUMBER($L90))),"",ROUNDUP($L90*(1+IF($AD90="",p_margeRAM,$AD90)),0))</f>
        <v/>
      </c>
      <c r="V90" s="39" t="str">
        <f aca="false">IF(OR(NOT($G90="À migrer"),$P90=""),"",IFERROR(DATE(YEAR($P90),MONTH($P90),1),""))</f>
        <v/>
      </c>
      <c r="W90" s="39" t="str">
        <f aca="false">IF(OR(NOT(OR($G90="À migrer",$G90="À décommissionner")),$R90=""),"",IFERROR(DATE(YEAR($R90),MONTH($R90),1),""))</f>
        <v/>
      </c>
      <c r="X90" s="21" t="str">
        <f aca="false">IF(OR($V90="",$W90=""),"",MAX(0,(YEAR($W90)-YEAR($V90))*12+MONTH($W90)-MONTH($V90)))</f>
        <v/>
      </c>
      <c r="Y90" s="21" t="str">
        <f aca="false">IF($C90="","",COUNTIF(TblApplications[ID],$C90))</f>
        <v/>
      </c>
      <c r="Z90" s="39" t="str">
        <f aca="false">IF($C90="","",IFERROR(1/(1/_xlfn.MINIFS(TblApplications[Mois prov (calc)],TblApplications[ID],$C90)),""))</f>
        <v/>
      </c>
      <c r="AA90" s="39" t="str">
        <f aca="false">IF($C90="","",IFERROR(1/(1/_xlfn.MAXIFS(TblApplications[Mois lib (calc)],TblApplications[ID],$C90)),""))</f>
        <v/>
      </c>
      <c r="AB90" s="21" t="str">
        <f aca="false">IF($C90="","",IF(OR(OR($A90="",$B90="",$D90="",$E90="",$F90="",$G90=""),AND($G90="À migrer",OR($H90="",$I90="",$J90="",$K90="",$L90="",$N90="",$O90="",$P90="",$Q90="",$R90="")),AND($G90="Migré",OR($J90="",$K90="",$L90="")),AND($G90="À décommissionner",OR($I90="",$N90="",$O90="",$R90=""))),"Données manquantes (selon l’action)",IF(AND($G90&lt;&gt;"Migré",$G90&lt;&gt;"À migrer",$G90&lt;&gt;"À décommissionner",$G90&lt;&gt;"Décommissionné"),"Action invalide",IF(COUNTIF(TblDomaines[Domaine],$A90)=0,"Domaine inconnu (référentiel)",IF(COUNTIFS(TblTribes[Tribe],$B90,TblTribes[Domaine de la tribe],$A90)=0,"Tribe inconnue ou hors domaine",IF(AND($G90="À migrer",$H90&lt;&gt;"Oui",$H90&lt;&gt;"Non"),"Valeur Oui/Non invalide (Déjà incluse ROKS)",IF(AND($E90&lt;&gt;"PRD",$E90&lt;&gt;"NPRD"),"Environnement invalide",IF(COUNTIFS(TblApplications[ID],$C90,TblApplications[Environnement],$E90,TblApplications[Couloir],$F90)&gt;1,"Déploiement en doublon (ID + env + couloir)",IF(OR(AND($K90&lt;&gt;"",NOT(ISNUMBER($K90))),AND($L90&lt;&gt;"",NOT(ISNUMBER($L90))),AND($N90&lt;&gt;"",NOT(ISNUMBER($N90))),AND($O90&lt;&gt;"",NOT(ISNUMBER($O90)))),"Ressource non numérique",IF(MIN(N($K90),N($L90),N($N90),N($O90))&lt;0,"Ressource négative",IF(OR(AND($AC90&lt;&gt;"",OR(NOT(ISNUMBER($AC90)),$AC90&lt;0,$AC90&gt;1)),AND($AD90&lt;&gt;"",OR(NOT(ISNUMBER($AD90)),$AD90&lt;0,$AD90&gt;1))),"Marge spécifique invalide (0–100 %)",IF(OR(AND($P90&lt;&gt;"",NOT(ISNUMBER($P90))),AND($Q90&lt;&gt;"",NOT(ISNUMBER($Q90))),AND($R90&lt;&gt;"",NOT(ISNUMBER($R90)))),"Mois invalide",IF(AND(OR($G90="À migrer",$G90="À décommissionner"),COUNTIFS(TblClusters[Cluster],$I90,TblClusters[Plateforme],"IKS")=0),"Cluster IKS inconnu",IF(AND(OR($G90="À migrer",$G90="Migré"),COUNTIFS(TblClusters[Cluster],$J90,TblClusters[Plateforme],"ROKS")=0),"Cluster ROKS inconnu",IF(AND(OR($G90="À migrer",$G90="À décommissionner"),COUNTIFS(TblClusters[Cluster],$I90,TblClusters[Environnement],$E90)=0),"Environnement ≠ cluster IKS",IF(AND(OR($G90="À migrer",$G90="Migré"),COUNTIFS(TblClusters[Cluster],$J90,TblClusters[Environnement],$E90)=0),"Environnement ≠ cluster ROKS",IF(AND($G90="À migrer",OR($P90&gt;$Q90,$Q90&gt;$R90)),"Dates incohérentes (prov ≤ bascule ≤ libération)",IF(AND(OR($G90="À migrer",$G90="À décommissionner"),OR(N($N90)&gt;SUMIFS(TblClusters[CPU initial (vCPU)],TblClusters[Cluster],$I90),N($O90)&gt;SUMIFS(TblClusters[RAM initiale (Go)],TblClusters[Cluster],$I90))),"Libération &gt; capacité du cluster source",IF(OR(AND($V90&lt;&gt;"",$V90&lt;p_debut),AND($W90&lt;&gt;"",$W90&gt;p_fin)),"Hors horizon (info)",IF(AND($G90="À migrer",$E90="PRD",COUNTIFS(TblApplications[ID],$C90,TblApplications[Environnement],"NPRD",TblApplications[Action],"À migrer")&gt;0,$V90&lt;_xlfn.MINIFS(TblApplications[Mois prov (calc)],TblApplications[ID],$C90,TblApplications[Environnement],"NPRD")),"PRD avant NPRD (info)","OK"))))))))))))))))))))</f>
        <v/>
      </c>
      <c r="AC90" s="76"/>
      <c r="AD90" s="76"/>
      <c r="AE90" s="22" t="str">
        <f aca="false">IF(OR($C90="",NOT(OR($G90="À migrer",$G90="À décommissionner")),NOT(ISNUMBER($N90)),NOT(ISNUMBER($O90)),$W90=""),"",($N90+p_poidsram*$O90)*SUMIFS(TblCalculs[Coût par unité],TblCalculs[Cluster],$I90,TblCalculs[Mois],"&lt;"&amp;$W90))</f>
        <v/>
      </c>
      <c r="AF90" s="22" t="str">
        <f aca="false">IF($C90="","",IF(AND($G90="À migrer",$H90="Non",$T90&lt;&gt;"",$V90&lt;&gt;""),($T90+p_poidsram*$U90)*SUMIFS(TblCalculs[Coût par unité],TblCalculs[Cluster],$J90,TblCalculs[Mois],"&gt;="&amp;$V90),IF(AND($G90="Migré",$T90&lt;&gt;""),($T90+p_poidsram*$U90)*SUMIFS(TblCalculs[Coût par unité],TblCalculs[Cluster],$J90),"")))</f>
        <v/>
      </c>
      <c r="AG90" s="22" t="str">
        <f aca="false">IF($C90="","",N($AE90)+N($AF90))</f>
        <v/>
      </c>
      <c r="AH90" s="21" t="str">
        <f aca="false">IF(OR($C90="",$G90="Décommissionné",COUNTIFS($E90,av_envc,$A90,av_domc,$B90,av_tric)=0),"",COUNTIFS($C$6:$C90,"&lt;&gt;",$G$6:$G90,"&lt;&gt;Décommissionné",$E$6:$E90,av_envc,$A$6:$A90,av_domc,$B$6:$B90,av_tric))</f>
        <v/>
      </c>
      <c r="AI90" s="21" t="str">
        <f aca="false">IF($C90="","",IF(AND(OR($G90="À migrer",$G90="À décommissionner"),$W90&lt;&gt;"",$W90&gt;ex_mois),1,0))</f>
        <v/>
      </c>
      <c r="AJ90" s="21" t="str">
        <f aca="false">IF(OR($C90="",$AI90&lt;&gt;1,COUNTIFS($E90,ex_envc,$A90,ex_domc,$B90,ex_tric)=0),"",COUNTIFS($AI$6:$AI90,1,$E$6:$E90,ex_envc,$A$6:$A90,ex_domc,$B$6:$B90,ex_tric))</f>
        <v/>
      </c>
    </row>
    <row r="91" customFormat="false" ht="15" hidden="false" customHeight="false" outlineLevel="0" collapsed="false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5"/>
      <c r="Q91" s="75"/>
      <c r="R91" s="75"/>
      <c r="S91" s="74"/>
      <c r="T91" s="21" t="str">
        <f aca="false">IF(OR($C91="",NOT(OR($G91="À migrer",$G91="Migré")),NOT(ISNUMBER($K91))),"",ROUNDUP($K91*(1+IF($AC91="",p_margeCPU,$AC91)),0))</f>
        <v/>
      </c>
      <c r="U91" s="21" t="str">
        <f aca="false">IF(OR($C91="",NOT(OR($G91="À migrer",$G91="Migré")),NOT(ISNUMBER($L91))),"",ROUNDUP($L91*(1+IF($AD91="",p_margeRAM,$AD91)),0))</f>
        <v/>
      </c>
      <c r="V91" s="39" t="str">
        <f aca="false">IF(OR(NOT($G91="À migrer"),$P91=""),"",IFERROR(DATE(YEAR($P91),MONTH($P91),1),""))</f>
        <v/>
      </c>
      <c r="W91" s="39" t="str">
        <f aca="false">IF(OR(NOT(OR($G91="À migrer",$G91="À décommissionner")),$R91=""),"",IFERROR(DATE(YEAR($R91),MONTH($R91),1),""))</f>
        <v/>
      </c>
      <c r="X91" s="21" t="str">
        <f aca="false">IF(OR($V91="",$W91=""),"",MAX(0,(YEAR($W91)-YEAR($V91))*12+MONTH($W91)-MONTH($V91)))</f>
        <v/>
      </c>
      <c r="Y91" s="21" t="str">
        <f aca="false">IF($C91="","",COUNTIF(TblApplications[ID],$C91))</f>
        <v/>
      </c>
      <c r="Z91" s="39" t="str">
        <f aca="false">IF($C91="","",IFERROR(1/(1/_xlfn.MINIFS(TblApplications[Mois prov (calc)],TblApplications[ID],$C91)),""))</f>
        <v/>
      </c>
      <c r="AA91" s="39" t="str">
        <f aca="false">IF($C91="","",IFERROR(1/(1/_xlfn.MAXIFS(TblApplications[Mois lib (calc)],TblApplications[ID],$C91)),""))</f>
        <v/>
      </c>
      <c r="AB91" s="21" t="str">
        <f aca="false">IF($C91="","",IF(OR(OR($A91="",$B91="",$D91="",$E91="",$F91="",$G91=""),AND($G91="À migrer",OR($H91="",$I91="",$J91="",$K91="",$L91="",$N91="",$O91="",$P91="",$Q91="",$R91="")),AND($G91="Migré",OR($J91="",$K91="",$L91="")),AND($G91="À décommissionner",OR($I91="",$N91="",$O91="",$R91=""))),"Données manquantes (selon l’action)",IF(AND($G91&lt;&gt;"Migré",$G91&lt;&gt;"À migrer",$G91&lt;&gt;"À décommissionner",$G91&lt;&gt;"Décommissionné"),"Action invalide",IF(COUNTIF(TblDomaines[Domaine],$A91)=0,"Domaine inconnu (référentiel)",IF(COUNTIFS(TblTribes[Tribe],$B91,TblTribes[Domaine de la tribe],$A91)=0,"Tribe inconnue ou hors domaine",IF(AND($G91="À migrer",$H91&lt;&gt;"Oui",$H91&lt;&gt;"Non"),"Valeur Oui/Non invalide (Déjà incluse ROKS)",IF(AND($E91&lt;&gt;"PRD",$E91&lt;&gt;"NPRD"),"Environnement invalide",IF(COUNTIFS(TblApplications[ID],$C91,TblApplications[Environnement],$E91,TblApplications[Couloir],$F91)&gt;1,"Déploiement en doublon (ID + env + couloir)",IF(OR(AND($K91&lt;&gt;"",NOT(ISNUMBER($K91))),AND($L91&lt;&gt;"",NOT(ISNUMBER($L91))),AND($N91&lt;&gt;"",NOT(ISNUMBER($N91))),AND($O91&lt;&gt;"",NOT(ISNUMBER($O91)))),"Ressource non numérique",IF(MIN(N($K91),N($L91),N($N91),N($O91))&lt;0,"Ressource négative",IF(OR(AND($AC91&lt;&gt;"",OR(NOT(ISNUMBER($AC91)),$AC91&lt;0,$AC91&gt;1)),AND($AD91&lt;&gt;"",OR(NOT(ISNUMBER($AD91)),$AD91&lt;0,$AD91&gt;1))),"Marge spécifique invalide (0–100 %)",IF(OR(AND($P91&lt;&gt;"",NOT(ISNUMBER($P91))),AND($Q91&lt;&gt;"",NOT(ISNUMBER($Q91))),AND($R91&lt;&gt;"",NOT(ISNUMBER($R91)))),"Mois invalide",IF(AND(OR($G91="À migrer",$G91="À décommissionner"),COUNTIFS(TblClusters[Cluster],$I91,TblClusters[Plateforme],"IKS")=0),"Cluster IKS inconnu",IF(AND(OR($G91="À migrer",$G91="Migré"),COUNTIFS(TblClusters[Cluster],$J91,TblClusters[Plateforme],"ROKS")=0),"Cluster ROKS inconnu",IF(AND(OR($G91="À migrer",$G91="À décommissionner"),COUNTIFS(TblClusters[Cluster],$I91,TblClusters[Environnement],$E91)=0),"Environnement ≠ cluster IKS",IF(AND(OR($G91="À migrer",$G91="Migré"),COUNTIFS(TblClusters[Cluster],$J91,TblClusters[Environnement],$E91)=0),"Environnement ≠ cluster ROKS",IF(AND($G91="À migrer",OR($P91&gt;$Q91,$Q91&gt;$R91)),"Dates incohérentes (prov ≤ bascule ≤ libération)",IF(AND(OR($G91="À migrer",$G91="À décommissionner"),OR(N($N91)&gt;SUMIFS(TblClusters[CPU initial (vCPU)],TblClusters[Cluster],$I91),N($O91)&gt;SUMIFS(TblClusters[RAM initiale (Go)],TblClusters[Cluster],$I91))),"Libération &gt; capacité du cluster source",IF(OR(AND($V91&lt;&gt;"",$V91&lt;p_debut),AND($W91&lt;&gt;"",$W91&gt;p_fin)),"Hors horizon (info)",IF(AND($G91="À migrer",$E91="PRD",COUNTIFS(TblApplications[ID],$C91,TblApplications[Environnement],"NPRD",TblApplications[Action],"À migrer")&gt;0,$V91&lt;_xlfn.MINIFS(TblApplications[Mois prov (calc)],TblApplications[ID],$C91,TblApplications[Environnement],"NPRD")),"PRD avant NPRD (info)","OK"))))))))))))))))))))</f>
        <v/>
      </c>
      <c r="AC91" s="76"/>
      <c r="AD91" s="76"/>
      <c r="AE91" s="22" t="str">
        <f aca="false">IF(OR($C91="",NOT(OR($G91="À migrer",$G91="À décommissionner")),NOT(ISNUMBER($N91)),NOT(ISNUMBER($O91)),$W91=""),"",($N91+p_poidsram*$O91)*SUMIFS(TblCalculs[Coût par unité],TblCalculs[Cluster],$I91,TblCalculs[Mois],"&lt;"&amp;$W91))</f>
        <v/>
      </c>
      <c r="AF91" s="22" t="str">
        <f aca="false">IF($C91="","",IF(AND($G91="À migrer",$H91="Non",$T91&lt;&gt;"",$V91&lt;&gt;""),($T91+p_poidsram*$U91)*SUMIFS(TblCalculs[Coût par unité],TblCalculs[Cluster],$J91,TblCalculs[Mois],"&gt;="&amp;$V91),IF(AND($G91="Migré",$T91&lt;&gt;""),($T91+p_poidsram*$U91)*SUMIFS(TblCalculs[Coût par unité],TblCalculs[Cluster],$J91),"")))</f>
        <v/>
      </c>
      <c r="AG91" s="22" t="str">
        <f aca="false">IF($C91="","",N($AE91)+N($AF91))</f>
        <v/>
      </c>
      <c r="AH91" s="21" t="str">
        <f aca="false">IF(OR($C91="",$G91="Décommissionné",COUNTIFS($E91,av_envc,$A91,av_domc,$B91,av_tric)=0),"",COUNTIFS($C$6:$C91,"&lt;&gt;",$G$6:$G91,"&lt;&gt;Décommissionné",$E$6:$E91,av_envc,$A$6:$A91,av_domc,$B$6:$B91,av_tric))</f>
        <v/>
      </c>
      <c r="AI91" s="21" t="str">
        <f aca="false">IF($C91="","",IF(AND(OR($G91="À migrer",$G91="À décommissionner"),$W91&lt;&gt;"",$W91&gt;ex_mois),1,0))</f>
        <v/>
      </c>
      <c r="AJ91" s="21" t="str">
        <f aca="false">IF(OR($C91="",$AI91&lt;&gt;1,COUNTIFS($E91,ex_envc,$A91,ex_domc,$B91,ex_tric)=0),"",COUNTIFS($AI$6:$AI91,1,$E$6:$E91,ex_envc,$A$6:$A91,ex_domc,$B$6:$B91,ex_tric))</f>
        <v/>
      </c>
    </row>
    <row r="92" customFormat="false" ht="15" hidden="false" customHeight="false" outlineLevel="0" collapsed="false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5"/>
      <c r="Q92" s="75"/>
      <c r="R92" s="75"/>
      <c r="S92" s="74"/>
      <c r="T92" s="21" t="str">
        <f aca="false">IF(OR($C92="",NOT(OR($G92="À migrer",$G92="Migré")),NOT(ISNUMBER($K92))),"",ROUNDUP($K92*(1+IF($AC92="",p_margeCPU,$AC92)),0))</f>
        <v/>
      </c>
      <c r="U92" s="21" t="str">
        <f aca="false">IF(OR($C92="",NOT(OR($G92="À migrer",$G92="Migré")),NOT(ISNUMBER($L92))),"",ROUNDUP($L92*(1+IF($AD92="",p_margeRAM,$AD92)),0))</f>
        <v/>
      </c>
      <c r="V92" s="39" t="str">
        <f aca="false">IF(OR(NOT($G92="À migrer"),$P92=""),"",IFERROR(DATE(YEAR($P92),MONTH($P92),1),""))</f>
        <v/>
      </c>
      <c r="W92" s="39" t="str">
        <f aca="false">IF(OR(NOT(OR($G92="À migrer",$G92="À décommissionner")),$R92=""),"",IFERROR(DATE(YEAR($R92),MONTH($R92),1),""))</f>
        <v/>
      </c>
      <c r="X92" s="21" t="str">
        <f aca="false">IF(OR($V92="",$W92=""),"",MAX(0,(YEAR($W92)-YEAR($V92))*12+MONTH($W92)-MONTH($V92)))</f>
        <v/>
      </c>
      <c r="Y92" s="21" t="str">
        <f aca="false">IF($C92="","",COUNTIF(TblApplications[ID],$C92))</f>
        <v/>
      </c>
      <c r="Z92" s="39" t="str">
        <f aca="false">IF($C92="","",IFERROR(1/(1/_xlfn.MINIFS(TblApplications[Mois prov (calc)],TblApplications[ID],$C92)),""))</f>
        <v/>
      </c>
      <c r="AA92" s="39" t="str">
        <f aca="false">IF($C92="","",IFERROR(1/(1/_xlfn.MAXIFS(TblApplications[Mois lib (calc)],TblApplications[ID],$C92)),""))</f>
        <v/>
      </c>
      <c r="AB92" s="21" t="str">
        <f aca="false">IF($C92="","",IF(OR(OR($A92="",$B92="",$D92="",$E92="",$F92="",$G92=""),AND($G92="À migrer",OR($H92="",$I92="",$J92="",$K92="",$L92="",$N92="",$O92="",$P92="",$Q92="",$R92="")),AND($G92="Migré",OR($J92="",$K92="",$L92="")),AND($G92="À décommissionner",OR($I92="",$N92="",$O92="",$R92=""))),"Données manquantes (selon l’action)",IF(AND($G92&lt;&gt;"Migré",$G92&lt;&gt;"À migrer",$G92&lt;&gt;"À décommissionner",$G92&lt;&gt;"Décommissionné"),"Action invalide",IF(COUNTIF(TblDomaines[Domaine],$A92)=0,"Domaine inconnu (référentiel)",IF(COUNTIFS(TblTribes[Tribe],$B92,TblTribes[Domaine de la tribe],$A92)=0,"Tribe inconnue ou hors domaine",IF(AND($G92="À migrer",$H92&lt;&gt;"Oui",$H92&lt;&gt;"Non"),"Valeur Oui/Non invalide (Déjà incluse ROKS)",IF(AND($E92&lt;&gt;"PRD",$E92&lt;&gt;"NPRD"),"Environnement invalide",IF(COUNTIFS(TblApplications[ID],$C92,TblApplications[Environnement],$E92,TblApplications[Couloir],$F92)&gt;1,"Déploiement en doublon (ID + env + couloir)",IF(OR(AND($K92&lt;&gt;"",NOT(ISNUMBER($K92))),AND($L92&lt;&gt;"",NOT(ISNUMBER($L92))),AND($N92&lt;&gt;"",NOT(ISNUMBER($N92))),AND($O92&lt;&gt;"",NOT(ISNUMBER($O92)))),"Ressource non numérique",IF(MIN(N($K92),N($L92),N($N92),N($O92))&lt;0,"Ressource négative",IF(OR(AND($AC92&lt;&gt;"",OR(NOT(ISNUMBER($AC92)),$AC92&lt;0,$AC92&gt;1)),AND($AD92&lt;&gt;"",OR(NOT(ISNUMBER($AD92)),$AD92&lt;0,$AD92&gt;1))),"Marge spécifique invalide (0–100 %)",IF(OR(AND($P92&lt;&gt;"",NOT(ISNUMBER($P92))),AND($Q92&lt;&gt;"",NOT(ISNUMBER($Q92))),AND($R92&lt;&gt;"",NOT(ISNUMBER($R92)))),"Mois invalide",IF(AND(OR($G92="À migrer",$G92="À décommissionner"),COUNTIFS(TblClusters[Cluster],$I92,TblClusters[Plateforme],"IKS")=0),"Cluster IKS inconnu",IF(AND(OR($G92="À migrer",$G92="Migré"),COUNTIFS(TblClusters[Cluster],$J92,TblClusters[Plateforme],"ROKS")=0),"Cluster ROKS inconnu",IF(AND(OR($G92="À migrer",$G92="À décommissionner"),COUNTIFS(TblClusters[Cluster],$I92,TblClusters[Environnement],$E92)=0),"Environnement ≠ cluster IKS",IF(AND(OR($G92="À migrer",$G92="Migré"),COUNTIFS(TblClusters[Cluster],$J92,TblClusters[Environnement],$E92)=0),"Environnement ≠ cluster ROKS",IF(AND($G92="À migrer",OR($P92&gt;$Q92,$Q92&gt;$R92)),"Dates incohérentes (prov ≤ bascule ≤ libération)",IF(AND(OR($G92="À migrer",$G92="À décommissionner"),OR(N($N92)&gt;SUMIFS(TblClusters[CPU initial (vCPU)],TblClusters[Cluster],$I92),N($O92)&gt;SUMIFS(TblClusters[RAM initiale (Go)],TblClusters[Cluster],$I92))),"Libération &gt; capacité du cluster source",IF(OR(AND($V92&lt;&gt;"",$V92&lt;p_debut),AND($W92&lt;&gt;"",$W92&gt;p_fin)),"Hors horizon (info)",IF(AND($G92="À migrer",$E92="PRD",COUNTIFS(TblApplications[ID],$C92,TblApplications[Environnement],"NPRD",TblApplications[Action],"À migrer")&gt;0,$V92&lt;_xlfn.MINIFS(TblApplications[Mois prov (calc)],TblApplications[ID],$C92,TblApplications[Environnement],"NPRD")),"PRD avant NPRD (info)","OK"))))))))))))))))))))</f>
        <v/>
      </c>
      <c r="AC92" s="76"/>
      <c r="AD92" s="76"/>
      <c r="AE92" s="22" t="str">
        <f aca="false">IF(OR($C92="",NOT(OR($G92="À migrer",$G92="À décommissionner")),NOT(ISNUMBER($N92)),NOT(ISNUMBER($O92)),$W92=""),"",($N92+p_poidsram*$O92)*SUMIFS(TblCalculs[Coût par unité],TblCalculs[Cluster],$I92,TblCalculs[Mois],"&lt;"&amp;$W92))</f>
        <v/>
      </c>
      <c r="AF92" s="22" t="str">
        <f aca="false">IF($C92="","",IF(AND($G92="À migrer",$H92="Non",$T92&lt;&gt;"",$V92&lt;&gt;""),($T92+p_poidsram*$U92)*SUMIFS(TblCalculs[Coût par unité],TblCalculs[Cluster],$J92,TblCalculs[Mois],"&gt;="&amp;$V92),IF(AND($G92="Migré",$T92&lt;&gt;""),($T92+p_poidsram*$U92)*SUMIFS(TblCalculs[Coût par unité],TblCalculs[Cluster],$J92),"")))</f>
        <v/>
      </c>
      <c r="AG92" s="22" t="str">
        <f aca="false">IF($C92="","",N($AE92)+N($AF92))</f>
        <v/>
      </c>
      <c r="AH92" s="21" t="str">
        <f aca="false">IF(OR($C92="",$G92="Décommissionné",COUNTIFS($E92,av_envc,$A92,av_domc,$B92,av_tric)=0),"",COUNTIFS($C$6:$C92,"&lt;&gt;",$G$6:$G92,"&lt;&gt;Décommissionné",$E$6:$E92,av_envc,$A$6:$A92,av_domc,$B$6:$B92,av_tric))</f>
        <v/>
      </c>
      <c r="AI92" s="21" t="str">
        <f aca="false">IF($C92="","",IF(AND(OR($G92="À migrer",$G92="À décommissionner"),$W92&lt;&gt;"",$W92&gt;ex_mois),1,0))</f>
        <v/>
      </c>
      <c r="AJ92" s="21" t="str">
        <f aca="false">IF(OR($C92="",$AI92&lt;&gt;1,COUNTIFS($E92,ex_envc,$A92,ex_domc,$B92,ex_tric)=0),"",COUNTIFS($AI$6:$AI92,1,$E$6:$E92,ex_envc,$A$6:$A92,ex_domc,$B$6:$B92,ex_tric))</f>
        <v/>
      </c>
    </row>
    <row r="93" customFormat="false" ht="15" hidden="false" customHeight="false" outlineLevel="0" collapsed="false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5"/>
      <c r="Q93" s="75"/>
      <c r="R93" s="75"/>
      <c r="S93" s="74"/>
      <c r="T93" s="21" t="str">
        <f aca="false">IF(OR($C93="",NOT(OR($G93="À migrer",$G93="Migré")),NOT(ISNUMBER($K93))),"",ROUNDUP($K93*(1+IF($AC93="",p_margeCPU,$AC93)),0))</f>
        <v/>
      </c>
      <c r="U93" s="21" t="str">
        <f aca="false">IF(OR($C93="",NOT(OR($G93="À migrer",$G93="Migré")),NOT(ISNUMBER($L93))),"",ROUNDUP($L93*(1+IF($AD93="",p_margeRAM,$AD93)),0))</f>
        <v/>
      </c>
      <c r="V93" s="39" t="str">
        <f aca="false">IF(OR(NOT($G93="À migrer"),$P93=""),"",IFERROR(DATE(YEAR($P93),MONTH($P93),1),""))</f>
        <v/>
      </c>
      <c r="W93" s="39" t="str">
        <f aca="false">IF(OR(NOT(OR($G93="À migrer",$G93="À décommissionner")),$R93=""),"",IFERROR(DATE(YEAR($R93),MONTH($R93),1),""))</f>
        <v/>
      </c>
      <c r="X93" s="21" t="str">
        <f aca="false">IF(OR($V93="",$W93=""),"",MAX(0,(YEAR($W93)-YEAR($V93))*12+MONTH($W93)-MONTH($V93)))</f>
        <v/>
      </c>
      <c r="Y93" s="21" t="str">
        <f aca="false">IF($C93="","",COUNTIF(TblApplications[ID],$C93))</f>
        <v/>
      </c>
      <c r="Z93" s="39" t="str">
        <f aca="false">IF($C93="","",IFERROR(1/(1/_xlfn.MINIFS(TblApplications[Mois prov (calc)],TblApplications[ID],$C93)),""))</f>
        <v/>
      </c>
      <c r="AA93" s="39" t="str">
        <f aca="false">IF($C93="","",IFERROR(1/(1/_xlfn.MAXIFS(TblApplications[Mois lib (calc)],TblApplications[ID],$C93)),""))</f>
        <v/>
      </c>
      <c r="AB93" s="21" t="str">
        <f aca="false">IF($C93="","",IF(OR(OR($A93="",$B93="",$D93="",$E93="",$F93="",$G93=""),AND($G93="À migrer",OR($H93="",$I93="",$J93="",$K93="",$L93="",$N93="",$O93="",$P93="",$Q93="",$R93="")),AND($G93="Migré",OR($J93="",$K93="",$L93="")),AND($G93="À décommissionner",OR($I93="",$N93="",$O93="",$R93=""))),"Données manquantes (selon l’action)",IF(AND($G93&lt;&gt;"Migré",$G93&lt;&gt;"À migrer",$G93&lt;&gt;"À décommissionner",$G93&lt;&gt;"Décommissionné"),"Action invalide",IF(COUNTIF(TblDomaines[Domaine],$A93)=0,"Domaine inconnu (référentiel)",IF(COUNTIFS(TblTribes[Tribe],$B93,TblTribes[Domaine de la tribe],$A93)=0,"Tribe inconnue ou hors domaine",IF(AND($G93="À migrer",$H93&lt;&gt;"Oui",$H93&lt;&gt;"Non"),"Valeur Oui/Non invalide (Déjà incluse ROKS)",IF(AND($E93&lt;&gt;"PRD",$E93&lt;&gt;"NPRD"),"Environnement invalide",IF(COUNTIFS(TblApplications[ID],$C93,TblApplications[Environnement],$E93,TblApplications[Couloir],$F93)&gt;1,"Déploiement en doublon (ID + env + couloir)",IF(OR(AND($K93&lt;&gt;"",NOT(ISNUMBER($K93))),AND($L93&lt;&gt;"",NOT(ISNUMBER($L93))),AND($N93&lt;&gt;"",NOT(ISNUMBER($N93))),AND($O93&lt;&gt;"",NOT(ISNUMBER($O93)))),"Ressource non numérique",IF(MIN(N($K93),N($L93),N($N93),N($O93))&lt;0,"Ressource négative",IF(OR(AND($AC93&lt;&gt;"",OR(NOT(ISNUMBER($AC93)),$AC93&lt;0,$AC93&gt;1)),AND($AD93&lt;&gt;"",OR(NOT(ISNUMBER($AD93)),$AD93&lt;0,$AD93&gt;1))),"Marge spécifique invalide (0–100 %)",IF(OR(AND($P93&lt;&gt;"",NOT(ISNUMBER($P93))),AND($Q93&lt;&gt;"",NOT(ISNUMBER($Q93))),AND($R93&lt;&gt;"",NOT(ISNUMBER($R93)))),"Mois invalide",IF(AND(OR($G93="À migrer",$G93="À décommissionner"),COUNTIFS(TblClusters[Cluster],$I93,TblClusters[Plateforme],"IKS")=0),"Cluster IKS inconnu",IF(AND(OR($G93="À migrer",$G93="Migré"),COUNTIFS(TblClusters[Cluster],$J93,TblClusters[Plateforme],"ROKS")=0),"Cluster ROKS inconnu",IF(AND(OR($G93="À migrer",$G93="À décommissionner"),COUNTIFS(TblClusters[Cluster],$I93,TblClusters[Environnement],$E93)=0),"Environnement ≠ cluster IKS",IF(AND(OR($G93="À migrer",$G93="Migré"),COUNTIFS(TblClusters[Cluster],$J93,TblClusters[Environnement],$E93)=0),"Environnement ≠ cluster ROKS",IF(AND($G93="À migrer",OR($P93&gt;$Q93,$Q93&gt;$R93)),"Dates incohérentes (prov ≤ bascule ≤ libération)",IF(AND(OR($G93="À migrer",$G93="À décommissionner"),OR(N($N93)&gt;SUMIFS(TblClusters[CPU initial (vCPU)],TblClusters[Cluster],$I93),N($O93)&gt;SUMIFS(TblClusters[RAM initiale (Go)],TblClusters[Cluster],$I93))),"Libération &gt; capacité du cluster source",IF(OR(AND($V93&lt;&gt;"",$V93&lt;p_debut),AND($W93&lt;&gt;"",$W93&gt;p_fin)),"Hors horizon (info)",IF(AND($G93="À migrer",$E93="PRD",COUNTIFS(TblApplications[ID],$C93,TblApplications[Environnement],"NPRD",TblApplications[Action],"À migrer")&gt;0,$V93&lt;_xlfn.MINIFS(TblApplications[Mois prov (calc)],TblApplications[ID],$C93,TblApplications[Environnement],"NPRD")),"PRD avant NPRD (info)","OK"))))))))))))))))))))</f>
        <v/>
      </c>
      <c r="AC93" s="76"/>
      <c r="AD93" s="76"/>
      <c r="AE93" s="22" t="str">
        <f aca="false">IF(OR($C93="",NOT(OR($G93="À migrer",$G93="À décommissionner")),NOT(ISNUMBER($N93)),NOT(ISNUMBER($O93)),$W93=""),"",($N93+p_poidsram*$O93)*SUMIFS(TblCalculs[Coût par unité],TblCalculs[Cluster],$I93,TblCalculs[Mois],"&lt;"&amp;$W93))</f>
        <v/>
      </c>
      <c r="AF93" s="22" t="str">
        <f aca="false">IF($C93="","",IF(AND($G93="À migrer",$H93="Non",$T93&lt;&gt;"",$V93&lt;&gt;""),($T93+p_poidsram*$U93)*SUMIFS(TblCalculs[Coût par unité],TblCalculs[Cluster],$J93,TblCalculs[Mois],"&gt;="&amp;$V93),IF(AND($G93="Migré",$T93&lt;&gt;""),($T93+p_poidsram*$U93)*SUMIFS(TblCalculs[Coût par unité],TblCalculs[Cluster],$J93),"")))</f>
        <v/>
      </c>
      <c r="AG93" s="22" t="str">
        <f aca="false">IF($C93="","",N($AE93)+N($AF93))</f>
        <v/>
      </c>
      <c r="AH93" s="21" t="str">
        <f aca="false">IF(OR($C93="",$G93="Décommissionné",COUNTIFS($E93,av_envc,$A93,av_domc,$B93,av_tric)=0),"",COUNTIFS($C$6:$C93,"&lt;&gt;",$G$6:$G93,"&lt;&gt;Décommissionné",$E$6:$E93,av_envc,$A$6:$A93,av_domc,$B$6:$B93,av_tric))</f>
        <v/>
      </c>
      <c r="AI93" s="21" t="str">
        <f aca="false">IF($C93="","",IF(AND(OR($G93="À migrer",$G93="À décommissionner"),$W93&lt;&gt;"",$W93&gt;ex_mois),1,0))</f>
        <v/>
      </c>
      <c r="AJ93" s="21" t="str">
        <f aca="false">IF(OR($C93="",$AI93&lt;&gt;1,COUNTIFS($E93,ex_envc,$A93,ex_domc,$B93,ex_tric)=0),"",COUNTIFS($AI$6:$AI93,1,$E$6:$E93,ex_envc,$A$6:$A93,ex_domc,$B$6:$B93,ex_tric))</f>
        <v/>
      </c>
    </row>
    <row r="94" customFormat="false" ht="15" hidden="false" customHeight="false" outlineLevel="0" collapsed="false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5"/>
      <c r="Q94" s="75"/>
      <c r="R94" s="75"/>
      <c r="S94" s="74"/>
      <c r="T94" s="21" t="str">
        <f aca="false">IF(OR($C94="",NOT(OR($G94="À migrer",$G94="Migré")),NOT(ISNUMBER($K94))),"",ROUNDUP($K94*(1+IF($AC94="",p_margeCPU,$AC94)),0))</f>
        <v/>
      </c>
      <c r="U94" s="21" t="str">
        <f aca="false">IF(OR($C94="",NOT(OR($G94="À migrer",$G94="Migré")),NOT(ISNUMBER($L94))),"",ROUNDUP($L94*(1+IF($AD94="",p_margeRAM,$AD94)),0))</f>
        <v/>
      </c>
      <c r="V94" s="39" t="str">
        <f aca="false">IF(OR(NOT($G94="À migrer"),$P94=""),"",IFERROR(DATE(YEAR($P94),MONTH($P94),1),""))</f>
        <v/>
      </c>
      <c r="W94" s="39" t="str">
        <f aca="false">IF(OR(NOT(OR($G94="À migrer",$G94="À décommissionner")),$R94=""),"",IFERROR(DATE(YEAR($R94),MONTH($R94),1),""))</f>
        <v/>
      </c>
      <c r="X94" s="21" t="str">
        <f aca="false">IF(OR($V94="",$W94=""),"",MAX(0,(YEAR($W94)-YEAR($V94))*12+MONTH($W94)-MONTH($V94)))</f>
        <v/>
      </c>
      <c r="Y94" s="21" t="str">
        <f aca="false">IF($C94="","",COUNTIF(TblApplications[ID],$C94))</f>
        <v/>
      </c>
      <c r="Z94" s="39" t="str">
        <f aca="false">IF($C94="","",IFERROR(1/(1/_xlfn.MINIFS(TblApplications[Mois prov (calc)],TblApplications[ID],$C94)),""))</f>
        <v/>
      </c>
      <c r="AA94" s="39" t="str">
        <f aca="false">IF($C94="","",IFERROR(1/(1/_xlfn.MAXIFS(TblApplications[Mois lib (calc)],TblApplications[ID],$C94)),""))</f>
        <v/>
      </c>
      <c r="AB94" s="21" t="str">
        <f aca="false">IF($C94="","",IF(OR(OR($A94="",$B94="",$D94="",$E94="",$F94="",$G94=""),AND($G94="À migrer",OR($H94="",$I94="",$J94="",$K94="",$L94="",$N94="",$O94="",$P94="",$Q94="",$R94="")),AND($G94="Migré",OR($J94="",$K94="",$L94="")),AND($G94="À décommissionner",OR($I94="",$N94="",$O94="",$R94=""))),"Données manquantes (selon l’action)",IF(AND($G94&lt;&gt;"Migré",$G94&lt;&gt;"À migrer",$G94&lt;&gt;"À décommissionner",$G94&lt;&gt;"Décommissionné"),"Action invalide",IF(COUNTIF(TblDomaines[Domaine],$A94)=0,"Domaine inconnu (référentiel)",IF(COUNTIFS(TblTribes[Tribe],$B94,TblTribes[Domaine de la tribe],$A94)=0,"Tribe inconnue ou hors domaine",IF(AND($G94="À migrer",$H94&lt;&gt;"Oui",$H94&lt;&gt;"Non"),"Valeur Oui/Non invalide (Déjà incluse ROKS)",IF(AND($E94&lt;&gt;"PRD",$E94&lt;&gt;"NPRD"),"Environnement invalide",IF(COUNTIFS(TblApplications[ID],$C94,TblApplications[Environnement],$E94,TblApplications[Couloir],$F94)&gt;1,"Déploiement en doublon (ID + env + couloir)",IF(OR(AND($K94&lt;&gt;"",NOT(ISNUMBER($K94))),AND($L94&lt;&gt;"",NOT(ISNUMBER($L94))),AND($N94&lt;&gt;"",NOT(ISNUMBER($N94))),AND($O94&lt;&gt;"",NOT(ISNUMBER($O94)))),"Ressource non numérique",IF(MIN(N($K94),N($L94),N($N94),N($O94))&lt;0,"Ressource négative",IF(OR(AND($AC94&lt;&gt;"",OR(NOT(ISNUMBER($AC94)),$AC94&lt;0,$AC94&gt;1)),AND($AD94&lt;&gt;"",OR(NOT(ISNUMBER($AD94)),$AD94&lt;0,$AD94&gt;1))),"Marge spécifique invalide (0–100 %)",IF(OR(AND($P94&lt;&gt;"",NOT(ISNUMBER($P94))),AND($Q94&lt;&gt;"",NOT(ISNUMBER($Q94))),AND($R94&lt;&gt;"",NOT(ISNUMBER($R94)))),"Mois invalide",IF(AND(OR($G94="À migrer",$G94="À décommissionner"),COUNTIFS(TblClusters[Cluster],$I94,TblClusters[Plateforme],"IKS")=0),"Cluster IKS inconnu",IF(AND(OR($G94="À migrer",$G94="Migré"),COUNTIFS(TblClusters[Cluster],$J94,TblClusters[Plateforme],"ROKS")=0),"Cluster ROKS inconnu",IF(AND(OR($G94="À migrer",$G94="À décommissionner"),COUNTIFS(TblClusters[Cluster],$I94,TblClusters[Environnement],$E94)=0),"Environnement ≠ cluster IKS",IF(AND(OR($G94="À migrer",$G94="Migré"),COUNTIFS(TblClusters[Cluster],$J94,TblClusters[Environnement],$E94)=0),"Environnement ≠ cluster ROKS",IF(AND($G94="À migrer",OR($P94&gt;$Q94,$Q94&gt;$R94)),"Dates incohérentes (prov ≤ bascule ≤ libération)",IF(AND(OR($G94="À migrer",$G94="À décommissionner"),OR(N($N94)&gt;SUMIFS(TblClusters[CPU initial (vCPU)],TblClusters[Cluster],$I94),N($O94)&gt;SUMIFS(TblClusters[RAM initiale (Go)],TblClusters[Cluster],$I94))),"Libération &gt; capacité du cluster source",IF(OR(AND($V94&lt;&gt;"",$V94&lt;p_debut),AND($W94&lt;&gt;"",$W94&gt;p_fin)),"Hors horizon (info)",IF(AND($G94="À migrer",$E94="PRD",COUNTIFS(TblApplications[ID],$C94,TblApplications[Environnement],"NPRD",TblApplications[Action],"À migrer")&gt;0,$V94&lt;_xlfn.MINIFS(TblApplications[Mois prov (calc)],TblApplications[ID],$C94,TblApplications[Environnement],"NPRD")),"PRD avant NPRD (info)","OK"))))))))))))))))))))</f>
        <v/>
      </c>
      <c r="AC94" s="76"/>
      <c r="AD94" s="76"/>
      <c r="AE94" s="22" t="str">
        <f aca="false">IF(OR($C94="",NOT(OR($G94="À migrer",$G94="À décommissionner")),NOT(ISNUMBER($N94)),NOT(ISNUMBER($O94)),$W94=""),"",($N94+p_poidsram*$O94)*SUMIFS(TblCalculs[Coût par unité],TblCalculs[Cluster],$I94,TblCalculs[Mois],"&lt;"&amp;$W94))</f>
        <v/>
      </c>
      <c r="AF94" s="22" t="str">
        <f aca="false">IF($C94="","",IF(AND($G94="À migrer",$H94="Non",$T94&lt;&gt;"",$V94&lt;&gt;""),($T94+p_poidsram*$U94)*SUMIFS(TblCalculs[Coût par unité],TblCalculs[Cluster],$J94,TblCalculs[Mois],"&gt;="&amp;$V94),IF(AND($G94="Migré",$T94&lt;&gt;""),($T94+p_poidsram*$U94)*SUMIFS(TblCalculs[Coût par unité],TblCalculs[Cluster],$J94),"")))</f>
        <v/>
      </c>
      <c r="AG94" s="22" t="str">
        <f aca="false">IF($C94="","",N($AE94)+N($AF94))</f>
        <v/>
      </c>
      <c r="AH94" s="21" t="str">
        <f aca="false">IF(OR($C94="",$G94="Décommissionné",COUNTIFS($E94,av_envc,$A94,av_domc,$B94,av_tric)=0),"",COUNTIFS($C$6:$C94,"&lt;&gt;",$G$6:$G94,"&lt;&gt;Décommissionné",$E$6:$E94,av_envc,$A$6:$A94,av_domc,$B$6:$B94,av_tric))</f>
        <v/>
      </c>
      <c r="AI94" s="21" t="str">
        <f aca="false">IF($C94="","",IF(AND(OR($G94="À migrer",$G94="À décommissionner"),$W94&lt;&gt;"",$W94&gt;ex_mois),1,0))</f>
        <v/>
      </c>
      <c r="AJ94" s="21" t="str">
        <f aca="false">IF(OR($C94="",$AI94&lt;&gt;1,COUNTIFS($E94,ex_envc,$A94,ex_domc,$B94,ex_tric)=0),"",COUNTIFS($AI$6:$AI94,1,$E$6:$E94,ex_envc,$A$6:$A94,ex_domc,$B$6:$B94,ex_tric))</f>
        <v/>
      </c>
    </row>
    <row r="95" customFormat="false" ht="15" hidden="false" customHeight="false" outlineLevel="0" collapsed="false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5"/>
      <c r="Q95" s="75"/>
      <c r="R95" s="75"/>
      <c r="S95" s="74"/>
      <c r="T95" s="21" t="str">
        <f aca="false">IF(OR($C95="",NOT(OR($G95="À migrer",$G95="Migré")),NOT(ISNUMBER($K95))),"",ROUNDUP($K95*(1+IF($AC95="",p_margeCPU,$AC95)),0))</f>
        <v/>
      </c>
      <c r="U95" s="21" t="str">
        <f aca="false">IF(OR($C95="",NOT(OR($G95="À migrer",$G95="Migré")),NOT(ISNUMBER($L95))),"",ROUNDUP($L95*(1+IF($AD95="",p_margeRAM,$AD95)),0))</f>
        <v/>
      </c>
      <c r="V95" s="39" t="str">
        <f aca="false">IF(OR(NOT($G95="À migrer"),$P95=""),"",IFERROR(DATE(YEAR($P95),MONTH($P95),1),""))</f>
        <v/>
      </c>
      <c r="W95" s="39" t="str">
        <f aca="false">IF(OR(NOT(OR($G95="À migrer",$G95="À décommissionner")),$R95=""),"",IFERROR(DATE(YEAR($R95),MONTH($R95),1),""))</f>
        <v/>
      </c>
      <c r="X95" s="21" t="str">
        <f aca="false">IF(OR($V95="",$W95=""),"",MAX(0,(YEAR($W95)-YEAR($V95))*12+MONTH($W95)-MONTH($V95)))</f>
        <v/>
      </c>
      <c r="Y95" s="21" t="str">
        <f aca="false">IF($C95="","",COUNTIF(TblApplications[ID],$C95))</f>
        <v/>
      </c>
      <c r="Z95" s="39" t="str">
        <f aca="false">IF($C95="","",IFERROR(1/(1/_xlfn.MINIFS(TblApplications[Mois prov (calc)],TblApplications[ID],$C95)),""))</f>
        <v/>
      </c>
      <c r="AA95" s="39" t="str">
        <f aca="false">IF($C95="","",IFERROR(1/(1/_xlfn.MAXIFS(TblApplications[Mois lib (calc)],TblApplications[ID],$C95)),""))</f>
        <v/>
      </c>
      <c r="AB95" s="21" t="str">
        <f aca="false">IF($C95="","",IF(OR(OR($A95="",$B95="",$D95="",$E95="",$F95="",$G95=""),AND($G95="À migrer",OR($H95="",$I95="",$J95="",$K95="",$L95="",$N95="",$O95="",$P95="",$Q95="",$R95="")),AND($G95="Migré",OR($J95="",$K95="",$L95="")),AND($G95="À décommissionner",OR($I95="",$N95="",$O95="",$R95=""))),"Données manquantes (selon l’action)",IF(AND($G95&lt;&gt;"Migré",$G95&lt;&gt;"À migrer",$G95&lt;&gt;"À décommissionner",$G95&lt;&gt;"Décommissionné"),"Action invalide",IF(COUNTIF(TblDomaines[Domaine],$A95)=0,"Domaine inconnu (référentiel)",IF(COUNTIFS(TblTribes[Tribe],$B95,TblTribes[Domaine de la tribe],$A95)=0,"Tribe inconnue ou hors domaine",IF(AND($G95="À migrer",$H95&lt;&gt;"Oui",$H95&lt;&gt;"Non"),"Valeur Oui/Non invalide (Déjà incluse ROKS)",IF(AND($E95&lt;&gt;"PRD",$E95&lt;&gt;"NPRD"),"Environnement invalide",IF(COUNTIFS(TblApplications[ID],$C95,TblApplications[Environnement],$E95,TblApplications[Couloir],$F95)&gt;1,"Déploiement en doublon (ID + env + couloir)",IF(OR(AND($K95&lt;&gt;"",NOT(ISNUMBER($K95))),AND($L95&lt;&gt;"",NOT(ISNUMBER($L95))),AND($N95&lt;&gt;"",NOT(ISNUMBER($N95))),AND($O95&lt;&gt;"",NOT(ISNUMBER($O95)))),"Ressource non numérique",IF(MIN(N($K95),N($L95),N($N95),N($O95))&lt;0,"Ressource négative",IF(OR(AND($AC95&lt;&gt;"",OR(NOT(ISNUMBER($AC95)),$AC95&lt;0,$AC95&gt;1)),AND($AD95&lt;&gt;"",OR(NOT(ISNUMBER($AD95)),$AD95&lt;0,$AD95&gt;1))),"Marge spécifique invalide (0–100 %)",IF(OR(AND($P95&lt;&gt;"",NOT(ISNUMBER($P95))),AND($Q95&lt;&gt;"",NOT(ISNUMBER($Q95))),AND($R95&lt;&gt;"",NOT(ISNUMBER($R95)))),"Mois invalide",IF(AND(OR($G95="À migrer",$G95="À décommissionner"),COUNTIFS(TblClusters[Cluster],$I95,TblClusters[Plateforme],"IKS")=0),"Cluster IKS inconnu",IF(AND(OR($G95="À migrer",$G95="Migré"),COUNTIFS(TblClusters[Cluster],$J95,TblClusters[Plateforme],"ROKS")=0),"Cluster ROKS inconnu",IF(AND(OR($G95="À migrer",$G95="À décommissionner"),COUNTIFS(TblClusters[Cluster],$I95,TblClusters[Environnement],$E95)=0),"Environnement ≠ cluster IKS",IF(AND(OR($G95="À migrer",$G95="Migré"),COUNTIFS(TblClusters[Cluster],$J95,TblClusters[Environnement],$E95)=0),"Environnement ≠ cluster ROKS",IF(AND($G95="À migrer",OR($P95&gt;$Q95,$Q95&gt;$R95)),"Dates incohérentes (prov ≤ bascule ≤ libération)",IF(AND(OR($G95="À migrer",$G95="À décommissionner"),OR(N($N95)&gt;SUMIFS(TblClusters[CPU initial (vCPU)],TblClusters[Cluster],$I95),N($O95)&gt;SUMIFS(TblClusters[RAM initiale (Go)],TblClusters[Cluster],$I95))),"Libération &gt; capacité du cluster source",IF(OR(AND($V95&lt;&gt;"",$V95&lt;p_debut),AND($W95&lt;&gt;"",$W95&gt;p_fin)),"Hors horizon (info)",IF(AND($G95="À migrer",$E95="PRD",COUNTIFS(TblApplications[ID],$C95,TblApplications[Environnement],"NPRD",TblApplications[Action],"À migrer")&gt;0,$V95&lt;_xlfn.MINIFS(TblApplications[Mois prov (calc)],TblApplications[ID],$C95,TblApplications[Environnement],"NPRD")),"PRD avant NPRD (info)","OK"))))))))))))))))))))</f>
        <v/>
      </c>
      <c r="AC95" s="76"/>
      <c r="AD95" s="76"/>
      <c r="AE95" s="22" t="str">
        <f aca="false">IF(OR($C95="",NOT(OR($G95="À migrer",$G95="À décommissionner")),NOT(ISNUMBER($N95)),NOT(ISNUMBER($O95)),$W95=""),"",($N95+p_poidsram*$O95)*SUMIFS(TblCalculs[Coût par unité],TblCalculs[Cluster],$I95,TblCalculs[Mois],"&lt;"&amp;$W95))</f>
        <v/>
      </c>
      <c r="AF95" s="22" t="str">
        <f aca="false">IF($C95="","",IF(AND($G95="À migrer",$H95="Non",$T95&lt;&gt;"",$V95&lt;&gt;""),($T95+p_poidsram*$U95)*SUMIFS(TblCalculs[Coût par unité],TblCalculs[Cluster],$J95,TblCalculs[Mois],"&gt;="&amp;$V95),IF(AND($G95="Migré",$T95&lt;&gt;""),($T95+p_poidsram*$U95)*SUMIFS(TblCalculs[Coût par unité],TblCalculs[Cluster],$J95),"")))</f>
        <v/>
      </c>
      <c r="AG95" s="22" t="str">
        <f aca="false">IF($C95="","",N($AE95)+N($AF95))</f>
        <v/>
      </c>
      <c r="AH95" s="21" t="str">
        <f aca="false">IF(OR($C95="",$G95="Décommissionné",COUNTIFS($E95,av_envc,$A95,av_domc,$B95,av_tric)=0),"",COUNTIFS($C$6:$C95,"&lt;&gt;",$G$6:$G95,"&lt;&gt;Décommissionné",$E$6:$E95,av_envc,$A$6:$A95,av_domc,$B$6:$B95,av_tric))</f>
        <v/>
      </c>
      <c r="AI95" s="21" t="str">
        <f aca="false">IF($C95="","",IF(AND(OR($G95="À migrer",$G95="À décommissionner"),$W95&lt;&gt;"",$W95&gt;ex_mois),1,0))</f>
        <v/>
      </c>
      <c r="AJ95" s="21" t="str">
        <f aca="false">IF(OR($C95="",$AI95&lt;&gt;1,COUNTIFS($E95,ex_envc,$A95,ex_domc,$B95,ex_tric)=0),"",COUNTIFS($AI$6:$AI95,1,$E$6:$E95,ex_envc,$A$6:$A95,ex_domc,$B$6:$B95,ex_tric))</f>
        <v/>
      </c>
    </row>
    <row r="96" customFormat="false" ht="15" hidden="false" customHeight="false" outlineLevel="0" collapsed="false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5"/>
      <c r="Q96" s="75"/>
      <c r="R96" s="75"/>
      <c r="S96" s="74"/>
      <c r="T96" s="21" t="str">
        <f aca="false">IF(OR($C96="",NOT(OR($G96="À migrer",$G96="Migré")),NOT(ISNUMBER($K96))),"",ROUNDUP($K96*(1+IF($AC96="",p_margeCPU,$AC96)),0))</f>
        <v/>
      </c>
      <c r="U96" s="21" t="str">
        <f aca="false">IF(OR($C96="",NOT(OR($G96="À migrer",$G96="Migré")),NOT(ISNUMBER($L96))),"",ROUNDUP($L96*(1+IF($AD96="",p_margeRAM,$AD96)),0))</f>
        <v/>
      </c>
      <c r="V96" s="39" t="str">
        <f aca="false">IF(OR(NOT($G96="À migrer"),$P96=""),"",IFERROR(DATE(YEAR($P96),MONTH($P96),1),""))</f>
        <v/>
      </c>
      <c r="W96" s="39" t="str">
        <f aca="false">IF(OR(NOT(OR($G96="À migrer",$G96="À décommissionner")),$R96=""),"",IFERROR(DATE(YEAR($R96),MONTH($R96),1),""))</f>
        <v/>
      </c>
      <c r="X96" s="21" t="str">
        <f aca="false">IF(OR($V96="",$W96=""),"",MAX(0,(YEAR($W96)-YEAR($V96))*12+MONTH($W96)-MONTH($V96)))</f>
        <v/>
      </c>
      <c r="Y96" s="21" t="str">
        <f aca="false">IF($C96="","",COUNTIF(TblApplications[ID],$C96))</f>
        <v/>
      </c>
      <c r="Z96" s="39" t="str">
        <f aca="false">IF($C96="","",IFERROR(1/(1/_xlfn.MINIFS(TblApplications[Mois prov (calc)],TblApplications[ID],$C96)),""))</f>
        <v/>
      </c>
      <c r="AA96" s="39" t="str">
        <f aca="false">IF($C96="","",IFERROR(1/(1/_xlfn.MAXIFS(TblApplications[Mois lib (calc)],TblApplications[ID],$C96)),""))</f>
        <v/>
      </c>
      <c r="AB96" s="21" t="str">
        <f aca="false">IF($C96="","",IF(OR(OR($A96="",$B96="",$D96="",$E96="",$F96="",$G96=""),AND($G96="À migrer",OR($H96="",$I96="",$J96="",$K96="",$L96="",$N96="",$O96="",$P96="",$Q96="",$R96="")),AND($G96="Migré",OR($J96="",$K96="",$L96="")),AND($G96="À décommissionner",OR($I96="",$N96="",$O96="",$R96=""))),"Données manquantes (selon l’action)",IF(AND($G96&lt;&gt;"Migré",$G96&lt;&gt;"À migrer",$G96&lt;&gt;"À décommissionner",$G96&lt;&gt;"Décommissionné"),"Action invalide",IF(COUNTIF(TblDomaines[Domaine],$A96)=0,"Domaine inconnu (référentiel)",IF(COUNTIFS(TblTribes[Tribe],$B96,TblTribes[Domaine de la tribe],$A96)=0,"Tribe inconnue ou hors domaine",IF(AND($G96="À migrer",$H96&lt;&gt;"Oui",$H96&lt;&gt;"Non"),"Valeur Oui/Non invalide (Déjà incluse ROKS)",IF(AND($E96&lt;&gt;"PRD",$E96&lt;&gt;"NPRD"),"Environnement invalide",IF(COUNTIFS(TblApplications[ID],$C96,TblApplications[Environnement],$E96,TblApplications[Couloir],$F96)&gt;1,"Déploiement en doublon (ID + env + couloir)",IF(OR(AND($K96&lt;&gt;"",NOT(ISNUMBER($K96))),AND($L96&lt;&gt;"",NOT(ISNUMBER($L96))),AND($N96&lt;&gt;"",NOT(ISNUMBER($N96))),AND($O96&lt;&gt;"",NOT(ISNUMBER($O96)))),"Ressource non numérique",IF(MIN(N($K96),N($L96),N($N96),N($O96))&lt;0,"Ressource négative",IF(OR(AND($AC96&lt;&gt;"",OR(NOT(ISNUMBER($AC96)),$AC96&lt;0,$AC96&gt;1)),AND($AD96&lt;&gt;"",OR(NOT(ISNUMBER($AD96)),$AD96&lt;0,$AD96&gt;1))),"Marge spécifique invalide (0–100 %)",IF(OR(AND($P96&lt;&gt;"",NOT(ISNUMBER($P96))),AND($Q96&lt;&gt;"",NOT(ISNUMBER($Q96))),AND($R96&lt;&gt;"",NOT(ISNUMBER($R96)))),"Mois invalide",IF(AND(OR($G96="À migrer",$G96="À décommissionner"),COUNTIFS(TblClusters[Cluster],$I96,TblClusters[Plateforme],"IKS")=0),"Cluster IKS inconnu",IF(AND(OR($G96="À migrer",$G96="Migré"),COUNTIFS(TblClusters[Cluster],$J96,TblClusters[Plateforme],"ROKS")=0),"Cluster ROKS inconnu",IF(AND(OR($G96="À migrer",$G96="À décommissionner"),COUNTIFS(TblClusters[Cluster],$I96,TblClusters[Environnement],$E96)=0),"Environnement ≠ cluster IKS",IF(AND(OR($G96="À migrer",$G96="Migré"),COUNTIFS(TblClusters[Cluster],$J96,TblClusters[Environnement],$E96)=0),"Environnement ≠ cluster ROKS",IF(AND($G96="À migrer",OR($P96&gt;$Q96,$Q96&gt;$R96)),"Dates incohérentes (prov ≤ bascule ≤ libération)",IF(AND(OR($G96="À migrer",$G96="À décommissionner"),OR(N($N96)&gt;SUMIFS(TblClusters[CPU initial (vCPU)],TblClusters[Cluster],$I96),N($O96)&gt;SUMIFS(TblClusters[RAM initiale (Go)],TblClusters[Cluster],$I96))),"Libération &gt; capacité du cluster source",IF(OR(AND($V96&lt;&gt;"",$V96&lt;p_debut),AND($W96&lt;&gt;"",$W96&gt;p_fin)),"Hors horizon (info)",IF(AND($G96="À migrer",$E96="PRD",COUNTIFS(TblApplications[ID],$C96,TblApplications[Environnement],"NPRD",TblApplications[Action],"À migrer")&gt;0,$V96&lt;_xlfn.MINIFS(TblApplications[Mois prov (calc)],TblApplications[ID],$C96,TblApplications[Environnement],"NPRD")),"PRD avant NPRD (info)","OK"))))))))))))))))))))</f>
        <v/>
      </c>
      <c r="AC96" s="76"/>
      <c r="AD96" s="76"/>
      <c r="AE96" s="22" t="str">
        <f aca="false">IF(OR($C96="",NOT(OR($G96="À migrer",$G96="À décommissionner")),NOT(ISNUMBER($N96)),NOT(ISNUMBER($O96)),$W96=""),"",($N96+p_poidsram*$O96)*SUMIFS(TblCalculs[Coût par unité],TblCalculs[Cluster],$I96,TblCalculs[Mois],"&lt;"&amp;$W96))</f>
        <v/>
      </c>
      <c r="AF96" s="22" t="str">
        <f aca="false">IF($C96="","",IF(AND($G96="À migrer",$H96="Non",$T96&lt;&gt;"",$V96&lt;&gt;""),($T96+p_poidsram*$U96)*SUMIFS(TblCalculs[Coût par unité],TblCalculs[Cluster],$J96,TblCalculs[Mois],"&gt;="&amp;$V96),IF(AND($G96="Migré",$T96&lt;&gt;""),($T96+p_poidsram*$U96)*SUMIFS(TblCalculs[Coût par unité],TblCalculs[Cluster],$J96),"")))</f>
        <v/>
      </c>
      <c r="AG96" s="22" t="str">
        <f aca="false">IF($C96="","",N($AE96)+N($AF96))</f>
        <v/>
      </c>
      <c r="AH96" s="21" t="str">
        <f aca="false">IF(OR($C96="",$G96="Décommissionné",COUNTIFS($E96,av_envc,$A96,av_domc,$B96,av_tric)=0),"",COUNTIFS($C$6:$C96,"&lt;&gt;",$G$6:$G96,"&lt;&gt;Décommissionné",$E$6:$E96,av_envc,$A$6:$A96,av_domc,$B$6:$B96,av_tric))</f>
        <v/>
      </c>
      <c r="AI96" s="21" t="str">
        <f aca="false">IF($C96="","",IF(AND(OR($G96="À migrer",$G96="À décommissionner"),$W96&lt;&gt;"",$W96&gt;ex_mois),1,0))</f>
        <v/>
      </c>
      <c r="AJ96" s="21" t="str">
        <f aca="false">IF(OR($C96="",$AI96&lt;&gt;1,COUNTIFS($E96,ex_envc,$A96,ex_domc,$B96,ex_tric)=0),"",COUNTIFS($AI$6:$AI96,1,$E$6:$E96,ex_envc,$A$6:$A96,ex_domc,$B$6:$B96,ex_tric))</f>
        <v/>
      </c>
    </row>
    <row r="97" customFormat="false" ht="15" hidden="false" customHeight="false" outlineLevel="0" collapsed="false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5"/>
      <c r="Q97" s="75"/>
      <c r="R97" s="75"/>
      <c r="S97" s="74"/>
      <c r="T97" s="21" t="str">
        <f aca="false">IF(OR($C97="",NOT(OR($G97="À migrer",$G97="Migré")),NOT(ISNUMBER($K97))),"",ROUNDUP($K97*(1+IF($AC97="",p_margeCPU,$AC97)),0))</f>
        <v/>
      </c>
      <c r="U97" s="21" t="str">
        <f aca="false">IF(OR($C97="",NOT(OR($G97="À migrer",$G97="Migré")),NOT(ISNUMBER($L97))),"",ROUNDUP($L97*(1+IF($AD97="",p_margeRAM,$AD97)),0))</f>
        <v/>
      </c>
      <c r="V97" s="39" t="str">
        <f aca="false">IF(OR(NOT($G97="À migrer"),$P97=""),"",IFERROR(DATE(YEAR($P97),MONTH($P97),1),""))</f>
        <v/>
      </c>
      <c r="W97" s="39" t="str">
        <f aca="false">IF(OR(NOT(OR($G97="À migrer",$G97="À décommissionner")),$R97=""),"",IFERROR(DATE(YEAR($R97),MONTH($R97),1),""))</f>
        <v/>
      </c>
      <c r="X97" s="21" t="str">
        <f aca="false">IF(OR($V97="",$W97=""),"",MAX(0,(YEAR($W97)-YEAR($V97))*12+MONTH($W97)-MONTH($V97)))</f>
        <v/>
      </c>
      <c r="Y97" s="21" t="str">
        <f aca="false">IF($C97="","",COUNTIF(TblApplications[ID],$C97))</f>
        <v/>
      </c>
      <c r="Z97" s="39" t="str">
        <f aca="false">IF($C97="","",IFERROR(1/(1/_xlfn.MINIFS(TblApplications[Mois prov (calc)],TblApplications[ID],$C97)),""))</f>
        <v/>
      </c>
      <c r="AA97" s="39" t="str">
        <f aca="false">IF($C97="","",IFERROR(1/(1/_xlfn.MAXIFS(TblApplications[Mois lib (calc)],TblApplications[ID],$C97)),""))</f>
        <v/>
      </c>
      <c r="AB97" s="21" t="str">
        <f aca="false">IF($C97="","",IF(OR(OR($A97="",$B97="",$D97="",$E97="",$F97="",$G97=""),AND($G97="À migrer",OR($H97="",$I97="",$J97="",$K97="",$L97="",$N97="",$O97="",$P97="",$Q97="",$R97="")),AND($G97="Migré",OR($J97="",$K97="",$L97="")),AND($G97="À décommissionner",OR($I97="",$N97="",$O97="",$R97=""))),"Données manquantes (selon l’action)",IF(AND($G97&lt;&gt;"Migré",$G97&lt;&gt;"À migrer",$G97&lt;&gt;"À décommissionner",$G97&lt;&gt;"Décommissionné"),"Action invalide",IF(COUNTIF(TblDomaines[Domaine],$A97)=0,"Domaine inconnu (référentiel)",IF(COUNTIFS(TblTribes[Tribe],$B97,TblTribes[Domaine de la tribe],$A97)=0,"Tribe inconnue ou hors domaine",IF(AND($G97="À migrer",$H97&lt;&gt;"Oui",$H97&lt;&gt;"Non"),"Valeur Oui/Non invalide (Déjà incluse ROKS)",IF(AND($E97&lt;&gt;"PRD",$E97&lt;&gt;"NPRD"),"Environnement invalide",IF(COUNTIFS(TblApplications[ID],$C97,TblApplications[Environnement],$E97,TblApplications[Couloir],$F97)&gt;1,"Déploiement en doublon (ID + env + couloir)",IF(OR(AND($K97&lt;&gt;"",NOT(ISNUMBER($K97))),AND($L97&lt;&gt;"",NOT(ISNUMBER($L97))),AND($N97&lt;&gt;"",NOT(ISNUMBER($N97))),AND($O97&lt;&gt;"",NOT(ISNUMBER($O97)))),"Ressource non numérique",IF(MIN(N($K97),N($L97),N($N97),N($O97))&lt;0,"Ressource négative",IF(OR(AND($AC97&lt;&gt;"",OR(NOT(ISNUMBER($AC97)),$AC97&lt;0,$AC97&gt;1)),AND($AD97&lt;&gt;"",OR(NOT(ISNUMBER($AD97)),$AD97&lt;0,$AD97&gt;1))),"Marge spécifique invalide (0–100 %)",IF(OR(AND($P97&lt;&gt;"",NOT(ISNUMBER($P97))),AND($Q97&lt;&gt;"",NOT(ISNUMBER($Q97))),AND($R97&lt;&gt;"",NOT(ISNUMBER($R97)))),"Mois invalide",IF(AND(OR($G97="À migrer",$G97="À décommissionner"),COUNTIFS(TblClusters[Cluster],$I97,TblClusters[Plateforme],"IKS")=0),"Cluster IKS inconnu",IF(AND(OR($G97="À migrer",$G97="Migré"),COUNTIFS(TblClusters[Cluster],$J97,TblClusters[Plateforme],"ROKS")=0),"Cluster ROKS inconnu",IF(AND(OR($G97="À migrer",$G97="À décommissionner"),COUNTIFS(TblClusters[Cluster],$I97,TblClusters[Environnement],$E97)=0),"Environnement ≠ cluster IKS",IF(AND(OR($G97="À migrer",$G97="Migré"),COUNTIFS(TblClusters[Cluster],$J97,TblClusters[Environnement],$E97)=0),"Environnement ≠ cluster ROKS",IF(AND($G97="À migrer",OR($P97&gt;$Q97,$Q97&gt;$R97)),"Dates incohérentes (prov ≤ bascule ≤ libération)",IF(AND(OR($G97="À migrer",$G97="À décommissionner"),OR(N($N97)&gt;SUMIFS(TblClusters[CPU initial (vCPU)],TblClusters[Cluster],$I97),N($O97)&gt;SUMIFS(TblClusters[RAM initiale (Go)],TblClusters[Cluster],$I97))),"Libération &gt; capacité du cluster source",IF(OR(AND($V97&lt;&gt;"",$V97&lt;p_debut),AND($W97&lt;&gt;"",$W97&gt;p_fin)),"Hors horizon (info)",IF(AND($G97="À migrer",$E97="PRD",COUNTIFS(TblApplications[ID],$C97,TblApplications[Environnement],"NPRD",TblApplications[Action],"À migrer")&gt;0,$V97&lt;_xlfn.MINIFS(TblApplications[Mois prov (calc)],TblApplications[ID],$C97,TblApplications[Environnement],"NPRD")),"PRD avant NPRD (info)","OK"))))))))))))))))))))</f>
        <v/>
      </c>
      <c r="AC97" s="76"/>
      <c r="AD97" s="76"/>
      <c r="AE97" s="22" t="str">
        <f aca="false">IF(OR($C97="",NOT(OR($G97="À migrer",$G97="À décommissionner")),NOT(ISNUMBER($N97)),NOT(ISNUMBER($O97)),$W97=""),"",($N97+p_poidsram*$O97)*SUMIFS(TblCalculs[Coût par unité],TblCalculs[Cluster],$I97,TblCalculs[Mois],"&lt;"&amp;$W97))</f>
        <v/>
      </c>
      <c r="AF97" s="22" t="str">
        <f aca="false">IF($C97="","",IF(AND($G97="À migrer",$H97="Non",$T97&lt;&gt;"",$V97&lt;&gt;""),($T97+p_poidsram*$U97)*SUMIFS(TblCalculs[Coût par unité],TblCalculs[Cluster],$J97,TblCalculs[Mois],"&gt;="&amp;$V97),IF(AND($G97="Migré",$T97&lt;&gt;""),($T97+p_poidsram*$U97)*SUMIFS(TblCalculs[Coût par unité],TblCalculs[Cluster],$J97),"")))</f>
        <v/>
      </c>
      <c r="AG97" s="22" t="str">
        <f aca="false">IF($C97="","",N($AE97)+N($AF97))</f>
        <v/>
      </c>
      <c r="AH97" s="21" t="str">
        <f aca="false">IF(OR($C97="",$G97="Décommissionné",COUNTIFS($E97,av_envc,$A97,av_domc,$B97,av_tric)=0),"",COUNTIFS($C$6:$C97,"&lt;&gt;",$G$6:$G97,"&lt;&gt;Décommissionné",$E$6:$E97,av_envc,$A$6:$A97,av_domc,$B$6:$B97,av_tric))</f>
        <v/>
      </c>
      <c r="AI97" s="21" t="str">
        <f aca="false">IF($C97="","",IF(AND(OR($G97="À migrer",$G97="À décommissionner"),$W97&lt;&gt;"",$W97&gt;ex_mois),1,0))</f>
        <v/>
      </c>
      <c r="AJ97" s="21" t="str">
        <f aca="false">IF(OR($C97="",$AI97&lt;&gt;1,COUNTIFS($E97,ex_envc,$A97,ex_domc,$B97,ex_tric)=0),"",COUNTIFS($AI$6:$AI97,1,$E$6:$E97,ex_envc,$A$6:$A97,ex_domc,$B$6:$B97,ex_tric))</f>
        <v/>
      </c>
    </row>
    <row r="98" customFormat="false" ht="15" hidden="false" customHeight="false" outlineLevel="0" collapsed="false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5"/>
      <c r="Q98" s="75"/>
      <c r="R98" s="75"/>
      <c r="S98" s="74"/>
      <c r="T98" s="21" t="str">
        <f aca="false">IF(OR($C98="",NOT(OR($G98="À migrer",$G98="Migré")),NOT(ISNUMBER($K98))),"",ROUNDUP($K98*(1+IF($AC98="",p_margeCPU,$AC98)),0))</f>
        <v/>
      </c>
      <c r="U98" s="21" t="str">
        <f aca="false">IF(OR($C98="",NOT(OR($G98="À migrer",$G98="Migré")),NOT(ISNUMBER($L98))),"",ROUNDUP($L98*(1+IF($AD98="",p_margeRAM,$AD98)),0))</f>
        <v/>
      </c>
      <c r="V98" s="39" t="str">
        <f aca="false">IF(OR(NOT($G98="À migrer"),$P98=""),"",IFERROR(DATE(YEAR($P98),MONTH($P98),1),""))</f>
        <v/>
      </c>
      <c r="W98" s="39" t="str">
        <f aca="false">IF(OR(NOT(OR($G98="À migrer",$G98="À décommissionner")),$R98=""),"",IFERROR(DATE(YEAR($R98),MONTH($R98),1),""))</f>
        <v/>
      </c>
      <c r="X98" s="21" t="str">
        <f aca="false">IF(OR($V98="",$W98=""),"",MAX(0,(YEAR($W98)-YEAR($V98))*12+MONTH($W98)-MONTH($V98)))</f>
        <v/>
      </c>
      <c r="Y98" s="21" t="str">
        <f aca="false">IF($C98="","",COUNTIF(TblApplications[ID],$C98))</f>
        <v/>
      </c>
      <c r="Z98" s="39" t="str">
        <f aca="false">IF($C98="","",IFERROR(1/(1/_xlfn.MINIFS(TblApplications[Mois prov (calc)],TblApplications[ID],$C98)),""))</f>
        <v/>
      </c>
      <c r="AA98" s="39" t="str">
        <f aca="false">IF($C98="","",IFERROR(1/(1/_xlfn.MAXIFS(TblApplications[Mois lib (calc)],TblApplications[ID],$C98)),""))</f>
        <v/>
      </c>
      <c r="AB98" s="21" t="str">
        <f aca="false">IF($C98="","",IF(OR(OR($A98="",$B98="",$D98="",$E98="",$F98="",$G98=""),AND($G98="À migrer",OR($H98="",$I98="",$J98="",$K98="",$L98="",$N98="",$O98="",$P98="",$Q98="",$R98="")),AND($G98="Migré",OR($J98="",$K98="",$L98="")),AND($G98="À décommissionner",OR($I98="",$N98="",$O98="",$R98=""))),"Données manquantes (selon l’action)",IF(AND($G98&lt;&gt;"Migré",$G98&lt;&gt;"À migrer",$G98&lt;&gt;"À décommissionner",$G98&lt;&gt;"Décommissionné"),"Action invalide",IF(COUNTIF(TblDomaines[Domaine],$A98)=0,"Domaine inconnu (référentiel)",IF(COUNTIFS(TblTribes[Tribe],$B98,TblTribes[Domaine de la tribe],$A98)=0,"Tribe inconnue ou hors domaine",IF(AND($G98="À migrer",$H98&lt;&gt;"Oui",$H98&lt;&gt;"Non"),"Valeur Oui/Non invalide (Déjà incluse ROKS)",IF(AND($E98&lt;&gt;"PRD",$E98&lt;&gt;"NPRD"),"Environnement invalide",IF(COUNTIFS(TblApplications[ID],$C98,TblApplications[Environnement],$E98,TblApplications[Couloir],$F98)&gt;1,"Déploiement en doublon (ID + env + couloir)",IF(OR(AND($K98&lt;&gt;"",NOT(ISNUMBER($K98))),AND($L98&lt;&gt;"",NOT(ISNUMBER($L98))),AND($N98&lt;&gt;"",NOT(ISNUMBER($N98))),AND($O98&lt;&gt;"",NOT(ISNUMBER($O98)))),"Ressource non numérique",IF(MIN(N($K98),N($L98),N($N98),N($O98))&lt;0,"Ressource négative",IF(OR(AND($AC98&lt;&gt;"",OR(NOT(ISNUMBER($AC98)),$AC98&lt;0,$AC98&gt;1)),AND($AD98&lt;&gt;"",OR(NOT(ISNUMBER($AD98)),$AD98&lt;0,$AD98&gt;1))),"Marge spécifique invalide (0–100 %)",IF(OR(AND($P98&lt;&gt;"",NOT(ISNUMBER($P98))),AND($Q98&lt;&gt;"",NOT(ISNUMBER($Q98))),AND($R98&lt;&gt;"",NOT(ISNUMBER($R98)))),"Mois invalide",IF(AND(OR($G98="À migrer",$G98="À décommissionner"),COUNTIFS(TblClusters[Cluster],$I98,TblClusters[Plateforme],"IKS")=0),"Cluster IKS inconnu",IF(AND(OR($G98="À migrer",$G98="Migré"),COUNTIFS(TblClusters[Cluster],$J98,TblClusters[Plateforme],"ROKS")=0),"Cluster ROKS inconnu",IF(AND(OR($G98="À migrer",$G98="À décommissionner"),COUNTIFS(TblClusters[Cluster],$I98,TblClusters[Environnement],$E98)=0),"Environnement ≠ cluster IKS",IF(AND(OR($G98="À migrer",$G98="Migré"),COUNTIFS(TblClusters[Cluster],$J98,TblClusters[Environnement],$E98)=0),"Environnement ≠ cluster ROKS",IF(AND($G98="À migrer",OR($P98&gt;$Q98,$Q98&gt;$R98)),"Dates incohérentes (prov ≤ bascule ≤ libération)",IF(AND(OR($G98="À migrer",$G98="À décommissionner"),OR(N($N98)&gt;SUMIFS(TblClusters[CPU initial (vCPU)],TblClusters[Cluster],$I98),N($O98)&gt;SUMIFS(TblClusters[RAM initiale (Go)],TblClusters[Cluster],$I98))),"Libération &gt; capacité du cluster source",IF(OR(AND($V98&lt;&gt;"",$V98&lt;p_debut),AND($W98&lt;&gt;"",$W98&gt;p_fin)),"Hors horizon (info)",IF(AND($G98="À migrer",$E98="PRD",COUNTIFS(TblApplications[ID],$C98,TblApplications[Environnement],"NPRD",TblApplications[Action],"À migrer")&gt;0,$V98&lt;_xlfn.MINIFS(TblApplications[Mois prov (calc)],TblApplications[ID],$C98,TblApplications[Environnement],"NPRD")),"PRD avant NPRD (info)","OK"))))))))))))))))))))</f>
        <v/>
      </c>
      <c r="AC98" s="76"/>
      <c r="AD98" s="76"/>
      <c r="AE98" s="22" t="str">
        <f aca="false">IF(OR($C98="",NOT(OR($G98="À migrer",$G98="À décommissionner")),NOT(ISNUMBER($N98)),NOT(ISNUMBER($O98)),$W98=""),"",($N98+p_poidsram*$O98)*SUMIFS(TblCalculs[Coût par unité],TblCalculs[Cluster],$I98,TblCalculs[Mois],"&lt;"&amp;$W98))</f>
        <v/>
      </c>
      <c r="AF98" s="22" t="str">
        <f aca="false">IF($C98="","",IF(AND($G98="À migrer",$H98="Non",$T98&lt;&gt;"",$V98&lt;&gt;""),($T98+p_poidsram*$U98)*SUMIFS(TblCalculs[Coût par unité],TblCalculs[Cluster],$J98,TblCalculs[Mois],"&gt;="&amp;$V98),IF(AND($G98="Migré",$T98&lt;&gt;""),($T98+p_poidsram*$U98)*SUMIFS(TblCalculs[Coût par unité],TblCalculs[Cluster],$J98),"")))</f>
        <v/>
      </c>
      <c r="AG98" s="22" t="str">
        <f aca="false">IF($C98="","",N($AE98)+N($AF98))</f>
        <v/>
      </c>
      <c r="AH98" s="21" t="str">
        <f aca="false">IF(OR($C98="",$G98="Décommissionné",COUNTIFS($E98,av_envc,$A98,av_domc,$B98,av_tric)=0),"",COUNTIFS($C$6:$C98,"&lt;&gt;",$G$6:$G98,"&lt;&gt;Décommissionné",$E$6:$E98,av_envc,$A$6:$A98,av_domc,$B$6:$B98,av_tric))</f>
        <v/>
      </c>
      <c r="AI98" s="21" t="str">
        <f aca="false">IF($C98="","",IF(AND(OR($G98="À migrer",$G98="À décommissionner"),$W98&lt;&gt;"",$W98&gt;ex_mois),1,0))</f>
        <v/>
      </c>
      <c r="AJ98" s="21" t="str">
        <f aca="false">IF(OR($C98="",$AI98&lt;&gt;1,COUNTIFS($E98,ex_envc,$A98,ex_domc,$B98,ex_tric)=0),"",COUNTIFS($AI$6:$AI98,1,$E$6:$E98,ex_envc,$A$6:$A98,ex_domc,$B$6:$B98,ex_tric))</f>
        <v/>
      </c>
    </row>
    <row r="99" customFormat="false" ht="15" hidden="false" customHeight="false" outlineLevel="0" collapsed="false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5"/>
      <c r="Q99" s="75"/>
      <c r="R99" s="75"/>
      <c r="S99" s="74"/>
      <c r="T99" s="21" t="str">
        <f aca="false">IF(OR($C99="",NOT(OR($G99="À migrer",$G99="Migré")),NOT(ISNUMBER($K99))),"",ROUNDUP($K99*(1+IF($AC99="",p_margeCPU,$AC99)),0))</f>
        <v/>
      </c>
      <c r="U99" s="21" t="str">
        <f aca="false">IF(OR($C99="",NOT(OR($G99="À migrer",$G99="Migré")),NOT(ISNUMBER($L99))),"",ROUNDUP($L99*(1+IF($AD99="",p_margeRAM,$AD99)),0))</f>
        <v/>
      </c>
      <c r="V99" s="39" t="str">
        <f aca="false">IF(OR(NOT($G99="À migrer"),$P99=""),"",IFERROR(DATE(YEAR($P99),MONTH($P99),1),""))</f>
        <v/>
      </c>
      <c r="W99" s="39" t="str">
        <f aca="false">IF(OR(NOT(OR($G99="À migrer",$G99="À décommissionner")),$R99=""),"",IFERROR(DATE(YEAR($R99),MONTH($R99),1),""))</f>
        <v/>
      </c>
      <c r="X99" s="21" t="str">
        <f aca="false">IF(OR($V99="",$W99=""),"",MAX(0,(YEAR($W99)-YEAR($V99))*12+MONTH($W99)-MONTH($V99)))</f>
        <v/>
      </c>
      <c r="Y99" s="21" t="str">
        <f aca="false">IF($C99="","",COUNTIF(TblApplications[ID],$C99))</f>
        <v/>
      </c>
      <c r="Z99" s="39" t="str">
        <f aca="false">IF($C99="","",IFERROR(1/(1/_xlfn.MINIFS(TblApplications[Mois prov (calc)],TblApplications[ID],$C99)),""))</f>
        <v/>
      </c>
      <c r="AA99" s="39" t="str">
        <f aca="false">IF($C99="","",IFERROR(1/(1/_xlfn.MAXIFS(TblApplications[Mois lib (calc)],TblApplications[ID],$C99)),""))</f>
        <v/>
      </c>
      <c r="AB99" s="21" t="str">
        <f aca="false">IF($C99="","",IF(OR(OR($A99="",$B99="",$D99="",$E99="",$F99="",$G99=""),AND($G99="À migrer",OR($H99="",$I99="",$J99="",$K99="",$L99="",$N99="",$O99="",$P99="",$Q99="",$R99="")),AND($G99="Migré",OR($J99="",$K99="",$L99="")),AND($G99="À décommissionner",OR($I99="",$N99="",$O99="",$R99=""))),"Données manquantes (selon l’action)",IF(AND($G99&lt;&gt;"Migré",$G99&lt;&gt;"À migrer",$G99&lt;&gt;"À décommissionner",$G99&lt;&gt;"Décommissionné"),"Action invalide",IF(COUNTIF(TblDomaines[Domaine],$A99)=0,"Domaine inconnu (référentiel)",IF(COUNTIFS(TblTribes[Tribe],$B99,TblTribes[Domaine de la tribe],$A99)=0,"Tribe inconnue ou hors domaine",IF(AND($G99="À migrer",$H99&lt;&gt;"Oui",$H99&lt;&gt;"Non"),"Valeur Oui/Non invalide (Déjà incluse ROKS)",IF(AND($E99&lt;&gt;"PRD",$E99&lt;&gt;"NPRD"),"Environnement invalide",IF(COUNTIFS(TblApplications[ID],$C99,TblApplications[Environnement],$E99,TblApplications[Couloir],$F99)&gt;1,"Déploiement en doublon (ID + env + couloir)",IF(OR(AND($K99&lt;&gt;"",NOT(ISNUMBER($K99))),AND($L99&lt;&gt;"",NOT(ISNUMBER($L99))),AND($N99&lt;&gt;"",NOT(ISNUMBER($N99))),AND($O99&lt;&gt;"",NOT(ISNUMBER($O99)))),"Ressource non numérique",IF(MIN(N($K99),N($L99),N($N99),N($O99))&lt;0,"Ressource négative",IF(OR(AND($AC99&lt;&gt;"",OR(NOT(ISNUMBER($AC99)),$AC99&lt;0,$AC99&gt;1)),AND($AD99&lt;&gt;"",OR(NOT(ISNUMBER($AD99)),$AD99&lt;0,$AD99&gt;1))),"Marge spécifique invalide (0–100 %)",IF(OR(AND($P99&lt;&gt;"",NOT(ISNUMBER($P99))),AND($Q99&lt;&gt;"",NOT(ISNUMBER($Q99))),AND($R99&lt;&gt;"",NOT(ISNUMBER($R99)))),"Mois invalide",IF(AND(OR($G99="À migrer",$G99="À décommissionner"),COUNTIFS(TblClusters[Cluster],$I99,TblClusters[Plateforme],"IKS")=0),"Cluster IKS inconnu",IF(AND(OR($G99="À migrer",$G99="Migré"),COUNTIFS(TblClusters[Cluster],$J99,TblClusters[Plateforme],"ROKS")=0),"Cluster ROKS inconnu",IF(AND(OR($G99="À migrer",$G99="À décommissionner"),COUNTIFS(TblClusters[Cluster],$I99,TblClusters[Environnement],$E99)=0),"Environnement ≠ cluster IKS",IF(AND(OR($G99="À migrer",$G99="Migré"),COUNTIFS(TblClusters[Cluster],$J99,TblClusters[Environnement],$E99)=0),"Environnement ≠ cluster ROKS",IF(AND($G99="À migrer",OR($P99&gt;$Q99,$Q99&gt;$R99)),"Dates incohérentes (prov ≤ bascule ≤ libération)",IF(AND(OR($G99="À migrer",$G99="À décommissionner"),OR(N($N99)&gt;SUMIFS(TblClusters[CPU initial (vCPU)],TblClusters[Cluster],$I99),N($O99)&gt;SUMIFS(TblClusters[RAM initiale (Go)],TblClusters[Cluster],$I99))),"Libération &gt; capacité du cluster source",IF(OR(AND($V99&lt;&gt;"",$V99&lt;p_debut),AND($W99&lt;&gt;"",$W99&gt;p_fin)),"Hors horizon (info)",IF(AND($G99="À migrer",$E99="PRD",COUNTIFS(TblApplications[ID],$C99,TblApplications[Environnement],"NPRD",TblApplications[Action],"À migrer")&gt;0,$V99&lt;_xlfn.MINIFS(TblApplications[Mois prov (calc)],TblApplications[ID],$C99,TblApplications[Environnement],"NPRD")),"PRD avant NPRD (info)","OK"))))))))))))))))))))</f>
        <v/>
      </c>
      <c r="AC99" s="76"/>
      <c r="AD99" s="76"/>
      <c r="AE99" s="22" t="str">
        <f aca="false">IF(OR($C99="",NOT(OR($G99="À migrer",$G99="À décommissionner")),NOT(ISNUMBER($N99)),NOT(ISNUMBER($O99)),$W99=""),"",($N99+p_poidsram*$O99)*SUMIFS(TblCalculs[Coût par unité],TblCalculs[Cluster],$I99,TblCalculs[Mois],"&lt;"&amp;$W99))</f>
        <v/>
      </c>
      <c r="AF99" s="22" t="str">
        <f aca="false">IF($C99="","",IF(AND($G99="À migrer",$H99="Non",$T99&lt;&gt;"",$V99&lt;&gt;""),($T99+p_poidsram*$U99)*SUMIFS(TblCalculs[Coût par unité],TblCalculs[Cluster],$J99,TblCalculs[Mois],"&gt;="&amp;$V99),IF(AND($G99="Migré",$T99&lt;&gt;""),($T99+p_poidsram*$U99)*SUMIFS(TblCalculs[Coût par unité],TblCalculs[Cluster],$J99),"")))</f>
        <v/>
      </c>
      <c r="AG99" s="22" t="str">
        <f aca="false">IF($C99="","",N($AE99)+N($AF99))</f>
        <v/>
      </c>
      <c r="AH99" s="21" t="str">
        <f aca="false">IF(OR($C99="",$G99="Décommissionné",COUNTIFS($E99,av_envc,$A99,av_domc,$B99,av_tric)=0),"",COUNTIFS($C$6:$C99,"&lt;&gt;",$G$6:$G99,"&lt;&gt;Décommissionné",$E$6:$E99,av_envc,$A$6:$A99,av_domc,$B$6:$B99,av_tric))</f>
        <v/>
      </c>
      <c r="AI99" s="21" t="str">
        <f aca="false">IF($C99="","",IF(AND(OR($G99="À migrer",$G99="À décommissionner"),$W99&lt;&gt;"",$W99&gt;ex_mois),1,0))</f>
        <v/>
      </c>
      <c r="AJ99" s="21" t="str">
        <f aca="false">IF(OR($C99="",$AI99&lt;&gt;1,COUNTIFS($E99,ex_envc,$A99,ex_domc,$B99,ex_tric)=0),"",COUNTIFS($AI$6:$AI99,1,$E$6:$E99,ex_envc,$A$6:$A99,ex_domc,$B$6:$B99,ex_tric))</f>
        <v/>
      </c>
    </row>
    <row r="100" customFormat="false" ht="15" hidden="false" customHeight="false" outlineLevel="0" collapsed="false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5"/>
      <c r="Q100" s="75"/>
      <c r="R100" s="75"/>
      <c r="S100" s="74"/>
      <c r="T100" s="21" t="str">
        <f aca="false">IF(OR($C100="",NOT(OR($G100="À migrer",$G100="Migré")),NOT(ISNUMBER($K100))),"",ROUNDUP($K100*(1+IF($AC100="",p_margeCPU,$AC100)),0))</f>
        <v/>
      </c>
      <c r="U100" s="21" t="str">
        <f aca="false">IF(OR($C100="",NOT(OR($G100="À migrer",$G100="Migré")),NOT(ISNUMBER($L100))),"",ROUNDUP($L100*(1+IF($AD100="",p_margeRAM,$AD100)),0))</f>
        <v/>
      </c>
      <c r="V100" s="39" t="str">
        <f aca="false">IF(OR(NOT($G100="À migrer"),$P100=""),"",IFERROR(DATE(YEAR($P100),MONTH($P100),1),""))</f>
        <v/>
      </c>
      <c r="W100" s="39" t="str">
        <f aca="false">IF(OR(NOT(OR($G100="À migrer",$G100="À décommissionner")),$R100=""),"",IFERROR(DATE(YEAR($R100),MONTH($R100),1),""))</f>
        <v/>
      </c>
      <c r="X100" s="21" t="str">
        <f aca="false">IF(OR($V100="",$W100=""),"",MAX(0,(YEAR($W100)-YEAR($V100))*12+MONTH($W100)-MONTH($V100)))</f>
        <v/>
      </c>
      <c r="Y100" s="21" t="str">
        <f aca="false">IF($C100="","",COUNTIF(TblApplications[ID],$C100))</f>
        <v/>
      </c>
      <c r="Z100" s="39" t="str">
        <f aca="false">IF($C100="","",IFERROR(1/(1/_xlfn.MINIFS(TblApplications[Mois prov (calc)],TblApplications[ID],$C100)),""))</f>
        <v/>
      </c>
      <c r="AA100" s="39" t="str">
        <f aca="false">IF($C100="","",IFERROR(1/(1/_xlfn.MAXIFS(TblApplications[Mois lib (calc)],TblApplications[ID],$C100)),""))</f>
        <v/>
      </c>
      <c r="AB100" s="21" t="str">
        <f aca="false">IF($C100="","",IF(OR(OR($A100="",$B100="",$D100="",$E100="",$F100="",$G100=""),AND($G100="À migrer",OR($H100="",$I100="",$J100="",$K100="",$L100="",$N100="",$O100="",$P100="",$Q100="",$R100="")),AND($G100="Migré",OR($J100="",$K100="",$L100="")),AND($G100="À décommissionner",OR($I100="",$N100="",$O100="",$R100=""))),"Données manquantes (selon l’action)",IF(AND($G100&lt;&gt;"Migré",$G100&lt;&gt;"À migrer",$G100&lt;&gt;"À décommissionner",$G100&lt;&gt;"Décommissionné"),"Action invalide",IF(COUNTIF(TblDomaines[Domaine],$A100)=0,"Domaine inconnu (référentiel)",IF(COUNTIFS(TblTribes[Tribe],$B100,TblTribes[Domaine de la tribe],$A100)=0,"Tribe inconnue ou hors domaine",IF(AND($G100="À migrer",$H100&lt;&gt;"Oui",$H100&lt;&gt;"Non"),"Valeur Oui/Non invalide (Déjà incluse ROKS)",IF(AND($E100&lt;&gt;"PRD",$E100&lt;&gt;"NPRD"),"Environnement invalide",IF(COUNTIFS(TblApplications[ID],$C100,TblApplications[Environnement],$E100,TblApplications[Couloir],$F100)&gt;1,"Déploiement en doublon (ID + env + couloir)",IF(OR(AND($K100&lt;&gt;"",NOT(ISNUMBER($K100))),AND($L100&lt;&gt;"",NOT(ISNUMBER($L100))),AND($N100&lt;&gt;"",NOT(ISNUMBER($N100))),AND($O100&lt;&gt;"",NOT(ISNUMBER($O100)))),"Ressource non numérique",IF(MIN(N($K100),N($L100),N($N100),N($O100))&lt;0,"Ressource négative",IF(OR(AND($AC100&lt;&gt;"",OR(NOT(ISNUMBER($AC100)),$AC100&lt;0,$AC100&gt;1)),AND($AD100&lt;&gt;"",OR(NOT(ISNUMBER($AD100)),$AD100&lt;0,$AD100&gt;1))),"Marge spécifique invalide (0–100 %)",IF(OR(AND($P100&lt;&gt;"",NOT(ISNUMBER($P100))),AND($Q100&lt;&gt;"",NOT(ISNUMBER($Q100))),AND($R100&lt;&gt;"",NOT(ISNUMBER($R100)))),"Mois invalide",IF(AND(OR($G100="À migrer",$G100="À décommissionner"),COUNTIFS(TblClusters[Cluster],$I100,TblClusters[Plateforme],"IKS")=0),"Cluster IKS inconnu",IF(AND(OR($G100="À migrer",$G100="Migré"),COUNTIFS(TblClusters[Cluster],$J100,TblClusters[Plateforme],"ROKS")=0),"Cluster ROKS inconnu",IF(AND(OR($G100="À migrer",$G100="À décommissionner"),COUNTIFS(TblClusters[Cluster],$I100,TblClusters[Environnement],$E100)=0),"Environnement ≠ cluster IKS",IF(AND(OR($G100="À migrer",$G100="Migré"),COUNTIFS(TblClusters[Cluster],$J100,TblClusters[Environnement],$E100)=0),"Environnement ≠ cluster ROKS",IF(AND($G100="À migrer",OR($P100&gt;$Q100,$Q100&gt;$R100)),"Dates incohérentes (prov ≤ bascule ≤ libération)",IF(AND(OR($G100="À migrer",$G100="À décommissionner"),OR(N($N100)&gt;SUMIFS(TblClusters[CPU initial (vCPU)],TblClusters[Cluster],$I100),N($O100)&gt;SUMIFS(TblClusters[RAM initiale (Go)],TblClusters[Cluster],$I100))),"Libération &gt; capacité du cluster source",IF(OR(AND($V100&lt;&gt;"",$V100&lt;p_debut),AND($W100&lt;&gt;"",$W100&gt;p_fin)),"Hors horizon (info)",IF(AND($G100="À migrer",$E100="PRD",COUNTIFS(TblApplications[ID],$C100,TblApplications[Environnement],"NPRD",TblApplications[Action],"À migrer")&gt;0,$V100&lt;_xlfn.MINIFS(TblApplications[Mois prov (calc)],TblApplications[ID],$C100,TblApplications[Environnement],"NPRD")),"PRD avant NPRD (info)","OK"))))))))))))))))))))</f>
        <v/>
      </c>
      <c r="AC100" s="76"/>
      <c r="AD100" s="76"/>
      <c r="AE100" s="22" t="str">
        <f aca="false">IF(OR($C100="",NOT(OR($G100="À migrer",$G100="À décommissionner")),NOT(ISNUMBER($N100)),NOT(ISNUMBER($O100)),$W100=""),"",($N100+p_poidsram*$O100)*SUMIFS(TblCalculs[Coût par unité],TblCalculs[Cluster],$I100,TblCalculs[Mois],"&lt;"&amp;$W100))</f>
        <v/>
      </c>
      <c r="AF100" s="22" t="str">
        <f aca="false">IF($C100="","",IF(AND($G100="À migrer",$H100="Non",$T100&lt;&gt;"",$V100&lt;&gt;""),($T100+p_poidsram*$U100)*SUMIFS(TblCalculs[Coût par unité],TblCalculs[Cluster],$J100,TblCalculs[Mois],"&gt;="&amp;$V100),IF(AND($G100="Migré",$T100&lt;&gt;""),($T100+p_poidsram*$U100)*SUMIFS(TblCalculs[Coût par unité],TblCalculs[Cluster],$J100),"")))</f>
        <v/>
      </c>
      <c r="AG100" s="22" t="str">
        <f aca="false">IF($C100="","",N($AE100)+N($AF100))</f>
        <v/>
      </c>
      <c r="AH100" s="21" t="str">
        <f aca="false">IF(OR($C100="",$G100="Décommissionné",COUNTIFS($E100,av_envc,$A100,av_domc,$B100,av_tric)=0),"",COUNTIFS($C$6:$C100,"&lt;&gt;",$G$6:$G100,"&lt;&gt;Décommissionné",$E$6:$E100,av_envc,$A$6:$A100,av_domc,$B$6:$B100,av_tric))</f>
        <v/>
      </c>
      <c r="AI100" s="21" t="str">
        <f aca="false">IF($C100="","",IF(AND(OR($G100="À migrer",$G100="À décommissionner"),$W100&lt;&gt;"",$W100&gt;ex_mois),1,0))</f>
        <v/>
      </c>
      <c r="AJ100" s="21" t="str">
        <f aca="false">IF(OR($C100="",$AI100&lt;&gt;1,COUNTIFS($E100,ex_envc,$A100,ex_domc,$B100,ex_tric)=0),"",COUNTIFS($AI$6:$AI100,1,$E$6:$E100,ex_envc,$A$6:$A100,ex_domc,$B$6:$B100,ex_tric))</f>
        <v/>
      </c>
    </row>
    <row r="101" customFormat="false" ht="15" hidden="false" customHeight="false" outlineLevel="0" collapsed="false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5"/>
      <c r="Q101" s="75"/>
      <c r="R101" s="75"/>
      <c r="S101" s="74"/>
      <c r="T101" s="21" t="str">
        <f aca="false">IF(OR($C101="",NOT(OR($G101="À migrer",$G101="Migré")),NOT(ISNUMBER($K101))),"",ROUNDUP($K101*(1+IF($AC101="",p_margeCPU,$AC101)),0))</f>
        <v/>
      </c>
      <c r="U101" s="21" t="str">
        <f aca="false">IF(OR($C101="",NOT(OR($G101="À migrer",$G101="Migré")),NOT(ISNUMBER($L101))),"",ROUNDUP($L101*(1+IF($AD101="",p_margeRAM,$AD101)),0))</f>
        <v/>
      </c>
      <c r="V101" s="39" t="str">
        <f aca="false">IF(OR(NOT($G101="À migrer"),$P101=""),"",IFERROR(DATE(YEAR($P101),MONTH($P101),1),""))</f>
        <v/>
      </c>
      <c r="W101" s="39" t="str">
        <f aca="false">IF(OR(NOT(OR($G101="À migrer",$G101="À décommissionner")),$R101=""),"",IFERROR(DATE(YEAR($R101),MONTH($R101),1),""))</f>
        <v/>
      </c>
      <c r="X101" s="21" t="str">
        <f aca="false">IF(OR($V101="",$W101=""),"",MAX(0,(YEAR($W101)-YEAR($V101))*12+MONTH($W101)-MONTH($V101)))</f>
        <v/>
      </c>
      <c r="Y101" s="21" t="str">
        <f aca="false">IF($C101="","",COUNTIF(TblApplications[ID],$C101))</f>
        <v/>
      </c>
      <c r="Z101" s="39" t="str">
        <f aca="false">IF($C101="","",IFERROR(1/(1/_xlfn.MINIFS(TblApplications[Mois prov (calc)],TblApplications[ID],$C101)),""))</f>
        <v/>
      </c>
      <c r="AA101" s="39" t="str">
        <f aca="false">IF($C101="","",IFERROR(1/(1/_xlfn.MAXIFS(TblApplications[Mois lib (calc)],TblApplications[ID],$C101)),""))</f>
        <v/>
      </c>
      <c r="AB101" s="21" t="str">
        <f aca="false">IF($C101="","",IF(OR(OR($A101="",$B101="",$D101="",$E101="",$F101="",$G101=""),AND($G101="À migrer",OR($H101="",$I101="",$J101="",$K101="",$L101="",$N101="",$O101="",$P101="",$Q101="",$R101="")),AND($G101="Migré",OR($J101="",$K101="",$L101="")),AND($G101="À décommissionner",OR($I101="",$N101="",$O101="",$R101=""))),"Données manquantes (selon l’action)",IF(AND($G101&lt;&gt;"Migré",$G101&lt;&gt;"À migrer",$G101&lt;&gt;"À décommissionner",$G101&lt;&gt;"Décommissionné"),"Action invalide",IF(COUNTIF(TblDomaines[Domaine],$A101)=0,"Domaine inconnu (référentiel)",IF(COUNTIFS(TblTribes[Tribe],$B101,TblTribes[Domaine de la tribe],$A101)=0,"Tribe inconnue ou hors domaine",IF(AND($G101="À migrer",$H101&lt;&gt;"Oui",$H101&lt;&gt;"Non"),"Valeur Oui/Non invalide (Déjà incluse ROKS)",IF(AND($E101&lt;&gt;"PRD",$E101&lt;&gt;"NPRD"),"Environnement invalide",IF(COUNTIFS(TblApplications[ID],$C101,TblApplications[Environnement],$E101,TblApplications[Couloir],$F101)&gt;1,"Déploiement en doublon (ID + env + couloir)",IF(OR(AND($K101&lt;&gt;"",NOT(ISNUMBER($K101))),AND($L101&lt;&gt;"",NOT(ISNUMBER($L101))),AND($N101&lt;&gt;"",NOT(ISNUMBER($N101))),AND($O101&lt;&gt;"",NOT(ISNUMBER($O101)))),"Ressource non numérique",IF(MIN(N($K101),N($L101),N($N101),N($O101))&lt;0,"Ressource négative",IF(OR(AND($AC101&lt;&gt;"",OR(NOT(ISNUMBER($AC101)),$AC101&lt;0,$AC101&gt;1)),AND($AD101&lt;&gt;"",OR(NOT(ISNUMBER($AD101)),$AD101&lt;0,$AD101&gt;1))),"Marge spécifique invalide (0–100 %)",IF(OR(AND($P101&lt;&gt;"",NOT(ISNUMBER($P101))),AND($Q101&lt;&gt;"",NOT(ISNUMBER($Q101))),AND($R101&lt;&gt;"",NOT(ISNUMBER($R101)))),"Mois invalide",IF(AND(OR($G101="À migrer",$G101="À décommissionner"),COUNTIFS(TblClusters[Cluster],$I101,TblClusters[Plateforme],"IKS")=0),"Cluster IKS inconnu",IF(AND(OR($G101="À migrer",$G101="Migré"),COUNTIFS(TblClusters[Cluster],$J101,TblClusters[Plateforme],"ROKS")=0),"Cluster ROKS inconnu",IF(AND(OR($G101="À migrer",$G101="À décommissionner"),COUNTIFS(TblClusters[Cluster],$I101,TblClusters[Environnement],$E101)=0),"Environnement ≠ cluster IKS",IF(AND(OR($G101="À migrer",$G101="Migré"),COUNTIFS(TblClusters[Cluster],$J101,TblClusters[Environnement],$E101)=0),"Environnement ≠ cluster ROKS",IF(AND($G101="À migrer",OR($P101&gt;$Q101,$Q101&gt;$R101)),"Dates incohérentes (prov ≤ bascule ≤ libération)",IF(AND(OR($G101="À migrer",$G101="À décommissionner"),OR(N($N101)&gt;SUMIFS(TblClusters[CPU initial (vCPU)],TblClusters[Cluster],$I101),N($O101)&gt;SUMIFS(TblClusters[RAM initiale (Go)],TblClusters[Cluster],$I101))),"Libération &gt; capacité du cluster source",IF(OR(AND($V101&lt;&gt;"",$V101&lt;p_debut),AND($W101&lt;&gt;"",$W101&gt;p_fin)),"Hors horizon (info)",IF(AND($G101="À migrer",$E101="PRD",COUNTIFS(TblApplications[ID],$C101,TblApplications[Environnement],"NPRD",TblApplications[Action],"À migrer")&gt;0,$V101&lt;_xlfn.MINIFS(TblApplications[Mois prov (calc)],TblApplications[ID],$C101,TblApplications[Environnement],"NPRD")),"PRD avant NPRD (info)","OK"))))))))))))))))))))</f>
        <v/>
      </c>
      <c r="AC101" s="76"/>
      <c r="AD101" s="76"/>
      <c r="AE101" s="22" t="str">
        <f aca="false">IF(OR($C101="",NOT(OR($G101="À migrer",$G101="À décommissionner")),NOT(ISNUMBER($N101)),NOT(ISNUMBER($O101)),$W101=""),"",($N101+p_poidsram*$O101)*SUMIFS(TblCalculs[Coût par unité],TblCalculs[Cluster],$I101,TblCalculs[Mois],"&lt;"&amp;$W101))</f>
        <v/>
      </c>
      <c r="AF101" s="22" t="str">
        <f aca="false">IF($C101="","",IF(AND($G101="À migrer",$H101="Non",$T101&lt;&gt;"",$V101&lt;&gt;""),($T101+p_poidsram*$U101)*SUMIFS(TblCalculs[Coût par unité],TblCalculs[Cluster],$J101,TblCalculs[Mois],"&gt;="&amp;$V101),IF(AND($G101="Migré",$T101&lt;&gt;""),($T101+p_poidsram*$U101)*SUMIFS(TblCalculs[Coût par unité],TblCalculs[Cluster],$J101),"")))</f>
        <v/>
      </c>
      <c r="AG101" s="22" t="str">
        <f aca="false">IF($C101="","",N($AE101)+N($AF101))</f>
        <v/>
      </c>
      <c r="AH101" s="21" t="str">
        <f aca="false">IF(OR($C101="",$G101="Décommissionné",COUNTIFS($E101,av_envc,$A101,av_domc,$B101,av_tric)=0),"",COUNTIFS($C$6:$C101,"&lt;&gt;",$G$6:$G101,"&lt;&gt;Décommissionné",$E$6:$E101,av_envc,$A$6:$A101,av_domc,$B$6:$B101,av_tric))</f>
        <v/>
      </c>
      <c r="AI101" s="21" t="str">
        <f aca="false">IF($C101="","",IF(AND(OR($G101="À migrer",$G101="À décommissionner"),$W101&lt;&gt;"",$W101&gt;ex_mois),1,0))</f>
        <v/>
      </c>
      <c r="AJ101" s="21" t="str">
        <f aca="false">IF(OR($C101="",$AI101&lt;&gt;1,COUNTIFS($E101,ex_envc,$A101,ex_domc,$B101,ex_tric)=0),"",COUNTIFS($AI$6:$AI101,1,$E$6:$E101,ex_envc,$A$6:$A101,ex_domc,$B$6:$B101,ex_tric))</f>
        <v/>
      </c>
    </row>
    <row r="102" customFormat="false" ht="15" hidden="false" customHeight="false" outlineLevel="0" collapsed="false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5"/>
      <c r="Q102" s="75"/>
      <c r="R102" s="75"/>
      <c r="S102" s="74"/>
      <c r="T102" s="21" t="str">
        <f aca="false">IF(OR($C102="",NOT(OR($G102="À migrer",$G102="Migré")),NOT(ISNUMBER($K102))),"",ROUNDUP($K102*(1+IF($AC102="",p_margeCPU,$AC102)),0))</f>
        <v/>
      </c>
      <c r="U102" s="21" t="str">
        <f aca="false">IF(OR($C102="",NOT(OR($G102="À migrer",$G102="Migré")),NOT(ISNUMBER($L102))),"",ROUNDUP($L102*(1+IF($AD102="",p_margeRAM,$AD102)),0))</f>
        <v/>
      </c>
      <c r="V102" s="39" t="str">
        <f aca="false">IF(OR(NOT($G102="À migrer"),$P102=""),"",IFERROR(DATE(YEAR($P102),MONTH($P102),1),""))</f>
        <v/>
      </c>
      <c r="W102" s="39" t="str">
        <f aca="false">IF(OR(NOT(OR($G102="À migrer",$G102="À décommissionner")),$R102=""),"",IFERROR(DATE(YEAR($R102),MONTH($R102),1),""))</f>
        <v/>
      </c>
      <c r="X102" s="21" t="str">
        <f aca="false">IF(OR($V102="",$W102=""),"",MAX(0,(YEAR($W102)-YEAR($V102))*12+MONTH($W102)-MONTH($V102)))</f>
        <v/>
      </c>
      <c r="Y102" s="21" t="str">
        <f aca="false">IF($C102="","",COUNTIF(TblApplications[ID],$C102))</f>
        <v/>
      </c>
      <c r="Z102" s="39" t="str">
        <f aca="false">IF($C102="","",IFERROR(1/(1/_xlfn.MINIFS(TblApplications[Mois prov (calc)],TblApplications[ID],$C102)),""))</f>
        <v/>
      </c>
      <c r="AA102" s="39" t="str">
        <f aca="false">IF($C102="","",IFERROR(1/(1/_xlfn.MAXIFS(TblApplications[Mois lib (calc)],TblApplications[ID],$C102)),""))</f>
        <v/>
      </c>
      <c r="AB102" s="21" t="str">
        <f aca="false">IF($C102="","",IF(OR(OR($A102="",$B102="",$D102="",$E102="",$F102="",$G102=""),AND($G102="À migrer",OR($H102="",$I102="",$J102="",$K102="",$L102="",$N102="",$O102="",$P102="",$Q102="",$R102="")),AND($G102="Migré",OR($J102="",$K102="",$L102="")),AND($G102="À décommissionner",OR($I102="",$N102="",$O102="",$R102=""))),"Données manquantes (selon l’action)",IF(AND($G102&lt;&gt;"Migré",$G102&lt;&gt;"À migrer",$G102&lt;&gt;"À décommissionner",$G102&lt;&gt;"Décommissionné"),"Action invalide",IF(COUNTIF(TblDomaines[Domaine],$A102)=0,"Domaine inconnu (référentiel)",IF(COUNTIFS(TblTribes[Tribe],$B102,TblTribes[Domaine de la tribe],$A102)=0,"Tribe inconnue ou hors domaine",IF(AND($G102="À migrer",$H102&lt;&gt;"Oui",$H102&lt;&gt;"Non"),"Valeur Oui/Non invalide (Déjà incluse ROKS)",IF(AND($E102&lt;&gt;"PRD",$E102&lt;&gt;"NPRD"),"Environnement invalide",IF(COUNTIFS(TblApplications[ID],$C102,TblApplications[Environnement],$E102,TblApplications[Couloir],$F102)&gt;1,"Déploiement en doublon (ID + env + couloir)",IF(OR(AND($K102&lt;&gt;"",NOT(ISNUMBER($K102))),AND($L102&lt;&gt;"",NOT(ISNUMBER($L102))),AND($N102&lt;&gt;"",NOT(ISNUMBER($N102))),AND($O102&lt;&gt;"",NOT(ISNUMBER($O102)))),"Ressource non numérique",IF(MIN(N($K102),N($L102),N($N102),N($O102))&lt;0,"Ressource négative",IF(OR(AND($AC102&lt;&gt;"",OR(NOT(ISNUMBER($AC102)),$AC102&lt;0,$AC102&gt;1)),AND($AD102&lt;&gt;"",OR(NOT(ISNUMBER($AD102)),$AD102&lt;0,$AD102&gt;1))),"Marge spécifique invalide (0–100 %)",IF(OR(AND($P102&lt;&gt;"",NOT(ISNUMBER($P102))),AND($Q102&lt;&gt;"",NOT(ISNUMBER($Q102))),AND($R102&lt;&gt;"",NOT(ISNUMBER($R102)))),"Mois invalide",IF(AND(OR($G102="À migrer",$G102="À décommissionner"),COUNTIFS(TblClusters[Cluster],$I102,TblClusters[Plateforme],"IKS")=0),"Cluster IKS inconnu",IF(AND(OR($G102="À migrer",$G102="Migré"),COUNTIFS(TblClusters[Cluster],$J102,TblClusters[Plateforme],"ROKS")=0),"Cluster ROKS inconnu",IF(AND(OR($G102="À migrer",$G102="À décommissionner"),COUNTIFS(TblClusters[Cluster],$I102,TblClusters[Environnement],$E102)=0),"Environnement ≠ cluster IKS",IF(AND(OR($G102="À migrer",$G102="Migré"),COUNTIFS(TblClusters[Cluster],$J102,TblClusters[Environnement],$E102)=0),"Environnement ≠ cluster ROKS",IF(AND($G102="À migrer",OR($P102&gt;$Q102,$Q102&gt;$R102)),"Dates incohérentes (prov ≤ bascule ≤ libération)",IF(AND(OR($G102="À migrer",$G102="À décommissionner"),OR(N($N102)&gt;SUMIFS(TblClusters[CPU initial (vCPU)],TblClusters[Cluster],$I102),N($O102)&gt;SUMIFS(TblClusters[RAM initiale (Go)],TblClusters[Cluster],$I102))),"Libération &gt; capacité du cluster source",IF(OR(AND($V102&lt;&gt;"",$V102&lt;p_debut),AND($W102&lt;&gt;"",$W102&gt;p_fin)),"Hors horizon (info)",IF(AND($G102="À migrer",$E102="PRD",COUNTIFS(TblApplications[ID],$C102,TblApplications[Environnement],"NPRD",TblApplications[Action],"À migrer")&gt;0,$V102&lt;_xlfn.MINIFS(TblApplications[Mois prov (calc)],TblApplications[ID],$C102,TblApplications[Environnement],"NPRD")),"PRD avant NPRD (info)","OK"))))))))))))))))))))</f>
        <v/>
      </c>
      <c r="AC102" s="76"/>
      <c r="AD102" s="76"/>
      <c r="AE102" s="22" t="str">
        <f aca="false">IF(OR($C102="",NOT(OR($G102="À migrer",$G102="À décommissionner")),NOT(ISNUMBER($N102)),NOT(ISNUMBER($O102)),$W102=""),"",($N102+p_poidsram*$O102)*SUMIFS(TblCalculs[Coût par unité],TblCalculs[Cluster],$I102,TblCalculs[Mois],"&lt;"&amp;$W102))</f>
        <v/>
      </c>
      <c r="AF102" s="22" t="str">
        <f aca="false">IF($C102="","",IF(AND($G102="À migrer",$H102="Non",$T102&lt;&gt;"",$V102&lt;&gt;""),($T102+p_poidsram*$U102)*SUMIFS(TblCalculs[Coût par unité],TblCalculs[Cluster],$J102,TblCalculs[Mois],"&gt;="&amp;$V102),IF(AND($G102="Migré",$T102&lt;&gt;""),($T102+p_poidsram*$U102)*SUMIFS(TblCalculs[Coût par unité],TblCalculs[Cluster],$J102),"")))</f>
        <v/>
      </c>
      <c r="AG102" s="22" t="str">
        <f aca="false">IF($C102="","",N($AE102)+N($AF102))</f>
        <v/>
      </c>
      <c r="AH102" s="21" t="str">
        <f aca="false">IF(OR($C102="",$G102="Décommissionné",COUNTIFS($E102,av_envc,$A102,av_domc,$B102,av_tric)=0),"",COUNTIFS($C$6:$C102,"&lt;&gt;",$G$6:$G102,"&lt;&gt;Décommissionné",$E$6:$E102,av_envc,$A$6:$A102,av_domc,$B$6:$B102,av_tric))</f>
        <v/>
      </c>
      <c r="AI102" s="21" t="str">
        <f aca="false">IF($C102="","",IF(AND(OR($G102="À migrer",$G102="À décommissionner"),$W102&lt;&gt;"",$W102&gt;ex_mois),1,0))</f>
        <v/>
      </c>
      <c r="AJ102" s="21" t="str">
        <f aca="false">IF(OR($C102="",$AI102&lt;&gt;1,COUNTIFS($E102,ex_envc,$A102,ex_domc,$B102,ex_tric)=0),"",COUNTIFS($AI$6:$AI102,1,$E$6:$E102,ex_envc,$A$6:$A102,ex_domc,$B$6:$B102,ex_tric))</f>
        <v/>
      </c>
    </row>
    <row r="103" customFormat="false" ht="15" hidden="false" customHeight="false" outlineLevel="0" collapsed="false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5"/>
      <c r="Q103" s="75"/>
      <c r="R103" s="75"/>
      <c r="S103" s="74"/>
      <c r="T103" s="21" t="str">
        <f aca="false">IF(OR($C103="",NOT(OR($G103="À migrer",$G103="Migré")),NOT(ISNUMBER($K103))),"",ROUNDUP($K103*(1+IF($AC103="",p_margeCPU,$AC103)),0))</f>
        <v/>
      </c>
      <c r="U103" s="21" t="str">
        <f aca="false">IF(OR($C103="",NOT(OR($G103="À migrer",$G103="Migré")),NOT(ISNUMBER($L103))),"",ROUNDUP($L103*(1+IF($AD103="",p_margeRAM,$AD103)),0))</f>
        <v/>
      </c>
      <c r="V103" s="39" t="str">
        <f aca="false">IF(OR(NOT($G103="À migrer"),$P103=""),"",IFERROR(DATE(YEAR($P103),MONTH($P103),1),""))</f>
        <v/>
      </c>
      <c r="W103" s="39" t="str">
        <f aca="false">IF(OR(NOT(OR($G103="À migrer",$G103="À décommissionner")),$R103=""),"",IFERROR(DATE(YEAR($R103),MONTH($R103),1),""))</f>
        <v/>
      </c>
      <c r="X103" s="21" t="str">
        <f aca="false">IF(OR($V103="",$W103=""),"",MAX(0,(YEAR($W103)-YEAR($V103))*12+MONTH($W103)-MONTH($V103)))</f>
        <v/>
      </c>
      <c r="Y103" s="21" t="str">
        <f aca="false">IF($C103="","",COUNTIF(TblApplications[ID],$C103))</f>
        <v/>
      </c>
      <c r="Z103" s="39" t="str">
        <f aca="false">IF($C103="","",IFERROR(1/(1/_xlfn.MINIFS(TblApplications[Mois prov (calc)],TblApplications[ID],$C103)),""))</f>
        <v/>
      </c>
      <c r="AA103" s="39" t="str">
        <f aca="false">IF($C103="","",IFERROR(1/(1/_xlfn.MAXIFS(TblApplications[Mois lib (calc)],TblApplications[ID],$C103)),""))</f>
        <v/>
      </c>
      <c r="AB103" s="21" t="str">
        <f aca="false">IF($C103="","",IF(OR(OR($A103="",$B103="",$D103="",$E103="",$F103="",$G103=""),AND($G103="À migrer",OR($H103="",$I103="",$J103="",$K103="",$L103="",$N103="",$O103="",$P103="",$Q103="",$R103="")),AND($G103="Migré",OR($J103="",$K103="",$L103="")),AND($G103="À décommissionner",OR($I103="",$N103="",$O103="",$R103=""))),"Données manquantes (selon l’action)",IF(AND($G103&lt;&gt;"Migré",$G103&lt;&gt;"À migrer",$G103&lt;&gt;"À décommissionner",$G103&lt;&gt;"Décommissionné"),"Action invalide",IF(COUNTIF(TblDomaines[Domaine],$A103)=0,"Domaine inconnu (référentiel)",IF(COUNTIFS(TblTribes[Tribe],$B103,TblTribes[Domaine de la tribe],$A103)=0,"Tribe inconnue ou hors domaine",IF(AND($G103="À migrer",$H103&lt;&gt;"Oui",$H103&lt;&gt;"Non"),"Valeur Oui/Non invalide (Déjà incluse ROKS)",IF(AND($E103&lt;&gt;"PRD",$E103&lt;&gt;"NPRD"),"Environnement invalide",IF(COUNTIFS(TblApplications[ID],$C103,TblApplications[Environnement],$E103,TblApplications[Couloir],$F103)&gt;1,"Déploiement en doublon (ID + env + couloir)",IF(OR(AND($K103&lt;&gt;"",NOT(ISNUMBER($K103))),AND($L103&lt;&gt;"",NOT(ISNUMBER($L103))),AND($N103&lt;&gt;"",NOT(ISNUMBER($N103))),AND($O103&lt;&gt;"",NOT(ISNUMBER($O103)))),"Ressource non numérique",IF(MIN(N($K103),N($L103),N($N103),N($O103))&lt;0,"Ressource négative",IF(OR(AND($AC103&lt;&gt;"",OR(NOT(ISNUMBER($AC103)),$AC103&lt;0,$AC103&gt;1)),AND($AD103&lt;&gt;"",OR(NOT(ISNUMBER($AD103)),$AD103&lt;0,$AD103&gt;1))),"Marge spécifique invalide (0–100 %)",IF(OR(AND($P103&lt;&gt;"",NOT(ISNUMBER($P103))),AND($Q103&lt;&gt;"",NOT(ISNUMBER($Q103))),AND($R103&lt;&gt;"",NOT(ISNUMBER($R103)))),"Mois invalide",IF(AND(OR($G103="À migrer",$G103="À décommissionner"),COUNTIFS(TblClusters[Cluster],$I103,TblClusters[Plateforme],"IKS")=0),"Cluster IKS inconnu",IF(AND(OR($G103="À migrer",$G103="Migré"),COUNTIFS(TblClusters[Cluster],$J103,TblClusters[Plateforme],"ROKS")=0),"Cluster ROKS inconnu",IF(AND(OR($G103="À migrer",$G103="À décommissionner"),COUNTIFS(TblClusters[Cluster],$I103,TblClusters[Environnement],$E103)=0),"Environnement ≠ cluster IKS",IF(AND(OR($G103="À migrer",$G103="Migré"),COUNTIFS(TblClusters[Cluster],$J103,TblClusters[Environnement],$E103)=0),"Environnement ≠ cluster ROKS",IF(AND($G103="À migrer",OR($P103&gt;$Q103,$Q103&gt;$R103)),"Dates incohérentes (prov ≤ bascule ≤ libération)",IF(AND(OR($G103="À migrer",$G103="À décommissionner"),OR(N($N103)&gt;SUMIFS(TblClusters[CPU initial (vCPU)],TblClusters[Cluster],$I103),N($O103)&gt;SUMIFS(TblClusters[RAM initiale (Go)],TblClusters[Cluster],$I103))),"Libération &gt; capacité du cluster source",IF(OR(AND($V103&lt;&gt;"",$V103&lt;p_debut),AND($W103&lt;&gt;"",$W103&gt;p_fin)),"Hors horizon (info)",IF(AND($G103="À migrer",$E103="PRD",COUNTIFS(TblApplications[ID],$C103,TblApplications[Environnement],"NPRD",TblApplications[Action],"À migrer")&gt;0,$V103&lt;_xlfn.MINIFS(TblApplications[Mois prov (calc)],TblApplications[ID],$C103,TblApplications[Environnement],"NPRD")),"PRD avant NPRD (info)","OK"))))))))))))))))))))</f>
        <v/>
      </c>
      <c r="AC103" s="76"/>
      <c r="AD103" s="76"/>
      <c r="AE103" s="22" t="str">
        <f aca="false">IF(OR($C103="",NOT(OR($G103="À migrer",$G103="À décommissionner")),NOT(ISNUMBER($N103)),NOT(ISNUMBER($O103)),$W103=""),"",($N103+p_poidsram*$O103)*SUMIFS(TblCalculs[Coût par unité],TblCalculs[Cluster],$I103,TblCalculs[Mois],"&lt;"&amp;$W103))</f>
        <v/>
      </c>
      <c r="AF103" s="22" t="str">
        <f aca="false">IF($C103="","",IF(AND($G103="À migrer",$H103="Non",$T103&lt;&gt;"",$V103&lt;&gt;""),($T103+p_poidsram*$U103)*SUMIFS(TblCalculs[Coût par unité],TblCalculs[Cluster],$J103,TblCalculs[Mois],"&gt;="&amp;$V103),IF(AND($G103="Migré",$T103&lt;&gt;""),($T103+p_poidsram*$U103)*SUMIFS(TblCalculs[Coût par unité],TblCalculs[Cluster],$J103),"")))</f>
        <v/>
      </c>
      <c r="AG103" s="22" t="str">
        <f aca="false">IF($C103="","",N($AE103)+N($AF103))</f>
        <v/>
      </c>
      <c r="AH103" s="21" t="str">
        <f aca="false">IF(OR($C103="",$G103="Décommissionné",COUNTIFS($E103,av_envc,$A103,av_domc,$B103,av_tric)=0),"",COUNTIFS($C$6:$C103,"&lt;&gt;",$G$6:$G103,"&lt;&gt;Décommissionné",$E$6:$E103,av_envc,$A$6:$A103,av_domc,$B$6:$B103,av_tric))</f>
        <v/>
      </c>
      <c r="AI103" s="21" t="str">
        <f aca="false">IF($C103="","",IF(AND(OR($G103="À migrer",$G103="À décommissionner"),$W103&lt;&gt;"",$W103&gt;ex_mois),1,0))</f>
        <v/>
      </c>
      <c r="AJ103" s="21" t="str">
        <f aca="false">IF(OR($C103="",$AI103&lt;&gt;1,COUNTIFS($E103,ex_envc,$A103,ex_domc,$B103,ex_tric)=0),"",COUNTIFS($AI$6:$AI103,1,$E$6:$E103,ex_envc,$A$6:$A103,ex_domc,$B$6:$B103,ex_tric))</f>
        <v/>
      </c>
    </row>
    <row r="104" customFormat="false" ht="15" hidden="false" customHeight="false" outlineLevel="0" collapsed="false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5"/>
      <c r="Q104" s="75"/>
      <c r="R104" s="75"/>
      <c r="S104" s="74"/>
      <c r="T104" s="21" t="str">
        <f aca="false">IF(OR($C104="",NOT(OR($G104="À migrer",$G104="Migré")),NOT(ISNUMBER($K104))),"",ROUNDUP($K104*(1+IF($AC104="",p_margeCPU,$AC104)),0))</f>
        <v/>
      </c>
      <c r="U104" s="21" t="str">
        <f aca="false">IF(OR($C104="",NOT(OR($G104="À migrer",$G104="Migré")),NOT(ISNUMBER($L104))),"",ROUNDUP($L104*(1+IF($AD104="",p_margeRAM,$AD104)),0))</f>
        <v/>
      </c>
      <c r="V104" s="39" t="str">
        <f aca="false">IF(OR(NOT($G104="À migrer"),$P104=""),"",IFERROR(DATE(YEAR($P104),MONTH($P104),1),""))</f>
        <v/>
      </c>
      <c r="W104" s="39" t="str">
        <f aca="false">IF(OR(NOT(OR($G104="À migrer",$G104="À décommissionner")),$R104=""),"",IFERROR(DATE(YEAR($R104),MONTH($R104),1),""))</f>
        <v/>
      </c>
      <c r="X104" s="21" t="str">
        <f aca="false">IF(OR($V104="",$W104=""),"",MAX(0,(YEAR($W104)-YEAR($V104))*12+MONTH($W104)-MONTH($V104)))</f>
        <v/>
      </c>
      <c r="Y104" s="21" t="str">
        <f aca="false">IF($C104="","",COUNTIF(TblApplications[ID],$C104))</f>
        <v/>
      </c>
      <c r="Z104" s="39" t="str">
        <f aca="false">IF($C104="","",IFERROR(1/(1/_xlfn.MINIFS(TblApplications[Mois prov (calc)],TblApplications[ID],$C104)),""))</f>
        <v/>
      </c>
      <c r="AA104" s="39" t="str">
        <f aca="false">IF($C104="","",IFERROR(1/(1/_xlfn.MAXIFS(TblApplications[Mois lib (calc)],TblApplications[ID],$C104)),""))</f>
        <v/>
      </c>
      <c r="AB104" s="21" t="str">
        <f aca="false">IF($C104="","",IF(OR(OR($A104="",$B104="",$D104="",$E104="",$F104="",$G104=""),AND($G104="À migrer",OR($H104="",$I104="",$J104="",$K104="",$L104="",$N104="",$O104="",$P104="",$Q104="",$R104="")),AND($G104="Migré",OR($J104="",$K104="",$L104="")),AND($G104="À décommissionner",OR($I104="",$N104="",$O104="",$R104=""))),"Données manquantes (selon l’action)",IF(AND($G104&lt;&gt;"Migré",$G104&lt;&gt;"À migrer",$G104&lt;&gt;"À décommissionner",$G104&lt;&gt;"Décommissionné"),"Action invalide",IF(COUNTIF(TblDomaines[Domaine],$A104)=0,"Domaine inconnu (référentiel)",IF(COUNTIFS(TblTribes[Tribe],$B104,TblTribes[Domaine de la tribe],$A104)=0,"Tribe inconnue ou hors domaine",IF(AND($G104="À migrer",$H104&lt;&gt;"Oui",$H104&lt;&gt;"Non"),"Valeur Oui/Non invalide (Déjà incluse ROKS)",IF(AND($E104&lt;&gt;"PRD",$E104&lt;&gt;"NPRD"),"Environnement invalide",IF(COUNTIFS(TblApplications[ID],$C104,TblApplications[Environnement],$E104,TblApplications[Couloir],$F104)&gt;1,"Déploiement en doublon (ID + env + couloir)",IF(OR(AND($K104&lt;&gt;"",NOT(ISNUMBER($K104))),AND($L104&lt;&gt;"",NOT(ISNUMBER($L104))),AND($N104&lt;&gt;"",NOT(ISNUMBER($N104))),AND($O104&lt;&gt;"",NOT(ISNUMBER($O104)))),"Ressource non numérique",IF(MIN(N($K104),N($L104),N($N104),N($O104))&lt;0,"Ressource négative",IF(OR(AND($AC104&lt;&gt;"",OR(NOT(ISNUMBER($AC104)),$AC104&lt;0,$AC104&gt;1)),AND($AD104&lt;&gt;"",OR(NOT(ISNUMBER($AD104)),$AD104&lt;0,$AD104&gt;1))),"Marge spécifique invalide (0–100 %)",IF(OR(AND($P104&lt;&gt;"",NOT(ISNUMBER($P104))),AND($Q104&lt;&gt;"",NOT(ISNUMBER($Q104))),AND($R104&lt;&gt;"",NOT(ISNUMBER($R104)))),"Mois invalide",IF(AND(OR($G104="À migrer",$G104="À décommissionner"),COUNTIFS(TblClusters[Cluster],$I104,TblClusters[Plateforme],"IKS")=0),"Cluster IKS inconnu",IF(AND(OR($G104="À migrer",$G104="Migré"),COUNTIFS(TblClusters[Cluster],$J104,TblClusters[Plateforme],"ROKS")=0),"Cluster ROKS inconnu",IF(AND(OR($G104="À migrer",$G104="À décommissionner"),COUNTIFS(TblClusters[Cluster],$I104,TblClusters[Environnement],$E104)=0),"Environnement ≠ cluster IKS",IF(AND(OR($G104="À migrer",$G104="Migré"),COUNTIFS(TblClusters[Cluster],$J104,TblClusters[Environnement],$E104)=0),"Environnement ≠ cluster ROKS",IF(AND($G104="À migrer",OR($P104&gt;$Q104,$Q104&gt;$R104)),"Dates incohérentes (prov ≤ bascule ≤ libération)",IF(AND(OR($G104="À migrer",$G104="À décommissionner"),OR(N($N104)&gt;SUMIFS(TblClusters[CPU initial (vCPU)],TblClusters[Cluster],$I104),N($O104)&gt;SUMIFS(TblClusters[RAM initiale (Go)],TblClusters[Cluster],$I104))),"Libération &gt; capacité du cluster source",IF(OR(AND($V104&lt;&gt;"",$V104&lt;p_debut),AND($W104&lt;&gt;"",$W104&gt;p_fin)),"Hors horizon (info)",IF(AND($G104="À migrer",$E104="PRD",COUNTIFS(TblApplications[ID],$C104,TblApplications[Environnement],"NPRD",TblApplications[Action],"À migrer")&gt;0,$V104&lt;_xlfn.MINIFS(TblApplications[Mois prov (calc)],TblApplications[ID],$C104,TblApplications[Environnement],"NPRD")),"PRD avant NPRD (info)","OK"))))))))))))))))))))</f>
        <v/>
      </c>
      <c r="AC104" s="76"/>
      <c r="AD104" s="76"/>
      <c r="AE104" s="22" t="str">
        <f aca="false">IF(OR($C104="",NOT(OR($G104="À migrer",$G104="À décommissionner")),NOT(ISNUMBER($N104)),NOT(ISNUMBER($O104)),$W104=""),"",($N104+p_poidsram*$O104)*SUMIFS(TblCalculs[Coût par unité],TblCalculs[Cluster],$I104,TblCalculs[Mois],"&lt;"&amp;$W104))</f>
        <v/>
      </c>
      <c r="AF104" s="22" t="str">
        <f aca="false">IF($C104="","",IF(AND($G104="À migrer",$H104="Non",$T104&lt;&gt;"",$V104&lt;&gt;""),($T104+p_poidsram*$U104)*SUMIFS(TblCalculs[Coût par unité],TblCalculs[Cluster],$J104,TblCalculs[Mois],"&gt;="&amp;$V104),IF(AND($G104="Migré",$T104&lt;&gt;""),($T104+p_poidsram*$U104)*SUMIFS(TblCalculs[Coût par unité],TblCalculs[Cluster],$J104),"")))</f>
        <v/>
      </c>
      <c r="AG104" s="22" t="str">
        <f aca="false">IF($C104="","",N($AE104)+N($AF104))</f>
        <v/>
      </c>
      <c r="AH104" s="21" t="str">
        <f aca="false">IF(OR($C104="",$G104="Décommissionné",COUNTIFS($E104,av_envc,$A104,av_domc,$B104,av_tric)=0),"",COUNTIFS($C$6:$C104,"&lt;&gt;",$G$6:$G104,"&lt;&gt;Décommissionné",$E$6:$E104,av_envc,$A$6:$A104,av_domc,$B$6:$B104,av_tric))</f>
        <v/>
      </c>
      <c r="AI104" s="21" t="str">
        <f aca="false">IF($C104="","",IF(AND(OR($G104="À migrer",$G104="À décommissionner"),$W104&lt;&gt;"",$W104&gt;ex_mois),1,0))</f>
        <v/>
      </c>
      <c r="AJ104" s="21" t="str">
        <f aca="false">IF(OR($C104="",$AI104&lt;&gt;1,COUNTIFS($E104,ex_envc,$A104,ex_domc,$B104,ex_tric)=0),"",COUNTIFS($AI$6:$AI104,1,$E$6:$E104,ex_envc,$A$6:$A104,ex_domc,$B$6:$B104,ex_tric))</f>
        <v/>
      </c>
    </row>
    <row r="105" customFormat="false" ht="15" hidden="false" customHeight="false" outlineLevel="0" collapsed="false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5"/>
      <c r="Q105" s="75"/>
      <c r="R105" s="75"/>
      <c r="S105" s="74"/>
      <c r="T105" s="21" t="str">
        <f aca="false">IF(OR($C105="",NOT(OR($G105="À migrer",$G105="Migré")),NOT(ISNUMBER($K105))),"",ROUNDUP($K105*(1+IF($AC105="",p_margeCPU,$AC105)),0))</f>
        <v/>
      </c>
      <c r="U105" s="21" t="str">
        <f aca="false">IF(OR($C105="",NOT(OR($G105="À migrer",$G105="Migré")),NOT(ISNUMBER($L105))),"",ROUNDUP($L105*(1+IF($AD105="",p_margeRAM,$AD105)),0))</f>
        <v/>
      </c>
      <c r="V105" s="39" t="str">
        <f aca="false">IF(OR(NOT($G105="À migrer"),$P105=""),"",IFERROR(DATE(YEAR($P105),MONTH($P105),1),""))</f>
        <v/>
      </c>
      <c r="W105" s="39" t="str">
        <f aca="false">IF(OR(NOT(OR($G105="À migrer",$G105="À décommissionner")),$R105=""),"",IFERROR(DATE(YEAR($R105),MONTH($R105),1),""))</f>
        <v/>
      </c>
      <c r="X105" s="21" t="str">
        <f aca="false">IF(OR($V105="",$W105=""),"",MAX(0,(YEAR($W105)-YEAR($V105))*12+MONTH($W105)-MONTH($V105)))</f>
        <v/>
      </c>
      <c r="Y105" s="21" t="str">
        <f aca="false">IF($C105="","",COUNTIF(TblApplications[ID],$C105))</f>
        <v/>
      </c>
      <c r="Z105" s="39" t="str">
        <f aca="false">IF($C105="","",IFERROR(1/(1/_xlfn.MINIFS(TblApplications[Mois prov (calc)],TblApplications[ID],$C105)),""))</f>
        <v/>
      </c>
      <c r="AA105" s="39" t="str">
        <f aca="false">IF($C105="","",IFERROR(1/(1/_xlfn.MAXIFS(TblApplications[Mois lib (calc)],TblApplications[ID],$C105)),""))</f>
        <v/>
      </c>
      <c r="AB105" s="21" t="str">
        <f aca="false">IF($C105="","",IF(OR(OR($A105="",$B105="",$D105="",$E105="",$F105="",$G105=""),AND($G105="À migrer",OR($H105="",$I105="",$J105="",$K105="",$L105="",$N105="",$O105="",$P105="",$Q105="",$R105="")),AND($G105="Migré",OR($J105="",$K105="",$L105="")),AND($G105="À décommissionner",OR($I105="",$N105="",$O105="",$R105=""))),"Données manquantes (selon l’action)",IF(AND($G105&lt;&gt;"Migré",$G105&lt;&gt;"À migrer",$G105&lt;&gt;"À décommissionner",$G105&lt;&gt;"Décommissionné"),"Action invalide",IF(COUNTIF(TblDomaines[Domaine],$A105)=0,"Domaine inconnu (référentiel)",IF(COUNTIFS(TblTribes[Tribe],$B105,TblTribes[Domaine de la tribe],$A105)=0,"Tribe inconnue ou hors domaine",IF(AND($G105="À migrer",$H105&lt;&gt;"Oui",$H105&lt;&gt;"Non"),"Valeur Oui/Non invalide (Déjà incluse ROKS)",IF(AND($E105&lt;&gt;"PRD",$E105&lt;&gt;"NPRD"),"Environnement invalide",IF(COUNTIFS(TblApplications[ID],$C105,TblApplications[Environnement],$E105,TblApplications[Couloir],$F105)&gt;1,"Déploiement en doublon (ID + env + couloir)",IF(OR(AND($K105&lt;&gt;"",NOT(ISNUMBER($K105))),AND($L105&lt;&gt;"",NOT(ISNUMBER($L105))),AND($N105&lt;&gt;"",NOT(ISNUMBER($N105))),AND($O105&lt;&gt;"",NOT(ISNUMBER($O105)))),"Ressource non numérique",IF(MIN(N($K105),N($L105),N($N105),N($O105))&lt;0,"Ressource négative",IF(OR(AND($AC105&lt;&gt;"",OR(NOT(ISNUMBER($AC105)),$AC105&lt;0,$AC105&gt;1)),AND($AD105&lt;&gt;"",OR(NOT(ISNUMBER($AD105)),$AD105&lt;0,$AD105&gt;1))),"Marge spécifique invalide (0–100 %)",IF(OR(AND($P105&lt;&gt;"",NOT(ISNUMBER($P105))),AND($Q105&lt;&gt;"",NOT(ISNUMBER($Q105))),AND($R105&lt;&gt;"",NOT(ISNUMBER($R105)))),"Mois invalide",IF(AND(OR($G105="À migrer",$G105="À décommissionner"),COUNTIFS(TblClusters[Cluster],$I105,TblClusters[Plateforme],"IKS")=0),"Cluster IKS inconnu",IF(AND(OR($G105="À migrer",$G105="Migré"),COUNTIFS(TblClusters[Cluster],$J105,TblClusters[Plateforme],"ROKS")=0),"Cluster ROKS inconnu",IF(AND(OR($G105="À migrer",$G105="À décommissionner"),COUNTIFS(TblClusters[Cluster],$I105,TblClusters[Environnement],$E105)=0),"Environnement ≠ cluster IKS",IF(AND(OR($G105="À migrer",$G105="Migré"),COUNTIFS(TblClusters[Cluster],$J105,TblClusters[Environnement],$E105)=0),"Environnement ≠ cluster ROKS",IF(AND($G105="À migrer",OR($P105&gt;$Q105,$Q105&gt;$R105)),"Dates incohérentes (prov ≤ bascule ≤ libération)",IF(AND(OR($G105="À migrer",$G105="À décommissionner"),OR(N($N105)&gt;SUMIFS(TblClusters[CPU initial (vCPU)],TblClusters[Cluster],$I105),N($O105)&gt;SUMIFS(TblClusters[RAM initiale (Go)],TblClusters[Cluster],$I105))),"Libération &gt; capacité du cluster source",IF(OR(AND($V105&lt;&gt;"",$V105&lt;p_debut),AND($W105&lt;&gt;"",$W105&gt;p_fin)),"Hors horizon (info)",IF(AND($G105="À migrer",$E105="PRD",COUNTIFS(TblApplications[ID],$C105,TblApplications[Environnement],"NPRD",TblApplications[Action],"À migrer")&gt;0,$V105&lt;_xlfn.MINIFS(TblApplications[Mois prov (calc)],TblApplications[ID],$C105,TblApplications[Environnement],"NPRD")),"PRD avant NPRD (info)","OK"))))))))))))))))))))</f>
        <v/>
      </c>
      <c r="AC105" s="76"/>
      <c r="AD105" s="76"/>
      <c r="AE105" s="22" t="str">
        <f aca="false">IF(OR($C105="",NOT(OR($G105="À migrer",$G105="À décommissionner")),NOT(ISNUMBER($N105)),NOT(ISNUMBER($O105)),$W105=""),"",($N105+p_poidsram*$O105)*SUMIFS(TblCalculs[Coût par unité],TblCalculs[Cluster],$I105,TblCalculs[Mois],"&lt;"&amp;$W105))</f>
        <v/>
      </c>
      <c r="AF105" s="22" t="str">
        <f aca="false">IF($C105="","",IF(AND($G105="À migrer",$H105="Non",$T105&lt;&gt;"",$V105&lt;&gt;""),($T105+p_poidsram*$U105)*SUMIFS(TblCalculs[Coût par unité],TblCalculs[Cluster],$J105,TblCalculs[Mois],"&gt;="&amp;$V105),IF(AND($G105="Migré",$T105&lt;&gt;""),($T105+p_poidsram*$U105)*SUMIFS(TblCalculs[Coût par unité],TblCalculs[Cluster],$J105),"")))</f>
        <v/>
      </c>
      <c r="AG105" s="22" t="str">
        <f aca="false">IF($C105="","",N($AE105)+N($AF105))</f>
        <v/>
      </c>
      <c r="AH105" s="21" t="str">
        <f aca="false">IF(OR($C105="",$G105="Décommissionné",COUNTIFS($E105,av_envc,$A105,av_domc,$B105,av_tric)=0),"",COUNTIFS($C$6:$C105,"&lt;&gt;",$G$6:$G105,"&lt;&gt;Décommissionné",$E$6:$E105,av_envc,$A$6:$A105,av_domc,$B$6:$B105,av_tric))</f>
        <v/>
      </c>
      <c r="AI105" s="21" t="str">
        <f aca="false">IF($C105="","",IF(AND(OR($G105="À migrer",$G105="À décommissionner"),$W105&lt;&gt;"",$W105&gt;ex_mois),1,0))</f>
        <v/>
      </c>
      <c r="AJ105" s="21" t="str">
        <f aca="false">IF(OR($C105="",$AI105&lt;&gt;1,COUNTIFS($E105,ex_envc,$A105,ex_domc,$B105,ex_tric)=0),"",COUNTIFS($AI$6:$AI105,1,$E$6:$E105,ex_envc,$A$6:$A105,ex_domc,$B$6:$B105,ex_tric))</f>
        <v/>
      </c>
    </row>
    <row r="106" customFormat="false" ht="15" hidden="false" customHeight="false" outlineLevel="0" collapsed="false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5"/>
      <c r="Q106" s="75"/>
      <c r="R106" s="75"/>
      <c r="S106" s="74"/>
      <c r="T106" s="21" t="str">
        <f aca="false">IF(OR($C106="",NOT(OR($G106="À migrer",$G106="Migré")),NOT(ISNUMBER($K106))),"",ROUNDUP($K106*(1+IF($AC106="",p_margeCPU,$AC106)),0))</f>
        <v/>
      </c>
      <c r="U106" s="21" t="str">
        <f aca="false">IF(OR($C106="",NOT(OR($G106="À migrer",$G106="Migré")),NOT(ISNUMBER($L106))),"",ROUNDUP($L106*(1+IF($AD106="",p_margeRAM,$AD106)),0))</f>
        <v/>
      </c>
      <c r="V106" s="39" t="str">
        <f aca="false">IF(OR(NOT($G106="À migrer"),$P106=""),"",IFERROR(DATE(YEAR($P106),MONTH($P106),1),""))</f>
        <v/>
      </c>
      <c r="W106" s="39" t="str">
        <f aca="false">IF(OR(NOT(OR($G106="À migrer",$G106="À décommissionner")),$R106=""),"",IFERROR(DATE(YEAR($R106),MONTH($R106),1),""))</f>
        <v/>
      </c>
      <c r="X106" s="21" t="str">
        <f aca="false">IF(OR($V106="",$W106=""),"",MAX(0,(YEAR($W106)-YEAR($V106))*12+MONTH($W106)-MONTH($V106)))</f>
        <v/>
      </c>
      <c r="Y106" s="21" t="str">
        <f aca="false">IF($C106="","",COUNTIF(TblApplications[ID],$C106))</f>
        <v/>
      </c>
      <c r="Z106" s="39" t="str">
        <f aca="false">IF($C106="","",IFERROR(1/(1/_xlfn.MINIFS(TblApplications[Mois prov (calc)],TblApplications[ID],$C106)),""))</f>
        <v/>
      </c>
      <c r="AA106" s="39" t="str">
        <f aca="false">IF($C106="","",IFERROR(1/(1/_xlfn.MAXIFS(TblApplications[Mois lib (calc)],TblApplications[ID],$C106)),""))</f>
        <v/>
      </c>
      <c r="AB106" s="21" t="str">
        <f aca="false">IF($C106="","",IF(OR(OR($A106="",$B106="",$D106="",$E106="",$F106="",$G106=""),AND($G106="À migrer",OR($H106="",$I106="",$J106="",$K106="",$L106="",$N106="",$O106="",$P106="",$Q106="",$R106="")),AND($G106="Migré",OR($J106="",$K106="",$L106="")),AND($G106="À décommissionner",OR($I106="",$N106="",$O106="",$R106=""))),"Données manquantes (selon l’action)",IF(AND($G106&lt;&gt;"Migré",$G106&lt;&gt;"À migrer",$G106&lt;&gt;"À décommissionner",$G106&lt;&gt;"Décommissionné"),"Action invalide",IF(COUNTIF(TblDomaines[Domaine],$A106)=0,"Domaine inconnu (référentiel)",IF(COUNTIFS(TblTribes[Tribe],$B106,TblTribes[Domaine de la tribe],$A106)=0,"Tribe inconnue ou hors domaine",IF(AND($G106="À migrer",$H106&lt;&gt;"Oui",$H106&lt;&gt;"Non"),"Valeur Oui/Non invalide (Déjà incluse ROKS)",IF(AND($E106&lt;&gt;"PRD",$E106&lt;&gt;"NPRD"),"Environnement invalide",IF(COUNTIFS(TblApplications[ID],$C106,TblApplications[Environnement],$E106,TblApplications[Couloir],$F106)&gt;1,"Déploiement en doublon (ID + env + couloir)",IF(OR(AND($K106&lt;&gt;"",NOT(ISNUMBER($K106))),AND($L106&lt;&gt;"",NOT(ISNUMBER($L106))),AND($N106&lt;&gt;"",NOT(ISNUMBER($N106))),AND($O106&lt;&gt;"",NOT(ISNUMBER($O106)))),"Ressource non numérique",IF(MIN(N($K106),N($L106),N($N106),N($O106))&lt;0,"Ressource négative",IF(OR(AND($AC106&lt;&gt;"",OR(NOT(ISNUMBER($AC106)),$AC106&lt;0,$AC106&gt;1)),AND($AD106&lt;&gt;"",OR(NOT(ISNUMBER($AD106)),$AD106&lt;0,$AD106&gt;1))),"Marge spécifique invalide (0–100 %)",IF(OR(AND($P106&lt;&gt;"",NOT(ISNUMBER($P106))),AND($Q106&lt;&gt;"",NOT(ISNUMBER($Q106))),AND($R106&lt;&gt;"",NOT(ISNUMBER($R106)))),"Mois invalide",IF(AND(OR($G106="À migrer",$G106="À décommissionner"),COUNTIFS(TblClusters[Cluster],$I106,TblClusters[Plateforme],"IKS")=0),"Cluster IKS inconnu",IF(AND(OR($G106="À migrer",$G106="Migré"),COUNTIFS(TblClusters[Cluster],$J106,TblClusters[Plateforme],"ROKS")=0),"Cluster ROKS inconnu",IF(AND(OR($G106="À migrer",$G106="À décommissionner"),COUNTIFS(TblClusters[Cluster],$I106,TblClusters[Environnement],$E106)=0),"Environnement ≠ cluster IKS",IF(AND(OR($G106="À migrer",$G106="Migré"),COUNTIFS(TblClusters[Cluster],$J106,TblClusters[Environnement],$E106)=0),"Environnement ≠ cluster ROKS",IF(AND($G106="À migrer",OR($P106&gt;$Q106,$Q106&gt;$R106)),"Dates incohérentes (prov ≤ bascule ≤ libération)",IF(AND(OR($G106="À migrer",$G106="À décommissionner"),OR(N($N106)&gt;SUMIFS(TblClusters[CPU initial (vCPU)],TblClusters[Cluster],$I106),N($O106)&gt;SUMIFS(TblClusters[RAM initiale (Go)],TblClusters[Cluster],$I106))),"Libération &gt; capacité du cluster source",IF(OR(AND($V106&lt;&gt;"",$V106&lt;p_debut),AND($W106&lt;&gt;"",$W106&gt;p_fin)),"Hors horizon (info)",IF(AND($G106="À migrer",$E106="PRD",COUNTIFS(TblApplications[ID],$C106,TblApplications[Environnement],"NPRD",TblApplications[Action],"À migrer")&gt;0,$V106&lt;_xlfn.MINIFS(TblApplications[Mois prov (calc)],TblApplications[ID],$C106,TblApplications[Environnement],"NPRD")),"PRD avant NPRD (info)","OK"))))))))))))))))))))</f>
        <v/>
      </c>
      <c r="AC106" s="76"/>
      <c r="AD106" s="76"/>
      <c r="AE106" s="22" t="str">
        <f aca="false">IF(OR($C106="",NOT(OR($G106="À migrer",$G106="À décommissionner")),NOT(ISNUMBER($N106)),NOT(ISNUMBER($O106)),$W106=""),"",($N106+p_poidsram*$O106)*SUMIFS(TblCalculs[Coût par unité],TblCalculs[Cluster],$I106,TblCalculs[Mois],"&lt;"&amp;$W106))</f>
        <v/>
      </c>
      <c r="AF106" s="22" t="str">
        <f aca="false">IF($C106="","",IF(AND($G106="À migrer",$H106="Non",$T106&lt;&gt;"",$V106&lt;&gt;""),($T106+p_poidsram*$U106)*SUMIFS(TblCalculs[Coût par unité],TblCalculs[Cluster],$J106,TblCalculs[Mois],"&gt;="&amp;$V106),IF(AND($G106="Migré",$T106&lt;&gt;""),($T106+p_poidsram*$U106)*SUMIFS(TblCalculs[Coût par unité],TblCalculs[Cluster],$J106),"")))</f>
        <v/>
      </c>
      <c r="AG106" s="22" t="str">
        <f aca="false">IF($C106="","",N($AE106)+N($AF106))</f>
        <v/>
      </c>
      <c r="AH106" s="21" t="str">
        <f aca="false">IF(OR($C106="",$G106="Décommissionné",COUNTIFS($E106,av_envc,$A106,av_domc,$B106,av_tric)=0),"",COUNTIFS($C$6:$C106,"&lt;&gt;",$G$6:$G106,"&lt;&gt;Décommissionné",$E$6:$E106,av_envc,$A$6:$A106,av_domc,$B$6:$B106,av_tric))</f>
        <v/>
      </c>
      <c r="AI106" s="21" t="str">
        <f aca="false">IF($C106="","",IF(AND(OR($G106="À migrer",$G106="À décommissionner"),$W106&lt;&gt;"",$W106&gt;ex_mois),1,0))</f>
        <v/>
      </c>
      <c r="AJ106" s="21" t="str">
        <f aca="false">IF(OR($C106="",$AI106&lt;&gt;1,COUNTIFS($E106,ex_envc,$A106,ex_domc,$B106,ex_tric)=0),"",COUNTIFS($AI$6:$AI106,1,$E$6:$E106,ex_envc,$A$6:$A106,ex_domc,$B$6:$B106,ex_tric))</f>
        <v/>
      </c>
    </row>
    <row r="107" customFormat="false" ht="15" hidden="false" customHeight="false" outlineLevel="0" collapsed="false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5"/>
      <c r="Q107" s="75"/>
      <c r="R107" s="75"/>
      <c r="S107" s="74"/>
      <c r="T107" s="21" t="str">
        <f aca="false">IF(OR($C107="",NOT(OR($G107="À migrer",$G107="Migré")),NOT(ISNUMBER($K107))),"",ROUNDUP($K107*(1+IF($AC107="",p_margeCPU,$AC107)),0))</f>
        <v/>
      </c>
      <c r="U107" s="21" t="str">
        <f aca="false">IF(OR($C107="",NOT(OR($G107="À migrer",$G107="Migré")),NOT(ISNUMBER($L107))),"",ROUNDUP($L107*(1+IF($AD107="",p_margeRAM,$AD107)),0))</f>
        <v/>
      </c>
      <c r="V107" s="39" t="str">
        <f aca="false">IF(OR(NOT($G107="À migrer"),$P107=""),"",IFERROR(DATE(YEAR($P107),MONTH($P107),1),""))</f>
        <v/>
      </c>
      <c r="W107" s="39" t="str">
        <f aca="false">IF(OR(NOT(OR($G107="À migrer",$G107="À décommissionner")),$R107=""),"",IFERROR(DATE(YEAR($R107),MONTH($R107),1),""))</f>
        <v/>
      </c>
      <c r="X107" s="21" t="str">
        <f aca="false">IF(OR($V107="",$W107=""),"",MAX(0,(YEAR($W107)-YEAR($V107))*12+MONTH($W107)-MONTH($V107)))</f>
        <v/>
      </c>
      <c r="Y107" s="21" t="str">
        <f aca="false">IF($C107="","",COUNTIF(TblApplications[ID],$C107))</f>
        <v/>
      </c>
      <c r="Z107" s="39" t="str">
        <f aca="false">IF($C107="","",IFERROR(1/(1/_xlfn.MINIFS(TblApplications[Mois prov (calc)],TblApplications[ID],$C107)),""))</f>
        <v/>
      </c>
      <c r="AA107" s="39" t="str">
        <f aca="false">IF($C107="","",IFERROR(1/(1/_xlfn.MAXIFS(TblApplications[Mois lib (calc)],TblApplications[ID],$C107)),""))</f>
        <v/>
      </c>
      <c r="AB107" s="21" t="str">
        <f aca="false">IF($C107="","",IF(OR(OR($A107="",$B107="",$D107="",$E107="",$F107="",$G107=""),AND($G107="À migrer",OR($H107="",$I107="",$J107="",$K107="",$L107="",$N107="",$O107="",$P107="",$Q107="",$R107="")),AND($G107="Migré",OR($J107="",$K107="",$L107="")),AND($G107="À décommissionner",OR($I107="",$N107="",$O107="",$R107=""))),"Données manquantes (selon l’action)",IF(AND($G107&lt;&gt;"Migré",$G107&lt;&gt;"À migrer",$G107&lt;&gt;"À décommissionner",$G107&lt;&gt;"Décommissionné"),"Action invalide",IF(COUNTIF(TblDomaines[Domaine],$A107)=0,"Domaine inconnu (référentiel)",IF(COUNTIFS(TblTribes[Tribe],$B107,TblTribes[Domaine de la tribe],$A107)=0,"Tribe inconnue ou hors domaine",IF(AND($G107="À migrer",$H107&lt;&gt;"Oui",$H107&lt;&gt;"Non"),"Valeur Oui/Non invalide (Déjà incluse ROKS)",IF(AND($E107&lt;&gt;"PRD",$E107&lt;&gt;"NPRD"),"Environnement invalide",IF(COUNTIFS(TblApplications[ID],$C107,TblApplications[Environnement],$E107,TblApplications[Couloir],$F107)&gt;1,"Déploiement en doublon (ID + env + couloir)",IF(OR(AND($K107&lt;&gt;"",NOT(ISNUMBER($K107))),AND($L107&lt;&gt;"",NOT(ISNUMBER($L107))),AND($N107&lt;&gt;"",NOT(ISNUMBER($N107))),AND($O107&lt;&gt;"",NOT(ISNUMBER($O107)))),"Ressource non numérique",IF(MIN(N($K107),N($L107),N($N107),N($O107))&lt;0,"Ressource négative",IF(OR(AND($AC107&lt;&gt;"",OR(NOT(ISNUMBER($AC107)),$AC107&lt;0,$AC107&gt;1)),AND($AD107&lt;&gt;"",OR(NOT(ISNUMBER($AD107)),$AD107&lt;0,$AD107&gt;1))),"Marge spécifique invalide (0–100 %)",IF(OR(AND($P107&lt;&gt;"",NOT(ISNUMBER($P107))),AND($Q107&lt;&gt;"",NOT(ISNUMBER($Q107))),AND($R107&lt;&gt;"",NOT(ISNUMBER($R107)))),"Mois invalide",IF(AND(OR($G107="À migrer",$G107="À décommissionner"),COUNTIFS(TblClusters[Cluster],$I107,TblClusters[Plateforme],"IKS")=0),"Cluster IKS inconnu",IF(AND(OR($G107="À migrer",$G107="Migré"),COUNTIFS(TblClusters[Cluster],$J107,TblClusters[Plateforme],"ROKS")=0),"Cluster ROKS inconnu",IF(AND(OR($G107="À migrer",$G107="À décommissionner"),COUNTIFS(TblClusters[Cluster],$I107,TblClusters[Environnement],$E107)=0),"Environnement ≠ cluster IKS",IF(AND(OR($G107="À migrer",$G107="Migré"),COUNTIFS(TblClusters[Cluster],$J107,TblClusters[Environnement],$E107)=0),"Environnement ≠ cluster ROKS",IF(AND($G107="À migrer",OR($P107&gt;$Q107,$Q107&gt;$R107)),"Dates incohérentes (prov ≤ bascule ≤ libération)",IF(AND(OR($G107="À migrer",$G107="À décommissionner"),OR(N($N107)&gt;SUMIFS(TblClusters[CPU initial (vCPU)],TblClusters[Cluster],$I107),N($O107)&gt;SUMIFS(TblClusters[RAM initiale (Go)],TblClusters[Cluster],$I107))),"Libération &gt; capacité du cluster source",IF(OR(AND($V107&lt;&gt;"",$V107&lt;p_debut),AND($W107&lt;&gt;"",$W107&gt;p_fin)),"Hors horizon (info)",IF(AND($G107="À migrer",$E107="PRD",COUNTIFS(TblApplications[ID],$C107,TblApplications[Environnement],"NPRD",TblApplications[Action],"À migrer")&gt;0,$V107&lt;_xlfn.MINIFS(TblApplications[Mois prov (calc)],TblApplications[ID],$C107,TblApplications[Environnement],"NPRD")),"PRD avant NPRD (info)","OK"))))))))))))))))))))</f>
        <v/>
      </c>
      <c r="AC107" s="76"/>
      <c r="AD107" s="76"/>
      <c r="AE107" s="22" t="str">
        <f aca="false">IF(OR($C107="",NOT(OR($G107="À migrer",$G107="À décommissionner")),NOT(ISNUMBER($N107)),NOT(ISNUMBER($O107)),$W107=""),"",($N107+p_poidsram*$O107)*SUMIFS(TblCalculs[Coût par unité],TblCalculs[Cluster],$I107,TblCalculs[Mois],"&lt;"&amp;$W107))</f>
        <v/>
      </c>
      <c r="AF107" s="22" t="str">
        <f aca="false">IF($C107="","",IF(AND($G107="À migrer",$H107="Non",$T107&lt;&gt;"",$V107&lt;&gt;""),($T107+p_poidsram*$U107)*SUMIFS(TblCalculs[Coût par unité],TblCalculs[Cluster],$J107,TblCalculs[Mois],"&gt;="&amp;$V107),IF(AND($G107="Migré",$T107&lt;&gt;""),($T107+p_poidsram*$U107)*SUMIFS(TblCalculs[Coût par unité],TblCalculs[Cluster],$J107),"")))</f>
        <v/>
      </c>
      <c r="AG107" s="22" t="str">
        <f aca="false">IF($C107="","",N($AE107)+N($AF107))</f>
        <v/>
      </c>
      <c r="AH107" s="21" t="str">
        <f aca="false">IF(OR($C107="",$G107="Décommissionné",COUNTIFS($E107,av_envc,$A107,av_domc,$B107,av_tric)=0),"",COUNTIFS($C$6:$C107,"&lt;&gt;",$G$6:$G107,"&lt;&gt;Décommissionné",$E$6:$E107,av_envc,$A$6:$A107,av_domc,$B$6:$B107,av_tric))</f>
        <v/>
      </c>
      <c r="AI107" s="21" t="str">
        <f aca="false">IF($C107="","",IF(AND(OR($G107="À migrer",$G107="À décommissionner"),$W107&lt;&gt;"",$W107&gt;ex_mois),1,0))</f>
        <v/>
      </c>
      <c r="AJ107" s="21" t="str">
        <f aca="false">IF(OR($C107="",$AI107&lt;&gt;1,COUNTIFS($E107,ex_envc,$A107,ex_domc,$B107,ex_tric)=0),"",COUNTIFS($AI$6:$AI107,1,$E$6:$E107,ex_envc,$A$6:$A107,ex_domc,$B$6:$B107,ex_tric))</f>
        <v/>
      </c>
    </row>
    <row r="108" customFormat="false" ht="15" hidden="false" customHeight="false" outlineLevel="0" collapsed="false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5"/>
      <c r="Q108" s="75"/>
      <c r="R108" s="75"/>
      <c r="S108" s="74"/>
      <c r="T108" s="21" t="str">
        <f aca="false">IF(OR($C108="",NOT(OR($G108="À migrer",$G108="Migré")),NOT(ISNUMBER($K108))),"",ROUNDUP($K108*(1+IF($AC108="",p_margeCPU,$AC108)),0))</f>
        <v/>
      </c>
      <c r="U108" s="21" t="str">
        <f aca="false">IF(OR($C108="",NOT(OR($G108="À migrer",$G108="Migré")),NOT(ISNUMBER($L108))),"",ROUNDUP($L108*(1+IF($AD108="",p_margeRAM,$AD108)),0))</f>
        <v/>
      </c>
      <c r="V108" s="39" t="str">
        <f aca="false">IF(OR(NOT($G108="À migrer"),$P108=""),"",IFERROR(DATE(YEAR($P108),MONTH($P108),1),""))</f>
        <v/>
      </c>
      <c r="W108" s="39" t="str">
        <f aca="false">IF(OR(NOT(OR($G108="À migrer",$G108="À décommissionner")),$R108=""),"",IFERROR(DATE(YEAR($R108),MONTH($R108),1),""))</f>
        <v/>
      </c>
      <c r="X108" s="21" t="str">
        <f aca="false">IF(OR($V108="",$W108=""),"",MAX(0,(YEAR($W108)-YEAR($V108))*12+MONTH($W108)-MONTH($V108)))</f>
        <v/>
      </c>
      <c r="Y108" s="21" t="str">
        <f aca="false">IF($C108="","",COUNTIF(TblApplications[ID],$C108))</f>
        <v/>
      </c>
      <c r="Z108" s="39" t="str">
        <f aca="false">IF($C108="","",IFERROR(1/(1/_xlfn.MINIFS(TblApplications[Mois prov (calc)],TblApplications[ID],$C108)),""))</f>
        <v/>
      </c>
      <c r="AA108" s="39" t="str">
        <f aca="false">IF($C108="","",IFERROR(1/(1/_xlfn.MAXIFS(TblApplications[Mois lib (calc)],TblApplications[ID],$C108)),""))</f>
        <v/>
      </c>
      <c r="AB108" s="21" t="str">
        <f aca="false">IF($C108="","",IF(OR(OR($A108="",$B108="",$D108="",$E108="",$F108="",$G108=""),AND($G108="À migrer",OR($H108="",$I108="",$J108="",$K108="",$L108="",$N108="",$O108="",$P108="",$Q108="",$R108="")),AND($G108="Migré",OR($J108="",$K108="",$L108="")),AND($G108="À décommissionner",OR($I108="",$N108="",$O108="",$R108=""))),"Données manquantes (selon l’action)",IF(AND($G108&lt;&gt;"Migré",$G108&lt;&gt;"À migrer",$G108&lt;&gt;"À décommissionner",$G108&lt;&gt;"Décommissionné"),"Action invalide",IF(COUNTIF(TblDomaines[Domaine],$A108)=0,"Domaine inconnu (référentiel)",IF(COUNTIFS(TblTribes[Tribe],$B108,TblTribes[Domaine de la tribe],$A108)=0,"Tribe inconnue ou hors domaine",IF(AND($G108="À migrer",$H108&lt;&gt;"Oui",$H108&lt;&gt;"Non"),"Valeur Oui/Non invalide (Déjà incluse ROKS)",IF(AND($E108&lt;&gt;"PRD",$E108&lt;&gt;"NPRD"),"Environnement invalide",IF(COUNTIFS(TblApplications[ID],$C108,TblApplications[Environnement],$E108,TblApplications[Couloir],$F108)&gt;1,"Déploiement en doublon (ID + env + couloir)",IF(OR(AND($K108&lt;&gt;"",NOT(ISNUMBER($K108))),AND($L108&lt;&gt;"",NOT(ISNUMBER($L108))),AND($N108&lt;&gt;"",NOT(ISNUMBER($N108))),AND($O108&lt;&gt;"",NOT(ISNUMBER($O108)))),"Ressource non numérique",IF(MIN(N($K108),N($L108),N($N108),N($O108))&lt;0,"Ressource négative",IF(OR(AND($AC108&lt;&gt;"",OR(NOT(ISNUMBER($AC108)),$AC108&lt;0,$AC108&gt;1)),AND($AD108&lt;&gt;"",OR(NOT(ISNUMBER($AD108)),$AD108&lt;0,$AD108&gt;1))),"Marge spécifique invalide (0–100 %)",IF(OR(AND($P108&lt;&gt;"",NOT(ISNUMBER($P108))),AND($Q108&lt;&gt;"",NOT(ISNUMBER($Q108))),AND($R108&lt;&gt;"",NOT(ISNUMBER($R108)))),"Mois invalide",IF(AND(OR($G108="À migrer",$G108="À décommissionner"),COUNTIFS(TblClusters[Cluster],$I108,TblClusters[Plateforme],"IKS")=0),"Cluster IKS inconnu",IF(AND(OR($G108="À migrer",$G108="Migré"),COUNTIFS(TblClusters[Cluster],$J108,TblClusters[Plateforme],"ROKS")=0),"Cluster ROKS inconnu",IF(AND(OR($G108="À migrer",$G108="À décommissionner"),COUNTIFS(TblClusters[Cluster],$I108,TblClusters[Environnement],$E108)=0),"Environnement ≠ cluster IKS",IF(AND(OR($G108="À migrer",$G108="Migré"),COUNTIFS(TblClusters[Cluster],$J108,TblClusters[Environnement],$E108)=0),"Environnement ≠ cluster ROKS",IF(AND($G108="À migrer",OR($P108&gt;$Q108,$Q108&gt;$R108)),"Dates incohérentes (prov ≤ bascule ≤ libération)",IF(AND(OR($G108="À migrer",$G108="À décommissionner"),OR(N($N108)&gt;SUMIFS(TblClusters[CPU initial (vCPU)],TblClusters[Cluster],$I108),N($O108)&gt;SUMIFS(TblClusters[RAM initiale (Go)],TblClusters[Cluster],$I108))),"Libération &gt; capacité du cluster source",IF(OR(AND($V108&lt;&gt;"",$V108&lt;p_debut),AND($W108&lt;&gt;"",$W108&gt;p_fin)),"Hors horizon (info)",IF(AND($G108="À migrer",$E108="PRD",COUNTIFS(TblApplications[ID],$C108,TblApplications[Environnement],"NPRD",TblApplications[Action],"À migrer")&gt;0,$V108&lt;_xlfn.MINIFS(TblApplications[Mois prov (calc)],TblApplications[ID],$C108,TblApplications[Environnement],"NPRD")),"PRD avant NPRD (info)","OK"))))))))))))))))))))</f>
        <v/>
      </c>
      <c r="AC108" s="76"/>
      <c r="AD108" s="76"/>
      <c r="AE108" s="22" t="str">
        <f aca="false">IF(OR($C108="",NOT(OR($G108="À migrer",$G108="À décommissionner")),NOT(ISNUMBER($N108)),NOT(ISNUMBER($O108)),$W108=""),"",($N108+p_poidsram*$O108)*SUMIFS(TblCalculs[Coût par unité],TblCalculs[Cluster],$I108,TblCalculs[Mois],"&lt;"&amp;$W108))</f>
        <v/>
      </c>
      <c r="AF108" s="22" t="str">
        <f aca="false">IF($C108="","",IF(AND($G108="À migrer",$H108="Non",$T108&lt;&gt;"",$V108&lt;&gt;""),($T108+p_poidsram*$U108)*SUMIFS(TblCalculs[Coût par unité],TblCalculs[Cluster],$J108,TblCalculs[Mois],"&gt;="&amp;$V108),IF(AND($G108="Migré",$T108&lt;&gt;""),($T108+p_poidsram*$U108)*SUMIFS(TblCalculs[Coût par unité],TblCalculs[Cluster],$J108),"")))</f>
        <v/>
      </c>
      <c r="AG108" s="22" t="str">
        <f aca="false">IF($C108="","",N($AE108)+N($AF108))</f>
        <v/>
      </c>
      <c r="AH108" s="21" t="str">
        <f aca="false">IF(OR($C108="",$G108="Décommissionné",COUNTIFS($E108,av_envc,$A108,av_domc,$B108,av_tric)=0),"",COUNTIFS($C$6:$C108,"&lt;&gt;",$G$6:$G108,"&lt;&gt;Décommissionné",$E$6:$E108,av_envc,$A$6:$A108,av_domc,$B$6:$B108,av_tric))</f>
        <v/>
      </c>
      <c r="AI108" s="21" t="str">
        <f aca="false">IF($C108="","",IF(AND(OR($G108="À migrer",$G108="À décommissionner"),$W108&lt;&gt;"",$W108&gt;ex_mois),1,0))</f>
        <v/>
      </c>
      <c r="AJ108" s="21" t="str">
        <f aca="false">IF(OR($C108="",$AI108&lt;&gt;1,COUNTIFS($E108,ex_envc,$A108,ex_domc,$B108,ex_tric)=0),"",COUNTIFS($AI$6:$AI108,1,$E$6:$E108,ex_envc,$A$6:$A108,ex_domc,$B$6:$B108,ex_tric))</f>
        <v/>
      </c>
    </row>
    <row r="109" customFormat="false" ht="15" hidden="false" customHeight="false" outlineLevel="0" collapsed="false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5"/>
      <c r="Q109" s="75"/>
      <c r="R109" s="75"/>
      <c r="S109" s="74"/>
      <c r="T109" s="21" t="str">
        <f aca="false">IF(OR($C109="",NOT(OR($G109="À migrer",$G109="Migré")),NOT(ISNUMBER($K109))),"",ROUNDUP($K109*(1+IF($AC109="",p_margeCPU,$AC109)),0))</f>
        <v/>
      </c>
      <c r="U109" s="21" t="str">
        <f aca="false">IF(OR($C109="",NOT(OR($G109="À migrer",$G109="Migré")),NOT(ISNUMBER($L109))),"",ROUNDUP($L109*(1+IF($AD109="",p_margeRAM,$AD109)),0))</f>
        <v/>
      </c>
      <c r="V109" s="39" t="str">
        <f aca="false">IF(OR(NOT($G109="À migrer"),$P109=""),"",IFERROR(DATE(YEAR($P109),MONTH($P109),1),""))</f>
        <v/>
      </c>
      <c r="W109" s="39" t="str">
        <f aca="false">IF(OR(NOT(OR($G109="À migrer",$G109="À décommissionner")),$R109=""),"",IFERROR(DATE(YEAR($R109),MONTH($R109),1),""))</f>
        <v/>
      </c>
      <c r="X109" s="21" t="str">
        <f aca="false">IF(OR($V109="",$W109=""),"",MAX(0,(YEAR($W109)-YEAR($V109))*12+MONTH($W109)-MONTH($V109)))</f>
        <v/>
      </c>
      <c r="Y109" s="21" t="str">
        <f aca="false">IF($C109="","",COUNTIF(TblApplications[ID],$C109))</f>
        <v/>
      </c>
      <c r="Z109" s="39" t="str">
        <f aca="false">IF($C109="","",IFERROR(1/(1/_xlfn.MINIFS(TblApplications[Mois prov (calc)],TblApplications[ID],$C109)),""))</f>
        <v/>
      </c>
      <c r="AA109" s="39" t="str">
        <f aca="false">IF($C109="","",IFERROR(1/(1/_xlfn.MAXIFS(TblApplications[Mois lib (calc)],TblApplications[ID],$C109)),""))</f>
        <v/>
      </c>
      <c r="AB109" s="21" t="str">
        <f aca="false">IF($C109="","",IF(OR(OR($A109="",$B109="",$D109="",$E109="",$F109="",$G109=""),AND($G109="À migrer",OR($H109="",$I109="",$J109="",$K109="",$L109="",$N109="",$O109="",$P109="",$Q109="",$R109="")),AND($G109="Migré",OR($J109="",$K109="",$L109="")),AND($G109="À décommissionner",OR($I109="",$N109="",$O109="",$R109=""))),"Données manquantes (selon l’action)",IF(AND($G109&lt;&gt;"Migré",$G109&lt;&gt;"À migrer",$G109&lt;&gt;"À décommissionner",$G109&lt;&gt;"Décommissionné"),"Action invalide",IF(COUNTIF(TblDomaines[Domaine],$A109)=0,"Domaine inconnu (référentiel)",IF(COUNTIFS(TblTribes[Tribe],$B109,TblTribes[Domaine de la tribe],$A109)=0,"Tribe inconnue ou hors domaine",IF(AND($G109="À migrer",$H109&lt;&gt;"Oui",$H109&lt;&gt;"Non"),"Valeur Oui/Non invalide (Déjà incluse ROKS)",IF(AND($E109&lt;&gt;"PRD",$E109&lt;&gt;"NPRD"),"Environnement invalide",IF(COUNTIFS(TblApplications[ID],$C109,TblApplications[Environnement],$E109,TblApplications[Couloir],$F109)&gt;1,"Déploiement en doublon (ID + env + couloir)",IF(OR(AND($K109&lt;&gt;"",NOT(ISNUMBER($K109))),AND($L109&lt;&gt;"",NOT(ISNUMBER($L109))),AND($N109&lt;&gt;"",NOT(ISNUMBER($N109))),AND($O109&lt;&gt;"",NOT(ISNUMBER($O109)))),"Ressource non numérique",IF(MIN(N($K109),N($L109),N($N109),N($O109))&lt;0,"Ressource négative",IF(OR(AND($AC109&lt;&gt;"",OR(NOT(ISNUMBER($AC109)),$AC109&lt;0,$AC109&gt;1)),AND($AD109&lt;&gt;"",OR(NOT(ISNUMBER($AD109)),$AD109&lt;0,$AD109&gt;1))),"Marge spécifique invalide (0–100 %)",IF(OR(AND($P109&lt;&gt;"",NOT(ISNUMBER($P109))),AND($Q109&lt;&gt;"",NOT(ISNUMBER($Q109))),AND($R109&lt;&gt;"",NOT(ISNUMBER($R109)))),"Mois invalide",IF(AND(OR($G109="À migrer",$G109="À décommissionner"),COUNTIFS(TblClusters[Cluster],$I109,TblClusters[Plateforme],"IKS")=0),"Cluster IKS inconnu",IF(AND(OR($G109="À migrer",$G109="Migré"),COUNTIFS(TblClusters[Cluster],$J109,TblClusters[Plateforme],"ROKS")=0),"Cluster ROKS inconnu",IF(AND(OR($G109="À migrer",$G109="À décommissionner"),COUNTIFS(TblClusters[Cluster],$I109,TblClusters[Environnement],$E109)=0),"Environnement ≠ cluster IKS",IF(AND(OR($G109="À migrer",$G109="Migré"),COUNTIFS(TblClusters[Cluster],$J109,TblClusters[Environnement],$E109)=0),"Environnement ≠ cluster ROKS",IF(AND($G109="À migrer",OR($P109&gt;$Q109,$Q109&gt;$R109)),"Dates incohérentes (prov ≤ bascule ≤ libération)",IF(AND(OR($G109="À migrer",$G109="À décommissionner"),OR(N($N109)&gt;SUMIFS(TblClusters[CPU initial (vCPU)],TblClusters[Cluster],$I109),N($O109)&gt;SUMIFS(TblClusters[RAM initiale (Go)],TblClusters[Cluster],$I109))),"Libération &gt; capacité du cluster source",IF(OR(AND($V109&lt;&gt;"",$V109&lt;p_debut),AND($W109&lt;&gt;"",$W109&gt;p_fin)),"Hors horizon (info)",IF(AND($G109="À migrer",$E109="PRD",COUNTIFS(TblApplications[ID],$C109,TblApplications[Environnement],"NPRD",TblApplications[Action],"À migrer")&gt;0,$V109&lt;_xlfn.MINIFS(TblApplications[Mois prov (calc)],TblApplications[ID],$C109,TblApplications[Environnement],"NPRD")),"PRD avant NPRD (info)","OK"))))))))))))))))))))</f>
        <v/>
      </c>
      <c r="AC109" s="76"/>
      <c r="AD109" s="76"/>
      <c r="AE109" s="22" t="str">
        <f aca="false">IF(OR($C109="",NOT(OR($G109="À migrer",$G109="À décommissionner")),NOT(ISNUMBER($N109)),NOT(ISNUMBER($O109)),$W109=""),"",($N109+p_poidsram*$O109)*SUMIFS(TblCalculs[Coût par unité],TblCalculs[Cluster],$I109,TblCalculs[Mois],"&lt;"&amp;$W109))</f>
        <v/>
      </c>
      <c r="AF109" s="22" t="str">
        <f aca="false">IF($C109="","",IF(AND($G109="À migrer",$H109="Non",$T109&lt;&gt;"",$V109&lt;&gt;""),($T109+p_poidsram*$U109)*SUMIFS(TblCalculs[Coût par unité],TblCalculs[Cluster],$J109,TblCalculs[Mois],"&gt;="&amp;$V109),IF(AND($G109="Migré",$T109&lt;&gt;""),($T109+p_poidsram*$U109)*SUMIFS(TblCalculs[Coût par unité],TblCalculs[Cluster],$J109),"")))</f>
        <v/>
      </c>
      <c r="AG109" s="22" t="str">
        <f aca="false">IF($C109="","",N($AE109)+N($AF109))</f>
        <v/>
      </c>
      <c r="AH109" s="21" t="str">
        <f aca="false">IF(OR($C109="",$G109="Décommissionné",COUNTIFS($E109,av_envc,$A109,av_domc,$B109,av_tric)=0),"",COUNTIFS($C$6:$C109,"&lt;&gt;",$G$6:$G109,"&lt;&gt;Décommissionné",$E$6:$E109,av_envc,$A$6:$A109,av_domc,$B$6:$B109,av_tric))</f>
        <v/>
      </c>
      <c r="AI109" s="21" t="str">
        <f aca="false">IF($C109="","",IF(AND(OR($G109="À migrer",$G109="À décommissionner"),$W109&lt;&gt;"",$W109&gt;ex_mois),1,0))</f>
        <v/>
      </c>
      <c r="AJ109" s="21" t="str">
        <f aca="false">IF(OR($C109="",$AI109&lt;&gt;1,COUNTIFS($E109,ex_envc,$A109,ex_domc,$B109,ex_tric)=0),"",COUNTIFS($AI$6:$AI109,1,$E$6:$E109,ex_envc,$A$6:$A109,ex_domc,$B$6:$B109,ex_tric))</f>
        <v/>
      </c>
    </row>
    <row r="110" customFormat="false" ht="15" hidden="false" customHeight="false" outlineLevel="0" collapsed="false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5"/>
      <c r="Q110" s="75"/>
      <c r="R110" s="75"/>
      <c r="S110" s="74"/>
      <c r="T110" s="21" t="str">
        <f aca="false">IF(OR($C110="",NOT(OR($G110="À migrer",$G110="Migré")),NOT(ISNUMBER($K110))),"",ROUNDUP($K110*(1+IF($AC110="",p_margeCPU,$AC110)),0))</f>
        <v/>
      </c>
      <c r="U110" s="21" t="str">
        <f aca="false">IF(OR($C110="",NOT(OR($G110="À migrer",$G110="Migré")),NOT(ISNUMBER($L110))),"",ROUNDUP($L110*(1+IF($AD110="",p_margeRAM,$AD110)),0))</f>
        <v/>
      </c>
      <c r="V110" s="39" t="str">
        <f aca="false">IF(OR(NOT($G110="À migrer"),$P110=""),"",IFERROR(DATE(YEAR($P110),MONTH($P110),1),""))</f>
        <v/>
      </c>
      <c r="W110" s="39" t="str">
        <f aca="false">IF(OR(NOT(OR($G110="À migrer",$G110="À décommissionner")),$R110=""),"",IFERROR(DATE(YEAR($R110),MONTH($R110),1),""))</f>
        <v/>
      </c>
      <c r="X110" s="21" t="str">
        <f aca="false">IF(OR($V110="",$W110=""),"",MAX(0,(YEAR($W110)-YEAR($V110))*12+MONTH($W110)-MONTH($V110)))</f>
        <v/>
      </c>
      <c r="Y110" s="21" t="str">
        <f aca="false">IF($C110="","",COUNTIF(TblApplications[ID],$C110))</f>
        <v/>
      </c>
      <c r="Z110" s="39" t="str">
        <f aca="false">IF($C110="","",IFERROR(1/(1/_xlfn.MINIFS(TblApplications[Mois prov (calc)],TblApplications[ID],$C110)),""))</f>
        <v/>
      </c>
      <c r="AA110" s="39" t="str">
        <f aca="false">IF($C110="","",IFERROR(1/(1/_xlfn.MAXIFS(TblApplications[Mois lib (calc)],TblApplications[ID],$C110)),""))</f>
        <v/>
      </c>
      <c r="AB110" s="21" t="str">
        <f aca="false">IF($C110="","",IF(OR(OR($A110="",$B110="",$D110="",$E110="",$F110="",$G110=""),AND($G110="À migrer",OR($H110="",$I110="",$J110="",$K110="",$L110="",$N110="",$O110="",$P110="",$Q110="",$R110="")),AND($G110="Migré",OR($J110="",$K110="",$L110="")),AND($G110="À décommissionner",OR($I110="",$N110="",$O110="",$R110=""))),"Données manquantes (selon l’action)",IF(AND($G110&lt;&gt;"Migré",$G110&lt;&gt;"À migrer",$G110&lt;&gt;"À décommissionner",$G110&lt;&gt;"Décommissionné"),"Action invalide",IF(COUNTIF(TblDomaines[Domaine],$A110)=0,"Domaine inconnu (référentiel)",IF(COUNTIFS(TblTribes[Tribe],$B110,TblTribes[Domaine de la tribe],$A110)=0,"Tribe inconnue ou hors domaine",IF(AND($G110="À migrer",$H110&lt;&gt;"Oui",$H110&lt;&gt;"Non"),"Valeur Oui/Non invalide (Déjà incluse ROKS)",IF(AND($E110&lt;&gt;"PRD",$E110&lt;&gt;"NPRD"),"Environnement invalide",IF(COUNTIFS(TblApplications[ID],$C110,TblApplications[Environnement],$E110,TblApplications[Couloir],$F110)&gt;1,"Déploiement en doublon (ID + env + couloir)",IF(OR(AND($K110&lt;&gt;"",NOT(ISNUMBER($K110))),AND($L110&lt;&gt;"",NOT(ISNUMBER($L110))),AND($N110&lt;&gt;"",NOT(ISNUMBER($N110))),AND($O110&lt;&gt;"",NOT(ISNUMBER($O110)))),"Ressource non numérique",IF(MIN(N($K110),N($L110),N($N110),N($O110))&lt;0,"Ressource négative",IF(OR(AND($AC110&lt;&gt;"",OR(NOT(ISNUMBER($AC110)),$AC110&lt;0,$AC110&gt;1)),AND($AD110&lt;&gt;"",OR(NOT(ISNUMBER($AD110)),$AD110&lt;0,$AD110&gt;1))),"Marge spécifique invalide (0–100 %)",IF(OR(AND($P110&lt;&gt;"",NOT(ISNUMBER($P110))),AND($Q110&lt;&gt;"",NOT(ISNUMBER($Q110))),AND($R110&lt;&gt;"",NOT(ISNUMBER($R110)))),"Mois invalide",IF(AND(OR($G110="À migrer",$G110="À décommissionner"),COUNTIFS(TblClusters[Cluster],$I110,TblClusters[Plateforme],"IKS")=0),"Cluster IKS inconnu",IF(AND(OR($G110="À migrer",$G110="Migré"),COUNTIFS(TblClusters[Cluster],$J110,TblClusters[Plateforme],"ROKS")=0),"Cluster ROKS inconnu",IF(AND(OR($G110="À migrer",$G110="À décommissionner"),COUNTIFS(TblClusters[Cluster],$I110,TblClusters[Environnement],$E110)=0),"Environnement ≠ cluster IKS",IF(AND(OR($G110="À migrer",$G110="Migré"),COUNTIFS(TblClusters[Cluster],$J110,TblClusters[Environnement],$E110)=0),"Environnement ≠ cluster ROKS",IF(AND($G110="À migrer",OR($P110&gt;$Q110,$Q110&gt;$R110)),"Dates incohérentes (prov ≤ bascule ≤ libération)",IF(AND(OR($G110="À migrer",$G110="À décommissionner"),OR(N($N110)&gt;SUMIFS(TblClusters[CPU initial (vCPU)],TblClusters[Cluster],$I110),N($O110)&gt;SUMIFS(TblClusters[RAM initiale (Go)],TblClusters[Cluster],$I110))),"Libération &gt; capacité du cluster source",IF(OR(AND($V110&lt;&gt;"",$V110&lt;p_debut),AND($W110&lt;&gt;"",$W110&gt;p_fin)),"Hors horizon (info)",IF(AND($G110="À migrer",$E110="PRD",COUNTIFS(TblApplications[ID],$C110,TblApplications[Environnement],"NPRD",TblApplications[Action],"À migrer")&gt;0,$V110&lt;_xlfn.MINIFS(TblApplications[Mois prov (calc)],TblApplications[ID],$C110,TblApplications[Environnement],"NPRD")),"PRD avant NPRD (info)","OK"))))))))))))))))))))</f>
        <v/>
      </c>
      <c r="AC110" s="76"/>
      <c r="AD110" s="76"/>
      <c r="AE110" s="22" t="str">
        <f aca="false">IF(OR($C110="",NOT(OR($G110="À migrer",$G110="À décommissionner")),NOT(ISNUMBER($N110)),NOT(ISNUMBER($O110)),$W110=""),"",($N110+p_poidsram*$O110)*SUMIFS(TblCalculs[Coût par unité],TblCalculs[Cluster],$I110,TblCalculs[Mois],"&lt;"&amp;$W110))</f>
        <v/>
      </c>
      <c r="AF110" s="22" t="str">
        <f aca="false">IF($C110="","",IF(AND($G110="À migrer",$H110="Non",$T110&lt;&gt;"",$V110&lt;&gt;""),($T110+p_poidsram*$U110)*SUMIFS(TblCalculs[Coût par unité],TblCalculs[Cluster],$J110,TblCalculs[Mois],"&gt;="&amp;$V110),IF(AND($G110="Migré",$T110&lt;&gt;""),($T110+p_poidsram*$U110)*SUMIFS(TblCalculs[Coût par unité],TblCalculs[Cluster],$J110),"")))</f>
        <v/>
      </c>
      <c r="AG110" s="22" t="str">
        <f aca="false">IF($C110="","",N($AE110)+N($AF110))</f>
        <v/>
      </c>
      <c r="AH110" s="21" t="str">
        <f aca="false">IF(OR($C110="",$G110="Décommissionné",COUNTIFS($E110,av_envc,$A110,av_domc,$B110,av_tric)=0),"",COUNTIFS($C$6:$C110,"&lt;&gt;",$G$6:$G110,"&lt;&gt;Décommissionné",$E$6:$E110,av_envc,$A$6:$A110,av_domc,$B$6:$B110,av_tric))</f>
        <v/>
      </c>
      <c r="AI110" s="21" t="str">
        <f aca="false">IF($C110="","",IF(AND(OR($G110="À migrer",$G110="À décommissionner"),$W110&lt;&gt;"",$W110&gt;ex_mois),1,0))</f>
        <v/>
      </c>
      <c r="AJ110" s="21" t="str">
        <f aca="false">IF(OR($C110="",$AI110&lt;&gt;1,COUNTIFS($E110,ex_envc,$A110,ex_domc,$B110,ex_tric)=0),"",COUNTIFS($AI$6:$AI110,1,$E$6:$E110,ex_envc,$A$6:$A110,ex_domc,$B$6:$B110,ex_tric))</f>
        <v/>
      </c>
    </row>
    <row r="111" customFormat="false" ht="15" hidden="false" customHeight="false" outlineLevel="0" collapsed="false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5"/>
      <c r="Q111" s="75"/>
      <c r="R111" s="75"/>
      <c r="S111" s="74"/>
      <c r="T111" s="21" t="str">
        <f aca="false">IF(OR($C111="",NOT(OR($G111="À migrer",$G111="Migré")),NOT(ISNUMBER($K111))),"",ROUNDUP($K111*(1+IF($AC111="",p_margeCPU,$AC111)),0))</f>
        <v/>
      </c>
      <c r="U111" s="21" t="str">
        <f aca="false">IF(OR($C111="",NOT(OR($G111="À migrer",$G111="Migré")),NOT(ISNUMBER($L111))),"",ROUNDUP($L111*(1+IF($AD111="",p_margeRAM,$AD111)),0))</f>
        <v/>
      </c>
      <c r="V111" s="39" t="str">
        <f aca="false">IF(OR(NOT($G111="À migrer"),$P111=""),"",IFERROR(DATE(YEAR($P111),MONTH($P111),1),""))</f>
        <v/>
      </c>
      <c r="W111" s="39" t="str">
        <f aca="false">IF(OR(NOT(OR($G111="À migrer",$G111="À décommissionner")),$R111=""),"",IFERROR(DATE(YEAR($R111),MONTH($R111),1),""))</f>
        <v/>
      </c>
      <c r="X111" s="21" t="str">
        <f aca="false">IF(OR($V111="",$W111=""),"",MAX(0,(YEAR($W111)-YEAR($V111))*12+MONTH($W111)-MONTH($V111)))</f>
        <v/>
      </c>
      <c r="Y111" s="21" t="str">
        <f aca="false">IF($C111="","",COUNTIF(TblApplications[ID],$C111))</f>
        <v/>
      </c>
      <c r="Z111" s="39" t="str">
        <f aca="false">IF($C111="","",IFERROR(1/(1/_xlfn.MINIFS(TblApplications[Mois prov (calc)],TblApplications[ID],$C111)),""))</f>
        <v/>
      </c>
      <c r="AA111" s="39" t="str">
        <f aca="false">IF($C111="","",IFERROR(1/(1/_xlfn.MAXIFS(TblApplications[Mois lib (calc)],TblApplications[ID],$C111)),""))</f>
        <v/>
      </c>
      <c r="AB111" s="21" t="str">
        <f aca="false">IF($C111="","",IF(OR(OR($A111="",$B111="",$D111="",$E111="",$F111="",$G111=""),AND($G111="À migrer",OR($H111="",$I111="",$J111="",$K111="",$L111="",$N111="",$O111="",$P111="",$Q111="",$R111="")),AND($G111="Migré",OR($J111="",$K111="",$L111="")),AND($G111="À décommissionner",OR($I111="",$N111="",$O111="",$R111=""))),"Données manquantes (selon l’action)",IF(AND($G111&lt;&gt;"Migré",$G111&lt;&gt;"À migrer",$G111&lt;&gt;"À décommissionner",$G111&lt;&gt;"Décommissionné"),"Action invalide",IF(COUNTIF(TblDomaines[Domaine],$A111)=0,"Domaine inconnu (référentiel)",IF(COUNTIFS(TblTribes[Tribe],$B111,TblTribes[Domaine de la tribe],$A111)=0,"Tribe inconnue ou hors domaine",IF(AND($G111="À migrer",$H111&lt;&gt;"Oui",$H111&lt;&gt;"Non"),"Valeur Oui/Non invalide (Déjà incluse ROKS)",IF(AND($E111&lt;&gt;"PRD",$E111&lt;&gt;"NPRD"),"Environnement invalide",IF(COUNTIFS(TblApplications[ID],$C111,TblApplications[Environnement],$E111,TblApplications[Couloir],$F111)&gt;1,"Déploiement en doublon (ID + env + couloir)",IF(OR(AND($K111&lt;&gt;"",NOT(ISNUMBER($K111))),AND($L111&lt;&gt;"",NOT(ISNUMBER($L111))),AND($N111&lt;&gt;"",NOT(ISNUMBER($N111))),AND($O111&lt;&gt;"",NOT(ISNUMBER($O111)))),"Ressource non numérique",IF(MIN(N($K111),N($L111),N($N111),N($O111))&lt;0,"Ressource négative",IF(OR(AND($AC111&lt;&gt;"",OR(NOT(ISNUMBER($AC111)),$AC111&lt;0,$AC111&gt;1)),AND($AD111&lt;&gt;"",OR(NOT(ISNUMBER($AD111)),$AD111&lt;0,$AD111&gt;1))),"Marge spécifique invalide (0–100 %)",IF(OR(AND($P111&lt;&gt;"",NOT(ISNUMBER($P111))),AND($Q111&lt;&gt;"",NOT(ISNUMBER($Q111))),AND($R111&lt;&gt;"",NOT(ISNUMBER($R111)))),"Mois invalide",IF(AND(OR($G111="À migrer",$G111="À décommissionner"),COUNTIFS(TblClusters[Cluster],$I111,TblClusters[Plateforme],"IKS")=0),"Cluster IKS inconnu",IF(AND(OR($G111="À migrer",$G111="Migré"),COUNTIFS(TblClusters[Cluster],$J111,TblClusters[Plateforme],"ROKS")=0),"Cluster ROKS inconnu",IF(AND(OR($G111="À migrer",$G111="À décommissionner"),COUNTIFS(TblClusters[Cluster],$I111,TblClusters[Environnement],$E111)=0),"Environnement ≠ cluster IKS",IF(AND(OR($G111="À migrer",$G111="Migré"),COUNTIFS(TblClusters[Cluster],$J111,TblClusters[Environnement],$E111)=0),"Environnement ≠ cluster ROKS",IF(AND($G111="À migrer",OR($P111&gt;$Q111,$Q111&gt;$R111)),"Dates incohérentes (prov ≤ bascule ≤ libération)",IF(AND(OR($G111="À migrer",$G111="À décommissionner"),OR(N($N111)&gt;SUMIFS(TblClusters[CPU initial (vCPU)],TblClusters[Cluster],$I111),N($O111)&gt;SUMIFS(TblClusters[RAM initiale (Go)],TblClusters[Cluster],$I111))),"Libération &gt; capacité du cluster source",IF(OR(AND($V111&lt;&gt;"",$V111&lt;p_debut),AND($W111&lt;&gt;"",$W111&gt;p_fin)),"Hors horizon (info)",IF(AND($G111="À migrer",$E111="PRD",COUNTIFS(TblApplications[ID],$C111,TblApplications[Environnement],"NPRD",TblApplications[Action],"À migrer")&gt;0,$V111&lt;_xlfn.MINIFS(TblApplications[Mois prov (calc)],TblApplications[ID],$C111,TblApplications[Environnement],"NPRD")),"PRD avant NPRD (info)","OK"))))))))))))))))))))</f>
        <v/>
      </c>
      <c r="AC111" s="76"/>
      <c r="AD111" s="76"/>
      <c r="AE111" s="22" t="str">
        <f aca="false">IF(OR($C111="",NOT(OR($G111="À migrer",$G111="À décommissionner")),NOT(ISNUMBER($N111)),NOT(ISNUMBER($O111)),$W111=""),"",($N111+p_poidsram*$O111)*SUMIFS(TblCalculs[Coût par unité],TblCalculs[Cluster],$I111,TblCalculs[Mois],"&lt;"&amp;$W111))</f>
        <v/>
      </c>
      <c r="AF111" s="22" t="str">
        <f aca="false">IF($C111="","",IF(AND($G111="À migrer",$H111="Non",$T111&lt;&gt;"",$V111&lt;&gt;""),($T111+p_poidsram*$U111)*SUMIFS(TblCalculs[Coût par unité],TblCalculs[Cluster],$J111,TblCalculs[Mois],"&gt;="&amp;$V111),IF(AND($G111="Migré",$T111&lt;&gt;""),($T111+p_poidsram*$U111)*SUMIFS(TblCalculs[Coût par unité],TblCalculs[Cluster],$J111),"")))</f>
        <v/>
      </c>
      <c r="AG111" s="22" t="str">
        <f aca="false">IF($C111="","",N($AE111)+N($AF111))</f>
        <v/>
      </c>
      <c r="AH111" s="21" t="str">
        <f aca="false">IF(OR($C111="",$G111="Décommissionné",COUNTIFS($E111,av_envc,$A111,av_domc,$B111,av_tric)=0),"",COUNTIFS($C$6:$C111,"&lt;&gt;",$G$6:$G111,"&lt;&gt;Décommissionné",$E$6:$E111,av_envc,$A$6:$A111,av_domc,$B$6:$B111,av_tric))</f>
        <v/>
      </c>
      <c r="AI111" s="21" t="str">
        <f aca="false">IF($C111="","",IF(AND(OR($G111="À migrer",$G111="À décommissionner"),$W111&lt;&gt;"",$W111&gt;ex_mois),1,0))</f>
        <v/>
      </c>
      <c r="AJ111" s="21" t="str">
        <f aca="false">IF(OR($C111="",$AI111&lt;&gt;1,COUNTIFS($E111,ex_envc,$A111,ex_domc,$B111,ex_tric)=0),"",COUNTIFS($AI$6:$AI111,1,$E$6:$E111,ex_envc,$A$6:$A111,ex_domc,$B$6:$B111,ex_tric))</f>
        <v/>
      </c>
    </row>
    <row r="112" customFormat="false" ht="15" hidden="false" customHeight="false" outlineLevel="0" collapsed="false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5"/>
      <c r="Q112" s="75"/>
      <c r="R112" s="75"/>
      <c r="S112" s="74"/>
      <c r="T112" s="21" t="str">
        <f aca="false">IF(OR($C112="",NOT(OR($G112="À migrer",$G112="Migré")),NOT(ISNUMBER($K112))),"",ROUNDUP($K112*(1+IF($AC112="",p_margeCPU,$AC112)),0))</f>
        <v/>
      </c>
      <c r="U112" s="21" t="str">
        <f aca="false">IF(OR($C112="",NOT(OR($G112="À migrer",$G112="Migré")),NOT(ISNUMBER($L112))),"",ROUNDUP($L112*(1+IF($AD112="",p_margeRAM,$AD112)),0))</f>
        <v/>
      </c>
      <c r="V112" s="39" t="str">
        <f aca="false">IF(OR(NOT($G112="À migrer"),$P112=""),"",IFERROR(DATE(YEAR($P112),MONTH($P112),1),""))</f>
        <v/>
      </c>
      <c r="W112" s="39" t="str">
        <f aca="false">IF(OR(NOT(OR($G112="À migrer",$G112="À décommissionner")),$R112=""),"",IFERROR(DATE(YEAR($R112),MONTH($R112),1),""))</f>
        <v/>
      </c>
      <c r="X112" s="21" t="str">
        <f aca="false">IF(OR($V112="",$W112=""),"",MAX(0,(YEAR($W112)-YEAR($V112))*12+MONTH($W112)-MONTH($V112)))</f>
        <v/>
      </c>
      <c r="Y112" s="21" t="str">
        <f aca="false">IF($C112="","",COUNTIF(TblApplications[ID],$C112))</f>
        <v/>
      </c>
      <c r="Z112" s="39" t="str">
        <f aca="false">IF($C112="","",IFERROR(1/(1/_xlfn.MINIFS(TblApplications[Mois prov (calc)],TblApplications[ID],$C112)),""))</f>
        <v/>
      </c>
      <c r="AA112" s="39" t="str">
        <f aca="false">IF($C112="","",IFERROR(1/(1/_xlfn.MAXIFS(TblApplications[Mois lib (calc)],TblApplications[ID],$C112)),""))</f>
        <v/>
      </c>
      <c r="AB112" s="21" t="str">
        <f aca="false">IF($C112="","",IF(OR(OR($A112="",$B112="",$D112="",$E112="",$F112="",$G112=""),AND($G112="À migrer",OR($H112="",$I112="",$J112="",$K112="",$L112="",$N112="",$O112="",$P112="",$Q112="",$R112="")),AND($G112="Migré",OR($J112="",$K112="",$L112="")),AND($G112="À décommissionner",OR($I112="",$N112="",$O112="",$R112=""))),"Données manquantes (selon l’action)",IF(AND($G112&lt;&gt;"Migré",$G112&lt;&gt;"À migrer",$G112&lt;&gt;"À décommissionner",$G112&lt;&gt;"Décommissionné"),"Action invalide",IF(COUNTIF(TblDomaines[Domaine],$A112)=0,"Domaine inconnu (référentiel)",IF(COUNTIFS(TblTribes[Tribe],$B112,TblTribes[Domaine de la tribe],$A112)=0,"Tribe inconnue ou hors domaine",IF(AND($G112="À migrer",$H112&lt;&gt;"Oui",$H112&lt;&gt;"Non"),"Valeur Oui/Non invalide (Déjà incluse ROKS)",IF(AND($E112&lt;&gt;"PRD",$E112&lt;&gt;"NPRD"),"Environnement invalide",IF(COUNTIFS(TblApplications[ID],$C112,TblApplications[Environnement],$E112,TblApplications[Couloir],$F112)&gt;1,"Déploiement en doublon (ID + env + couloir)",IF(OR(AND($K112&lt;&gt;"",NOT(ISNUMBER($K112))),AND($L112&lt;&gt;"",NOT(ISNUMBER($L112))),AND($N112&lt;&gt;"",NOT(ISNUMBER($N112))),AND($O112&lt;&gt;"",NOT(ISNUMBER($O112)))),"Ressource non numérique",IF(MIN(N($K112),N($L112),N($N112),N($O112))&lt;0,"Ressource négative",IF(OR(AND($AC112&lt;&gt;"",OR(NOT(ISNUMBER($AC112)),$AC112&lt;0,$AC112&gt;1)),AND($AD112&lt;&gt;"",OR(NOT(ISNUMBER($AD112)),$AD112&lt;0,$AD112&gt;1))),"Marge spécifique invalide (0–100 %)",IF(OR(AND($P112&lt;&gt;"",NOT(ISNUMBER($P112))),AND($Q112&lt;&gt;"",NOT(ISNUMBER($Q112))),AND($R112&lt;&gt;"",NOT(ISNUMBER($R112)))),"Mois invalide",IF(AND(OR($G112="À migrer",$G112="À décommissionner"),COUNTIFS(TblClusters[Cluster],$I112,TblClusters[Plateforme],"IKS")=0),"Cluster IKS inconnu",IF(AND(OR($G112="À migrer",$G112="Migré"),COUNTIFS(TblClusters[Cluster],$J112,TblClusters[Plateforme],"ROKS")=0),"Cluster ROKS inconnu",IF(AND(OR($G112="À migrer",$G112="À décommissionner"),COUNTIFS(TblClusters[Cluster],$I112,TblClusters[Environnement],$E112)=0),"Environnement ≠ cluster IKS",IF(AND(OR($G112="À migrer",$G112="Migré"),COUNTIFS(TblClusters[Cluster],$J112,TblClusters[Environnement],$E112)=0),"Environnement ≠ cluster ROKS",IF(AND($G112="À migrer",OR($P112&gt;$Q112,$Q112&gt;$R112)),"Dates incohérentes (prov ≤ bascule ≤ libération)",IF(AND(OR($G112="À migrer",$G112="À décommissionner"),OR(N($N112)&gt;SUMIFS(TblClusters[CPU initial (vCPU)],TblClusters[Cluster],$I112),N($O112)&gt;SUMIFS(TblClusters[RAM initiale (Go)],TblClusters[Cluster],$I112))),"Libération &gt; capacité du cluster source",IF(OR(AND($V112&lt;&gt;"",$V112&lt;p_debut),AND($W112&lt;&gt;"",$W112&gt;p_fin)),"Hors horizon (info)",IF(AND($G112="À migrer",$E112="PRD",COUNTIFS(TblApplications[ID],$C112,TblApplications[Environnement],"NPRD",TblApplications[Action],"À migrer")&gt;0,$V112&lt;_xlfn.MINIFS(TblApplications[Mois prov (calc)],TblApplications[ID],$C112,TblApplications[Environnement],"NPRD")),"PRD avant NPRD (info)","OK"))))))))))))))))))))</f>
        <v/>
      </c>
      <c r="AC112" s="76"/>
      <c r="AD112" s="76"/>
      <c r="AE112" s="22" t="str">
        <f aca="false">IF(OR($C112="",NOT(OR($G112="À migrer",$G112="À décommissionner")),NOT(ISNUMBER($N112)),NOT(ISNUMBER($O112)),$W112=""),"",($N112+p_poidsram*$O112)*SUMIFS(TblCalculs[Coût par unité],TblCalculs[Cluster],$I112,TblCalculs[Mois],"&lt;"&amp;$W112))</f>
        <v/>
      </c>
      <c r="AF112" s="22" t="str">
        <f aca="false">IF($C112="","",IF(AND($G112="À migrer",$H112="Non",$T112&lt;&gt;"",$V112&lt;&gt;""),($T112+p_poidsram*$U112)*SUMIFS(TblCalculs[Coût par unité],TblCalculs[Cluster],$J112,TblCalculs[Mois],"&gt;="&amp;$V112),IF(AND($G112="Migré",$T112&lt;&gt;""),($T112+p_poidsram*$U112)*SUMIFS(TblCalculs[Coût par unité],TblCalculs[Cluster],$J112),"")))</f>
        <v/>
      </c>
      <c r="AG112" s="22" t="str">
        <f aca="false">IF($C112="","",N($AE112)+N($AF112))</f>
        <v/>
      </c>
      <c r="AH112" s="21" t="str">
        <f aca="false">IF(OR($C112="",$G112="Décommissionné",COUNTIFS($E112,av_envc,$A112,av_domc,$B112,av_tric)=0),"",COUNTIFS($C$6:$C112,"&lt;&gt;",$G$6:$G112,"&lt;&gt;Décommissionné",$E$6:$E112,av_envc,$A$6:$A112,av_domc,$B$6:$B112,av_tric))</f>
        <v/>
      </c>
      <c r="AI112" s="21" t="str">
        <f aca="false">IF($C112="","",IF(AND(OR($G112="À migrer",$G112="À décommissionner"),$W112&lt;&gt;"",$W112&gt;ex_mois),1,0))</f>
        <v/>
      </c>
      <c r="AJ112" s="21" t="str">
        <f aca="false">IF(OR($C112="",$AI112&lt;&gt;1,COUNTIFS($E112,ex_envc,$A112,ex_domc,$B112,ex_tric)=0),"",COUNTIFS($AI$6:$AI112,1,$E$6:$E112,ex_envc,$A$6:$A112,ex_domc,$B$6:$B112,ex_tric))</f>
        <v/>
      </c>
    </row>
    <row r="113" customFormat="false" ht="15" hidden="false" customHeight="false" outlineLevel="0" collapsed="false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5"/>
      <c r="Q113" s="75"/>
      <c r="R113" s="75"/>
      <c r="S113" s="74"/>
      <c r="T113" s="21" t="str">
        <f aca="false">IF(OR($C113="",NOT(OR($G113="À migrer",$G113="Migré")),NOT(ISNUMBER($K113))),"",ROUNDUP($K113*(1+IF($AC113="",p_margeCPU,$AC113)),0))</f>
        <v/>
      </c>
      <c r="U113" s="21" t="str">
        <f aca="false">IF(OR($C113="",NOT(OR($G113="À migrer",$G113="Migré")),NOT(ISNUMBER($L113))),"",ROUNDUP($L113*(1+IF($AD113="",p_margeRAM,$AD113)),0))</f>
        <v/>
      </c>
      <c r="V113" s="39" t="str">
        <f aca="false">IF(OR(NOT($G113="À migrer"),$P113=""),"",IFERROR(DATE(YEAR($P113),MONTH($P113),1),""))</f>
        <v/>
      </c>
      <c r="W113" s="39" t="str">
        <f aca="false">IF(OR(NOT(OR($G113="À migrer",$G113="À décommissionner")),$R113=""),"",IFERROR(DATE(YEAR($R113),MONTH($R113),1),""))</f>
        <v/>
      </c>
      <c r="X113" s="21" t="str">
        <f aca="false">IF(OR($V113="",$W113=""),"",MAX(0,(YEAR($W113)-YEAR($V113))*12+MONTH($W113)-MONTH($V113)))</f>
        <v/>
      </c>
      <c r="Y113" s="21" t="str">
        <f aca="false">IF($C113="","",COUNTIF(TblApplications[ID],$C113))</f>
        <v/>
      </c>
      <c r="Z113" s="39" t="str">
        <f aca="false">IF($C113="","",IFERROR(1/(1/_xlfn.MINIFS(TblApplications[Mois prov (calc)],TblApplications[ID],$C113)),""))</f>
        <v/>
      </c>
      <c r="AA113" s="39" t="str">
        <f aca="false">IF($C113="","",IFERROR(1/(1/_xlfn.MAXIFS(TblApplications[Mois lib (calc)],TblApplications[ID],$C113)),""))</f>
        <v/>
      </c>
      <c r="AB113" s="21" t="str">
        <f aca="false">IF($C113="","",IF(OR(OR($A113="",$B113="",$D113="",$E113="",$F113="",$G113=""),AND($G113="À migrer",OR($H113="",$I113="",$J113="",$K113="",$L113="",$N113="",$O113="",$P113="",$Q113="",$R113="")),AND($G113="Migré",OR($J113="",$K113="",$L113="")),AND($G113="À décommissionner",OR($I113="",$N113="",$O113="",$R113=""))),"Données manquantes (selon l’action)",IF(AND($G113&lt;&gt;"Migré",$G113&lt;&gt;"À migrer",$G113&lt;&gt;"À décommissionner",$G113&lt;&gt;"Décommissionné"),"Action invalide",IF(COUNTIF(TblDomaines[Domaine],$A113)=0,"Domaine inconnu (référentiel)",IF(COUNTIFS(TblTribes[Tribe],$B113,TblTribes[Domaine de la tribe],$A113)=0,"Tribe inconnue ou hors domaine",IF(AND($G113="À migrer",$H113&lt;&gt;"Oui",$H113&lt;&gt;"Non"),"Valeur Oui/Non invalide (Déjà incluse ROKS)",IF(AND($E113&lt;&gt;"PRD",$E113&lt;&gt;"NPRD"),"Environnement invalide",IF(COUNTIFS(TblApplications[ID],$C113,TblApplications[Environnement],$E113,TblApplications[Couloir],$F113)&gt;1,"Déploiement en doublon (ID + env + couloir)",IF(OR(AND($K113&lt;&gt;"",NOT(ISNUMBER($K113))),AND($L113&lt;&gt;"",NOT(ISNUMBER($L113))),AND($N113&lt;&gt;"",NOT(ISNUMBER($N113))),AND($O113&lt;&gt;"",NOT(ISNUMBER($O113)))),"Ressource non numérique",IF(MIN(N($K113),N($L113),N($N113),N($O113))&lt;0,"Ressource négative",IF(OR(AND($AC113&lt;&gt;"",OR(NOT(ISNUMBER($AC113)),$AC113&lt;0,$AC113&gt;1)),AND($AD113&lt;&gt;"",OR(NOT(ISNUMBER($AD113)),$AD113&lt;0,$AD113&gt;1))),"Marge spécifique invalide (0–100 %)",IF(OR(AND($P113&lt;&gt;"",NOT(ISNUMBER($P113))),AND($Q113&lt;&gt;"",NOT(ISNUMBER($Q113))),AND($R113&lt;&gt;"",NOT(ISNUMBER($R113)))),"Mois invalide",IF(AND(OR($G113="À migrer",$G113="À décommissionner"),COUNTIFS(TblClusters[Cluster],$I113,TblClusters[Plateforme],"IKS")=0),"Cluster IKS inconnu",IF(AND(OR($G113="À migrer",$G113="Migré"),COUNTIFS(TblClusters[Cluster],$J113,TblClusters[Plateforme],"ROKS")=0),"Cluster ROKS inconnu",IF(AND(OR($G113="À migrer",$G113="À décommissionner"),COUNTIFS(TblClusters[Cluster],$I113,TblClusters[Environnement],$E113)=0),"Environnement ≠ cluster IKS",IF(AND(OR($G113="À migrer",$G113="Migré"),COUNTIFS(TblClusters[Cluster],$J113,TblClusters[Environnement],$E113)=0),"Environnement ≠ cluster ROKS",IF(AND($G113="À migrer",OR($P113&gt;$Q113,$Q113&gt;$R113)),"Dates incohérentes (prov ≤ bascule ≤ libération)",IF(AND(OR($G113="À migrer",$G113="À décommissionner"),OR(N($N113)&gt;SUMIFS(TblClusters[CPU initial (vCPU)],TblClusters[Cluster],$I113),N($O113)&gt;SUMIFS(TblClusters[RAM initiale (Go)],TblClusters[Cluster],$I113))),"Libération &gt; capacité du cluster source",IF(OR(AND($V113&lt;&gt;"",$V113&lt;p_debut),AND($W113&lt;&gt;"",$W113&gt;p_fin)),"Hors horizon (info)",IF(AND($G113="À migrer",$E113="PRD",COUNTIFS(TblApplications[ID],$C113,TblApplications[Environnement],"NPRD",TblApplications[Action],"À migrer")&gt;0,$V113&lt;_xlfn.MINIFS(TblApplications[Mois prov (calc)],TblApplications[ID],$C113,TblApplications[Environnement],"NPRD")),"PRD avant NPRD (info)","OK"))))))))))))))))))))</f>
        <v/>
      </c>
      <c r="AC113" s="76"/>
      <c r="AD113" s="76"/>
      <c r="AE113" s="22" t="str">
        <f aca="false">IF(OR($C113="",NOT(OR($G113="À migrer",$G113="À décommissionner")),NOT(ISNUMBER($N113)),NOT(ISNUMBER($O113)),$W113=""),"",($N113+p_poidsram*$O113)*SUMIFS(TblCalculs[Coût par unité],TblCalculs[Cluster],$I113,TblCalculs[Mois],"&lt;"&amp;$W113))</f>
        <v/>
      </c>
      <c r="AF113" s="22" t="str">
        <f aca="false">IF($C113="","",IF(AND($G113="À migrer",$H113="Non",$T113&lt;&gt;"",$V113&lt;&gt;""),($T113+p_poidsram*$U113)*SUMIFS(TblCalculs[Coût par unité],TblCalculs[Cluster],$J113,TblCalculs[Mois],"&gt;="&amp;$V113),IF(AND($G113="Migré",$T113&lt;&gt;""),($T113+p_poidsram*$U113)*SUMIFS(TblCalculs[Coût par unité],TblCalculs[Cluster],$J113),"")))</f>
        <v/>
      </c>
      <c r="AG113" s="22" t="str">
        <f aca="false">IF($C113="","",N($AE113)+N($AF113))</f>
        <v/>
      </c>
      <c r="AH113" s="21" t="str">
        <f aca="false">IF(OR($C113="",$G113="Décommissionné",COUNTIFS($E113,av_envc,$A113,av_domc,$B113,av_tric)=0),"",COUNTIFS($C$6:$C113,"&lt;&gt;",$G$6:$G113,"&lt;&gt;Décommissionné",$E$6:$E113,av_envc,$A$6:$A113,av_domc,$B$6:$B113,av_tric))</f>
        <v/>
      </c>
      <c r="AI113" s="21" t="str">
        <f aca="false">IF($C113="","",IF(AND(OR($G113="À migrer",$G113="À décommissionner"),$W113&lt;&gt;"",$W113&gt;ex_mois),1,0))</f>
        <v/>
      </c>
      <c r="AJ113" s="21" t="str">
        <f aca="false">IF(OR($C113="",$AI113&lt;&gt;1,COUNTIFS($E113,ex_envc,$A113,ex_domc,$B113,ex_tric)=0),"",COUNTIFS($AI$6:$AI113,1,$E$6:$E113,ex_envc,$A$6:$A113,ex_domc,$B$6:$B113,ex_tric))</f>
        <v/>
      </c>
    </row>
    <row r="114" customFormat="false" ht="15" hidden="false" customHeight="false" outlineLevel="0" collapsed="false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5"/>
      <c r="Q114" s="75"/>
      <c r="R114" s="75"/>
      <c r="S114" s="74"/>
      <c r="T114" s="21" t="str">
        <f aca="false">IF(OR($C114="",NOT(OR($G114="À migrer",$G114="Migré")),NOT(ISNUMBER($K114))),"",ROUNDUP($K114*(1+IF($AC114="",p_margeCPU,$AC114)),0))</f>
        <v/>
      </c>
      <c r="U114" s="21" t="str">
        <f aca="false">IF(OR($C114="",NOT(OR($G114="À migrer",$G114="Migré")),NOT(ISNUMBER($L114))),"",ROUNDUP($L114*(1+IF($AD114="",p_margeRAM,$AD114)),0))</f>
        <v/>
      </c>
      <c r="V114" s="39" t="str">
        <f aca="false">IF(OR(NOT($G114="À migrer"),$P114=""),"",IFERROR(DATE(YEAR($P114),MONTH($P114),1),""))</f>
        <v/>
      </c>
      <c r="W114" s="39" t="str">
        <f aca="false">IF(OR(NOT(OR($G114="À migrer",$G114="À décommissionner")),$R114=""),"",IFERROR(DATE(YEAR($R114),MONTH($R114),1),""))</f>
        <v/>
      </c>
      <c r="X114" s="21" t="str">
        <f aca="false">IF(OR($V114="",$W114=""),"",MAX(0,(YEAR($W114)-YEAR($V114))*12+MONTH($W114)-MONTH($V114)))</f>
        <v/>
      </c>
      <c r="Y114" s="21" t="str">
        <f aca="false">IF($C114="","",COUNTIF(TblApplications[ID],$C114))</f>
        <v/>
      </c>
      <c r="Z114" s="39" t="str">
        <f aca="false">IF($C114="","",IFERROR(1/(1/_xlfn.MINIFS(TblApplications[Mois prov (calc)],TblApplications[ID],$C114)),""))</f>
        <v/>
      </c>
      <c r="AA114" s="39" t="str">
        <f aca="false">IF($C114="","",IFERROR(1/(1/_xlfn.MAXIFS(TblApplications[Mois lib (calc)],TblApplications[ID],$C114)),""))</f>
        <v/>
      </c>
      <c r="AB114" s="21" t="str">
        <f aca="false">IF($C114="","",IF(OR(OR($A114="",$B114="",$D114="",$E114="",$F114="",$G114=""),AND($G114="À migrer",OR($H114="",$I114="",$J114="",$K114="",$L114="",$N114="",$O114="",$P114="",$Q114="",$R114="")),AND($G114="Migré",OR($J114="",$K114="",$L114="")),AND($G114="À décommissionner",OR($I114="",$N114="",$O114="",$R114=""))),"Données manquantes (selon l’action)",IF(AND($G114&lt;&gt;"Migré",$G114&lt;&gt;"À migrer",$G114&lt;&gt;"À décommissionner",$G114&lt;&gt;"Décommissionné"),"Action invalide",IF(COUNTIF(TblDomaines[Domaine],$A114)=0,"Domaine inconnu (référentiel)",IF(COUNTIFS(TblTribes[Tribe],$B114,TblTribes[Domaine de la tribe],$A114)=0,"Tribe inconnue ou hors domaine",IF(AND($G114="À migrer",$H114&lt;&gt;"Oui",$H114&lt;&gt;"Non"),"Valeur Oui/Non invalide (Déjà incluse ROKS)",IF(AND($E114&lt;&gt;"PRD",$E114&lt;&gt;"NPRD"),"Environnement invalide",IF(COUNTIFS(TblApplications[ID],$C114,TblApplications[Environnement],$E114,TblApplications[Couloir],$F114)&gt;1,"Déploiement en doublon (ID + env + couloir)",IF(OR(AND($K114&lt;&gt;"",NOT(ISNUMBER($K114))),AND($L114&lt;&gt;"",NOT(ISNUMBER($L114))),AND($N114&lt;&gt;"",NOT(ISNUMBER($N114))),AND($O114&lt;&gt;"",NOT(ISNUMBER($O114)))),"Ressource non numérique",IF(MIN(N($K114),N($L114),N($N114),N($O114))&lt;0,"Ressource négative",IF(OR(AND($AC114&lt;&gt;"",OR(NOT(ISNUMBER($AC114)),$AC114&lt;0,$AC114&gt;1)),AND($AD114&lt;&gt;"",OR(NOT(ISNUMBER($AD114)),$AD114&lt;0,$AD114&gt;1))),"Marge spécifique invalide (0–100 %)",IF(OR(AND($P114&lt;&gt;"",NOT(ISNUMBER($P114))),AND($Q114&lt;&gt;"",NOT(ISNUMBER($Q114))),AND($R114&lt;&gt;"",NOT(ISNUMBER($R114)))),"Mois invalide",IF(AND(OR($G114="À migrer",$G114="À décommissionner"),COUNTIFS(TblClusters[Cluster],$I114,TblClusters[Plateforme],"IKS")=0),"Cluster IKS inconnu",IF(AND(OR($G114="À migrer",$G114="Migré"),COUNTIFS(TblClusters[Cluster],$J114,TblClusters[Plateforme],"ROKS")=0),"Cluster ROKS inconnu",IF(AND(OR($G114="À migrer",$G114="À décommissionner"),COUNTIFS(TblClusters[Cluster],$I114,TblClusters[Environnement],$E114)=0),"Environnement ≠ cluster IKS",IF(AND(OR($G114="À migrer",$G114="Migré"),COUNTIFS(TblClusters[Cluster],$J114,TblClusters[Environnement],$E114)=0),"Environnement ≠ cluster ROKS",IF(AND($G114="À migrer",OR($P114&gt;$Q114,$Q114&gt;$R114)),"Dates incohérentes (prov ≤ bascule ≤ libération)",IF(AND(OR($G114="À migrer",$G114="À décommissionner"),OR(N($N114)&gt;SUMIFS(TblClusters[CPU initial (vCPU)],TblClusters[Cluster],$I114),N($O114)&gt;SUMIFS(TblClusters[RAM initiale (Go)],TblClusters[Cluster],$I114))),"Libération &gt; capacité du cluster source",IF(OR(AND($V114&lt;&gt;"",$V114&lt;p_debut),AND($W114&lt;&gt;"",$W114&gt;p_fin)),"Hors horizon (info)",IF(AND($G114="À migrer",$E114="PRD",COUNTIFS(TblApplications[ID],$C114,TblApplications[Environnement],"NPRD",TblApplications[Action],"À migrer")&gt;0,$V114&lt;_xlfn.MINIFS(TblApplications[Mois prov (calc)],TblApplications[ID],$C114,TblApplications[Environnement],"NPRD")),"PRD avant NPRD (info)","OK"))))))))))))))))))))</f>
        <v/>
      </c>
      <c r="AC114" s="76"/>
      <c r="AD114" s="76"/>
      <c r="AE114" s="22" t="str">
        <f aca="false">IF(OR($C114="",NOT(OR($G114="À migrer",$G114="À décommissionner")),NOT(ISNUMBER($N114)),NOT(ISNUMBER($O114)),$W114=""),"",($N114+p_poidsram*$O114)*SUMIFS(TblCalculs[Coût par unité],TblCalculs[Cluster],$I114,TblCalculs[Mois],"&lt;"&amp;$W114))</f>
        <v/>
      </c>
      <c r="AF114" s="22" t="str">
        <f aca="false">IF($C114="","",IF(AND($G114="À migrer",$H114="Non",$T114&lt;&gt;"",$V114&lt;&gt;""),($T114+p_poidsram*$U114)*SUMIFS(TblCalculs[Coût par unité],TblCalculs[Cluster],$J114,TblCalculs[Mois],"&gt;="&amp;$V114),IF(AND($G114="Migré",$T114&lt;&gt;""),($T114+p_poidsram*$U114)*SUMIFS(TblCalculs[Coût par unité],TblCalculs[Cluster],$J114),"")))</f>
        <v/>
      </c>
      <c r="AG114" s="22" t="str">
        <f aca="false">IF($C114="","",N($AE114)+N($AF114))</f>
        <v/>
      </c>
      <c r="AH114" s="21" t="str">
        <f aca="false">IF(OR($C114="",$G114="Décommissionné",COUNTIFS($E114,av_envc,$A114,av_domc,$B114,av_tric)=0),"",COUNTIFS($C$6:$C114,"&lt;&gt;",$G$6:$G114,"&lt;&gt;Décommissionné",$E$6:$E114,av_envc,$A$6:$A114,av_domc,$B$6:$B114,av_tric))</f>
        <v/>
      </c>
      <c r="AI114" s="21" t="str">
        <f aca="false">IF($C114="","",IF(AND(OR($G114="À migrer",$G114="À décommissionner"),$W114&lt;&gt;"",$W114&gt;ex_mois),1,0))</f>
        <v/>
      </c>
      <c r="AJ114" s="21" t="str">
        <f aca="false">IF(OR($C114="",$AI114&lt;&gt;1,COUNTIFS($E114,ex_envc,$A114,ex_domc,$B114,ex_tric)=0),"",COUNTIFS($AI$6:$AI114,1,$E$6:$E114,ex_envc,$A$6:$A114,ex_domc,$B$6:$B114,ex_tric))</f>
        <v/>
      </c>
    </row>
    <row r="115" customFormat="false" ht="15" hidden="false" customHeight="false" outlineLevel="0" collapsed="false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5"/>
      <c r="Q115" s="75"/>
      <c r="R115" s="75"/>
      <c r="S115" s="74"/>
      <c r="T115" s="21" t="str">
        <f aca="false">IF(OR($C115="",NOT(OR($G115="À migrer",$G115="Migré")),NOT(ISNUMBER($K115))),"",ROUNDUP($K115*(1+IF($AC115="",p_margeCPU,$AC115)),0))</f>
        <v/>
      </c>
      <c r="U115" s="21" t="str">
        <f aca="false">IF(OR($C115="",NOT(OR($G115="À migrer",$G115="Migré")),NOT(ISNUMBER($L115))),"",ROUNDUP($L115*(1+IF($AD115="",p_margeRAM,$AD115)),0))</f>
        <v/>
      </c>
      <c r="V115" s="39" t="str">
        <f aca="false">IF(OR(NOT($G115="À migrer"),$P115=""),"",IFERROR(DATE(YEAR($P115),MONTH($P115),1),""))</f>
        <v/>
      </c>
      <c r="W115" s="39" t="str">
        <f aca="false">IF(OR(NOT(OR($G115="À migrer",$G115="À décommissionner")),$R115=""),"",IFERROR(DATE(YEAR($R115),MONTH($R115),1),""))</f>
        <v/>
      </c>
      <c r="X115" s="21" t="str">
        <f aca="false">IF(OR($V115="",$W115=""),"",MAX(0,(YEAR($W115)-YEAR($V115))*12+MONTH($W115)-MONTH($V115)))</f>
        <v/>
      </c>
      <c r="Y115" s="21" t="str">
        <f aca="false">IF($C115="","",COUNTIF(TblApplications[ID],$C115))</f>
        <v/>
      </c>
      <c r="Z115" s="39" t="str">
        <f aca="false">IF($C115="","",IFERROR(1/(1/_xlfn.MINIFS(TblApplications[Mois prov (calc)],TblApplications[ID],$C115)),""))</f>
        <v/>
      </c>
      <c r="AA115" s="39" t="str">
        <f aca="false">IF($C115="","",IFERROR(1/(1/_xlfn.MAXIFS(TblApplications[Mois lib (calc)],TblApplications[ID],$C115)),""))</f>
        <v/>
      </c>
      <c r="AB115" s="21" t="str">
        <f aca="false">IF($C115="","",IF(OR(OR($A115="",$B115="",$D115="",$E115="",$F115="",$G115=""),AND($G115="À migrer",OR($H115="",$I115="",$J115="",$K115="",$L115="",$N115="",$O115="",$P115="",$Q115="",$R115="")),AND($G115="Migré",OR($J115="",$K115="",$L115="")),AND($G115="À décommissionner",OR($I115="",$N115="",$O115="",$R115=""))),"Données manquantes (selon l’action)",IF(AND($G115&lt;&gt;"Migré",$G115&lt;&gt;"À migrer",$G115&lt;&gt;"À décommissionner",$G115&lt;&gt;"Décommissionné"),"Action invalide",IF(COUNTIF(TblDomaines[Domaine],$A115)=0,"Domaine inconnu (référentiel)",IF(COUNTIFS(TblTribes[Tribe],$B115,TblTribes[Domaine de la tribe],$A115)=0,"Tribe inconnue ou hors domaine",IF(AND($G115="À migrer",$H115&lt;&gt;"Oui",$H115&lt;&gt;"Non"),"Valeur Oui/Non invalide (Déjà incluse ROKS)",IF(AND($E115&lt;&gt;"PRD",$E115&lt;&gt;"NPRD"),"Environnement invalide",IF(COUNTIFS(TblApplications[ID],$C115,TblApplications[Environnement],$E115,TblApplications[Couloir],$F115)&gt;1,"Déploiement en doublon (ID + env + couloir)",IF(OR(AND($K115&lt;&gt;"",NOT(ISNUMBER($K115))),AND($L115&lt;&gt;"",NOT(ISNUMBER($L115))),AND($N115&lt;&gt;"",NOT(ISNUMBER($N115))),AND($O115&lt;&gt;"",NOT(ISNUMBER($O115)))),"Ressource non numérique",IF(MIN(N($K115),N($L115),N($N115),N($O115))&lt;0,"Ressource négative",IF(OR(AND($AC115&lt;&gt;"",OR(NOT(ISNUMBER($AC115)),$AC115&lt;0,$AC115&gt;1)),AND($AD115&lt;&gt;"",OR(NOT(ISNUMBER($AD115)),$AD115&lt;0,$AD115&gt;1))),"Marge spécifique invalide (0–100 %)",IF(OR(AND($P115&lt;&gt;"",NOT(ISNUMBER($P115))),AND($Q115&lt;&gt;"",NOT(ISNUMBER($Q115))),AND($R115&lt;&gt;"",NOT(ISNUMBER($R115)))),"Mois invalide",IF(AND(OR($G115="À migrer",$G115="À décommissionner"),COUNTIFS(TblClusters[Cluster],$I115,TblClusters[Plateforme],"IKS")=0),"Cluster IKS inconnu",IF(AND(OR($G115="À migrer",$G115="Migré"),COUNTIFS(TblClusters[Cluster],$J115,TblClusters[Plateforme],"ROKS")=0),"Cluster ROKS inconnu",IF(AND(OR($G115="À migrer",$G115="À décommissionner"),COUNTIFS(TblClusters[Cluster],$I115,TblClusters[Environnement],$E115)=0),"Environnement ≠ cluster IKS",IF(AND(OR($G115="À migrer",$G115="Migré"),COUNTIFS(TblClusters[Cluster],$J115,TblClusters[Environnement],$E115)=0),"Environnement ≠ cluster ROKS",IF(AND($G115="À migrer",OR($P115&gt;$Q115,$Q115&gt;$R115)),"Dates incohérentes (prov ≤ bascule ≤ libération)",IF(AND(OR($G115="À migrer",$G115="À décommissionner"),OR(N($N115)&gt;SUMIFS(TblClusters[CPU initial (vCPU)],TblClusters[Cluster],$I115),N($O115)&gt;SUMIFS(TblClusters[RAM initiale (Go)],TblClusters[Cluster],$I115))),"Libération &gt; capacité du cluster source",IF(OR(AND($V115&lt;&gt;"",$V115&lt;p_debut),AND($W115&lt;&gt;"",$W115&gt;p_fin)),"Hors horizon (info)",IF(AND($G115="À migrer",$E115="PRD",COUNTIFS(TblApplications[ID],$C115,TblApplications[Environnement],"NPRD",TblApplications[Action],"À migrer")&gt;0,$V115&lt;_xlfn.MINIFS(TblApplications[Mois prov (calc)],TblApplications[ID],$C115,TblApplications[Environnement],"NPRD")),"PRD avant NPRD (info)","OK"))))))))))))))))))))</f>
        <v/>
      </c>
      <c r="AC115" s="76"/>
      <c r="AD115" s="76"/>
      <c r="AE115" s="22" t="str">
        <f aca="false">IF(OR($C115="",NOT(OR($G115="À migrer",$G115="À décommissionner")),NOT(ISNUMBER($N115)),NOT(ISNUMBER($O115)),$W115=""),"",($N115+p_poidsram*$O115)*SUMIFS(TblCalculs[Coût par unité],TblCalculs[Cluster],$I115,TblCalculs[Mois],"&lt;"&amp;$W115))</f>
        <v/>
      </c>
      <c r="AF115" s="22" t="str">
        <f aca="false">IF($C115="","",IF(AND($G115="À migrer",$H115="Non",$T115&lt;&gt;"",$V115&lt;&gt;""),($T115+p_poidsram*$U115)*SUMIFS(TblCalculs[Coût par unité],TblCalculs[Cluster],$J115,TblCalculs[Mois],"&gt;="&amp;$V115),IF(AND($G115="Migré",$T115&lt;&gt;""),($T115+p_poidsram*$U115)*SUMIFS(TblCalculs[Coût par unité],TblCalculs[Cluster],$J115),"")))</f>
        <v/>
      </c>
      <c r="AG115" s="22" t="str">
        <f aca="false">IF($C115="","",N($AE115)+N($AF115))</f>
        <v/>
      </c>
      <c r="AH115" s="21" t="str">
        <f aca="false">IF(OR($C115="",$G115="Décommissionné",COUNTIFS($E115,av_envc,$A115,av_domc,$B115,av_tric)=0),"",COUNTIFS($C$6:$C115,"&lt;&gt;",$G$6:$G115,"&lt;&gt;Décommissionné",$E$6:$E115,av_envc,$A$6:$A115,av_domc,$B$6:$B115,av_tric))</f>
        <v/>
      </c>
      <c r="AI115" s="21" t="str">
        <f aca="false">IF($C115="","",IF(AND(OR($G115="À migrer",$G115="À décommissionner"),$W115&lt;&gt;"",$W115&gt;ex_mois),1,0))</f>
        <v/>
      </c>
      <c r="AJ115" s="21" t="str">
        <f aca="false">IF(OR($C115="",$AI115&lt;&gt;1,COUNTIFS($E115,ex_envc,$A115,ex_domc,$B115,ex_tric)=0),"",COUNTIFS($AI$6:$AI115,1,$E$6:$E115,ex_envc,$A$6:$A115,ex_domc,$B$6:$B115,ex_tric))</f>
        <v/>
      </c>
    </row>
    <row r="116" customFormat="false" ht="15" hidden="false" customHeight="false" outlineLevel="0" collapsed="false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5"/>
      <c r="Q116" s="75"/>
      <c r="R116" s="75"/>
      <c r="S116" s="74"/>
      <c r="T116" s="21" t="str">
        <f aca="false">IF(OR($C116="",NOT(OR($G116="À migrer",$G116="Migré")),NOT(ISNUMBER($K116))),"",ROUNDUP($K116*(1+IF($AC116="",p_margeCPU,$AC116)),0))</f>
        <v/>
      </c>
      <c r="U116" s="21" t="str">
        <f aca="false">IF(OR($C116="",NOT(OR($G116="À migrer",$G116="Migré")),NOT(ISNUMBER($L116))),"",ROUNDUP($L116*(1+IF($AD116="",p_margeRAM,$AD116)),0))</f>
        <v/>
      </c>
      <c r="V116" s="39" t="str">
        <f aca="false">IF(OR(NOT($G116="À migrer"),$P116=""),"",IFERROR(DATE(YEAR($P116),MONTH($P116),1),""))</f>
        <v/>
      </c>
      <c r="W116" s="39" t="str">
        <f aca="false">IF(OR(NOT(OR($G116="À migrer",$G116="À décommissionner")),$R116=""),"",IFERROR(DATE(YEAR($R116),MONTH($R116),1),""))</f>
        <v/>
      </c>
      <c r="X116" s="21" t="str">
        <f aca="false">IF(OR($V116="",$W116=""),"",MAX(0,(YEAR($W116)-YEAR($V116))*12+MONTH($W116)-MONTH($V116)))</f>
        <v/>
      </c>
      <c r="Y116" s="21" t="str">
        <f aca="false">IF($C116="","",COUNTIF(TblApplications[ID],$C116))</f>
        <v/>
      </c>
      <c r="Z116" s="39" t="str">
        <f aca="false">IF($C116="","",IFERROR(1/(1/_xlfn.MINIFS(TblApplications[Mois prov (calc)],TblApplications[ID],$C116)),""))</f>
        <v/>
      </c>
      <c r="AA116" s="39" t="str">
        <f aca="false">IF($C116="","",IFERROR(1/(1/_xlfn.MAXIFS(TblApplications[Mois lib (calc)],TblApplications[ID],$C116)),""))</f>
        <v/>
      </c>
      <c r="AB116" s="21" t="str">
        <f aca="false">IF($C116="","",IF(OR(OR($A116="",$B116="",$D116="",$E116="",$F116="",$G116=""),AND($G116="À migrer",OR($H116="",$I116="",$J116="",$K116="",$L116="",$N116="",$O116="",$P116="",$Q116="",$R116="")),AND($G116="Migré",OR($J116="",$K116="",$L116="")),AND($G116="À décommissionner",OR($I116="",$N116="",$O116="",$R116=""))),"Données manquantes (selon l’action)",IF(AND($G116&lt;&gt;"Migré",$G116&lt;&gt;"À migrer",$G116&lt;&gt;"À décommissionner",$G116&lt;&gt;"Décommissionné"),"Action invalide",IF(COUNTIF(TblDomaines[Domaine],$A116)=0,"Domaine inconnu (référentiel)",IF(COUNTIFS(TblTribes[Tribe],$B116,TblTribes[Domaine de la tribe],$A116)=0,"Tribe inconnue ou hors domaine",IF(AND($G116="À migrer",$H116&lt;&gt;"Oui",$H116&lt;&gt;"Non"),"Valeur Oui/Non invalide (Déjà incluse ROKS)",IF(AND($E116&lt;&gt;"PRD",$E116&lt;&gt;"NPRD"),"Environnement invalide",IF(COUNTIFS(TblApplications[ID],$C116,TblApplications[Environnement],$E116,TblApplications[Couloir],$F116)&gt;1,"Déploiement en doublon (ID + env + couloir)",IF(OR(AND($K116&lt;&gt;"",NOT(ISNUMBER($K116))),AND($L116&lt;&gt;"",NOT(ISNUMBER($L116))),AND($N116&lt;&gt;"",NOT(ISNUMBER($N116))),AND($O116&lt;&gt;"",NOT(ISNUMBER($O116)))),"Ressource non numérique",IF(MIN(N($K116),N($L116),N($N116),N($O116))&lt;0,"Ressource négative",IF(OR(AND($AC116&lt;&gt;"",OR(NOT(ISNUMBER($AC116)),$AC116&lt;0,$AC116&gt;1)),AND($AD116&lt;&gt;"",OR(NOT(ISNUMBER($AD116)),$AD116&lt;0,$AD116&gt;1))),"Marge spécifique invalide (0–100 %)",IF(OR(AND($P116&lt;&gt;"",NOT(ISNUMBER($P116))),AND($Q116&lt;&gt;"",NOT(ISNUMBER($Q116))),AND($R116&lt;&gt;"",NOT(ISNUMBER($R116)))),"Mois invalide",IF(AND(OR($G116="À migrer",$G116="À décommissionner"),COUNTIFS(TblClusters[Cluster],$I116,TblClusters[Plateforme],"IKS")=0),"Cluster IKS inconnu",IF(AND(OR($G116="À migrer",$G116="Migré"),COUNTIFS(TblClusters[Cluster],$J116,TblClusters[Plateforme],"ROKS")=0),"Cluster ROKS inconnu",IF(AND(OR($G116="À migrer",$G116="À décommissionner"),COUNTIFS(TblClusters[Cluster],$I116,TblClusters[Environnement],$E116)=0),"Environnement ≠ cluster IKS",IF(AND(OR($G116="À migrer",$G116="Migré"),COUNTIFS(TblClusters[Cluster],$J116,TblClusters[Environnement],$E116)=0),"Environnement ≠ cluster ROKS",IF(AND($G116="À migrer",OR($P116&gt;$Q116,$Q116&gt;$R116)),"Dates incohérentes (prov ≤ bascule ≤ libération)",IF(AND(OR($G116="À migrer",$G116="À décommissionner"),OR(N($N116)&gt;SUMIFS(TblClusters[CPU initial (vCPU)],TblClusters[Cluster],$I116),N($O116)&gt;SUMIFS(TblClusters[RAM initiale (Go)],TblClusters[Cluster],$I116))),"Libération &gt; capacité du cluster source",IF(OR(AND($V116&lt;&gt;"",$V116&lt;p_debut),AND($W116&lt;&gt;"",$W116&gt;p_fin)),"Hors horizon (info)",IF(AND($G116="À migrer",$E116="PRD",COUNTIFS(TblApplications[ID],$C116,TblApplications[Environnement],"NPRD",TblApplications[Action],"À migrer")&gt;0,$V116&lt;_xlfn.MINIFS(TblApplications[Mois prov (calc)],TblApplications[ID],$C116,TblApplications[Environnement],"NPRD")),"PRD avant NPRD (info)","OK"))))))))))))))))))))</f>
        <v/>
      </c>
      <c r="AC116" s="76"/>
      <c r="AD116" s="76"/>
      <c r="AE116" s="22" t="str">
        <f aca="false">IF(OR($C116="",NOT(OR($G116="À migrer",$G116="À décommissionner")),NOT(ISNUMBER($N116)),NOT(ISNUMBER($O116)),$W116=""),"",($N116+p_poidsram*$O116)*SUMIFS(TblCalculs[Coût par unité],TblCalculs[Cluster],$I116,TblCalculs[Mois],"&lt;"&amp;$W116))</f>
        <v/>
      </c>
      <c r="AF116" s="22" t="str">
        <f aca="false">IF($C116="","",IF(AND($G116="À migrer",$H116="Non",$T116&lt;&gt;"",$V116&lt;&gt;""),($T116+p_poidsram*$U116)*SUMIFS(TblCalculs[Coût par unité],TblCalculs[Cluster],$J116,TblCalculs[Mois],"&gt;="&amp;$V116),IF(AND($G116="Migré",$T116&lt;&gt;""),($T116+p_poidsram*$U116)*SUMIFS(TblCalculs[Coût par unité],TblCalculs[Cluster],$J116),"")))</f>
        <v/>
      </c>
      <c r="AG116" s="22" t="str">
        <f aca="false">IF($C116="","",N($AE116)+N($AF116))</f>
        <v/>
      </c>
      <c r="AH116" s="21" t="str">
        <f aca="false">IF(OR($C116="",$G116="Décommissionné",COUNTIFS($E116,av_envc,$A116,av_domc,$B116,av_tric)=0),"",COUNTIFS($C$6:$C116,"&lt;&gt;",$G$6:$G116,"&lt;&gt;Décommissionné",$E$6:$E116,av_envc,$A$6:$A116,av_domc,$B$6:$B116,av_tric))</f>
        <v/>
      </c>
      <c r="AI116" s="21" t="str">
        <f aca="false">IF($C116="","",IF(AND(OR($G116="À migrer",$G116="À décommissionner"),$W116&lt;&gt;"",$W116&gt;ex_mois),1,0))</f>
        <v/>
      </c>
      <c r="AJ116" s="21" t="str">
        <f aca="false">IF(OR($C116="",$AI116&lt;&gt;1,COUNTIFS($E116,ex_envc,$A116,ex_domc,$B116,ex_tric)=0),"",COUNTIFS($AI$6:$AI116,1,$E$6:$E116,ex_envc,$A$6:$A116,ex_domc,$B$6:$B116,ex_tric))</f>
        <v/>
      </c>
    </row>
    <row r="117" customFormat="false" ht="15" hidden="false" customHeight="false" outlineLevel="0" collapsed="false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5"/>
      <c r="Q117" s="75"/>
      <c r="R117" s="75"/>
      <c r="S117" s="74"/>
      <c r="T117" s="21" t="str">
        <f aca="false">IF(OR($C117="",NOT(OR($G117="À migrer",$G117="Migré")),NOT(ISNUMBER($K117))),"",ROUNDUP($K117*(1+IF($AC117="",p_margeCPU,$AC117)),0))</f>
        <v/>
      </c>
      <c r="U117" s="21" t="str">
        <f aca="false">IF(OR($C117="",NOT(OR($G117="À migrer",$G117="Migré")),NOT(ISNUMBER($L117))),"",ROUNDUP($L117*(1+IF($AD117="",p_margeRAM,$AD117)),0))</f>
        <v/>
      </c>
      <c r="V117" s="39" t="str">
        <f aca="false">IF(OR(NOT($G117="À migrer"),$P117=""),"",IFERROR(DATE(YEAR($P117),MONTH($P117),1),""))</f>
        <v/>
      </c>
      <c r="W117" s="39" t="str">
        <f aca="false">IF(OR(NOT(OR($G117="À migrer",$G117="À décommissionner")),$R117=""),"",IFERROR(DATE(YEAR($R117),MONTH($R117),1),""))</f>
        <v/>
      </c>
      <c r="X117" s="21" t="str">
        <f aca="false">IF(OR($V117="",$W117=""),"",MAX(0,(YEAR($W117)-YEAR($V117))*12+MONTH($W117)-MONTH($V117)))</f>
        <v/>
      </c>
      <c r="Y117" s="21" t="str">
        <f aca="false">IF($C117="","",COUNTIF(TblApplications[ID],$C117))</f>
        <v/>
      </c>
      <c r="Z117" s="39" t="str">
        <f aca="false">IF($C117="","",IFERROR(1/(1/_xlfn.MINIFS(TblApplications[Mois prov (calc)],TblApplications[ID],$C117)),""))</f>
        <v/>
      </c>
      <c r="AA117" s="39" t="str">
        <f aca="false">IF($C117="","",IFERROR(1/(1/_xlfn.MAXIFS(TblApplications[Mois lib (calc)],TblApplications[ID],$C117)),""))</f>
        <v/>
      </c>
      <c r="AB117" s="21" t="str">
        <f aca="false">IF($C117="","",IF(OR(OR($A117="",$B117="",$D117="",$E117="",$F117="",$G117=""),AND($G117="À migrer",OR($H117="",$I117="",$J117="",$K117="",$L117="",$N117="",$O117="",$P117="",$Q117="",$R117="")),AND($G117="Migré",OR($J117="",$K117="",$L117="")),AND($G117="À décommissionner",OR($I117="",$N117="",$O117="",$R117=""))),"Données manquantes (selon l’action)",IF(AND($G117&lt;&gt;"Migré",$G117&lt;&gt;"À migrer",$G117&lt;&gt;"À décommissionner",$G117&lt;&gt;"Décommissionné"),"Action invalide",IF(COUNTIF(TblDomaines[Domaine],$A117)=0,"Domaine inconnu (référentiel)",IF(COUNTIFS(TblTribes[Tribe],$B117,TblTribes[Domaine de la tribe],$A117)=0,"Tribe inconnue ou hors domaine",IF(AND($G117="À migrer",$H117&lt;&gt;"Oui",$H117&lt;&gt;"Non"),"Valeur Oui/Non invalide (Déjà incluse ROKS)",IF(AND($E117&lt;&gt;"PRD",$E117&lt;&gt;"NPRD"),"Environnement invalide",IF(COUNTIFS(TblApplications[ID],$C117,TblApplications[Environnement],$E117,TblApplications[Couloir],$F117)&gt;1,"Déploiement en doublon (ID + env + couloir)",IF(OR(AND($K117&lt;&gt;"",NOT(ISNUMBER($K117))),AND($L117&lt;&gt;"",NOT(ISNUMBER($L117))),AND($N117&lt;&gt;"",NOT(ISNUMBER($N117))),AND($O117&lt;&gt;"",NOT(ISNUMBER($O117)))),"Ressource non numérique",IF(MIN(N($K117),N($L117),N($N117),N($O117))&lt;0,"Ressource négative",IF(OR(AND($AC117&lt;&gt;"",OR(NOT(ISNUMBER($AC117)),$AC117&lt;0,$AC117&gt;1)),AND($AD117&lt;&gt;"",OR(NOT(ISNUMBER($AD117)),$AD117&lt;0,$AD117&gt;1))),"Marge spécifique invalide (0–100 %)",IF(OR(AND($P117&lt;&gt;"",NOT(ISNUMBER($P117))),AND($Q117&lt;&gt;"",NOT(ISNUMBER($Q117))),AND($R117&lt;&gt;"",NOT(ISNUMBER($R117)))),"Mois invalide",IF(AND(OR($G117="À migrer",$G117="À décommissionner"),COUNTIFS(TblClusters[Cluster],$I117,TblClusters[Plateforme],"IKS")=0),"Cluster IKS inconnu",IF(AND(OR($G117="À migrer",$G117="Migré"),COUNTIFS(TblClusters[Cluster],$J117,TblClusters[Plateforme],"ROKS")=0),"Cluster ROKS inconnu",IF(AND(OR($G117="À migrer",$G117="À décommissionner"),COUNTIFS(TblClusters[Cluster],$I117,TblClusters[Environnement],$E117)=0),"Environnement ≠ cluster IKS",IF(AND(OR($G117="À migrer",$G117="Migré"),COUNTIFS(TblClusters[Cluster],$J117,TblClusters[Environnement],$E117)=0),"Environnement ≠ cluster ROKS",IF(AND($G117="À migrer",OR($P117&gt;$Q117,$Q117&gt;$R117)),"Dates incohérentes (prov ≤ bascule ≤ libération)",IF(AND(OR($G117="À migrer",$G117="À décommissionner"),OR(N($N117)&gt;SUMIFS(TblClusters[CPU initial (vCPU)],TblClusters[Cluster],$I117),N($O117)&gt;SUMIFS(TblClusters[RAM initiale (Go)],TblClusters[Cluster],$I117))),"Libération &gt; capacité du cluster source",IF(OR(AND($V117&lt;&gt;"",$V117&lt;p_debut),AND($W117&lt;&gt;"",$W117&gt;p_fin)),"Hors horizon (info)",IF(AND($G117="À migrer",$E117="PRD",COUNTIFS(TblApplications[ID],$C117,TblApplications[Environnement],"NPRD",TblApplications[Action],"À migrer")&gt;0,$V117&lt;_xlfn.MINIFS(TblApplications[Mois prov (calc)],TblApplications[ID],$C117,TblApplications[Environnement],"NPRD")),"PRD avant NPRD (info)","OK"))))))))))))))))))))</f>
        <v/>
      </c>
      <c r="AC117" s="76"/>
      <c r="AD117" s="76"/>
      <c r="AE117" s="22" t="str">
        <f aca="false">IF(OR($C117="",NOT(OR($G117="À migrer",$G117="À décommissionner")),NOT(ISNUMBER($N117)),NOT(ISNUMBER($O117)),$W117=""),"",($N117+p_poidsram*$O117)*SUMIFS(TblCalculs[Coût par unité],TblCalculs[Cluster],$I117,TblCalculs[Mois],"&lt;"&amp;$W117))</f>
        <v/>
      </c>
      <c r="AF117" s="22" t="str">
        <f aca="false">IF($C117="","",IF(AND($G117="À migrer",$H117="Non",$T117&lt;&gt;"",$V117&lt;&gt;""),($T117+p_poidsram*$U117)*SUMIFS(TblCalculs[Coût par unité],TblCalculs[Cluster],$J117,TblCalculs[Mois],"&gt;="&amp;$V117),IF(AND($G117="Migré",$T117&lt;&gt;""),($T117+p_poidsram*$U117)*SUMIFS(TblCalculs[Coût par unité],TblCalculs[Cluster],$J117),"")))</f>
        <v/>
      </c>
      <c r="AG117" s="22" t="str">
        <f aca="false">IF($C117="","",N($AE117)+N($AF117))</f>
        <v/>
      </c>
      <c r="AH117" s="21" t="str">
        <f aca="false">IF(OR($C117="",$G117="Décommissionné",COUNTIFS($E117,av_envc,$A117,av_domc,$B117,av_tric)=0),"",COUNTIFS($C$6:$C117,"&lt;&gt;",$G$6:$G117,"&lt;&gt;Décommissionné",$E$6:$E117,av_envc,$A$6:$A117,av_domc,$B$6:$B117,av_tric))</f>
        <v/>
      </c>
      <c r="AI117" s="21" t="str">
        <f aca="false">IF($C117="","",IF(AND(OR($G117="À migrer",$G117="À décommissionner"),$W117&lt;&gt;"",$W117&gt;ex_mois),1,0))</f>
        <v/>
      </c>
      <c r="AJ117" s="21" t="str">
        <f aca="false">IF(OR($C117="",$AI117&lt;&gt;1,COUNTIFS($E117,ex_envc,$A117,ex_domc,$B117,ex_tric)=0),"",COUNTIFS($AI$6:$AI117,1,$E$6:$E117,ex_envc,$A$6:$A117,ex_domc,$B$6:$B117,ex_tric))</f>
        <v/>
      </c>
    </row>
    <row r="118" customFormat="false" ht="15" hidden="false" customHeight="false" outlineLevel="0" collapsed="false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5"/>
      <c r="Q118" s="75"/>
      <c r="R118" s="75"/>
      <c r="S118" s="74"/>
      <c r="T118" s="21" t="str">
        <f aca="false">IF(OR($C118="",NOT(OR($G118="À migrer",$G118="Migré")),NOT(ISNUMBER($K118))),"",ROUNDUP($K118*(1+IF($AC118="",p_margeCPU,$AC118)),0))</f>
        <v/>
      </c>
      <c r="U118" s="21" t="str">
        <f aca="false">IF(OR($C118="",NOT(OR($G118="À migrer",$G118="Migré")),NOT(ISNUMBER($L118))),"",ROUNDUP($L118*(1+IF($AD118="",p_margeRAM,$AD118)),0))</f>
        <v/>
      </c>
      <c r="V118" s="39" t="str">
        <f aca="false">IF(OR(NOT($G118="À migrer"),$P118=""),"",IFERROR(DATE(YEAR($P118),MONTH($P118),1),""))</f>
        <v/>
      </c>
      <c r="W118" s="39" t="str">
        <f aca="false">IF(OR(NOT(OR($G118="À migrer",$G118="À décommissionner")),$R118=""),"",IFERROR(DATE(YEAR($R118),MONTH($R118),1),""))</f>
        <v/>
      </c>
      <c r="X118" s="21" t="str">
        <f aca="false">IF(OR($V118="",$W118=""),"",MAX(0,(YEAR($W118)-YEAR($V118))*12+MONTH($W118)-MONTH($V118)))</f>
        <v/>
      </c>
      <c r="Y118" s="21" t="str">
        <f aca="false">IF($C118="","",COUNTIF(TblApplications[ID],$C118))</f>
        <v/>
      </c>
      <c r="Z118" s="39" t="str">
        <f aca="false">IF($C118="","",IFERROR(1/(1/_xlfn.MINIFS(TblApplications[Mois prov (calc)],TblApplications[ID],$C118)),""))</f>
        <v/>
      </c>
      <c r="AA118" s="39" t="str">
        <f aca="false">IF($C118="","",IFERROR(1/(1/_xlfn.MAXIFS(TblApplications[Mois lib (calc)],TblApplications[ID],$C118)),""))</f>
        <v/>
      </c>
      <c r="AB118" s="21" t="str">
        <f aca="false">IF($C118="","",IF(OR(OR($A118="",$B118="",$D118="",$E118="",$F118="",$G118=""),AND($G118="À migrer",OR($H118="",$I118="",$J118="",$K118="",$L118="",$N118="",$O118="",$P118="",$Q118="",$R118="")),AND($G118="Migré",OR($J118="",$K118="",$L118="")),AND($G118="À décommissionner",OR($I118="",$N118="",$O118="",$R118=""))),"Données manquantes (selon l’action)",IF(AND($G118&lt;&gt;"Migré",$G118&lt;&gt;"À migrer",$G118&lt;&gt;"À décommissionner",$G118&lt;&gt;"Décommissionné"),"Action invalide",IF(COUNTIF(TblDomaines[Domaine],$A118)=0,"Domaine inconnu (référentiel)",IF(COUNTIFS(TblTribes[Tribe],$B118,TblTribes[Domaine de la tribe],$A118)=0,"Tribe inconnue ou hors domaine",IF(AND($G118="À migrer",$H118&lt;&gt;"Oui",$H118&lt;&gt;"Non"),"Valeur Oui/Non invalide (Déjà incluse ROKS)",IF(AND($E118&lt;&gt;"PRD",$E118&lt;&gt;"NPRD"),"Environnement invalide",IF(COUNTIFS(TblApplications[ID],$C118,TblApplications[Environnement],$E118,TblApplications[Couloir],$F118)&gt;1,"Déploiement en doublon (ID + env + couloir)",IF(OR(AND($K118&lt;&gt;"",NOT(ISNUMBER($K118))),AND($L118&lt;&gt;"",NOT(ISNUMBER($L118))),AND($N118&lt;&gt;"",NOT(ISNUMBER($N118))),AND($O118&lt;&gt;"",NOT(ISNUMBER($O118)))),"Ressource non numérique",IF(MIN(N($K118),N($L118),N($N118),N($O118))&lt;0,"Ressource négative",IF(OR(AND($AC118&lt;&gt;"",OR(NOT(ISNUMBER($AC118)),$AC118&lt;0,$AC118&gt;1)),AND($AD118&lt;&gt;"",OR(NOT(ISNUMBER($AD118)),$AD118&lt;0,$AD118&gt;1))),"Marge spécifique invalide (0–100 %)",IF(OR(AND($P118&lt;&gt;"",NOT(ISNUMBER($P118))),AND($Q118&lt;&gt;"",NOT(ISNUMBER($Q118))),AND($R118&lt;&gt;"",NOT(ISNUMBER($R118)))),"Mois invalide",IF(AND(OR($G118="À migrer",$G118="À décommissionner"),COUNTIFS(TblClusters[Cluster],$I118,TblClusters[Plateforme],"IKS")=0),"Cluster IKS inconnu",IF(AND(OR($G118="À migrer",$G118="Migré"),COUNTIFS(TblClusters[Cluster],$J118,TblClusters[Plateforme],"ROKS")=0),"Cluster ROKS inconnu",IF(AND(OR($G118="À migrer",$G118="À décommissionner"),COUNTIFS(TblClusters[Cluster],$I118,TblClusters[Environnement],$E118)=0),"Environnement ≠ cluster IKS",IF(AND(OR($G118="À migrer",$G118="Migré"),COUNTIFS(TblClusters[Cluster],$J118,TblClusters[Environnement],$E118)=0),"Environnement ≠ cluster ROKS",IF(AND($G118="À migrer",OR($P118&gt;$Q118,$Q118&gt;$R118)),"Dates incohérentes (prov ≤ bascule ≤ libération)",IF(AND(OR($G118="À migrer",$G118="À décommissionner"),OR(N($N118)&gt;SUMIFS(TblClusters[CPU initial (vCPU)],TblClusters[Cluster],$I118),N($O118)&gt;SUMIFS(TblClusters[RAM initiale (Go)],TblClusters[Cluster],$I118))),"Libération &gt; capacité du cluster source",IF(OR(AND($V118&lt;&gt;"",$V118&lt;p_debut),AND($W118&lt;&gt;"",$W118&gt;p_fin)),"Hors horizon (info)",IF(AND($G118="À migrer",$E118="PRD",COUNTIFS(TblApplications[ID],$C118,TblApplications[Environnement],"NPRD",TblApplications[Action],"À migrer")&gt;0,$V118&lt;_xlfn.MINIFS(TblApplications[Mois prov (calc)],TblApplications[ID],$C118,TblApplications[Environnement],"NPRD")),"PRD avant NPRD (info)","OK"))))))))))))))))))))</f>
        <v/>
      </c>
      <c r="AC118" s="76"/>
      <c r="AD118" s="76"/>
      <c r="AE118" s="22" t="str">
        <f aca="false">IF(OR($C118="",NOT(OR($G118="À migrer",$G118="À décommissionner")),NOT(ISNUMBER($N118)),NOT(ISNUMBER($O118)),$W118=""),"",($N118+p_poidsram*$O118)*SUMIFS(TblCalculs[Coût par unité],TblCalculs[Cluster],$I118,TblCalculs[Mois],"&lt;"&amp;$W118))</f>
        <v/>
      </c>
      <c r="AF118" s="22" t="str">
        <f aca="false">IF($C118="","",IF(AND($G118="À migrer",$H118="Non",$T118&lt;&gt;"",$V118&lt;&gt;""),($T118+p_poidsram*$U118)*SUMIFS(TblCalculs[Coût par unité],TblCalculs[Cluster],$J118,TblCalculs[Mois],"&gt;="&amp;$V118),IF(AND($G118="Migré",$T118&lt;&gt;""),($T118+p_poidsram*$U118)*SUMIFS(TblCalculs[Coût par unité],TblCalculs[Cluster],$J118),"")))</f>
        <v/>
      </c>
      <c r="AG118" s="22" t="str">
        <f aca="false">IF($C118="","",N($AE118)+N($AF118))</f>
        <v/>
      </c>
      <c r="AH118" s="21" t="str">
        <f aca="false">IF(OR($C118="",$G118="Décommissionné",COUNTIFS($E118,av_envc,$A118,av_domc,$B118,av_tric)=0),"",COUNTIFS($C$6:$C118,"&lt;&gt;",$G$6:$G118,"&lt;&gt;Décommissionné",$E$6:$E118,av_envc,$A$6:$A118,av_domc,$B$6:$B118,av_tric))</f>
        <v/>
      </c>
      <c r="AI118" s="21" t="str">
        <f aca="false">IF($C118="","",IF(AND(OR($G118="À migrer",$G118="À décommissionner"),$W118&lt;&gt;"",$W118&gt;ex_mois),1,0))</f>
        <v/>
      </c>
      <c r="AJ118" s="21" t="str">
        <f aca="false">IF(OR($C118="",$AI118&lt;&gt;1,COUNTIFS($E118,ex_envc,$A118,ex_domc,$B118,ex_tric)=0),"",COUNTIFS($AI$6:$AI118,1,$E$6:$E118,ex_envc,$A$6:$A118,ex_domc,$B$6:$B118,ex_tric))</f>
        <v/>
      </c>
    </row>
    <row r="119" customFormat="false" ht="15" hidden="false" customHeight="false" outlineLevel="0" collapsed="false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5"/>
      <c r="Q119" s="75"/>
      <c r="R119" s="75"/>
      <c r="S119" s="74"/>
      <c r="T119" s="21" t="str">
        <f aca="false">IF(OR($C119="",NOT(OR($G119="À migrer",$G119="Migré")),NOT(ISNUMBER($K119))),"",ROUNDUP($K119*(1+IF($AC119="",p_margeCPU,$AC119)),0))</f>
        <v/>
      </c>
      <c r="U119" s="21" t="str">
        <f aca="false">IF(OR($C119="",NOT(OR($G119="À migrer",$G119="Migré")),NOT(ISNUMBER($L119))),"",ROUNDUP($L119*(1+IF($AD119="",p_margeRAM,$AD119)),0))</f>
        <v/>
      </c>
      <c r="V119" s="39" t="str">
        <f aca="false">IF(OR(NOT($G119="À migrer"),$P119=""),"",IFERROR(DATE(YEAR($P119),MONTH($P119),1),""))</f>
        <v/>
      </c>
      <c r="W119" s="39" t="str">
        <f aca="false">IF(OR(NOT(OR($G119="À migrer",$G119="À décommissionner")),$R119=""),"",IFERROR(DATE(YEAR($R119),MONTH($R119),1),""))</f>
        <v/>
      </c>
      <c r="X119" s="21" t="str">
        <f aca="false">IF(OR($V119="",$W119=""),"",MAX(0,(YEAR($W119)-YEAR($V119))*12+MONTH($W119)-MONTH($V119)))</f>
        <v/>
      </c>
      <c r="Y119" s="21" t="str">
        <f aca="false">IF($C119="","",COUNTIF(TblApplications[ID],$C119))</f>
        <v/>
      </c>
      <c r="Z119" s="39" t="str">
        <f aca="false">IF($C119="","",IFERROR(1/(1/_xlfn.MINIFS(TblApplications[Mois prov (calc)],TblApplications[ID],$C119)),""))</f>
        <v/>
      </c>
      <c r="AA119" s="39" t="str">
        <f aca="false">IF($C119="","",IFERROR(1/(1/_xlfn.MAXIFS(TblApplications[Mois lib (calc)],TblApplications[ID],$C119)),""))</f>
        <v/>
      </c>
      <c r="AB119" s="21" t="str">
        <f aca="false">IF($C119="","",IF(OR(OR($A119="",$B119="",$D119="",$E119="",$F119="",$G119=""),AND($G119="À migrer",OR($H119="",$I119="",$J119="",$K119="",$L119="",$N119="",$O119="",$P119="",$Q119="",$R119="")),AND($G119="Migré",OR($J119="",$K119="",$L119="")),AND($G119="À décommissionner",OR($I119="",$N119="",$O119="",$R119=""))),"Données manquantes (selon l’action)",IF(AND($G119&lt;&gt;"Migré",$G119&lt;&gt;"À migrer",$G119&lt;&gt;"À décommissionner",$G119&lt;&gt;"Décommissionné"),"Action invalide",IF(COUNTIF(TblDomaines[Domaine],$A119)=0,"Domaine inconnu (référentiel)",IF(COUNTIFS(TblTribes[Tribe],$B119,TblTribes[Domaine de la tribe],$A119)=0,"Tribe inconnue ou hors domaine",IF(AND($G119="À migrer",$H119&lt;&gt;"Oui",$H119&lt;&gt;"Non"),"Valeur Oui/Non invalide (Déjà incluse ROKS)",IF(AND($E119&lt;&gt;"PRD",$E119&lt;&gt;"NPRD"),"Environnement invalide",IF(COUNTIFS(TblApplications[ID],$C119,TblApplications[Environnement],$E119,TblApplications[Couloir],$F119)&gt;1,"Déploiement en doublon (ID + env + couloir)",IF(OR(AND($K119&lt;&gt;"",NOT(ISNUMBER($K119))),AND($L119&lt;&gt;"",NOT(ISNUMBER($L119))),AND($N119&lt;&gt;"",NOT(ISNUMBER($N119))),AND($O119&lt;&gt;"",NOT(ISNUMBER($O119)))),"Ressource non numérique",IF(MIN(N($K119),N($L119),N($N119),N($O119))&lt;0,"Ressource négative",IF(OR(AND($AC119&lt;&gt;"",OR(NOT(ISNUMBER($AC119)),$AC119&lt;0,$AC119&gt;1)),AND($AD119&lt;&gt;"",OR(NOT(ISNUMBER($AD119)),$AD119&lt;0,$AD119&gt;1))),"Marge spécifique invalide (0–100 %)",IF(OR(AND($P119&lt;&gt;"",NOT(ISNUMBER($P119))),AND($Q119&lt;&gt;"",NOT(ISNUMBER($Q119))),AND($R119&lt;&gt;"",NOT(ISNUMBER($R119)))),"Mois invalide",IF(AND(OR($G119="À migrer",$G119="À décommissionner"),COUNTIFS(TblClusters[Cluster],$I119,TblClusters[Plateforme],"IKS")=0),"Cluster IKS inconnu",IF(AND(OR($G119="À migrer",$G119="Migré"),COUNTIFS(TblClusters[Cluster],$J119,TblClusters[Plateforme],"ROKS")=0),"Cluster ROKS inconnu",IF(AND(OR($G119="À migrer",$G119="À décommissionner"),COUNTIFS(TblClusters[Cluster],$I119,TblClusters[Environnement],$E119)=0),"Environnement ≠ cluster IKS",IF(AND(OR($G119="À migrer",$G119="Migré"),COUNTIFS(TblClusters[Cluster],$J119,TblClusters[Environnement],$E119)=0),"Environnement ≠ cluster ROKS",IF(AND($G119="À migrer",OR($P119&gt;$Q119,$Q119&gt;$R119)),"Dates incohérentes (prov ≤ bascule ≤ libération)",IF(AND(OR($G119="À migrer",$G119="À décommissionner"),OR(N($N119)&gt;SUMIFS(TblClusters[CPU initial (vCPU)],TblClusters[Cluster],$I119),N($O119)&gt;SUMIFS(TblClusters[RAM initiale (Go)],TblClusters[Cluster],$I119))),"Libération &gt; capacité du cluster source",IF(OR(AND($V119&lt;&gt;"",$V119&lt;p_debut),AND($W119&lt;&gt;"",$W119&gt;p_fin)),"Hors horizon (info)",IF(AND($G119="À migrer",$E119="PRD",COUNTIFS(TblApplications[ID],$C119,TblApplications[Environnement],"NPRD",TblApplications[Action],"À migrer")&gt;0,$V119&lt;_xlfn.MINIFS(TblApplications[Mois prov (calc)],TblApplications[ID],$C119,TblApplications[Environnement],"NPRD")),"PRD avant NPRD (info)","OK"))))))))))))))))))))</f>
        <v/>
      </c>
      <c r="AC119" s="76"/>
      <c r="AD119" s="76"/>
      <c r="AE119" s="22" t="str">
        <f aca="false">IF(OR($C119="",NOT(OR($G119="À migrer",$G119="À décommissionner")),NOT(ISNUMBER($N119)),NOT(ISNUMBER($O119)),$W119=""),"",($N119+p_poidsram*$O119)*SUMIFS(TblCalculs[Coût par unité],TblCalculs[Cluster],$I119,TblCalculs[Mois],"&lt;"&amp;$W119))</f>
        <v/>
      </c>
      <c r="AF119" s="22" t="str">
        <f aca="false">IF($C119="","",IF(AND($G119="À migrer",$H119="Non",$T119&lt;&gt;"",$V119&lt;&gt;""),($T119+p_poidsram*$U119)*SUMIFS(TblCalculs[Coût par unité],TblCalculs[Cluster],$J119,TblCalculs[Mois],"&gt;="&amp;$V119),IF(AND($G119="Migré",$T119&lt;&gt;""),($T119+p_poidsram*$U119)*SUMIFS(TblCalculs[Coût par unité],TblCalculs[Cluster],$J119),"")))</f>
        <v/>
      </c>
      <c r="AG119" s="22" t="str">
        <f aca="false">IF($C119="","",N($AE119)+N($AF119))</f>
        <v/>
      </c>
      <c r="AH119" s="21" t="str">
        <f aca="false">IF(OR($C119="",$G119="Décommissionné",COUNTIFS($E119,av_envc,$A119,av_domc,$B119,av_tric)=0),"",COUNTIFS($C$6:$C119,"&lt;&gt;",$G$6:$G119,"&lt;&gt;Décommissionné",$E$6:$E119,av_envc,$A$6:$A119,av_domc,$B$6:$B119,av_tric))</f>
        <v/>
      </c>
      <c r="AI119" s="21" t="str">
        <f aca="false">IF($C119="","",IF(AND(OR($G119="À migrer",$G119="À décommissionner"),$W119&lt;&gt;"",$W119&gt;ex_mois),1,0))</f>
        <v/>
      </c>
      <c r="AJ119" s="21" t="str">
        <f aca="false">IF(OR($C119="",$AI119&lt;&gt;1,COUNTIFS($E119,ex_envc,$A119,ex_domc,$B119,ex_tric)=0),"",COUNTIFS($AI$6:$AI119,1,$E$6:$E119,ex_envc,$A$6:$A119,ex_domc,$B$6:$B119,ex_tric))</f>
        <v/>
      </c>
    </row>
    <row r="120" customFormat="false" ht="15" hidden="false" customHeight="false" outlineLevel="0" collapsed="false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5"/>
      <c r="Q120" s="75"/>
      <c r="R120" s="75"/>
      <c r="S120" s="74"/>
      <c r="T120" s="21" t="str">
        <f aca="false">IF(OR($C120="",NOT(OR($G120="À migrer",$G120="Migré")),NOT(ISNUMBER($K120))),"",ROUNDUP($K120*(1+IF($AC120="",p_margeCPU,$AC120)),0))</f>
        <v/>
      </c>
      <c r="U120" s="21" t="str">
        <f aca="false">IF(OR($C120="",NOT(OR($G120="À migrer",$G120="Migré")),NOT(ISNUMBER($L120))),"",ROUNDUP($L120*(1+IF($AD120="",p_margeRAM,$AD120)),0))</f>
        <v/>
      </c>
      <c r="V120" s="39" t="str">
        <f aca="false">IF(OR(NOT($G120="À migrer"),$P120=""),"",IFERROR(DATE(YEAR($P120),MONTH($P120),1),""))</f>
        <v/>
      </c>
      <c r="W120" s="39" t="str">
        <f aca="false">IF(OR(NOT(OR($G120="À migrer",$G120="À décommissionner")),$R120=""),"",IFERROR(DATE(YEAR($R120),MONTH($R120),1),""))</f>
        <v/>
      </c>
      <c r="X120" s="21" t="str">
        <f aca="false">IF(OR($V120="",$W120=""),"",MAX(0,(YEAR($W120)-YEAR($V120))*12+MONTH($W120)-MONTH($V120)))</f>
        <v/>
      </c>
      <c r="Y120" s="21" t="str">
        <f aca="false">IF($C120="","",COUNTIF(TblApplications[ID],$C120))</f>
        <v/>
      </c>
      <c r="Z120" s="39" t="str">
        <f aca="false">IF($C120="","",IFERROR(1/(1/_xlfn.MINIFS(TblApplications[Mois prov (calc)],TblApplications[ID],$C120)),""))</f>
        <v/>
      </c>
      <c r="AA120" s="39" t="str">
        <f aca="false">IF($C120="","",IFERROR(1/(1/_xlfn.MAXIFS(TblApplications[Mois lib (calc)],TblApplications[ID],$C120)),""))</f>
        <v/>
      </c>
      <c r="AB120" s="21" t="str">
        <f aca="false">IF($C120="","",IF(OR(OR($A120="",$B120="",$D120="",$E120="",$F120="",$G120=""),AND($G120="À migrer",OR($H120="",$I120="",$J120="",$K120="",$L120="",$N120="",$O120="",$P120="",$Q120="",$R120="")),AND($G120="Migré",OR($J120="",$K120="",$L120="")),AND($G120="À décommissionner",OR($I120="",$N120="",$O120="",$R120=""))),"Données manquantes (selon l’action)",IF(AND($G120&lt;&gt;"Migré",$G120&lt;&gt;"À migrer",$G120&lt;&gt;"À décommissionner",$G120&lt;&gt;"Décommissionné"),"Action invalide",IF(COUNTIF(TblDomaines[Domaine],$A120)=0,"Domaine inconnu (référentiel)",IF(COUNTIFS(TblTribes[Tribe],$B120,TblTribes[Domaine de la tribe],$A120)=0,"Tribe inconnue ou hors domaine",IF(AND($G120="À migrer",$H120&lt;&gt;"Oui",$H120&lt;&gt;"Non"),"Valeur Oui/Non invalide (Déjà incluse ROKS)",IF(AND($E120&lt;&gt;"PRD",$E120&lt;&gt;"NPRD"),"Environnement invalide",IF(COUNTIFS(TblApplications[ID],$C120,TblApplications[Environnement],$E120,TblApplications[Couloir],$F120)&gt;1,"Déploiement en doublon (ID + env + couloir)",IF(OR(AND($K120&lt;&gt;"",NOT(ISNUMBER($K120))),AND($L120&lt;&gt;"",NOT(ISNUMBER($L120))),AND($N120&lt;&gt;"",NOT(ISNUMBER($N120))),AND($O120&lt;&gt;"",NOT(ISNUMBER($O120)))),"Ressource non numérique",IF(MIN(N($K120),N($L120),N($N120),N($O120))&lt;0,"Ressource négative",IF(OR(AND($AC120&lt;&gt;"",OR(NOT(ISNUMBER($AC120)),$AC120&lt;0,$AC120&gt;1)),AND($AD120&lt;&gt;"",OR(NOT(ISNUMBER($AD120)),$AD120&lt;0,$AD120&gt;1))),"Marge spécifique invalide (0–100 %)",IF(OR(AND($P120&lt;&gt;"",NOT(ISNUMBER($P120))),AND($Q120&lt;&gt;"",NOT(ISNUMBER($Q120))),AND($R120&lt;&gt;"",NOT(ISNUMBER($R120)))),"Mois invalide",IF(AND(OR($G120="À migrer",$G120="À décommissionner"),COUNTIFS(TblClusters[Cluster],$I120,TblClusters[Plateforme],"IKS")=0),"Cluster IKS inconnu",IF(AND(OR($G120="À migrer",$G120="Migré"),COUNTIFS(TblClusters[Cluster],$J120,TblClusters[Plateforme],"ROKS")=0),"Cluster ROKS inconnu",IF(AND(OR($G120="À migrer",$G120="À décommissionner"),COUNTIFS(TblClusters[Cluster],$I120,TblClusters[Environnement],$E120)=0),"Environnement ≠ cluster IKS",IF(AND(OR($G120="À migrer",$G120="Migré"),COUNTIFS(TblClusters[Cluster],$J120,TblClusters[Environnement],$E120)=0),"Environnement ≠ cluster ROKS",IF(AND($G120="À migrer",OR($P120&gt;$Q120,$Q120&gt;$R120)),"Dates incohérentes (prov ≤ bascule ≤ libération)",IF(AND(OR($G120="À migrer",$G120="À décommissionner"),OR(N($N120)&gt;SUMIFS(TblClusters[CPU initial (vCPU)],TblClusters[Cluster],$I120),N($O120)&gt;SUMIFS(TblClusters[RAM initiale (Go)],TblClusters[Cluster],$I120))),"Libération &gt; capacité du cluster source",IF(OR(AND($V120&lt;&gt;"",$V120&lt;p_debut),AND($W120&lt;&gt;"",$W120&gt;p_fin)),"Hors horizon (info)",IF(AND($G120="À migrer",$E120="PRD",COUNTIFS(TblApplications[ID],$C120,TblApplications[Environnement],"NPRD",TblApplications[Action],"À migrer")&gt;0,$V120&lt;_xlfn.MINIFS(TblApplications[Mois prov (calc)],TblApplications[ID],$C120,TblApplications[Environnement],"NPRD")),"PRD avant NPRD (info)","OK"))))))))))))))))))))</f>
        <v/>
      </c>
      <c r="AC120" s="76"/>
      <c r="AD120" s="76"/>
      <c r="AE120" s="22" t="str">
        <f aca="false">IF(OR($C120="",NOT(OR($G120="À migrer",$G120="À décommissionner")),NOT(ISNUMBER($N120)),NOT(ISNUMBER($O120)),$W120=""),"",($N120+p_poidsram*$O120)*SUMIFS(TblCalculs[Coût par unité],TblCalculs[Cluster],$I120,TblCalculs[Mois],"&lt;"&amp;$W120))</f>
        <v/>
      </c>
      <c r="AF120" s="22" t="str">
        <f aca="false">IF($C120="","",IF(AND($G120="À migrer",$H120="Non",$T120&lt;&gt;"",$V120&lt;&gt;""),($T120+p_poidsram*$U120)*SUMIFS(TblCalculs[Coût par unité],TblCalculs[Cluster],$J120,TblCalculs[Mois],"&gt;="&amp;$V120),IF(AND($G120="Migré",$T120&lt;&gt;""),($T120+p_poidsram*$U120)*SUMIFS(TblCalculs[Coût par unité],TblCalculs[Cluster],$J120),"")))</f>
        <v/>
      </c>
      <c r="AG120" s="22" t="str">
        <f aca="false">IF($C120="","",N($AE120)+N($AF120))</f>
        <v/>
      </c>
      <c r="AH120" s="21" t="str">
        <f aca="false">IF(OR($C120="",$G120="Décommissionné",COUNTIFS($E120,av_envc,$A120,av_domc,$B120,av_tric)=0),"",COUNTIFS($C$6:$C120,"&lt;&gt;",$G$6:$G120,"&lt;&gt;Décommissionné",$E$6:$E120,av_envc,$A$6:$A120,av_domc,$B$6:$B120,av_tric))</f>
        <v/>
      </c>
      <c r="AI120" s="21" t="str">
        <f aca="false">IF($C120="","",IF(AND(OR($G120="À migrer",$G120="À décommissionner"),$W120&lt;&gt;"",$W120&gt;ex_mois),1,0))</f>
        <v/>
      </c>
      <c r="AJ120" s="21" t="str">
        <f aca="false">IF(OR($C120="",$AI120&lt;&gt;1,COUNTIFS($E120,ex_envc,$A120,ex_domc,$B120,ex_tric)=0),"",COUNTIFS($AI$6:$AI120,1,$E$6:$E120,ex_envc,$A$6:$A120,ex_domc,$B$6:$B120,ex_tric))</f>
        <v/>
      </c>
    </row>
    <row r="121" customFormat="false" ht="15" hidden="false" customHeight="false" outlineLevel="0" collapsed="false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5"/>
      <c r="Q121" s="75"/>
      <c r="R121" s="75"/>
      <c r="S121" s="74"/>
      <c r="T121" s="21" t="str">
        <f aca="false">IF(OR($C121="",NOT(OR($G121="À migrer",$G121="Migré")),NOT(ISNUMBER($K121))),"",ROUNDUP($K121*(1+IF($AC121="",p_margeCPU,$AC121)),0))</f>
        <v/>
      </c>
      <c r="U121" s="21" t="str">
        <f aca="false">IF(OR($C121="",NOT(OR($G121="À migrer",$G121="Migré")),NOT(ISNUMBER($L121))),"",ROUNDUP($L121*(1+IF($AD121="",p_margeRAM,$AD121)),0))</f>
        <v/>
      </c>
      <c r="V121" s="39" t="str">
        <f aca="false">IF(OR(NOT($G121="À migrer"),$P121=""),"",IFERROR(DATE(YEAR($P121),MONTH($P121),1),""))</f>
        <v/>
      </c>
      <c r="W121" s="39" t="str">
        <f aca="false">IF(OR(NOT(OR($G121="À migrer",$G121="À décommissionner")),$R121=""),"",IFERROR(DATE(YEAR($R121),MONTH($R121),1),""))</f>
        <v/>
      </c>
      <c r="X121" s="21" t="str">
        <f aca="false">IF(OR($V121="",$W121=""),"",MAX(0,(YEAR($W121)-YEAR($V121))*12+MONTH($W121)-MONTH($V121)))</f>
        <v/>
      </c>
      <c r="Y121" s="21" t="str">
        <f aca="false">IF($C121="","",COUNTIF(TblApplications[ID],$C121))</f>
        <v/>
      </c>
      <c r="Z121" s="39" t="str">
        <f aca="false">IF($C121="","",IFERROR(1/(1/_xlfn.MINIFS(TblApplications[Mois prov (calc)],TblApplications[ID],$C121)),""))</f>
        <v/>
      </c>
      <c r="AA121" s="39" t="str">
        <f aca="false">IF($C121="","",IFERROR(1/(1/_xlfn.MAXIFS(TblApplications[Mois lib (calc)],TblApplications[ID],$C121)),""))</f>
        <v/>
      </c>
      <c r="AB121" s="21" t="str">
        <f aca="false">IF($C121="","",IF(OR(OR($A121="",$B121="",$D121="",$E121="",$F121="",$G121=""),AND($G121="À migrer",OR($H121="",$I121="",$J121="",$K121="",$L121="",$N121="",$O121="",$P121="",$Q121="",$R121="")),AND($G121="Migré",OR($J121="",$K121="",$L121="")),AND($G121="À décommissionner",OR($I121="",$N121="",$O121="",$R121=""))),"Données manquantes (selon l’action)",IF(AND($G121&lt;&gt;"Migré",$G121&lt;&gt;"À migrer",$G121&lt;&gt;"À décommissionner",$G121&lt;&gt;"Décommissionné"),"Action invalide",IF(COUNTIF(TblDomaines[Domaine],$A121)=0,"Domaine inconnu (référentiel)",IF(COUNTIFS(TblTribes[Tribe],$B121,TblTribes[Domaine de la tribe],$A121)=0,"Tribe inconnue ou hors domaine",IF(AND($G121="À migrer",$H121&lt;&gt;"Oui",$H121&lt;&gt;"Non"),"Valeur Oui/Non invalide (Déjà incluse ROKS)",IF(AND($E121&lt;&gt;"PRD",$E121&lt;&gt;"NPRD"),"Environnement invalide",IF(COUNTIFS(TblApplications[ID],$C121,TblApplications[Environnement],$E121,TblApplications[Couloir],$F121)&gt;1,"Déploiement en doublon (ID + env + couloir)",IF(OR(AND($K121&lt;&gt;"",NOT(ISNUMBER($K121))),AND($L121&lt;&gt;"",NOT(ISNUMBER($L121))),AND($N121&lt;&gt;"",NOT(ISNUMBER($N121))),AND($O121&lt;&gt;"",NOT(ISNUMBER($O121)))),"Ressource non numérique",IF(MIN(N($K121),N($L121),N($N121),N($O121))&lt;0,"Ressource négative",IF(OR(AND($AC121&lt;&gt;"",OR(NOT(ISNUMBER($AC121)),$AC121&lt;0,$AC121&gt;1)),AND($AD121&lt;&gt;"",OR(NOT(ISNUMBER($AD121)),$AD121&lt;0,$AD121&gt;1))),"Marge spécifique invalide (0–100 %)",IF(OR(AND($P121&lt;&gt;"",NOT(ISNUMBER($P121))),AND($Q121&lt;&gt;"",NOT(ISNUMBER($Q121))),AND($R121&lt;&gt;"",NOT(ISNUMBER($R121)))),"Mois invalide",IF(AND(OR($G121="À migrer",$G121="À décommissionner"),COUNTIFS(TblClusters[Cluster],$I121,TblClusters[Plateforme],"IKS")=0),"Cluster IKS inconnu",IF(AND(OR($G121="À migrer",$G121="Migré"),COUNTIFS(TblClusters[Cluster],$J121,TblClusters[Plateforme],"ROKS")=0),"Cluster ROKS inconnu",IF(AND(OR($G121="À migrer",$G121="À décommissionner"),COUNTIFS(TblClusters[Cluster],$I121,TblClusters[Environnement],$E121)=0),"Environnement ≠ cluster IKS",IF(AND(OR($G121="À migrer",$G121="Migré"),COUNTIFS(TblClusters[Cluster],$J121,TblClusters[Environnement],$E121)=0),"Environnement ≠ cluster ROKS",IF(AND($G121="À migrer",OR($P121&gt;$Q121,$Q121&gt;$R121)),"Dates incohérentes (prov ≤ bascule ≤ libération)",IF(AND(OR($G121="À migrer",$G121="À décommissionner"),OR(N($N121)&gt;SUMIFS(TblClusters[CPU initial (vCPU)],TblClusters[Cluster],$I121),N($O121)&gt;SUMIFS(TblClusters[RAM initiale (Go)],TblClusters[Cluster],$I121))),"Libération &gt; capacité du cluster source",IF(OR(AND($V121&lt;&gt;"",$V121&lt;p_debut),AND($W121&lt;&gt;"",$W121&gt;p_fin)),"Hors horizon (info)",IF(AND($G121="À migrer",$E121="PRD",COUNTIFS(TblApplications[ID],$C121,TblApplications[Environnement],"NPRD",TblApplications[Action],"À migrer")&gt;0,$V121&lt;_xlfn.MINIFS(TblApplications[Mois prov (calc)],TblApplications[ID],$C121,TblApplications[Environnement],"NPRD")),"PRD avant NPRD (info)","OK"))))))))))))))))))))</f>
        <v/>
      </c>
      <c r="AC121" s="76"/>
      <c r="AD121" s="76"/>
      <c r="AE121" s="22" t="str">
        <f aca="false">IF(OR($C121="",NOT(OR($G121="À migrer",$G121="À décommissionner")),NOT(ISNUMBER($N121)),NOT(ISNUMBER($O121)),$W121=""),"",($N121+p_poidsram*$O121)*SUMIFS(TblCalculs[Coût par unité],TblCalculs[Cluster],$I121,TblCalculs[Mois],"&lt;"&amp;$W121))</f>
        <v/>
      </c>
      <c r="AF121" s="22" t="str">
        <f aca="false">IF($C121="","",IF(AND($G121="À migrer",$H121="Non",$T121&lt;&gt;"",$V121&lt;&gt;""),($T121+p_poidsram*$U121)*SUMIFS(TblCalculs[Coût par unité],TblCalculs[Cluster],$J121,TblCalculs[Mois],"&gt;="&amp;$V121),IF(AND($G121="Migré",$T121&lt;&gt;""),($T121+p_poidsram*$U121)*SUMIFS(TblCalculs[Coût par unité],TblCalculs[Cluster],$J121),"")))</f>
        <v/>
      </c>
      <c r="AG121" s="22" t="str">
        <f aca="false">IF($C121="","",N($AE121)+N($AF121))</f>
        <v/>
      </c>
      <c r="AH121" s="21" t="str">
        <f aca="false">IF(OR($C121="",$G121="Décommissionné",COUNTIFS($E121,av_envc,$A121,av_domc,$B121,av_tric)=0),"",COUNTIFS($C$6:$C121,"&lt;&gt;",$G$6:$G121,"&lt;&gt;Décommissionné",$E$6:$E121,av_envc,$A$6:$A121,av_domc,$B$6:$B121,av_tric))</f>
        <v/>
      </c>
      <c r="AI121" s="21" t="str">
        <f aca="false">IF($C121="","",IF(AND(OR($G121="À migrer",$G121="À décommissionner"),$W121&lt;&gt;"",$W121&gt;ex_mois),1,0))</f>
        <v/>
      </c>
      <c r="AJ121" s="21" t="str">
        <f aca="false">IF(OR($C121="",$AI121&lt;&gt;1,COUNTIFS($E121,ex_envc,$A121,ex_domc,$B121,ex_tric)=0),"",COUNTIFS($AI$6:$AI121,1,$E$6:$E121,ex_envc,$A$6:$A121,ex_domc,$B$6:$B121,ex_tric))</f>
        <v/>
      </c>
    </row>
    <row r="122" customFormat="false" ht="15" hidden="false" customHeight="false" outlineLevel="0" collapsed="false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5"/>
      <c r="Q122" s="75"/>
      <c r="R122" s="75"/>
      <c r="S122" s="74"/>
      <c r="T122" s="21" t="str">
        <f aca="false">IF(OR($C122="",NOT(OR($G122="À migrer",$G122="Migré")),NOT(ISNUMBER($K122))),"",ROUNDUP($K122*(1+IF($AC122="",p_margeCPU,$AC122)),0))</f>
        <v/>
      </c>
      <c r="U122" s="21" t="str">
        <f aca="false">IF(OR($C122="",NOT(OR($G122="À migrer",$G122="Migré")),NOT(ISNUMBER($L122))),"",ROUNDUP($L122*(1+IF($AD122="",p_margeRAM,$AD122)),0))</f>
        <v/>
      </c>
      <c r="V122" s="39" t="str">
        <f aca="false">IF(OR(NOT($G122="À migrer"),$P122=""),"",IFERROR(DATE(YEAR($P122),MONTH($P122),1),""))</f>
        <v/>
      </c>
      <c r="W122" s="39" t="str">
        <f aca="false">IF(OR(NOT(OR($G122="À migrer",$G122="À décommissionner")),$R122=""),"",IFERROR(DATE(YEAR($R122),MONTH($R122),1),""))</f>
        <v/>
      </c>
      <c r="X122" s="21" t="str">
        <f aca="false">IF(OR($V122="",$W122=""),"",MAX(0,(YEAR($W122)-YEAR($V122))*12+MONTH($W122)-MONTH($V122)))</f>
        <v/>
      </c>
      <c r="Y122" s="21" t="str">
        <f aca="false">IF($C122="","",COUNTIF(TblApplications[ID],$C122))</f>
        <v/>
      </c>
      <c r="Z122" s="39" t="str">
        <f aca="false">IF($C122="","",IFERROR(1/(1/_xlfn.MINIFS(TblApplications[Mois prov (calc)],TblApplications[ID],$C122)),""))</f>
        <v/>
      </c>
      <c r="AA122" s="39" t="str">
        <f aca="false">IF($C122="","",IFERROR(1/(1/_xlfn.MAXIFS(TblApplications[Mois lib (calc)],TblApplications[ID],$C122)),""))</f>
        <v/>
      </c>
      <c r="AB122" s="21" t="str">
        <f aca="false">IF($C122="","",IF(OR(OR($A122="",$B122="",$D122="",$E122="",$F122="",$G122=""),AND($G122="À migrer",OR($H122="",$I122="",$J122="",$K122="",$L122="",$N122="",$O122="",$P122="",$Q122="",$R122="")),AND($G122="Migré",OR($J122="",$K122="",$L122="")),AND($G122="À décommissionner",OR($I122="",$N122="",$O122="",$R122=""))),"Données manquantes (selon l’action)",IF(AND($G122&lt;&gt;"Migré",$G122&lt;&gt;"À migrer",$G122&lt;&gt;"À décommissionner",$G122&lt;&gt;"Décommissionné"),"Action invalide",IF(COUNTIF(TblDomaines[Domaine],$A122)=0,"Domaine inconnu (référentiel)",IF(COUNTIFS(TblTribes[Tribe],$B122,TblTribes[Domaine de la tribe],$A122)=0,"Tribe inconnue ou hors domaine",IF(AND($G122="À migrer",$H122&lt;&gt;"Oui",$H122&lt;&gt;"Non"),"Valeur Oui/Non invalide (Déjà incluse ROKS)",IF(AND($E122&lt;&gt;"PRD",$E122&lt;&gt;"NPRD"),"Environnement invalide",IF(COUNTIFS(TblApplications[ID],$C122,TblApplications[Environnement],$E122,TblApplications[Couloir],$F122)&gt;1,"Déploiement en doublon (ID + env + couloir)",IF(OR(AND($K122&lt;&gt;"",NOT(ISNUMBER($K122))),AND($L122&lt;&gt;"",NOT(ISNUMBER($L122))),AND($N122&lt;&gt;"",NOT(ISNUMBER($N122))),AND($O122&lt;&gt;"",NOT(ISNUMBER($O122)))),"Ressource non numérique",IF(MIN(N($K122),N($L122),N($N122),N($O122))&lt;0,"Ressource négative",IF(OR(AND($AC122&lt;&gt;"",OR(NOT(ISNUMBER($AC122)),$AC122&lt;0,$AC122&gt;1)),AND($AD122&lt;&gt;"",OR(NOT(ISNUMBER($AD122)),$AD122&lt;0,$AD122&gt;1))),"Marge spécifique invalide (0–100 %)",IF(OR(AND($P122&lt;&gt;"",NOT(ISNUMBER($P122))),AND($Q122&lt;&gt;"",NOT(ISNUMBER($Q122))),AND($R122&lt;&gt;"",NOT(ISNUMBER($R122)))),"Mois invalide",IF(AND(OR($G122="À migrer",$G122="À décommissionner"),COUNTIFS(TblClusters[Cluster],$I122,TblClusters[Plateforme],"IKS")=0),"Cluster IKS inconnu",IF(AND(OR($G122="À migrer",$G122="Migré"),COUNTIFS(TblClusters[Cluster],$J122,TblClusters[Plateforme],"ROKS")=0),"Cluster ROKS inconnu",IF(AND(OR($G122="À migrer",$G122="À décommissionner"),COUNTIFS(TblClusters[Cluster],$I122,TblClusters[Environnement],$E122)=0),"Environnement ≠ cluster IKS",IF(AND(OR($G122="À migrer",$G122="Migré"),COUNTIFS(TblClusters[Cluster],$J122,TblClusters[Environnement],$E122)=0),"Environnement ≠ cluster ROKS",IF(AND($G122="À migrer",OR($P122&gt;$Q122,$Q122&gt;$R122)),"Dates incohérentes (prov ≤ bascule ≤ libération)",IF(AND(OR($G122="À migrer",$G122="À décommissionner"),OR(N($N122)&gt;SUMIFS(TblClusters[CPU initial (vCPU)],TblClusters[Cluster],$I122),N($O122)&gt;SUMIFS(TblClusters[RAM initiale (Go)],TblClusters[Cluster],$I122))),"Libération &gt; capacité du cluster source",IF(OR(AND($V122&lt;&gt;"",$V122&lt;p_debut),AND($W122&lt;&gt;"",$W122&gt;p_fin)),"Hors horizon (info)",IF(AND($G122="À migrer",$E122="PRD",COUNTIFS(TblApplications[ID],$C122,TblApplications[Environnement],"NPRD",TblApplications[Action],"À migrer")&gt;0,$V122&lt;_xlfn.MINIFS(TblApplications[Mois prov (calc)],TblApplications[ID],$C122,TblApplications[Environnement],"NPRD")),"PRD avant NPRD (info)","OK"))))))))))))))))))))</f>
        <v/>
      </c>
      <c r="AC122" s="76"/>
      <c r="AD122" s="76"/>
      <c r="AE122" s="22" t="str">
        <f aca="false">IF(OR($C122="",NOT(OR($G122="À migrer",$G122="À décommissionner")),NOT(ISNUMBER($N122)),NOT(ISNUMBER($O122)),$W122=""),"",($N122+p_poidsram*$O122)*SUMIFS(TblCalculs[Coût par unité],TblCalculs[Cluster],$I122,TblCalculs[Mois],"&lt;"&amp;$W122))</f>
        <v/>
      </c>
      <c r="AF122" s="22" t="str">
        <f aca="false">IF($C122="","",IF(AND($G122="À migrer",$H122="Non",$T122&lt;&gt;"",$V122&lt;&gt;""),($T122+p_poidsram*$U122)*SUMIFS(TblCalculs[Coût par unité],TblCalculs[Cluster],$J122,TblCalculs[Mois],"&gt;="&amp;$V122),IF(AND($G122="Migré",$T122&lt;&gt;""),($T122+p_poidsram*$U122)*SUMIFS(TblCalculs[Coût par unité],TblCalculs[Cluster],$J122),"")))</f>
        <v/>
      </c>
      <c r="AG122" s="22" t="str">
        <f aca="false">IF($C122="","",N($AE122)+N($AF122))</f>
        <v/>
      </c>
      <c r="AH122" s="21" t="str">
        <f aca="false">IF(OR($C122="",$G122="Décommissionné",COUNTIFS($E122,av_envc,$A122,av_domc,$B122,av_tric)=0),"",COUNTIFS($C$6:$C122,"&lt;&gt;",$G$6:$G122,"&lt;&gt;Décommissionné",$E$6:$E122,av_envc,$A$6:$A122,av_domc,$B$6:$B122,av_tric))</f>
        <v/>
      </c>
      <c r="AI122" s="21" t="str">
        <f aca="false">IF($C122="","",IF(AND(OR($G122="À migrer",$G122="À décommissionner"),$W122&lt;&gt;"",$W122&gt;ex_mois),1,0))</f>
        <v/>
      </c>
      <c r="AJ122" s="21" t="str">
        <f aca="false">IF(OR($C122="",$AI122&lt;&gt;1,COUNTIFS($E122,ex_envc,$A122,ex_domc,$B122,ex_tric)=0),"",COUNTIFS($AI$6:$AI122,1,$E$6:$E122,ex_envc,$A$6:$A122,ex_domc,$B$6:$B122,ex_tric))</f>
        <v/>
      </c>
    </row>
    <row r="123" customFormat="false" ht="15" hidden="false" customHeight="false" outlineLevel="0" collapsed="false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5"/>
      <c r="Q123" s="75"/>
      <c r="R123" s="75"/>
      <c r="S123" s="74"/>
      <c r="T123" s="21" t="str">
        <f aca="false">IF(OR($C123="",NOT(OR($G123="À migrer",$G123="Migré")),NOT(ISNUMBER($K123))),"",ROUNDUP($K123*(1+IF($AC123="",p_margeCPU,$AC123)),0))</f>
        <v/>
      </c>
      <c r="U123" s="21" t="str">
        <f aca="false">IF(OR($C123="",NOT(OR($G123="À migrer",$G123="Migré")),NOT(ISNUMBER($L123))),"",ROUNDUP($L123*(1+IF($AD123="",p_margeRAM,$AD123)),0))</f>
        <v/>
      </c>
      <c r="V123" s="39" t="str">
        <f aca="false">IF(OR(NOT($G123="À migrer"),$P123=""),"",IFERROR(DATE(YEAR($P123),MONTH($P123),1),""))</f>
        <v/>
      </c>
      <c r="W123" s="39" t="str">
        <f aca="false">IF(OR(NOT(OR($G123="À migrer",$G123="À décommissionner")),$R123=""),"",IFERROR(DATE(YEAR($R123),MONTH($R123),1),""))</f>
        <v/>
      </c>
      <c r="X123" s="21" t="str">
        <f aca="false">IF(OR($V123="",$W123=""),"",MAX(0,(YEAR($W123)-YEAR($V123))*12+MONTH($W123)-MONTH($V123)))</f>
        <v/>
      </c>
      <c r="Y123" s="21" t="str">
        <f aca="false">IF($C123="","",COUNTIF(TblApplications[ID],$C123))</f>
        <v/>
      </c>
      <c r="Z123" s="39" t="str">
        <f aca="false">IF($C123="","",IFERROR(1/(1/_xlfn.MINIFS(TblApplications[Mois prov (calc)],TblApplications[ID],$C123)),""))</f>
        <v/>
      </c>
      <c r="AA123" s="39" t="str">
        <f aca="false">IF($C123="","",IFERROR(1/(1/_xlfn.MAXIFS(TblApplications[Mois lib (calc)],TblApplications[ID],$C123)),""))</f>
        <v/>
      </c>
      <c r="AB123" s="21" t="str">
        <f aca="false">IF($C123="","",IF(OR(OR($A123="",$B123="",$D123="",$E123="",$F123="",$G123=""),AND($G123="À migrer",OR($H123="",$I123="",$J123="",$K123="",$L123="",$N123="",$O123="",$P123="",$Q123="",$R123="")),AND($G123="Migré",OR($J123="",$K123="",$L123="")),AND($G123="À décommissionner",OR($I123="",$N123="",$O123="",$R123=""))),"Données manquantes (selon l’action)",IF(AND($G123&lt;&gt;"Migré",$G123&lt;&gt;"À migrer",$G123&lt;&gt;"À décommissionner",$G123&lt;&gt;"Décommissionné"),"Action invalide",IF(COUNTIF(TblDomaines[Domaine],$A123)=0,"Domaine inconnu (référentiel)",IF(COUNTIFS(TblTribes[Tribe],$B123,TblTribes[Domaine de la tribe],$A123)=0,"Tribe inconnue ou hors domaine",IF(AND($G123="À migrer",$H123&lt;&gt;"Oui",$H123&lt;&gt;"Non"),"Valeur Oui/Non invalide (Déjà incluse ROKS)",IF(AND($E123&lt;&gt;"PRD",$E123&lt;&gt;"NPRD"),"Environnement invalide",IF(COUNTIFS(TblApplications[ID],$C123,TblApplications[Environnement],$E123,TblApplications[Couloir],$F123)&gt;1,"Déploiement en doublon (ID + env + couloir)",IF(OR(AND($K123&lt;&gt;"",NOT(ISNUMBER($K123))),AND($L123&lt;&gt;"",NOT(ISNUMBER($L123))),AND($N123&lt;&gt;"",NOT(ISNUMBER($N123))),AND($O123&lt;&gt;"",NOT(ISNUMBER($O123)))),"Ressource non numérique",IF(MIN(N($K123),N($L123),N($N123),N($O123))&lt;0,"Ressource négative",IF(OR(AND($AC123&lt;&gt;"",OR(NOT(ISNUMBER($AC123)),$AC123&lt;0,$AC123&gt;1)),AND($AD123&lt;&gt;"",OR(NOT(ISNUMBER($AD123)),$AD123&lt;0,$AD123&gt;1))),"Marge spécifique invalide (0–100 %)",IF(OR(AND($P123&lt;&gt;"",NOT(ISNUMBER($P123))),AND($Q123&lt;&gt;"",NOT(ISNUMBER($Q123))),AND($R123&lt;&gt;"",NOT(ISNUMBER($R123)))),"Mois invalide",IF(AND(OR($G123="À migrer",$G123="À décommissionner"),COUNTIFS(TblClusters[Cluster],$I123,TblClusters[Plateforme],"IKS")=0),"Cluster IKS inconnu",IF(AND(OR($G123="À migrer",$G123="Migré"),COUNTIFS(TblClusters[Cluster],$J123,TblClusters[Plateforme],"ROKS")=0),"Cluster ROKS inconnu",IF(AND(OR($G123="À migrer",$G123="À décommissionner"),COUNTIFS(TblClusters[Cluster],$I123,TblClusters[Environnement],$E123)=0),"Environnement ≠ cluster IKS",IF(AND(OR($G123="À migrer",$G123="Migré"),COUNTIFS(TblClusters[Cluster],$J123,TblClusters[Environnement],$E123)=0),"Environnement ≠ cluster ROKS",IF(AND($G123="À migrer",OR($P123&gt;$Q123,$Q123&gt;$R123)),"Dates incohérentes (prov ≤ bascule ≤ libération)",IF(AND(OR($G123="À migrer",$G123="À décommissionner"),OR(N($N123)&gt;SUMIFS(TblClusters[CPU initial (vCPU)],TblClusters[Cluster],$I123),N($O123)&gt;SUMIFS(TblClusters[RAM initiale (Go)],TblClusters[Cluster],$I123))),"Libération &gt; capacité du cluster source",IF(OR(AND($V123&lt;&gt;"",$V123&lt;p_debut),AND($W123&lt;&gt;"",$W123&gt;p_fin)),"Hors horizon (info)",IF(AND($G123="À migrer",$E123="PRD",COUNTIFS(TblApplications[ID],$C123,TblApplications[Environnement],"NPRD",TblApplications[Action],"À migrer")&gt;0,$V123&lt;_xlfn.MINIFS(TblApplications[Mois prov (calc)],TblApplications[ID],$C123,TblApplications[Environnement],"NPRD")),"PRD avant NPRD (info)","OK"))))))))))))))))))))</f>
        <v/>
      </c>
      <c r="AC123" s="76"/>
      <c r="AD123" s="76"/>
      <c r="AE123" s="22" t="str">
        <f aca="false">IF(OR($C123="",NOT(OR($G123="À migrer",$G123="À décommissionner")),NOT(ISNUMBER($N123)),NOT(ISNUMBER($O123)),$W123=""),"",($N123+p_poidsram*$O123)*SUMIFS(TblCalculs[Coût par unité],TblCalculs[Cluster],$I123,TblCalculs[Mois],"&lt;"&amp;$W123))</f>
        <v/>
      </c>
      <c r="AF123" s="22" t="str">
        <f aca="false">IF($C123="","",IF(AND($G123="À migrer",$H123="Non",$T123&lt;&gt;"",$V123&lt;&gt;""),($T123+p_poidsram*$U123)*SUMIFS(TblCalculs[Coût par unité],TblCalculs[Cluster],$J123,TblCalculs[Mois],"&gt;="&amp;$V123),IF(AND($G123="Migré",$T123&lt;&gt;""),($T123+p_poidsram*$U123)*SUMIFS(TblCalculs[Coût par unité],TblCalculs[Cluster],$J123),"")))</f>
        <v/>
      </c>
      <c r="AG123" s="22" t="str">
        <f aca="false">IF($C123="","",N($AE123)+N($AF123))</f>
        <v/>
      </c>
      <c r="AH123" s="21" t="str">
        <f aca="false">IF(OR($C123="",$G123="Décommissionné",COUNTIFS($E123,av_envc,$A123,av_domc,$B123,av_tric)=0),"",COUNTIFS($C$6:$C123,"&lt;&gt;",$G$6:$G123,"&lt;&gt;Décommissionné",$E$6:$E123,av_envc,$A$6:$A123,av_domc,$B$6:$B123,av_tric))</f>
        <v/>
      </c>
      <c r="AI123" s="21" t="str">
        <f aca="false">IF($C123="","",IF(AND(OR($G123="À migrer",$G123="À décommissionner"),$W123&lt;&gt;"",$W123&gt;ex_mois),1,0))</f>
        <v/>
      </c>
      <c r="AJ123" s="21" t="str">
        <f aca="false">IF(OR($C123="",$AI123&lt;&gt;1,COUNTIFS($E123,ex_envc,$A123,ex_domc,$B123,ex_tric)=0),"",COUNTIFS($AI$6:$AI123,1,$E$6:$E123,ex_envc,$A$6:$A123,ex_domc,$B$6:$B123,ex_tric))</f>
        <v/>
      </c>
    </row>
    <row r="124" customFormat="false" ht="15" hidden="false" customHeight="false" outlineLevel="0" collapsed="false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5"/>
      <c r="Q124" s="75"/>
      <c r="R124" s="75"/>
      <c r="S124" s="74"/>
      <c r="T124" s="21" t="str">
        <f aca="false">IF(OR($C124="",NOT(OR($G124="À migrer",$G124="Migré")),NOT(ISNUMBER($K124))),"",ROUNDUP($K124*(1+IF($AC124="",p_margeCPU,$AC124)),0))</f>
        <v/>
      </c>
      <c r="U124" s="21" t="str">
        <f aca="false">IF(OR($C124="",NOT(OR($G124="À migrer",$G124="Migré")),NOT(ISNUMBER($L124))),"",ROUNDUP($L124*(1+IF($AD124="",p_margeRAM,$AD124)),0))</f>
        <v/>
      </c>
      <c r="V124" s="39" t="str">
        <f aca="false">IF(OR(NOT($G124="À migrer"),$P124=""),"",IFERROR(DATE(YEAR($P124),MONTH($P124),1),""))</f>
        <v/>
      </c>
      <c r="W124" s="39" t="str">
        <f aca="false">IF(OR(NOT(OR($G124="À migrer",$G124="À décommissionner")),$R124=""),"",IFERROR(DATE(YEAR($R124),MONTH($R124),1),""))</f>
        <v/>
      </c>
      <c r="X124" s="21" t="str">
        <f aca="false">IF(OR($V124="",$W124=""),"",MAX(0,(YEAR($W124)-YEAR($V124))*12+MONTH($W124)-MONTH($V124)))</f>
        <v/>
      </c>
      <c r="Y124" s="21" t="str">
        <f aca="false">IF($C124="","",COUNTIF(TblApplications[ID],$C124))</f>
        <v/>
      </c>
      <c r="Z124" s="39" t="str">
        <f aca="false">IF($C124="","",IFERROR(1/(1/_xlfn.MINIFS(TblApplications[Mois prov (calc)],TblApplications[ID],$C124)),""))</f>
        <v/>
      </c>
      <c r="AA124" s="39" t="str">
        <f aca="false">IF($C124="","",IFERROR(1/(1/_xlfn.MAXIFS(TblApplications[Mois lib (calc)],TblApplications[ID],$C124)),""))</f>
        <v/>
      </c>
      <c r="AB124" s="21" t="str">
        <f aca="false">IF($C124="","",IF(OR(OR($A124="",$B124="",$D124="",$E124="",$F124="",$G124=""),AND($G124="À migrer",OR($H124="",$I124="",$J124="",$K124="",$L124="",$N124="",$O124="",$P124="",$Q124="",$R124="")),AND($G124="Migré",OR($J124="",$K124="",$L124="")),AND($G124="À décommissionner",OR($I124="",$N124="",$O124="",$R124=""))),"Données manquantes (selon l’action)",IF(AND($G124&lt;&gt;"Migré",$G124&lt;&gt;"À migrer",$G124&lt;&gt;"À décommissionner",$G124&lt;&gt;"Décommissionné"),"Action invalide",IF(COUNTIF(TblDomaines[Domaine],$A124)=0,"Domaine inconnu (référentiel)",IF(COUNTIFS(TblTribes[Tribe],$B124,TblTribes[Domaine de la tribe],$A124)=0,"Tribe inconnue ou hors domaine",IF(AND($G124="À migrer",$H124&lt;&gt;"Oui",$H124&lt;&gt;"Non"),"Valeur Oui/Non invalide (Déjà incluse ROKS)",IF(AND($E124&lt;&gt;"PRD",$E124&lt;&gt;"NPRD"),"Environnement invalide",IF(COUNTIFS(TblApplications[ID],$C124,TblApplications[Environnement],$E124,TblApplications[Couloir],$F124)&gt;1,"Déploiement en doublon (ID + env + couloir)",IF(OR(AND($K124&lt;&gt;"",NOT(ISNUMBER($K124))),AND($L124&lt;&gt;"",NOT(ISNUMBER($L124))),AND($N124&lt;&gt;"",NOT(ISNUMBER($N124))),AND($O124&lt;&gt;"",NOT(ISNUMBER($O124)))),"Ressource non numérique",IF(MIN(N($K124),N($L124),N($N124),N($O124))&lt;0,"Ressource négative",IF(OR(AND($AC124&lt;&gt;"",OR(NOT(ISNUMBER($AC124)),$AC124&lt;0,$AC124&gt;1)),AND($AD124&lt;&gt;"",OR(NOT(ISNUMBER($AD124)),$AD124&lt;0,$AD124&gt;1))),"Marge spécifique invalide (0–100 %)",IF(OR(AND($P124&lt;&gt;"",NOT(ISNUMBER($P124))),AND($Q124&lt;&gt;"",NOT(ISNUMBER($Q124))),AND($R124&lt;&gt;"",NOT(ISNUMBER($R124)))),"Mois invalide",IF(AND(OR($G124="À migrer",$G124="À décommissionner"),COUNTIFS(TblClusters[Cluster],$I124,TblClusters[Plateforme],"IKS")=0),"Cluster IKS inconnu",IF(AND(OR($G124="À migrer",$G124="Migré"),COUNTIFS(TblClusters[Cluster],$J124,TblClusters[Plateforme],"ROKS")=0),"Cluster ROKS inconnu",IF(AND(OR($G124="À migrer",$G124="À décommissionner"),COUNTIFS(TblClusters[Cluster],$I124,TblClusters[Environnement],$E124)=0),"Environnement ≠ cluster IKS",IF(AND(OR($G124="À migrer",$G124="Migré"),COUNTIFS(TblClusters[Cluster],$J124,TblClusters[Environnement],$E124)=0),"Environnement ≠ cluster ROKS",IF(AND($G124="À migrer",OR($P124&gt;$Q124,$Q124&gt;$R124)),"Dates incohérentes (prov ≤ bascule ≤ libération)",IF(AND(OR($G124="À migrer",$G124="À décommissionner"),OR(N($N124)&gt;SUMIFS(TblClusters[CPU initial (vCPU)],TblClusters[Cluster],$I124),N($O124)&gt;SUMIFS(TblClusters[RAM initiale (Go)],TblClusters[Cluster],$I124))),"Libération &gt; capacité du cluster source",IF(OR(AND($V124&lt;&gt;"",$V124&lt;p_debut),AND($W124&lt;&gt;"",$W124&gt;p_fin)),"Hors horizon (info)",IF(AND($G124="À migrer",$E124="PRD",COUNTIFS(TblApplications[ID],$C124,TblApplications[Environnement],"NPRD",TblApplications[Action],"À migrer")&gt;0,$V124&lt;_xlfn.MINIFS(TblApplications[Mois prov (calc)],TblApplications[ID],$C124,TblApplications[Environnement],"NPRD")),"PRD avant NPRD (info)","OK"))))))))))))))))))))</f>
        <v/>
      </c>
      <c r="AC124" s="76"/>
      <c r="AD124" s="76"/>
      <c r="AE124" s="22" t="str">
        <f aca="false">IF(OR($C124="",NOT(OR($G124="À migrer",$G124="À décommissionner")),NOT(ISNUMBER($N124)),NOT(ISNUMBER($O124)),$W124=""),"",($N124+p_poidsram*$O124)*SUMIFS(TblCalculs[Coût par unité],TblCalculs[Cluster],$I124,TblCalculs[Mois],"&lt;"&amp;$W124))</f>
        <v/>
      </c>
      <c r="AF124" s="22" t="str">
        <f aca="false">IF($C124="","",IF(AND($G124="À migrer",$H124="Non",$T124&lt;&gt;"",$V124&lt;&gt;""),($T124+p_poidsram*$U124)*SUMIFS(TblCalculs[Coût par unité],TblCalculs[Cluster],$J124,TblCalculs[Mois],"&gt;="&amp;$V124),IF(AND($G124="Migré",$T124&lt;&gt;""),($T124+p_poidsram*$U124)*SUMIFS(TblCalculs[Coût par unité],TblCalculs[Cluster],$J124),"")))</f>
        <v/>
      </c>
      <c r="AG124" s="22" t="str">
        <f aca="false">IF($C124="","",N($AE124)+N($AF124))</f>
        <v/>
      </c>
      <c r="AH124" s="21" t="str">
        <f aca="false">IF(OR($C124="",$G124="Décommissionné",COUNTIFS($E124,av_envc,$A124,av_domc,$B124,av_tric)=0),"",COUNTIFS($C$6:$C124,"&lt;&gt;",$G$6:$G124,"&lt;&gt;Décommissionné",$E$6:$E124,av_envc,$A$6:$A124,av_domc,$B$6:$B124,av_tric))</f>
        <v/>
      </c>
      <c r="AI124" s="21" t="str">
        <f aca="false">IF($C124="","",IF(AND(OR($G124="À migrer",$G124="À décommissionner"),$W124&lt;&gt;"",$W124&gt;ex_mois),1,0))</f>
        <v/>
      </c>
      <c r="AJ124" s="21" t="str">
        <f aca="false">IF(OR($C124="",$AI124&lt;&gt;1,COUNTIFS($E124,ex_envc,$A124,ex_domc,$B124,ex_tric)=0),"",COUNTIFS($AI$6:$AI124,1,$E$6:$E124,ex_envc,$A$6:$A124,ex_domc,$B$6:$B124,ex_tric))</f>
        <v/>
      </c>
    </row>
    <row r="125" customFormat="false" ht="15" hidden="false" customHeight="false" outlineLevel="0" collapsed="false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5"/>
      <c r="Q125" s="75"/>
      <c r="R125" s="75"/>
      <c r="S125" s="74"/>
      <c r="T125" s="21" t="str">
        <f aca="false">IF(OR($C125="",NOT(OR($G125="À migrer",$G125="Migré")),NOT(ISNUMBER($K125))),"",ROUNDUP($K125*(1+IF($AC125="",p_margeCPU,$AC125)),0))</f>
        <v/>
      </c>
      <c r="U125" s="21" t="str">
        <f aca="false">IF(OR($C125="",NOT(OR($G125="À migrer",$G125="Migré")),NOT(ISNUMBER($L125))),"",ROUNDUP($L125*(1+IF($AD125="",p_margeRAM,$AD125)),0))</f>
        <v/>
      </c>
      <c r="V125" s="39" t="str">
        <f aca="false">IF(OR(NOT($G125="À migrer"),$P125=""),"",IFERROR(DATE(YEAR($P125),MONTH($P125),1),""))</f>
        <v/>
      </c>
      <c r="W125" s="39" t="str">
        <f aca="false">IF(OR(NOT(OR($G125="À migrer",$G125="À décommissionner")),$R125=""),"",IFERROR(DATE(YEAR($R125),MONTH($R125),1),""))</f>
        <v/>
      </c>
      <c r="X125" s="21" t="str">
        <f aca="false">IF(OR($V125="",$W125=""),"",MAX(0,(YEAR($W125)-YEAR($V125))*12+MONTH($W125)-MONTH($V125)))</f>
        <v/>
      </c>
      <c r="Y125" s="21" t="str">
        <f aca="false">IF($C125="","",COUNTIF(TblApplications[ID],$C125))</f>
        <v/>
      </c>
      <c r="Z125" s="39" t="str">
        <f aca="false">IF($C125="","",IFERROR(1/(1/_xlfn.MINIFS(TblApplications[Mois prov (calc)],TblApplications[ID],$C125)),""))</f>
        <v/>
      </c>
      <c r="AA125" s="39" t="str">
        <f aca="false">IF($C125="","",IFERROR(1/(1/_xlfn.MAXIFS(TblApplications[Mois lib (calc)],TblApplications[ID],$C125)),""))</f>
        <v/>
      </c>
      <c r="AB125" s="21" t="str">
        <f aca="false">IF($C125="","",IF(OR(OR($A125="",$B125="",$D125="",$E125="",$F125="",$G125=""),AND($G125="À migrer",OR($H125="",$I125="",$J125="",$K125="",$L125="",$N125="",$O125="",$P125="",$Q125="",$R125="")),AND($G125="Migré",OR($J125="",$K125="",$L125="")),AND($G125="À décommissionner",OR($I125="",$N125="",$O125="",$R125=""))),"Données manquantes (selon l’action)",IF(AND($G125&lt;&gt;"Migré",$G125&lt;&gt;"À migrer",$G125&lt;&gt;"À décommissionner",$G125&lt;&gt;"Décommissionné"),"Action invalide",IF(COUNTIF(TblDomaines[Domaine],$A125)=0,"Domaine inconnu (référentiel)",IF(COUNTIFS(TblTribes[Tribe],$B125,TblTribes[Domaine de la tribe],$A125)=0,"Tribe inconnue ou hors domaine",IF(AND($G125="À migrer",$H125&lt;&gt;"Oui",$H125&lt;&gt;"Non"),"Valeur Oui/Non invalide (Déjà incluse ROKS)",IF(AND($E125&lt;&gt;"PRD",$E125&lt;&gt;"NPRD"),"Environnement invalide",IF(COUNTIFS(TblApplications[ID],$C125,TblApplications[Environnement],$E125,TblApplications[Couloir],$F125)&gt;1,"Déploiement en doublon (ID + env + couloir)",IF(OR(AND($K125&lt;&gt;"",NOT(ISNUMBER($K125))),AND($L125&lt;&gt;"",NOT(ISNUMBER($L125))),AND($N125&lt;&gt;"",NOT(ISNUMBER($N125))),AND($O125&lt;&gt;"",NOT(ISNUMBER($O125)))),"Ressource non numérique",IF(MIN(N($K125),N($L125),N($N125),N($O125))&lt;0,"Ressource négative",IF(OR(AND($AC125&lt;&gt;"",OR(NOT(ISNUMBER($AC125)),$AC125&lt;0,$AC125&gt;1)),AND($AD125&lt;&gt;"",OR(NOT(ISNUMBER($AD125)),$AD125&lt;0,$AD125&gt;1))),"Marge spécifique invalide (0–100 %)",IF(OR(AND($P125&lt;&gt;"",NOT(ISNUMBER($P125))),AND($Q125&lt;&gt;"",NOT(ISNUMBER($Q125))),AND($R125&lt;&gt;"",NOT(ISNUMBER($R125)))),"Mois invalide",IF(AND(OR($G125="À migrer",$G125="À décommissionner"),COUNTIFS(TblClusters[Cluster],$I125,TblClusters[Plateforme],"IKS")=0),"Cluster IKS inconnu",IF(AND(OR($G125="À migrer",$G125="Migré"),COUNTIFS(TblClusters[Cluster],$J125,TblClusters[Plateforme],"ROKS")=0),"Cluster ROKS inconnu",IF(AND(OR($G125="À migrer",$G125="À décommissionner"),COUNTIFS(TblClusters[Cluster],$I125,TblClusters[Environnement],$E125)=0),"Environnement ≠ cluster IKS",IF(AND(OR($G125="À migrer",$G125="Migré"),COUNTIFS(TblClusters[Cluster],$J125,TblClusters[Environnement],$E125)=0),"Environnement ≠ cluster ROKS",IF(AND($G125="À migrer",OR($P125&gt;$Q125,$Q125&gt;$R125)),"Dates incohérentes (prov ≤ bascule ≤ libération)",IF(AND(OR($G125="À migrer",$G125="À décommissionner"),OR(N($N125)&gt;SUMIFS(TblClusters[CPU initial (vCPU)],TblClusters[Cluster],$I125),N($O125)&gt;SUMIFS(TblClusters[RAM initiale (Go)],TblClusters[Cluster],$I125))),"Libération &gt; capacité du cluster source",IF(OR(AND($V125&lt;&gt;"",$V125&lt;p_debut),AND($W125&lt;&gt;"",$W125&gt;p_fin)),"Hors horizon (info)",IF(AND($G125="À migrer",$E125="PRD",COUNTIFS(TblApplications[ID],$C125,TblApplications[Environnement],"NPRD",TblApplications[Action],"À migrer")&gt;0,$V125&lt;_xlfn.MINIFS(TblApplications[Mois prov (calc)],TblApplications[ID],$C125,TblApplications[Environnement],"NPRD")),"PRD avant NPRD (info)","OK"))))))))))))))))))))</f>
        <v/>
      </c>
      <c r="AC125" s="76"/>
      <c r="AD125" s="76"/>
      <c r="AE125" s="22" t="str">
        <f aca="false">IF(OR($C125="",NOT(OR($G125="À migrer",$G125="À décommissionner")),NOT(ISNUMBER($N125)),NOT(ISNUMBER($O125)),$W125=""),"",($N125+p_poidsram*$O125)*SUMIFS(TblCalculs[Coût par unité],TblCalculs[Cluster],$I125,TblCalculs[Mois],"&lt;"&amp;$W125))</f>
        <v/>
      </c>
      <c r="AF125" s="22" t="str">
        <f aca="false">IF($C125="","",IF(AND($G125="À migrer",$H125="Non",$T125&lt;&gt;"",$V125&lt;&gt;""),($T125+p_poidsram*$U125)*SUMIFS(TblCalculs[Coût par unité],TblCalculs[Cluster],$J125,TblCalculs[Mois],"&gt;="&amp;$V125),IF(AND($G125="Migré",$T125&lt;&gt;""),($T125+p_poidsram*$U125)*SUMIFS(TblCalculs[Coût par unité],TblCalculs[Cluster],$J125),"")))</f>
        <v/>
      </c>
      <c r="AG125" s="22" t="str">
        <f aca="false">IF($C125="","",N($AE125)+N($AF125))</f>
        <v/>
      </c>
      <c r="AH125" s="21" t="str">
        <f aca="false">IF(OR($C125="",$G125="Décommissionné",COUNTIFS($E125,av_envc,$A125,av_domc,$B125,av_tric)=0),"",COUNTIFS($C$6:$C125,"&lt;&gt;",$G$6:$G125,"&lt;&gt;Décommissionné",$E$6:$E125,av_envc,$A$6:$A125,av_domc,$B$6:$B125,av_tric))</f>
        <v/>
      </c>
      <c r="AI125" s="21" t="str">
        <f aca="false">IF($C125="","",IF(AND(OR($G125="À migrer",$G125="À décommissionner"),$W125&lt;&gt;"",$W125&gt;ex_mois),1,0))</f>
        <v/>
      </c>
      <c r="AJ125" s="21" t="str">
        <f aca="false">IF(OR($C125="",$AI125&lt;&gt;1,COUNTIFS($E125,ex_envc,$A125,ex_domc,$B125,ex_tric)=0),"",COUNTIFS($AI$6:$AI125,1,$E$6:$E125,ex_envc,$A$6:$A125,ex_domc,$B$6:$B125,ex_tric))</f>
        <v/>
      </c>
    </row>
    <row r="126" customFormat="false" ht="15" hidden="false" customHeight="false" outlineLevel="0" collapsed="false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5"/>
      <c r="Q126" s="75"/>
      <c r="R126" s="75"/>
      <c r="S126" s="74"/>
      <c r="T126" s="21" t="str">
        <f aca="false">IF(OR($C126="",NOT(OR($G126="À migrer",$G126="Migré")),NOT(ISNUMBER($K126))),"",ROUNDUP($K126*(1+IF($AC126="",p_margeCPU,$AC126)),0))</f>
        <v/>
      </c>
      <c r="U126" s="21" t="str">
        <f aca="false">IF(OR($C126="",NOT(OR($G126="À migrer",$G126="Migré")),NOT(ISNUMBER($L126))),"",ROUNDUP($L126*(1+IF($AD126="",p_margeRAM,$AD126)),0))</f>
        <v/>
      </c>
      <c r="V126" s="39" t="str">
        <f aca="false">IF(OR(NOT($G126="À migrer"),$P126=""),"",IFERROR(DATE(YEAR($P126),MONTH($P126),1),""))</f>
        <v/>
      </c>
      <c r="W126" s="39" t="str">
        <f aca="false">IF(OR(NOT(OR($G126="À migrer",$G126="À décommissionner")),$R126=""),"",IFERROR(DATE(YEAR($R126),MONTH($R126),1),""))</f>
        <v/>
      </c>
      <c r="X126" s="21" t="str">
        <f aca="false">IF(OR($V126="",$W126=""),"",MAX(0,(YEAR($W126)-YEAR($V126))*12+MONTH($W126)-MONTH($V126)))</f>
        <v/>
      </c>
      <c r="Y126" s="21" t="str">
        <f aca="false">IF($C126="","",COUNTIF(TblApplications[ID],$C126))</f>
        <v/>
      </c>
      <c r="Z126" s="39" t="str">
        <f aca="false">IF($C126="","",IFERROR(1/(1/_xlfn.MINIFS(TblApplications[Mois prov (calc)],TblApplications[ID],$C126)),""))</f>
        <v/>
      </c>
      <c r="AA126" s="39" t="str">
        <f aca="false">IF($C126="","",IFERROR(1/(1/_xlfn.MAXIFS(TblApplications[Mois lib (calc)],TblApplications[ID],$C126)),""))</f>
        <v/>
      </c>
      <c r="AB126" s="21" t="str">
        <f aca="false">IF($C126="","",IF(OR(OR($A126="",$B126="",$D126="",$E126="",$F126="",$G126=""),AND($G126="À migrer",OR($H126="",$I126="",$J126="",$K126="",$L126="",$N126="",$O126="",$P126="",$Q126="",$R126="")),AND($G126="Migré",OR($J126="",$K126="",$L126="")),AND($G126="À décommissionner",OR($I126="",$N126="",$O126="",$R126=""))),"Données manquantes (selon l’action)",IF(AND($G126&lt;&gt;"Migré",$G126&lt;&gt;"À migrer",$G126&lt;&gt;"À décommissionner",$G126&lt;&gt;"Décommissionné"),"Action invalide",IF(COUNTIF(TblDomaines[Domaine],$A126)=0,"Domaine inconnu (référentiel)",IF(COUNTIFS(TblTribes[Tribe],$B126,TblTribes[Domaine de la tribe],$A126)=0,"Tribe inconnue ou hors domaine",IF(AND($G126="À migrer",$H126&lt;&gt;"Oui",$H126&lt;&gt;"Non"),"Valeur Oui/Non invalide (Déjà incluse ROKS)",IF(AND($E126&lt;&gt;"PRD",$E126&lt;&gt;"NPRD"),"Environnement invalide",IF(COUNTIFS(TblApplications[ID],$C126,TblApplications[Environnement],$E126,TblApplications[Couloir],$F126)&gt;1,"Déploiement en doublon (ID + env + couloir)",IF(OR(AND($K126&lt;&gt;"",NOT(ISNUMBER($K126))),AND($L126&lt;&gt;"",NOT(ISNUMBER($L126))),AND($N126&lt;&gt;"",NOT(ISNUMBER($N126))),AND($O126&lt;&gt;"",NOT(ISNUMBER($O126)))),"Ressource non numérique",IF(MIN(N($K126),N($L126),N($N126),N($O126))&lt;0,"Ressource négative",IF(OR(AND($AC126&lt;&gt;"",OR(NOT(ISNUMBER($AC126)),$AC126&lt;0,$AC126&gt;1)),AND($AD126&lt;&gt;"",OR(NOT(ISNUMBER($AD126)),$AD126&lt;0,$AD126&gt;1))),"Marge spécifique invalide (0–100 %)",IF(OR(AND($P126&lt;&gt;"",NOT(ISNUMBER($P126))),AND($Q126&lt;&gt;"",NOT(ISNUMBER($Q126))),AND($R126&lt;&gt;"",NOT(ISNUMBER($R126)))),"Mois invalide",IF(AND(OR($G126="À migrer",$G126="À décommissionner"),COUNTIFS(TblClusters[Cluster],$I126,TblClusters[Plateforme],"IKS")=0),"Cluster IKS inconnu",IF(AND(OR($G126="À migrer",$G126="Migré"),COUNTIFS(TblClusters[Cluster],$J126,TblClusters[Plateforme],"ROKS")=0),"Cluster ROKS inconnu",IF(AND(OR($G126="À migrer",$G126="À décommissionner"),COUNTIFS(TblClusters[Cluster],$I126,TblClusters[Environnement],$E126)=0),"Environnement ≠ cluster IKS",IF(AND(OR($G126="À migrer",$G126="Migré"),COUNTIFS(TblClusters[Cluster],$J126,TblClusters[Environnement],$E126)=0),"Environnement ≠ cluster ROKS",IF(AND($G126="À migrer",OR($P126&gt;$Q126,$Q126&gt;$R126)),"Dates incohérentes (prov ≤ bascule ≤ libération)",IF(AND(OR($G126="À migrer",$G126="À décommissionner"),OR(N($N126)&gt;SUMIFS(TblClusters[CPU initial (vCPU)],TblClusters[Cluster],$I126),N($O126)&gt;SUMIFS(TblClusters[RAM initiale (Go)],TblClusters[Cluster],$I126))),"Libération &gt; capacité du cluster source",IF(OR(AND($V126&lt;&gt;"",$V126&lt;p_debut),AND($W126&lt;&gt;"",$W126&gt;p_fin)),"Hors horizon (info)",IF(AND($G126="À migrer",$E126="PRD",COUNTIFS(TblApplications[ID],$C126,TblApplications[Environnement],"NPRD",TblApplications[Action],"À migrer")&gt;0,$V126&lt;_xlfn.MINIFS(TblApplications[Mois prov (calc)],TblApplications[ID],$C126,TblApplications[Environnement],"NPRD")),"PRD avant NPRD (info)","OK"))))))))))))))))))))</f>
        <v/>
      </c>
      <c r="AC126" s="76"/>
      <c r="AD126" s="76"/>
      <c r="AE126" s="22" t="str">
        <f aca="false">IF(OR($C126="",NOT(OR($G126="À migrer",$G126="À décommissionner")),NOT(ISNUMBER($N126)),NOT(ISNUMBER($O126)),$W126=""),"",($N126+p_poidsram*$O126)*SUMIFS(TblCalculs[Coût par unité],TblCalculs[Cluster],$I126,TblCalculs[Mois],"&lt;"&amp;$W126))</f>
        <v/>
      </c>
      <c r="AF126" s="22" t="str">
        <f aca="false">IF($C126="","",IF(AND($G126="À migrer",$H126="Non",$T126&lt;&gt;"",$V126&lt;&gt;""),($T126+p_poidsram*$U126)*SUMIFS(TblCalculs[Coût par unité],TblCalculs[Cluster],$J126,TblCalculs[Mois],"&gt;="&amp;$V126),IF(AND($G126="Migré",$T126&lt;&gt;""),($T126+p_poidsram*$U126)*SUMIFS(TblCalculs[Coût par unité],TblCalculs[Cluster],$J126),"")))</f>
        <v/>
      </c>
      <c r="AG126" s="22" t="str">
        <f aca="false">IF($C126="","",N($AE126)+N($AF126))</f>
        <v/>
      </c>
      <c r="AH126" s="21" t="str">
        <f aca="false">IF(OR($C126="",$G126="Décommissionné",COUNTIFS($E126,av_envc,$A126,av_domc,$B126,av_tric)=0),"",COUNTIFS($C$6:$C126,"&lt;&gt;",$G$6:$G126,"&lt;&gt;Décommissionné",$E$6:$E126,av_envc,$A$6:$A126,av_domc,$B$6:$B126,av_tric))</f>
        <v/>
      </c>
      <c r="AI126" s="21" t="str">
        <f aca="false">IF($C126="","",IF(AND(OR($G126="À migrer",$G126="À décommissionner"),$W126&lt;&gt;"",$W126&gt;ex_mois),1,0))</f>
        <v/>
      </c>
      <c r="AJ126" s="21" t="str">
        <f aca="false">IF(OR($C126="",$AI126&lt;&gt;1,COUNTIFS($E126,ex_envc,$A126,ex_domc,$B126,ex_tric)=0),"",COUNTIFS($AI$6:$AI126,1,$E$6:$E126,ex_envc,$A$6:$A126,ex_domc,$B$6:$B126,ex_tric))</f>
        <v/>
      </c>
    </row>
    <row r="127" customFormat="false" ht="15" hidden="false" customHeight="false" outlineLevel="0" collapsed="false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5"/>
      <c r="Q127" s="75"/>
      <c r="R127" s="75"/>
      <c r="S127" s="74"/>
      <c r="T127" s="21" t="str">
        <f aca="false">IF(OR($C127="",NOT(OR($G127="À migrer",$G127="Migré")),NOT(ISNUMBER($K127))),"",ROUNDUP($K127*(1+IF($AC127="",p_margeCPU,$AC127)),0))</f>
        <v/>
      </c>
      <c r="U127" s="21" t="str">
        <f aca="false">IF(OR($C127="",NOT(OR($G127="À migrer",$G127="Migré")),NOT(ISNUMBER($L127))),"",ROUNDUP($L127*(1+IF($AD127="",p_margeRAM,$AD127)),0))</f>
        <v/>
      </c>
      <c r="V127" s="39" t="str">
        <f aca="false">IF(OR(NOT($G127="À migrer"),$P127=""),"",IFERROR(DATE(YEAR($P127),MONTH($P127),1),""))</f>
        <v/>
      </c>
      <c r="W127" s="39" t="str">
        <f aca="false">IF(OR(NOT(OR($G127="À migrer",$G127="À décommissionner")),$R127=""),"",IFERROR(DATE(YEAR($R127),MONTH($R127),1),""))</f>
        <v/>
      </c>
      <c r="X127" s="21" t="str">
        <f aca="false">IF(OR($V127="",$W127=""),"",MAX(0,(YEAR($W127)-YEAR($V127))*12+MONTH($W127)-MONTH($V127)))</f>
        <v/>
      </c>
      <c r="Y127" s="21" t="str">
        <f aca="false">IF($C127="","",COUNTIF(TblApplications[ID],$C127))</f>
        <v/>
      </c>
      <c r="Z127" s="39" t="str">
        <f aca="false">IF($C127="","",IFERROR(1/(1/_xlfn.MINIFS(TblApplications[Mois prov (calc)],TblApplications[ID],$C127)),""))</f>
        <v/>
      </c>
      <c r="AA127" s="39" t="str">
        <f aca="false">IF($C127="","",IFERROR(1/(1/_xlfn.MAXIFS(TblApplications[Mois lib (calc)],TblApplications[ID],$C127)),""))</f>
        <v/>
      </c>
      <c r="AB127" s="21" t="str">
        <f aca="false">IF($C127="","",IF(OR(OR($A127="",$B127="",$D127="",$E127="",$F127="",$G127=""),AND($G127="À migrer",OR($H127="",$I127="",$J127="",$K127="",$L127="",$N127="",$O127="",$P127="",$Q127="",$R127="")),AND($G127="Migré",OR($J127="",$K127="",$L127="")),AND($G127="À décommissionner",OR($I127="",$N127="",$O127="",$R127=""))),"Données manquantes (selon l’action)",IF(AND($G127&lt;&gt;"Migré",$G127&lt;&gt;"À migrer",$G127&lt;&gt;"À décommissionner",$G127&lt;&gt;"Décommissionné"),"Action invalide",IF(COUNTIF(TblDomaines[Domaine],$A127)=0,"Domaine inconnu (référentiel)",IF(COUNTIFS(TblTribes[Tribe],$B127,TblTribes[Domaine de la tribe],$A127)=0,"Tribe inconnue ou hors domaine",IF(AND($G127="À migrer",$H127&lt;&gt;"Oui",$H127&lt;&gt;"Non"),"Valeur Oui/Non invalide (Déjà incluse ROKS)",IF(AND($E127&lt;&gt;"PRD",$E127&lt;&gt;"NPRD"),"Environnement invalide",IF(COUNTIFS(TblApplications[ID],$C127,TblApplications[Environnement],$E127,TblApplications[Couloir],$F127)&gt;1,"Déploiement en doublon (ID + env + couloir)",IF(OR(AND($K127&lt;&gt;"",NOT(ISNUMBER($K127))),AND($L127&lt;&gt;"",NOT(ISNUMBER($L127))),AND($N127&lt;&gt;"",NOT(ISNUMBER($N127))),AND($O127&lt;&gt;"",NOT(ISNUMBER($O127)))),"Ressource non numérique",IF(MIN(N($K127),N($L127),N($N127),N($O127))&lt;0,"Ressource négative",IF(OR(AND($AC127&lt;&gt;"",OR(NOT(ISNUMBER($AC127)),$AC127&lt;0,$AC127&gt;1)),AND($AD127&lt;&gt;"",OR(NOT(ISNUMBER($AD127)),$AD127&lt;0,$AD127&gt;1))),"Marge spécifique invalide (0–100 %)",IF(OR(AND($P127&lt;&gt;"",NOT(ISNUMBER($P127))),AND($Q127&lt;&gt;"",NOT(ISNUMBER($Q127))),AND($R127&lt;&gt;"",NOT(ISNUMBER($R127)))),"Mois invalide",IF(AND(OR($G127="À migrer",$G127="À décommissionner"),COUNTIFS(TblClusters[Cluster],$I127,TblClusters[Plateforme],"IKS")=0),"Cluster IKS inconnu",IF(AND(OR($G127="À migrer",$G127="Migré"),COUNTIFS(TblClusters[Cluster],$J127,TblClusters[Plateforme],"ROKS")=0),"Cluster ROKS inconnu",IF(AND(OR($G127="À migrer",$G127="À décommissionner"),COUNTIFS(TblClusters[Cluster],$I127,TblClusters[Environnement],$E127)=0),"Environnement ≠ cluster IKS",IF(AND(OR($G127="À migrer",$G127="Migré"),COUNTIFS(TblClusters[Cluster],$J127,TblClusters[Environnement],$E127)=0),"Environnement ≠ cluster ROKS",IF(AND($G127="À migrer",OR($P127&gt;$Q127,$Q127&gt;$R127)),"Dates incohérentes (prov ≤ bascule ≤ libération)",IF(AND(OR($G127="À migrer",$G127="À décommissionner"),OR(N($N127)&gt;SUMIFS(TblClusters[CPU initial (vCPU)],TblClusters[Cluster],$I127),N($O127)&gt;SUMIFS(TblClusters[RAM initiale (Go)],TblClusters[Cluster],$I127))),"Libération &gt; capacité du cluster source",IF(OR(AND($V127&lt;&gt;"",$V127&lt;p_debut),AND($W127&lt;&gt;"",$W127&gt;p_fin)),"Hors horizon (info)",IF(AND($G127="À migrer",$E127="PRD",COUNTIFS(TblApplications[ID],$C127,TblApplications[Environnement],"NPRD",TblApplications[Action],"À migrer")&gt;0,$V127&lt;_xlfn.MINIFS(TblApplications[Mois prov (calc)],TblApplications[ID],$C127,TblApplications[Environnement],"NPRD")),"PRD avant NPRD (info)","OK"))))))))))))))))))))</f>
        <v/>
      </c>
      <c r="AC127" s="76"/>
      <c r="AD127" s="76"/>
      <c r="AE127" s="22" t="str">
        <f aca="false">IF(OR($C127="",NOT(OR($G127="À migrer",$G127="À décommissionner")),NOT(ISNUMBER($N127)),NOT(ISNUMBER($O127)),$W127=""),"",($N127+p_poidsram*$O127)*SUMIFS(TblCalculs[Coût par unité],TblCalculs[Cluster],$I127,TblCalculs[Mois],"&lt;"&amp;$W127))</f>
        <v/>
      </c>
      <c r="AF127" s="22" t="str">
        <f aca="false">IF($C127="","",IF(AND($G127="À migrer",$H127="Non",$T127&lt;&gt;"",$V127&lt;&gt;""),($T127+p_poidsram*$U127)*SUMIFS(TblCalculs[Coût par unité],TblCalculs[Cluster],$J127,TblCalculs[Mois],"&gt;="&amp;$V127),IF(AND($G127="Migré",$T127&lt;&gt;""),($T127+p_poidsram*$U127)*SUMIFS(TblCalculs[Coût par unité],TblCalculs[Cluster],$J127),"")))</f>
        <v/>
      </c>
      <c r="AG127" s="22" t="str">
        <f aca="false">IF($C127="","",N($AE127)+N($AF127))</f>
        <v/>
      </c>
      <c r="AH127" s="21" t="str">
        <f aca="false">IF(OR($C127="",$G127="Décommissionné",COUNTIFS($E127,av_envc,$A127,av_domc,$B127,av_tric)=0),"",COUNTIFS($C$6:$C127,"&lt;&gt;",$G$6:$G127,"&lt;&gt;Décommissionné",$E$6:$E127,av_envc,$A$6:$A127,av_domc,$B$6:$B127,av_tric))</f>
        <v/>
      </c>
      <c r="AI127" s="21" t="str">
        <f aca="false">IF($C127="","",IF(AND(OR($G127="À migrer",$G127="À décommissionner"),$W127&lt;&gt;"",$W127&gt;ex_mois),1,0))</f>
        <v/>
      </c>
      <c r="AJ127" s="21" t="str">
        <f aca="false">IF(OR($C127="",$AI127&lt;&gt;1,COUNTIFS($E127,ex_envc,$A127,ex_domc,$B127,ex_tric)=0),"",COUNTIFS($AI$6:$AI127,1,$E$6:$E127,ex_envc,$A$6:$A127,ex_domc,$B$6:$B127,ex_tric))</f>
        <v/>
      </c>
    </row>
    <row r="128" customFormat="false" ht="15" hidden="false" customHeight="false" outlineLevel="0" collapsed="false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5"/>
      <c r="Q128" s="75"/>
      <c r="R128" s="75"/>
      <c r="S128" s="74"/>
      <c r="T128" s="21" t="str">
        <f aca="false">IF(OR($C128="",NOT(OR($G128="À migrer",$G128="Migré")),NOT(ISNUMBER($K128))),"",ROUNDUP($K128*(1+IF($AC128="",p_margeCPU,$AC128)),0))</f>
        <v/>
      </c>
      <c r="U128" s="21" t="str">
        <f aca="false">IF(OR($C128="",NOT(OR($G128="À migrer",$G128="Migré")),NOT(ISNUMBER($L128))),"",ROUNDUP($L128*(1+IF($AD128="",p_margeRAM,$AD128)),0))</f>
        <v/>
      </c>
      <c r="V128" s="39" t="str">
        <f aca="false">IF(OR(NOT($G128="À migrer"),$P128=""),"",IFERROR(DATE(YEAR($P128),MONTH($P128),1),""))</f>
        <v/>
      </c>
      <c r="W128" s="39" t="str">
        <f aca="false">IF(OR(NOT(OR($G128="À migrer",$G128="À décommissionner")),$R128=""),"",IFERROR(DATE(YEAR($R128),MONTH($R128),1),""))</f>
        <v/>
      </c>
      <c r="X128" s="21" t="str">
        <f aca="false">IF(OR($V128="",$W128=""),"",MAX(0,(YEAR($W128)-YEAR($V128))*12+MONTH($W128)-MONTH($V128)))</f>
        <v/>
      </c>
      <c r="Y128" s="21" t="str">
        <f aca="false">IF($C128="","",COUNTIF(TblApplications[ID],$C128))</f>
        <v/>
      </c>
      <c r="Z128" s="39" t="str">
        <f aca="false">IF($C128="","",IFERROR(1/(1/_xlfn.MINIFS(TblApplications[Mois prov (calc)],TblApplications[ID],$C128)),""))</f>
        <v/>
      </c>
      <c r="AA128" s="39" t="str">
        <f aca="false">IF($C128="","",IFERROR(1/(1/_xlfn.MAXIFS(TblApplications[Mois lib (calc)],TblApplications[ID],$C128)),""))</f>
        <v/>
      </c>
      <c r="AB128" s="21" t="str">
        <f aca="false">IF($C128="","",IF(OR(OR($A128="",$B128="",$D128="",$E128="",$F128="",$G128=""),AND($G128="À migrer",OR($H128="",$I128="",$J128="",$K128="",$L128="",$N128="",$O128="",$P128="",$Q128="",$R128="")),AND($G128="Migré",OR($J128="",$K128="",$L128="")),AND($G128="À décommissionner",OR($I128="",$N128="",$O128="",$R128=""))),"Données manquantes (selon l’action)",IF(AND($G128&lt;&gt;"Migré",$G128&lt;&gt;"À migrer",$G128&lt;&gt;"À décommissionner",$G128&lt;&gt;"Décommissionné"),"Action invalide",IF(COUNTIF(TblDomaines[Domaine],$A128)=0,"Domaine inconnu (référentiel)",IF(COUNTIFS(TblTribes[Tribe],$B128,TblTribes[Domaine de la tribe],$A128)=0,"Tribe inconnue ou hors domaine",IF(AND($G128="À migrer",$H128&lt;&gt;"Oui",$H128&lt;&gt;"Non"),"Valeur Oui/Non invalide (Déjà incluse ROKS)",IF(AND($E128&lt;&gt;"PRD",$E128&lt;&gt;"NPRD"),"Environnement invalide",IF(COUNTIFS(TblApplications[ID],$C128,TblApplications[Environnement],$E128,TblApplications[Couloir],$F128)&gt;1,"Déploiement en doublon (ID + env + couloir)",IF(OR(AND($K128&lt;&gt;"",NOT(ISNUMBER($K128))),AND($L128&lt;&gt;"",NOT(ISNUMBER($L128))),AND($N128&lt;&gt;"",NOT(ISNUMBER($N128))),AND($O128&lt;&gt;"",NOT(ISNUMBER($O128)))),"Ressource non numérique",IF(MIN(N($K128),N($L128),N($N128),N($O128))&lt;0,"Ressource négative",IF(OR(AND($AC128&lt;&gt;"",OR(NOT(ISNUMBER($AC128)),$AC128&lt;0,$AC128&gt;1)),AND($AD128&lt;&gt;"",OR(NOT(ISNUMBER($AD128)),$AD128&lt;0,$AD128&gt;1))),"Marge spécifique invalide (0–100 %)",IF(OR(AND($P128&lt;&gt;"",NOT(ISNUMBER($P128))),AND($Q128&lt;&gt;"",NOT(ISNUMBER($Q128))),AND($R128&lt;&gt;"",NOT(ISNUMBER($R128)))),"Mois invalide",IF(AND(OR($G128="À migrer",$G128="À décommissionner"),COUNTIFS(TblClusters[Cluster],$I128,TblClusters[Plateforme],"IKS")=0),"Cluster IKS inconnu",IF(AND(OR($G128="À migrer",$G128="Migré"),COUNTIFS(TblClusters[Cluster],$J128,TblClusters[Plateforme],"ROKS")=0),"Cluster ROKS inconnu",IF(AND(OR($G128="À migrer",$G128="À décommissionner"),COUNTIFS(TblClusters[Cluster],$I128,TblClusters[Environnement],$E128)=0),"Environnement ≠ cluster IKS",IF(AND(OR($G128="À migrer",$G128="Migré"),COUNTIFS(TblClusters[Cluster],$J128,TblClusters[Environnement],$E128)=0),"Environnement ≠ cluster ROKS",IF(AND($G128="À migrer",OR($P128&gt;$Q128,$Q128&gt;$R128)),"Dates incohérentes (prov ≤ bascule ≤ libération)",IF(AND(OR($G128="À migrer",$G128="À décommissionner"),OR(N($N128)&gt;SUMIFS(TblClusters[CPU initial (vCPU)],TblClusters[Cluster],$I128),N($O128)&gt;SUMIFS(TblClusters[RAM initiale (Go)],TblClusters[Cluster],$I128))),"Libération &gt; capacité du cluster source",IF(OR(AND($V128&lt;&gt;"",$V128&lt;p_debut),AND($W128&lt;&gt;"",$W128&gt;p_fin)),"Hors horizon (info)",IF(AND($G128="À migrer",$E128="PRD",COUNTIFS(TblApplications[ID],$C128,TblApplications[Environnement],"NPRD",TblApplications[Action],"À migrer")&gt;0,$V128&lt;_xlfn.MINIFS(TblApplications[Mois prov (calc)],TblApplications[ID],$C128,TblApplications[Environnement],"NPRD")),"PRD avant NPRD (info)","OK"))))))))))))))))))))</f>
        <v/>
      </c>
      <c r="AC128" s="76"/>
      <c r="AD128" s="76"/>
      <c r="AE128" s="22" t="str">
        <f aca="false">IF(OR($C128="",NOT(OR($G128="À migrer",$G128="À décommissionner")),NOT(ISNUMBER($N128)),NOT(ISNUMBER($O128)),$W128=""),"",($N128+p_poidsram*$O128)*SUMIFS(TblCalculs[Coût par unité],TblCalculs[Cluster],$I128,TblCalculs[Mois],"&lt;"&amp;$W128))</f>
        <v/>
      </c>
      <c r="AF128" s="22" t="str">
        <f aca="false">IF($C128="","",IF(AND($G128="À migrer",$H128="Non",$T128&lt;&gt;"",$V128&lt;&gt;""),($T128+p_poidsram*$U128)*SUMIFS(TblCalculs[Coût par unité],TblCalculs[Cluster],$J128,TblCalculs[Mois],"&gt;="&amp;$V128),IF(AND($G128="Migré",$T128&lt;&gt;""),($T128+p_poidsram*$U128)*SUMIFS(TblCalculs[Coût par unité],TblCalculs[Cluster],$J128),"")))</f>
        <v/>
      </c>
      <c r="AG128" s="22" t="str">
        <f aca="false">IF($C128="","",N($AE128)+N($AF128))</f>
        <v/>
      </c>
      <c r="AH128" s="21" t="str">
        <f aca="false">IF(OR($C128="",$G128="Décommissionné",COUNTIFS($E128,av_envc,$A128,av_domc,$B128,av_tric)=0),"",COUNTIFS($C$6:$C128,"&lt;&gt;",$G$6:$G128,"&lt;&gt;Décommissionné",$E$6:$E128,av_envc,$A$6:$A128,av_domc,$B$6:$B128,av_tric))</f>
        <v/>
      </c>
      <c r="AI128" s="21" t="str">
        <f aca="false">IF($C128="","",IF(AND(OR($G128="À migrer",$G128="À décommissionner"),$W128&lt;&gt;"",$W128&gt;ex_mois),1,0))</f>
        <v/>
      </c>
      <c r="AJ128" s="21" t="str">
        <f aca="false">IF(OR($C128="",$AI128&lt;&gt;1,COUNTIFS($E128,ex_envc,$A128,ex_domc,$B128,ex_tric)=0),"",COUNTIFS($AI$6:$AI128,1,$E$6:$E128,ex_envc,$A$6:$A128,ex_domc,$B$6:$B128,ex_tric))</f>
        <v/>
      </c>
    </row>
    <row r="129" customFormat="false" ht="15" hidden="false" customHeight="false" outlineLevel="0" collapsed="false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5"/>
      <c r="Q129" s="75"/>
      <c r="R129" s="75"/>
      <c r="S129" s="74"/>
      <c r="T129" s="21" t="str">
        <f aca="false">IF(OR($C129="",NOT(OR($G129="À migrer",$G129="Migré")),NOT(ISNUMBER($K129))),"",ROUNDUP($K129*(1+IF($AC129="",p_margeCPU,$AC129)),0))</f>
        <v/>
      </c>
      <c r="U129" s="21" t="str">
        <f aca="false">IF(OR($C129="",NOT(OR($G129="À migrer",$G129="Migré")),NOT(ISNUMBER($L129))),"",ROUNDUP($L129*(1+IF($AD129="",p_margeRAM,$AD129)),0))</f>
        <v/>
      </c>
      <c r="V129" s="39" t="str">
        <f aca="false">IF(OR(NOT($G129="À migrer"),$P129=""),"",IFERROR(DATE(YEAR($P129),MONTH($P129),1),""))</f>
        <v/>
      </c>
      <c r="W129" s="39" t="str">
        <f aca="false">IF(OR(NOT(OR($G129="À migrer",$G129="À décommissionner")),$R129=""),"",IFERROR(DATE(YEAR($R129),MONTH($R129),1),""))</f>
        <v/>
      </c>
      <c r="X129" s="21" t="str">
        <f aca="false">IF(OR($V129="",$W129=""),"",MAX(0,(YEAR($W129)-YEAR($V129))*12+MONTH($W129)-MONTH($V129)))</f>
        <v/>
      </c>
      <c r="Y129" s="21" t="str">
        <f aca="false">IF($C129="","",COUNTIF(TblApplications[ID],$C129))</f>
        <v/>
      </c>
      <c r="Z129" s="39" t="str">
        <f aca="false">IF($C129="","",IFERROR(1/(1/_xlfn.MINIFS(TblApplications[Mois prov (calc)],TblApplications[ID],$C129)),""))</f>
        <v/>
      </c>
      <c r="AA129" s="39" t="str">
        <f aca="false">IF($C129="","",IFERROR(1/(1/_xlfn.MAXIFS(TblApplications[Mois lib (calc)],TblApplications[ID],$C129)),""))</f>
        <v/>
      </c>
      <c r="AB129" s="21" t="str">
        <f aca="false">IF($C129="","",IF(OR(OR($A129="",$B129="",$D129="",$E129="",$F129="",$G129=""),AND($G129="À migrer",OR($H129="",$I129="",$J129="",$K129="",$L129="",$N129="",$O129="",$P129="",$Q129="",$R129="")),AND($G129="Migré",OR($J129="",$K129="",$L129="")),AND($G129="À décommissionner",OR($I129="",$N129="",$O129="",$R129=""))),"Données manquantes (selon l’action)",IF(AND($G129&lt;&gt;"Migré",$G129&lt;&gt;"À migrer",$G129&lt;&gt;"À décommissionner",$G129&lt;&gt;"Décommissionné"),"Action invalide",IF(COUNTIF(TblDomaines[Domaine],$A129)=0,"Domaine inconnu (référentiel)",IF(COUNTIFS(TblTribes[Tribe],$B129,TblTribes[Domaine de la tribe],$A129)=0,"Tribe inconnue ou hors domaine",IF(AND($G129="À migrer",$H129&lt;&gt;"Oui",$H129&lt;&gt;"Non"),"Valeur Oui/Non invalide (Déjà incluse ROKS)",IF(AND($E129&lt;&gt;"PRD",$E129&lt;&gt;"NPRD"),"Environnement invalide",IF(COUNTIFS(TblApplications[ID],$C129,TblApplications[Environnement],$E129,TblApplications[Couloir],$F129)&gt;1,"Déploiement en doublon (ID + env + couloir)",IF(OR(AND($K129&lt;&gt;"",NOT(ISNUMBER($K129))),AND($L129&lt;&gt;"",NOT(ISNUMBER($L129))),AND($N129&lt;&gt;"",NOT(ISNUMBER($N129))),AND($O129&lt;&gt;"",NOT(ISNUMBER($O129)))),"Ressource non numérique",IF(MIN(N($K129),N($L129),N($N129),N($O129))&lt;0,"Ressource négative",IF(OR(AND($AC129&lt;&gt;"",OR(NOT(ISNUMBER($AC129)),$AC129&lt;0,$AC129&gt;1)),AND($AD129&lt;&gt;"",OR(NOT(ISNUMBER($AD129)),$AD129&lt;0,$AD129&gt;1))),"Marge spécifique invalide (0–100 %)",IF(OR(AND($P129&lt;&gt;"",NOT(ISNUMBER($P129))),AND($Q129&lt;&gt;"",NOT(ISNUMBER($Q129))),AND($R129&lt;&gt;"",NOT(ISNUMBER($R129)))),"Mois invalide",IF(AND(OR($G129="À migrer",$G129="À décommissionner"),COUNTIFS(TblClusters[Cluster],$I129,TblClusters[Plateforme],"IKS")=0),"Cluster IKS inconnu",IF(AND(OR($G129="À migrer",$G129="Migré"),COUNTIFS(TblClusters[Cluster],$J129,TblClusters[Plateforme],"ROKS")=0),"Cluster ROKS inconnu",IF(AND(OR($G129="À migrer",$G129="À décommissionner"),COUNTIFS(TblClusters[Cluster],$I129,TblClusters[Environnement],$E129)=0),"Environnement ≠ cluster IKS",IF(AND(OR($G129="À migrer",$G129="Migré"),COUNTIFS(TblClusters[Cluster],$J129,TblClusters[Environnement],$E129)=0),"Environnement ≠ cluster ROKS",IF(AND($G129="À migrer",OR($P129&gt;$Q129,$Q129&gt;$R129)),"Dates incohérentes (prov ≤ bascule ≤ libération)",IF(AND(OR($G129="À migrer",$G129="À décommissionner"),OR(N($N129)&gt;SUMIFS(TblClusters[CPU initial (vCPU)],TblClusters[Cluster],$I129),N($O129)&gt;SUMIFS(TblClusters[RAM initiale (Go)],TblClusters[Cluster],$I129))),"Libération &gt; capacité du cluster source",IF(OR(AND($V129&lt;&gt;"",$V129&lt;p_debut),AND($W129&lt;&gt;"",$W129&gt;p_fin)),"Hors horizon (info)",IF(AND($G129="À migrer",$E129="PRD",COUNTIFS(TblApplications[ID],$C129,TblApplications[Environnement],"NPRD",TblApplications[Action],"À migrer")&gt;0,$V129&lt;_xlfn.MINIFS(TblApplications[Mois prov (calc)],TblApplications[ID],$C129,TblApplications[Environnement],"NPRD")),"PRD avant NPRD (info)","OK"))))))))))))))))))))</f>
        <v/>
      </c>
      <c r="AC129" s="76"/>
      <c r="AD129" s="76"/>
      <c r="AE129" s="22" t="str">
        <f aca="false">IF(OR($C129="",NOT(OR($G129="À migrer",$G129="À décommissionner")),NOT(ISNUMBER($N129)),NOT(ISNUMBER($O129)),$W129=""),"",($N129+p_poidsram*$O129)*SUMIFS(TblCalculs[Coût par unité],TblCalculs[Cluster],$I129,TblCalculs[Mois],"&lt;"&amp;$W129))</f>
        <v/>
      </c>
      <c r="AF129" s="22" t="str">
        <f aca="false">IF($C129="","",IF(AND($G129="À migrer",$H129="Non",$T129&lt;&gt;"",$V129&lt;&gt;""),($T129+p_poidsram*$U129)*SUMIFS(TblCalculs[Coût par unité],TblCalculs[Cluster],$J129,TblCalculs[Mois],"&gt;="&amp;$V129),IF(AND($G129="Migré",$T129&lt;&gt;""),($T129+p_poidsram*$U129)*SUMIFS(TblCalculs[Coût par unité],TblCalculs[Cluster],$J129),"")))</f>
        <v/>
      </c>
      <c r="AG129" s="22" t="str">
        <f aca="false">IF($C129="","",N($AE129)+N($AF129))</f>
        <v/>
      </c>
      <c r="AH129" s="21" t="str">
        <f aca="false">IF(OR($C129="",$G129="Décommissionné",COUNTIFS($E129,av_envc,$A129,av_domc,$B129,av_tric)=0),"",COUNTIFS($C$6:$C129,"&lt;&gt;",$G$6:$G129,"&lt;&gt;Décommissionné",$E$6:$E129,av_envc,$A$6:$A129,av_domc,$B$6:$B129,av_tric))</f>
        <v/>
      </c>
      <c r="AI129" s="21" t="str">
        <f aca="false">IF($C129="","",IF(AND(OR($G129="À migrer",$G129="À décommissionner"),$W129&lt;&gt;"",$W129&gt;ex_mois),1,0))</f>
        <v/>
      </c>
      <c r="AJ129" s="21" t="str">
        <f aca="false">IF(OR($C129="",$AI129&lt;&gt;1,COUNTIFS($E129,ex_envc,$A129,ex_domc,$B129,ex_tric)=0),"",COUNTIFS($AI$6:$AI129,1,$E$6:$E129,ex_envc,$A$6:$A129,ex_domc,$B$6:$B129,ex_tric))</f>
        <v/>
      </c>
    </row>
    <row r="130" customFormat="false" ht="15" hidden="false" customHeight="false" outlineLevel="0" collapsed="false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5"/>
      <c r="Q130" s="75"/>
      <c r="R130" s="75"/>
      <c r="S130" s="74"/>
      <c r="T130" s="21" t="str">
        <f aca="false">IF(OR($C130="",NOT(OR($G130="À migrer",$G130="Migré")),NOT(ISNUMBER($K130))),"",ROUNDUP($K130*(1+IF($AC130="",p_margeCPU,$AC130)),0))</f>
        <v/>
      </c>
      <c r="U130" s="21" t="str">
        <f aca="false">IF(OR($C130="",NOT(OR($G130="À migrer",$G130="Migré")),NOT(ISNUMBER($L130))),"",ROUNDUP($L130*(1+IF($AD130="",p_margeRAM,$AD130)),0))</f>
        <v/>
      </c>
      <c r="V130" s="39" t="str">
        <f aca="false">IF(OR(NOT($G130="À migrer"),$P130=""),"",IFERROR(DATE(YEAR($P130),MONTH($P130),1),""))</f>
        <v/>
      </c>
      <c r="W130" s="39" t="str">
        <f aca="false">IF(OR(NOT(OR($G130="À migrer",$G130="À décommissionner")),$R130=""),"",IFERROR(DATE(YEAR($R130),MONTH($R130),1),""))</f>
        <v/>
      </c>
      <c r="X130" s="21" t="str">
        <f aca="false">IF(OR($V130="",$W130=""),"",MAX(0,(YEAR($W130)-YEAR($V130))*12+MONTH($W130)-MONTH($V130)))</f>
        <v/>
      </c>
      <c r="Y130" s="21" t="str">
        <f aca="false">IF($C130="","",COUNTIF(TblApplications[ID],$C130))</f>
        <v/>
      </c>
      <c r="Z130" s="39" t="str">
        <f aca="false">IF($C130="","",IFERROR(1/(1/_xlfn.MINIFS(TblApplications[Mois prov (calc)],TblApplications[ID],$C130)),""))</f>
        <v/>
      </c>
      <c r="AA130" s="39" t="str">
        <f aca="false">IF($C130="","",IFERROR(1/(1/_xlfn.MAXIFS(TblApplications[Mois lib (calc)],TblApplications[ID],$C130)),""))</f>
        <v/>
      </c>
      <c r="AB130" s="21" t="str">
        <f aca="false">IF($C130="","",IF(OR(OR($A130="",$B130="",$D130="",$E130="",$F130="",$G130=""),AND($G130="À migrer",OR($H130="",$I130="",$J130="",$K130="",$L130="",$N130="",$O130="",$P130="",$Q130="",$R130="")),AND($G130="Migré",OR($J130="",$K130="",$L130="")),AND($G130="À décommissionner",OR($I130="",$N130="",$O130="",$R130=""))),"Données manquantes (selon l’action)",IF(AND($G130&lt;&gt;"Migré",$G130&lt;&gt;"À migrer",$G130&lt;&gt;"À décommissionner",$G130&lt;&gt;"Décommissionné"),"Action invalide",IF(COUNTIF(TblDomaines[Domaine],$A130)=0,"Domaine inconnu (référentiel)",IF(COUNTIFS(TblTribes[Tribe],$B130,TblTribes[Domaine de la tribe],$A130)=0,"Tribe inconnue ou hors domaine",IF(AND($G130="À migrer",$H130&lt;&gt;"Oui",$H130&lt;&gt;"Non"),"Valeur Oui/Non invalide (Déjà incluse ROKS)",IF(AND($E130&lt;&gt;"PRD",$E130&lt;&gt;"NPRD"),"Environnement invalide",IF(COUNTIFS(TblApplications[ID],$C130,TblApplications[Environnement],$E130,TblApplications[Couloir],$F130)&gt;1,"Déploiement en doublon (ID + env + couloir)",IF(OR(AND($K130&lt;&gt;"",NOT(ISNUMBER($K130))),AND($L130&lt;&gt;"",NOT(ISNUMBER($L130))),AND($N130&lt;&gt;"",NOT(ISNUMBER($N130))),AND($O130&lt;&gt;"",NOT(ISNUMBER($O130)))),"Ressource non numérique",IF(MIN(N($K130),N($L130),N($N130),N($O130))&lt;0,"Ressource négative",IF(OR(AND($AC130&lt;&gt;"",OR(NOT(ISNUMBER($AC130)),$AC130&lt;0,$AC130&gt;1)),AND($AD130&lt;&gt;"",OR(NOT(ISNUMBER($AD130)),$AD130&lt;0,$AD130&gt;1))),"Marge spécifique invalide (0–100 %)",IF(OR(AND($P130&lt;&gt;"",NOT(ISNUMBER($P130))),AND($Q130&lt;&gt;"",NOT(ISNUMBER($Q130))),AND($R130&lt;&gt;"",NOT(ISNUMBER($R130)))),"Mois invalide",IF(AND(OR($G130="À migrer",$G130="À décommissionner"),COUNTIFS(TblClusters[Cluster],$I130,TblClusters[Plateforme],"IKS")=0),"Cluster IKS inconnu",IF(AND(OR($G130="À migrer",$G130="Migré"),COUNTIFS(TblClusters[Cluster],$J130,TblClusters[Plateforme],"ROKS")=0),"Cluster ROKS inconnu",IF(AND(OR($G130="À migrer",$G130="À décommissionner"),COUNTIFS(TblClusters[Cluster],$I130,TblClusters[Environnement],$E130)=0),"Environnement ≠ cluster IKS",IF(AND(OR($G130="À migrer",$G130="Migré"),COUNTIFS(TblClusters[Cluster],$J130,TblClusters[Environnement],$E130)=0),"Environnement ≠ cluster ROKS",IF(AND($G130="À migrer",OR($P130&gt;$Q130,$Q130&gt;$R130)),"Dates incohérentes (prov ≤ bascule ≤ libération)",IF(AND(OR($G130="À migrer",$G130="À décommissionner"),OR(N($N130)&gt;SUMIFS(TblClusters[CPU initial (vCPU)],TblClusters[Cluster],$I130),N($O130)&gt;SUMIFS(TblClusters[RAM initiale (Go)],TblClusters[Cluster],$I130))),"Libération &gt; capacité du cluster source",IF(OR(AND($V130&lt;&gt;"",$V130&lt;p_debut),AND($W130&lt;&gt;"",$W130&gt;p_fin)),"Hors horizon (info)",IF(AND($G130="À migrer",$E130="PRD",COUNTIFS(TblApplications[ID],$C130,TblApplications[Environnement],"NPRD",TblApplications[Action],"À migrer")&gt;0,$V130&lt;_xlfn.MINIFS(TblApplications[Mois prov (calc)],TblApplications[ID],$C130,TblApplications[Environnement],"NPRD")),"PRD avant NPRD (info)","OK"))))))))))))))))))))</f>
        <v/>
      </c>
      <c r="AC130" s="76"/>
      <c r="AD130" s="76"/>
      <c r="AE130" s="22" t="str">
        <f aca="false">IF(OR($C130="",NOT(OR($G130="À migrer",$G130="À décommissionner")),NOT(ISNUMBER($N130)),NOT(ISNUMBER($O130)),$W130=""),"",($N130+p_poidsram*$O130)*SUMIFS(TblCalculs[Coût par unité],TblCalculs[Cluster],$I130,TblCalculs[Mois],"&lt;"&amp;$W130))</f>
        <v/>
      </c>
      <c r="AF130" s="22" t="str">
        <f aca="false">IF($C130="","",IF(AND($G130="À migrer",$H130="Non",$T130&lt;&gt;"",$V130&lt;&gt;""),($T130+p_poidsram*$U130)*SUMIFS(TblCalculs[Coût par unité],TblCalculs[Cluster],$J130,TblCalculs[Mois],"&gt;="&amp;$V130),IF(AND($G130="Migré",$T130&lt;&gt;""),($T130+p_poidsram*$U130)*SUMIFS(TblCalculs[Coût par unité],TblCalculs[Cluster],$J130),"")))</f>
        <v/>
      </c>
      <c r="AG130" s="22" t="str">
        <f aca="false">IF($C130="","",N($AE130)+N($AF130))</f>
        <v/>
      </c>
      <c r="AH130" s="21" t="str">
        <f aca="false">IF(OR($C130="",$G130="Décommissionné",COUNTIFS($E130,av_envc,$A130,av_domc,$B130,av_tric)=0),"",COUNTIFS($C$6:$C130,"&lt;&gt;",$G$6:$G130,"&lt;&gt;Décommissionné",$E$6:$E130,av_envc,$A$6:$A130,av_domc,$B$6:$B130,av_tric))</f>
        <v/>
      </c>
      <c r="AI130" s="21" t="str">
        <f aca="false">IF($C130="","",IF(AND(OR($G130="À migrer",$G130="À décommissionner"),$W130&lt;&gt;"",$W130&gt;ex_mois),1,0))</f>
        <v/>
      </c>
      <c r="AJ130" s="21" t="str">
        <f aca="false">IF(OR($C130="",$AI130&lt;&gt;1,COUNTIFS($E130,ex_envc,$A130,ex_domc,$B130,ex_tric)=0),"",COUNTIFS($AI$6:$AI130,1,$E$6:$E130,ex_envc,$A$6:$A130,ex_domc,$B$6:$B130,ex_tric))</f>
        <v/>
      </c>
    </row>
    <row r="131" customFormat="false" ht="15" hidden="false" customHeight="false" outlineLevel="0" collapsed="false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5"/>
      <c r="Q131" s="75"/>
      <c r="R131" s="75"/>
      <c r="S131" s="74"/>
      <c r="T131" s="21" t="str">
        <f aca="false">IF(OR($C131="",NOT(OR($G131="À migrer",$G131="Migré")),NOT(ISNUMBER($K131))),"",ROUNDUP($K131*(1+IF($AC131="",p_margeCPU,$AC131)),0))</f>
        <v/>
      </c>
      <c r="U131" s="21" t="str">
        <f aca="false">IF(OR($C131="",NOT(OR($G131="À migrer",$G131="Migré")),NOT(ISNUMBER($L131))),"",ROUNDUP($L131*(1+IF($AD131="",p_margeRAM,$AD131)),0))</f>
        <v/>
      </c>
      <c r="V131" s="39" t="str">
        <f aca="false">IF(OR(NOT($G131="À migrer"),$P131=""),"",IFERROR(DATE(YEAR($P131),MONTH($P131),1),""))</f>
        <v/>
      </c>
      <c r="W131" s="39" t="str">
        <f aca="false">IF(OR(NOT(OR($G131="À migrer",$G131="À décommissionner")),$R131=""),"",IFERROR(DATE(YEAR($R131),MONTH($R131),1),""))</f>
        <v/>
      </c>
      <c r="X131" s="21" t="str">
        <f aca="false">IF(OR($V131="",$W131=""),"",MAX(0,(YEAR($W131)-YEAR($V131))*12+MONTH($W131)-MONTH($V131)))</f>
        <v/>
      </c>
      <c r="Y131" s="21" t="str">
        <f aca="false">IF($C131="","",COUNTIF(TblApplications[ID],$C131))</f>
        <v/>
      </c>
      <c r="Z131" s="39" t="str">
        <f aca="false">IF($C131="","",IFERROR(1/(1/_xlfn.MINIFS(TblApplications[Mois prov (calc)],TblApplications[ID],$C131)),""))</f>
        <v/>
      </c>
      <c r="AA131" s="39" t="str">
        <f aca="false">IF($C131="","",IFERROR(1/(1/_xlfn.MAXIFS(TblApplications[Mois lib (calc)],TblApplications[ID],$C131)),""))</f>
        <v/>
      </c>
      <c r="AB131" s="21" t="str">
        <f aca="false">IF($C131="","",IF(OR(OR($A131="",$B131="",$D131="",$E131="",$F131="",$G131=""),AND($G131="À migrer",OR($H131="",$I131="",$J131="",$K131="",$L131="",$N131="",$O131="",$P131="",$Q131="",$R131="")),AND($G131="Migré",OR($J131="",$K131="",$L131="")),AND($G131="À décommissionner",OR($I131="",$N131="",$O131="",$R131=""))),"Données manquantes (selon l’action)",IF(AND($G131&lt;&gt;"Migré",$G131&lt;&gt;"À migrer",$G131&lt;&gt;"À décommissionner",$G131&lt;&gt;"Décommissionné"),"Action invalide",IF(COUNTIF(TblDomaines[Domaine],$A131)=0,"Domaine inconnu (référentiel)",IF(COUNTIFS(TblTribes[Tribe],$B131,TblTribes[Domaine de la tribe],$A131)=0,"Tribe inconnue ou hors domaine",IF(AND($G131="À migrer",$H131&lt;&gt;"Oui",$H131&lt;&gt;"Non"),"Valeur Oui/Non invalide (Déjà incluse ROKS)",IF(AND($E131&lt;&gt;"PRD",$E131&lt;&gt;"NPRD"),"Environnement invalide",IF(COUNTIFS(TblApplications[ID],$C131,TblApplications[Environnement],$E131,TblApplications[Couloir],$F131)&gt;1,"Déploiement en doublon (ID + env + couloir)",IF(OR(AND($K131&lt;&gt;"",NOT(ISNUMBER($K131))),AND($L131&lt;&gt;"",NOT(ISNUMBER($L131))),AND($N131&lt;&gt;"",NOT(ISNUMBER($N131))),AND($O131&lt;&gt;"",NOT(ISNUMBER($O131)))),"Ressource non numérique",IF(MIN(N($K131),N($L131),N($N131),N($O131))&lt;0,"Ressource négative",IF(OR(AND($AC131&lt;&gt;"",OR(NOT(ISNUMBER($AC131)),$AC131&lt;0,$AC131&gt;1)),AND($AD131&lt;&gt;"",OR(NOT(ISNUMBER($AD131)),$AD131&lt;0,$AD131&gt;1))),"Marge spécifique invalide (0–100 %)",IF(OR(AND($P131&lt;&gt;"",NOT(ISNUMBER($P131))),AND($Q131&lt;&gt;"",NOT(ISNUMBER($Q131))),AND($R131&lt;&gt;"",NOT(ISNUMBER($R131)))),"Mois invalide",IF(AND(OR($G131="À migrer",$G131="À décommissionner"),COUNTIFS(TblClusters[Cluster],$I131,TblClusters[Plateforme],"IKS")=0),"Cluster IKS inconnu",IF(AND(OR($G131="À migrer",$G131="Migré"),COUNTIFS(TblClusters[Cluster],$J131,TblClusters[Plateforme],"ROKS")=0),"Cluster ROKS inconnu",IF(AND(OR($G131="À migrer",$G131="À décommissionner"),COUNTIFS(TblClusters[Cluster],$I131,TblClusters[Environnement],$E131)=0),"Environnement ≠ cluster IKS",IF(AND(OR($G131="À migrer",$G131="Migré"),COUNTIFS(TblClusters[Cluster],$J131,TblClusters[Environnement],$E131)=0),"Environnement ≠ cluster ROKS",IF(AND($G131="À migrer",OR($P131&gt;$Q131,$Q131&gt;$R131)),"Dates incohérentes (prov ≤ bascule ≤ libération)",IF(AND(OR($G131="À migrer",$G131="À décommissionner"),OR(N($N131)&gt;SUMIFS(TblClusters[CPU initial (vCPU)],TblClusters[Cluster],$I131),N($O131)&gt;SUMIFS(TblClusters[RAM initiale (Go)],TblClusters[Cluster],$I131))),"Libération &gt; capacité du cluster source",IF(OR(AND($V131&lt;&gt;"",$V131&lt;p_debut),AND($W131&lt;&gt;"",$W131&gt;p_fin)),"Hors horizon (info)",IF(AND($G131="À migrer",$E131="PRD",COUNTIFS(TblApplications[ID],$C131,TblApplications[Environnement],"NPRD",TblApplications[Action],"À migrer")&gt;0,$V131&lt;_xlfn.MINIFS(TblApplications[Mois prov (calc)],TblApplications[ID],$C131,TblApplications[Environnement],"NPRD")),"PRD avant NPRD (info)","OK"))))))))))))))))))))</f>
        <v/>
      </c>
      <c r="AC131" s="76"/>
      <c r="AD131" s="76"/>
      <c r="AE131" s="22" t="str">
        <f aca="false">IF(OR($C131="",NOT(OR($G131="À migrer",$G131="À décommissionner")),NOT(ISNUMBER($N131)),NOT(ISNUMBER($O131)),$W131=""),"",($N131+p_poidsram*$O131)*SUMIFS(TblCalculs[Coût par unité],TblCalculs[Cluster],$I131,TblCalculs[Mois],"&lt;"&amp;$W131))</f>
        <v/>
      </c>
      <c r="AF131" s="22" t="str">
        <f aca="false">IF($C131="","",IF(AND($G131="À migrer",$H131="Non",$T131&lt;&gt;"",$V131&lt;&gt;""),($T131+p_poidsram*$U131)*SUMIFS(TblCalculs[Coût par unité],TblCalculs[Cluster],$J131,TblCalculs[Mois],"&gt;="&amp;$V131),IF(AND($G131="Migré",$T131&lt;&gt;""),($T131+p_poidsram*$U131)*SUMIFS(TblCalculs[Coût par unité],TblCalculs[Cluster],$J131),"")))</f>
        <v/>
      </c>
      <c r="AG131" s="22" t="str">
        <f aca="false">IF($C131="","",N($AE131)+N($AF131))</f>
        <v/>
      </c>
      <c r="AH131" s="21" t="str">
        <f aca="false">IF(OR($C131="",$G131="Décommissionné",COUNTIFS($E131,av_envc,$A131,av_domc,$B131,av_tric)=0),"",COUNTIFS($C$6:$C131,"&lt;&gt;",$G$6:$G131,"&lt;&gt;Décommissionné",$E$6:$E131,av_envc,$A$6:$A131,av_domc,$B$6:$B131,av_tric))</f>
        <v/>
      </c>
      <c r="AI131" s="21" t="str">
        <f aca="false">IF($C131="","",IF(AND(OR($G131="À migrer",$G131="À décommissionner"),$W131&lt;&gt;"",$W131&gt;ex_mois),1,0))</f>
        <v/>
      </c>
      <c r="AJ131" s="21" t="str">
        <f aca="false">IF(OR($C131="",$AI131&lt;&gt;1,COUNTIFS($E131,ex_envc,$A131,ex_domc,$B131,ex_tric)=0),"",COUNTIFS($AI$6:$AI131,1,$E$6:$E131,ex_envc,$A$6:$A131,ex_domc,$B$6:$B131,ex_tric))</f>
        <v/>
      </c>
    </row>
    <row r="132" customFormat="false" ht="15" hidden="false" customHeight="false" outlineLevel="0" collapsed="false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5"/>
      <c r="Q132" s="75"/>
      <c r="R132" s="75"/>
      <c r="S132" s="74"/>
      <c r="T132" s="21" t="str">
        <f aca="false">IF(OR($C132="",NOT(OR($G132="À migrer",$G132="Migré")),NOT(ISNUMBER($K132))),"",ROUNDUP($K132*(1+IF($AC132="",p_margeCPU,$AC132)),0))</f>
        <v/>
      </c>
      <c r="U132" s="21" t="str">
        <f aca="false">IF(OR($C132="",NOT(OR($G132="À migrer",$G132="Migré")),NOT(ISNUMBER($L132))),"",ROUNDUP($L132*(1+IF($AD132="",p_margeRAM,$AD132)),0))</f>
        <v/>
      </c>
      <c r="V132" s="39" t="str">
        <f aca="false">IF(OR(NOT($G132="À migrer"),$P132=""),"",IFERROR(DATE(YEAR($P132),MONTH($P132),1),""))</f>
        <v/>
      </c>
      <c r="W132" s="39" t="str">
        <f aca="false">IF(OR(NOT(OR($G132="À migrer",$G132="À décommissionner")),$R132=""),"",IFERROR(DATE(YEAR($R132),MONTH($R132),1),""))</f>
        <v/>
      </c>
      <c r="X132" s="21" t="str">
        <f aca="false">IF(OR($V132="",$W132=""),"",MAX(0,(YEAR($W132)-YEAR($V132))*12+MONTH($W132)-MONTH($V132)))</f>
        <v/>
      </c>
      <c r="Y132" s="21" t="str">
        <f aca="false">IF($C132="","",COUNTIF(TblApplications[ID],$C132))</f>
        <v/>
      </c>
      <c r="Z132" s="39" t="str">
        <f aca="false">IF($C132="","",IFERROR(1/(1/_xlfn.MINIFS(TblApplications[Mois prov (calc)],TblApplications[ID],$C132)),""))</f>
        <v/>
      </c>
      <c r="AA132" s="39" t="str">
        <f aca="false">IF($C132="","",IFERROR(1/(1/_xlfn.MAXIFS(TblApplications[Mois lib (calc)],TblApplications[ID],$C132)),""))</f>
        <v/>
      </c>
      <c r="AB132" s="21" t="str">
        <f aca="false">IF($C132="","",IF(OR(OR($A132="",$B132="",$D132="",$E132="",$F132="",$G132=""),AND($G132="À migrer",OR($H132="",$I132="",$J132="",$K132="",$L132="",$N132="",$O132="",$P132="",$Q132="",$R132="")),AND($G132="Migré",OR($J132="",$K132="",$L132="")),AND($G132="À décommissionner",OR($I132="",$N132="",$O132="",$R132=""))),"Données manquantes (selon l’action)",IF(AND($G132&lt;&gt;"Migré",$G132&lt;&gt;"À migrer",$G132&lt;&gt;"À décommissionner",$G132&lt;&gt;"Décommissionné"),"Action invalide",IF(COUNTIF(TblDomaines[Domaine],$A132)=0,"Domaine inconnu (référentiel)",IF(COUNTIFS(TblTribes[Tribe],$B132,TblTribes[Domaine de la tribe],$A132)=0,"Tribe inconnue ou hors domaine",IF(AND($G132="À migrer",$H132&lt;&gt;"Oui",$H132&lt;&gt;"Non"),"Valeur Oui/Non invalide (Déjà incluse ROKS)",IF(AND($E132&lt;&gt;"PRD",$E132&lt;&gt;"NPRD"),"Environnement invalide",IF(COUNTIFS(TblApplications[ID],$C132,TblApplications[Environnement],$E132,TblApplications[Couloir],$F132)&gt;1,"Déploiement en doublon (ID + env + couloir)",IF(OR(AND($K132&lt;&gt;"",NOT(ISNUMBER($K132))),AND($L132&lt;&gt;"",NOT(ISNUMBER($L132))),AND($N132&lt;&gt;"",NOT(ISNUMBER($N132))),AND($O132&lt;&gt;"",NOT(ISNUMBER($O132)))),"Ressource non numérique",IF(MIN(N($K132),N($L132),N($N132),N($O132))&lt;0,"Ressource négative",IF(OR(AND($AC132&lt;&gt;"",OR(NOT(ISNUMBER($AC132)),$AC132&lt;0,$AC132&gt;1)),AND($AD132&lt;&gt;"",OR(NOT(ISNUMBER($AD132)),$AD132&lt;0,$AD132&gt;1))),"Marge spécifique invalide (0–100 %)",IF(OR(AND($P132&lt;&gt;"",NOT(ISNUMBER($P132))),AND($Q132&lt;&gt;"",NOT(ISNUMBER($Q132))),AND($R132&lt;&gt;"",NOT(ISNUMBER($R132)))),"Mois invalide",IF(AND(OR($G132="À migrer",$G132="À décommissionner"),COUNTIFS(TblClusters[Cluster],$I132,TblClusters[Plateforme],"IKS")=0),"Cluster IKS inconnu",IF(AND(OR($G132="À migrer",$G132="Migré"),COUNTIFS(TblClusters[Cluster],$J132,TblClusters[Plateforme],"ROKS")=0),"Cluster ROKS inconnu",IF(AND(OR($G132="À migrer",$G132="À décommissionner"),COUNTIFS(TblClusters[Cluster],$I132,TblClusters[Environnement],$E132)=0),"Environnement ≠ cluster IKS",IF(AND(OR($G132="À migrer",$G132="Migré"),COUNTIFS(TblClusters[Cluster],$J132,TblClusters[Environnement],$E132)=0),"Environnement ≠ cluster ROKS",IF(AND($G132="À migrer",OR($P132&gt;$Q132,$Q132&gt;$R132)),"Dates incohérentes (prov ≤ bascule ≤ libération)",IF(AND(OR($G132="À migrer",$G132="À décommissionner"),OR(N($N132)&gt;SUMIFS(TblClusters[CPU initial (vCPU)],TblClusters[Cluster],$I132),N($O132)&gt;SUMIFS(TblClusters[RAM initiale (Go)],TblClusters[Cluster],$I132))),"Libération &gt; capacité du cluster source",IF(OR(AND($V132&lt;&gt;"",$V132&lt;p_debut),AND($W132&lt;&gt;"",$W132&gt;p_fin)),"Hors horizon (info)",IF(AND($G132="À migrer",$E132="PRD",COUNTIFS(TblApplications[ID],$C132,TblApplications[Environnement],"NPRD",TblApplications[Action],"À migrer")&gt;0,$V132&lt;_xlfn.MINIFS(TblApplications[Mois prov (calc)],TblApplications[ID],$C132,TblApplications[Environnement],"NPRD")),"PRD avant NPRD (info)","OK"))))))))))))))))))))</f>
        <v/>
      </c>
      <c r="AC132" s="76"/>
      <c r="AD132" s="76"/>
      <c r="AE132" s="22" t="str">
        <f aca="false">IF(OR($C132="",NOT(OR($G132="À migrer",$G132="À décommissionner")),NOT(ISNUMBER($N132)),NOT(ISNUMBER($O132)),$W132=""),"",($N132+p_poidsram*$O132)*SUMIFS(TblCalculs[Coût par unité],TblCalculs[Cluster],$I132,TblCalculs[Mois],"&lt;"&amp;$W132))</f>
        <v/>
      </c>
      <c r="AF132" s="22" t="str">
        <f aca="false">IF($C132="","",IF(AND($G132="À migrer",$H132="Non",$T132&lt;&gt;"",$V132&lt;&gt;""),($T132+p_poidsram*$U132)*SUMIFS(TblCalculs[Coût par unité],TblCalculs[Cluster],$J132,TblCalculs[Mois],"&gt;="&amp;$V132),IF(AND($G132="Migré",$T132&lt;&gt;""),($T132+p_poidsram*$U132)*SUMIFS(TblCalculs[Coût par unité],TblCalculs[Cluster],$J132),"")))</f>
        <v/>
      </c>
      <c r="AG132" s="22" t="str">
        <f aca="false">IF($C132="","",N($AE132)+N($AF132))</f>
        <v/>
      </c>
      <c r="AH132" s="21" t="str">
        <f aca="false">IF(OR($C132="",$G132="Décommissionné",COUNTIFS($E132,av_envc,$A132,av_domc,$B132,av_tric)=0),"",COUNTIFS($C$6:$C132,"&lt;&gt;",$G$6:$G132,"&lt;&gt;Décommissionné",$E$6:$E132,av_envc,$A$6:$A132,av_domc,$B$6:$B132,av_tric))</f>
        <v/>
      </c>
      <c r="AI132" s="21" t="str">
        <f aca="false">IF($C132="","",IF(AND(OR($G132="À migrer",$G132="À décommissionner"),$W132&lt;&gt;"",$W132&gt;ex_mois),1,0))</f>
        <v/>
      </c>
      <c r="AJ132" s="21" t="str">
        <f aca="false">IF(OR($C132="",$AI132&lt;&gt;1,COUNTIFS($E132,ex_envc,$A132,ex_domc,$B132,ex_tric)=0),"",COUNTIFS($AI$6:$AI132,1,$E$6:$E132,ex_envc,$A$6:$A132,ex_domc,$B$6:$B132,ex_tric))</f>
        <v/>
      </c>
    </row>
    <row r="133" customFormat="false" ht="15" hidden="false" customHeight="false" outlineLevel="0" collapsed="false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5"/>
      <c r="Q133" s="75"/>
      <c r="R133" s="75"/>
      <c r="S133" s="74"/>
      <c r="T133" s="21" t="str">
        <f aca="false">IF(OR($C133="",NOT(OR($G133="À migrer",$G133="Migré")),NOT(ISNUMBER($K133))),"",ROUNDUP($K133*(1+IF($AC133="",p_margeCPU,$AC133)),0))</f>
        <v/>
      </c>
      <c r="U133" s="21" t="str">
        <f aca="false">IF(OR($C133="",NOT(OR($G133="À migrer",$G133="Migré")),NOT(ISNUMBER($L133))),"",ROUNDUP($L133*(1+IF($AD133="",p_margeRAM,$AD133)),0))</f>
        <v/>
      </c>
      <c r="V133" s="39" t="str">
        <f aca="false">IF(OR(NOT($G133="À migrer"),$P133=""),"",IFERROR(DATE(YEAR($P133),MONTH($P133),1),""))</f>
        <v/>
      </c>
      <c r="W133" s="39" t="str">
        <f aca="false">IF(OR(NOT(OR($G133="À migrer",$G133="À décommissionner")),$R133=""),"",IFERROR(DATE(YEAR($R133),MONTH($R133),1),""))</f>
        <v/>
      </c>
      <c r="X133" s="21" t="str">
        <f aca="false">IF(OR($V133="",$W133=""),"",MAX(0,(YEAR($W133)-YEAR($V133))*12+MONTH($W133)-MONTH($V133)))</f>
        <v/>
      </c>
      <c r="Y133" s="21" t="str">
        <f aca="false">IF($C133="","",COUNTIF(TblApplications[ID],$C133))</f>
        <v/>
      </c>
      <c r="Z133" s="39" t="str">
        <f aca="false">IF($C133="","",IFERROR(1/(1/_xlfn.MINIFS(TblApplications[Mois prov (calc)],TblApplications[ID],$C133)),""))</f>
        <v/>
      </c>
      <c r="AA133" s="39" t="str">
        <f aca="false">IF($C133="","",IFERROR(1/(1/_xlfn.MAXIFS(TblApplications[Mois lib (calc)],TblApplications[ID],$C133)),""))</f>
        <v/>
      </c>
      <c r="AB133" s="21" t="str">
        <f aca="false">IF($C133="","",IF(OR(OR($A133="",$B133="",$D133="",$E133="",$F133="",$G133=""),AND($G133="À migrer",OR($H133="",$I133="",$J133="",$K133="",$L133="",$N133="",$O133="",$P133="",$Q133="",$R133="")),AND($G133="Migré",OR($J133="",$K133="",$L133="")),AND($G133="À décommissionner",OR($I133="",$N133="",$O133="",$R133=""))),"Données manquantes (selon l’action)",IF(AND($G133&lt;&gt;"Migré",$G133&lt;&gt;"À migrer",$G133&lt;&gt;"À décommissionner",$G133&lt;&gt;"Décommissionné"),"Action invalide",IF(COUNTIF(TblDomaines[Domaine],$A133)=0,"Domaine inconnu (référentiel)",IF(COUNTIFS(TblTribes[Tribe],$B133,TblTribes[Domaine de la tribe],$A133)=0,"Tribe inconnue ou hors domaine",IF(AND($G133="À migrer",$H133&lt;&gt;"Oui",$H133&lt;&gt;"Non"),"Valeur Oui/Non invalide (Déjà incluse ROKS)",IF(AND($E133&lt;&gt;"PRD",$E133&lt;&gt;"NPRD"),"Environnement invalide",IF(COUNTIFS(TblApplications[ID],$C133,TblApplications[Environnement],$E133,TblApplications[Couloir],$F133)&gt;1,"Déploiement en doublon (ID + env + couloir)",IF(OR(AND($K133&lt;&gt;"",NOT(ISNUMBER($K133))),AND($L133&lt;&gt;"",NOT(ISNUMBER($L133))),AND($N133&lt;&gt;"",NOT(ISNUMBER($N133))),AND($O133&lt;&gt;"",NOT(ISNUMBER($O133)))),"Ressource non numérique",IF(MIN(N($K133),N($L133),N($N133),N($O133))&lt;0,"Ressource négative",IF(OR(AND($AC133&lt;&gt;"",OR(NOT(ISNUMBER($AC133)),$AC133&lt;0,$AC133&gt;1)),AND($AD133&lt;&gt;"",OR(NOT(ISNUMBER($AD133)),$AD133&lt;0,$AD133&gt;1))),"Marge spécifique invalide (0–100 %)",IF(OR(AND($P133&lt;&gt;"",NOT(ISNUMBER($P133))),AND($Q133&lt;&gt;"",NOT(ISNUMBER($Q133))),AND($R133&lt;&gt;"",NOT(ISNUMBER($R133)))),"Mois invalide",IF(AND(OR($G133="À migrer",$G133="À décommissionner"),COUNTIFS(TblClusters[Cluster],$I133,TblClusters[Plateforme],"IKS")=0),"Cluster IKS inconnu",IF(AND(OR($G133="À migrer",$G133="Migré"),COUNTIFS(TblClusters[Cluster],$J133,TblClusters[Plateforme],"ROKS")=0),"Cluster ROKS inconnu",IF(AND(OR($G133="À migrer",$G133="À décommissionner"),COUNTIFS(TblClusters[Cluster],$I133,TblClusters[Environnement],$E133)=0),"Environnement ≠ cluster IKS",IF(AND(OR($G133="À migrer",$G133="Migré"),COUNTIFS(TblClusters[Cluster],$J133,TblClusters[Environnement],$E133)=0),"Environnement ≠ cluster ROKS",IF(AND($G133="À migrer",OR($P133&gt;$Q133,$Q133&gt;$R133)),"Dates incohérentes (prov ≤ bascule ≤ libération)",IF(AND(OR($G133="À migrer",$G133="À décommissionner"),OR(N($N133)&gt;SUMIFS(TblClusters[CPU initial (vCPU)],TblClusters[Cluster],$I133),N($O133)&gt;SUMIFS(TblClusters[RAM initiale (Go)],TblClusters[Cluster],$I133))),"Libération &gt; capacité du cluster source",IF(OR(AND($V133&lt;&gt;"",$V133&lt;p_debut),AND($W133&lt;&gt;"",$W133&gt;p_fin)),"Hors horizon (info)",IF(AND($G133="À migrer",$E133="PRD",COUNTIFS(TblApplications[ID],$C133,TblApplications[Environnement],"NPRD",TblApplications[Action],"À migrer")&gt;0,$V133&lt;_xlfn.MINIFS(TblApplications[Mois prov (calc)],TblApplications[ID],$C133,TblApplications[Environnement],"NPRD")),"PRD avant NPRD (info)","OK"))))))))))))))))))))</f>
        <v/>
      </c>
      <c r="AC133" s="76"/>
      <c r="AD133" s="76"/>
      <c r="AE133" s="22" t="str">
        <f aca="false">IF(OR($C133="",NOT(OR($G133="À migrer",$G133="À décommissionner")),NOT(ISNUMBER($N133)),NOT(ISNUMBER($O133)),$W133=""),"",($N133+p_poidsram*$O133)*SUMIFS(TblCalculs[Coût par unité],TblCalculs[Cluster],$I133,TblCalculs[Mois],"&lt;"&amp;$W133))</f>
        <v/>
      </c>
      <c r="AF133" s="22" t="str">
        <f aca="false">IF($C133="","",IF(AND($G133="À migrer",$H133="Non",$T133&lt;&gt;"",$V133&lt;&gt;""),($T133+p_poidsram*$U133)*SUMIFS(TblCalculs[Coût par unité],TblCalculs[Cluster],$J133,TblCalculs[Mois],"&gt;="&amp;$V133),IF(AND($G133="Migré",$T133&lt;&gt;""),($T133+p_poidsram*$U133)*SUMIFS(TblCalculs[Coût par unité],TblCalculs[Cluster],$J133),"")))</f>
        <v/>
      </c>
      <c r="AG133" s="22" t="str">
        <f aca="false">IF($C133="","",N($AE133)+N($AF133))</f>
        <v/>
      </c>
      <c r="AH133" s="21" t="str">
        <f aca="false">IF(OR($C133="",$G133="Décommissionné",COUNTIFS($E133,av_envc,$A133,av_domc,$B133,av_tric)=0),"",COUNTIFS($C$6:$C133,"&lt;&gt;",$G$6:$G133,"&lt;&gt;Décommissionné",$E$6:$E133,av_envc,$A$6:$A133,av_domc,$B$6:$B133,av_tric))</f>
        <v/>
      </c>
      <c r="AI133" s="21" t="str">
        <f aca="false">IF($C133="","",IF(AND(OR($G133="À migrer",$G133="À décommissionner"),$W133&lt;&gt;"",$W133&gt;ex_mois),1,0))</f>
        <v/>
      </c>
      <c r="AJ133" s="21" t="str">
        <f aca="false">IF(OR($C133="",$AI133&lt;&gt;1,COUNTIFS($E133,ex_envc,$A133,ex_domc,$B133,ex_tric)=0),"",COUNTIFS($AI$6:$AI133,1,$E$6:$E133,ex_envc,$A$6:$A133,ex_domc,$B$6:$B133,ex_tric))</f>
        <v/>
      </c>
    </row>
    <row r="134" customFormat="false" ht="15" hidden="false" customHeight="false" outlineLevel="0" collapsed="false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5"/>
      <c r="Q134" s="75"/>
      <c r="R134" s="75"/>
      <c r="S134" s="74"/>
      <c r="T134" s="21" t="str">
        <f aca="false">IF(OR($C134="",NOT(OR($G134="À migrer",$G134="Migré")),NOT(ISNUMBER($K134))),"",ROUNDUP($K134*(1+IF($AC134="",p_margeCPU,$AC134)),0))</f>
        <v/>
      </c>
      <c r="U134" s="21" t="str">
        <f aca="false">IF(OR($C134="",NOT(OR($G134="À migrer",$G134="Migré")),NOT(ISNUMBER($L134))),"",ROUNDUP($L134*(1+IF($AD134="",p_margeRAM,$AD134)),0))</f>
        <v/>
      </c>
      <c r="V134" s="39" t="str">
        <f aca="false">IF(OR(NOT($G134="À migrer"),$P134=""),"",IFERROR(DATE(YEAR($P134),MONTH($P134),1),""))</f>
        <v/>
      </c>
      <c r="W134" s="39" t="str">
        <f aca="false">IF(OR(NOT(OR($G134="À migrer",$G134="À décommissionner")),$R134=""),"",IFERROR(DATE(YEAR($R134),MONTH($R134),1),""))</f>
        <v/>
      </c>
      <c r="X134" s="21" t="str">
        <f aca="false">IF(OR($V134="",$W134=""),"",MAX(0,(YEAR($W134)-YEAR($V134))*12+MONTH($W134)-MONTH($V134)))</f>
        <v/>
      </c>
      <c r="Y134" s="21" t="str">
        <f aca="false">IF($C134="","",COUNTIF(TblApplications[ID],$C134))</f>
        <v/>
      </c>
      <c r="Z134" s="39" t="str">
        <f aca="false">IF($C134="","",IFERROR(1/(1/_xlfn.MINIFS(TblApplications[Mois prov (calc)],TblApplications[ID],$C134)),""))</f>
        <v/>
      </c>
      <c r="AA134" s="39" t="str">
        <f aca="false">IF($C134="","",IFERROR(1/(1/_xlfn.MAXIFS(TblApplications[Mois lib (calc)],TblApplications[ID],$C134)),""))</f>
        <v/>
      </c>
      <c r="AB134" s="21" t="str">
        <f aca="false">IF($C134="","",IF(OR(OR($A134="",$B134="",$D134="",$E134="",$F134="",$G134=""),AND($G134="À migrer",OR($H134="",$I134="",$J134="",$K134="",$L134="",$N134="",$O134="",$P134="",$Q134="",$R134="")),AND($G134="Migré",OR($J134="",$K134="",$L134="")),AND($G134="À décommissionner",OR($I134="",$N134="",$O134="",$R134=""))),"Données manquantes (selon l’action)",IF(AND($G134&lt;&gt;"Migré",$G134&lt;&gt;"À migrer",$G134&lt;&gt;"À décommissionner",$G134&lt;&gt;"Décommissionné"),"Action invalide",IF(COUNTIF(TblDomaines[Domaine],$A134)=0,"Domaine inconnu (référentiel)",IF(COUNTIFS(TblTribes[Tribe],$B134,TblTribes[Domaine de la tribe],$A134)=0,"Tribe inconnue ou hors domaine",IF(AND($G134="À migrer",$H134&lt;&gt;"Oui",$H134&lt;&gt;"Non"),"Valeur Oui/Non invalide (Déjà incluse ROKS)",IF(AND($E134&lt;&gt;"PRD",$E134&lt;&gt;"NPRD"),"Environnement invalide",IF(COUNTIFS(TblApplications[ID],$C134,TblApplications[Environnement],$E134,TblApplications[Couloir],$F134)&gt;1,"Déploiement en doublon (ID + env + couloir)",IF(OR(AND($K134&lt;&gt;"",NOT(ISNUMBER($K134))),AND($L134&lt;&gt;"",NOT(ISNUMBER($L134))),AND($N134&lt;&gt;"",NOT(ISNUMBER($N134))),AND($O134&lt;&gt;"",NOT(ISNUMBER($O134)))),"Ressource non numérique",IF(MIN(N($K134),N($L134),N($N134),N($O134))&lt;0,"Ressource négative",IF(OR(AND($AC134&lt;&gt;"",OR(NOT(ISNUMBER($AC134)),$AC134&lt;0,$AC134&gt;1)),AND($AD134&lt;&gt;"",OR(NOT(ISNUMBER($AD134)),$AD134&lt;0,$AD134&gt;1))),"Marge spécifique invalide (0–100 %)",IF(OR(AND($P134&lt;&gt;"",NOT(ISNUMBER($P134))),AND($Q134&lt;&gt;"",NOT(ISNUMBER($Q134))),AND($R134&lt;&gt;"",NOT(ISNUMBER($R134)))),"Mois invalide",IF(AND(OR($G134="À migrer",$G134="À décommissionner"),COUNTIFS(TblClusters[Cluster],$I134,TblClusters[Plateforme],"IKS")=0),"Cluster IKS inconnu",IF(AND(OR($G134="À migrer",$G134="Migré"),COUNTIFS(TblClusters[Cluster],$J134,TblClusters[Plateforme],"ROKS")=0),"Cluster ROKS inconnu",IF(AND(OR($G134="À migrer",$G134="À décommissionner"),COUNTIFS(TblClusters[Cluster],$I134,TblClusters[Environnement],$E134)=0),"Environnement ≠ cluster IKS",IF(AND(OR($G134="À migrer",$G134="Migré"),COUNTIFS(TblClusters[Cluster],$J134,TblClusters[Environnement],$E134)=0),"Environnement ≠ cluster ROKS",IF(AND($G134="À migrer",OR($P134&gt;$Q134,$Q134&gt;$R134)),"Dates incohérentes (prov ≤ bascule ≤ libération)",IF(AND(OR($G134="À migrer",$G134="À décommissionner"),OR(N($N134)&gt;SUMIFS(TblClusters[CPU initial (vCPU)],TblClusters[Cluster],$I134),N($O134)&gt;SUMIFS(TblClusters[RAM initiale (Go)],TblClusters[Cluster],$I134))),"Libération &gt; capacité du cluster source",IF(OR(AND($V134&lt;&gt;"",$V134&lt;p_debut),AND($W134&lt;&gt;"",$W134&gt;p_fin)),"Hors horizon (info)",IF(AND($G134="À migrer",$E134="PRD",COUNTIFS(TblApplications[ID],$C134,TblApplications[Environnement],"NPRD",TblApplications[Action],"À migrer")&gt;0,$V134&lt;_xlfn.MINIFS(TblApplications[Mois prov (calc)],TblApplications[ID],$C134,TblApplications[Environnement],"NPRD")),"PRD avant NPRD (info)","OK"))))))))))))))))))))</f>
        <v/>
      </c>
      <c r="AC134" s="76"/>
      <c r="AD134" s="76"/>
      <c r="AE134" s="22" t="str">
        <f aca="false">IF(OR($C134="",NOT(OR($G134="À migrer",$G134="À décommissionner")),NOT(ISNUMBER($N134)),NOT(ISNUMBER($O134)),$W134=""),"",($N134+p_poidsram*$O134)*SUMIFS(TblCalculs[Coût par unité],TblCalculs[Cluster],$I134,TblCalculs[Mois],"&lt;"&amp;$W134))</f>
        <v/>
      </c>
      <c r="AF134" s="22" t="str">
        <f aca="false">IF($C134="","",IF(AND($G134="À migrer",$H134="Non",$T134&lt;&gt;"",$V134&lt;&gt;""),($T134+p_poidsram*$U134)*SUMIFS(TblCalculs[Coût par unité],TblCalculs[Cluster],$J134,TblCalculs[Mois],"&gt;="&amp;$V134),IF(AND($G134="Migré",$T134&lt;&gt;""),($T134+p_poidsram*$U134)*SUMIFS(TblCalculs[Coût par unité],TblCalculs[Cluster],$J134),"")))</f>
        <v/>
      </c>
      <c r="AG134" s="22" t="str">
        <f aca="false">IF($C134="","",N($AE134)+N($AF134))</f>
        <v/>
      </c>
      <c r="AH134" s="21" t="str">
        <f aca="false">IF(OR($C134="",$G134="Décommissionné",COUNTIFS($E134,av_envc,$A134,av_domc,$B134,av_tric)=0),"",COUNTIFS($C$6:$C134,"&lt;&gt;",$G$6:$G134,"&lt;&gt;Décommissionné",$E$6:$E134,av_envc,$A$6:$A134,av_domc,$B$6:$B134,av_tric))</f>
        <v/>
      </c>
      <c r="AI134" s="21" t="str">
        <f aca="false">IF($C134="","",IF(AND(OR($G134="À migrer",$G134="À décommissionner"),$W134&lt;&gt;"",$W134&gt;ex_mois),1,0))</f>
        <v/>
      </c>
      <c r="AJ134" s="21" t="str">
        <f aca="false">IF(OR($C134="",$AI134&lt;&gt;1,COUNTIFS($E134,ex_envc,$A134,ex_domc,$B134,ex_tric)=0),"",COUNTIFS($AI$6:$AI134,1,$E$6:$E134,ex_envc,$A$6:$A134,ex_domc,$B$6:$B134,ex_tric))</f>
        <v/>
      </c>
    </row>
    <row r="135" customFormat="false" ht="15" hidden="false" customHeight="false" outlineLevel="0" collapsed="false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5"/>
      <c r="Q135" s="75"/>
      <c r="R135" s="75"/>
      <c r="S135" s="74"/>
      <c r="T135" s="21" t="str">
        <f aca="false">IF(OR($C135="",NOT(OR($G135="À migrer",$G135="Migré")),NOT(ISNUMBER($K135))),"",ROUNDUP($K135*(1+IF($AC135="",p_margeCPU,$AC135)),0))</f>
        <v/>
      </c>
      <c r="U135" s="21" t="str">
        <f aca="false">IF(OR($C135="",NOT(OR($G135="À migrer",$G135="Migré")),NOT(ISNUMBER($L135))),"",ROUNDUP($L135*(1+IF($AD135="",p_margeRAM,$AD135)),0))</f>
        <v/>
      </c>
      <c r="V135" s="39" t="str">
        <f aca="false">IF(OR(NOT($G135="À migrer"),$P135=""),"",IFERROR(DATE(YEAR($P135),MONTH($P135),1),""))</f>
        <v/>
      </c>
      <c r="W135" s="39" t="str">
        <f aca="false">IF(OR(NOT(OR($G135="À migrer",$G135="À décommissionner")),$R135=""),"",IFERROR(DATE(YEAR($R135),MONTH($R135),1),""))</f>
        <v/>
      </c>
      <c r="X135" s="21" t="str">
        <f aca="false">IF(OR($V135="",$W135=""),"",MAX(0,(YEAR($W135)-YEAR($V135))*12+MONTH($W135)-MONTH($V135)))</f>
        <v/>
      </c>
      <c r="Y135" s="21" t="str">
        <f aca="false">IF($C135="","",COUNTIF(TblApplications[ID],$C135))</f>
        <v/>
      </c>
      <c r="Z135" s="39" t="str">
        <f aca="false">IF($C135="","",IFERROR(1/(1/_xlfn.MINIFS(TblApplications[Mois prov (calc)],TblApplications[ID],$C135)),""))</f>
        <v/>
      </c>
      <c r="AA135" s="39" t="str">
        <f aca="false">IF($C135="","",IFERROR(1/(1/_xlfn.MAXIFS(TblApplications[Mois lib (calc)],TblApplications[ID],$C135)),""))</f>
        <v/>
      </c>
      <c r="AB135" s="21" t="str">
        <f aca="false">IF($C135="","",IF(OR(OR($A135="",$B135="",$D135="",$E135="",$F135="",$G135=""),AND($G135="À migrer",OR($H135="",$I135="",$J135="",$K135="",$L135="",$N135="",$O135="",$P135="",$Q135="",$R135="")),AND($G135="Migré",OR($J135="",$K135="",$L135="")),AND($G135="À décommissionner",OR($I135="",$N135="",$O135="",$R135=""))),"Données manquantes (selon l’action)",IF(AND($G135&lt;&gt;"Migré",$G135&lt;&gt;"À migrer",$G135&lt;&gt;"À décommissionner",$G135&lt;&gt;"Décommissionné"),"Action invalide",IF(COUNTIF(TblDomaines[Domaine],$A135)=0,"Domaine inconnu (référentiel)",IF(COUNTIFS(TblTribes[Tribe],$B135,TblTribes[Domaine de la tribe],$A135)=0,"Tribe inconnue ou hors domaine",IF(AND($G135="À migrer",$H135&lt;&gt;"Oui",$H135&lt;&gt;"Non"),"Valeur Oui/Non invalide (Déjà incluse ROKS)",IF(AND($E135&lt;&gt;"PRD",$E135&lt;&gt;"NPRD"),"Environnement invalide",IF(COUNTIFS(TblApplications[ID],$C135,TblApplications[Environnement],$E135,TblApplications[Couloir],$F135)&gt;1,"Déploiement en doublon (ID + env + couloir)",IF(OR(AND($K135&lt;&gt;"",NOT(ISNUMBER($K135))),AND($L135&lt;&gt;"",NOT(ISNUMBER($L135))),AND($N135&lt;&gt;"",NOT(ISNUMBER($N135))),AND($O135&lt;&gt;"",NOT(ISNUMBER($O135)))),"Ressource non numérique",IF(MIN(N($K135),N($L135),N($N135),N($O135))&lt;0,"Ressource négative",IF(OR(AND($AC135&lt;&gt;"",OR(NOT(ISNUMBER($AC135)),$AC135&lt;0,$AC135&gt;1)),AND($AD135&lt;&gt;"",OR(NOT(ISNUMBER($AD135)),$AD135&lt;0,$AD135&gt;1))),"Marge spécifique invalide (0–100 %)",IF(OR(AND($P135&lt;&gt;"",NOT(ISNUMBER($P135))),AND($Q135&lt;&gt;"",NOT(ISNUMBER($Q135))),AND($R135&lt;&gt;"",NOT(ISNUMBER($R135)))),"Mois invalide",IF(AND(OR($G135="À migrer",$G135="À décommissionner"),COUNTIFS(TblClusters[Cluster],$I135,TblClusters[Plateforme],"IKS")=0),"Cluster IKS inconnu",IF(AND(OR($G135="À migrer",$G135="Migré"),COUNTIFS(TblClusters[Cluster],$J135,TblClusters[Plateforme],"ROKS")=0),"Cluster ROKS inconnu",IF(AND(OR($G135="À migrer",$G135="À décommissionner"),COUNTIFS(TblClusters[Cluster],$I135,TblClusters[Environnement],$E135)=0),"Environnement ≠ cluster IKS",IF(AND(OR($G135="À migrer",$G135="Migré"),COUNTIFS(TblClusters[Cluster],$J135,TblClusters[Environnement],$E135)=0),"Environnement ≠ cluster ROKS",IF(AND($G135="À migrer",OR($P135&gt;$Q135,$Q135&gt;$R135)),"Dates incohérentes (prov ≤ bascule ≤ libération)",IF(AND(OR($G135="À migrer",$G135="À décommissionner"),OR(N($N135)&gt;SUMIFS(TblClusters[CPU initial (vCPU)],TblClusters[Cluster],$I135),N($O135)&gt;SUMIFS(TblClusters[RAM initiale (Go)],TblClusters[Cluster],$I135))),"Libération &gt; capacité du cluster source",IF(OR(AND($V135&lt;&gt;"",$V135&lt;p_debut),AND($W135&lt;&gt;"",$W135&gt;p_fin)),"Hors horizon (info)",IF(AND($G135="À migrer",$E135="PRD",COUNTIFS(TblApplications[ID],$C135,TblApplications[Environnement],"NPRD",TblApplications[Action],"À migrer")&gt;0,$V135&lt;_xlfn.MINIFS(TblApplications[Mois prov (calc)],TblApplications[ID],$C135,TblApplications[Environnement],"NPRD")),"PRD avant NPRD (info)","OK"))))))))))))))))))))</f>
        <v/>
      </c>
      <c r="AC135" s="76"/>
      <c r="AD135" s="76"/>
      <c r="AE135" s="22" t="str">
        <f aca="false">IF(OR($C135="",NOT(OR($G135="À migrer",$G135="À décommissionner")),NOT(ISNUMBER($N135)),NOT(ISNUMBER($O135)),$W135=""),"",($N135+p_poidsram*$O135)*SUMIFS(TblCalculs[Coût par unité],TblCalculs[Cluster],$I135,TblCalculs[Mois],"&lt;"&amp;$W135))</f>
        <v/>
      </c>
      <c r="AF135" s="22" t="str">
        <f aca="false">IF($C135="","",IF(AND($G135="À migrer",$H135="Non",$T135&lt;&gt;"",$V135&lt;&gt;""),($T135+p_poidsram*$U135)*SUMIFS(TblCalculs[Coût par unité],TblCalculs[Cluster],$J135,TblCalculs[Mois],"&gt;="&amp;$V135),IF(AND($G135="Migré",$T135&lt;&gt;""),($T135+p_poidsram*$U135)*SUMIFS(TblCalculs[Coût par unité],TblCalculs[Cluster],$J135),"")))</f>
        <v/>
      </c>
      <c r="AG135" s="22" t="str">
        <f aca="false">IF($C135="","",N($AE135)+N($AF135))</f>
        <v/>
      </c>
      <c r="AH135" s="21" t="str">
        <f aca="false">IF(OR($C135="",$G135="Décommissionné",COUNTIFS($E135,av_envc,$A135,av_domc,$B135,av_tric)=0),"",COUNTIFS($C$6:$C135,"&lt;&gt;",$G$6:$G135,"&lt;&gt;Décommissionné",$E$6:$E135,av_envc,$A$6:$A135,av_domc,$B$6:$B135,av_tric))</f>
        <v/>
      </c>
      <c r="AI135" s="21" t="str">
        <f aca="false">IF($C135="","",IF(AND(OR($G135="À migrer",$G135="À décommissionner"),$W135&lt;&gt;"",$W135&gt;ex_mois),1,0))</f>
        <v/>
      </c>
      <c r="AJ135" s="21" t="str">
        <f aca="false">IF(OR($C135="",$AI135&lt;&gt;1,COUNTIFS($E135,ex_envc,$A135,ex_domc,$B135,ex_tric)=0),"",COUNTIFS($AI$6:$AI135,1,$E$6:$E135,ex_envc,$A$6:$A135,ex_domc,$B$6:$B135,ex_tric))</f>
        <v/>
      </c>
    </row>
    <row r="136" customFormat="false" ht="15" hidden="false" customHeight="false" outlineLevel="0" collapsed="false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5"/>
      <c r="Q136" s="75"/>
      <c r="R136" s="75"/>
      <c r="S136" s="74"/>
      <c r="T136" s="21" t="str">
        <f aca="false">IF(OR($C136="",NOT(OR($G136="À migrer",$G136="Migré")),NOT(ISNUMBER($K136))),"",ROUNDUP($K136*(1+IF($AC136="",p_margeCPU,$AC136)),0))</f>
        <v/>
      </c>
      <c r="U136" s="21" t="str">
        <f aca="false">IF(OR($C136="",NOT(OR($G136="À migrer",$G136="Migré")),NOT(ISNUMBER($L136))),"",ROUNDUP($L136*(1+IF($AD136="",p_margeRAM,$AD136)),0))</f>
        <v/>
      </c>
      <c r="V136" s="39" t="str">
        <f aca="false">IF(OR(NOT($G136="À migrer"),$P136=""),"",IFERROR(DATE(YEAR($P136),MONTH($P136),1),""))</f>
        <v/>
      </c>
      <c r="W136" s="39" t="str">
        <f aca="false">IF(OR(NOT(OR($G136="À migrer",$G136="À décommissionner")),$R136=""),"",IFERROR(DATE(YEAR($R136),MONTH($R136),1),""))</f>
        <v/>
      </c>
      <c r="X136" s="21" t="str">
        <f aca="false">IF(OR($V136="",$W136=""),"",MAX(0,(YEAR($W136)-YEAR($V136))*12+MONTH($W136)-MONTH($V136)))</f>
        <v/>
      </c>
      <c r="Y136" s="21" t="str">
        <f aca="false">IF($C136="","",COUNTIF(TblApplications[ID],$C136))</f>
        <v/>
      </c>
      <c r="Z136" s="39" t="str">
        <f aca="false">IF($C136="","",IFERROR(1/(1/_xlfn.MINIFS(TblApplications[Mois prov (calc)],TblApplications[ID],$C136)),""))</f>
        <v/>
      </c>
      <c r="AA136" s="39" t="str">
        <f aca="false">IF($C136="","",IFERROR(1/(1/_xlfn.MAXIFS(TblApplications[Mois lib (calc)],TblApplications[ID],$C136)),""))</f>
        <v/>
      </c>
      <c r="AB136" s="21" t="str">
        <f aca="false">IF($C136="","",IF(OR(OR($A136="",$B136="",$D136="",$E136="",$F136="",$G136=""),AND($G136="À migrer",OR($H136="",$I136="",$J136="",$K136="",$L136="",$N136="",$O136="",$P136="",$Q136="",$R136="")),AND($G136="Migré",OR($J136="",$K136="",$L136="")),AND($G136="À décommissionner",OR($I136="",$N136="",$O136="",$R136=""))),"Données manquantes (selon l’action)",IF(AND($G136&lt;&gt;"Migré",$G136&lt;&gt;"À migrer",$G136&lt;&gt;"À décommissionner",$G136&lt;&gt;"Décommissionné"),"Action invalide",IF(COUNTIF(TblDomaines[Domaine],$A136)=0,"Domaine inconnu (référentiel)",IF(COUNTIFS(TblTribes[Tribe],$B136,TblTribes[Domaine de la tribe],$A136)=0,"Tribe inconnue ou hors domaine",IF(AND($G136="À migrer",$H136&lt;&gt;"Oui",$H136&lt;&gt;"Non"),"Valeur Oui/Non invalide (Déjà incluse ROKS)",IF(AND($E136&lt;&gt;"PRD",$E136&lt;&gt;"NPRD"),"Environnement invalide",IF(COUNTIFS(TblApplications[ID],$C136,TblApplications[Environnement],$E136,TblApplications[Couloir],$F136)&gt;1,"Déploiement en doublon (ID + env + couloir)",IF(OR(AND($K136&lt;&gt;"",NOT(ISNUMBER($K136))),AND($L136&lt;&gt;"",NOT(ISNUMBER($L136))),AND($N136&lt;&gt;"",NOT(ISNUMBER($N136))),AND($O136&lt;&gt;"",NOT(ISNUMBER($O136)))),"Ressource non numérique",IF(MIN(N($K136),N($L136),N($N136),N($O136))&lt;0,"Ressource négative",IF(OR(AND($AC136&lt;&gt;"",OR(NOT(ISNUMBER($AC136)),$AC136&lt;0,$AC136&gt;1)),AND($AD136&lt;&gt;"",OR(NOT(ISNUMBER($AD136)),$AD136&lt;0,$AD136&gt;1))),"Marge spécifique invalide (0–100 %)",IF(OR(AND($P136&lt;&gt;"",NOT(ISNUMBER($P136))),AND($Q136&lt;&gt;"",NOT(ISNUMBER($Q136))),AND($R136&lt;&gt;"",NOT(ISNUMBER($R136)))),"Mois invalide",IF(AND(OR($G136="À migrer",$G136="À décommissionner"),COUNTIFS(TblClusters[Cluster],$I136,TblClusters[Plateforme],"IKS")=0),"Cluster IKS inconnu",IF(AND(OR($G136="À migrer",$G136="Migré"),COUNTIFS(TblClusters[Cluster],$J136,TblClusters[Plateforme],"ROKS")=0),"Cluster ROKS inconnu",IF(AND(OR($G136="À migrer",$G136="À décommissionner"),COUNTIFS(TblClusters[Cluster],$I136,TblClusters[Environnement],$E136)=0),"Environnement ≠ cluster IKS",IF(AND(OR($G136="À migrer",$G136="Migré"),COUNTIFS(TblClusters[Cluster],$J136,TblClusters[Environnement],$E136)=0),"Environnement ≠ cluster ROKS",IF(AND($G136="À migrer",OR($P136&gt;$Q136,$Q136&gt;$R136)),"Dates incohérentes (prov ≤ bascule ≤ libération)",IF(AND(OR($G136="À migrer",$G136="À décommissionner"),OR(N($N136)&gt;SUMIFS(TblClusters[CPU initial (vCPU)],TblClusters[Cluster],$I136),N($O136)&gt;SUMIFS(TblClusters[RAM initiale (Go)],TblClusters[Cluster],$I136))),"Libération &gt; capacité du cluster source",IF(OR(AND($V136&lt;&gt;"",$V136&lt;p_debut),AND($W136&lt;&gt;"",$W136&gt;p_fin)),"Hors horizon (info)",IF(AND($G136="À migrer",$E136="PRD",COUNTIFS(TblApplications[ID],$C136,TblApplications[Environnement],"NPRD",TblApplications[Action],"À migrer")&gt;0,$V136&lt;_xlfn.MINIFS(TblApplications[Mois prov (calc)],TblApplications[ID],$C136,TblApplications[Environnement],"NPRD")),"PRD avant NPRD (info)","OK"))))))))))))))))))))</f>
        <v/>
      </c>
      <c r="AC136" s="76"/>
      <c r="AD136" s="76"/>
      <c r="AE136" s="22" t="str">
        <f aca="false">IF(OR($C136="",NOT(OR($G136="À migrer",$G136="À décommissionner")),NOT(ISNUMBER($N136)),NOT(ISNUMBER($O136)),$W136=""),"",($N136+p_poidsram*$O136)*SUMIFS(TblCalculs[Coût par unité],TblCalculs[Cluster],$I136,TblCalculs[Mois],"&lt;"&amp;$W136))</f>
        <v/>
      </c>
      <c r="AF136" s="22" t="str">
        <f aca="false">IF($C136="","",IF(AND($G136="À migrer",$H136="Non",$T136&lt;&gt;"",$V136&lt;&gt;""),($T136+p_poidsram*$U136)*SUMIFS(TblCalculs[Coût par unité],TblCalculs[Cluster],$J136,TblCalculs[Mois],"&gt;="&amp;$V136),IF(AND($G136="Migré",$T136&lt;&gt;""),($T136+p_poidsram*$U136)*SUMIFS(TblCalculs[Coût par unité],TblCalculs[Cluster],$J136),"")))</f>
        <v/>
      </c>
      <c r="AG136" s="22" t="str">
        <f aca="false">IF($C136="","",N($AE136)+N($AF136))</f>
        <v/>
      </c>
      <c r="AH136" s="21" t="str">
        <f aca="false">IF(OR($C136="",$G136="Décommissionné",COUNTIFS($E136,av_envc,$A136,av_domc,$B136,av_tric)=0),"",COUNTIFS($C$6:$C136,"&lt;&gt;",$G$6:$G136,"&lt;&gt;Décommissionné",$E$6:$E136,av_envc,$A$6:$A136,av_domc,$B$6:$B136,av_tric))</f>
        <v/>
      </c>
      <c r="AI136" s="21" t="str">
        <f aca="false">IF($C136="","",IF(AND(OR($G136="À migrer",$G136="À décommissionner"),$W136&lt;&gt;"",$W136&gt;ex_mois),1,0))</f>
        <v/>
      </c>
      <c r="AJ136" s="21" t="str">
        <f aca="false">IF(OR($C136="",$AI136&lt;&gt;1,COUNTIFS($E136,ex_envc,$A136,ex_domc,$B136,ex_tric)=0),"",COUNTIFS($AI$6:$AI136,1,$E$6:$E136,ex_envc,$A$6:$A136,ex_domc,$B$6:$B136,ex_tric))</f>
        <v/>
      </c>
    </row>
    <row r="137" customFormat="false" ht="15" hidden="false" customHeight="false" outlineLevel="0" collapsed="false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5"/>
      <c r="Q137" s="75"/>
      <c r="R137" s="75"/>
      <c r="S137" s="74"/>
      <c r="T137" s="21" t="str">
        <f aca="false">IF(OR($C137="",NOT(OR($G137="À migrer",$G137="Migré")),NOT(ISNUMBER($K137))),"",ROUNDUP($K137*(1+IF($AC137="",p_margeCPU,$AC137)),0))</f>
        <v/>
      </c>
      <c r="U137" s="21" t="str">
        <f aca="false">IF(OR($C137="",NOT(OR($G137="À migrer",$G137="Migré")),NOT(ISNUMBER($L137))),"",ROUNDUP($L137*(1+IF($AD137="",p_margeRAM,$AD137)),0))</f>
        <v/>
      </c>
      <c r="V137" s="39" t="str">
        <f aca="false">IF(OR(NOT($G137="À migrer"),$P137=""),"",IFERROR(DATE(YEAR($P137),MONTH($P137),1),""))</f>
        <v/>
      </c>
      <c r="W137" s="39" t="str">
        <f aca="false">IF(OR(NOT(OR($G137="À migrer",$G137="À décommissionner")),$R137=""),"",IFERROR(DATE(YEAR($R137),MONTH($R137),1),""))</f>
        <v/>
      </c>
      <c r="X137" s="21" t="str">
        <f aca="false">IF(OR($V137="",$W137=""),"",MAX(0,(YEAR($W137)-YEAR($V137))*12+MONTH($W137)-MONTH($V137)))</f>
        <v/>
      </c>
      <c r="Y137" s="21" t="str">
        <f aca="false">IF($C137="","",COUNTIF(TblApplications[ID],$C137))</f>
        <v/>
      </c>
      <c r="Z137" s="39" t="str">
        <f aca="false">IF($C137="","",IFERROR(1/(1/_xlfn.MINIFS(TblApplications[Mois prov (calc)],TblApplications[ID],$C137)),""))</f>
        <v/>
      </c>
      <c r="AA137" s="39" t="str">
        <f aca="false">IF($C137="","",IFERROR(1/(1/_xlfn.MAXIFS(TblApplications[Mois lib (calc)],TblApplications[ID],$C137)),""))</f>
        <v/>
      </c>
      <c r="AB137" s="21" t="str">
        <f aca="false">IF($C137="","",IF(OR(OR($A137="",$B137="",$D137="",$E137="",$F137="",$G137=""),AND($G137="À migrer",OR($H137="",$I137="",$J137="",$K137="",$L137="",$N137="",$O137="",$P137="",$Q137="",$R137="")),AND($G137="Migré",OR($J137="",$K137="",$L137="")),AND($G137="À décommissionner",OR($I137="",$N137="",$O137="",$R137=""))),"Données manquantes (selon l’action)",IF(AND($G137&lt;&gt;"Migré",$G137&lt;&gt;"À migrer",$G137&lt;&gt;"À décommissionner",$G137&lt;&gt;"Décommissionné"),"Action invalide",IF(COUNTIF(TblDomaines[Domaine],$A137)=0,"Domaine inconnu (référentiel)",IF(COUNTIFS(TblTribes[Tribe],$B137,TblTribes[Domaine de la tribe],$A137)=0,"Tribe inconnue ou hors domaine",IF(AND($G137="À migrer",$H137&lt;&gt;"Oui",$H137&lt;&gt;"Non"),"Valeur Oui/Non invalide (Déjà incluse ROKS)",IF(AND($E137&lt;&gt;"PRD",$E137&lt;&gt;"NPRD"),"Environnement invalide",IF(COUNTIFS(TblApplications[ID],$C137,TblApplications[Environnement],$E137,TblApplications[Couloir],$F137)&gt;1,"Déploiement en doublon (ID + env + couloir)",IF(OR(AND($K137&lt;&gt;"",NOT(ISNUMBER($K137))),AND($L137&lt;&gt;"",NOT(ISNUMBER($L137))),AND($N137&lt;&gt;"",NOT(ISNUMBER($N137))),AND($O137&lt;&gt;"",NOT(ISNUMBER($O137)))),"Ressource non numérique",IF(MIN(N($K137),N($L137),N($N137),N($O137))&lt;0,"Ressource négative",IF(OR(AND($AC137&lt;&gt;"",OR(NOT(ISNUMBER($AC137)),$AC137&lt;0,$AC137&gt;1)),AND($AD137&lt;&gt;"",OR(NOT(ISNUMBER($AD137)),$AD137&lt;0,$AD137&gt;1))),"Marge spécifique invalide (0–100 %)",IF(OR(AND($P137&lt;&gt;"",NOT(ISNUMBER($P137))),AND($Q137&lt;&gt;"",NOT(ISNUMBER($Q137))),AND($R137&lt;&gt;"",NOT(ISNUMBER($R137)))),"Mois invalide",IF(AND(OR($G137="À migrer",$G137="À décommissionner"),COUNTIFS(TblClusters[Cluster],$I137,TblClusters[Plateforme],"IKS")=0),"Cluster IKS inconnu",IF(AND(OR($G137="À migrer",$G137="Migré"),COUNTIFS(TblClusters[Cluster],$J137,TblClusters[Plateforme],"ROKS")=0),"Cluster ROKS inconnu",IF(AND(OR($G137="À migrer",$G137="À décommissionner"),COUNTIFS(TblClusters[Cluster],$I137,TblClusters[Environnement],$E137)=0),"Environnement ≠ cluster IKS",IF(AND(OR($G137="À migrer",$G137="Migré"),COUNTIFS(TblClusters[Cluster],$J137,TblClusters[Environnement],$E137)=0),"Environnement ≠ cluster ROKS",IF(AND($G137="À migrer",OR($P137&gt;$Q137,$Q137&gt;$R137)),"Dates incohérentes (prov ≤ bascule ≤ libération)",IF(AND(OR($G137="À migrer",$G137="À décommissionner"),OR(N($N137)&gt;SUMIFS(TblClusters[CPU initial (vCPU)],TblClusters[Cluster],$I137),N($O137)&gt;SUMIFS(TblClusters[RAM initiale (Go)],TblClusters[Cluster],$I137))),"Libération &gt; capacité du cluster source",IF(OR(AND($V137&lt;&gt;"",$V137&lt;p_debut),AND($W137&lt;&gt;"",$W137&gt;p_fin)),"Hors horizon (info)",IF(AND($G137="À migrer",$E137="PRD",COUNTIFS(TblApplications[ID],$C137,TblApplications[Environnement],"NPRD",TblApplications[Action],"À migrer")&gt;0,$V137&lt;_xlfn.MINIFS(TblApplications[Mois prov (calc)],TblApplications[ID],$C137,TblApplications[Environnement],"NPRD")),"PRD avant NPRD (info)","OK"))))))))))))))))))))</f>
        <v/>
      </c>
      <c r="AC137" s="76"/>
      <c r="AD137" s="76"/>
      <c r="AE137" s="22" t="str">
        <f aca="false">IF(OR($C137="",NOT(OR($G137="À migrer",$G137="À décommissionner")),NOT(ISNUMBER($N137)),NOT(ISNUMBER($O137)),$W137=""),"",($N137+p_poidsram*$O137)*SUMIFS(TblCalculs[Coût par unité],TblCalculs[Cluster],$I137,TblCalculs[Mois],"&lt;"&amp;$W137))</f>
        <v/>
      </c>
      <c r="AF137" s="22" t="str">
        <f aca="false">IF($C137="","",IF(AND($G137="À migrer",$H137="Non",$T137&lt;&gt;"",$V137&lt;&gt;""),($T137+p_poidsram*$U137)*SUMIFS(TblCalculs[Coût par unité],TblCalculs[Cluster],$J137,TblCalculs[Mois],"&gt;="&amp;$V137),IF(AND($G137="Migré",$T137&lt;&gt;""),($T137+p_poidsram*$U137)*SUMIFS(TblCalculs[Coût par unité],TblCalculs[Cluster],$J137),"")))</f>
        <v/>
      </c>
      <c r="AG137" s="22" t="str">
        <f aca="false">IF($C137="","",N($AE137)+N($AF137))</f>
        <v/>
      </c>
      <c r="AH137" s="21" t="str">
        <f aca="false">IF(OR($C137="",$G137="Décommissionné",COUNTIFS($E137,av_envc,$A137,av_domc,$B137,av_tric)=0),"",COUNTIFS($C$6:$C137,"&lt;&gt;",$G$6:$G137,"&lt;&gt;Décommissionné",$E$6:$E137,av_envc,$A$6:$A137,av_domc,$B$6:$B137,av_tric))</f>
        <v/>
      </c>
      <c r="AI137" s="21" t="str">
        <f aca="false">IF($C137="","",IF(AND(OR($G137="À migrer",$G137="À décommissionner"),$W137&lt;&gt;"",$W137&gt;ex_mois),1,0))</f>
        <v/>
      </c>
      <c r="AJ137" s="21" t="str">
        <f aca="false">IF(OR($C137="",$AI137&lt;&gt;1,COUNTIFS($E137,ex_envc,$A137,ex_domc,$B137,ex_tric)=0),"",COUNTIFS($AI$6:$AI137,1,$E$6:$E137,ex_envc,$A$6:$A137,ex_domc,$B$6:$B137,ex_tric))</f>
        <v/>
      </c>
    </row>
    <row r="138" customFormat="false" ht="15" hidden="false" customHeight="false" outlineLevel="0" collapsed="false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5"/>
      <c r="Q138" s="75"/>
      <c r="R138" s="75"/>
      <c r="S138" s="74"/>
      <c r="T138" s="21" t="str">
        <f aca="false">IF(OR($C138="",NOT(OR($G138="À migrer",$G138="Migré")),NOT(ISNUMBER($K138))),"",ROUNDUP($K138*(1+IF($AC138="",p_margeCPU,$AC138)),0))</f>
        <v/>
      </c>
      <c r="U138" s="21" t="str">
        <f aca="false">IF(OR($C138="",NOT(OR($G138="À migrer",$G138="Migré")),NOT(ISNUMBER($L138))),"",ROUNDUP($L138*(1+IF($AD138="",p_margeRAM,$AD138)),0))</f>
        <v/>
      </c>
      <c r="V138" s="39" t="str">
        <f aca="false">IF(OR(NOT($G138="À migrer"),$P138=""),"",IFERROR(DATE(YEAR($P138),MONTH($P138),1),""))</f>
        <v/>
      </c>
      <c r="W138" s="39" t="str">
        <f aca="false">IF(OR(NOT(OR($G138="À migrer",$G138="À décommissionner")),$R138=""),"",IFERROR(DATE(YEAR($R138),MONTH($R138),1),""))</f>
        <v/>
      </c>
      <c r="X138" s="21" t="str">
        <f aca="false">IF(OR($V138="",$W138=""),"",MAX(0,(YEAR($W138)-YEAR($V138))*12+MONTH($W138)-MONTH($V138)))</f>
        <v/>
      </c>
      <c r="Y138" s="21" t="str">
        <f aca="false">IF($C138="","",COUNTIF(TblApplications[ID],$C138))</f>
        <v/>
      </c>
      <c r="Z138" s="39" t="str">
        <f aca="false">IF($C138="","",IFERROR(1/(1/_xlfn.MINIFS(TblApplications[Mois prov (calc)],TblApplications[ID],$C138)),""))</f>
        <v/>
      </c>
      <c r="AA138" s="39" t="str">
        <f aca="false">IF($C138="","",IFERROR(1/(1/_xlfn.MAXIFS(TblApplications[Mois lib (calc)],TblApplications[ID],$C138)),""))</f>
        <v/>
      </c>
      <c r="AB138" s="21" t="str">
        <f aca="false">IF($C138="","",IF(OR(OR($A138="",$B138="",$D138="",$E138="",$F138="",$G138=""),AND($G138="À migrer",OR($H138="",$I138="",$J138="",$K138="",$L138="",$N138="",$O138="",$P138="",$Q138="",$R138="")),AND($G138="Migré",OR($J138="",$K138="",$L138="")),AND($G138="À décommissionner",OR($I138="",$N138="",$O138="",$R138=""))),"Données manquantes (selon l’action)",IF(AND($G138&lt;&gt;"Migré",$G138&lt;&gt;"À migrer",$G138&lt;&gt;"À décommissionner",$G138&lt;&gt;"Décommissionné"),"Action invalide",IF(COUNTIF(TblDomaines[Domaine],$A138)=0,"Domaine inconnu (référentiel)",IF(COUNTIFS(TblTribes[Tribe],$B138,TblTribes[Domaine de la tribe],$A138)=0,"Tribe inconnue ou hors domaine",IF(AND($G138="À migrer",$H138&lt;&gt;"Oui",$H138&lt;&gt;"Non"),"Valeur Oui/Non invalide (Déjà incluse ROKS)",IF(AND($E138&lt;&gt;"PRD",$E138&lt;&gt;"NPRD"),"Environnement invalide",IF(COUNTIFS(TblApplications[ID],$C138,TblApplications[Environnement],$E138,TblApplications[Couloir],$F138)&gt;1,"Déploiement en doublon (ID + env + couloir)",IF(OR(AND($K138&lt;&gt;"",NOT(ISNUMBER($K138))),AND($L138&lt;&gt;"",NOT(ISNUMBER($L138))),AND($N138&lt;&gt;"",NOT(ISNUMBER($N138))),AND($O138&lt;&gt;"",NOT(ISNUMBER($O138)))),"Ressource non numérique",IF(MIN(N($K138),N($L138),N($N138),N($O138))&lt;0,"Ressource négative",IF(OR(AND($AC138&lt;&gt;"",OR(NOT(ISNUMBER($AC138)),$AC138&lt;0,$AC138&gt;1)),AND($AD138&lt;&gt;"",OR(NOT(ISNUMBER($AD138)),$AD138&lt;0,$AD138&gt;1))),"Marge spécifique invalide (0–100 %)",IF(OR(AND($P138&lt;&gt;"",NOT(ISNUMBER($P138))),AND($Q138&lt;&gt;"",NOT(ISNUMBER($Q138))),AND($R138&lt;&gt;"",NOT(ISNUMBER($R138)))),"Mois invalide",IF(AND(OR($G138="À migrer",$G138="À décommissionner"),COUNTIFS(TblClusters[Cluster],$I138,TblClusters[Plateforme],"IKS")=0),"Cluster IKS inconnu",IF(AND(OR($G138="À migrer",$G138="Migré"),COUNTIFS(TblClusters[Cluster],$J138,TblClusters[Plateforme],"ROKS")=0),"Cluster ROKS inconnu",IF(AND(OR($G138="À migrer",$G138="À décommissionner"),COUNTIFS(TblClusters[Cluster],$I138,TblClusters[Environnement],$E138)=0),"Environnement ≠ cluster IKS",IF(AND(OR($G138="À migrer",$G138="Migré"),COUNTIFS(TblClusters[Cluster],$J138,TblClusters[Environnement],$E138)=0),"Environnement ≠ cluster ROKS",IF(AND($G138="À migrer",OR($P138&gt;$Q138,$Q138&gt;$R138)),"Dates incohérentes (prov ≤ bascule ≤ libération)",IF(AND(OR($G138="À migrer",$G138="À décommissionner"),OR(N($N138)&gt;SUMIFS(TblClusters[CPU initial (vCPU)],TblClusters[Cluster],$I138),N($O138)&gt;SUMIFS(TblClusters[RAM initiale (Go)],TblClusters[Cluster],$I138))),"Libération &gt; capacité du cluster source",IF(OR(AND($V138&lt;&gt;"",$V138&lt;p_debut),AND($W138&lt;&gt;"",$W138&gt;p_fin)),"Hors horizon (info)",IF(AND($G138="À migrer",$E138="PRD",COUNTIFS(TblApplications[ID],$C138,TblApplications[Environnement],"NPRD",TblApplications[Action],"À migrer")&gt;0,$V138&lt;_xlfn.MINIFS(TblApplications[Mois prov (calc)],TblApplications[ID],$C138,TblApplications[Environnement],"NPRD")),"PRD avant NPRD (info)","OK"))))))))))))))))))))</f>
        <v/>
      </c>
      <c r="AC138" s="76"/>
      <c r="AD138" s="76"/>
      <c r="AE138" s="22" t="str">
        <f aca="false">IF(OR($C138="",NOT(OR($G138="À migrer",$G138="À décommissionner")),NOT(ISNUMBER($N138)),NOT(ISNUMBER($O138)),$W138=""),"",($N138+p_poidsram*$O138)*SUMIFS(TblCalculs[Coût par unité],TblCalculs[Cluster],$I138,TblCalculs[Mois],"&lt;"&amp;$W138))</f>
        <v/>
      </c>
      <c r="AF138" s="22" t="str">
        <f aca="false">IF($C138="","",IF(AND($G138="À migrer",$H138="Non",$T138&lt;&gt;"",$V138&lt;&gt;""),($T138+p_poidsram*$U138)*SUMIFS(TblCalculs[Coût par unité],TblCalculs[Cluster],$J138,TblCalculs[Mois],"&gt;="&amp;$V138),IF(AND($G138="Migré",$T138&lt;&gt;""),($T138+p_poidsram*$U138)*SUMIFS(TblCalculs[Coût par unité],TblCalculs[Cluster],$J138),"")))</f>
        <v/>
      </c>
      <c r="AG138" s="22" t="str">
        <f aca="false">IF($C138="","",N($AE138)+N($AF138))</f>
        <v/>
      </c>
      <c r="AH138" s="21" t="str">
        <f aca="false">IF(OR($C138="",$G138="Décommissionné",COUNTIFS($E138,av_envc,$A138,av_domc,$B138,av_tric)=0),"",COUNTIFS($C$6:$C138,"&lt;&gt;",$G$6:$G138,"&lt;&gt;Décommissionné",$E$6:$E138,av_envc,$A$6:$A138,av_domc,$B$6:$B138,av_tric))</f>
        <v/>
      </c>
      <c r="AI138" s="21" t="str">
        <f aca="false">IF($C138="","",IF(AND(OR($G138="À migrer",$G138="À décommissionner"),$W138&lt;&gt;"",$W138&gt;ex_mois),1,0))</f>
        <v/>
      </c>
      <c r="AJ138" s="21" t="str">
        <f aca="false">IF(OR($C138="",$AI138&lt;&gt;1,COUNTIFS($E138,ex_envc,$A138,ex_domc,$B138,ex_tric)=0),"",COUNTIFS($AI$6:$AI138,1,$E$6:$E138,ex_envc,$A$6:$A138,ex_domc,$B$6:$B138,ex_tric))</f>
        <v/>
      </c>
    </row>
    <row r="139" customFormat="false" ht="15" hidden="false" customHeight="false" outlineLevel="0" collapsed="false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5"/>
      <c r="Q139" s="75"/>
      <c r="R139" s="75"/>
      <c r="S139" s="74"/>
      <c r="T139" s="21" t="str">
        <f aca="false">IF(OR($C139="",NOT(OR($G139="À migrer",$G139="Migré")),NOT(ISNUMBER($K139))),"",ROUNDUP($K139*(1+IF($AC139="",p_margeCPU,$AC139)),0))</f>
        <v/>
      </c>
      <c r="U139" s="21" t="str">
        <f aca="false">IF(OR($C139="",NOT(OR($G139="À migrer",$G139="Migré")),NOT(ISNUMBER($L139))),"",ROUNDUP($L139*(1+IF($AD139="",p_margeRAM,$AD139)),0))</f>
        <v/>
      </c>
      <c r="V139" s="39" t="str">
        <f aca="false">IF(OR(NOT($G139="À migrer"),$P139=""),"",IFERROR(DATE(YEAR($P139),MONTH($P139),1),""))</f>
        <v/>
      </c>
      <c r="W139" s="39" t="str">
        <f aca="false">IF(OR(NOT(OR($G139="À migrer",$G139="À décommissionner")),$R139=""),"",IFERROR(DATE(YEAR($R139),MONTH($R139),1),""))</f>
        <v/>
      </c>
      <c r="X139" s="21" t="str">
        <f aca="false">IF(OR($V139="",$W139=""),"",MAX(0,(YEAR($W139)-YEAR($V139))*12+MONTH($W139)-MONTH($V139)))</f>
        <v/>
      </c>
      <c r="Y139" s="21" t="str">
        <f aca="false">IF($C139="","",COUNTIF(TblApplications[ID],$C139))</f>
        <v/>
      </c>
      <c r="Z139" s="39" t="str">
        <f aca="false">IF($C139="","",IFERROR(1/(1/_xlfn.MINIFS(TblApplications[Mois prov (calc)],TblApplications[ID],$C139)),""))</f>
        <v/>
      </c>
      <c r="AA139" s="39" t="str">
        <f aca="false">IF($C139="","",IFERROR(1/(1/_xlfn.MAXIFS(TblApplications[Mois lib (calc)],TblApplications[ID],$C139)),""))</f>
        <v/>
      </c>
      <c r="AB139" s="21" t="str">
        <f aca="false">IF($C139="","",IF(OR(OR($A139="",$B139="",$D139="",$E139="",$F139="",$G139=""),AND($G139="À migrer",OR($H139="",$I139="",$J139="",$K139="",$L139="",$N139="",$O139="",$P139="",$Q139="",$R139="")),AND($G139="Migré",OR($J139="",$K139="",$L139="")),AND($G139="À décommissionner",OR($I139="",$N139="",$O139="",$R139=""))),"Données manquantes (selon l’action)",IF(AND($G139&lt;&gt;"Migré",$G139&lt;&gt;"À migrer",$G139&lt;&gt;"À décommissionner",$G139&lt;&gt;"Décommissionné"),"Action invalide",IF(COUNTIF(TblDomaines[Domaine],$A139)=0,"Domaine inconnu (référentiel)",IF(COUNTIFS(TblTribes[Tribe],$B139,TblTribes[Domaine de la tribe],$A139)=0,"Tribe inconnue ou hors domaine",IF(AND($G139="À migrer",$H139&lt;&gt;"Oui",$H139&lt;&gt;"Non"),"Valeur Oui/Non invalide (Déjà incluse ROKS)",IF(AND($E139&lt;&gt;"PRD",$E139&lt;&gt;"NPRD"),"Environnement invalide",IF(COUNTIFS(TblApplications[ID],$C139,TblApplications[Environnement],$E139,TblApplications[Couloir],$F139)&gt;1,"Déploiement en doublon (ID + env + couloir)",IF(OR(AND($K139&lt;&gt;"",NOT(ISNUMBER($K139))),AND($L139&lt;&gt;"",NOT(ISNUMBER($L139))),AND($N139&lt;&gt;"",NOT(ISNUMBER($N139))),AND($O139&lt;&gt;"",NOT(ISNUMBER($O139)))),"Ressource non numérique",IF(MIN(N($K139),N($L139),N($N139),N($O139))&lt;0,"Ressource négative",IF(OR(AND($AC139&lt;&gt;"",OR(NOT(ISNUMBER($AC139)),$AC139&lt;0,$AC139&gt;1)),AND($AD139&lt;&gt;"",OR(NOT(ISNUMBER($AD139)),$AD139&lt;0,$AD139&gt;1))),"Marge spécifique invalide (0–100 %)",IF(OR(AND($P139&lt;&gt;"",NOT(ISNUMBER($P139))),AND($Q139&lt;&gt;"",NOT(ISNUMBER($Q139))),AND($R139&lt;&gt;"",NOT(ISNUMBER($R139)))),"Mois invalide",IF(AND(OR($G139="À migrer",$G139="À décommissionner"),COUNTIFS(TblClusters[Cluster],$I139,TblClusters[Plateforme],"IKS")=0),"Cluster IKS inconnu",IF(AND(OR($G139="À migrer",$G139="Migré"),COUNTIFS(TblClusters[Cluster],$J139,TblClusters[Plateforme],"ROKS")=0),"Cluster ROKS inconnu",IF(AND(OR($G139="À migrer",$G139="À décommissionner"),COUNTIFS(TblClusters[Cluster],$I139,TblClusters[Environnement],$E139)=0),"Environnement ≠ cluster IKS",IF(AND(OR($G139="À migrer",$G139="Migré"),COUNTIFS(TblClusters[Cluster],$J139,TblClusters[Environnement],$E139)=0),"Environnement ≠ cluster ROKS",IF(AND($G139="À migrer",OR($P139&gt;$Q139,$Q139&gt;$R139)),"Dates incohérentes (prov ≤ bascule ≤ libération)",IF(AND(OR($G139="À migrer",$G139="À décommissionner"),OR(N($N139)&gt;SUMIFS(TblClusters[CPU initial (vCPU)],TblClusters[Cluster],$I139),N($O139)&gt;SUMIFS(TblClusters[RAM initiale (Go)],TblClusters[Cluster],$I139))),"Libération &gt; capacité du cluster source",IF(OR(AND($V139&lt;&gt;"",$V139&lt;p_debut),AND($W139&lt;&gt;"",$W139&gt;p_fin)),"Hors horizon (info)",IF(AND($G139="À migrer",$E139="PRD",COUNTIFS(TblApplications[ID],$C139,TblApplications[Environnement],"NPRD",TblApplications[Action],"À migrer")&gt;0,$V139&lt;_xlfn.MINIFS(TblApplications[Mois prov (calc)],TblApplications[ID],$C139,TblApplications[Environnement],"NPRD")),"PRD avant NPRD (info)","OK"))))))))))))))))))))</f>
        <v/>
      </c>
      <c r="AC139" s="76"/>
      <c r="AD139" s="76"/>
      <c r="AE139" s="22" t="str">
        <f aca="false">IF(OR($C139="",NOT(OR($G139="À migrer",$G139="À décommissionner")),NOT(ISNUMBER($N139)),NOT(ISNUMBER($O139)),$W139=""),"",($N139+p_poidsram*$O139)*SUMIFS(TblCalculs[Coût par unité],TblCalculs[Cluster],$I139,TblCalculs[Mois],"&lt;"&amp;$W139))</f>
        <v/>
      </c>
      <c r="AF139" s="22" t="str">
        <f aca="false">IF($C139="","",IF(AND($G139="À migrer",$H139="Non",$T139&lt;&gt;"",$V139&lt;&gt;""),($T139+p_poidsram*$U139)*SUMIFS(TblCalculs[Coût par unité],TblCalculs[Cluster],$J139,TblCalculs[Mois],"&gt;="&amp;$V139),IF(AND($G139="Migré",$T139&lt;&gt;""),($T139+p_poidsram*$U139)*SUMIFS(TblCalculs[Coût par unité],TblCalculs[Cluster],$J139),"")))</f>
        <v/>
      </c>
      <c r="AG139" s="22" t="str">
        <f aca="false">IF($C139="","",N($AE139)+N($AF139))</f>
        <v/>
      </c>
      <c r="AH139" s="21" t="str">
        <f aca="false">IF(OR($C139="",$G139="Décommissionné",COUNTIFS($E139,av_envc,$A139,av_domc,$B139,av_tric)=0),"",COUNTIFS($C$6:$C139,"&lt;&gt;",$G$6:$G139,"&lt;&gt;Décommissionné",$E$6:$E139,av_envc,$A$6:$A139,av_domc,$B$6:$B139,av_tric))</f>
        <v/>
      </c>
      <c r="AI139" s="21" t="str">
        <f aca="false">IF($C139="","",IF(AND(OR($G139="À migrer",$G139="À décommissionner"),$W139&lt;&gt;"",$W139&gt;ex_mois),1,0))</f>
        <v/>
      </c>
      <c r="AJ139" s="21" t="str">
        <f aca="false">IF(OR($C139="",$AI139&lt;&gt;1,COUNTIFS($E139,ex_envc,$A139,ex_domc,$B139,ex_tric)=0),"",COUNTIFS($AI$6:$AI139,1,$E$6:$E139,ex_envc,$A$6:$A139,ex_domc,$B$6:$B139,ex_tric))</f>
        <v/>
      </c>
    </row>
    <row r="140" customFormat="false" ht="15" hidden="false" customHeight="false" outlineLevel="0" collapsed="false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5"/>
      <c r="Q140" s="75"/>
      <c r="R140" s="75"/>
      <c r="S140" s="74"/>
      <c r="T140" s="21" t="str">
        <f aca="false">IF(OR($C140="",NOT(OR($G140="À migrer",$G140="Migré")),NOT(ISNUMBER($K140))),"",ROUNDUP($K140*(1+IF($AC140="",p_margeCPU,$AC140)),0))</f>
        <v/>
      </c>
      <c r="U140" s="21" t="str">
        <f aca="false">IF(OR($C140="",NOT(OR($G140="À migrer",$G140="Migré")),NOT(ISNUMBER($L140))),"",ROUNDUP($L140*(1+IF($AD140="",p_margeRAM,$AD140)),0))</f>
        <v/>
      </c>
      <c r="V140" s="39" t="str">
        <f aca="false">IF(OR(NOT($G140="À migrer"),$P140=""),"",IFERROR(DATE(YEAR($P140),MONTH($P140),1),""))</f>
        <v/>
      </c>
      <c r="W140" s="39" t="str">
        <f aca="false">IF(OR(NOT(OR($G140="À migrer",$G140="À décommissionner")),$R140=""),"",IFERROR(DATE(YEAR($R140),MONTH($R140),1),""))</f>
        <v/>
      </c>
      <c r="X140" s="21" t="str">
        <f aca="false">IF(OR($V140="",$W140=""),"",MAX(0,(YEAR($W140)-YEAR($V140))*12+MONTH($W140)-MONTH($V140)))</f>
        <v/>
      </c>
      <c r="Y140" s="21" t="str">
        <f aca="false">IF($C140="","",COUNTIF(TblApplications[ID],$C140))</f>
        <v/>
      </c>
      <c r="Z140" s="39" t="str">
        <f aca="false">IF($C140="","",IFERROR(1/(1/_xlfn.MINIFS(TblApplications[Mois prov (calc)],TblApplications[ID],$C140)),""))</f>
        <v/>
      </c>
      <c r="AA140" s="39" t="str">
        <f aca="false">IF($C140="","",IFERROR(1/(1/_xlfn.MAXIFS(TblApplications[Mois lib (calc)],TblApplications[ID],$C140)),""))</f>
        <v/>
      </c>
      <c r="AB140" s="21" t="str">
        <f aca="false">IF($C140="","",IF(OR(OR($A140="",$B140="",$D140="",$E140="",$F140="",$G140=""),AND($G140="À migrer",OR($H140="",$I140="",$J140="",$K140="",$L140="",$N140="",$O140="",$P140="",$Q140="",$R140="")),AND($G140="Migré",OR($J140="",$K140="",$L140="")),AND($G140="À décommissionner",OR($I140="",$N140="",$O140="",$R140=""))),"Données manquantes (selon l’action)",IF(AND($G140&lt;&gt;"Migré",$G140&lt;&gt;"À migrer",$G140&lt;&gt;"À décommissionner",$G140&lt;&gt;"Décommissionné"),"Action invalide",IF(COUNTIF(TblDomaines[Domaine],$A140)=0,"Domaine inconnu (référentiel)",IF(COUNTIFS(TblTribes[Tribe],$B140,TblTribes[Domaine de la tribe],$A140)=0,"Tribe inconnue ou hors domaine",IF(AND($G140="À migrer",$H140&lt;&gt;"Oui",$H140&lt;&gt;"Non"),"Valeur Oui/Non invalide (Déjà incluse ROKS)",IF(AND($E140&lt;&gt;"PRD",$E140&lt;&gt;"NPRD"),"Environnement invalide",IF(COUNTIFS(TblApplications[ID],$C140,TblApplications[Environnement],$E140,TblApplications[Couloir],$F140)&gt;1,"Déploiement en doublon (ID + env + couloir)",IF(OR(AND($K140&lt;&gt;"",NOT(ISNUMBER($K140))),AND($L140&lt;&gt;"",NOT(ISNUMBER($L140))),AND($N140&lt;&gt;"",NOT(ISNUMBER($N140))),AND($O140&lt;&gt;"",NOT(ISNUMBER($O140)))),"Ressource non numérique",IF(MIN(N($K140),N($L140),N($N140),N($O140))&lt;0,"Ressource négative",IF(OR(AND($AC140&lt;&gt;"",OR(NOT(ISNUMBER($AC140)),$AC140&lt;0,$AC140&gt;1)),AND($AD140&lt;&gt;"",OR(NOT(ISNUMBER($AD140)),$AD140&lt;0,$AD140&gt;1))),"Marge spécifique invalide (0–100 %)",IF(OR(AND($P140&lt;&gt;"",NOT(ISNUMBER($P140))),AND($Q140&lt;&gt;"",NOT(ISNUMBER($Q140))),AND($R140&lt;&gt;"",NOT(ISNUMBER($R140)))),"Mois invalide",IF(AND(OR($G140="À migrer",$G140="À décommissionner"),COUNTIFS(TblClusters[Cluster],$I140,TblClusters[Plateforme],"IKS")=0),"Cluster IKS inconnu",IF(AND(OR($G140="À migrer",$G140="Migré"),COUNTIFS(TblClusters[Cluster],$J140,TblClusters[Plateforme],"ROKS")=0),"Cluster ROKS inconnu",IF(AND(OR($G140="À migrer",$G140="À décommissionner"),COUNTIFS(TblClusters[Cluster],$I140,TblClusters[Environnement],$E140)=0),"Environnement ≠ cluster IKS",IF(AND(OR($G140="À migrer",$G140="Migré"),COUNTIFS(TblClusters[Cluster],$J140,TblClusters[Environnement],$E140)=0),"Environnement ≠ cluster ROKS",IF(AND($G140="À migrer",OR($P140&gt;$Q140,$Q140&gt;$R140)),"Dates incohérentes (prov ≤ bascule ≤ libération)",IF(AND(OR($G140="À migrer",$G140="À décommissionner"),OR(N($N140)&gt;SUMIFS(TblClusters[CPU initial (vCPU)],TblClusters[Cluster],$I140),N($O140)&gt;SUMIFS(TblClusters[RAM initiale (Go)],TblClusters[Cluster],$I140))),"Libération &gt; capacité du cluster source",IF(OR(AND($V140&lt;&gt;"",$V140&lt;p_debut),AND($W140&lt;&gt;"",$W140&gt;p_fin)),"Hors horizon (info)",IF(AND($G140="À migrer",$E140="PRD",COUNTIFS(TblApplications[ID],$C140,TblApplications[Environnement],"NPRD",TblApplications[Action],"À migrer")&gt;0,$V140&lt;_xlfn.MINIFS(TblApplications[Mois prov (calc)],TblApplications[ID],$C140,TblApplications[Environnement],"NPRD")),"PRD avant NPRD (info)","OK"))))))))))))))))))))</f>
        <v/>
      </c>
      <c r="AC140" s="76"/>
      <c r="AD140" s="76"/>
      <c r="AE140" s="22" t="str">
        <f aca="false">IF(OR($C140="",NOT(OR($G140="À migrer",$G140="À décommissionner")),NOT(ISNUMBER($N140)),NOT(ISNUMBER($O140)),$W140=""),"",($N140+p_poidsram*$O140)*SUMIFS(TblCalculs[Coût par unité],TblCalculs[Cluster],$I140,TblCalculs[Mois],"&lt;"&amp;$W140))</f>
        <v/>
      </c>
      <c r="AF140" s="22" t="str">
        <f aca="false">IF($C140="","",IF(AND($G140="À migrer",$H140="Non",$T140&lt;&gt;"",$V140&lt;&gt;""),($T140+p_poidsram*$U140)*SUMIFS(TblCalculs[Coût par unité],TblCalculs[Cluster],$J140,TblCalculs[Mois],"&gt;="&amp;$V140),IF(AND($G140="Migré",$T140&lt;&gt;""),($T140+p_poidsram*$U140)*SUMIFS(TblCalculs[Coût par unité],TblCalculs[Cluster],$J140),"")))</f>
        <v/>
      </c>
      <c r="AG140" s="22" t="str">
        <f aca="false">IF($C140="","",N($AE140)+N($AF140))</f>
        <v/>
      </c>
      <c r="AH140" s="21" t="str">
        <f aca="false">IF(OR($C140="",$G140="Décommissionné",COUNTIFS($E140,av_envc,$A140,av_domc,$B140,av_tric)=0),"",COUNTIFS($C$6:$C140,"&lt;&gt;",$G$6:$G140,"&lt;&gt;Décommissionné",$E$6:$E140,av_envc,$A$6:$A140,av_domc,$B$6:$B140,av_tric))</f>
        <v/>
      </c>
      <c r="AI140" s="21" t="str">
        <f aca="false">IF($C140="","",IF(AND(OR($G140="À migrer",$G140="À décommissionner"),$W140&lt;&gt;"",$W140&gt;ex_mois),1,0))</f>
        <v/>
      </c>
      <c r="AJ140" s="21" t="str">
        <f aca="false">IF(OR($C140="",$AI140&lt;&gt;1,COUNTIFS($E140,ex_envc,$A140,ex_domc,$B140,ex_tric)=0),"",COUNTIFS($AI$6:$AI140,1,$E$6:$E140,ex_envc,$A$6:$A140,ex_domc,$B$6:$B140,ex_tric))</f>
        <v/>
      </c>
    </row>
    <row r="141" customFormat="false" ht="15" hidden="false" customHeight="false" outlineLevel="0" collapsed="false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5"/>
      <c r="Q141" s="75"/>
      <c r="R141" s="75"/>
      <c r="S141" s="74"/>
      <c r="T141" s="21" t="str">
        <f aca="false">IF(OR($C141="",NOT(OR($G141="À migrer",$G141="Migré")),NOT(ISNUMBER($K141))),"",ROUNDUP($K141*(1+IF($AC141="",p_margeCPU,$AC141)),0))</f>
        <v/>
      </c>
      <c r="U141" s="21" t="str">
        <f aca="false">IF(OR($C141="",NOT(OR($G141="À migrer",$G141="Migré")),NOT(ISNUMBER($L141))),"",ROUNDUP($L141*(1+IF($AD141="",p_margeRAM,$AD141)),0))</f>
        <v/>
      </c>
      <c r="V141" s="39" t="str">
        <f aca="false">IF(OR(NOT($G141="À migrer"),$P141=""),"",IFERROR(DATE(YEAR($P141),MONTH($P141),1),""))</f>
        <v/>
      </c>
      <c r="W141" s="39" t="str">
        <f aca="false">IF(OR(NOT(OR($G141="À migrer",$G141="À décommissionner")),$R141=""),"",IFERROR(DATE(YEAR($R141),MONTH($R141),1),""))</f>
        <v/>
      </c>
      <c r="X141" s="21" t="str">
        <f aca="false">IF(OR($V141="",$W141=""),"",MAX(0,(YEAR($W141)-YEAR($V141))*12+MONTH($W141)-MONTH($V141)))</f>
        <v/>
      </c>
      <c r="Y141" s="21" t="str">
        <f aca="false">IF($C141="","",COUNTIF(TblApplications[ID],$C141))</f>
        <v/>
      </c>
      <c r="Z141" s="39" t="str">
        <f aca="false">IF($C141="","",IFERROR(1/(1/_xlfn.MINIFS(TblApplications[Mois prov (calc)],TblApplications[ID],$C141)),""))</f>
        <v/>
      </c>
      <c r="AA141" s="39" t="str">
        <f aca="false">IF($C141="","",IFERROR(1/(1/_xlfn.MAXIFS(TblApplications[Mois lib (calc)],TblApplications[ID],$C141)),""))</f>
        <v/>
      </c>
      <c r="AB141" s="21" t="str">
        <f aca="false">IF($C141="","",IF(OR(OR($A141="",$B141="",$D141="",$E141="",$F141="",$G141=""),AND($G141="À migrer",OR($H141="",$I141="",$J141="",$K141="",$L141="",$N141="",$O141="",$P141="",$Q141="",$R141="")),AND($G141="Migré",OR($J141="",$K141="",$L141="")),AND($G141="À décommissionner",OR($I141="",$N141="",$O141="",$R141=""))),"Données manquantes (selon l’action)",IF(AND($G141&lt;&gt;"Migré",$G141&lt;&gt;"À migrer",$G141&lt;&gt;"À décommissionner",$G141&lt;&gt;"Décommissionné"),"Action invalide",IF(COUNTIF(TblDomaines[Domaine],$A141)=0,"Domaine inconnu (référentiel)",IF(COUNTIFS(TblTribes[Tribe],$B141,TblTribes[Domaine de la tribe],$A141)=0,"Tribe inconnue ou hors domaine",IF(AND($G141="À migrer",$H141&lt;&gt;"Oui",$H141&lt;&gt;"Non"),"Valeur Oui/Non invalide (Déjà incluse ROKS)",IF(AND($E141&lt;&gt;"PRD",$E141&lt;&gt;"NPRD"),"Environnement invalide",IF(COUNTIFS(TblApplications[ID],$C141,TblApplications[Environnement],$E141,TblApplications[Couloir],$F141)&gt;1,"Déploiement en doublon (ID + env + couloir)",IF(OR(AND($K141&lt;&gt;"",NOT(ISNUMBER($K141))),AND($L141&lt;&gt;"",NOT(ISNUMBER($L141))),AND($N141&lt;&gt;"",NOT(ISNUMBER($N141))),AND($O141&lt;&gt;"",NOT(ISNUMBER($O141)))),"Ressource non numérique",IF(MIN(N($K141),N($L141),N($N141),N($O141))&lt;0,"Ressource négative",IF(OR(AND($AC141&lt;&gt;"",OR(NOT(ISNUMBER($AC141)),$AC141&lt;0,$AC141&gt;1)),AND($AD141&lt;&gt;"",OR(NOT(ISNUMBER($AD141)),$AD141&lt;0,$AD141&gt;1))),"Marge spécifique invalide (0–100 %)",IF(OR(AND($P141&lt;&gt;"",NOT(ISNUMBER($P141))),AND($Q141&lt;&gt;"",NOT(ISNUMBER($Q141))),AND($R141&lt;&gt;"",NOT(ISNUMBER($R141)))),"Mois invalide",IF(AND(OR($G141="À migrer",$G141="À décommissionner"),COUNTIFS(TblClusters[Cluster],$I141,TblClusters[Plateforme],"IKS")=0),"Cluster IKS inconnu",IF(AND(OR($G141="À migrer",$G141="Migré"),COUNTIFS(TblClusters[Cluster],$J141,TblClusters[Plateforme],"ROKS")=0),"Cluster ROKS inconnu",IF(AND(OR($G141="À migrer",$G141="À décommissionner"),COUNTIFS(TblClusters[Cluster],$I141,TblClusters[Environnement],$E141)=0),"Environnement ≠ cluster IKS",IF(AND(OR($G141="À migrer",$G141="Migré"),COUNTIFS(TblClusters[Cluster],$J141,TblClusters[Environnement],$E141)=0),"Environnement ≠ cluster ROKS",IF(AND($G141="À migrer",OR($P141&gt;$Q141,$Q141&gt;$R141)),"Dates incohérentes (prov ≤ bascule ≤ libération)",IF(AND(OR($G141="À migrer",$G141="À décommissionner"),OR(N($N141)&gt;SUMIFS(TblClusters[CPU initial (vCPU)],TblClusters[Cluster],$I141),N($O141)&gt;SUMIFS(TblClusters[RAM initiale (Go)],TblClusters[Cluster],$I141))),"Libération &gt; capacité du cluster source",IF(OR(AND($V141&lt;&gt;"",$V141&lt;p_debut),AND($W141&lt;&gt;"",$W141&gt;p_fin)),"Hors horizon (info)",IF(AND($G141="À migrer",$E141="PRD",COUNTIFS(TblApplications[ID],$C141,TblApplications[Environnement],"NPRD",TblApplications[Action],"À migrer")&gt;0,$V141&lt;_xlfn.MINIFS(TblApplications[Mois prov (calc)],TblApplications[ID],$C141,TblApplications[Environnement],"NPRD")),"PRD avant NPRD (info)","OK"))))))))))))))))))))</f>
        <v/>
      </c>
      <c r="AC141" s="76"/>
      <c r="AD141" s="76"/>
      <c r="AE141" s="22" t="str">
        <f aca="false">IF(OR($C141="",NOT(OR($G141="À migrer",$G141="À décommissionner")),NOT(ISNUMBER($N141)),NOT(ISNUMBER($O141)),$W141=""),"",($N141+p_poidsram*$O141)*SUMIFS(TblCalculs[Coût par unité],TblCalculs[Cluster],$I141,TblCalculs[Mois],"&lt;"&amp;$W141))</f>
        <v/>
      </c>
      <c r="AF141" s="22" t="str">
        <f aca="false">IF($C141="","",IF(AND($G141="À migrer",$H141="Non",$T141&lt;&gt;"",$V141&lt;&gt;""),($T141+p_poidsram*$U141)*SUMIFS(TblCalculs[Coût par unité],TblCalculs[Cluster],$J141,TblCalculs[Mois],"&gt;="&amp;$V141),IF(AND($G141="Migré",$T141&lt;&gt;""),($T141+p_poidsram*$U141)*SUMIFS(TblCalculs[Coût par unité],TblCalculs[Cluster],$J141),"")))</f>
        <v/>
      </c>
      <c r="AG141" s="22" t="str">
        <f aca="false">IF($C141="","",N($AE141)+N($AF141))</f>
        <v/>
      </c>
      <c r="AH141" s="21" t="str">
        <f aca="false">IF(OR($C141="",$G141="Décommissionné",COUNTIFS($E141,av_envc,$A141,av_domc,$B141,av_tric)=0),"",COUNTIFS($C$6:$C141,"&lt;&gt;",$G$6:$G141,"&lt;&gt;Décommissionné",$E$6:$E141,av_envc,$A$6:$A141,av_domc,$B$6:$B141,av_tric))</f>
        <v/>
      </c>
      <c r="AI141" s="21" t="str">
        <f aca="false">IF($C141="","",IF(AND(OR($G141="À migrer",$G141="À décommissionner"),$W141&lt;&gt;"",$W141&gt;ex_mois),1,0))</f>
        <v/>
      </c>
      <c r="AJ141" s="21" t="str">
        <f aca="false">IF(OR($C141="",$AI141&lt;&gt;1,COUNTIFS($E141,ex_envc,$A141,ex_domc,$B141,ex_tric)=0),"",COUNTIFS($AI$6:$AI141,1,$E$6:$E141,ex_envc,$A$6:$A141,ex_domc,$B$6:$B141,ex_tric))</f>
        <v/>
      </c>
    </row>
    <row r="142" customFormat="false" ht="15" hidden="false" customHeight="false" outlineLevel="0" collapsed="false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5"/>
      <c r="Q142" s="75"/>
      <c r="R142" s="75"/>
      <c r="S142" s="74"/>
      <c r="T142" s="21" t="str">
        <f aca="false">IF(OR($C142="",NOT(OR($G142="À migrer",$G142="Migré")),NOT(ISNUMBER($K142))),"",ROUNDUP($K142*(1+IF($AC142="",p_margeCPU,$AC142)),0))</f>
        <v/>
      </c>
      <c r="U142" s="21" t="str">
        <f aca="false">IF(OR($C142="",NOT(OR($G142="À migrer",$G142="Migré")),NOT(ISNUMBER($L142))),"",ROUNDUP($L142*(1+IF($AD142="",p_margeRAM,$AD142)),0))</f>
        <v/>
      </c>
      <c r="V142" s="39" t="str">
        <f aca="false">IF(OR(NOT($G142="À migrer"),$P142=""),"",IFERROR(DATE(YEAR($P142),MONTH($P142),1),""))</f>
        <v/>
      </c>
      <c r="W142" s="39" t="str">
        <f aca="false">IF(OR(NOT(OR($G142="À migrer",$G142="À décommissionner")),$R142=""),"",IFERROR(DATE(YEAR($R142),MONTH($R142),1),""))</f>
        <v/>
      </c>
      <c r="X142" s="21" t="str">
        <f aca="false">IF(OR($V142="",$W142=""),"",MAX(0,(YEAR($W142)-YEAR($V142))*12+MONTH($W142)-MONTH($V142)))</f>
        <v/>
      </c>
      <c r="Y142" s="21" t="str">
        <f aca="false">IF($C142="","",COUNTIF(TblApplications[ID],$C142))</f>
        <v/>
      </c>
      <c r="Z142" s="39" t="str">
        <f aca="false">IF($C142="","",IFERROR(1/(1/_xlfn.MINIFS(TblApplications[Mois prov (calc)],TblApplications[ID],$C142)),""))</f>
        <v/>
      </c>
      <c r="AA142" s="39" t="str">
        <f aca="false">IF($C142="","",IFERROR(1/(1/_xlfn.MAXIFS(TblApplications[Mois lib (calc)],TblApplications[ID],$C142)),""))</f>
        <v/>
      </c>
      <c r="AB142" s="21" t="str">
        <f aca="false">IF($C142="","",IF(OR(OR($A142="",$B142="",$D142="",$E142="",$F142="",$G142=""),AND($G142="À migrer",OR($H142="",$I142="",$J142="",$K142="",$L142="",$N142="",$O142="",$P142="",$Q142="",$R142="")),AND($G142="Migré",OR($J142="",$K142="",$L142="")),AND($G142="À décommissionner",OR($I142="",$N142="",$O142="",$R142=""))),"Données manquantes (selon l’action)",IF(AND($G142&lt;&gt;"Migré",$G142&lt;&gt;"À migrer",$G142&lt;&gt;"À décommissionner",$G142&lt;&gt;"Décommissionné"),"Action invalide",IF(COUNTIF(TblDomaines[Domaine],$A142)=0,"Domaine inconnu (référentiel)",IF(COUNTIFS(TblTribes[Tribe],$B142,TblTribes[Domaine de la tribe],$A142)=0,"Tribe inconnue ou hors domaine",IF(AND($G142="À migrer",$H142&lt;&gt;"Oui",$H142&lt;&gt;"Non"),"Valeur Oui/Non invalide (Déjà incluse ROKS)",IF(AND($E142&lt;&gt;"PRD",$E142&lt;&gt;"NPRD"),"Environnement invalide",IF(COUNTIFS(TblApplications[ID],$C142,TblApplications[Environnement],$E142,TblApplications[Couloir],$F142)&gt;1,"Déploiement en doublon (ID + env + couloir)",IF(OR(AND($K142&lt;&gt;"",NOT(ISNUMBER($K142))),AND($L142&lt;&gt;"",NOT(ISNUMBER($L142))),AND($N142&lt;&gt;"",NOT(ISNUMBER($N142))),AND($O142&lt;&gt;"",NOT(ISNUMBER($O142)))),"Ressource non numérique",IF(MIN(N($K142),N($L142),N($N142),N($O142))&lt;0,"Ressource négative",IF(OR(AND($AC142&lt;&gt;"",OR(NOT(ISNUMBER($AC142)),$AC142&lt;0,$AC142&gt;1)),AND($AD142&lt;&gt;"",OR(NOT(ISNUMBER($AD142)),$AD142&lt;0,$AD142&gt;1))),"Marge spécifique invalide (0–100 %)",IF(OR(AND($P142&lt;&gt;"",NOT(ISNUMBER($P142))),AND($Q142&lt;&gt;"",NOT(ISNUMBER($Q142))),AND($R142&lt;&gt;"",NOT(ISNUMBER($R142)))),"Mois invalide",IF(AND(OR($G142="À migrer",$G142="À décommissionner"),COUNTIFS(TblClusters[Cluster],$I142,TblClusters[Plateforme],"IKS")=0),"Cluster IKS inconnu",IF(AND(OR($G142="À migrer",$G142="Migré"),COUNTIFS(TblClusters[Cluster],$J142,TblClusters[Plateforme],"ROKS")=0),"Cluster ROKS inconnu",IF(AND(OR($G142="À migrer",$G142="À décommissionner"),COUNTIFS(TblClusters[Cluster],$I142,TblClusters[Environnement],$E142)=0),"Environnement ≠ cluster IKS",IF(AND(OR($G142="À migrer",$G142="Migré"),COUNTIFS(TblClusters[Cluster],$J142,TblClusters[Environnement],$E142)=0),"Environnement ≠ cluster ROKS",IF(AND($G142="À migrer",OR($P142&gt;$Q142,$Q142&gt;$R142)),"Dates incohérentes (prov ≤ bascule ≤ libération)",IF(AND(OR($G142="À migrer",$G142="À décommissionner"),OR(N($N142)&gt;SUMIFS(TblClusters[CPU initial (vCPU)],TblClusters[Cluster],$I142),N($O142)&gt;SUMIFS(TblClusters[RAM initiale (Go)],TblClusters[Cluster],$I142))),"Libération &gt; capacité du cluster source",IF(OR(AND($V142&lt;&gt;"",$V142&lt;p_debut),AND($W142&lt;&gt;"",$W142&gt;p_fin)),"Hors horizon (info)",IF(AND($G142="À migrer",$E142="PRD",COUNTIFS(TblApplications[ID],$C142,TblApplications[Environnement],"NPRD",TblApplications[Action],"À migrer")&gt;0,$V142&lt;_xlfn.MINIFS(TblApplications[Mois prov (calc)],TblApplications[ID],$C142,TblApplications[Environnement],"NPRD")),"PRD avant NPRD (info)","OK"))))))))))))))))))))</f>
        <v/>
      </c>
      <c r="AC142" s="76"/>
      <c r="AD142" s="76"/>
      <c r="AE142" s="22" t="str">
        <f aca="false">IF(OR($C142="",NOT(OR($G142="À migrer",$G142="À décommissionner")),NOT(ISNUMBER($N142)),NOT(ISNUMBER($O142)),$W142=""),"",($N142+p_poidsram*$O142)*SUMIFS(TblCalculs[Coût par unité],TblCalculs[Cluster],$I142,TblCalculs[Mois],"&lt;"&amp;$W142))</f>
        <v/>
      </c>
      <c r="AF142" s="22" t="str">
        <f aca="false">IF($C142="","",IF(AND($G142="À migrer",$H142="Non",$T142&lt;&gt;"",$V142&lt;&gt;""),($T142+p_poidsram*$U142)*SUMIFS(TblCalculs[Coût par unité],TblCalculs[Cluster],$J142,TblCalculs[Mois],"&gt;="&amp;$V142),IF(AND($G142="Migré",$T142&lt;&gt;""),($T142+p_poidsram*$U142)*SUMIFS(TblCalculs[Coût par unité],TblCalculs[Cluster],$J142),"")))</f>
        <v/>
      </c>
      <c r="AG142" s="22" t="str">
        <f aca="false">IF($C142="","",N($AE142)+N($AF142))</f>
        <v/>
      </c>
      <c r="AH142" s="21" t="str">
        <f aca="false">IF(OR($C142="",$G142="Décommissionné",COUNTIFS($E142,av_envc,$A142,av_domc,$B142,av_tric)=0),"",COUNTIFS($C$6:$C142,"&lt;&gt;",$G$6:$G142,"&lt;&gt;Décommissionné",$E$6:$E142,av_envc,$A$6:$A142,av_domc,$B$6:$B142,av_tric))</f>
        <v/>
      </c>
      <c r="AI142" s="21" t="str">
        <f aca="false">IF($C142="","",IF(AND(OR($G142="À migrer",$G142="À décommissionner"),$W142&lt;&gt;"",$W142&gt;ex_mois),1,0))</f>
        <v/>
      </c>
      <c r="AJ142" s="21" t="str">
        <f aca="false">IF(OR($C142="",$AI142&lt;&gt;1,COUNTIFS($E142,ex_envc,$A142,ex_domc,$B142,ex_tric)=0),"",COUNTIFS($AI$6:$AI142,1,$E$6:$E142,ex_envc,$A$6:$A142,ex_domc,$B$6:$B142,ex_tric))</f>
        <v/>
      </c>
    </row>
    <row r="143" customFormat="false" ht="15" hidden="false" customHeight="false" outlineLevel="0" collapsed="false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5"/>
      <c r="Q143" s="75"/>
      <c r="R143" s="75"/>
      <c r="S143" s="74"/>
      <c r="T143" s="21" t="str">
        <f aca="false">IF(OR($C143="",NOT(OR($G143="À migrer",$G143="Migré")),NOT(ISNUMBER($K143))),"",ROUNDUP($K143*(1+IF($AC143="",p_margeCPU,$AC143)),0))</f>
        <v/>
      </c>
      <c r="U143" s="21" t="str">
        <f aca="false">IF(OR($C143="",NOT(OR($G143="À migrer",$G143="Migré")),NOT(ISNUMBER($L143))),"",ROUNDUP($L143*(1+IF($AD143="",p_margeRAM,$AD143)),0))</f>
        <v/>
      </c>
      <c r="V143" s="39" t="str">
        <f aca="false">IF(OR(NOT($G143="À migrer"),$P143=""),"",IFERROR(DATE(YEAR($P143),MONTH($P143),1),""))</f>
        <v/>
      </c>
      <c r="W143" s="39" t="str">
        <f aca="false">IF(OR(NOT(OR($G143="À migrer",$G143="À décommissionner")),$R143=""),"",IFERROR(DATE(YEAR($R143),MONTH($R143),1),""))</f>
        <v/>
      </c>
      <c r="X143" s="21" t="str">
        <f aca="false">IF(OR($V143="",$W143=""),"",MAX(0,(YEAR($W143)-YEAR($V143))*12+MONTH($W143)-MONTH($V143)))</f>
        <v/>
      </c>
      <c r="Y143" s="21" t="str">
        <f aca="false">IF($C143="","",COUNTIF(TblApplications[ID],$C143))</f>
        <v/>
      </c>
      <c r="Z143" s="39" t="str">
        <f aca="false">IF($C143="","",IFERROR(1/(1/_xlfn.MINIFS(TblApplications[Mois prov (calc)],TblApplications[ID],$C143)),""))</f>
        <v/>
      </c>
      <c r="AA143" s="39" t="str">
        <f aca="false">IF($C143="","",IFERROR(1/(1/_xlfn.MAXIFS(TblApplications[Mois lib (calc)],TblApplications[ID],$C143)),""))</f>
        <v/>
      </c>
      <c r="AB143" s="21" t="str">
        <f aca="false">IF($C143="","",IF(OR(OR($A143="",$B143="",$D143="",$E143="",$F143="",$G143=""),AND($G143="À migrer",OR($H143="",$I143="",$J143="",$K143="",$L143="",$N143="",$O143="",$P143="",$Q143="",$R143="")),AND($G143="Migré",OR($J143="",$K143="",$L143="")),AND($G143="À décommissionner",OR($I143="",$N143="",$O143="",$R143=""))),"Données manquantes (selon l’action)",IF(AND($G143&lt;&gt;"Migré",$G143&lt;&gt;"À migrer",$G143&lt;&gt;"À décommissionner",$G143&lt;&gt;"Décommissionné"),"Action invalide",IF(COUNTIF(TblDomaines[Domaine],$A143)=0,"Domaine inconnu (référentiel)",IF(COUNTIFS(TblTribes[Tribe],$B143,TblTribes[Domaine de la tribe],$A143)=0,"Tribe inconnue ou hors domaine",IF(AND($G143="À migrer",$H143&lt;&gt;"Oui",$H143&lt;&gt;"Non"),"Valeur Oui/Non invalide (Déjà incluse ROKS)",IF(AND($E143&lt;&gt;"PRD",$E143&lt;&gt;"NPRD"),"Environnement invalide",IF(COUNTIFS(TblApplications[ID],$C143,TblApplications[Environnement],$E143,TblApplications[Couloir],$F143)&gt;1,"Déploiement en doublon (ID + env + couloir)",IF(OR(AND($K143&lt;&gt;"",NOT(ISNUMBER($K143))),AND($L143&lt;&gt;"",NOT(ISNUMBER($L143))),AND($N143&lt;&gt;"",NOT(ISNUMBER($N143))),AND($O143&lt;&gt;"",NOT(ISNUMBER($O143)))),"Ressource non numérique",IF(MIN(N($K143),N($L143),N($N143),N($O143))&lt;0,"Ressource négative",IF(OR(AND($AC143&lt;&gt;"",OR(NOT(ISNUMBER($AC143)),$AC143&lt;0,$AC143&gt;1)),AND($AD143&lt;&gt;"",OR(NOT(ISNUMBER($AD143)),$AD143&lt;0,$AD143&gt;1))),"Marge spécifique invalide (0–100 %)",IF(OR(AND($P143&lt;&gt;"",NOT(ISNUMBER($P143))),AND($Q143&lt;&gt;"",NOT(ISNUMBER($Q143))),AND($R143&lt;&gt;"",NOT(ISNUMBER($R143)))),"Mois invalide",IF(AND(OR($G143="À migrer",$G143="À décommissionner"),COUNTIFS(TblClusters[Cluster],$I143,TblClusters[Plateforme],"IKS")=0),"Cluster IKS inconnu",IF(AND(OR($G143="À migrer",$G143="Migré"),COUNTIFS(TblClusters[Cluster],$J143,TblClusters[Plateforme],"ROKS")=0),"Cluster ROKS inconnu",IF(AND(OR($G143="À migrer",$G143="À décommissionner"),COUNTIFS(TblClusters[Cluster],$I143,TblClusters[Environnement],$E143)=0),"Environnement ≠ cluster IKS",IF(AND(OR($G143="À migrer",$G143="Migré"),COUNTIFS(TblClusters[Cluster],$J143,TblClusters[Environnement],$E143)=0),"Environnement ≠ cluster ROKS",IF(AND($G143="À migrer",OR($P143&gt;$Q143,$Q143&gt;$R143)),"Dates incohérentes (prov ≤ bascule ≤ libération)",IF(AND(OR($G143="À migrer",$G143="À décommissionner"),OR(N($N143)&gt;SUMIFS(TblClusters[CPU initial (vCPU)],TblClusters[Cluster],$I143),N($O143)&gt;SUMIFS(TblClusters[RAM initiale (Go)],TblClusters[Cluster],$I143))),"Libération &gt; capacité du cluster source",IF(OR(AND($V143&lt;&gt;"",$V143&lt;p_debut),AND($W143&lt;&gt;"",$W143&gt;p_fin)),"Hors horizon (info)",IF(AND($G143="À migrer",$E143="PRD",COUNTIFS(TblApplications[ID],$C143,TblApplications[Environnement],"NPRD",TblApplications[Action],"À migrer")&gt;0,$V143&lt;_xlfn.MINIFS(TblApplications[Mois prov (calc)],TblApplications[ID],$C143,TblApplications[Environnement],"NPRD")),"PRD avant NPRD (info)","OK"))))))))))))))))))))</f>
        <v/>
      </c>
      <c r="AC143" s="76"/>
      <c r="AD143" s="76"/>
      <c r="AE143" s="22" t="str">
        <f aca="false">IF(OR($C143="",NOT(OR($G143="À migrer",$G143="À décommissionner")),NOT(ISNUMBER($N143)),NOT(ISNUMBER($O143)),$W143=""),"",($N143+p_poidsram*$O143)*SUMIFS(TblCalculs[Coût par unité],TblCalculs[Cluster],$I143,TblCalculs[Mois],"&lt;"&amp;$W143))</f>
        <v/>
      </c>
      <c r="AF143" s="22" t="str">
        <f aca="false">IF($C143="","",IF(AND($G143="À migrer",$H143="Non",$T143&lt;&gt;"",$V143&lt;&gt;""),($T143+p_poidsram*$U143)*SUMIFS(TblCalculs[Coût par unité],TblCalculs[Cluster],$J143,TblCalculs[Mois],"&gt;="&amp;$V143),IF(AND($G143="Migré",$T143&lt;&gt;""),($T143+p_poidsram*$U143)*SUMIFS(TblCalculs[Coût par unité],TblCalculs[Cluster],$J143),"")))</f>
        <v/>
      </c>
      <c r="AG143" s="22" t="str">
        <f aca="false">IF($C143="","",N($AE143)+N($AF143))</f>
        <v/>
      </c>
      <c r="AH143" s="21" t="str">
        <f aca="false">IF(OR($C143="",$G143="Décommissionné",COUNTIFS($E143,av_envc,$A143,av_domc,$B143,av_tric)=0),"",COUNTIFS($C$6:$C143,"&lt;&gt;",$G$6:$G143,"&lt;&gt;Décommissionné",$E$6:$E143,av_envc,$A$6:$A143,av_domc,$B$6:$B143,av_tric))</f>
        <v/>
      </c>
      <c r="AI143" s="21" t="str">
        <f aca="false">IF($C143="","",IF(AND(OR($G143="À migrer",$G143="À décommissionner"),$W143&lt;&gt;"",$W143&gt;ex_mois),1,0))</f>
        <v/>
      </c>
      <c r="AJ143" s="21" t="str">
        <f aca="false">IF(OR($C143="",$AI143&lt;&gt;1,COUNTIFS($E143,ex_envc,$A143,ex_domc,$B143,ex_tric)=0),"",COUNTIFS($AI$6:$AI143,1,$E$6:$E143,ex_envc,$A$6:$A143,ex_domc,$B$6:$B143,ex_tric))</f>
        <v/>
      </c>
    </row>
    <row r="144" customFormat="false" ht="15" hidden="false" customHeight="false" outlineLevel="0" collapsed="false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5"/>
      <c r="Q144" s="75"/>
      <c r="R144" s="75"/>
      <c r="S144" s="74"/>
      <c r="T144" s="21" t="str">
        <f aca="false">IF(OR($C144="",NOT(OR($G144="À migrer",$G144="Migré")),NOT(ISNUMBER($K144))),"",ROUNDUP($K144*(1+IF($AC144="",p_margeCPU,$AC144)),0))</f>
        <v/>
      </c>
      <c r="U144" s="21" t="str">
        <f aca="false">IF(OR($C144="",NOT(OR($G144="À migrer",$G144="Migré")),NOT(ISNUMBER($L144))),"",ROUNDUP($L144*(1+IF($AD144="",p_margeRAM,$AD144)),0))</f>
        <v/>
      </c>
      <c r="V144" s="39" t="str">
        <f aca="false">IF(OR(NOT($G144="À migrer"),$P144=""),"",IFERROR(DATE(YEAR($P144),MONTH($P144),1),""))</f>
        <v/>
      </c>
      <c r="W144" s="39" t="str">
        <f aca="false">IF(OR(NOT(OR($G144="À migrer",$G144="À décommissionner")),$R144=""),"",IFERROR(DATE(YEAR($R144),MONTH($R144),1),""))</f>
        <v/>
      </c>
      <c r="X144" s="21" t="str">
        <f aca="false">IF(OR($V144="",$W144=""),"",MAX(0,(YEAR($W144)-YEAR($V144))*12+MONTH($W144)-MONTH($V144)))</f>
        <v/>
      </c>
      <c r="Y144" s="21" t="str">
        <f aca="false">IF($C144="","",COUNTIF(TblApplications[ID],$C144))</f>
        <v/>
      </c>
      <c r="Z144" s="39" t="str">
        <f aca="false">IF($C144="","",IFERROR(1/(1/_xlfn.MINIFS(TblApplications[Mois prov (calc)],TblApplications[ID],$C144)),""))</f>
        <v/>
      </c>
      <c r="AA144" s="39" t="str">
        <f aca="false">IF($C144="","",IFERROR(1/(1/_xlfn.MAXIFS(TblApplications[Mois lib (calc)],TblApplications[ID],$C144)),""))</f>
        <v/>
      </c>
      <c r="AB144" s="21" t="str">
        <f aca="false">IF($C144="","",IF(OR(OR($A144="",$B144="",$D144="",$E144="",$F144="",$G144=""),AND($G144="À migrer",OR($H144="",$I144="",$J144="",$K144="",$L144="",$N144="",$O144="",$P144="",$Q144="",$R144="")),AND($G144="Migré",OR($J144="",$K144="",$L144="")),AND($G144="À décommissionner",OR($I144="",$N144="",$O144="",$R144=""))),"Données manquantes (selon l’action)",IF(AND($G144&lt;&gt;"Migré",$G144&lt;&gt;"À migrer",$G144&lt;&gt;"À décommissionner",$G144&lt;&gt;"Décommissionné"),"Action invalide",IF(COUNTIF(TblDomaines[Domaine],$A144)=0,"Domaine inconnu (référentiel)",IF(COUNTIFS(TblTribes[Tribe],$B144,TblTribes[Domaine de la tribe],$A144)=0,"Tribe inconnue ou hors domaine",IF(AND($G144="À migrer",$H144&lt;&gt;"Oui",$H144&lt;&gt;"Non"),"Valeur Oui/Non invalide (Déjà incluse ROKS)",IF(AND($E144&lt;&gt;"PRD",$E144&lt;&gt;"NPRD"),"Environnement invalide",IF(COUNTIFS(TblApplications[ID],$C144,TblApplications[Environnement],$E144,TblApplications[Couloir],$F144)&gt;1,"Déploiement en doublon (ID + env + couloir)",IF(OR(AND($K144&lt;&gt;"",NOT(ISNUMBER($K144))),AND($L144&lt;&gt;"",NOT(ISNUMBER($L144))),AND($N144&lt;&gt;"",NOT(ISNUMBER($N144))),AND($O144&lt;&gt;"",NOT(ISNUMBER($O144)))),"Ressource non numérique",IF(MIN(N($K144),N($L144),N($N144),N($O144))&lt;0,"Ressource négative",IF(OR(AND($AC144&lt;&gt;"",OR(NOT(ISNUMBER($AC144)),$AC144&lt;0,$AC144&gt;1)),AND($AD144&lt;&gt;"",OR(NOT(ISNUMBER($AD144)),$AD144&lt;0,$AD144&gt;1))),"Marge spécifique invalide (0–100 %)",IF(OR(AND($P144&lt;&gt;"",NOT(ISNUMBER($P144))),AND($Q144&lt;&gt;"",NOT(ISNUMBER($Q144))),AND($R144&lt;&gt;"",NOT(ISNUMBER($R144)))),"Mois invalide",IF(AND(OR($G144="À migrer",$G144="À décommissionner"),COUNTIFS(TblClusters[Cluster],$I144,TblClusters[Plateforme],"IKS")=0),"Cluster IKS inconnu",IF(AND(OR($G144="À migrer",$G144="Migré"),COUNTIFS(TblClusters[Cluster],$J144,TblClusters[Plateforme],"ROKS")=0),"Cluster ROKS inconnu",IF(AND(OR($G144="À migrer",$G144="À décommissionner"),COUNTIFS(TblClusters[Cluster],$I144,TblClusters[Environnement],$E144)=0),"Environnement ≠ cluster IKS",IF(AND(OR($G144="À migrer",$G144="Migré"),COUNTIFS(TblClusters[Cluster],$J144,TblClusters[Environnement],$E144)=0),"Environnement ≠ cluster ROKS",IF(AND($G144="À migrer",OR($P144&gt;$Q144,$Q144&gt;$R144)),"Dates incohérentes (prov ≤ bascule ≤ libération)",IF(AND(OR($G144="À migrer",$G144="À décommissionner"),OR(N($N144)&gt;SUMIFS(TblClusters[CPU initial (vCPU)],TblClusters[Cluster],$I144),N($O144)&gt;SUMIFS(TblClusters[RAM initiale (Go)],TblClusters[Cluster],$I144))),"Libération &gt; capacité du cluster source",IF(OR(AND($V144&lt;&gt;"",$V144&lt;p_debut),AND($W144&lt;&gt;"",$W144&gt;p_fin)),"Hors horizon (info)",IF(AND($G144="À migrer",$E144="PRD",COUNTIFS(TblApplications[ID],$C144,TblApplications[Environnement],"NPRD",TblApplications[Action],"À migrer")&gt;0,$V144&lt;_xlfn.MINIFS(TblApplications[Mois prov (calc)],TblApplications[ID],$C144,TblApplications[Environnement],"NPRD")),"PRD avant NPRD (info)","OK"))))))))))))))))))))</f>
        <v/>
      </c>
      <c r="AC144" s="76"/>
      <c r="AD144" s="76"/>
      <c r="AE144" s="22" t="str">
        <f aca="false">IF(OR($C144="",NOT(OR($G144="À migrer",$G144="À décommissionner")),NOT(ISNUMBER($N144)),NOT(ISNUMBER($O144)),$W144=""),"",($N144+p_poidsram*$O144)*SUMIFS(TblCalculs[Coût par unité],TblCalculs[Cluster],$I144,TblCalculs[Mois],"&lt;"&amp;$W144))</f>
        <v/>
      </c>
      <c r="AF144" s="22" t="str">
        <f aca="false">IF($C144="","",IF(AND($G144="À migrer",$H144="Non",$T144&lt;&gt;"",$V144&lt;&gt;""),($T144+p_poidsram*$U144)*SUMIFS(TblCalculs[Coût par unité],TblCalculs[Cluster],$J144,TblCalculs[Mois],"&gt;="&amp;$V144),IF(AND($G144="Migré",$T144&lt;&gt;""),($T144+p_poidsram*$U144)*SUMIFS(TblCalculs[Coût par unité],TblCalculs[Cluster],$J144),"")))</f>
        <v/>
      </c>
      <c r="AG144" s="22" t="str">
        <f aca="false">IF($C144="","",N($AE144)+N($AF144))</f>
        <v/>
      </c>
      <c r="AH144" s="21" t="str">
        <f aca="false">IF(OR($C144="",$G144="Décommissionné",COUNTIFS($E144,av_envc,$A144,av_domc,$B144,av_tric)=0),"",COUNTIFS($C$6:$C144,"&lt;&gt;",$G$6:$G144,"&lt;&gt;Décommissionné",$E$6:$E144,av_envc,$A$6:$A144,av_domc,$B$6:$B144,av_tric))</f>
        <v/>
      </c>
      <c r="AI144" s="21" t="str">
        <f aca="false">IF($C144="","",IF(AND(OR($G144="À migrer",$G144="À décommissionner"),$W144&lt;&gt;"",$W144&gt;ex_mois),1,0))</f>
        <v/>
      </c>
      <c r="AJ144" s="21" t="str">
        <f aca="false">IF(OR($C144="",$AI144&lt;&gt;1,COUNTIFS($E144,ex_envc,$A144,ex_domc,$B144,ex_tric)=0),"",COUNTIFS($AI$6:$AI144,1,$E$6:$E144,ex_envc,$A$6:$A144,ex_domc,$B$6:$B144,ex_tric))</f>
        <v/>
      </c>
    </row>
    <row r="145" customFormat="false" ht="15" hidden="false" customHeight="false" outlineLevel="0" collapsed="false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5"/>
      <c r="Q145" s="75"/>
      <c r="R145" s="75"/>
      <c r="S145" s="74"/>
      <c r="T145" s="21" t="str">
        <f aca="false">IF(OR($C145="",NOT(OR($G145="À migrer",$G145="Migré")),NOT(ISNUMBER($K145))),"",ROUNDUP($K145*(1+IF($AC145="",p_margeCPU,$AC145)),0))</f>
        <v/>
      </c>
      <c r="U145" s="21" t="str">
        <f aca="false">IF(OR($C145="",NOT(OR($G145="À migrer",$G145="Migré")),NOT(ISNUMBER($L145))),"",ROUNDUP($L145*(1+IF($AD145="",p_margeRAM,$AD145)),0))</f>
        <v/>
      </c>
      <c r="V145" s="39" t="str">
        <f aca="false">IF(OR(NOT($G145="À migrer"),$P145=""),"",IFERROR(DATE(YEAR($P145),MONTH($P145),1),""))</f>
        <v/>
      </c>
      <c r="W145" s="39" t="str">
        <f aca="false">IF(OR(NOT(OR($G145="À migrer",$G145="À décommissionner")),$R145=""),"",IFERROR(DATE(YEAR($R145),MONTH($R145),1),""))</f>
        <v/>
      </c>
      <c r="X145" s="21" t="str">
        <f aca="false">IF(OR($V145="",$W145=""),"",MAX(0,(YEAR($W145)-YEAR($V145))*12+MONTH($W145)-MONTH($V145)))</f>
        <v/>
      </c>
      <c r="Y145" s="21" t="str">
        <f aca="false">IF($C145="","",COUNTIF(TblApplications[ID],$C145))</f>
        <v/>
      </c>
      <c r="Z145" s="39" t="str">
        <f aca="false">IF($C145="","",IFERROR(1/(1/_xlfn.MINIFS(TblApplications[Mois prov (calc)],TblApplications[ID],$C145)),""))</f>
        <v/>
      </c>
      <c r="AA145" s="39" t="str">
        <f aca="false">IF($C145="","",IFERROR(1/(1/_xlfn.MAXIFS(TblApplications[Mois lib (calc)],TblApplications[ID],$C145)),""))</f>
        <v/>
      </c>
      <c r="AB145" s="21" t="str">
        <f aca="false">IF($C145="","",IF(OR(OR($A145="",$B145="",$D145="",$E145="",$F145="",$G145=""),AND($G145="À migrer",OR($H145="",$I145="",$J145="",$K145="",$L145="",$N145="",$O145="",$P145="",$Q145="",$R145="")),AND($G145="Migré",OR($J145="",$K145="",$L145="")),AND($G145="À décommissionner",OR($I145="",$N145="",$O145="",$R145=""))),"Données manquantes (selon l’action)",IF(AND($G145&lt;&gt;"Migré",$G145&lt;&gt;"À migrer",$G145&lt;&gt;"À décommissionner",$G145&lt;&gt;"Décommissionné"),"Action invalide",IF(COUNTIF(TblDomaines[Domaine],$A145)=0,"Domaine inconnu (référentiel)",IF(COUNTIFS(TblTribes[Tribe],$B145,TblTribes[Domaine de la tribe],$A145)=0,"Tribe inconnue ou hors domaine",IF(AND($G145="À migrer",$H145&lt;&gt;"Oui",$H145&lt;&gt;"Non"),"Valeur Oui/Non invalide (Déjà incluse ROKS)",IF(AND($E145&lt;&gt;"PRD",$E145&lt;&gt;"NPRD"),"Environnement invalide",IF(COUNTIFS(TblApplications[ID],$C145,TblApplications[Environnement],$E145,TblApplications[Couloir],$F145)&gt;1,"Déploiement en doublon (ID + env + couloir)",IF(OR(AND($K145&lt;&gt;"",NOT(ISNUMBER($K145))),AND($L145&lt;&gt;"",NOT(ISNUMBER($L145))),AND($N145&lt;&gt;"",NOT(ISNUMBER($N145))),AND($O145&lt;&gt;"",NOT(ISNUMBER($O145)))),"Ressource non numérique",IF(MIN(N($K145),N($L145),N($N145),N($O145))&lt;0,"Ressource négative",IF(OR(AND($AC145&lt;&gt;"",OR(NOT(ISNUMBER($AC145)),$AC145&lt;0,$AC145&gt;1)),AND($AD145&lt;&gt;"",OR(NOT(ISNUMBER($AD145)),$AD145&lt;0,$AD145&gt;1))),"Marge spécifique invalide (0–100 %)",IF(OR(AND($P145&lt;&gt;"",NOT(ISNUMBER($P145))),AND($Q145&lt;&gt;"",NOT(ISNUMBER($Q145))),AND($R145&lt;&gt;"",NOT(ISNUMBER($R145)))),"Mois invalide",IF(AND(OR($G145="À migrer",$G145="À décommissionner"),COUNTIFS(TblClusters[Cluster],$I145,TblClusters[Plateforme],"IKS")=0),"Cluster IKS inconnu",IF(AND(OR($G145="À migrer",$G145="Migré"),COUNTIFS(TblClusters[Cluster],$J145,TblClusters[Plateforme],"ROKS")=0),"Cluster ROKS inconnu",IF(AND(OR($G145="À migrer",$G145="À décommissionner"),COUNTIFS(TblClusters[Cluster],$I145,TblClusters[Environnement],$E145)=0),"Environnement ≠ cluster IKS",IF(AND(OR($G145="À migrer",$G145="Migré"),COUNTIFS(TblClusters[Cluster],$J145,TblClusters[Environnement],$E145)=0),"Environnement ≠ cluster ROKS",IF(AND($G145="À migrer",OR($P145&gt;$Q145,$Q145&gt;$R145)),"Dates incohérentes (prov ≤ bascule ≤ libération)",IF(AND(OR($G145="À migrer",$G145="À décommissionner"),OR(N($N145)&gt;SUMIFS(TblClusters[CPU initial (vCPU)],TblClusters[Cluster],$I145),N($O145)&gt;SUMIFS(TblClusters[RAM initiale (Go)],TblClusters[Cluster],$I145))),"Libération &gt; capacité du cluster source",IF(OR(AND($V145&lt;&gt;"",$V145&lt;p_debut),AND($W145&lt;&gt;"",$W145&gt;p_fin)),"Hors horizon (info)",IF(AND($G145="À migrer",$E145="PRD",COUNTIFS(TblApplications[ID],$C145,TblApplications[Environnement],"NPRD",TblApplications[Action],"À migrer")&gt;0,$V145&lt;_xlfn.MINIFS(TblApplications[Mois prov (calc)],TblApplications[ID],$C145,TblApplications[Environnement],"NPRD")),"PRD avant NPRD (info)","OK"))))))))))))))))))))</f>
        <v/>
      </c>
      <c r="AC145" s="76"/>
      <c r="AD145" s="76"/>
      <c r="AE145" s="22" t="str">
        <f aca="false">IF(OR($C145="",NOT(OR($G145="À migrer",$G145="À décommissionner")),NOT(ISNUMBER($N145)),NOT(ISNUMBER($O145)),$W145=""),"",($N145+p_poidsram*$O145)*SUMIFS(TblCalculs[Coût par unité],TblCalculs[Cluster],$I145,TblCalculs[Mois],"&lt;"&amp;$W145))</f>
        <v/>
      </c>
      <c r="AF145" s="22" t="str">
        <f aca="false">IF($C145="","",IF(AND($G145="À migrer",$H145="Non",$T145&lt;&gt;"",$V145&lt;&gt;""),($T145+p_poidsram*$U145)*SUMIFS(TblCalculs[Coût par unité],TblCalculs[Cluster],$J145,TblCalculs[Mois],"&gt;="&amp;$V145),IF(AND($G145="Migré",$T145&lt;&gt;""),($T145+p_poidsram*$U145)*SUMIFS(TblCalculs[Coût par unité],TblCalculs[Cluster],$J145),"")))</f>
        <v/>
      </c>
      <c r="AG145" s="22" t="str">
        <f aca="false">IF($C145="","",N($AE145)+N($AF145))</f>
        <v/>
      </c>
      <c r="AH145" s="21" t="str">
        <f aca="false">IF(OR($C145="",$G145="Décommissionné",COUNTIFS($E145,av_envc,$A145,av_domc,$B145,av_tric)=0),"",COUNTIFS($C$6:$C145,"&lt;&gt;",$G$6:$G145,"&lt;&gt;Décommissionné",$E$6:$E145,av_envc,$A$6:$A145,av_domc,$B$6:$B145,av_tric))</f>
        <v/>
      </c>
      <c r="AI145" s="21" t="str">
        <f aca="false">IF($C145="","",IF(AND(OR($G145="À migrer",$G145="À décommissionner"),$W145&lt;&gt;"",$W145&gt;ex_mois),1,0))</f>
        <v/>
      </c>
      <c r="AJ145" s="21" t="str">
        <f aca="false">IF(OR($C145="",$AI145&lt;&gt;1,COUNTIFS($E145,ex_envc,$A145,ex_domc,$B145,ex_tric)=0),"",COUNTIFS($AI$6:$AI145,1,$E$6:$E145,ex_envc,$A$6:$A145,ex_domc,$B$6:$B145,ex_tric))</f>
        <v/>
      </c>
    </row>
    <row r="146" customFormat="false" ht="15" hidden="false" customHeight="false" outlineLevel="0" collapsed="false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5"/>
      <c r="Q146" s="75"/>
      <c r="R146" s="75"/>
      <c r="S146" s="74"/>
      <c r="T146" s="21" t="str">
        <f aca="false">IF(OR($C146="",NOT(OR($G146="À migrer",$G146="Migré")),NOT(ISNUMBER($K146))),"",ROUNDUP($K146*(1+IF($AC146="",p_margeCPU,$AC146)),0))</f>
        <v/>
      </c>
      <c r="U146" s="21" t="str">
        <f aca="false">IF(OR($C146="",NOT(OR($G146="À migrer",$G146="Migré")),NOT(ISNUMBER($L146))),"",ROUNDUP($L146*(1+IF($AD146="",p_margeRAM,$AD146)),0))</f>
        <v/>
      </c>
      <c r="V146" s="39" t="str">
        <f aca="false">IF(OR(NOT($G146="À migrer"),$P146=""),"",IFERROR(DATE(YEAR($P146),MONTH($P146),1),""))</f>
        <v/>
      </c>
      <c r="W146" s="39" t="str">
        <f aca="false">IF(OR(NOT(OR($G146="À migrer",$G146="À décommissionner")),$R146=""),"",IFERROR(DATE(YEAR($R146),MONTH($R146),1),""))</f>
        <v/>
      </c>
      <c r="X146" s="21" t="str">
        <f aca="false">IF(OR($V146="",$W146=""),"",MAX(0,(YEAR($W146)-YEAR($V146))*12+MONTH($W146)-MONTH($V146)))</f>
        <v/>
      </c>
      <c r="Y146" s="21" t="str">
        <f aca="false">IF($C146="","",COUNTIF(TblApplications[ID],$C146))</f>
        <v/>
      </c>
      <c r="Z146" s="39" t="str">
        <f aca="false">IF($C146="","",IFERROR(1/(1/_xlfn.MINIFS(TblApplications[Mois prov (calc)],TblApplications[ID],$C146)),""))</f>
        <v/>
      </c>
      <c r="AA146" s="39" t="str">
        <f aca="false">IF($C146="","",IFERROR(1/(1/_xlfn.MAXIFS(TblApplications[Mois lib (calc)],TblApplications[ID],$C146)),""))</f>
        <v/>
      </c>
      <c r="AB146" s="21" t="str">
        <f aca="false">IF($C146="","",IF(OR(OR($A146="",$B146="",$D146="",$E146="",$F146="",$G146=""),AND($G146="À migrer",OR($H146="",$I146="",$J146="",$K146="",$L146="",$N146="",$O146="",$P146="",$Q146="",$R146="")),AND($G146="Migré",OR($J146="",$K146="",$L146="")),AND($G146="À décommissionner",OR($I146="",$N146="",$O146="",$R146=""))),"Données manquantes (selon l’action)",IF(AND($G146&lt;&gt;"Migré",$G146&lt;&gt;"À migrer",$G146&lt;&gt;"À décommissionner",$G146&lt;&gt;"Décommissionné"),"Action invalide",IF(COUNTIF(TblDomaines[Domaine],$A146)=0,"Domaine inconnu (référentiel)",IF(COUNTIFS(TblTribes[Tribe],$B146,TblTribes[Domaine de la tribe],$A146)=0,"Tribe inconnue ou hors domaine",IF(AND($G146="À migrer",$H146&lt;&gt;"Oui",$H146&lt;&gt;"Non"),"Valeur Oui/Non invalide (Déjà incluse ROKS)",IF(AND($E146&lt;&gt;"PRD",$E146&lt;&gt;"NPRD"),"Environnement invalide",IF(COUNTIFS(TblApplications[ID],$C146,TblApplications[Environnement],$E146,TblApplications[Couloir],$F146)&gt;1,"Déploiement en doublon (ID + env + couloir)",IF(OR(AND($K146&lt;&gt;"",NOT(ISNUMBER($K146))),AND($L146&lt;&gt;"",NOT(ISNUMBER($L146))),AND($N146&lt;&gt;"",NOT(ISNUMBER($N146))),AND($O146&lt;&gt;"",NOT(ISNUMBER($O146)))),"Ressource non numérique",IF(MIN(N($K146),N($L146),N($N146),N($O146))&lt;0,"Ressource négative",IF(OR(AND($AC146&lt;&gt;"",OR(NOT(ISNUMBER($AC146)),$AC146&lt;0,$AC146&gt;1)),AND($AD146&lt;&gt;"",OR(NOT(ISNUMBER($AD146)),$AD146&lt;0,$AD146&gt;1))),"Marge spécifique invalide (0–100 %)",IF(OR(AND($P146&lt;&gt;"",NOT(ISNUMBER($P146))),AND($Q146&lt;&gt;"",NOT(ISNUMBER($Q146))),AND($R146&lt;&gt;"",NOT(ISNUMBER($R146)))),"Mois invalide",IF(AND(OR($G146="À migrer",$G146="À décommissionner"),COUNTIFS(TblClusters[Cluster],$I146,TblClusters[Plateforme],"IKS")=0),"Cluster IKS inconnu",IF(AND(OR($G146="À migrer",$G146="Migré"),COUNTIFS(TblClusters[Cluster],$J146,TblClusters[Plateforme],"ROKS")=0),"Cluster ROKS inconnu",IF(AND(OR($G146="À migrer",$G146="À décommissionner"),COUNTIFS(TblClusters[Cluster],$I146,TblClusters[Environnement],$E146)=0),"Environnement ≠ cluster IKS",IF(AND(OR($G146="À migrer",$G146="Migré"),COUNTIFS(TblClusters[Cluster],$J146,TblClusters[Environnement],$E146)=0),"Environnement ≠ cluster ROKS",IF(AND($G146="À migrer",OR($P146&gt;$Q146,$Q146&gt;$R146)),"Dates incohérentes (prov ≤ bascule ≤ libération)",IF(AND(OR($G146="À migrer",$G146="À décommissionner"),OR(N($N146)&gt;SUMIFS(TblClusters[CPU initial (vCPU)],TblClusters[Cluster],$I146),N($O146)&gt;SUMIFS(TblClusters[RAM initiale (Go)],TblClusters[Cluster],$I146))),"Libération &gt; capacité du cluster source",IF(OR(AND($V146&lt;&gt;"",$V146&lt;p_debut),AND($W146&lt;&gt;"",$W146&gt;p_fin)),"Hors horizon (info)",IF(AND($G146="À migrer",$E146="PRD",COUNTIFS(TblApplications[ID],$C146,TblApplications[Environnement],"NPRD",TblApplications[Action],"À migrer")&gt;0,$V146&lt;_xlfn.MINIFS(TblApplications[Mois prov (calc)],TblApplications[ID],$C146,TblApplications[Environnement],"NPRD")),"PRD avant NPRD (info)","OK"))))))))))))))))))))</f>
        <v/>
      </c>
      <c r="AC146" s="76"/>
      <c r="AD146" s="76"/>
      <c r="AE146" s="22" t="str">
        <f aca="false">IF(OR($C146="",NOT(OR($G146="À migrer",$G146="À décommissionner")),NOT(ISNUMBER($N146)),NOT(ISNUMBER($O146)),$W146=""),"",($N146+p_poidsram*$O146)*SUMIFS(TblCalculs[Coût par unité],TblCalculs[Cluster],$I146,TblCalculs[Mois],"&lt;"&amp;$W146))</f>
        <v/>
      </c>
      <c r="AF146" s="22" t="str">
        <f aca="false">IF($C146="","",IF(AND($G146="À migrer",$H146="Non",$T146&lt;&gt;"",$V146&lt;&gt;""),($T146+p_poidsram*$U146)*SUMIFS(TblCalculs[Coût par unité],TblCalculs[Cluster],$J146,TblCalculs[Mois],"&gt;="&amp;$V146),IF(AND($G146="Migré",$T146&lt;&gt;""),($T146+p_poidsram*$U146)*SUMIFS(TblCalculs[Coût par unité],TblCalculs[Cluster],$J146),"")))</f>
        <v/>
      </c>
      <c r="AG146" s="22" t="str">
        <f aca="false">IF($C146="","",N($AE146)+N($AF146))</f>
        <v/>
      </c>
      <c r="AH146" s="21" t="str">
        <f aca="false">IF(OR($C146="",$G146="Décommissionné",COUNTIFS($E146,av_envc,$A146,av_domc,$B146,av_tric)=0),"",COUNTIFS($C$6:$C146,"&lt;&gt;",$G$6:$G146,"&lt;&gt;Décommissionné",$E$6:$E146,av_envc,$A$6:$A146,av_domc,$B$6:$B146,av_tric))</f>
        <v/>
      </c>
      <c r="AI146" s="21" t="str">
        <f aca="false">IF($C146="","",IF(AND(OR($G146="À migrer",$G146="À décommissionner"),$W146&lt;&gt;"",$W146&gt;ex_mois),1,0))</f>
        <v/>
      </c>
      <c r="AJ146" s="21" t="str">
        <f aca="false">IF(OR($C146="",$AI146&lt;&gt;1,COUNTIFS($E146,ex_envc,$A146,ex_domc,$B146,ex_tric)=0),"",COUNTIFS($AI$6:$AI146,1,$E$6:$E146,ex_envc,$A$6:$A146,ex_domc,$B$6:$B146,ex_tric))</f>
        <v/>
      </c>
    </row>
    <row r="147" customFormat="false" ht="15" hidden="false" customHeight="false" outlineLevel="0" collapsed="false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5"/>
      <c r="Q147" s="75"/>
      <c r="R147" s="75"/>
      <c r="S147" s="74"/>
      <c r="T147" s="21" t="str">
        <f aca="false">IF(OR($C147="",NOT(OR($G147="À migrer",$G147="Migré")),NOT(ISNUMBER($K147))),"",ROUNDUP($K147*(1+IF($AC147="",p_margeCPU,$AC147)),0))</f>
        <v/>
      </c>
      <c r="U147" s="21" t="str">
        <f aca="false">IF(OR($C147="",NOT(OR($G147="À migrer",$G147="Migré")),NOT(ISNUMBER($L147))),"",ROUNDUP($L147*(1+IF($AD147="",p_margeRAM,$AD147)),0))</f>
        <v/>
      </c>
      <c r="V147" s="39" t="str">
        <f aca="false">IF(OR(NOT($G147="À migrer"),$P147=""),"",IFERROR(DATE(YEAR($P147),MONTH($P147),1),""))</f>
        <v/>
      </c>
      <c r="W147" s="39" t="str">
        <f aca="false">IF(OR(NOT(OR($G147="À migrer",$G147="À décommissionner")),$R147=""),"",IFERROR(DATE(YEAR($R147),MONTH($R147),1),""))</f>
        <v/>
      </c>
      <c r="X147" s="21" t="str">
        <f aca="false">IF(OR($V147="",$W147=""),"",MAX(0,(YEAR($W147)-YEAR($V147))*12+MONTH($W147)-MONTH($V147)))</f>
        <v/>
      </c>
      <c r="Y147" s="21" t="str">
        <f aca="false">IF($C147="","",COUNTIF(TblApplications[ID],$C147))</f>
        <v/>
      </c>
      <c r="Z147" s="39" t="str">
        <f aca="false">IF($C147="","",IFERROR(1/(1/_xlfn.MINIFS(TblApplications[Mois prov (calc)],TblApplications[ID],$C147)),""))</f>
        <v/>
      </c>
      <c r="AA147" s="39" t="str">
        <f aca="false">IF($C147="","",IFERROR(1/(1/_xlfn.MAXIFS(TblApplications[Mois lib (calc)],TblApplications[ID],$C147)),""))</f>
        <v/>
      </c>
      <c r="AB147" s="21" t="str">
        <f aca="false">IF($C147="","",IF(OR(OR($A147="",$B147="",$D147="",$E147="",$F147="",$G147=""),AND($G147="À migrer",OR($H147="",$I147="",$J147="",$K147="",$L147="",$N147="",$O147="",$P147="",$Q147="",$R147="")),AND($G147="Migré",OR($J147="",$K147="",$L147="")),AND($G147="À décommissionner",OR($I147="",$N147="",$O147="",$R147=""))),"Données manquantes (selon l’action)",IF(AND($G147&lt;&gt;"Migré",$G147&lt;&gt;"À migrer",$G147&lt;&gt;"À décommissionner",$G147&lt;&gt;"Décommissionné"),"Action invalide",IF(COUNTIF(TblDomaines[Domaine],$A147)=0,"Domaine inconnu (référentiel)",IF(COUNTIFS(TblTribes[Tribe],$B147,TblTribes[Domaine de la tribe],$A147)=0,"Tribe inconnue ou hors domaine",IF(AND($G147="À migrer",$H147&lt;&gt;"Oui",$H147&lt;&gt;"Non"),"Valeur Oui/Non invalide (Déjà incluse ROKS)",IF(AND($E147&lt;&gt;"PRD",$E147&lt;&gt;"NPRD"),"Environnement invalide",IF(COUNTIFS(TblApplications[ID],$C147,TblApplications[Environnement],$E147,TblApplications[Couloir],$F147)&gt;1,"Déploiement en doublon (ID + env + couloir)",IF(OR(AND($K147&lt;&gt;"",NOT(ISNUMBER($K147))),AND($L147&lt;&gt;"",NOT(ISNUMBER($L147))),AND($N147&lt;&gt;"",NOT(ISNUMBER($N147))),AND($O147&lt;&gt;"",NOT(ISNUMBER($O147)))),"Ressource non numérique",IF(MIN(N($K147),N($L147),N($N147),N($O147))&lt;0,"Ressource négative",IF(OR(AND($AC147&lt;&gt;"",OR(NOT(ISNUMBER($AC147)),$AC147&lt;0,$AC147&gt;1)),AND($AD147&lt;&gt;"",OR(NOT(ISNUMBER($AD147)),$AD147&lt;0,$AD147&gt;1))),"Marge spécifique invalide (0–100 %)",IF(OR(AND($P147&lt;&gt;"",NOT(ISNUMBER($P147))),AND($Q147&lt;&gt;"",NOT(ISNUMBER($Q147))),AND($R147&lt;&gt;"",NOT(ISNUMBER($R147)))),"Mois invalide",IF(AND(OR($G147="À migrer",$G147="À décommissionner"),COUNTIFS(TblClusters[Cluster],$I147,TblClusters[Plateforme],"IKS")=0),"Cluster IKS inconnu",IF(AND(OR($G147="À migrer",$G147="Migré"),COUNTIFS(TblClusters[Cluster],$J147,TblClusters[Plateforme],"ROKS")=0),"Cluster ROKS inconnu",IF(AND(OR($G147="À migrer",$G147="À décommissionner"),COUNTIFS(TblClusters[Cluster],$I147,TblClusters[Environnement],$E147)=0),"Environnement ≠ cluster IKS",IF(AND(OR($G147="À migrer",$G147="Migré"),COUNTIFS(TblClusters[Cluster],$J147,TblClusters[Environnement],$E147)=0),"Environnement ≠ cluster ROKS",IF(AND($G147="À migrer",OR($P147&gt;$Q147,$Q147&gt;$R147)),"Dates incohérentes (prov ≤ bascule ≤ libération)",IF(AND(OR($G147="À migrer",$G147="À décommissionner"),OR(N($N147)&gt;SUMIFS(TblClusters[CPU initial (vCPU)],TblClusters[Cluster],$I147),N($O147)&gt;SUMIFS(TblClusters[RAM initiale (Go)],TblClusters[Cluster],$I147))),"Libération &gt; capacité du cluster source",IF(OR(AND($V147&lt;&gt;"",$V147&lt;p_debut),AND($W147&lt;&gt;"",$W147&gt;p_fin)),"Hors horizon (info)",IF(AND($G147="À migrer",$E147="PRD",COUNTIFS(TblApplications[ID],$C147,TblApplications[Environnement],"NPRD",TblApplications[Action],"À migrer")&gt;0,$V147&lt;_xlfn.MINIFS(TblApplications[Mois prov (calc)],TblApplications[ID],$C147,TblApplications[Environnement],"NPRD")),"PRD avant NPRD (info)","OK"))))))))))))))))))))</f>
        <v/>
      </c>
      <c r="AC147" s="76"/>
      <c r="AD147" s="76"/>
      <c r="AE147" s="22" t="str">
        <f aca="false">IF(OR($C147="",NOT(OR($G147="À migrer",$G147="À décommissionner")),NOT(ISNUMBER($N147)),NOT(ISNUMBER($O147)),$W147=""),"",($N147+p_poidsram*$O147)*SUMIFS(TblCalculs[Coût par unité],TblCalculs[Cluster],$I147,TblCalculs[Mois],"&lt;"&amp;$W147))</f>
        <v/>
      </c>
      <c r="AF147" s="22" t="str">
        <f aca="false">IF($C147="","",IF(AND($G147="À migrer",$H147="Non",$T147&lt;&gt;"",$V147&lt;&gt;""),($T147+p_poidsram*$U147)*SUMIFS(TblCalculs[Coût par unité],TblCalculs[Cluster],$J147,TblCalculs[Mois],"&gt;="&amp;$V147),IF(AND($G147="Migré",$T147&lt;&gt;""),($T147+p_poidsram*$U147)*SUMIFS(TblCalculs[Coût par unité],TblCalculs[Cluster],$J147),"")))</f>
        <v/>
      </c>
      <c r="AG147" s="22" t="str">
        <f aca="false">IF($C147="","",N($AE147)+N($AF147))</f>
        <v/>
      </c>
      <c r="AH147" s="21" t="str">
        <f aca="false">IF(OR($C147="",$G147="Décommissionné",COUNTIFS($E147,av_envc,$A147,av_domc,$B147,av_tric)=0),"",COUNTIFS($C$6:$C147,"&lt;&gt;",$G$6:$G147,"&lt;&gt;Décommissionné",$E$6:$E147,av_envc,$A$6:$A147,av_domc,$B$6:$B147,av_tric))</f>
        <v/>
      </c>
      <c r="AI147" s="21" t="str">
        <f aca="false">IF($C147="","",IF(AND(OR($G147="À migrer",$G147="À décommissionner"),$W147&lt;&gt;"",$W147&gt;ex_mois),1,0))</f>
        <v/>
      </c>
      <c r="AJ147" s="21" t="str">
        <f aca="false">IF(OR($C147="",$AI147&lt;&gt;1,COUNTIFS($E147,ex_envc,$A147,ex_domc,$B147,ex_tric)=0),"",COUNTIFS($AI$6:$AI147,1,$E$6:$E147,ex_envc,$A$6:$A147,ex_domc,$B$6:$B147,ex_tric))</f>
        <v/>
      </c>
    </row>
    <row r="148" customFormat="false" ht="15" hidden="false" customHeight="false" outlineLevel="0" collapsed="false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5"/>
      <c r="Q148" s="75"/>
      <c r="R148" s="75"/>
      <c r="S148" s="74"/>
      <c r="T148" s="21" t="str">
        <f aca="false">IF(OR($C148="",NOT(OR($G148="À migrer",$G148="Migré")),NOT(ISNUMBER($K148))),"",ROUNDUP($K148*(1+IF($AC148="",p_margeCPU,$AC148)),0))</f>
        <v/>
      </c>
      <c r="U148" s="21" t="str">
        <f aca="false">IF(OR($C148="",NOT(OR($G148="À migrer",$G148="Migré")),NOT(ISNUMBER($L148))),"",ROUNDUP($L148*(1+IF($AD148="",p_margeRAM,$AD148)),0))</f>
        <v/>
      </c>
      <c r="V148" s="39" t="str">
        <f aca="false">IF(OR(NOT($G148="À migrer"),$P148=""),"",IFERROR(DATE(YEAR($P148),MONTH($P148),1),""))</f>
        <v/>
      </c>
      <c r="W148" s="39" t="str">
        <f aca="false">IF(OR(NOT(OR($G148="À migrer",$G148="À décommissionner")),$R148=""),"",IFERROR(DATE(YEAR($R148),MONTH($R148),1),""))</f>
        <v/>
      </c>
      <c r="X148" s="21" t="str">
        <f aca="false">IF(OR($V148="",$W148=""),"",MAX(0,(YEAR($W148)-YEAR($V148))*12+MONTH($W148)-MONTH($V148)))</f>
        <v/>
      </c>
      <c r="Y148" s="21" t="str">
        <f aca="false">IF($C148="","",COUNTIF(TblApplications[ID],$C148))</f>
        <v/>
      </c>
      <c r="Z148" s="39" t="str">
        <f aca="false">IF($C148="","",IFERROR(1/(1/_xlfn.MINIFS(TblApplications[Mois prov (calc)],TblApplications[ID],$C148)),""))</f>
        <v/>
      </c>
      <c r="AA148" s="39" t="str">
        <f aca="false">IF($C148="","",IFERROR(1/(1/_xlfn.MAXIFS(TblApplications[Mois lib (calc)],TblApplications[ID],$C148)),""))</f>
        <v/>
      </c>
      <c r="AB148" s="21" t="str">
        <f aca="false">IF($C148="","",IF(OR(OR($A148="",$B148="",$D148="",$E148="",$F148="",$G148=""),AND($G148="À migrer",OR($H148="",$I148="",$J148="",$K148="",$L148="",$N148="",$O148="",$P148="",$Q148="",$R148="")),AND($G148="Migré",OR($J148="",$K148="",$L148="")),AND($G148="À décommissionner",OR($I148="",$N148="",$O148="",$R148=""))),"Données manquantes (selon l’action)",IF(AND($G148&lt;&gt;"Migré",$G148&lt;&gt;"À migrer",$G148&lt;&gt;"À décommissionner",$G148&lt;&gt;"Décommissionné"),"Action invalide",IF(COUNTIF(TblDomaines[Domaine],$A148)=0,"Domaine inconnu (référentiel)",IF(COUNTIFS(TblTribes[Tribe],$B148,TblTribes[Domaine de la tribe],$A148)=0,"Tribe inconnue ou hors domaine",IF(AND($G148="À migrer",$H148&lt;&gt;"Oui",$H148&lt;&gt;"Non"),"Valeur Oui/Non invalide (Déjà incluse ROKS)",IF(AND($E148&lt;&gt;"PRD",$E148&lt;&gt;"NPRD"),"Environnement invalide",IF(COUNTIFS(TblApplications[ID],$C148,TblApplications[Environnement],$E148,TblApplications[Couloir],$F148)&gt;1,"Déploiement en doublon (ID + env + couloir)",IF(OR(AND($K148&lt;&gt;"",NOT(ISNUMBER($K148))),AND($L148&lt;&gt;"",NOT(ISNUMBER($L148))),AND($N148&lt;&gt;"",NOT(ISNUMBER($N148))),AND($O148&lt;&gt;"",NOT(ISNUMBER($O148)))),"Ressource non numérique",IF(MIN(N($K148),N($L148),N($N148),N($O148))&lt;0,"Ressource négative",IF(OR(AND($AC148&lt;&gt;"",OR(NOT(ISNUMBER($AC148)),$AC148&lt;0,$AC148&gt;1)),AND($AD148&lt;&gt;"",OR(NOT(ISNUMBER($AD148)),$AD148&lt;0,$AD148&gt;1))),"Marge spécifique invalide (0–100 %)",IF(OR(AND($P148&lt;&gt;"",NOT(ISNUMBER($P148))),AND($Q148&lt;&gt;"",NOT(ISNUMBER($Q148))),AND($R148&lt;&gt;"",NOT(ISNUMBER($R148)))),"Mois invalide",IF(AND(OR($G148="À migrer",$G148="À décommissionner"),COUNTIFS(TblClusters[Cluster],$I148,TblClusters[Plateforme],"IKS")=0),"Cluster IKS inconnu",IF(AND(OR($G148="À migrer",$G148="Migré"),COUNTIFS(TblClusters[Cluster],$J148,TblClusters[Plateforme],"ROKS")=0),"Cluster ROKS inconnu",IF(AND(OR($G148="À migrer",$G148="À décommissionner"),COUNTIFS(TblClusters[Cluster],$I148,TblClusters[Environnement],$E148)=0),"Environnement ≠ cluster IKS",IF(AND(OR($G148="À migrer",$G148="Migré"),COUNTIFS(TblClusters[Cluster],$J148,TblClusters[Environnement],$E148)=0),"Environnement ≠ cluster ROKS",IF(AND($G148="À migrer",OR($P148&gt;$Q148,$Q148&gt;$R148)),"Dates incohérentes (prov ≤ bascule ≤ libération)",IF(AND(OR($G148="À migrer",$G148="À décommissionner"),OR(N($N148)&gt;SUMIFS(TblClusters[CPU initial (vCPU)],TblClusters[Cluster],$I148),N($O148)&gt;SUMIFS(TblClusters[RAM initiale (Go)],TblClusters[Cluster],$I148))),"Libération &gt; capacité du cluster source",IF(OR(AND($V148&lt;&gt;"",$V148&lt;p_debut),AND($W148&lt;&gt;"",$W148&gt;p_fin)),"Hors horizon (info)",IF(AND($G148="À migrer",$E148="PRD",COUNTIFS(TblApplications[ID],$C148,TblApplications[Environnement],"NPRD",TblApplications[Action],"À migrer")&gt;0,$V148&lt;_xlfn.MINIFS(TblApplications[Mois prov (calc)],TblApplications[ID],$C148,TblApplications[Environnement],"NPRD")),"PRD avant NPRD (info)","OK"))))))))))))))))))))</f>
        <v/>
      </c>
      <c r="AC148" s="76"/>
      <c r="AD148" s="76"/>
      <c r="AE148" s="22" t="str">
        <f aca="false">IF(OR($C148="",NOT(OR($G148="À migrer",$G148="À décommissionner")),NOT(ISNUMBER($N148)),NOT(ISNUMBER($O148)),$W148=""),"",($N148+p_poidsram*$O148)*SUMIFS(TblCalculs[Coût par unité],TblCalculs[Cluster],$I148,TblCalculs[Mois],"&lt;"&amp;$W148))</f>
        <v/>
      </c>
      <c r="AF148" s="22" t="str">
        <f aca="false">IF($C148="","",IF(AND($G148="À migrer",$H148="Non",$T148&lt;&gt;"",$V148&lt;&gt;""),($T148+p_poidsram*$U148)*SUMIFS(TblCalculs[Coût par unité],TblCalculs[Cluster],$J148,TblCalculs[Mois],"&gt;="&amp;$V148),IF(AND($G148="Migré",$T148&lt;&gt;""),($T148+p_poidsram*$U148)*SUMIFS(TblCalculs[Coût par unité],TblCalculs[Cluster],$J148),"")))</f>
        <v/>
      </c>
      <c r="AG148" s="22" t="str">
        <f aca="false">IF($C148="","",N($AE148)+N($AF148))</f>
        <v/>
      </c>
      <c r="AH148" s="21" t="str">
        <f aca="false">IF(OR($C148="",$G148="Décommissionné",COUNTIFS($E148,av_envc,$A148,av_domc,$B148,av_tric)=0),"",COUNTIFS($C$6:$C148,"&lt;&gt;",$G$6:$G148,"&lt;&gt;Décommissionné",$E$6:$E148,av_envc,$A$6:$A148,av_domc,$B$6:$B148,av_tric))</f>
        <v/>
      </c>
      <c r="AI148" s="21" t="str">
        <f aca="false">IF($C148="","",IF(AND(OR($G148="À migrer",$G148="À décommissionner"),$W148&lt;&gt;"",$W148&gt;ex_mois),1,0))</f>
        <v/>
      </c>
      <c r="AJ148" s="21" t="str">
        <f aca="false">IF(OR($C148="",$AI148&lt;&gt;1,COUNTIFS($E148,ex_envc,$A148,ex_domc,$B148,ex_tric)=0),"",COUNTIFS($AI$6:$AI148,1,$E$6:$E148,ex_envc,$A$6:$A148,ex_domc,$B$6:$B148,ex_tric))</f>
        <v/>
      </c>
    </row>
    <row r="149" customFormat="false" ht="15" hidden="false" customHeight="false" outlineLevel="0" collapsed="false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5"/>
      <c r="Q149" s="75"/>
      <c r="R149" s="75"/>
      <c r="S149" s="74"/>
      <c r="T149" s="21" t="str">
        <f aca="false">IF(OR($C149="",NOT(OR($G149="À migrer",$G149="Migré")),NOT(ISNUMBER($K149))),"",ROUNDUP($K149*(1+IF($AC149="",p_margeCPU,$AC149)),0))</f>
        <v/>
      </c>
      <c r="U149" s="21" t="str">
        <f aca="false">IF(OR($C149="",NOT(OR($G149="À migrer",$G149="Migré")),NOT(ISNUMBER($L149))),"",ROUNDUP($L149*(1+IF($AD149="",p_margeRAM,$AD149)),0))</f>
        <v/>
      </c>
      <c r="V149" s="39" t="str">
        <f aca="false">IF(OR(NOT($G149="À migrer"),$P149=""),"",IFERROR(DATE(YEAR($P149),MONTH($P149),1),""))</f>
        <v/>
      </c>
      <c r="W149" s="39" t="str">
        <f aca="false">IF(OR(NOT(OR($G149="À migrer",$G149="À décommissionner")),$R149=""),"",IFERROR(DATE(YEAR($R149),MONTH($R149),1),""))</f>
        <v/>
      </c>
      <c r="X149" s="21" t="str">
        <f aca="false">IF(OR($V149="",$W149=""),"",MAX(0,(YEAR($W149)-YEAR($V149))*12+MONTH($W149)-MONTH($V149)))</f>
        <v/>
      </c>
      <c r="Y149" s="21" t="str">
        <f aca="false">IF($C149="","",COUNTIF(TblApplications[ID],$C149))</f>
        <v/>
      </c>
      <c r="Z149" s="39" t="str">
        <f aca="false">IF($C149="","",IFERROR(1/(1/_xlfn.MINIFS(TblApplications[Mois prov (calc)],TblApplications[ID],$C149)),""))</f>
        <v/>
      </c>
      <c r="AA149" s="39" t="str">
        <f aca="false">IF($C149="","",IFERROR(1/(1/_xlfn.MAXIFS(TblApplications[Mois lib (calc)],TblApplications[ID],$C149)),""))</f>
        <v/>
      </c>
      <c r="AB149" s="21" t="str">
        <f aca="false">IF($C149="","",IF(OR(OR($A149="",$B149="",$D149="",$E149="",$F149="",$G149=""),AND($G149="À migrer",OR($H149="",$I149="",$J149="",$K149="",$L149="",$N149="",$O149="",$P149="",$Q149="",$R149="")),AND($G149="Migré",OR($J149="",$K149="",$L149="")),AND($G149="À décommissionner",OR($I149="",$N149="",$O149="",$R149=""))),"Données manquantes (selon l’action)",IF(AND($G149&lt;&gt;"Migré",$G149&lt;&gt;"À migrer",$G149&lt;&gt;"À décommissionner",$G149&lt;&gt;"Décommissionné"),"Action invalide",IF(COUNTIF(TblDomaines[Domaine],$A149)=0,"Domaine inconnu (référentiel)",IF(COUNTIFS(TblTribes[Tribe],$B149,TblTribes[Domaine de la tribe],$A149)=0,"Tribe inconnue ou hors domaine",IF(AND($G149="À migrer",$H149&lt;&gt;"Oui",$H149&lt;&gt;"Non"),"Valeur Oui/Non invalide (Déjà incluse ROKS)",IF(AND($E149&lt;&gt;"PRD",$E149&lt;&gt;"NPRD"),"Environnement invalide",IF(COUNTIFS(TblApplications[ID],$C149,TblApplications[Environnement],$E149,TblApplications[Couloir],$F149)&gt;1,"Déploiement en doublon (ID + env + couloir)",IF(OR(AND($K149&lt;&gt;"",NOT(ISNUMBER($K149))),AND($L149&lt;&gt;"",NOT(ISNUMBER($L149))),AND($N149&lt;&gt;"",NOT(ISNUMBER($N149))),AND($O149&lt;&gt;"",NOT(ISNUMBER($O149)))),"Ressource non numérique",IF(MIN(N($K149),N($L149),N($N149),N($O149))&lt;0,"Ressource négative",IF(OR(AND($AC149&lt;&gt;"",OR(NOT(ISNUMBER($AC149)),$AC149&lt;0,$AC149&gt;1)),AND($AD149&lt;&gt;"",OR(NOT(ISNUMBER($AD149)),$AD149&lt;0,$AD149&gt;1))),"Marge spécifique invalide (0–100 %)",IF(OR(AND($P149&lt;&gt;"",NOT(ISNUMBER($P149))),AND($Q149&lt;&gt;"",NOT(ISNUMBER($Q149))),AND($R149&lt;&gt;"",NOT(ISNUMBER($R149)))),"Mois invalide",IF(AND(OR($G149="À migrer",$G149="À décommissionner"),COUNTIFS(TblClusters[Cluster],$I149,TblClusters[Plateforme],"IKS")=0),"Cluster IKS inconnu",IF(AND(OR($G149="À migrer",$G149="Migré"),COUNTIFS(TblClusters[Cluster],$J149,TblClusters[Plateforme],"ROKS")=0),"Cluster ROKS inconnu",IF(AND(OR($G149="À migrer",$G149="À décommissionner"),COUNTIFS(TblClusters[Cluster],$I149,TblClusters[Environnement],$E149)=0),"Environnement ≠ cluster IKS",IF(AND(OR($G149="À migrer",$G149="Migré"),COUNTIFS(TblClusters[Cluster],$J149,TblClusters[Environnement],$E149)=0),"Environnement ≠ cluster ROKS",IF(AND($G149="À migrer",OR($P149&gt;$Q149,$Q149&gt;$R149)),"Dates incohérentes (prov ≤ bascule ≤ libération)",IF(AND(OR($G149="À migrer",$G149="À décommissionner"),OR(N($N149)&gt;SUMIFS(TblClusters[CPU initial (vCPU)],TblClusters[Cluster],$I149),N($O149)&gt;SUMIFS(TblClusters[RAM initiale (Go)],TblClusters[Cluster],$I149))),"Libération &gt; capacité du cluster source",IF(OR(AND($V149&lt;&gt;"",$V149&lt;p_debut),AND($W149&lt;&gt;"",$W149&gt;p_fin)),"Hors horizon (info)",IF(AND($G149="À migrer",$E149="PRD",COUNTIFS(TblApplications[ID],$C149,TblApplications[Environnement],"NPRD",TblApplications[Action],"À migrer")&gt;0,$V149&lt;_xlfn.MINIFS(TblApplications[Mois prov (calc)],TblApplications[ID],$C149,TblApplications[Environnement],"NPRD")),"PRD avant NPRD (info)","OK"))))))))))))))))))))</f>
        <v/>
      </c>
      <c r="AC149" s="76"/>
      <c r="AD149" s="76"/>
      <c r="AE149" s="22" t="str">
        <f aca="false">IF(OR($C149="",NOT(OR($G149="À migrer",$G149="À décommissionner")),NOT(ISNUMBER($N149)),NOT(ISNUMBER($O149)),$W149=""),"",($N149+p_poidsram*$O149)*SUMIFS(TblCalculs[Coût par unité],TblCalculs[Cluster],$I149,TblCalculs[Mois],"&lt;"&amp;$W149))</f>
        <v/>
      </c>
      <c r="AF149" s="22" t="str">
        <f aca="false">IF($C149="","",IF(AND($G149="À migrer",$H149="Non",$T149&lt;&gt;"",$V149&lt;&gt;""),($T149+p_poidsram*$U149)*SUMIFS(TblCalculs[Coût par unité],TblCalculs[Cluster],$J149,TblCalculs[Mois],"&gt;="&amp;$V149),IF(AND($G149="Migré",$T149&lt;&gt;""),($T149+p_poidsram*$U149)*SUMIFS(TblCalculs[Coût par unité],TblCalculs[Cluster],$J149),"")))</f>
        <v/>
      </c>
      <c r="AG149" s="22" t="str">
        <f aca="false">IF($C149="","",N($AE149)+N($AF149))</f>
        <v/>
      </c>
      <c r="AH149" s="21" t="str">
        <f aca="false">IF(OR($C149="",$G149="Décommissionné",COUNTIFS($E149,av_envc,$A149,av_domc,$B149,av_tric)=0),"",COUNTIFS($C$6:$C149,"&lt;&gt;",$G$6:$G149,"&lt;&gt;Décommissionné",$E$6:$E149,av_envc,$A$6:$A149,av_domc,$B$6:$B149,av_tric))</f>
        <v/>
      </c>
      <c r="AI149" s="21" t="str">
        <f aca="false">IF($C149="","",IF(AND(OR($G149="À migrer",$G149="À décommissionner"),$W149&lt;&gt;"",$W149&gt;ex_mois),1,0))</f>
        <v/>
      </c>
      <c r="AJ149" s="21" t="str">
        <f aca="false">IF(OR($C149="",$AI149&lt;&gt;1,COUNTIFS($E149,ex_envc,$A149,ex_domc,$B149,ex_tric)=0),"",COUNTIFS($AI$6:$AI149,1,$E$6:$E149,ex_envc,$A$6:$A149,ex_domc,$B$6:$B149,ex_tric))</f>
        <v/>
      </c>
    </row>
    <row r="150" customFormat="false" ht="15" hidden="false" customHeight="false" outlineLevel="0" collapsed="false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5"/>
      <c r="Q150" s="75"/>
      <c r="R150" s="75"/>
      <c r="S150" s="74"/>
      <c r="T150" s="21" t="str">
        <f aca="false">IF(OR($C150="",NOT(OR($G150="À migrer",$G150="Migré")),NOT(ISNUMBER($K150))),"",ROUNDUP($K150*(1+IF($AC150="",p_margeCPU,$AC150)),0))</f>
        <v/>
      </c>
      <c r="U150" s="21" t="str">
        <f aca="false">IF(OR($C150="",NOT(OR($G150="À migrer",$G150="Migré")),NOT(ISNUMBER($L150))),"",ROUNDUP($L150*(1+IF($AD150="",p_margeRAM,$AD150)),0))</f>
        <v/>
      </c>
      <c r="V150" s="39" t="str">
        <f aca="false">IF(OR(NOT($G150="À migrer"),$P150=""),"",IFERROR(DATE(YEAR($P150),MONTH($P150),1),""))</f>
        <v/>
      </c>
      <c r="W150" s="39" t="str">
        <f aca="false">IF(OR(NOT(OR($G150="À migrer",$G150="À décommissionner")),$R150=""),"",IFERROR(DATE(YEAR($R150),MONTH($R150),1),""))</f>
        <v/>
      </c>
      <c r="X150" s="21" t="str">
        <f aca="false">IF(OR($V150="",$W150=""),"",MAX(0,(YEAR($W150)-YEAR($V150))*12+MONTH($W150)-MONTH($V150)))</f>
        <v/>
      </c>
      <c r="Y150" s="21" t="str">
        <f aca="false">IF($C150="","",COUNTIF(TblApplications[ID],$C150))</f>
        <v/>
      </c>
      <c r="Z150" s="39" t="str">
        <f aca="false">IF($C150="","",IFERROR(1/(1/_xlfn.MINIFS(TblApplications[Mois prov (calc)],TblApplications[ID],$C150)),""))</f>
        <v/>
      </c>
      <c r="AA150" s="39" t="str">
        <f aca="false">IF($C150="","",IFERROR(1/(1/_xlfn.MAXIFS(TblApplications[Mois lib (calc)],TblApplications[ID],$C150)),""))</f>
        <v/>
      </c>
      <c r="AB150" s="21" t="str">
        <f aca="false">IF($C150="","",IF(OR(OR($A150="",$B150="",$D150="",$E150="",$F150="",$G150=""),AND($G150="À migrer",OR($H150="",$I150="",$J150="",$K150="",$L150="",$N150="",$O150="",$P150="",$Q150="",$R150="")),AND($G150="Migré",OR($J150="",$K150="",$L150="")),AND($G150="À décommissionner",OR($I150="",$N150="",$O150="",$R150=""))),"Données manquantes (selon l’action)",IF(AND($G150&lt;&gt;"Migré",$G150&lt;&gt;"À migrer",$G150&lt;&gt;"À décommissionner",$G150&lt;&gt;"Décommissionné"),"Action invalide",IF(COUNTIF(TblDomaines[Domaine],$A150)=0,"Domaine inconnu (référentiel)",IF(COUNTIFS(TblTribes[Tribe],$B150,TblTribes[Domaine de la tribe],$A150)=0,"Tribe inconnue ou hors domaine",IF(AND($G150="À migrer",$H150&lt;&gt;"Oui",$H150&lt;&gt;"Non"),"Valeur Oui/Non invalide (Déjà incluse ROKS)",IF(AND($E150&lt;&gt;"PRD",$E150&lt;&gt;"NPRD"),"Environnement invalide",IF(COUNTIFS(TblApplications[ID],$C150,TblApplications[Environnement],$E150,TblApplications[Couloir],$F150)&gt;1,"Déploiement en doublon (ID + env + couloir)",IF(OR(AND($K150&lt;&gt;"",NOT(ISNUMBER($K150))),AND($L150&lt;&gt;"",NOT(ISNUMBER($L150))),AND($N150&lt;&gt;"",NOT(ISNUMBER($N150))),AND($O150&lt;&gt;"",NOT(ISNUMBER($O150)))),"Ressource non numérique",IF(MIN(N($K150),N($L150),N($N150),N($O150))&lt;0,"Ressource négative",IF(OR(AND($AC150&lt;&gt;"",OR(NOT(ISNUMBER($AC150)),$AC150&lt;0,$AC150&gt;1)),AND($AD150&lt;&gt;"",OR(NOT(ISNUMBER($AD150)),$AD150&lt;0,$AD150&gt;1))),"Marge spécifique invalide (0–100 %)",IF(OR(AND($P150&lt;&gt;"",NOT(ISNUMBER($P150))),AND($Q150&lt;&gt;"",NOT(ISNUMBER($Q150))),AND($R150&lt;&gt;"",NOT(ISNUMBER($R150)))),"Mois invalide",IF(AND(OR($G150="À migrer",$G150="À décommissionner"),COUNTIFS(TblClusters[Cluster],$I150,TblClusters[Plateforme],"IKS")=0),"Cluster IKS inconnu",IF(AND(OR($G150="À migrer",$G150="Migré"),COUNTIFS(TblClusters[Cluster],$J150,TblClusters[Plateforme],"ROKS")=0),"Cluster ROKS inconnu",IF(AND(OR($G150="À migrer",$G150="À décommissionner"),COUNTIFS(TblClusters[Cluster],$I150,TblClusters[Environnement],$E150)=0),"Environnement ≠ cluster IKS",IF(AND(OR($G150="À migrer",$G150="Migré"),COUNTIFS(TblClusters[Cluster],$J150,TblClusters[Environnement],$E150)=0),"Environnement ≠ cluster ROKS",IF(AND($G150="À migrer",OR($P150&gt;$Q150,$Q150&gt;$R150)),"Dates incohérentes (prov ≤ bascule ≤ libération)",IF(AND(OR($G150="À migrer",$G150="À décommissionner"),OR(N($N150)&gt;SUMIFS(TblClusters[CPU initial (vCPU)],TblClusters[Cluster],$I150),N($O150)&gt;SUMIFS(TblClusters[RAM initiale (Go)],TblClusters[Cluster],$I150))),"Libération &gt; capacité du cluster source",IF(OR(AND($V150&lt;&gt;"",$V150&lt;p_debut),AND($W150&lt;&gt;"",$W150&gt;p_fin)),"Hors horizon (info)",IF(AND($G150="À migrer",$E150="PRD",COUNTIFS(TblApplications[ID],$C150,TblApplications[Environnement],"NPRD",TblApplications[Action],"À migrer")&gt;0,$V150&lt;_xlfn.MINIFS(TblApplications[Mois prov (calc)],TblApplications[ID],$C150,TblApplications[Environnement],"NPRD")),"PRD avant NPRD (info)","OK"))))))))))))))))))))</f>
        <v/>
      </c>
      <c r="AC150" s="76"/>
      <c r="AD150" s="76"/>
      <c r="AE150" s="22" t="str">
        <f aca="false">IF(OR($C150="",NOT(OR($G150="À migrer",$G150="À décommissionner")),NOT(ISNUMBER($N150)),NOT(ISNUMBER($O150)),$W150=""),"",($N150+p_poidsram*$O150)*SUMIFS(TblCalculs[Coût par unité],TblCalculs[Cluster],$I150,TblCalculs[Mois],"&lt;"&amp;$W150))</f>
        <v/>
      </c>
      <c r="AF150" s="22" t="str">
        <f aca="false">IF($C150="","",IF(AND($G150="À migrer",$H150="Non",$T150&lt;&gt;"",$V150&lt;&gt;""),($T150+p_poidsram*$U150)*SUMIFS(TblCalculs[Coût par unité],TblCalculs[Cluster],$J150,TblCalculs[Mois],"&gt;="&amp;$V150),IF(AND($G150="Migré",$T150&lt;&gt;""),($T150+p_poidsram*$U150)*SUMIFS(TblCalculs[Coût par unité],TblCalculs[Cluster],$J150),"")))</f>
        <v/>
      </c>
      <c r="AG150" s="22" t="str">
        <f aca="false">IF($C150="","",N($AE150)+N($AF150))</f>
        <v/>
      </c>
      <c r="AH150" s="21" t="str">
        <f aca="false">IF(OR($C150="",$G150="Décommissionné",COUNTIFS($E150,av_envc,$A150,av_domc,$B150,av_tric)=0),"",COUNTIFS($C$6:$C150,"&lt;&gt;",$G$6:$G150,"&lt;&gt;Décommissionné",$E$6:$E150,av_envc,$A$6:$A150,av_domc,$B$6:$B150,av_tric))</f>
        <v/>
      </c>
      <c r="AI150" s="21" t="str">
        <f aca="false">IF($C150="","",IF(AND(OR($G150="À migrer",$G150="À décommissionner"),$W150&lt;&gt;"",$W150&gt;ex_mois),1,0))</f>
        <v/>
      </c>
      <c r="AJ150" s="21" t="str">
        <f aca="false">IF(OR($C150="",$AI150&lt;&gt;1,COUNTIFS($E150,ex_envc,$A150,ex_domc,$B150,ex_tric)=0),"",COUNTIFS($AI$6:$AI150,1,$E$6:$E150,ex_envc,$A$6:$A150,ex_domc,$B$6:$B150,ex_tric))</f>
        <v/>
      </c>
    </row>
    <row r="151" customFormat="false" ht="15" hidden="false" customHeight="false" outlineLevel="0" collapsed="false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5"/>
      <c r="Q151" s="75"/>
      <c r="R151" s="75"/>
      <c r="S151" s="74"/>
      <c r="T151" s="21" t="str">
        <f aca="false">IF(OR($C151="",NOT(OR($G151="À migrer",$G151="Migré")),NOT(ISNUMBER($K151))),"",ROUNDUP($K151*(1+IF($AC151="",p_margeCPU,$AC151)),0))</f>
        <v/>
      </c>
      <c r="U151" s="21" t="str">
        <f aca="false">IF(OR($C151="",NOT(OR($G151="À migrer",$G151="Migré")),NOT(ISNUMBER($L151))),"",ROUNDUP($L151*(1+IF($AD151="",p_margeRAM,$AD151)),0))</f>
        <v/>
      </c>
      <c r="V151" s="39" t="str">
        <f aca="false">IF(OR(NOT($G151="À migrer"),$P151=""),"",IFERROR(DATE(YEAR($P151),MONTH($P151),1),""))</f>
        <v/>
      </c>
      <c r="W151" s="39" t="str">
        <f aca="false">IF(OR(NOT(OR($G151="À migrer",$G151="À décommissionner")),$R151=""),"",IFERROR(DATE(YEAR($R151),MONTH($R151),1),""))</f>
        <v/>
      </c>
      <c r="X151" s="21" t="str">
        <f aca="false">IF(OR($V151="",$W151=""),"",MAX(0,(YEAR($W151)-YEAR($V151))*12+MONTH($W151)-MONTH($V151)))</f>
        <v/>
      </c>
      <c r="Y151" s="21" t="str">
        <f aca="false">IF($C151="","",COUNTIF(TblApplications[ID],$C151))</f>
        <v/>
      </c>
      <c r="Z151" s="39" t="str">
        <f aca="false">IF($C151="","",IFERROR(1/(1/_xlfn.MINIFS(TblApplications[Mois prov (calc)],TblApplications[ID],$C151)),""))</f>
        <v/>
      </c>
      <c r="AA151" s="39" t="str">
        <f aca="false">IF($C151="","",IFERROR(1/(1/_xlfn.MAXIFS(TblApplications[Mois lib (calc)],TblApplications[ID],$C151)),""))</f>
        <v/>
      </c>
      <c r="AB151" s="21" t="str">
        <f aca="false">IF($C151="","",IF(OR(OR($A151="",$B151="",$D151="",$E151="",$F151="",$G151=""),AND($G151="À migrer",OR($H151="",$I151="",$J151="",$K151="",$L151="",$N151="",$O151="",$P151="",$Q151="",$R151="")),AND($G151="Migré",OR($J151="",$K151="",$L151="")),AND($G151="À décommissionner",OR($I151="",$N151="",$O151="",$R151=""))),"Données manquantes (selon l’action)",IF(AND($G151&lt;&gt;"Migré",$G151&lt;&gt;"À migrer",$G151&lt;&gt;"À décommissionner",$G151&lt;&gt;"Décommissionné"),"Action invalide",IF(COUNTIF(TblDomaines[Domaine],$A151)=0,"Domaine inconnu (référentiel)",IF(COUNTIFS(TblTribes[Tribe],$B151,TblTribes[Domaine de la tribe],$A151)=0,"Tribe inconnue ou hors domaine",IF(AND($G151="À migrer",$H151&lt;&gt;"Oui",$H151&lt;&gt;"Non"),"Valeur Oui/Non invalide (Déjà incluse ROKS)",IF(AND($E151&lt;&gt;"PRD",$E151&lt;&gt;"NPRD"),"Environnement invalide",IF(COUNTIFS(TblApplications[ID],$C151,TblApplications[Environnement],$E151,TblApplications[Couloir],$F151)&gt;1,"Déploiement en doublon (ID + env + couloir)",IF(OR(AND($K151&lt;&gt;"",NOT(ISNUMBER($K151))),AND($L151&lt;&gt;"",NOT(ISNUMBER($L151))),AND($N151&lt;&gt;"",NOT(ISNUMBER($N151))),AND($O151&lt;&gt;"",NOT(ISNUMBER($O151)))),"Ressource non numérique",IF(MIN(N($K151),N($L151),N($N151),N($O151))&lt;0,"Ressource négative",IF(OR(AND($AC151&lt;&gt;"",OR(NOT(ISNUMBER($AC151)),$AC151&lt;0,$AC151&gt;1)),AND($AD151&lt;&gt;"",OR(NOT(ISNUMBER($AD151)),$AD151&lt;0,$AD151&gt;1))),"Marge spécifique invalide (0–100 %)",IF(OR(AND($P151&lt;&gt;"",NOT(ISNUMBER($P151))),AND($Q151&lt;&gt;"",NOT(ISNUMBER($Q151))),AND($R151&lt;&gt;"",NOT(ISNUMBER($R151)))),"Mois invalide",IF(AND(OR($G151="À migrer",$G151="À décommissionner"),COUNTIFS(TblClusters[Cluster],$I151,TblClusters[Plateforme],"IKS")=0),"Cluster IKS inconnu",IF(AND(OR($G151="À migrer",$G151="Migré"),COUNTIFS(TblClusters[Cluster],$J151,TblClusters[Plateforme],"ROKS")=0),"Cluster ROKS inconnu",IF(AND(OR($G151="À migrer",$G151="À décommissionner"),COUNTIFS(TblClusters[Cluster],$I151,TblClusters[Environnement],$E151)=0),"Environnement ≠ cluster IKS",IF(AND(OR($G151="À migrer",$G151="Migré"),COUNTIFS(TblClusters[Cluster],$J151,TblClusters[Environnement],$E151)=0),"Environnement ≠ cluster ROKS",IF(AND($G151="À migrer",OR($P151&gt;$Q151,$Q151&gt;$R151)),"Dates incohérentes (prov ≤ bascule ≤ libération)",IF(AND(OR($G151="À migrer",$G151="À décommissionner"),OR(N($N151)&gt;SUMIFS(TblClusters[CPU initial (vCPU)],TblClusters[Cluster],$I151),N($O151)&gt;SUMIFS(TblClusters[RAM initiale (Go)],TblClusters[Cluster],$I151))),"Libération &gt; capacité du cluster source",IF(OR(AND($V151&lt;&gt;"",$V151&lt;p_debut),AND($W151&lt;&gt;"",$W151&gt;p_fin)),"Hors horizon (info)",IF(AND($G151="À migrer",$E151="PRD",COUNTIFS(TblApplications[ID],$C151,TblApplications[Environnement],"NPRD",TblApplications[Action],"À migrer")&gt;0,$V151&lt;_xlfn.MINIFS(TblApplications[Mois prov (calc)],TblApplications[ID],$C151,TblApplications[Environnement],"NPRD")),"PRD avant NPRD (info)","OK"))))))))))))))))))))</f>
        <v/>
      </c>
      <c r="AC151" s="76"/>
      <c r="AD151" s="76"/>
      <c r="AE151" s="22" t="str">
        <f aca="false">IF(OR($C151="",NOT(OR($G151="À migrer",$G151="À décommissionner")),NOT(ISNUMBER($N151)),NOT(ISNUMBER($O151)),$W151=""),"",($N151+p_poidsram*$O151)*SUMIFS(TblCalculs[Coût par unité],TblCalculs[Cluster],$I151,TblCalculs[Mois],"&lt;"&amp;$W151))</f>
        <v/>
      </c>
      <c r="AF151" s="22" t="str">
        <f aca="false">IF($C151="","",IF(AND($G151="À migrer",$H151="Non",$T151&lt;&gt;"",$V151&lt;&gt;""),($T151+p_poidsram*$U151)*SUMIFS(TblCalculs[Coût par unité],TblCalculs[Cluster],$J151,TblCalculs[Mois],"&gt;="&amp;$V151),IF(AND($G151="Migré",$T151&lt;&gt;""),($T151+p_poidsram*$U151)*SUMIFS(TblCalculs[Coût par unité],TblCalculs[Cluster],$J151),"")))</f>
        <v/>
      </c>
      <c r="AG151" s="22" t="str">
        <f aca="false">IF($C151="","",N($AE151)+N($AF151))</f>
        <v/>
      </c>
      <c r="AH151" s="21" t="str">
        <f aca="false">IF(OR($C151="",$G151="Décommissionné",COUNTIFS($E151,av_envc,$A151,av_domc,$B151,av_tric)=0),"",COUNTIFS($C$6:$C151,"&lt;&gt;",$G$6:$G151,"&lt;&gt;Décommissionné",$E$6:$E151,av_envc,$A$6:$A151,av_domc,$B$6:$B151,av_tric))</f>
        <v/>
      </c>
      <c r="AI151" s="21" t="str">
        <f aca="false">IF($C151="","",IF(AND(OR($G151="À migrer",$G151="À décommissionner"),$W151&lt;&gt;"",$W151&gt;ex_mois),1,0))</f>
        <v/>
      </c>
      <c r="AJ151" s="21" t="str">
        <f aca="false">IF(OR($C151="",$AI151&lt;&gt;1,COUNTIFS($E151,ex_envc,$A151,ex_domc,$B151,ex_tric)=0),"",COUNTIFS($AI$6:$AI151,1,$E$6:$E151,ex_envc,$A$6:$A151,ex_domc,$B$6:$B151,ex_tric))</f>
        <v/>
      </c>
    </row>
    <row r="152" customFormat="false" ht="15" hidden="false" customHeight="false" outlineLevel="0" collapsed="false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5"/>
      <c r="Q152" s="75"/>
      <c r="R152" s="75"/>
      <c r="S152" s="74"/>
      <c r="T152" s="21" t="str">
        <f aca="false">IF(OR($C152="",NOT(OR($G152="À migrer",$G152="Migré")),NOT(ISNUMBER($K152))),"",ROUNDUP($K152*(1+IF($AC152="",p_margeCPU,$AC152)),0))</f>
        <v/>
      </c>
      <c r="U152" s="21" t="str">
        <f aca="false">IF(OR($C152="",NOT(OR($G152="À migrer",$G152="Migré")),NOT(ISNUMBER($L152))),"",ROUNDUP($L152*(1+IF($AD152="",p_margeRAM,$AD152)),0))</f>
        <v/>
      </c>
      <c r="V152" s="39" t="str">
        <f aca="false">IF(OR(NOT($G152="À migrer"),$P152=""),"",IFERROR(DATE(YEAR($P152),MONTH($P152),1),""))</f>
        <v/>
      </c>
      <c r="W152" s="39" t="str">
        <f aca="false">IF(OR(NOT(OR($G152="À migrer",$G152="À décommissionner")),$R152=""),"",IFERROR(DATE(YEAR($R152),MONTH($R152),1),""))</f>
        <v/>
      </c>
      <c r="X152" s="21" t="str">
        <f aca="false">IF(OR($V152="",$W152=""),"",MAX(0,(YEAR($W152)-YEAR($V152))*12+MONTH($W152)-MONTH($V152)))</f>
        <v/>
      </c>
      <c r="Y152" s="21" t="str">
        <f aca="false">IF($C152="","",COUNTIF(TblApplications[ID],$C152))</f>
        <v/>
      </c>
      <c r="Z152" s="39" t="str">
        <f aca="false">IF($C152="","",IFERROR(1/(1/_xlfn.MINIFS(TblApplications[Mois prov (calc)],TblApplications[ID],$C152)),""))</f>
        <v/>
      </c>
      <c r="AA152" s="39" t="str">
        <f aca="false">IF($C152="","",IFERROR(1/(1/_xlfn.MAXIFS(TblApplications[Mois lib (calc)],TblApplications[ID],$C152)),""))</f>
        <v/>
      </c>
      <c r="AB152" s="21" t="str">
        <f aca="false">IF($C152="","",IF(OR(OR($A152="",$B152="",$D152="",$E152="",$F152="",$G152=""),AND($G152="À migrer",OR($H152="",$I152="",$J152="",$K152="",$L152="",$N152="",$O152="",$P152="",$Q152="",$R152="")),AND($G152="Migré",OR($J152="",$K152="",$L152="")),AND($G152="À décommissionner",OR($I152="",$N152="",$O152="",$R152=""))),"Données manquantes (selon l’action)",IF(AND($G152&lt;&gt;"Migré",$G152&lt;&gt;"À migrer",$G152&lt;&gt;"À décommissionner",$G152&lt;&gt;"Décommissionné"),"Action invalide",IF(COUNTIF(TblDomaines[Domaine],$A152)=0,"Domaine inconnu (référentiel)",IF(COUNTIFS(TblTribes[Tribe],$B152,TblTribes[Domaine de la tribe],$A152)=0,"Tribe inconnue ou hors domaine",IF(AND($G152="À migrer",$H152&lt;&gt;"Oui",$H152&lt;&gt;"Non"),"Valeur Oui/Non invalide (Déjà incluse ROKS)",IF(AND($E152&lt;&gt;"PRD",$E152&lt;&gt;"NPRD"),"Environnement invalide",IF(COUNTIFS(TblApplications[ID],$C152,TblApplications[Environnement],$E152,TblApplications[Couloir],$F152)&gt;1,"Déploiement en doublon (ID + env + couloir)",IF(OR(AND($K152&lt;&gt;"",NOT(ISNUMBER($K152))),AND($L152&lt;&gt;"",NOT(ISNUMBER($L152))),AND($N152&lt;&gt;"",NOT(ISNUMBER($N152))),AND($O152&lt;&gt;"",NOT(ISNUMBER($O152)))),"Ressource non numérique",IF(MIN(N($K152),N($L152),N($N152),N($O152))&lt;0,"Ressource négative",IF(OR(AND($AC152&lt;&gt;"",OR(NOT(ISNUMBER($AC152)),$AC152&lt;0,$AC152&gt;1)),AND($AD152&lt;&gt;"",OR(NOT(ISNUMBER($AD152)),$AD152&lt;0,$AD152&gt;1))),"Marge spécifique invalide (0–100 %)",IF(OR(AND($P152&lt;&gt;"",NOT(ISNUMBER($P152))),AND($Q152&lt;&gt;"",NOT(ISNUMBER($Q152))),AND($R152&lt;&gt;"",NOT(ISNUMBER($R152)))),"Mois invalide",IF(AND(OR($G152="À migrer",$G152="À décommissionner"),COUNTIFS(TblClusters[Cluster],$I152,TblClusters[Plateforme],"IKS")=0),"Cluster IKS inconnu",IF(AND(OR($G152="À migrer",$G152="Migré"),COUNTIFS(TblClusters[Cluster],$J152,TblClusters[Plateforme],"ROKS")=0),"Cluster ROKS inconnu",IF(AND(OR($G152="À migrer",$G152="À décommissionner"),COUNTIFS(TblClusters[Cluster],$I152,TblClusters[Environnement],$E152)=0),"Environnement ≠ cluster IKS",IF(AND(OR($G152="À migrer",$G152="Migré"),COUNTIFS(TblClusters[Cluster],$J152,TblClusters[Environnement],$E152)=0),"Environnement ≠ cluster ROKS",IF(AND($G152="À migrer",OR($P152&gt;$Q152,$Q152&gt;$R152)),"Dates incohérentes (prov ≤ bascule ≤ libération)",IF(AND(OR($G152="À migrer",$G152="À décommissionner"),OR(N($N152)&gt;SUMIFS(TblClusters[CPU initial (vCPU)],TblClusters[Cluster],$I152),N($O152)&gt;SUMIFS(TblClusters[RAM initiale (Go)],TblClusters[Cluster],$I152))),"Libération &gt; capacité du cluster source",IF(OR(AND($V152&lt;&gt;"",$V152&lt;p_debut),AND($W152&lt;&gt;"",$W152&gt;p_fin)),"Hors horizon (info)",IF(AND($G152="À migrer",$E152="PRD",COUNTIFS(TblApplications[ID],$C152,TblApplications[Environnement],"NPRD",TblApplications[Action],"À migrer")&gt;0,$V152&lt;_xlfn.MINIFS(TblApplications[Mois prov (calc)],TblApplications[ID],$C152,TblApplications[Environnement],"NPRD")),"PRD avant NPRD (info)","OK"))))))))))))))))))))</f>
        <v/>
      </c>
      <c r="AC152" s="76"/>
      <c r="AD152" s="76"/>
      <c r="AE152" s="22" t="str">
        <f aca="false">IF(OR($C152="",NOT(OR($G152="À migrer",$G152="À décommissionner")),NOT(ISNUMBER($N152)),NOT(ISNUMBER($O152)),$W152=""),"",($N152+p_poidsram*$O152)*SUMIFS(TblCalculs[Coût par unité],TblCalculs[Cluster],$I152,TblCalculs[Mois],"&lt;"&amp;$W152))</f>
        <v/>
      </c>
      <c r="AF152" s="22" t="str">
        <f aca="false">IF($C152="","",IF(AND($G152="À migrer",$H152="Non",$T152&lt;&gt;"",$V152&lt;&gt;""),($T152+p_poidsram*$U152)*SUMIFS(TblCalculs[Coût par unité],TblCalculs[Cluster],$J152,TblCalculs[Mois],"&gt;="&amp;$V152),IF(AND($G152="Migré",$T152&lt;&gt;""),($T152+p_poidsram*$U152)*SUMIFS(TblCalculs[Coût par unité],TblCalculs[Cluster],$J152),"")))</f>
        <v/>
      </c>
      <c r="AG152" s="22" t="str">
        <f aca="false">IF($C152="","",N($AE152)+N($AF152))</f>
        <v/>
      </c>
      <c r="AH152" s="21" t="str">
        <f aca="false">IF(OR($C152="",$G152="Décommissionné",COUNTIFS($E152,av_envc,$A152,av_domc,$B152,av_tric)=0),"",COUNTIFS($C$6:$C152,"&lt;&gt;",$G$6:$G152,"&lt;&gt;Décommissionné",$E$6:$E152,av_envc,$A$6:$A152,av_domc,$B$6:$B152,av_tric))</f>
        <v/>
      </c>
      <c r="AI152" s="21" t="str">
        <f aca="false">IF($C152="","",IF(AND(OR($G152="À migrer",$G152="À décommissionner"),$W152&lt;&gt;"",$W152&gt;ex_mois),1,0))</f>
        <v/>
      </c>
      <c r="AJ152" s="21" t="str">
        <f aca="false">IF(OR($C152="",$AI152&lt;&gt;1,COUNTIFS($E152,ex_envc,$A152,ex_domc,$B152,ex_tric)=0),"",COUNTIFS($AI$6:$AI152,1,$E$6:$E152,ex_envc,$A$6:$A152,ex_domc,$B$6:$B152,ex_tric))</f>
        <v/>
      </c>
    </row>
    <row r="153" customFormat="false" ht="15" hidden="false" customHeight="false" outlineLevel="0" collapsed="false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5"/>
      <c r="Q153" s="75"/>
      <c r="R153" s="75"/>
      <c r="S153" s="74"/>
      <c r="T153" s="21" t="str">
        <f aca="false">IF(OR($C153="",NOT(OR($G153="À migrer",$G153="Migré")),NOT(ISNUMBER($K153))),"",ROUNDUP($K153*(1+IF($AC153="",p_margeCPU,$AC153)),0))</f>
        <v/>
      </c>
      <c r="U153" s="21" t="str">
        <f aca="false">IF(OR($C153="",NOT(OR($G153="À migrer",$G153="Migré")),NOT(ISNUMBER($L153))),"",ROUNDUP($L153*(1+IF($AD153="",p_margeRAM,$AD153)),0))</f>
        <v/>
      </c>
      <c r="V153" s="39" t="str">
        <f aca="false">IF(OR(NOT($G153="À migrer"),$P153=""),"",IFERROR(DATE(YEAR($P153),MONTH($P153),1),""))</f>
        <v/>
      </c>
      <c r="W153" s="39" t="str">
        <f aca="false">IF(OR(NOT(OR($G153="À migrer",$G153="À décommissionner")),$R153=""),"",IFERROR(DATE(YEAR($R153),MONTH($R153),1),""))</f>
        <v/>
      </c>
      <c r="X153" s="21" t="str">
        <f aca="false">IF(OR($V153="",$W153=""),"",MAX(0,(YEAR($W153)-YEAR($V153))*12+MONTH($W153)-MONTH($V153)))</f>
        <v/>
      </c>
      <c r="Y153" s="21" t="str">
        <f aca="false">IF($C153="","",COUNTIF(TblApplications[ID],$C153))</f>
        <v/>
      </c>
      <c r="Z153" s="39" t="str">
        <f aca="false">IF($C153="","",IFERROR(1/(1/_xlfn.MINIFS(TblApplications[Mois prov (calc)],TblApplications[ID],$C153)),""))</f>
        <v/>
      </c>
      <c r="AA153" s="39" t="str">
        <f aca="false">IF($C153="","",IFERROR(1/(1/_xlfn.MAXIFS(TblApplications[Mois lib (calc)],TblApplications[ID],$C153)),""))</f>
        <v/>
      </c>
      <c r="AB153" s="21" t="str">
        <f aca="false">IF($C153="","",IF(OR(OR($A153="",$B153="",$D153="",$E153="",$F153="",$G153=""),AND($G153="À migrer",OR($H153="",$I153="",$J153="",$K153="",$L153="",$N153="",$O153="",$P153="",$Q153="",$R153="")),AND($G153="Migré",OR($J153="",$K153="",$L153="")),AND($G153="À décommissionner",OR($I153="",$N153="",$O153="",$R153=""))),"Données manquantes (selon l’action)",IF(AND($G153&lt;&gt;"Migré",$G153&lt;&gt;"À migrer",$G153&lt;&gt;"À décommissionner",$G153&lt;&gt;"Décommissionné"),"Action invalide",IF(COUNTIF(TblDomaines[Domaine],$A153)=0,"Domaine inconnu (référentiel)",IF(COUNTIFS(TblTribes[Tribe],$B153,TblTribes[Domaine de la tribe],$A153)=0,"Tribe inconnue ou hors domaine",IF(AND($G153="À migrer",$H153&lt;&gt;"Oui",$H153&lt;&gt;"Non"),"Valeur Oui/Non invalide (Déjà incluse ROKS)",IF(AND($E153&lt;&gt;"PRD",$E153&lt;&gt;"NPRD"),"Environnement invalide",IF(COUNTIFS(TblApplications[ID],$C153,TblApplications[Environnement],$E153,TblApplications[Couloir],$F153)&gt;1,"Déploiement en doublon (ID + env + couloir)",IF(OR(AND($K153&lt;&gt;"",NOT(ISNUMBER($K153))),AND($L153&lt;&gt;"",NOT(ISNUMBER($L153))),AND($N153&lt;&gt;"",NOT(ISNUMBER($N153))),AND($O153&lt;&gt;"",NOT(ISNUMBER($O153)))),"Ressource non numérique",IF(MIN(N($K153),N($L153),N($N153),N($O153))&lt;0,"Ressource négative",IF(OR(AND($AC153&lt;&gt;"",OR(NOT(ISNUMBER($AC153)),$AC153&lt;0,$AC153&gt;1)),AND($AD153&lt;&gt;"",OR(NOT(ISNUMBER($AD153)),$AD153&lt;0,$AD153&gt;1))),"Marge spécifique invalide (0–100 %)",IF(OR(AND($P153&lt;&gt;"",NOT(ISNUMBER($P153))),AND($Q153&lt;&gt;"",NOT(ISNUMBER($Q153))),AND($R153&lt;&gt;"",NOT(ISNUMBER($R153)))),"Mois invalide",IF(AND(OR($G153="À migrer",$G153="À décommissionner"),COUNTIFS(TblClusters[Cluster],$I153,TblClusters[Plateforme],"IKS")=0),"Cluster IKS inconnu",IF(AND(OR($G153="À migrer",$G153="Migré"),COUNTIFS(TblClusters[Cluster],$J153,TblClusters[Plateforme],"ROKS")=0),"Cluster ROKS inconnu",IF(AND(OR($G153="À migrer",$G153="À décommissionner"),COUNTIFS(TblClusters[Cluster],$I153,TblClusters[Environnement],$E153)=0),"Environnement ≠ cluster IKS",IF(AND(OR($G153="À migrer",$G153="Migré"),COUNTIFS(TblClusters[Cluster],$J153,TblClusters[Environnement],$E153)=0),"Environnement ≠ cluster ROKS",IF(AND($G153="À migrer",OR($P153&gt;$Q153,$Q153&gt;$R153)),"Dates incohérentes (prov ≤ bascule ≤ libération)",IF(AND(OR($G153="À migrer",$G153="À décommissionner"),OR(N($N153)&gt;SUMIFS(TblClusters[CPU initial (vCPU)],TblClusters[Cluster],$I153),N($O153)&gt;SUMIFS(TblClusters[RAM initiale (Go)],TblClusters[Cluster],$I153))),"Libération &gt; capacité du cluster source",IF(OR(AND($V153&lt;&gt;"",$V153&lt;p_debut),AND($W153&lt;&gt;"",$W153&gt;p_fin)),"Hors horizon (info)",IF(AND($G153="À migrer",$E153="PRD",COUNTIFS(TblApplications[ID],$C153,TblApplications[Environnement],"NPRD",TblApplications[Action],"À migrer")&gt;0,$V153&lt;_xlfn.MINIFS(TblApplications[Mois prov (calc)],TblApplications[ID],$C153,TblApplications[Environnement],"NPRD")),"PRD avant NPRD (info)","OK"))))))))))))))))))))</f>
        <v/>
      </c>
      <c r="AC153" s="76"/>
      <c r="AD153" s="76"/>
      <c r="AE153" s="22" t="str">
        <f aca="false">IF(OR($C153="",NOT(OR($G153="À migrer",$G153="À décommissionner")),NOT(ISNUMBER($N153)),NOT(ISNUMBER($O153)),$W153=""),"",($N153+p_poidsram*$O153)*SUMIFS(TblCalculs[Coût par unité],TblCalculs[Cluster],$I153,TblCalculs[Mois],"&lt;"&amp;$W153))</f>
        <v/>
      </c>
      <c r="AF153" s="22" t="str">
        <f aca="false">IF($C153="","",IF(AND($G153="À migrer",$H153="Non",$T153&lt;&gt;"",$V153&lt;&gt;""),($T153+p_poidsram*$U153)*SUMIFS(TblCalculs[Coût par unité],TblCalculs[Cluster],$J153,TblCalculs[Mois],"&gt;="&amp;$V153),IF(AND($G153="Migré",$T153&lt;&gt;""),($T153+p_poidsram*$U153)*SUMIFS(TblCalculs[Coût par unité],TblCalculs[Cluster],$J153),"")))</f>
        <v/>
      </c>
      <c r="AG153" s="22" t="str">
        <f aca="false">IF($C153="","",N($AE153)+N($AF153))</f>
        <v/>
      </c>
      <c r="AH153" s="21" t="str">
        <f aca="false">IF(OR($C153="",$G153="Décommissionné",COUNTIFS($E153,av_envc,$A153,av_domc,$B153,av_tric)=0),"",COUNTIFS($C$6:$C153,"&lt;&gt;",$G$6:$G153,"&lt;&gt;Décommissionné",$E$6:$E153,av_envc,$A$6:$A153,av_domc,$B$6:$B153,av_tric))</f>
        <v/>
      </c>
      <c r="AI153" s="21" t="str">
        <f aca="false">IF($C153="","",IF(AND(OR($G153="À migrer",$G153="À décommissionner"),$W153&lt;&gt;"",$W153&gt;ex_mois),1,0))</f>
        <v/>
      </c>
      <c r="AJ153" s="21" t="str">
        <f aca="false">IF(OR($C153="",$AI153&lt;&gt;1,COUNTIFS($E153,ex_envc,$A153,ex_domc,$B153,ex_tric)=0),"",COUNTIFS($AI$6:$AI153,1,$E$6:$E153,ex_envc,$A$6:$A153,ex_domc,$B$6:$B153,ex_tric))</f>
        <v/>
      </c>
    </row>
    <row r="154" customFormat="false" ht="15" hidden="false" customHeight="false" outlineLevel="0" collapsed="false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5"/>
      <c r="Q154" s="75"/>
      <c r="R154" s="75"/>
      <c r="S154" s="74"/>
      <c r="T154" s="21" t="str">
        <f aca="false">IF(OR($C154="",NOT(OR($G154="À migrer",$G154="Migré")),NOT(ISNUMBER($K154))),"",ROUNDUP($K154*(1+IF($AC154="",p_margeCPU,$AC154)),0))</f>
        <v/>
      </c>
      <c r="U154" s="21" t="str">
        <f aca="false">IF(OR($C154="",NOT(OR($G154="À migrer",$G154="Migré")),NOT(ISNUMBER($L154))),"",ROUNDUP($L154*(1+IF($AD154="",p_margeRAM,$AD154)),0))</f>
        <v/>
      </c>
      <c r="V154" s="39" t="str">
        <f aca="false">IF(OR(NOT($G154="À migrer"),$P154=""),"",IFERROR(DATE(YEAR($P154),MONTH($P154),1),""))</f>
        <v/>
      </c>
      <c r="W154" s="39" t="str">
        <f aca="false">IF(OR(NOT(OR($G154="À migrer",$G154="À décommissionner")),$R154=""),"",IFERROR(DATE(YEAR($R154),MONTH($R154),1),""))</f>
        <v/>
      </c>
      <c r="X154" s="21" t="str">
        <f aca="false">IF(OR($V154="",$W154=""),"",MAX(0,(YEAR($W154)-YEAR($V154))*12+MONTH($W154)-MONTH($V154)))</f>
        <v/>
      </c>
      <c r="Y154" s="21" t="str">
        <f aca="false">IF($C154="","",COUNTIF(TblApplications[ID],$C154))</f>
        <v/>
      </c>
      <c r="Z154" s="39" t="str">
        <f aca="false">IF($C154="","",IFERROR(1/(1/_xlfn.MINIFS(TblApplications[Mois prov (calc)],TblApplications[ID],$C154)),""))</f>
        <v/>
      </c>
      <c r="AA154" s="39" t="str">
        <f aca="false">IF($C154="","",IFERROR(1/(1/_xlfn.MAXIFS(TblApplications[Mois lib (calc)],TblApplications[ID],$C154)),""))</f>
        <v/>
      </c>
      <c r="AB154" s="21" t="str">
        <f aca="false">IF($C154="","",IF(OR(OR($A154="",$B154="",$D154="",$E154="",$F154="",$G154=""),AND($G154="À migrer",OR($H154="",$I154="",$J154="",$K154="",$L154="",$N154="",$O154="",$P154="",$Q154="",$R154="")),AND($G154="Migré",OR($J154="",$K154="",$L154="")),AND($G154="À décommissionner",OR($I154="",$N154="",$O154="",$R154=""))),"Données manquantes (selon l’action)",IF(AND($G154&lt;&gt;"Migré",$G154&lt;&gt;"À migrer",$G154&lt;&gt;"À décommissionner",$G154&lt;&gt;"Décommissionné"),"Action invalide",IF(COUNTIF(TblDomaines[Domaine],$A154)=0,"Domaine inconnu (référentiel)",IF(COUNTIFS(TblTribes[Tribe],$B154,TblTribes[Domaine de la tribe],$A154)=0,"Tribe inconnue ou hors domaine",IF(AND($G154="À migrer",$H154&lt;&gt;"Oui",$H154&lt;&gt;"Non"),"Valeur Oui/Non invalide (Déjà incluse ROKS)",IF(AND($E154&lt;&gt;"PRD",$E154&lt;&gt;"NPRD"),"Environnement invalide",IF(COUNTIFS(TblApplications[ID],$C154,TblApplications[Environnement],$E154,TblApplications[Couloir],$F154)&gt;1,"Déploiement en doublon (ID + env + couloir)",IF(OR(AND($K154&lt;&gt;"",NOT(ISNUMBER($K154))),AND($L154&lt;&gt;"",NOT(ISNUMBER($L154))),AND($N154&lt;&gt;"",NOT(ISNUMBER($N154))),AND($O154&lt;&gt;"",NOT(ISNUMBER($O154)))),"Ressource non numérique",IF(MIN(N($K154),N($L154),N($N154),N($O154))&lt;0,"Ressource négative",IF(OR(AND($AC154&lt;&gt;"",OR(NOT(ISNUMBER($AC154)),$AC154&lt;0,$AC154&gt;1)),AND($AD154&lt;&gt;"",OR(NOT(ISNUMBER($AD154)),$AD154&lt;0,$AD154&gt;1))),"Marge spécifique invalide (0–100 %)",IF(OR(AND($P154&lt;&gt;"",NOT(ISNUMBER($P154))),AND($Q154&lt;&gt;"",NOT(ISNUMBER($Q154))),AND($R154&lt;&gt;"",NOT(ISNUMBER($R154)))),"Mois invalide",IF(AND(OR($G154="À migrer",$G154="À décommissionner"),COUNTIFS(TblClusters[Cluster],$I154,TblClusters[Plateforme],"IKS")=0),"Cluster IKS inconnu",IF(AND(OR($G154="À migrer",$G154="Migré"),COUNTIFS(TblClusters[Cluster],$J154,TblClusters[Plateforme],"ROKS")=0),"Cluster ROKS inconnu",IF(AND(OR($G154="À migrer",$G154="À décommissionner"),COUNTIFS(TblClusters[Cluster],$I154,TblClusters[Environnement],$E154)=0),"Environnement ≠ cluster IKS",IF(AND(OR($G154="À migrer",$G154="Migré"),COUNTIFS(TblClusters[Cluster],$J154,TblClusters[Environnement],$E154)=0),"Environnement ≠ cluster ROKS",IF(AND($G154="À migrer",OR($P154&gt;$Q154,$Q154&gt;$R154)),"Dates incohérentes (prov ≤ bascule ≤ libération)",IF(AND(OR($G154="À migrer",$G154="À décommissionner"),OR(N($N154)&gt;SUMIFS(TblClusters[CPU initial (vCPU)],TblClusters[Cluster],$I154),N($O154)&gt;SUMIFS(TblClusters[RAM initiale (Go)],TblClusters[Cluster],$I154))),"Libération &gt; capacité du cluster source",IF(OR(AND($V154&lt;&gt;"",$V154&lt;p_debut),AND($W154&lt;&gt;"",$W154&gt;p_fin)),"Hors horizon (info)",IF(AND($G154="À migrer",$E154="PRD",COUNTIFS(TblApplications[ID],$C154,TblApplications[Environnement],"NPRD",TblApplications[Action],"À migrer")&gt;0,$V154&lt;_xlfn.MINIFS(TblApplications[Mois prov (calc)],TblApplications[ID],$C154,TblApplications[Environnement],"NPRD")),"PRD avant NPRD (info)","OK"))))))))))))))))))))</f>
        <v/>
      </c>
      <c r="AC154" s="76"/>
      <c r="AD154" s="76"/>
      <c r="AE154" s="22" t="str">
        <f aca="false">IF(OR($C154="",NOT(OR($G154="À migrer",$G154="À décommissionner")),NOT(ISNUMBER($N154)),NOT(ISNUMBER($O154)),$W154=""),"",($N154+p_poidsram*$O154)*SUMIFS(TblCalculs[Coût par unité],TblCalculs[Cluster],$I154,TblCalculs[Mois],"&lt;"&amp;$W154))</f>
        <v/>
      </c>
      <c r="AF154" s="22" t="str">
        <f aca="false">IF($C154="","",IF(AND($G154="À migrer",$H154="Non",$T154&lt;&gt;"",$V154&lt;&gt;""),($T154+p_poidsram*$U154)*SUMIFS(TblCalculs[Coût par unité],TblCalculs[Cluster],$J154,TblCalculs[Mois],"&gt;="&amp;$V154),IF(AND($G154="Migré",$T154&lt;&gt;""),($T154+p_poidsram*$U154)*SUMIFS(TblCalculs[Coût par unité],TblCalculs[Cluster],$J154),"")))</f>
        <v/>
      </c>
      <c r="AG154" s="22" t="str">
        <f aca="false">IF($C154="","",N($AE154)+N($AF154))</f>
        <v/>
      </c>
      <c r="AH154" s="21" t="str">
        <f aca="false">IF(OR($C154="",$G154="Décommissionné",COUNTIFS($E154,av_envc,$A154,av_domc,$B154,av_tric)=0),"",COUNTIFS($C$6:$C154,"&lt;&gt;",$G$6:$G154,"&lt;&gt;Décommissionné",$E$6:$E154,av_envc,$A$6:$A154,av_domc,$B$6:$B154,av_tric))</f>
        <v/>
      </c>
      <c r="AI154" s="21" t="str">
        <f aca="false">IF($C154="","",IF(AND(OR($G154="À migrer",$G154="À décommissionner"),$W154&lt;&gt;"",$W154&gt;ex_mois),1,0))</f>
        <v/>
      </c>
      <c r="AJ154" s="21" t="str">
        <f aca="false">IF(OR($C154="",$AI154&lt;&gt;1,COUNTIFS($E154,ex_envc,$A154,ex_domc,$B154,ex_tric)=0),"",COUNTIFS($AI$6:$AI154,1,$E$6:$E154,ex_envc,$A$6:$A154,ex_domc,$B$6:$B154,ex_tric))</f>
        <v/>
      </c>
    </row>
    <row r="155" customFormat="false" ht="15" hidden="false" customHeight="false" outlineLevel="0" collapsed="false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5"/>
      <c r="Q155" s="75"/>
      <c r="R155" s="75"/>
      <c r="S155" s="74"/>
      <c r="T155" s="21" t="str">
        <f aca="false">IF(OR($C155="",NOT(OR($G155="À migrer",$G155="Migré")),NOT(ISNUMBER($K155))),"",ROUNDUP($K155*(1+IF($AC155="",p_margeCPU,$AC155)),0))</f>
        <v/>
      </c>
      <c r="U155" s="21" t="str">
        <f aca="false">IF(OR($C155="",NOT(OR($G155="À migrer",$G155="Migré")),NOT(ISNUMBER($L155))),"",ROUNDUP($L155*(1+IF($AD155="",p_margeRAM,$AD155)),0))</f>
        <v/>
      </c>
      <c r="V155" s="39" t="str">
        <f aca="false">IF(OR(NOT($G155="À migrer"),$P155=""),"",IFERROR(DATE(YEAR($P155),MONTH($P155),1),""))</f>
        <v/>
      </c>
      <c r="W155" s="39" t="str">
        <f aca="false">IF(OR(NOT(OR($G155="À migrer",$G155="À décommissionner")),$R155=""),"",IFERROR(DATE(YEAR($R155),MONTH($R155),1),""))</f>
        <v/>
      </c>
      <c r="X155" s="21" t="str">
        <f aca="false">IF(OR($V155="",$W155=""),"",MAX(0,(YEAR($W155)-YEAR($V155))*12+MONTH($W155)-MONTH($V155)))</f>
        <v/>
      </c>
      <c r="Y155" s="21" t="str">
        <f aca="false">IF($C155="","",COUNTIF(TblApplications[ID],$C155))</f>
        <v/>
      </c>
      <c r="Z155" s="39" t="str">
        <f aca="false">IF($C155="","",IFERROR(1/(1/_xlfn.MINIFS(TblApplications[Mois prov (calc)],TblApplications[ID],$C155)),""))</f>
        <v/>
      </c>
      <c r="AA155" s="39" t="str">
        <f aca="false">IF($C155="","",IFERROR(1/(1/_xlfn.MAXIFS(TblApplications[Mois lib (calc)],TblApplications[ID],$C155)),""))</f>
        <v/>
      </c>
      <c r="AB155" s="21" t="str">
        <f aca="false">IF($C155="","",IF(OR(OR($A155="",$B155="",$D155="",$E155="",$F155="",$G155=""),AND($G155="À migrer",OR($H155="",$I155="",$J155="",$K155="",$L155="",$N155="",$O155="",$P155="",$Q155="",$R155="")),AND($G155="Migré",OR($J155="",$K155="",$L155="")),AND($G155="À décommissionner",OR($I155="",$N155="",$O155="",$R155=""))),"Données manquantes (selon l’action)",IF(AND($G155&lt;&gt;"Migré",$G155&lt;&gt;"À migrer",$G155&lt;&gt;"À décommissionner",$G155&lt;&gt;"Décommissionné"),"Action invalide",IF(COUNTIF(TblDomaines[Domaine],$A155)=0,"Domaine inconnu (référentiel)",IF(COUNTIFS(TblTribes[Tribe],$B155,TblTribes[Domaine de la tribe],$A155)=0,"Tribe inconnue ou hors domaine",IF(AND($G155="À migrer",$H155&lt;&gt;"Oui",$H155&lt;&gt;"Non"),"Valeur Oui/Non invalide (Déjà incluse ROKS)",IF(AND($E155&lt;&gt;"PRD",$E155&lt;&gt;"NPRD"),"Environnement invalide",IF(COUNTIFS(TblApplications[ID],$C155,TblApplications[Environnement],$E155,TblApplications[Couloir],$F155)&gt;1,"Déploiement en doublon (ID + env + couloir)",IF(OR(AND($K155&lt;&gt;"",NOT(ISNUMBER($K155))),AND($L155&lt;&gt;"",NOT(ISNUMBER($L155))),AND($N155&lt;&gt;"",NOT(ISNUMBER($N155))),AND($O155&lt;&gt;"",NOT(ISNUMBER($O155)))),"Ressource non numérique",IF(MIN(N($K155),N($L155),N($N155),N($O155))&lt;0,"Ressource négative",IF(OR(AND($AC155&lt;&gt;"",OR(NOT(ISNUMBER($AC155)),$AC155&lt;0,$AC155&gt;1)),AND($AD155&lt;&gt;"",OR(NOT(ISNUMBER($AD155)),$AD155&lt;0,$AD155&gt;1))),"Marge spécifique invalide (0–100 %)",IF(OR(AND($P155&lt;&gt;"",NOT(ISNUMBER($P155))),AND($Q155&lt;&gt;"",NOT(ISNUMBER($Q155))),AND($R155&lt;&gt;"",NOT(ISNUMBER($R155)))),"Mois invalide",IF(AND(OR($G155="À migrer",$G155="À décommissionner"),COUNTIFS(TblClusters[Cluster],$I155,TblClusters[Plateforme],"IKS")=0),"Cluster IKS inconnu",IF(AND(OR($G155="À migrer",$G155="Migré"),COUNTIFS(TblClusters[Cluster],$J155,TblClusters[Plateforme],"ROKS")=0),"Cluster ROKS inconnu",IF(AND(OR($G155="À migrer",$G155="À décommissionner"),COUNTIFS(TblClusters[Cluster],$I155,TblClusters[Environnement],$E155)=0),"Environnement ≠ cluster IKS",IF(AND(OR($G155="À migrer",$G155="Migré"),COUNTIFS(TblClusters[Cluster],$J155,TblClusters[Environnement],$E155)=0),"Environnement ≠ cluster ROKS",IF(AND($G155="À migrer",OR($P155&gt;$Q155,$Q155&gt;$R155)),"Dates incohérentes (prov ≤ bascule ≤ libération)",IF(AND(OR($G155="À migrer",$G155="À décommissionner"),OR(N($N155)&gt;SUMIFS(TblClusters[CPU initial (vCPU)],TblClusters[Cluster],$I155),N($O155)&gt;SUMIFS(TblClusters[RAM initiale (Go)],TblClusters[Cluster],$I155))),"Libération &gt; capacité du cluster source",IF(OR(AND($V155&lt;&gt;"",$V155&lt;p_debut),AND($W155&lt;&gt;"",$W155&gt;p_fin)),"Hors horizon (info)",IF(AND($G155="À migrer",$E155="PRD",COUNTIFS(TblApplications[ID],$C155,TblApplications[Environnement],"NPRD",TblApplications[Action],"À migrer")&gt;0,$V155&lt;_xlfn.MINIFS(TblApplications[Mois prov (calc)],TblApplications[ID],$C155,TblApplications[Environnement],"NPRD")),"PRD avant NPRD (info)","OK"))))))))))))))))))))</f>
        <v/>
      </c>
      <c r="AC155" s="76"/>
      <c r="AD155" s="76"/>
      <c r="AE155" s="22" t="str">
        <f aca="false">IF(OR($C155="",NOT(OR($G155="À migrer",$G155="À décommissionner")),NOT(ISNUMBER($N155)),NOT(ISNUMBER($O155)),$W155=""),"",($N155+p_poidsram*$O155)*SUMIFS(TblCalculs[Coût par unité],TblCalculs[Cluster],$I155,TblCalculs[Mois],"&lt;"&amp;$W155))</f>
        <v/>
      </c>
      <c r="AF155" s="22" t="str">
        <f aca="false">IF($C155="","",IF(AND($G155="À migrer",$H155="Non",$T155&lt;&gt;"",$V155&lt;&gt;""),($T155+p_poidsram*$U155)*SUMIFS(TblCalculs[Coût par unité],TblCalculs[Cluster],$J155,TblCalculs[Mois],"&gt;="&amp;$V155),IF(AND($G155="Migré",$T155&lt;&gt;""),($T155+p_poidsram*$U155)*SUMIFS(TblCalculs[Coût par unité],TblCalculs[Cluster],$J155),"")))</f>
        <v/>
      </c>
      <c r="AG155" s="22" t="str">
        <f aca="false">IF($C155="","",N($AE155)+N($AF155))</f>
        <v/>
      </c>
      <c r="AH155" s="21" t="str">
        <f aca="false">IF(OR($C155="",$G155="Décommissionné",COUNTIFS($E155,av_envc,$A155,av_domc,$B155,av_tric)=0),"",COUNTIFS($C$6:$C155,"&lt;&gt;",$G$6:$G155,"&lt;&gt;Décommissionné",$E$6:$E155,av_envc,$A$6:$A155,av_domc,$B$6:$B155,av_tric))</f>
        <v/>
      </c>
      <c r="AI155" s="21" t="str">
        <f aca="false">IF($C155="","",IF(AND(OR($G155="À migrer",$G155="À décommissionner"),$W155&lt;&gt;"",$W155&gt;ex_mois),1,0))</f>
        <v/>
      </c>
      <c r="AJ155" s="21" t="str">
        <f aca="false">IF(OR($C155="",$AI155&lt;&gt;1,COUNTIFS($E155,ex_envc,$A155,ex_domc,$B155,ex_tric)=0),"",COUNTIFS($AI$6:$AI155,1,$E$6:$E155,ex_envc,$A$6:$A155,ex_domc,$B$6:$B155,ex_tric))</f>
        <v/>
      </c>
    </row>
    <row r="156" customFormat="false" ht="15" hidden="false" customHeight="false" outlineLevel="0" collapsed="false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5"/>
      <c r="Q156" s="75"/>
      <c r="R156" s="75"/>
      <c r="S156" s="74"/>
      <c r="T156" s="21" t="str">
        <f aca="false">IF(OR($C156="",NOT(OR($G156="À migrer",$G156="Migré")),NOT(ISNUMBER($K156))),"",ROUNDUP($K156*(1+IF($AC156="",p_margeCPU,$AC156)),0))</f>
        <v/>
      </c>
      <c r="U156" s="21" t="str">
        <f aca="false">IF(OR($C156="",NOT(OR($G156="À migrer",$G156="Migré")),NOT(ISNUMBER($L156))),"",ROUNDUP($L156*(1+IF($AD156="",p_margeRAM,$AD156)),0))</f>
        <v/>
      </c>
      <c r="V156" s="39" t="str">
        <f aca="false">IF(OR(NOT($G156="À migrer"),$P156=""),"",IFERROR(DATE(YEAR($P156),MONTH($P156),1),""))</f>
        <v/>
      </c>
      <c r="W156" s="39" t="str">
        <f aca="false">IF(OR(NOT(OR($G156="À migrer",$G156="À décommissionner")),$R156=""),"",IFERROR(DATE(YEAR($R156),MONTH($R156),1),""))</f>
        <v/>
      </c>
      <c r="X156" s="21" t="str">
        <f aca="false">IF(OR($V156="",$W156=""),"",MAX(0,(YEAR($W156)-YEAR($V156))*12+MONTH($W156)-MONTH($V156)))</f>
        <v/>
      </c>
      <c r="Y156" s="21" t="str">
        <f aca="false">IF($C156="","",COUNTIF(TblApplications[ID],$C156))</f>
        <v/>
      </c>
      <c r="Z156" s="39" t="str">
        <f aca="false">IF($C156="","",IFERROR(1/(1/_xlfn.MINIFS(TblApplications[Mois prov (calc)],TblApplications[ID],$C156)),""))</f>
        <v/>
      </c>
      <c r="AA156" s="39" t="str">
        <f aca="false">IF($C156="","",IFERROR(1/(1/_xlfn.MAXIFS(TblApplications[Mois lib (calc)],TblApplications[ID],$C156)),""))</f>
        <v/>
      </c>
      <c r="AB156" s="21" t="str">
        <f aca="false">IF($C156="","",IF(OR(OR($A156="",$B156="",$D156="",$E156="",$F156="",$G156=""),AND($G156="À migrer",OR($H156="",$I156="",$J156="",$K156="",$L156="",$N156="",$O156="",$P156="",$Q156="",$R156="")),AND($G156="Migré",OR($J156="",$K156="",$L156="")),AND($G156="À décommissionner",OR($I156="",$N156="",$O156="",$R156=""))),"Données manquantes (selon l’action)",IF(AND($G156&lt;&gt;"Migré",$G156&lt;&gt;"À migrer",$G156&lt;&gt;"À décommissionner",$G156&lt;&gt;"Décommissionné"),"Action invalide",IF(COUNTIF(TblDomaines[Domaine],$A156)=0,"Domaine inconnu (référentiel)",IF(COUNTIFS(TblTribes[Tribe],$B156,TblTribes[Domaine de la tribe],$A156)=0,"Tribe inconnue ou hors domaine",IF(AND($G156="À migrer",$H156&lt;&gt;"Oui",$H156&lt;&gt;"Non"),"Valeur Oui/Non invalide (Déjà incluse ROKS)",IF(AND($E156&lt;&gt;"PRD",$E156&lt;&gt;"NPRD"),"Environnement invalide",IF(COUNTIFS(TblApplications[ID],$C156,TblApplications[Environnement],$E156,TblApplications[Couloir],$F156)&gt;1,"Déploiement en doublon (ID + env + couloir)",IF(OR(AND($K156&lt;&gt;"",NOT(ISNUMBER($K156))),AND($L156&lt;&gt;"",NOT(ISNUMBER($L156))),AND($N156&lt;&gt;"",NOT(ISNUMBER($N156))),AND($O156&lt;&gt;"",NOT(ISNUMBER($O156)))),"Ressource non numérique",IF(MIN(N($K156),N($L156),N($N156),N($O156))&lt;0,"Ressource négative",IF(OR(AND($AC156&lt;&gt;"",OR(NOT(ISNUMBER($AC156)),$AC156&lt;0,$AC156&gt;1)),AND($AD156&lt;&gt;"",OR(NOT(ISNUMBER($AD156)),$AD156&lt;0,$AD156&gt;1))),"Marge spécifique invalide (0–100 %)",IF(OR(AND($P156&lt;&gt;"",NOT(ISNUMBER($P156))),AND($Q156&lt;&gt;"",NOT(ISNUMBER($Q156))),AND($R156&lt;&gt;"",NOT(ISNUMBER($R156)))),"Mois invalide",IF(AND(OR($G156="À migrer",$G156="À décommissionner"),COUNTIFS(TblClusters[Cluster],$I156,TblClusters[Plateforme],"IKS")=0),"Cluster IKS inconnu",IF(AND(OR($G156="À migrer",$G156="Migré"),COUNTIFS(TblClusters[Cluster],$J156,TblClusters[Plateforme],"ROKS")=0),"Cluster ROKS inconnu",IF(AND(OR($G156="À migrer",$G156="À décommissionner"),COUNTIFS(TblClusters[Cluster],$I156,TblClusters[Environnement],$E156)=0),"Environnement ≠ cluster IKS",IF(AND(OR($G156="À migrer",$G156="Migré"),COUNTIFS(TblClusters[Cluster],$J156,TblClusters[Environnement],$E156)=0),"Environnement ≠ cluster ROKS",IF(AND($G156="À migrer",OR($P156&gt;$Q156,$Q156&gt;$R156)),"Dates incohérentes (prov ≤ bascule ≤ libération)",IF(AND(OR($G156="À migrer",$G156="À décommissionner"),OR(N($N156)&gt;SUMIFS(TblClusters[CPU initial (vCPU)],TblClusters[Cluster],$I156),N($O156)&gt;SUMIFS(TblClusters[RAM initiale (Go)],TblClusters[Cluster],$I156))),"Libération &gt; capacité du cluster source",IF(OR(AND($V156&lt;&gt;"",$V156&lt;p_debut),AND($W156&lt;&gt;"",$W156&gt;p_fin)),"Hors horizon (info)",IF(AND($G156="À migrer",$E156="PRD",COUNTIFS(TblApplications[ID],$C156,TblApplications[Environnement],"NPRD",TblApplications[Action],"À migrer")&gt;0,$V156&lt;_xlfn.MINIFS(TblApplications[Mois prov (calc)],TblApplications[ID],$C156,TblApplications[Environnement],"NPRD")),"PRD avant NPRD (info)","OK"))))))))))))))))))))</f>
        <v/>
      </c>
      <c r="AC156" s="76"/>
      <c r="AD156" s="76"/>
      <c r="AE156" s="22" t="str">
        <f aca="false">IF(OR($C156="",NOT(OR($G156="À migrer",$G156="À décommissionner")),NOT(ISNUMBER($N156)),NOT(ISNUMBER($O156)),$W156=""),"",($N156+p_poidsram*$O156)*SUMIFS(TblCalculs[Coût par unité],TblCalculs[Cluster],$I156,TblCalculs[Mois],"&lt;"&amp;$W156))</f>
        <v/>
      </c>
      <c r="AF156" s="22" t="str">
        <f aca="false">IF($C156="","",IF(AND($G156="À migrer",$H156="Non",$T156&lt;&gt;"",$V156&lt;&gt;""),($T156+p_poidsram*$U156)*SUMIFS(TblCalculs[Coût par unité],TblCalculs[Cluster],$J156,TblCalculs[Mois],"&gt;="&amp;$V156),IF(AND($G156="Migré",$T156&lt;&gt;""),($T156+p_poidsram*$U156)*SUMIFS(TblCalculs[Coût par unité],TblCalculs[Cluster],$J156),"")))</f>
        <v/>
      </c>
      <c r="AG156" s="22" t="str">
        <f aca="false">IF($C156="","",N($AE156)+N($AF156))</f>
        <v/>
      </c>
      <c r="AH156" s="21" t="str">
        <f aca="false">IF(OR($C156="",$G156="Décommissionné",COUNTIFS($E156,av_envc,$A156,av_domc,$B156,av_tric)=0),"",COUNTIFS($C$6:$C156,"&lt;&gt;",$G$6:$G156,"&lt;&gt;Décommissionné",$E$6:$E156,av_envc,$A$6:$A156,av_domc,$B$6:$B156,av_tric))</f>
        <v/>
      </c>
      <c r="AI156" s="21" t="str">
        <f aca="false">IF($C156="","",IF(AND(OR($G156="À migrer",$G156="À décommissionner"),$W156&lt;&gt;"",$W156&gt;ex_mois),1,0))</f>
        <v/>
      </c>
      <c r="AJ156" s="21" t="str">
        <f aca="false">IF(OR($C156="",$AI156&lt;&gt;1,COUNTIFS($E156,ex_envc,$A156,ex_domc,$B156,ex_tric)=0),"",COUNTIFS($AI$6:$AI156,1,$E$6:$E156,ex_envc,$A$6:$A156,ex_domc,$B$6:$B156,ex_tric))</f>
        <v/>
      </c>
    </row>
    <row r="157" customFormat="false" ht="15" hidden="false" customHeight="false" outlineLevel="0" collapsed="false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5"/>
      <c r="Q157" s="75"/>
      <c r="R157" s="75"/>
      <c r="S157" s="74"/>
      <c r="T157" s="21" t="str">
        <f aca="false">IF(OR($C157="",NOT(OR($G157="À migrer",$G157="Migré")),NOT(ISNUMBER($K157))),"",ROUNDUP($K157*(1+IF($AC157="",p_margeCPU,$AC157)),0))</f>
        <v/>
      </c>
      <c r="U157" s="21" t="str">
        <f aca="false">IF(OR($C157="",NOT(OR($G157="À migrer",$G157="Migré")),NOT(ISNUMBER($L157))),"",ROUNDUP($L157*(1+IF($AD157="",p_margeRAM,$AD157)),0))</f>
        <v/>
      </c>
      <c r="V157" s="39" t="str">
        <f aca="false">IF(OR(NOT($G157="À migrer"),$P157=""),"",IFERROR(DATE(YEAR($P157),MONTH($P157),1),""))</f>
        <v/>
      </c>
      <c r="W157" s="39" t="str">
        <f aca="false">IF(OR(NOT(OR($G157="À migrer",$G157="À décommissionner")),$R157=""),"",IFERROR(DATE(YEAR($R157),MONTH($R157),1),""))</f>
        <v/>
      </c>
      <c r="X157" s="21" t="str">
        <f aca="false">IF(OR($V157="",$W157=""),"",MAX(0,(YEAR($W157)-YEAR($V157))*12+MONTH($W157)-MONTH($V157)))</f>
        <v/>
      </c>
      <c r="Y157" s="21" t="str">
        <f aca="false">IF($C157="","",COUNTIF(TblApplications[ID],$C157))</f>
        <v/>
      </c>
      <c r="Z157" s="39" t="str">
        <f aca="false">IF($C157="","",IFERROR(1/(1/_xlfn.MINIFS(TblApplications[Mois prov (calc)],TblApplications[ID],$C157)),""))</f>
        <v/>
      </c>
      <c r="AA157" s="39" t="str">
        <f aca="false">IF($C157="","",IFERROR(1/(1/_xlfn.MAXIFS(TblApplications[Mois lib (calc)],TblApplications[ID],$C157)),""))</f>
        <v/>
      </c>
      <c r="AB157" s="21" t="str">
        <f aca="false">IF($C157="","",IF(OR(OR($A157="",$B157="",$D157="",$E157="",$F157="",$G157=""),AND($G157="À migrer",OR($H157="",$I157="",$J157="",$K157="",$L157="",$N157="",$O157="",$P157="",$Q157="",$R157="")),AND($G157="Migré",OR($J157="",$K157="",$L157="")),AND($G157="À décommissionner",OR($I157="",$N157="",$O157="",$R157=""))),"Données manquantes (selon l’action)",IF(AND($G157&lt;&gt;"Migré",$G157&lt;&gt;"À migrer",$G157&lt;&gt;"À décommissionner",$G157&lt;&gt;"Décommissionné"),"Action invalide",IF(COUNTIF(TblDomaines[Domaine],$A157)=0,"Domaine inconnu (référentiel)",IF(COUNTIFS(TblTribes[Tribe],$B157,TblTribes[Domaine de la tribe],$A157)=0,"Tribe inconnue ou hors domaine",IF(AND($G157="À migrer",$H157&lt;&gt;"Oui",$H157&lt;&gt;"Non"),"Valeur Oui/Non invalide (Déjà incluse ROKS)",IF(AND($E157&lt;&gt;"PRD",$E157&lt;&gt;"NPRD"),"Environnement invalide",IF(COUNTIFS(TblApplications[ID],$C157,TblApplications[Environnement],$E157,TblApplications[Couloir],$F157)&gt;1,"Déploiement en doublon (ID + env + couloir)",IF(OR(AND($K157&lt;&gt;"",NOT(ISNUMBER($K157))),AND($L157&lt;&gt;"",NOT(ISNUMBER($L157))),AND($N157&lt;&gt;"",NOT(ISNUMBER($N157))),AND($O157&lt;&gt;"",NOT(ISNUMBER($O157)))),"Ressource non numérique",IF(MIN(N($K157),N($L157),N($N157),N($O157))&lt;0,"Ressource négative",IF(OR(AND($AC157&lt;&gt;"",OR(NOT(ISNUMBER($AC157)),$AC157&lt;0,$AC157&gt;1)),AND($AD157&lt;&gt;"",OR(NOT(ISNUMBER($AD157)),$AD157&lt;0,$AD157&gt;1))),"Marge spécifique invalide (0–100 %)",IF(OR(AND($P157&lt;&gt;"",NOT(ISNUMBER($P157))),AND($Q157&lt;&gt;"",NOT(ISNUMBER($Q157))),AND($R157&lt;&gt;"",NOT(ISNUMBER($R157)))),"Mois invalide",IF(AND(OR($G157="À migrer",$G157="À décommissionner"),COUNTIFS(TblClusters[Cluster],$I157,TblClusters[Plateforme],"IKS")=0),"Cluster IKS inconnu",IF(AND(OR($G157="À migrer",$G157="Migré"),COUNTIFS(TblClusters[Cluster],$J157,TblClusters[Plateforme],"ROKS")=0),"Cluster ROKS inconnu",IF(AND(OR($G157="À migrer",$G157="À décommissionner"),COUNTIFS(TblClusters[Cluster],$I157,TblClusters[Environnement],$E157)=0),"Environnement ≠ cluster IKS",IF(AND(OR($G157="À migrer",$G157="Migré"),COUNTIFS(TblClusters[Cluster],$J157,TblClusters[Environnement],$E157)=0),"Environnement ≠ cluster ROKS",IF(AND($G157="À migrer",OR($P157&gt;$Q157,$Q157&gt;$R157)),"Dates incohérentes (prov ≤ bascule ≤ libération)",IF(AND(OR($G157="À migrer",$G157="À décommissionner"),OR(N($N157)&gt;SUMIFS(TblClusters[CPU initial (vCPU)],TblClusters[Cluster],$I157),N($O157)&gt;SUMIFS(TblClusters[RAM initiale (Go)],TblClusters[Cluster],$I157))),"Libération &gt; capacité du cluster source",IF(OR(AND($V157&lt;&gt;"",$V157&lt;p_debut),AND($W157&lt;&gt;"",$W157&gt;p_fin)),"Hors horizon (info)",IF(AND($G157="À migrer",$E157="PRD",COUNTIFS(TblApplications[ID],$C157,TblApplications[Environnement],"NPRD",TblApplications[Action],"À migrer")&gt;0,$V157&lt;_xlfn.MINIFS(TblApplications[Mois prov (calc)],TblApplications[ID],$C157,TblApplications[Environnement],"NPRD")),"PRD avant NPRD (info)","OK"))))))))))))))))))))</f>
        <v/>
      </c>
      <c r="AC157" s="76"/>
      <c r="AD157" s="76"/>
      <c r="AE157" s="22" t="str">
        <f aca="false">IF(OR($C157="",NOT(OR($G157="À migrer",$G157="À décommissionner")),NOT(ISNUMBER($N157)),NOT(ISNUMBER($O157)),$W157=""),"",($N157+p_poidsram*$O157)*SUMIFS(TblCalculs[Coût par unité],TblCalculs[Cluster],$I157,TblCalculs[Mois],"&lt;"&amp;$W157))</f>
        <v/>
      </c>
      <c r="AF157" s="22" t="str">
        <f aca="false">IF($C157="","",IF(AND($G157="À migrer",$H157="Non",$T157&lt;&gt;"",$V157&lt;&gt;""),($T157+p_poidsram*$U157)*SUMIFS(TblCalculs[Coût par unité],TblCalculs[Cluster],$J157,TblCalculs[Mois],"&gt;="&amp;$V157),IF(AND($G157="Migré",$T157&lt;&gt;""),($T157+p_poidsram*$U157)*SUMIFS(TblCalculs[Coût par unité],TblCalculs[Cluster],$J157),"")))</f>
        <v/>
      </c>
      <c r="AG157" s="22" t="str">
        <f aca="false">IF($C157="","",N($AE157)+N($AF157))</f>
        <v/>
      </c>
      <c r="AH157" s="21" t="str">
        <f aca="false">IF(OR($C157="",$G157="Décommissionné",COUNTIFS($E157,av_envc,$A157,av_domc,$B157,av_tric)=0),"",COUNTIFS($C$6:$C157,"&lt;&gt;",$G$6:$G157,"&lt;&gt;Décommissionné",$E$6:$E157,av_envc,$A$6:$A157,av_domc,$B$6:$B157,av_tric))</f>
        <v/>
      </c>
      <c r="AI157" s="21" t="str">
        <f aca="false">IF($C157="","",IF(AND(OR($G157="À migrer",$G157="À décommissionner"),$W157&lt;&gt;"",$W157&gt;ex_mois),1,0))</f>
        <v/>
      </c>
      <c r="AJ157" s="21" t="str">
        <f aca="false">IF(OR($C157="",$AI157&lt;&gt;1,COUNTIFS($E157,ex_envc,$A157,ex_domc,$B157,ex_tric)=0),"",COUNTIFS($AI$6:$AI157,1,$E$6:$E157,ex_envc,$A$6:$A157,ex_domc,$B$6:$B157,ex_tric))</f>
        <v/>
      </c>
    </row>
    <row r="158" customFormat="false" ht="15" hidden="false" customHeight="false" outlineLevel="0" collapsed="false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5"/>
      <c r="Q158" s="75"/>
      <c r="R158" s="75"/>
      <c r="S158" s="74"/>
      <c r="T158" s="21" t="str">
        <f aca="false">IF(OR($C158="",NOT(OR($G158="À migrer",$G158="Migré")),NOT(ISNUMBER($K158))),"",ROUNDUP($K158*(1+IF($AC158="",p_margeCPU,$AC158)),0))</f>
        <v/>
      </c>
      <c r="U158" s="21" t="str">
        <f aca="false">IF(OR($C158="",NOT(OR($G158="À migrer",$G158="Migré")),NOT(ISNUMBER($L158))),"",ROUNDUP($L158*(1+IF($AD158="",p_margeRAM,$AD158)),0))</f>
        <v/>
      </c>
      <c r="V158" s="39" t="str">
        <f aca="false">IF(OR(NOT($G158="À migrer"),$P158=""),"",IFERROR(DATE(YEAR($P158),MONTH($P158),1),""))</f>
        <v/>
      </c>
      <c r="W158" s="39" t="str">
        <f aca="false">IF(OR(NOT(OR($G158="À migrer",$G158="À décommissionner")),$R158=""),"",IFERROR(DATE(YEAR($R158),MONTH($R158),1),""))</f>
        <v/>
      </c>
      <c r="X158" s="21" t="str">
        <f aca="false">IF(OR($V158="",$W158=""),"",MAX(0,(YEAR($W158)-YEAR($V158))*12+MONTH($W158)-MONTH($V158)))</f>
        <v/>
      </c>
      <c r="Y158" s="21" t="str">
        <f aca="false">IF($C158="","",COUNTIF(TblApplications[ID],$C158))</f>
        <v/>
      </c>
      <c r="Z158" s="39" t="str">
        <f aca="false">IF($C158="","",IFERROR(1/(1/_xlfn.MINIFS(TblApplications[Mois prov (calc)],TblApplications[ID],$C158)),""))</f>
        <v/>
      </c>
      <c r="AA158" s="39" t="str">
        <f aca="false">IF($C158="","",IFERROR(1/(1/_xlfn.MAXIFS(TblApplications[Mois lib (calc)],TblApplications[ID],$C158)),""))</f>
        <v/>
      </c>
      <c r="AB158" s="21" t="str">
        <f aca="false">IF($C158="","",IF(OR(OR($A158="",$B158="",$D158="",$E158="",$F158="",$G158=""),AND($G158="À migrer",OR($H158="",$I158="",$J158="",$K158="",$L158="",$N158="",$O158="",$P158="",$Q158="",$R158="")),AND($G158="Migré",OR($J158="",$K158="",$L158="")),AND($G158="À décommissionner",OR($I158="",$N158="",$O158="",$R158=""))),"Données manquantes (selon l’action)",IF(AND($G158&lt;&gt;"Migré",$G158&lt;&gt;"À migrer",$G158&lt;&gt;"À décommissionner",$G158&lt;&gt;"Décommissionné"),"Action invalide",IF(COUNTIF(TblDomaines[Domaine],$A158)=0,"Domaine inconnu (référentiel)",IF(COUNTIFS(TblTribes[Tribe],$B158,TblTribes[Domaine de la tribe],$A158)=0,"Tribe inconnue ou hors domaine",IF(AND($G158="À migrer",$H158&lt;&gt;"Oui",$H158&lt;&gt;"Non"),"Valeur Oui/Non invalide (Déjà incluse ROKS)",IF(AND($E158&lt;&gt;"PRD",$E158&lt;&gt;"NPRD"),"Environnement invalide",IF(COUNTIFS(TblApplications[ID],$C158,TblApplications[Environnement],$E158,TblApplications[Couloir],$F158)&gt;1,"Déploiement en doublon (ID + env + couloir)",IF(OR(AND($K158&lt;&gt;"",NOT(ISNUMBER($K158))),AND($L158&lt;&gt;"",NOT(ISNUMBER($L158))),AND($N158&lt;&gt;"",NOT(ISNUMBER($N158))),AND($O158&lt;&gt;"",NOT(ISNUMBER($O158)))),"Ressource non numérique",IF(MIN(N($K158),N($L158),N($N158),N($O158))&lt;0,"Ressource négative",IF(OR(AND($AC158&lt;&gt;"",OR(NOT(ISNUMBER($AC158)),$AC158&lt;0,$AC158&gt;1)),AND($AD158&lt;&gt;"",OR(NOT(ISNUMBER($AD158)),$AD158&lt;0,$AD158&gt;1))),"Marge spécifique invalide (0–100 %)",IF(OR(AND($P158&lt;&gt;"",NOT(ISNUMBER($P158))),AND($Q158&lt;&gt;"",NOT(ISNUMBER($Q158))),AND($R158&lt;&gt;"",NOT(ISNUMBER($R158)))),"Mois invalide",IF(AND(OR($G158="À migrer",$G158="À décommissionner"),COUNTIFS(TblClusters[Cluster],$I158,TblClusters[Plateforme],"IKS")=0),"Cluster IKS inconnu",IF(AND(OR($G158="À migrer",$G158="Migré"),COUNTIFS(TblClusters[Cluster],$J158,TblClusters[Plateforme],"ROKS")=0),"Cluster ROKS inconnu",IF(AND(OR($G158="À migrer",$G158="À décommissionner"),COUNTIFS(TblClusters[Cluster],$I158,TblClusters[Environnement],$E158)=0),"Environnement ≠ cluster IKS",IF(AND(OR($G158="À migrer",$G158="Migré"),COUNTIFS(TblClusters[Cluster],$J158,TblClusters[Environnement],$E158)=0),"Environnement ≠ cluster ROKS",IF(AND($G158="À migrer",OR($P158&gt;$Q158,$Q158&gt;$R158)),"Dates incohérentes (prov ≤ bascule ≤ libération)",IF(AND(OR($G158="À migrer",$G158="À décommissionner"),OR(N($N158)&gt;SUMIFS(TblClusters[CPU initial (vCPU)],TblClusters[Cluster],$I158),N($O158)&gt;SUMIFS(TblClusters[RAM initiale (Go)],TblClusters[Cluster],$I158))),"Libération &gt; capacité du cluster source",IF(OR(AND($V158&lt;&gt;"",$V158&lt;p_debut),AND($W158&lt;&gt;"",$W158&gt;p_fin)),"Hors horizon (info)",IF(AND($G158="À migrer",$E158="PRD",COUNTIFS(TblApplications[ID],$C158,TblApplications[Environnement],"NPRD",TblApplications[Action],"À migrer")&gt;0,$V158&lt;_xlfn.MINIFS(TblApplications[Mois prov (calc)],TblApplications[ID],$C158,TblApplications[Environnement],"NPRD")),"PRD avant NPRD (info)","OK"))))))))))))))))))))</f>
        <v/>
      </c>
      <c r="AC158" s="76"/>
      <c r="AD158" s="76"/>
      <c r="AE158" s="22" t="str">
        <f aca="false">IF(OR($C158="",NOT(OR($G158="À migrer",$G158="À décommissionner")),NOT(ISNUMBER($N158)),NOT(ISNUMBER($O158)),$W158=""),"",($N158+p_poidsram*$O158)*SUMIFS(TblCalculs[Coût par unité],TblCalculs[Cluster],$I158,TblCalculs[Mois],"&lt;"&amp;$W158))</f>
        <v/>
      </c>
      <c r="AF158" s="22" t="str">
        <f aca="false">IF($C158="","",IF(AND($G158="À migrer",$H158="Non",$T158&lt;&gt;"",$V158&lt;&gt;""),($T158+p_poidsram*$U158)*SUMIFS(TblCalculs[Coût par unité],TblCalculs[Cluster],$J158,TblCalculs[Mois],"&gt;="&amp;$V158),IF(AND($G158="Migré",$T158&lt;&gt;""),($T158+p_poidsram*$U158)*SUMIFS(TblCalculs[Coût par unité],TblCalculs[Cluster],$J158),"")))</f>
        <v/>
      </c>
      <c r="AG158" s="22" t="str">
        <f aca="false">IF($C158="","",N($AE158)+N($AF158))</f>
        <v/>
      </c>
      <c r="AH158" s="21" t="str">
        <f aca="false">IF(OR($C158="",$G158="Décommissionné",COUNTIFS($E158,av_envc,$A158,av_domc,$B158,av_tric)=0),"",COUNTIFS($C$6:$C158,"&lt;&gt;",$G$6:$G158,"&lt;&gt;Décommissionné",$E$6:$E158,av_envc,$A$6:$A158,av_domc,$B$6:$B158,av_tric))</f>
        <v/>
      </c>
      <c r="AI158" s="21" t="str">
        <f aca="false">IF($C158="","",IF(AND(OR($G158="À migrer",$G158="À décommissionner"),$W158&lt;&gt;"",$W158&gt;ex_mois),1,0))</f>
        <v/>
      </c>
      <c r="AJ158" s="21" t="str">
        <f aca="false">IF(OR($C158="",$AI158&lt;&gt;1,COUNTIFS($E158,ex_envc,$A158,ex_domc,$B158,ex_tric)=0),"",COUNTIFS($AI$6:$AI158,1,$E$6:$E158,ex_envc,$A$6:$A158,ex_domc,$B$6:$B158,ex_tric))</f>
        <v/>
      </c>
    </row>
    <row r="159" customFormat="false" ht="15" hidden="false" customHeight="false" outlineLevel="0" collapsed="false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5"/>
      <c r="Q159" s="75"/>
      <c r="R159" s="75"/>
      <c r="S159" s="74"/>
      <c r="T159" s="21" t="str">
        <f aca="false">IF(OR($C159="",NOT(OR($G159="À migrer",$G159="Migré")),NOT(ISNUMBER($K159))),"",ROUNDUP($K159*(1+IF($AC159="",p_margeCPU,$AC159)),0))</f>
        <v/>
      </c>
      <c r="U159" s="21" t="str">
        <f aca="false">IF(OR($C159="",NOT(OR($G159="À migrer",$G159="Migré")),NOT(ISNUMBER($L159))),"",ROUNDUP($L159*(1+IF($AD159="",p_margeRAM,$AD159)),0))</f>
        <v/>
      </c>
      <c r="V159" s="39" t="str">
        <f aca="false">IF(OR(NOT($G159="À migrer"),$P159=""),"",IFERROR(DATE(YEAR($P159),MONTH($P159),1),""))</f>
        <v/>
      </c>
      <c r="W159" s="39" t="str">
        <f aca="false">IF(OR(NOT(OR($G159="À migrer",$G159="À décommissionner")),$R159=""),"",IFERROR(DATE(YEAR($R159),MONTH($R159),1),""))</f>
        <v/>
      </c>
      <c r="X159" s="21" t="str">
        <f aca="false">IF(OR($V159="",$W159=""),"",MAX(0,(YEAR($W159)-YEAR($V159))*12+MONTH($W159)-MONTH($V159)))</f>
        <v/>
      </c>
      <c r="Y159" s="21" t="str">
        <f aca="false">IF($C159="","",COUNTIF(TblApplications[ID],$C159))</f>
        <v/>
      </c>
      <c r="Z159" s="39" t="str">
        <f aca="false">IF($C159="","",IFERROR(1/(1/_xlfn.MINIFS(TblApplications[Mois prov (calc)],TblApplications[ID],$C159)),""))</f>
        <v/>
      </c>
      <c r="AA159" s="39" t="str">
        <f aca="false">IF($C159="","",IFERROR(1/(1/_xlfn.MAXIFS(TblApplications[Mois lib (calc)],TblApplications[ID],$C159)),""))</f>
        <v/>
      </c>
      <c r="AB159" s="21" t="str">
        <f aca="false">IF($C159="","",IF(OR(OR($A159="",$B159="",$D159="",$E159="",$F159="",$G159=""),AND($G159="À migrer",OR($H159="",$I159="",$J159="",$K159="",$L159="",$N159="",$O159="",$P159="",$Q159="",$R159="")),AND($G159="Migré",OR($J159="",$K159="",$L159="")),AND($G159="À décommissionner",OR($I159="",$N159="",$O159="",$R159=""))),"Données manquantes (selon l’action)",IF(AND($G159&lt;&gt;"Migré",$G159&lt;&gt;"À migrer",$G159&lt;&gt;"À décommissionner",$G159&lt;&gt;"Décommissionné"),"Action invalide",IF(COUNTIF(TblDomaines[Domaine],$A159)=0,"Domaine inconnu (référentiel)",IF(COUNTIFS(TblTribes[Tribe],$B159,TblTribes[Domaine de la tribe],$A159)=0,"Tribe inconnue ou hors domaine",IF(AND($G159="À migrer",$H159&lt;&gt;"Oui",$H159&lt;&gt;"Non"),"Valeur Oui/Non invalide (Déjà incluse ROKS)",IF(AND($E159&lt;&gt;"PRD",$E159&lt;&gt;"NPRD"),"Environnement invalide",IF(COUNTIFS(TblApplications[ID],$C159,TblApplications[Environnement],$E159,TblApplications[Couloir],$F159)&gt;1,"Déploiement en doublon (ID + env + couloir)",IF(OR(AND($K159&lt;&gt;"",NOT(ISNUMBER($K159))),AND($L159&lt;&gt;"",NOT(ISNUMBER($L159))),AND($N159&lt;&gt;"",NOT(ISNUMBER($N159))),AND($O159&lt;&gt;"",NOT(ISNUMBER($O159)))),"Ressource non numérique",IF(MIN(N($K159),N($L159),N($N159),N($O159))&lt;0,"Ressource négative",IF(OR(AND($AC159&lt;&gt;"",OR(NOT(ISNUMBER($AC159)),$AC159&lt;0,$AC159&gt;1)),AND($AD159&lt;&gt;"",OR(NOT(ISNUMBER($AD159)),$AD159&lt;0,$AD159&gt;1))),"Marge spécifique invalide (0–100 %)",IF(OR(AND($P159&lt;&gt;"",NOT(ISNUMBER($P159))),AND($Q159&lt;&gt;"",NOT(ISNUMBER($Q159))),AND($R159&lt;&gt;"",NOT(ISNUMBER($R159)))),"Mois invalide",IF(AND(OR($G159="À migrer",$G159="À décommissionner"),COUNTIFS(TblClusters[Cluster],$I159,TblClusters[Plateforme],"IKS")=0),"Cluster IKS inconnu",IF(AND(OR($G159="À migrer",$G159="Migré"),COUNTIFS(TblClusters[Cluster],$J159,TblClusters[Plateforme],"ROKS")=0),"Cluster ROKS inconnu",IF(AND(OR($G159="À migrer",$G159="À décommissionner"),COUNTIFS(TblClusters[Cluster],$I159,TblClusters[Environnement],$E159)=0),"Environnement ≠ cluster IKS",IF(AND(OR($G159="À migrer",$G159="Migré"),COUNTIFS(TblClusters[Cluster],$J159,TblClusters[Environnement],$E159)=0),"Environnement ≠ cluster ROKS",IF(AND($G159="À migrer",OR($P159&gt;$Q159,$Q159&gt;$R159)),"Dates incohérentes (prov ≤ bascule ≤ libération)",IF(AND(OR($G159="À migrer",$G159="À décommissionner"),OR(N($N159)&gt;SUMIFS(TblClusters[CPU initial (vCPU)],TblClusters[Cluster],$I159),N($O159)&gt;SUMIFS(TblClusters[RAM initiale (Go)],TblClusters[Cluster],$I159))),"Libération &gt; capacité du cluster source",IF(OR(AND($V159&lt;&gt;"",$V159&lt;p_debut),AND($W159&lt;&gt;"",$W159&gt;p_fin)),"Hors horizon (info)",IF(AND($G159="À migrer",$E159="PRD",COUNTIFS(TblApplications[ID],$C159,TblApplications[Environnement],"NPRD",TblApplications[Action],"À migrer")&gt;0,$V159&lt;_xlfn.MINIFS(TblApplications[Mois prov (calc)],TblApplications[ID],$C159,TblApplications[Environnement],"NPRD")),"PRD avant NPRD (info)","OK"))))))))))))))))))))</f>
        <v/>
      </c>
      <c r="AC159" s="76"/>
      <c r="AD159" s="76"/>
      <c r="AE159" s="22" t="str">
        <f aca="false">IF(OR($C159="",NOT(OR($G159="À migrer",$G159="À décommissionner")),NOT(ISNUMBER($N159)),NOT(ISNUMBER($O159)),$W159=""),"",($N159+p_poidsram*$O159)*SUMIFS(TblCalculs[Coût par unité],TblCalculs[Cluster],$I159,TblCalculs[Mois],"&lt;"&amp;$W159))</f>
        <v/>
      </c>
      <c r="AF159" s="22" t="str">
        <f aca="false">IF($C159="","",IF(AND($G159="À migrer",$H159="Non",$T159&lt;&gt;"",$V159&lt;&gt;""),($T159+p_poidsram*$U159)*SUMIFS(TblCalculs[Coût par unité],TblCalculs[Cluster],$J159,TblCalculs[Mois],"&gt;="&amp;$V159),IF(AND($G159="Migré",$T159&lt;&gt;""),($T159+p_poidsram*$U159)*SUMIFS(TblCalculs[Coût par unité],TblCalculs[Cluster],$J159),"")))</f>
        <v/>
      </c>
      <c r="AG159" s="22" t="str">
        <f aca="false">IF($C159="","",N($AE159)+N($AF159))</f>
        <v/>
      </c>
      <c r="AH159" s="21" t="str">
        <f aca="false">IF(OR($C159="",$G159="Décommissionné",COUNTIFS($E159,av_envc,$A159,av_domc,$B159,av_tric)=0),"",COUNTIFS($C$6:$C159,"&lt;&gt;",$G$6:$G159,"&lt;&gt;Décommissionné",$E$6:$E159,av_envc,$A$6:$A159,av_domc,$B$6:$B159,av_tric))</f>
        <v/>
      </c>
      <c r="AI159" s="21" t="str">
        <f aca="false">IF($C159="","",IF(AND(OR($G159="À migrer",$G159="À décommissionner"),$W159&lt;&gt;"",$W159&gt;ex_mois),1,0))</f>
        <v/>
      </c>
      <c r="AJ159" s="21" t="str">
        <f aca="false">IF(OR($C159="",$AI159&lt;&gt;1,COUNTIFS($E159,ex_envc,$A159,ex_domc,$B159,ex_tric)=0),"",COUNTIFS($AI$6:$AI159,1,$E$6:$E159,ex_envc,$A$6:$A159,ex_domc,$B$6:$B159,ex_tric))</f>
        <v/>
      </c>
    </row>
    <row r="160" customFormat="false" ht="15" hidden="false" customHeight="false" outlineLevel="0" collapsed="false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5"/>
      <c r="Q160" s="75"/>
      <c r="R160" s="75"/>
      <c r="S160" s="74"/>
      <c r="T160" s="21" t="str">
        <f aca="false">IF(OR($C160="",NOT(OR($G160="À migrer",$G160="Migré")),NOT(ISNUMBER($K160))),"",ROUNDUP($K160*(1+IF($AC160="",p_margeCPU,$AC160)),0))</f>
        <v/>
      </c>
      <c r="U160" s="21" t="str">
        <f aca="false">IF(OR($C160="",NOT(OR($G160="À migrer",$G160="Migré")),NOT(ISNUMBER($L160))),"",ROUNDUP($L160*(1+IF($AD160="",p_margeRAM,$AD160)),0))</f>
        <v/>
      </c>
      <c r="V160" s="39" t="str">
        <f aca="false">IF(OR(NOT($G160="À migrer"),$P160=""),"",IFERROR(DATE(YEAR($P160),MONTH($P160),1),""))</f>
        <v/>
      </c>
      <c r="W160" s="39" t="str">
        <f aca="false">IF(OR(NOT(OR($G160="À migrer",$G160="À décommissionner")),$R160=""),"",IFERROR(DATE(YEAR($R160),MONTH($R160),1),""))</f>
        <v/>
      </c>
      <c r="X160" s="21" t="str">
        <f aca="false">IF(OR($V160="",$W160=""),"",MAX(0,(YEAR($W160)-YEAR($V160))*12+MONTH($W160)-MONTH($V160)))</f>
        <v/>
      </c>
      <c r="Y160" s="21" t="str">
        <f aca="false">IF($C160="","",COUNTIF(TblApplications[ID],$C160))</f>
        <v/>
      </c>
      <c r="Z160" s="39" t="str">
        <f aca="false">IF($C160="","",IFERROR(1/(1/_xlfn.MINIFS(TblApplications[Mois prov (calc)],TblApplications[ID],$C160)),""))</f>
        <v/>
      </c>
      <c r="AA160" s="39" t="str">
        <f aca="false">IF($C160="","",IFERROR(1/(1/_xlfn.MAXIFS(TblApplications[Mois lib (calc)],TblApplications[ID],$C160)),""))</f>
        <v/>
      </c>
      <c r="AB160" s="21" t="str">
        <f aca="false">IF($C160="","",IF(OR(OR($A160="",$B160="",$D160="",$E160="",$F160="",$G160=""),AND($G160="À migrer",OR($H160="",$I160="",$J160="",$K160="",$L160="",$N160="",$O160="",$P160="",$Q160="",$R160="")),AND($G160="Migré",OR($J160="",$K160="",$L160="")),AND($G160="À décommissionner",OR($I160="",$N160="",$O160="",$R160=""))),"Données manquantes (selon l’action)",IF(AND($G160&lt;&gt;"Migré",$G160&lt;&gt;"À migrer",$G160&lt;&gt;"À décommissionner",$G160&lt;&gt;"Décommissionné"),"Action invalide",IF(COUNTIF(TblDomaines[Domaine],$A160)=0,"Domaine inconnu (référentiel)",IF(COUNTIFS(TblTribes[Tribe],$B160,TblTribes[Domaine de la tribe],$A160)=0,"Tribe inconnue ou hors domaine",IF(AND($G160="À migrer",$H160&lt;&gt;"Oui",$H160&lt;&gt;"Non"),"Valeur Oui/Non invalide (Déjà incluse ROKS)",IF(AND($E160&lt;&gt;"PRD",$E160&lt;&gt;"NPRD"),"Environnement invalide",IF(COUNTIFS(TblApplications[ID],$C160,TblApplications[Environnement],$E160,TblApplications[Couloir],$F160)&gt;1,"Déploiement en doublon (ID + env + couloir)",IF(OR(AND($K160&lt;&gt;"",NOT(ISNUMBER($K160))),AND($L160&lt;&gt;"",NOT(ISNUMBER($L160))),AND($N160&lt;&gt;"",NOT(ISNUMBER($N160))),AND($O160&lt;&gt;"",NOT(ISNUMBER($O160)))),"Ressource non numérique",IF(MIN(N($K160),N($L160),N($N160),N($O160))&lt;0,"Ressource négative",IF(OR(AND($AC160&lt;&gt;"",OR(NOT(ISNUMBER($AC160)),$AC160&lt;0,$AC160&gt;1)),AND($AD160&lt;&gt;"",OR(NOT(ISNUMBER($AD160)),$AD160&lt;0,$AD160&gt;1))),"Marge spécifique invalide (0–100 %)",IF(OR(AND($P160&lt;&gt;"",NOT(ISNUMBER($P160))),AND($Q160&lt;&gt;"",NOT(ISNUMBER($Q160))),AND($R160&lt;&gt;"",NOT(ISNUMBER($R160)))),"Mois invalide",IF(AND(OR($G160="À migrer",$G160="À décommissionner"),COUNTIFS(TblClusters[Cluster],$I160,TblClusters[Plateforme],"IKS")=0),"Cluster IKS inconnu",IF(AND(OR($G160="À migrer",$G160="Migré"),COUNTIFS(TblClusters[Cluster],$J160,TblClusters[Plateforme],"ROKS")=0),"Cluster ROKS inconnu",IF(AND(OR($G160="À migrer",$G160="À décommissionner"),COUNTIFS(TblClusters[Cluster],$I160,TblClusters[Environnement],$E160)=0),"Environnement ≠ cluster IKS",IF(AND(OR($G160="À migrer",$G160="Migré"),COUNTIFS(TblClusters[Cluster],$J160,TblClusters[Environnement],$E160)=0),"Environnement ≠ cluster ROKS",IF(AND($G160="À migrer",OR($P160&gt;$Q160,$Q160&gt;$R160)),"Dates incohérentes (prov ≤ bascule ≤ libération)",IF(AND(OR($G160="À migrer",$G160="À décommissionner"),OR(N($N160)&gt;SUMIFS(TblClusters[CPU initial (vCPU)],TblClusters[Cluster],$I160),N($O160)&gt;SUMIFS(TblClusters[RAM initiale (Go)],TblClusters[Cluster],$I160))),"Libération &gt; capacité du cluster source",IF(OR(AND($V160&lt;&gt;"",$V160&lt;p_debut),AND($W160&lt;&gt;"",$W160&gt;p_fin)),"Hors horizon (info)",IF(AND($G160="À migrer",$E160="PRD",COUNTIFS(TblApplications[ID],$C160,TblApplications[Environnement],"NPRD",TblApplications[Action],"À migrer")&gt;0,$V160&lt;_xlfn.MINIFS(TblApplications[Mois prov (calc)],TblApplications[ID],$C160,TblApplications[Environnement],"NPRD")),"PRD avant NPRD (info)","OK"))))))))))))))))))))</f>
        <v/>
      </c>
      <c r="AC160" s="76"/>
      <c r="AD160" s="76"/>
      <c r="AE160" s="22" t="str">
        <f aca="false">IF(OR($C160="",NOT(OR($G160="À migrer",$G160="À décommissionner")),NOT(ISNUMBER($N160)),NOT(ISNUMBER($O160)),$W160=""),"",($N160+p_poidsram*$O160)*SUMIFS(TblCalculs[Coût par unité],TblCalculs[Cluster],$I160,TblCalculs[Mois],"&lt;"&amp;$W160))</f>
        <v/>
      </c>
      <c r="AF160" s="22" t="str">
        <f aca="false">IF($C160="","",IF(AND($G160="À migrer",$H160="Non",$T160&lt;&gt;"",$V160&lt;&gt;""),($T160+p_poidsram*$U160)*SUMIFS(TblCalculs[Coût par unité],TblCalculs[Cluster],$J160,TblCalculs[Mois],"&gt;="&amp;$V160),IF(AND($G160="Migré",$T160&lt;&gt;""),($T160+p_poidsram*$U160)*SUMIFS(TblCalculs[Coût par unité],TblCalculs[Cluster],$J160),"")))</f>
        <v/>
      </c>
      <c r="AG160" s="22" t="str">
        <f aca="false">IF($C160="","",N($AE160)+N($AF160))</f>
        <v/>
      </c>
      <c r="AH160" s="21" t="str">
        <f aca="false">IF(OR($C160="",$G160="Décommissionné",COUNTIFS($E160,av_envc,$A160,av_domc,$B160,av_tric)=0),"",COUNTIFS($C$6:$C160,"&lt;&gt;",$G$6:$G160,"&lt;&gt;Décommissionné",$E$6:$E160,av_envc,$A$6:$A160,av_domc,$B$6:$B160,av_tric))</f>
        <v/>
      </c>
      <c r="AI160" s="21" t="str">
        <f aca="false">IF($C160="","",IF(AND(OR($G160="À migrer",$G160="À décommissionner"),$W160&lt;&gt;"",$W160&gt;ex_mois),1,0))</f>
        <v/>
      </c>
      <c r="AJ160" s="21" t="str">
        <f aca="false">IF(OR($C160="",$AI160&lt;&gt;1,COUNTIFS($E160,ex_envc,$A160,ex_domc,$B160,ex_tric)=0),"",COUNTIFS($AI$6:$AI160,1,$E$6:$E160,ex_envc,$A$6:$A160,ex_domc,$B$6:$B160,ex_tric))</f>
        <v/>
      </c>
    </row>
    <row r="161" customFormat="false" ht="15" hidden="false" customHeight="false" outlineLevel="0" collapsed="false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5"/>
      <c r="Q161" s="75"/>
      <c r="R161" s="75"/>
      <c r="S161" s="74"/>
      <c r="T161" s="21" t="str">
        <f aca="false">IF(OR($C161="",NOT(OR($G161="À migrer",$G161="Migré")),NOT(ISNUMBER($K161))),"",ROUNDUP($K161*(1+IF($AC161="",p_margeCPU,$AC161)),0))</f>
        <v/>
      </c>
      <c r="U161" s="21" t="str">
        <f aca="false">IF(OR($C161="",NOT(OR($G161="À migrer",$G161="Migré")),NOT(ISNUMBER($L161))),"",ROUNDUP($L161*(1+IF($AD161="",p_margeRAM,$AD161)),0))</f>
        <v/>
      </c>
      <c r="V161" s="39" t="str">
        <f aca="false">IF(OR(NOT($G161="À migrer"),$P161=""),"",IFERROR(DATE(YEAR($P161),MONTH($P161),1),""))</f>
        <v/>
      </c>
      <c r="W161" s="39" t="str">
        <f aca="false">IF(OR(NOT(OR($G161="À migrer",$G161="À décommissionner")),$R161=""),"",IFERROR(DATE(YEAR($R161),MONTH($R161),1),""))</f>
        <v/>
      </c>
      <c r="X161" s="21" t="str">
        <f aca="false">IF(OR($V161="",$W161=""),"",MAX(0,(YEAR($W161)-YEAR($V161))*12+MONTH($W161)-MONTH($V161)))</f>
        <v/>
      </c>
      <c r="Y161" s="21" t="str">
        <f aca="false">IF($C161="","",COUNTIF(TblApplications[ID],$C161))</f>
        <v/>
      </c>
      <c r="Z161" s="39" t="str">
        <f aca="false">IF($C161="","",IFERROR(1/(1/_xlfn.MINIFS(TblApplications[Mois prov (calc)],TblApplications[ID],$C161)),""))</f>
        <v/>
      </c>
      <c r="AA161" s="39" t="str">
        <f aca="false">IF($C161="","",IFERROR(1/(1/_xlfn.MAXIFS(TblApplications[Mois lib (calc)],TblApplications[ID],$C161)),""))</f>
        <v/>
      </c>
      <c r="AB161" s="21" t="str">
        <f aca="false">IF($C161="","",IF(OR(OR($A161="",$B161="",$D161="",$E161="",$F161="",$G161=""),AND($G161="À migrer",OR($H161="",$I161="",$J161="",$K161="",$L161="",$N161="",$O161="",$P161="",$Q161="",$R161="")),AND($G161="Migré",OR($J161="",$K161="",$L161="")),AND($G161="À décommissionner",OR($I161="",$N161="",$O161="",$R161=""))),"Données manquantes (selon l’action)",IF(AND($G161&lt;&gt;"Migré",$G161&lt;&gt;"À migrer",$G161&lt;&gt;"À décommissionner",$G161&lt;&gt;"Décommissionné"),"Action invalide",IF(COUNTIF(TblDomaines[Domaine],$A161)=0,"Domaine inconnu (référentiel)",IF(COUNTIFS(TblTribes[Tribe],$B161,TblTribes[Domaine de la tribe],$A161)=0,"Tribe inconnue ou hors domaine",IF(AND($G161="À migrer",$H161&lt;&gt;"Oui",$H161&lt;&gt;"Non"),"Valeur Oui/Non invalide (Déjà incluse ROKS)",IF(AND($E161&lt;&gt;"PRD",$E161&lt;&gt;"NPRD"),"Environnement invalide",IF(COUNTIFS(TblApplications[ID],$C161,TblApplications[Environnement],$E161,TblApplications[Couloir],$F161)&gt;1,"Déploiement en doublon (ID + env + couloir)",IF(OR(AND($K161&lt;&gt;"",NOT(ISNUMBER($K161))),AND($L161&lt;&gt;"",NOT(ISNUMBER($L161))),AND($N161&lt;&gt;"",NOT(ISNUMBER($N161))),AND($O161&lt;&gt;"",NOT(ISNUMBER($O161)))),"Ressource non numérique",IF(MIN(N($K161),N($L161),N($N161),N($O161))&lt;0,"Ressource négative",IF(OR(AND($AC161&lt;&gt;"",OR(NOT(ISNUMBER($AC161)),$AC161&lt;0,$AC161&gt;1)),AND($AD161&lt;&gt;"",OR(NOT(ISNUMBER($AD161)),$AD161&lt;0,$AD161&gt;1))),"Marge spécifique invalide (0–100 %)",IF(OR(AND($P161&lt;&gt;"",NOT(ISNUMBER($P161))),AND($Q161&lt;&gt;"",NOT(ISNUMBER($Q161))),AND($R161&lt;&gt;"",NOT(ISNUMBER($R161)))),"Mois invalide",IF(AND(OR($G161="À migrer",$G161="À décommissionner"),COUNTIFS(TblClusters[Cluster],$I161,TblClusters[Plateforme],"IKS")=0),"Cluster IKS inconnu",IF(AND(OR($G161="À migrer",$G161="Migré"),COUNTIFS(TblClusters[Cluster],$J161,TblClusters[Plateforme],"ROKS")=0),"Cluster ROKS inconnu",IF(AND(OR($G161="À migrer",$G161="À décommissionner"),COUNTIFS(TblClusters[Cluster],$I161,TblClusters[Environnement],$E161)=0),"Environnement ≠ cluster IKS",IF(AND(OR($G161="À migrer",$G161="Migré"),COUNTIFS(TblClusters[Cluster],$J161,TblClusters[Environnement],$E161)=0),"Environnement ≠ cluster ROKS",IF(AND($G161="À migrer",OR($P161&gt;$Q161,$Q161&gt;$R161)),"Dates incohérentes (prov ≤ bascule ≤ libération)",IF(AND(OR($G161="À migrer",$G161="À décommissionner"),OR(N($N161)&gt;SUMIFS(TblClusters[CPU initial (vCPU)],TblClusters[Cluster],$I161),N($O161)&gt;SUMIFS(TblClusters[RAM initiale (Go)],TblClusters[Cluster],$I161))),"Libération &gt; capacité du cluster source",IF(OR(AND($V161&lt;&gt;"",$V161&lt;p_debut),AND($W161&lt;&gt;"",$W161&gt;p_fin)),"Hors horizon (info)",IF(AND($G161="À migrer",$E161="PRD",COUNTIFS(TblApplications[ID],$C161,TblApplications[Environnement],"NPRD",TblApplications[Action],"À migrer")&gt;0,$V161&lt;_xlfn.MINIFS(TblApplications[Mois prov (calc)],TblApplications[ID],$C161,TblApplications[Environnement],"NPRD")),"PRD avant NPRD (info)","OK"))))))))))))))))))))</f>
        <v/>
      </c>
      <c r="AC161" s="76"/>
      <c r="AD161" s="76"/>
      <c r="AE161" s="22" t="str">
        <f aca="false">IF(OR($C161="",NOT(OR($G161="À migrer",$G161="À décommissionner")),NOT(ISNUMBER($N161)),NOT(ISNUMBER($O161)),$W161=""),"",($N161+p_poidsram*$O161)*SUMIFS(TblCalculs[Coût par unité],TblCalculs[Cluster],$I161,TblCalculs[Mois],"&lt;"&amp;$W161))</f>
        <v/>
      </c>
      <c r="AF161" s="22" t="str">
        <f aca="false">IF($C161="","",IF(AND($G161="À migrer",$H161="Non",$T161&lt;&gt;"",$V161&lt;&gt;""),($T161+p_poidsram*$U161)*SUMIFS(TblCalculs[Coût par unité],TblCalculs[Cluster],$J161,TblCalculs[Mois],"&gt;="&amp;$V161),IF(AND($G161="Migré",$T161&lt;&gt;""),($T161+p_poidsram*$U161)*SUMIFS(TblCalculs[Coût par unité],TblCalculs[Cluster],$J161),"")))</f>
        <v/>
      </c>
      <c r="AG161" s="22" t="str">
        <f aca="false">IF($C161="","",N($AE161)+N($AF161))</f>
        <v/>
      </c>
      <c r="AH161" s="21" t="str">
        <f aca="false">IF(OR($C161="",$G161="Décommissionné",COUNTIFS($E161,av_envc,$A161,av_domc,$B161,av_tric)=0),"",COUNTIFS($C$6:$C161,"&lt;&gt;",$G$6:$G161,"&lt;&gt;Décommissionné",$E$6:$E161,av_envc,$A$6:$A161,av_domc,$B$6:$B161,av_tric))</f>
        <v/>
      </c>
      <c r="AI161" s="21" t="str">
        <f aca="false">IF($C161="","",IF(AND(OR($G161="À migrer",$G161="À décommissionner"),$W161&lt;&gt;"",$W161&gt;ex_mois),1,0))</f>
        <v/>
      </c>
      <c r="AJ161" s="21" t="str">
        <f aca="false">IF(OR($C161="",$AI161&lt;&gt;1,COUNTIFS($E161,ex_envc,$A161,ex_domc,$B161,ex_tric)=0),"",COUNTIFS($AI$6:$AI161,1,$E$6:$E161,ex_envc,$A$6:$A161,ex_domc,$B$6:$B161,ex_tric))</f>
        <v/>
      </c>
    </row>
    <row r="162" customFormat="false" ht="15" hidden="false" customHeight="false" outlineLevel="0" collapsed="false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5"/>
      <c r="Q162" s="75"/>
      <c r="R162" s="75"/>
      <c r="S162" s="74"/>
      <c r="T162" s="21" t="str">
        <f aca="false">IF(OR($C162="",NOT(OR($G162="À migrer",$G162="Migré")),NOT(ISNUMBER($K162))),"",ROUNDUP($K162*(1+IF($AC162="",p_margeCPU,$AC162)),0))</f>
        <v/>
      </c>
      <c r="U162" s="21" t="str">
        <f aca="false">IF(OR($C162="",NOT(OR($G162="À migrer",$G162="Migré")),NOT(ISNUMBER($L162))),"",ROUNDUP($L162*(1+IF($AD162="",p_margeRAM,$AD162)),0))</f>
        <v/>
      </c>
      <c r="V162" s="39" t="str">
        <f aca="false">IF(OR(NOT($G162="À migrer"),$P162=""),"",IFERROR(DATE(YEAR($P162),MONTH($P162),1),""))</f>
        <v/>
      </c>
      <c r="W162" s="39" t="str">
        <f aca="false">IF(OR(NOT(OR($G162="À migrer",$G162="À décommissionner")),$R162=""),"",IFERROR(DATE(YEAR($R162),MONTH($R162),1),""))</f>
        <v/>
      </c>
      <c r="X162" s="21" t="str">
        <f aca="false">IF(OR($V162="",$W162=""),"",MAX(0,(YEAR($W162)-YEAR($V162))*12+MONTH($W162)-MONTH($V162)))</f>
        <v/>
      </c>
      <c r="Y162" s="21" t="str">
        <f aca="false">IF($C162="","",COUNTIF(TblApplications[ID],$C162))</f>
        <v/>
      </c>
      <c r="Z162" s="39" t="str">
        <f aca="false">IF($C162="","",IFERROR(1/(1/_xlfn.MINIFS(TblApplications[Mois prov (calc)],TblApplications[ID],$C162)),""))</f>
        <v/>
      </c>
      <c r="AA162" s="39" t="str">
        <f aca="false">IF($C162="","",IFERROR(1/(1/_xlfn.MAXIFS(TblApplications[Mois lib (calc)],TblApplications[ID],$C162)),""))</f>
        <v/>
      </c>
      <c r="AB162" s="21" t="str">
        <f aca="false">IF($C162="","",IF(OR(OR($A162="",$B162="",$D162="",$E162="",$F162="",$G162=""),AND($G162="À migrer",OR($H162="",$I162="",$J162="",$K162="",$L162="",$N162="",$O162="",$P162="",$Q162="",$R162="")),AND($G162="Migré",OR($J162="",$K162="",$L162="")),AND($G162="À décommissionner",OR($I162="",$N162="",$O162="",$R162=""))),"Données manquantes (selon l’action)",IF(AND($G162&lt;&gt;"Migré",$G162&lt;&gt;"À migrer",$G162&lt;&gt;"À décommissionner",$G162&lt;&gt;"Décommissionné"),"Action invalide",IF(COUNTIF(TblDomaines[Domaine],$A162)=0,"Domaine inconnu (référentiel)",IF(COUNTIFS(TblTribes[Tribe],$B162,TblTribes[Domaine de la tribe],$A162)=0,"Tribe inconnue ou hors domaine",IF(AND($G162="À migrer",$H162&lt;&gt;"Oui",$H162&lt;&gt;"Non"),"Valeur Oui/Non invalide (Déjà incluse ROKS)",IF(AND($E162&lt;&gt;"PRD",$E162&lt;&gt;"NPRD"),"Environnement invalide",IF(COUNTIFS(TblApplications[ID],$C162,TblApplications[Environnement],$E162,TblApplications[Couloir],$F162)&gt;1,"Déploiement en doublon (ID + env + couloir)",IF(OR(AND($K162&lt;&gt;"",NOT(ISNUMBER($K162))),AND($L162&lt;&gt;"",NOT(ISNUMBER($L162))),AND($N162&lt;&gt;"",NOT(ISNUMBER($N162))),AND($O162&lt;&gt;"",NOT(ISNUMBER($O162)))),"Ressource non numérique",IF(MIN(N($K162),N($L162),N($N162),N($O162))&lt;0,"Ressource négative",IF(OR(AND($AC162&lt;&gt;"",OR(NOT(ISNUMBER($AC162)),$AC162&lt;0,$AC162&gt;1)),AND($AD162&lt;&gt;"",OR(NOT(ISNUMBER($AD162)),$AD162&lt;0,$AD162&gt;1))),"Marge spécifique invalide (0–100 %)",IF(OR(AND($P162&lt;&gt;"",NOT(ISNUMBER($P162))),AND($Q162&lt;&gt;"",NOT(ISNUMBER($Q162))),AND($R162&lt;&gt;"",NOT(ISNUMBER($R162)))),"Mois invalide",IF(AND(OR($G162="À migrer",$G162="À décommissionner"),COUNTIFS(TblClusters[Cluster],$I162,TblClusters[Plateforme],"IKS")=0),"Cluster IKS inconnu",IF(AND(OR($G162="À migrer",$G162="Migré"),COUNTIFS(TblClusters[Cluster],$J162,TblClusters[Plateforme],"ROKS")=0),"Cluster ROKS inconnu",IF(AND(OR($G162="À migrer",$G162="À décommissionner"),COUNTIFS(TblClusters[Cluster],$I162,TblClusters[Environnement],$E162)=0),"Environnement ≠ cluster IKS",IF(AND(OR($G162="À migrer",$G162="Migré"),COUNTIFS(TblClusters[Cluster],$J162,TblClusters[Environnement],$E162)=0),"Environnement ≠ cluster ROKS",IF(AND($G162="À migrer",OR($P162&gt;$Q162,$Q162&gt;$R162)),"Dates incohérentes (prov ≤ bascule ≤ libération)",IF(AND(OR($G162="À migrer",$G162="À décommissionner"),OR(N($N162)&gt;SUMIFS(TblClusters[CPU initial (vCPU)],TblClusters[Cluster],$I162),N($O162)&gt;SUMIFS(TblClusters[RAM initiale (Go)],TblClusters[Cluster],$I162))),"Libération &gt; capacité du cluster source",IF(OR(AND($V162&lt;&gt;"",$V162&lt;p_debut),AND($W162&lt;&gt;"",$W162&gt;p_fin)),"Hors horizon (info)",IF(AND($G162="À migrer",$E162="PRD",COUNTIFS(TblApplications[ID],$C162,TblApplications[Environnement],"NPRD",TblApplications[Action],"À migrer")&gt;0,$V162&lt;_xlfn.MINIFS(TblApplications[Mois prov (calc)],TblApplications[ID],$C162,TblApplications[Environnement],"NPRD")),"PRD avant NPRD (info)","OK"))))))))))))))))))))</f>
        <v/>
      </c>
      <c r="AC162" s="76"/>
      <c r="AD162" s="76"/>
      <c r="AE162" s="22" t="str">
        <f aca="false">IF(OR($C162="",NOT(OR($G162="À migrer",$G162="À décommissionner")),NOT(ISNUMBER($N162)),NOT(ISNUMBER($O162)),$W162=""),"",($N162+p_poidsram*$O162)*SUMIFS(TblCalculs[Coût par unité],TblCalculs[Cluster],$I162,TblCalculs[Mois],"&lt;"&amp;$W162))</f>
        <v/>
      </c>
      <c r="AF162" s="22" t="str">
        <f aca="false">IF($C162="","",IF(AND($G162="À migrer",$H162="Non",$T162&lt;&gt;"",$V162&lt;&gt;""),($T162+p_poidsram*$U162)*SUMIFS(TblCalculs[Coût par unité],TblCalculs[Cluster],$J162,TblCalculs[Mois],"&gt;="&amp;$V162),IF(AND($G162="Migré",$T162&lt;&gt;""),($T162+p_poidsram*$U162)*SUMIFS(TblCalculs[Coût par unité],TblCalculs[Cluster],$J162),"")))</f>
        <v/>
      </c>
      <c r="AG162" s="22" t="str">
        <f aca="false">IF($C162="","",N($AE162)+N($AF162))</f>
        <v/>
      </c>
      <c r="AH162" s="21" t="str">
        <f aca="false">IF(OR($C162="",$G162="Décommissionné",COUNTIFS($E162,av_envc,$A162,av_domc,$B162,av_tric)=0),"",COUNTIFS($C$6:$C162,"&lt;&gt;",$G$6:$G162,"&lt;&gt;Décommissionné",$E$6:$E162,av_envc,$A$6:$A162,av_domc,$B$6:$B162,av_tric))</f>
        <v/>
      </c>
      <c r="AI162" s="21" t="str">
        <f aca="false">IF($C162="","",IF(AND(OR($G162="À migrer",$G162="À décommissionner"),$W162&lt;&gt;"",$W162&gt;ex_mois),1,0))</f>
        <v/>
      </c>
      <c r="AJ162" s="21" t="str">
        <f aca="false">IF(OR($C162="",$AI162&lt;&gt;1,COUNTIFS($E162,ex_envc,$A162,ex_domc,$B162,ex_tric)=0),"",COUNTIFS($AI$6:$AI162,1,$E$6:$E162,ex_envc,$A$6:$A162,ex_domc,$B$6:$B162,ex_tric))</f>
        <v/>
      </c>
    </row>
    <row r="163" customFormat="false" ht="15" hidden="false" customHeight="false" outlineLevel="0" collapsed="false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5"/>
      <c r="Q163" s="75"/>
      <c r="R163" s="75"/>
      <c r="S163" s="74"/>
      <c r="T163" s="21" t="str">
        <f aca="false">IF(OR($C163="",NOT(OR($G163="À migrer",$G163="Migré")),NOT(ISNUMBER($K163))),"",ROUNDUP($K163*(1+IF($AC163="",p_margeCPU,$AC163)),0))</f>
        <v/>
      </c>
      <c r="U163" s="21" t="str">
        <f aca="false">IF(OR($C163="",NOT(OR($G163="À migrer",$G163="Migré")),NOT(ISNUMBER($L163))),"",ROUNDUP($L163*(1+IF($AD163="",p_margeRAM,$AD163)),0))</f>
        <v/>
      </c>
      <c r="V163" s="39" t="str">
        <f aca="false">IF(OR(NOT($G163="À migrer"),$P163=""),"",IFERROR(DATE(YEAR($P163),MONTH($P163),1),""))</f>
        <v/>
      </c>
      <c r="W163" s="39" t="str">
        <f aca="false">IF(OR(NOT(OR($G163="À migrer",$G163="À décommissionner")),$R163=""),"",IFERROR(DATE(YEAR($R163),MONTH($R163),1),""))</f>
        <v/>
      </c>
      <c r="X163" s="21" t="str">
        <f aca="false">IF(OR($V163="",$W163=""),"",MAX(0,(YEAR($W163)-YEAR($V163))*12+MONTH($W163)-MONTH($V163)))</f>
        <v/>
      </c>
      <c r="Y163" s="21" t="str">
        <f aca="false">IF($C163="","",COUNTIF(TblApplications[ID],$C163))</f>
        <v/>
      </c>
      <c r="Z163" s="39" t="str">
        <f aca="false">IF($C163="","",IFERROR(1/(1/_xlfn.MINIFS(TblApplications[Mois prov (calc)],TblApplications[ID],$C163)),""))</f>
        <v/>
      </c>
      <c r="AA163" s="39" t="str">
        <f aca="false">IF($C163="","",IFERROR(1/(1/_xlfn.MAXIFS(TblApplications[Mois lib (calc)],TblApplications[ID],$C163)),""))</f>
        <v/>
      </c>
      <c r="AB163" s="21" t="str">
        <f aca="false">IF($C163="","",IF(OR(OR($A163="",$B163="",$D163="",$E163="",$F163="",$G163=""),AND($G163="À migrer",OR($H163="",$I163="",$J163="",$K163="",$L163="",$N163="",$O163="",$P163="",$Q163="",$R163="")),AND($G163="Migré",OR($J163="",$K163="",$L163="")),AND($G163="À décommissionner",OR($I163="",$N163="",$O163="",$R163=""))),"Données manquantes (selon l’action)",IF(AND($G163&lt;&gt;"Migré",$G163&lt;&gt;"À migrer",$G163&lt;&gt;"À décommissionner",$G163&lt;&gt;"Décommissionné"),"Action invalide",IF(COUNTIF(TblDomaines[Domaine],$A163)=0,"Domaine inconnu (référentiel)",IF(COUNTIFS(TblTribes[Tribe],$B163,TblTribes[Domaine de la tribe],$A163)=0,"Tribe inconnue ou hors domaine",IF(AND($G163="À migrer",$H163&lt;&gt;"Oui",$H163&lt;&gt;"Non"),"Valeur Oui/Non invalide (Déjà incluse ROKS)",IF(AND($E163&lt;&gt;"PRD",$E163&lt;&gt;"NPRD"),"Environnement invalide",IF(COUNTIFS(TblApplications[ID],$C163,TblApplications[Environnement],$E163,TblApplications[Couloir],$F163)&gt;1,"Déploiement en doublon (ID + env + couloir)",IF(OR(AND($K163&lt;&gt;"",NOT(ISNUMBER($K163))),AND($L163&lt;&gt;"",NOT(ISNUMBER($L163))),AND($N163&lt;&gt;"",NOT(ISNUMBER($N163))),AND($O163&lt;&gt;"",NOT(ISNUMBER($O163)))),"Ressource non numérique",IF(MIN(N($K163),N($L163),N($N163),N($O163))&lt;0,"Ressource négative",IF(OR(AND($AC163&lt;&gt;"",OR(NOT(ISNUMBER($AC163)),$AC163&lt;0,$AC163&gt;1)),AND($AD163&lt;&gt;"",OR(NOT(ISNUMBER($AD163)),$AD163&lt;0,$AD163&gt;1))),"Marge spécifique invalide (0–100 %)",IF(OR(AND($P163&lt;&gt;"",NOT(ISNUMBER($P163))),AND($Q163&lt;&gt;"",NOT(ISNUMBER($Q163))),AND($R163&lt;&gt;"",NOT(ISNUMBER($R163)))),"Mois invalide",IF(AND(OR($G163="À migrer",$G163="À décommissionner"),COUNTIFS(TblClusters[Cluster],$I163,TblClusters[Plateforme],"IKS")=0),"Cluster IKS inconnu",IF(AND(OR($G163="À migrer",$G163="Migré"),COUNTIFS(TblClusters[Cluster],$J163,TblClusters[Plateforme],"ROKS")=0),"Cluster ROKS inconnu",IF(AND(OR($G163="À migrer",$G163="À décommissionner"),COUNTIFS(TblClusters[Cluster],$I163,TblClusters[Environnement],$E163)=0),"Environnement ≠ cluster IKS",IF(AND(OR($G163="À migrer",$G163="Migré"),COUNTIFS(TblClusters[Cluster],$J163,TblClusters[Environnement],$E163)=0),"Environnement ≠ cluster ROKS",IF(AND($G163="À migrer",OR($P163&gt;$Q163,$Q163&gt;$R163)),"Dates incohérentes (prov ≤ bascule ≤ libération)",IF(AND(OR($G163="À migrer",$G163="À décommissionner"),OR(N($N163)&gt;SUMIFS(TblClusters[CPU initial (vCPU)],TblClusters[Cluster],$I163),N($O163)&gt;SUMIFS(TblClusters[RAM initiale (Go)],TblClusters[Cluster],$I163))),"Libération &gt; capacité du cluster source",IF(OR(AND($V163&lt;&gt;"",$V163&lt;p_debut),AND($W163&lt;&gt;"",$W163&gt;p_fin)),"Hors horizon (info)",IF(AND($G163="À migrer",$E163="PRD",COUNTIFS(TblApplications[ID],$C163,TblApplications[Environnement],"NPRD",TblApplications[Action],"À migrer")&gt;0,$V163&lt;_xlfn.MINIFS(TblApplications[Mois prov (calc)],TblApplications[ID],$C163,TblApplications[Environnement],"NPRD")),"PRD avant NPRD (info)","OK"))))))))))))))))))))</f>
        <v/>
      </c>
      <c r="AC163" s="76"/>
      <c r="AD163" s="76"/>
      <c r="AE163" s="22" t="str">
        <f aca="false">IF(OR($C163="",NOT(OR($G163="À migrer",$G163="À décommissionner")),NOT(ISNUMBER($N163)),NOT(ISNUMBER($O163)),$W163=""),"",($N163+p_poidsram*$O163)*SUMIFS(TblCalculs[Coût par unité],TblCalculs[Cluster],$I163,TblCalculs[Mois],"&lt;"&amp;$W163))</f>
        <v/>
      </c>
      <c r="AF163" s="22" t="str">
        <f aca="false">IF($C163="","",IF(AND($G163="À migrer",$H163="Non",$T163&lt;&gt;"",$V163&lt;&gt;""),($T163+p_poidsram*$U163)*SUMIFS(TblCalculs[Coût par unité],TblCalculs[Cluster],$J163,TblCalculs[Mois],"&gt;="&amp;$V163),IF(AND($G163="Migré",$T163&lt;&gt;""),($T163+p_poidsram*$U163)*SUMIFS(TblCalculs[Coût par unité],TblCalculs[Cluster],$J163),"")))</f>
        <v/>
      </c>
      <c r="AG163" s="22" t="str">
        <f aca="false">IF($C163="","",N($AE163)+N($AF163))</f>
        <v/>
      </c>
      <c r="AH163" s="21" t="str">
        <f aca="false">IF(OR($C163="",$G163="Décommissionné",COUNTIFS($E163,av_envc,$A163,av_domc,$B163,av_tric)=0),"",COUNTIFS($C$6:$C163,"&lt;&gt;",$G$6:$G163,"&lt;&gt;Décommissionné",$E$6:$E163,av_envc,$A$6:$A163,av_domc,$B$6:$B163,av_tric))</f>
        <v/>
      </c>
      <c r="AI163" s="21" t="str">
        <f aca="false">IF($C163="","",IF(AND(OR($G163="À migrer",$G163="À décommissionner"),$W163&lt;&gt;"",$W163&gt;ex_mois),1,0))</f>
        <v/>
      </c>
      <c r="AJ163" s="21" t="str">
        <f aca="false">IF(OR($C163="",$AI163&lt;&gt;1,COUNTIFS($E163,ex_envc,$A163,ex_domc,$B163,ex_tric)=0),"",COUNTIFS($AI$6:$AI163,1,$E$6:$E163,ex_envc,$A$6:$A163,ex_domc,$B$6:$B163,ex_tric))</f>
        <v/>
      </c>
    </row>
    <row r="164" customFormat="false" ht="15" hidden="false" customHeight="false" outlineLevel="0" collapsed="false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5"/>
      <c r="Q164" s="75"/>
      <c r="R164" s="75"/>
      <c r="S164" s="74"/>
      <c r="T164" s="21" t="str">
        <f aca="false">IF(OR($C164="",NOT(OR($G164="À migrer",$G164="Migré")),NOT(ISNUMBER($K164))),"",ROUNDUP($K164*(1+IF($AC164="",p_margeCPU,$AC164)),0))</f>
        <v/>
      </c>
      <c r="U164" s="21" t="str">
        <f aca="false">IF(OR($C164="",NOT(OR($G164="À migrer",$G164="Migré")),NOT(ISNUMBER($L164))),"",ROUNDUP($L164*(1+IF($AD164="",p_margeRAM,$AD164)),0))</f>
        <v/>
      </c>
      <c r="V164" s="39" t="str">
        <f aca="false">IF(OR(NOT($G164="À migrer"),$P164=""),"",IFERROR(DATE(YEAR($P164),MONTH($P164),1),""))</f>
        <v/>
      </c>
      <c r="W164" s="39" t="str">
        <f aca="false">IF(OR(NOT(OR($G164="À migrer",$G164="À décommissionner")),$R164=""),"",IFERROR(DATE(YEAR($R164),MONTH($R164),1),""))</f>
        <v/>
      </c>
      <c r="X164" s="21" t="str">
        <f aca="false">IF(OR($V164="",$W164=""),"",MAX(0,(YEAR($W164)-YEAR($V164))*12+MONTH($W164)-MONTH($V164)))</f>
        <v/>
      </c>
      <c r="Y164" s="21" t="str">
        <f aca="false">IF($C164="","",COUNTIF(TblApplications[ID],$C164))</f>
        <v/>
      </c>
      <c r="Z164" s="39" t="str">
        <f aca="false">IF($C164="","",IFERROR(1/(1/_xlfn.MINIFS(TblApplications[Mois prov (calc)],TblApplications[ID],$C164)),""))</f>
        <v/>
      </c>
      <c r="AA164" s="39" t="str">
        <f aca="false">IF($C164="","",IFERROR(1/(1/_xlfn.MAXIFS(TblApplications[Mois lib (calc)],TblApplications[ID],$C164)),""))</f>
        <v/>
      </c>
      <c r="AB164" s="21" t="str">
        <f aca="false">IF($C164="","",IF(OR(OR($A164="",$B164="",$D164="",$E164="",$F164="",$G164=""),AND($G164="À migrer",OR($H164="",$I164="",$J164="",$K164="",$L164="",$N164="",$O164="",$P164="",$Q164="",$R164="")),AND($G164="Migré",OR($J164="",$K164="",$L164="")),AND($G164="À décommissionner",OR($I164="",$N164="",$O164="",$R164=""))),"Données manquantes (selon l’action)",IF(AND($G164&lt;&gt;"Migré",$G164&lt;&gt;"À migrer",$G164&lt;&gt;"À décommissionner",$G164&lt;&gt;"Décommissionné"),"Action invalide",IF(COUNTIF(TblDomaines[Domaine],$A164)=0,"Domaine inconnu (référentiel)",IF(COUNTIFS(TblTribes[Tribe],$B164,TblTribes[Domaine de la tribe],$A164)=0,"Tribe inconnue ou hors domaine",IF(AND($G164="À migrer",$H164&lt;&gt;"Oui",$H164&lt;&gt;"Non"),"Valeur Oui/Non invalide (Déjà incluse ROKS)",IF(AND($E164&lt;&gt;"PRD",$E164&lt;&gt;"NPRD"),"Environnement invalide",IF(COUNTIFS(TblApplications[ID],$C164,TblApplications[Environnement],$E164,TblApplications[Couloir],$F164)&gt;1,"Déploiement en doublon (ID + env + couloir)",IF(OR(AND($K164&lt;&gt;"",NOT(ISNUMBER($K164))),AND($L164&lt;&gt;"",NOT(ISNUMBER($L164))),AND($N164&lt;&gt;"",NOT(ISNUMBER($N164))),AND($O164&lt;&gt;"",NOT(ISNUMBER($O164)))),"Ressource non numérique",IF(MIN(N($K164),N($L164),N($N164),N($O164))&lt;0,"Ressource négative",IF(OR(AND($AC164&lt;&gt;"",OR(NOT(ISNUMBER($AC164)),$AC164&lt;0,$AC164&gt;1)),AND($AD164&lt;&gt;"",OR(NOT(ISNUMBER($AD164)),$AD164&lt;0,$AD164&gt;1))),"Marge spécifique invalide (0–100 %)",IF(OR(AND($P164&lt;&gt;"",NOT(ISNUMBER($P164))),AND($Q164&lt;&gt;"",NOT(ISNUMBER($Q164))),AND($R164&lt;&gt;"",NOT(ISNUMBER($R164)))),"Mois invalide",IF(AND(OR($G164="À migrer",$G164="À décommissionner"),COUNTIFS(TblClusters[Cluster],$I164,TblClusters[Plateforme],"IKS")=0),"Cluster IKS inconnu",IF(AND(OR($G164="À migrer",$G164="Migré"),COUNTIFS(TblClusters[Cluster],$J164,TblClusters[Plateforme],"ROKS")=0),"Cluster ROKS inconnu",IF(AND(OR($G164="À migrer",$G164="À décommissionner"),COUNTIFS(TblClusters[Cluster],$I164,TblClusters[Environnement],$E164)=0),"Environnement ≠ cluster IKS",IF(AND(OR($G164="À migrer",$G164="Migré"),COUNTIFS(TblClusters[Cluster],$J164,TblClusters[Environnement],$E164)=0),"Environnement ≠ cluster ROKS",IF(AND($G164="À migrer",OR($P164&gt;$Q164,$Q164&gt;$R164)),"Dates incohérentes (prov ≤ bascule ≤ libération)",IF(AND(OR($G164="À migrer",$G164="À décommissionner"),OR(N($N164)&gt;SUMIFS(TblClusters[CPU initial (vCPU)],TblClusters[Cluster],$I164),N($O164)&gt;SUMIFS(TblClusters[RAM initiale (Go)],TblClusters[Cluster],$I164))),"Libération &gt; capacité du cluster source",IF(OR(AND($V164&lt;&gt;"",$V164&lt;p_debut),AND($W164&lt;&gt;"",$W164&gt;p_fin)),"Hors horizon (info)",IF(AND($G164="À migrer",$E164="PRD",COUNTIFS(TblApplications[ID],$C164,TblApplications[Environnement],"NPRD",TblApplications[Action],"À migrer")&gt;0,$V164&lt;_xlfn.MINIFS(TblApplications[Mois prov (calc)],TblApplications[ID],$C164,TblApplications[Environnement],"NPRD")),"PRD avant NPRD (info)","OK"))))))))))))))))))))</f>
        <v/>
      </c>
      <c r="AC164" s="76"/>
      <c r="AD164" s="76"/>
      <c r="AE164" s="22" t="str">
        <f aca="false">IF(OR($C164="",NOT(OR($G164="À migrer",$G164="À décommissionner")),NOT(ISNUMBER($N164)),NOT(ISNUMBER($O164)),$W164=""),"",($N164+p_poidsram*$O164)*SUMIFS(TblCalculs[Coût par unité],TblCalculs[Cluster],$I164,TblCalculs[Mois],"&lt;"&amp;$W164))</f>
        <v/>
      </c>
      <c r="AF164" s="22" t="str">
        <f aca="false">IF($C164="","",IF(AND($G164="À migrer",$H164="Non",$T164&lt;&gt;"",$V164&lt;&gt;""),($T164+p_poidsram*$U164)*SUMIFS(TblCalculs[Coût par unité],TblCalculs[Cluster],$J164,TblCalculs[Mois],"&gt;="&amp;$V164),IF(AND($G164="Migré",$T164&lt;&gt;""),($T164+p_poidsram*$U164)*SUMIFS(TblCalculs[Coût par unité],TblCalculs[Cluster],$J164),"")))</f>
        <v/>
      </c>
      <c r="AG164" s="22" t="str">
        <f aca="false">IF($C164="","",N($AE164)+N($AF164))</f>
        <v/>
      </c>
      <c r="AH164" s="21" t="str">
        <f aca="false">IF(OR($C164="",$G164="Décommissionné",COUNTIFS($E164,av_envc,$A164,av_domc,$B164,av_tric)=0),"",COUNTIFS($C$6:$C164,"&lt;&gt;",$G$6:$G164,"&lt;&gt;Décommissionné",$E$6:$E164,av_envc,$A$6:$A164,av_domc,$B$6:$B164,av_tric))</f>
        <v/>
      </c>
      <c r="AI164" s="21" t="str">
        <f aca="false">IF($C164="","",IF(AND(OR($G164="À migrer",$G164="À décommissionner"),$W164&lt;&gt;"",$W164&gt;ex_mois),1,0))</f>
        <v/>
      </c>
      <c r="AJ164" s="21" t="str">
        <f aca="false">IF(OR($C164="",$AI164&lt;&gt;1,COUNTIFS($E164,ex_envc,$A164,ex_domc,$B164,ex_tric)=0),"",COUNTIFS($AI$6:$AI164,1,$E$6:$E164,ex_envc,$A$6:$A164,ex_domc,$B$6:$B164,ex_tric))</f>
        <v/>
      </c>
    </row>
    <row r="165" customFormat="false" ht="15" hidden="false" customHeight="false" outlineLevel="0" collapsed="false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5"/>
      <c r="Q165" s="75"/>
      <c r="R165" s="75"/>
      <c r="S165" s="74"/>
      <c r="T165" s="21" t="str">
        <f aca="false">IF(OR($C165="",NOT(OR($G165="À migrer",$G165="Migré")),NOT(ISNUMBER($K165))),"",ROUNDUP($K165*(1+IF($AC165="",p_margeCPU,$AC165)),0))</f>
        <v/>
      </c>
      <c r="U165" s="21" t="str">
        <f aca="false">IF(OR($C165="",NOT(OR($G165="À migrer",$G165="Migré")),NOT(ISNUMBER($L165))),"",ROUNDUP($L165*(1+IF($AD165="",p_margeRAM,$AD165)),0))</f>
        <v/>
      </c>
      <c r="V165" s="39" t="str">
        <f aca="false">IF(OR(NOT($G165="À migrer"),$P165=""),"",IFERROR(DATE(YEAR($P165),MONTH($P165),1),""))</f>
        <v/>
      </c>
      <c r="W165" s="39" t="str">
        <f aca="false">IF(OR(NOT(OR($G165="À migrer",$G165="À décommissionner")),$R165=""),"",IFERROR(DATE(YEAR($R165),MONTH($R165),1),""))</f>
        <v/>
      </c>
      <c r="X165" s="21" t="str">
        <f aca="false">IF(OR($V165="",$W165=""),"",MAX(0,(YEAR($W165)-YEAR($V165))*12+MONTH($W165)-MONTH($V165)))</f>
        <v/>
      </c>
      <c r="Y165" s="21" t="str">
        <f aca="false">IF($C165="","",COUNTIF(TblApplications[ID],$C165))</f>
        <v/>
      </c>
      <c r="Z165" s="39" t="str">
        <f aca="false">IF($C165="","",IFERROR(1/(1/_xlfn.MINIFS(TblApplications[Mois prov (calc)],TblApplications[ID],$C165)),""))</f>
        <v/>
      </c>
      <c r="AA165" s="39" t="str">
        <f aca="false">IF($C165="","",IFERROR(1/(1/_xlfn.MAXIFS(TblApplications[Mois lib (calc)],TblApplications[ID],$C165)),""))</f>
        <v/>
      </c>
      <c r="AB165" s="21" t="str">
        <f aca="false">IF($C165="","",IF(OR(OR($A165="",$B165="",$D165="",$E165="",$F165="",$G165=""),AND($G165="À migrer",OR($H165="",$I165="",$J165="",$K165="",$L165="",$N165="",$O165="",$P165="",$Q165="",$R165="")),AND($G165="Migré",OR($J165="",$K165="",$L165="")),AND($G165="À décommissionner",OR($I165="",$N165="",$O165="",$R165=""))),"Données manquantes (selon l’action)",IF(AND($G165&lt;&gt;"Migré",$G165&lt;&gt;"À migrer",$G165&lt;&gt;"À décommissionner",$G165&lt;&gt;"Décommissionné"),"Action invalide",IF(COUNTIF(TblDomaines[Domaine],$A165)=0,"Domaine inconnu (référentiel)",IF(COUNTIFS(TblTribes[Tribe],$B165,TblTribes[Domaine de la tribe],$A165)=0,"Tribe inconnue ou hors domaine",IF(AND($G165="À migrer",$H165&lt;&gt;"Oui",$H165&lt;&gt;"Non"),"Valeur Oui/Non invalide (Déjà incluse ROKS)",IF(AND($E165&lt;&gt;"PRD",$E165&lt;&gt;"NPRD"),"Environnement invalide",IF(COUNTIFS(TblApplications[ID],$C165,TblApplications[Environnement],$E165,TblApplications[Couloir],$F165)&gt;1,"Déploiement en doublon (ID + env + couloir)",IF(OR(AND($K165&lt;&gt;"",NOT(ISNUMBER($K165))),AND($L165&lt;&gt;"",NOT(ISNUMBER($L165))),AND($N165&lt;&gt;"",NOT(ISNUMBER($N165))),AND($O165&lt;&gt;"",NOT(ISNUMBER($O165)))),"Ressource non numérique",IF(MIN(N($K165),N($L165),N($N165),N($O165))&lt;0,"Ressource négative",IF(OR(AND($AC165&lt;&gt;"",OR(NOT(ISNUMBER($AC165)),$AC165&lt;0,$AC165&gt;1)),AND($AD165&lt;&gt;"",OR(NOT(ISNUMBER($AD165)),$AD165&lt;0,$AD165&gt;1))),"Marge spécifique invalide (0–100 %)",IF(OR(AND($P165&lt;&gt;"",NOT(ISNUMBER($P165))),AND($Q165&lt;&gt;"",NOT(ISNUMBER($Q165))),AND($R165&lt;&gt;"",NOT(ISNUMBER($R165)))),"Mois invalide",IF(AND(OR($G165="À migrer",$G165="À décommissionner"),COUNTIFS(TblClusters[Cluster],$I165,TblClusters[Plateforme],"IKS")=0),"Cluster IKS inconnu",IF(AND(OR($G165="À migrer",$G165="Migré"),COUNTIFS(TblClusters[Cluster],$J165,TblClusters[Plateforme],"ROKS")=0),"Cluster ROKS inconnu",IF(AND(OR($G165="À migrer",$G165="À décommissionner"),COUNTIFS(TblClusters[Cluster],$I165,TblClusters[Environnement],$E165)=0),"Environnement ≠ cluster IKS",IF(AND(OR($G165="À migrer",$G165="Migré"),COUNTIFS(TblClusters[Cluster],$J165,TblClusters[Environnement],$E165)=0),"Environnement ≠ cluster ROKS",IF(AND($G165="À migrer",OR($P165&gt;$Q165,$Q165&gt;$R165)),"Dates incohérentes (prov ≤ bascule ≤ libération)",IF(AND(OR($G165="À migrer",$G165="À décommissionner"),OR(N($N165)&gt;SUMIFS(TblClusters[CPU initial (vCPU)],TblClusters[Cluster],$I165),N($O165)&gt;SUMIFS(TblClusters[RAM initiale (Go)],TblClusters[Cluster],$I165))),"Libération &gt; capacité du cluster source",IF(OR(AND($V165&lt;&gt;"",$V165&lt;p_debut),AND($W165&lt;&gt;"",$W165&gt;p_fin)),"Hors horizon (info)",IF(AND($G165="À migrer",$E165="PRD",COUNTIFS(TblApplications[ID],$C165,TblApplications[Environnement],"NPRD",TblApplications[Action],"À migrer")&gt;0,$V165&lt;_xlfn.MINIFS(TblApplications[Mois prov (calc)],TblApplications[ID],$C165,TblApplications[Environnement],"NPRD")),"PRD avant NPRD (info)","OK"))))))))))))))))))))</f>
        <v/>
      </c>
      <c r="AC165" s="76"/>
      <c r="AD165" s="76"/>
      <c r="AE165" s="22" t="str">
        <f aca="false">IF(OR($C165="",NOT(OR($G165="À migrer",$G165="À décommissionner")),NOT(ISNUMBER($N165)),NOT(ISNUMBER($O165)),$W165=""),"",($N165+p_poidsram*$O165)*SUMIFS(TblCalculs[Coût par unité],TblCalculs[Cluster],$I165,TblCalculs[Mois],"&lt;"&amp;$W165))</f>
        <v/>
      </c>
      <c r="AF165" s="22" t="str">
        <f aca="false">IF($C165="","",IF(AND($G165="À migrer",$H165="Non",$T165&lt;&gt;"",$V165&lt;&gt;""),($T165+p_poidsram*$U165)*SUMIFS(TblCalculs[Coût par unité],TblCalculs[Cluster],$J165,TblCalculs[Mois],"&gt;="&amp;$V165),IF(AND($G165="Migré",$T165&lt;&gt;""),($T165+p_poidsram*$U165)*SUMIFS(TblCalculs[Coût par unité],TblCalculs[Cluster],$J165),"")))</f>
        <v/>
      </c>
      <c r="AG165" s="22" t="str">
        <f aca="false">IF($C165="","",N($AE165)+N($AF165))</f>
        <v/>
      </c>
      <c r="AH165" s="21" t="str">
        <f aca="false">IF(OR($C165="",$G165="Décommissionné",COUNTIFS($E165,av_envc,$A165,av_domc,$B165,av_tric)=0),"",COUNTIFS($C$6:$C165,"&lt;&gt;",$G$6:$G165,"&lt;&gt;Décommissionné",$E$6:$E165,av_envc,$A$6:$A165,av_domc,$B$6:$B165,av_tric))</f>
        <v/>
      </c>
      <c r="AI165" s="21" t="str">
        <f aca="false">IF($C165="","",IF(AND(OR($G165="À migrer",$G165="À décommissionner"),$W165&lt;&gt;"",$W165&gt;ex_mois),1,0))</f>
        <v/>
      </c>
      <c r="AJ165" s="21" t="str">
        <f aca="false">IF(OR($C165="",$AI165&lt;&gt;1,COUNTIFS($E165,ex_envc,$A165,ex_domc,$B165,ex_tric)=0),"",COUNTIFS($AI$6:$AI165,1,$E$6:$E165,ex_envc,$A$6:$A165,ex_domc,$B$6:$B165,ex_tric))</f>
        <v/>
      </c>
    </row>
    <row r="166" customFormat="false" ht="15" hidden="false" customHeight="false" outlineLevel="0" collapsed="false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5"/>
      <c r="Q166" s="75"/>
      <c r="R166" s="75"/>
      <c r="S166" s="74"/>
      <c r="T166" s="21" t="str">
        <f aca="false">IF(OR($C166="",NOT(OR($G166="À migrer",$G166="Migré")),NOT(ISNUMBER($K166))),"",ROUNDUP($K166*(1+IF($AC166="",p_margeCPU,$AC166)),0))</f>
        <v/>
      </c>
      <c r="U166" s="21" t="str">
        <f aca="false">IF(OR($C166="",NOT(OR($G166="À migrer",$G166="Migré")),NOT(ISNUMBER($L166))),"",ROUNDUP($L166*(1+IF($AD166="",p_margeRAM,$AD166)),0))</f>
        <v/>
      </c>
      <c r="V166" s="39" t="str">
        <f aca="false">IF(OR(NOT($G166="À migrer"),$P166=""),"",IFERROR(DATE(YEAR($P166),MONTH($P166),1),""))</f>
        <v/>
      </c>
      <c r="W166" s="39" t="str">
        <f aca="false">IF(OR(NOT(OR($G166="À migrer",$G166="À décommissionner")),$R166=""),"",IFERROR(DATE(YEAR($R166),MONTH($R166),1),""))</f>
        <v/>
      </c>
      <c r="X166" s="21" t="str">
        <f aca="false">IF(OR($V166="",$W166=""),"",MAX(0,(YEAR($W166)-YEAR($V166))*12+MONTH($W166)-MONTH($V166)))</f>
        <v/>
      </c>
      <c r="Y166" s="21" t="str">
        <f aca="false">IF($C166="","",COUNTIF(TblApplications[ID],$C166))</f>
        <v/>
      </c>
      <c r="Z166" s="39" t="str">
        <f aca="false">IF($C166="","",IFERROR(1/(1/_xlfn.MINIFS(TblApplications[Mois prov (calc)],TblApplications[ID],$C166)),""))</f>
        <v/>
      </c>
      <c r="AA166" s="39" t="str">
        <f aca="false">IF($C166="","",IFERROR(1/(1/_xlfn.MAXIFS(TblApplications[Mois lib (calc)],TblApplications[ID],$C166)),""))</f>
        <v/>
      </c>
      <c r="AB166" s="21" t="str">
        <f aca="false">IF($C166="","",IF(OR(OR($A166="",$B166="",$D166="",$E166="",$F166="",$G166=""),AND($G166="À migrer",OR($H166="",$I166="",$J166="",$K166="",$L166="",$N166="",$O166="",$P166="",$Q166="",$R166="")),AND($G166="Migré",OR($J166="",$K166="",$L166="")),AND($G166="À décommissionner",OR($I166="",$N166="",$O166="",$R166=""))),"Données manquantes (selon l’action)",IF(AND($G166&lt;&gt;"Migré",$G166&lt;&gt;"À migrer",$G166&lt;&gt;"À décommissionner",$G166&lt;&gt;"Décommissionné"),"Action invalide",IF(COUNTIF(TblDomaines[Domaine],$A166)=0,"Domaine inconnu (référentiel)",IF(COUNTIFS(TblTribes[Tribe],$B166,TblTribes[Domaine de la tribe],$A166)=0,"Tribe inconnue ou hors domaine",IF(AND($G166="À migrer",$H166&lt;&gt;"Oui",$H166&lt;&gt;"Non"),"Valeur Oui/Non invalide (Déjà incluse ROKS)",IF(AND($E166&lt;&gt;"PRD",$E166&lt;&gt;"NPRD"),"Environnement invalide",IF(COUNTIFS(TblApplications[ID],$C166,TblApplications[Environnement],$E166,TblApplications[Couloir],$F166)&gt;1,"Déploiement en doublon (ID + env + couloir)",IF(OR(AND($K166&lt;&gt;"",NOT(ISNUMBER($K166))),AND($L166&lt;&gt;"",NOT(ISNUMBER($L166))),AND($N166&lt;&gt;"",NOT(ISNUMBER($N166))),AND($O166&lt;&gt;"",NOT(ISNUMBER($O166)))),"Ressource non numérique",IF(MIN(N($K166),N($L166),N($N166),N($O166))&lt;0,"Ressource négative",IF(OR(AND($AC166&lt;&gt;"",OR(NOT(ISNUMBER($AC166)),$AC166&lt;0,$AC166&gt;1)),AND($AD166&lt;&gt;"",OR(NOT(ISNUMBER($AD166)),$AD166&lt;0,$AD166&gt;1))),"Marge spécifique invalide (0–100 %)",IF(OR(AND($P166&lt;&gt;"",NOT(ISNUMBER($P166))),AND($Q166&lt;&gt;"",NOT(ISNUMBER($Q166))),AND($R166&lt;&gt;"",NOT(ISNUMBER($R166)))),"Mois invalide",IF(AND(OR($G166="À migrer",$G166="À décommissionner"),COUNTIFS(TblClusters[Cluster],$I166,TblClusters[Plateforme],"IKS")=0),"Cluster IKS inconnu",IF(AND(OR($G166="À migrer",$G166="Migré"),COUNTIFS(TblClusters[Cluster],$J166,TblClusters[Plateforme],"ROKS")=0),"Cluster ROKS inconnu",IF(AND(OR($G166="À migrer",$G166="À décommissionner"),COUNTIFS(TblClusters[Cluster],$I166,TblClusters[Environnement],$E166)=0),"Environnement ≠ cluster IKS",IF(AND(OR($G166="À migrer",$G166="Migré"),COUNTIFS(TblClusters[Cluster],$J166,TblClusters[Environnement],$E166)=0),"Environnement ≠ cluster ROKS",IF(AND($G166="À migrer",OR($P166&gt;$Q166,$Q166&gt;$R166)),"Dates incohérentes (prov ≤ bascule ≤ libération)",IF(AND(OR($G166="À migrer",$G166="À décommissionner"),OR(N($N166)&gt;SUMIFS(TblClusters[CPU initial (vCPU)],TblClusters[Cluster],$I166),N($O166)&gt;SUMIFS(TblClusters[RAM initiale (Go)],TblClusters[Cluster],$I166))),"Libération &gt; capacité du cluster source",IF(OR(AND($V166&lt;&gt;"",$V166&lt;p_debut),AND($W166&lt;&gt;"",$W166&gt;p_fin)),"Hors horizon (info)",IF(AND($G166="À migrer",$E166="PRD",COUNTIFS(TblApplications[ID],$C166,TblApplications[Environnement],"NPRD",TblApplications[Action],"À migrer")&gt;0,$V166&lt;_xlfn.MINIFS(TblApplications[Mois prov (calc)],TblApplications[ID],$C166,TblApplications[Environnement],"NPRD")),"PRD avant NPRD (info)","OK"))))))))))))))))))))</f>
        <v/>
      </c>
      <c r="AC166" s="76"/>
      <c r="AD166" s="76"/>
      <c r="AE166" s="22" t="str">
        <f aca="false">IF(OR($C166="",NOT(OR($G166="À migrer",$G166="À décommissionner")),NOT(ISNUMBER($N166)),NOT(ISNUMBER($O166)),$W166=""),"",($N166+p_poidsram*$O166)*SUMIFS(TblCalculs[Coût par unité],TblCalculs[Cluster],$I166,TblCalculs[Mois],"&lt;"&amp;$W166))</f>
        <v/>
      </c>
      <c r="AF166" s="22" t="str">
        <f aca="false">IF($C166="","",IF(AND($G166="À migrer",$H166="Non",$T166&lt;&gt;"",$V166&lt;&gt;""),($T166+p_poidsram*$U166)*SUMIFS(TblCalculs[Coût par unité],TblCalculs[Cluster],$J166,TblCalculs[Mois],"&gt;="&amp;$V166),IF(AND($G166="Migré",$T166&lt;&gt;""),($T166+p_poidsram*$U166)*SUMIFS(TblCalculs[Coût par unité],TblCalculs[Cluster],$J166),"")))</f>
        <v/>
      </c>
      <c r="AG166" s="22" t="str">
        <f aca="false">IF($C166="","",N($AE166)+N($AF166))</f>
        <v/>
      </c>
      <c r="AH166" s="21" t="str">
        <f aca="false">IF(OR($C166="",$G166="Décommissionné",COUNTIFS($E166,av_envc,$A166,av_domc,$B166,av_tric)=0),"",COUNTIFS($C$6:$C166,"&lt;&gt;",$G$6:$G166,"&lt;&gt;Décommissionné",$E$6:$E166,av_envc,$A$6:$A166,av_domc,$B$6:$B166,av_tric))</f>
        <v/>
      </c>
      <c r="AI166" s="21" t="str">
        <f aca="false">IF($C166="","",IF(AND(OR($G166="À migrer",$G166="À décommissionner"),$W166&lt;&gt;"",$W166&gt;ex_mois),1,0))</f>
        <v/>
      </c>
      <c r="AJ166" s="21" t="str">
        <f aca="false">IF(OR($C166="",$AI166&lt;&gt;1,COUNTIFS($E166,ex_envc,$A166,ex_domc,$B166,ex_tric)=0),"",COUNTIFS($AI$6:$AI166,1,$E$6:$E166,ex_envc,$A$6:$A166,ex_domc,$B$6:$B166,ex_tric))</f>
        <v/>
      </c>
    </row>
    <row r="167" customFormat="false" ht="15" hidden="false" customHeight="false" outlineLevel="0" collapsed="false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5"/>
      <c r="Q167" s="75"/>
      <c r="R167" s="75"/>
      <c r="S167" s="74"/>
      <c r="T167" s="21" t="str">
        <f aca="false">IF(OR($C167="",NOT(OR($G167="À migrer",$G167="Migré")),NOT(ISNUMBER($K167))),"",ROUNDUP($K167*(1+IF($AC167="",p_margeCPU,$AC167)),0))</f>
        <v/>
      </c>
      <c r="U167" s="21" t="str">
        <f aca="false">IF(OR($C167="",NOT(OR($G167="À migrer",$G167="Migré")),NOT(ISNUMBER($L167))),"",ROUNDUP($L167*(1+IF($AD167="",p_margeRAM,$AD167)),0))</f>
        <v/>
      </c>
      <c r="V167" s="39" t="str">
        <f aca="false">IF(OR(NOT($G167="À migrer"),$P167=""),"",IFERROR(DATE(YEAR($P167),MONTH($P167),1),""))</f>
        <v/>
      </c>
      <c r="W167" s="39" t="str">
        <f aca="false">IF(OR(NOT(OR($G167="À migrer",$G167="À décommissionner")),$R167=""),"",IFERROR(DATE(YEAR($R167),MONTH($R167),1),""))</f>
        <v/>
      </c>
      <c r="X167" s="21" t="str">
        <f aca="false">IF(OR($V167="",$W167=""),"",MAX(0,(YEAR($W167)-YEAR($V167))*12+MONTH($W167)-MONTH($V167)))</f>
        <v/>
      </c>
      <c r="Y167" s="21" t="str">
        <f aca="false">IF($C167="","",COUNTIF(TblApplications[ID],$C167))</f>
        <v/>
      </c>
      <c r="Z167" s="39" t="str">
        <f aca="false">IF($C167="","",IFERROR(1/(1/_xlfn.MINIFS(TblApplications[Mois prov (calc)],TblApplications[ID],$C167)),""))</f>
        <v/>
      </c>
      <c r="AA167" s="39" t="str">
        <f aca="false">IF($C167="","",IFERROR(1/(1/_xlfn.MAXIFS(TblApplications[Mois lib (calc)],TblApplications[ID],$C167)),""))</f>
        <v/>
      </c>
      <c r="AB167" s="21" t="str">
        <f aca="false">IF($C167="","",IF(OR(OR($A167="",$B167="",$D167="",$E167="",$F167="",$G167=""),AND($G167="À migrer",OR($H167="",$I167="",$J167="",$K167="",$L167="",$N167="",$O167="",$P167="",$Q167="",$R167="")),AND($G167="Migré",OR($J167="",$K167="",$L167="")),AND($G167="À décommissionner",OR($I167="",$N167="",$O167="",$R167=""))),"Données manquantes (selon l’action)",IF(AND($G167&lt;&gt;"Migré",$G167&lt;&gt;"À migrer",$G167&lt;&gt;"À décommissionner",$G167&lt;&gt;"Décommissionné"),"Action invalide",IF(COUNTIF(TblDomaines[Domaine],$A167)=0,"Domaine inconnu (référentiel)",IF(COUNTIFS(TblTribes[Tribe],$B167,TblTribes[Domaine de la tribe],$A167)=0,"Tribe inconnue ou hors domaine",IF(AND($G167="À migrer",$H167&lt;&gt;"Oui",$H167&lt;&gt;"Non"),"Valeur Oui/Non invalide (Déjà incluse ROKS)",IF(AND($E167&lt;&gt;"PRD",$E167&lt;&gt;"NPRD"),"Environnement invalide",IF(COUNTIFS(TblApplications[ID],$C167,TblApplications[Environnement],$E167,TblApplications[Couloir],$F167)&gt;1,"Déploiement en doublon (ID + env + couloir)",IF(OR(AND($K167&lt;&gt;"",NOT(ISNUMBER($K167))),AND($L167&lt;&gt;"",NOT(ISNUMBER($L167))),AND($N167&lt;&gt;"",NOT(ISNUMBER($N167))),AND($O167&lt;&gt;"",NOT(ISNUMBER($O167)))),"Ressource non numérique",IF(MIN(N($K167),N($L167),N($N167),N($O167))&lt;0,"Ressource négative",IF(OR(AND($AC167&lt;&gt;"",OR(NOT(ISNUMBER($AC167)),$AC167&lt;0,$AC167&gt;1)),AND($AD167&lt;&gt;"",OR(NOT(ISNUMBER($AD167)),$AD167&lt;0,$AD167&gt;1))),"Marge spécifique invalide (0–100 %)",IF(OR(AND($P167&lt;&gt;"",NOT(ISNUMBER($P167))),AND($Q167&lt;&gt;"",NOT(ISNUMBER($Q167))),AND($R167&lt;&gt;"",NOT(ISNUMBER($R167)))),"Mois invalide",IF(AND(OR($G167="À migrer",$G167="À décommissionner"),COUNTIFS(TblClusters[Cluster],$I167,TblClusters[Plateforme],"IKS")=0),"Cluster IKS inconnu",IF(AND(OR($G167="À migrer",$G167="Migré"),COUNTIFS(TblClusters[Cluster],$J167,TblClusters[Plateforme],"ROKS")=0),"Cluster ROKS inconnu",IF(AND(OR($G167="À migrer",$G167="À décommissionner"),COUNTIFS(TblClusters[Cluster],$I167,TblClusters[Environnement],$E167)=0),"Environnement ≠ cluster IKS",IF(AND(OR($G167="À migrer",$G167="Migré"),COUNTIFS(TblClusters[Cluster],$J167,TblClusters[Environnement],$E167)=0),"Environnement ≠ cluster ROKS",IF(AND($G167="À migrer",OR($P167&gt;$Q167,$Q167&gt;$R167)),"Dates incohérentes (prov ≤ bascule ≤ libération)",IF(AND(OR($G167="À migrer",$G167="À décommissionner"),OR(N($N167)&gt;SUMIFS(TblClusters[CPU initial (vCPU)],TblClusters[Cluster],$I167),N($O167)&gt;SUMIFS(TblClusters[RAM initiale (Go)],TblClusters[Cluster],$I167))),"Libération &gt; capacité du cluster source",IF(OR(AND($V167&lt;&gt;"",$V167&lt;p_debut),AND($W167&lt;&gt;"",$W167&gt;p_fin)),"Hors horizon (info)",IF(AND($G167="À migrer",$E167="PRD",COUNTIFS(TblApplications[ID],$C167,TblApplications[Environnement],"NPRD",TblApplications[Action],"À migrer")&gt;0,$V167&lt;_xlfn.MINIFS(TblApplications[Mois prov (calc)],TblApplications[ID],$C167,TblApplications[Environnement],"NPRD")),"PRD avant NPRD (info)","OK"))))))))))))))))))))</f>
        <v/>
      </c>
      <c r="AC167" s="76"/>
      <c r="AD167" s="76"/>
      <c r="AE167" s="22" t="str">
        <f aca="false">IF(OR($C167="",NOT(OR($G167="À migrer",$G167="À décommissionner")),NOT(ISNUMBER($N167)),NOT(ISNUMBER($O167)),$W167=""),"",($N167+p_poidsram*$O167)*SUMIFS(TblCalculs[Coût par unité],TblCalculs[Cluster],$I167,TblCalculs[Mois],"&lt;"&amp;$W167))</f>
        <v/>
      </c>
      <c r="AF167" s="22" t="str">
        <f aca="false">IF($C167="","",IF(AND($G167="À migrer",$H167="Non",$T167&lt;&gt;"",$V167&lt;&gt;""),($T167+p_poidsram*$U167)*SUMIFS(TblCalculs[Coût par unité],TblCalculs[Cluster],$J167,TblCalculs[Mois],"&gt;="&amp;$V167),IF(AND($G167="Migré",$T167&lt;&gt;""),($T167+p_poidsram*$U167)*SUMIFS(TblCalculs[Coût par unité],TblCalculs[Cluster],$J167),"")))</f>
        <v/>
      </c>
      <c r="AG167" s="22" t="str">
        <f aca="false">IF($C167="","",N($AE167)+N($AF167))</f>
        <v/>
      </c>
      <c r="AH167" s="21" t="str">
        <f aca="false">IF(OR($C167="",$G167="Décommissionné",COUNTIFS($E167,av_envc,$A167,av_domc,$B167,av_tric)=0),"",COUNTIFS($C$6:$C167,"&lt;&gt;",$G$6:$G167,"&lt;&gt;Décommissionné",$E$6:$E167,av_envc,$A$6:$A167,av_domc,$B$6:$B167,av_tric))</f>
        <v/>
      </c>
      <c r="AI167" s="21" t="str">
        <f aca="false">IF($C167="","",IF(AND(OR($G167="À migrer",$G167="À décommissionner"),$W167&lt;&gt;"",$W167&gt;ex_mois),1,0))</f>
        <v/>
      </c>
      <c r="AJ167" s="21" t="str">
        <f aca="false">IF(OR($C167="",$AI167&lt;&gt;1,COUNTIFS($E167,ex_envc,$A167,ex_domc,$B167,ex_tric)=0),"",COUNTIFS($AI$6:$AI167,1,$E$6:$E167,ex_envc,$A$6:$A167,ex_domc,$B$6:$B167,ex_tric))</f>
        <v/>
      </c>
    </row>
    <row r="168" customFormat="false" ht="15" hidden="false" customHeight="false" outlineLevel="0" collapsed="false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5"/>
      <c r="Q168" s="75"/>
      <c r="R168" s="75"/>
      <c r="S168" s="74"/>
      <c r="T168" s="21" t="str">
        <f aca="false">IF(OR($C168="",NOT(OR($G168="À migrer",$G168="Migré")),NOT(ISNUMBER($K168))),"",ROUNDUP($K168*(1+IF($AC168="",p_margeCPU,$AC168)),0))</f>
        <v/>
      </c>
      <c r="U168" s="21" t="str">
        <f aca="false">IF(OR($C168="",NOT(OR($G168="À migrer",$G168="Migré")),NOT(ISNUMBER($L168))),"",ROUNDUP($L168*(1+IF($AD168="",p_margeRAM,$AD168)),0))</f>
        <v/>
      </c>
      <c r="V168" s="39" t="str">
        <f aca="false">IF(OR(NOT($G168="À migrer"),$P168=""),"",IFERROR(DATE(YEAR($P168),MONTH($P168),1),""))</f>
        <v/>
      </c>
      <c r="W168" s="39" t="str">
        <f aca="false">IF(OR(NOT(OR($G168="À migrer",$G168="À décommissionner")),$R168=""),"",IFERROR(DATE(YEAR($R168),MONTH($R168),1),""))</f>
        <v/>
      </c>
      <c r="X168" s="21" t="str">
        <f aca="false">IF(OR($V168="",$W168=""),"",MAX(0,(YEAR($W168)-YEAR($V168))*12+MONTH($W168)-MONTH($V168)))</f>
        <v/>
      </c>
      <c r="Y168" s="21" t="str">
        <f aca="false">IF($C168="","",COUNTIF(TblApplications[ID],$C168))</f>
        <v/>
      </c>
      <c r="Z168" s="39" t="str">
        <f aca="false">IF($C168="","",IFERROR(1/(1/_xlfn.MINIFS(TblApplications[Mois prov (calc)],TblApplications[ID],$C168)),""))</f>
        <v/>
      </c>
      <c r="AA168" s="39" t="str">
        <f aca="false">IF($C168="","",IFERROR(1/(1/_xlfn.MAXIFS(TblApplications[Mois lib (calc)],TblApplications[ID],$C168)),""))</f>
        <v/>
      </c>
      <c r="AB168" s="21" t="str">
        <f aca="false">IF($C168="","",IF(OR(OR($A168="",$B168="",$D168="",$E168="",$F168="",$G168=""),AND($G168="À migrer",OR($H168="",$I168="",$J168="",$K168="",$L168="",$N168="",$O168="",$P168="",$Q168="",$R168="")),AND($G168="Migré",OR($J168="",$K168="",$L168="")),AND($G168="À décommissionner",OR($I168="",$N168="",$O168="",$R168=""))),"Données manquantes (selon l’action)",IF(AND($G168&lt;&gt;"Migré",$G168&lt;&gt;"À migrer",$G168&lt;&gt;"À décommissionner",$G168&lt;&gt;"Décommissionné"),"Action invalide",IF(COUNTIF(TblDomaines[Domaine],$A168)=0,"Domaine inconnu (référentiel)",IF(COUNTIFS(TblTribes[Tribe],$B168,TblTribes[Domaine de la tribe],$A168)=0,"Tribe inconnue ou hors domaine",IF(AND($G168="À migrer",$H168&lt;&gt;"Oui",$H168&lt;&gt;"Non"),"Valeur Oui/Non invalide (Déjà incluse ROKS)",IF(AND($E168&lt;&gt;"PRD",$E168&lt;&gt;"NPRD"),"Environnement invalide",IF(COUNTIFS(TblApplications[ID],$C168,TblApplications[Environnement],$E168,TblApplications[Couloir],$F168)&gt;1,"Déploiement en doublon (ID + env + couloir)",IF(OR(AND($K168&lt;&gt;"",NOT(ISNUMBER($K168))),AND($L168&lt;&gt;"",NOT(ISNUMBER($L168))),AND($N168&lt;&gt;"",NOT(ISNUMBER($N168))),AND($O168&lt;&gt;"",NOT(ISNUMBER($O168)))),"Ressource non numérique",IF(MIN(N($K168),N($L168),N($N168),N($O168))&lt;0,"Ressource négative",IF(OR(AND($AC168&lt;&gt;"",OR(NOT(ISNUMBER($AC168)),$AC168&lt;0,$AC168&gt;1)),AND($AD168&lt;&gt;"",OR(NOT(ISNUMBER($AD168)),$AD168&lt;0,$AD168&gt;1))),"Marge spécifique invalide (0–100 %)",IF(OR(AND($P168&lt;&gt;"",NOT(ISNUMBER($P168))),AND($Q168&lt;&gt;"",NOT(ISNUMBER($Q168))),AND($R168&lt;&gt;"",NOT(ISNUMBER($R168)))),"Mois invalide",IF(AND(OR($G168="À migrer",$G168="À décommissionner"),COUNTIFS(TblClusters[Cluster],$I168,TblClusters[Plateforme],"IKS")=0),"Cluster IKS inconnu",IF(AND(OR($G168="À migrer",$G168="Migré"),COUNTIFS(TblClusters[Cluster],$J168,TblClusters[Plateforme],"ROKS")=0),"Cluster ROKS inconnu",IF(AND(OR($G168="À migrer",$G168="À décommissionner"),COUNTIFS(TblClusters[Cluster],$I168,TblClusters[Environnement],$E168)=0),"Environnement ≠ cluster IKS",IF(AND(OR($G168="À migrer",$G168="Migré"),COUNTIFS(TblClusters[Cluster],$J168,TblClusters[Environnement],$E168)=0),"Environnement ≠ cluster ROKS",IF(AND($G168="À migrer",OR($P168&gt;$Q168,$Q168&gt;$R168)),"Dates incohérentes (prov ≤ bascule ≤ libération)",IF(AND(OR($G168="À migrer",$G168="À décommissionner"),OR(N($N168)&gt;SUMIFS(TblClusters[CPU initial (vCPU)],TblClusters[Cluster],$I168),N($O168)&gt;SUMIFS(TblClusters[RAM initiale (Go)],TblClusters[Cluster],$I168))),"Libération &gt; capacité du cluster source",IF(OR(AND($V168&lt;&gt;"",$V168&lt;p_debut),AND($W168&lt;&gt;"",$W168&gt;p_fin)),"Hors horizon (info)",IF(AND($G168="À migrer",$E168="PRD",COUNTIFS(TblApplications[ID],$C168,TblApplications[Environnement],"NPRD",TblApplications[Action],"À migrer")&gt;0,$V168&lt;_xlfn.MINIFS(TblApplications[Mois prov (calc)],TblApplications[ID],$C168,TblApplications[Environnement],"NPRD")),"PRD avant NPRD (info)","OK"))))))))))))))))))))</f>
        <v/>
      </c>
      <c r="AC168" s="76"/>
      <c r="AD168" s="76"/>
      <c r="AE168" s="22" t="str">
        <f aca="false">IF(OR($C168="",NOT(OR($G168="À migrer",$G168="À décommissionner")),NOT(ISNUMBER($N168)),NOT(ISNUMBER($O168)),$W168=""),"",($N168+p_poidsram*$O168)*SUMIFS(TblCalculs[Coût par unité],TblCalculs[Cluster],$I168,TblCalculs[Mois],"&lt;"&amp;$W168))</f>
        <v/>
      </c>
      <c r="AF168" s="22" t="str">
        <f aca="false">IF($C168="","",IF(AND($G168="À migrer",$H168="Non",$T168&lt;&gt;"",$V168&lt;&gt;""),($T168+p_poidsram*$U168)*SUMIFS(TblCalculs[Coût par unité],TblCalculs[Cluster],$J168,TblCalculs[Mois],"&gt;="&amp;$V168),IF(AND($G168="Migré",$T168&lt;&gt;""),($T168+p_poidsram*$U168)*SUMIFS(TblCalculs[Coût par unité],TblCalculs[Cluster],$J168),"")))</f>
        <v/>
      </c>
      <c r="AG168" s="22" t="str">
        <f aca="false">IF($C168="","",N($AE168)+N($AF168))</f>
        <v/>
      </c>
      <c r="AH168" s="21" t="str">
        <f aca="false">IF(OR($C168="",$G168="Décommissionné",COUNTIFS($E168,av_envc,$A168,av_domc,$B168,av_tric)=0),"",COUNTIFS($C$6:$C168,"&lt;&gt;",$G$6:$G168,"&lt;&gt;Décommissionné",$E$6:$E168,av_envc,$A$6:$A168,av_domc,$B$6:$B168,av_tric))</f>
        <v/>
      </c>
      <c r="AI168" s="21" t="str">
        <f aca="false">IF($C168="","",IF(AND(OR($G168="À migrer",$G168="À décommissionner"),$W168&lt;&gt;"",$W168&gt;ex_mois),1,0))</f>
        <v/>
      </c>
      <c r="AJ168" s="21" t="str">
        <f aca="false">IF(OR($C168="",$AI168&lt;&gt;1,COUNTIFS($E168,ex_envc,$A168,ex_domc,$B168,ex_tric)=0),"",COUNTIFS($AI$6:$AI168,1,$E$6:$E168,ex_envc,$A$6:$A168,ex_domc,$B$6:$B168,ex_tric))</f>
        <v/>
      </c>
    </row>
    <row r="169" customFormat="false" ht="15" hidden="false" customHeight="false" outlineLevel="0" collapsed="false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5"/>
      <c r="Q169" s="75"/>
      <c r="R169" s="75"/>
      <c r="S169" s="74"/>
      <c r="T169" s="21" t="str">
        <f aca="false">IF(OR($C169="",NOT(OR($G169="À migrer",$G169="Migré")),NOT(ISNUMBER($K169))),"",ROUNDUP($K169*(1+IF($AC169="",p_margeCPU,$AC169)),0))</f>
        <v/>
      </c>
      <c r="U169" s="21" t="str">
        <f aca="false">IF(OR($C169="",NOT(OR($G169="À migrer",$G169="Migré")),NOT(ISNUMBER($L169))),"",ROUNDUP($L169*(1+IF($AD169="",p_margeRAM,$AD169)),0))</f>
        <v/>
      </c>
      <c r="V169" s="39" t="str">
        <f aca="false">IF(OR(NOT($G169="À migrer"),$P169=""),"",IFERROR(DATE(YEAR($P169),MONTH($P169),1),""))</f>
        <v/>
      </c>
      <c r="W169" s="39" t="str">
        <f aca="false">IF(OR(NOT(OR($G169="À migrer",$G169="À décommissionner")),$R169=""),"",IFERROR(DATE(YEAR($R169),MONTH($R169),1),""))</f>
        <v/>
      </c>
      <c r="X169" s="21" t="str">
        <f aca="false">IF(OR($V169="",$W169=""),"",MAX(0,(YEAR($W169)-YEAR($V169))*12+MONTH($W169)-MONTH($V169)))</f>
        <v/>
      </c>
      <c r="Y169" s="21" t="str">
        <f aca="false">IF($C169="","",COUNTIF(TblApplications[ID],$C169))</f>
        <v/>
      </c>
      <c r="Z169" s="39" t="str">
        <f aca="false">IF($C169="","",IFERROR(1/(1/_xlfn.MINIFS(TblApplications[Mois prov (calc)],TblApplications[ID],$C169)),""))</f>
        <v/>
      </c>
      <c r="AA169" s="39" t="str">
        <f aca="false">IF($C169="","",IFERROR(1/(1/_xlfn.MAXIFS(TblApplications[Mois lib (calc)],TblApplications[ID],$C169)),""))</f>
        <v/>
      </c>
      <c r="AB169" s="21" t="str">
        <f aca="false">IF($C169="","",IF(OR(OR($A169="",$B169="",$D169="",$E169="",$F169="",$G169=""),AND($G169="À migrer",OR($H169="",$I169="",$J169="",$K169="",$L169="",$N169="",$O169="",$P169="",$Q169="",$R169="")),AND($G169="Migré",OR($J169="",$K169="",$L169="")),AND($G169="À décommissionner",OR($I169="",$N169="",$O169="",$R169=""))),"Données manquantes (selon l’action)",IF(AND($G169&lt;&gt;"Migré",$G169&lt;&gt;"À migrer",$G169&lt;&gt;"À décommissionner",$G169&lt;&gt;"Décommissionné"),"Action invalide",IF(COUNTIF(TblDomaines[Domaine],$A169)=0,"Domaine inconnu (référentiel)",IF(COUNTIFS(TblTribes[Tribe],$B169,TblTribes[Domaine de la tribe],$A169)=0,"Tribe inconnue ou hors domaine",IF(AND($G169="À migrer",$H169&lt;&gt;"Oui",$H169&lt;&gt;"Non"),"Valeur Oui/Non invalide (Déjà incluse ROKS)",IF(AND($E169&lt;&gt;"PRD",$E169&lt;&gt;"NPRD"),"Environnement invalide",IF(COUNTIFS(TblApplications[ID],$C169,TblApplications[Environnement],$E169,TblApplications[Couloir],$F169)&gt;1,"Déploiement en doublon (ID + env + couloir)",IF(OR(AND($K169&lt;&gt;"",NOT(ISNUMBER($K169))),AND($L169&lt;&gt;"",NOT(ISNUMBER($L169))),AND($N169&lt;&gt;"",NOT(ISNUMBER($N169))),AND($O169&lt;&gt;"",NOT(ISNUMBER($O169)))),"Ressource non numérique",IF(MIN(N($K169),N($L169),N($N169),N($O169))&lt;0,"Ressource négative",IF(OR(AND($AC169&lt;&gt;"",OR(NOT(ISNUMBER($AC169)),$AC169&lt;0,$AC169&gt;1)),AND($AD169&lt;&gt;"",OR(NOT(ISNUMBER($AD169)),$AD169&lt;0,$AD169&gt;1))),"Marge spécifique invalide (0–100 %)",IF(OR(AND($P169&lt;&gt;"",NOT(ISNUMBER($P169))),AND($Q169&lt;&gt;"",NOT(ISNUMBER($Q169))),AND($R169&lt;&gt;"",NOT(ISNUMBER($R169)))),"Mois invalide",IF(AND(OR($G169="À migrer",$G169="À décommissionner"),COUNTIFS(TblClusters[Cluster],$I169,TblClusters[Plateforme],"IKS")=0),"Cluster IKS inconnu",IF(AND(OR($G169="À migrer",$G169="Migré"),COUNTIFS(TblClusters[Cluster],$J169,TblClusters[Plateforme],"ROKS")=0),"Cluster ROKS inconnu",IF(AND(OR($G169="À migrer",$G169="À décommissionner"),COUNTIFS(TblClusters[Cluster],$I169,TblClusters[Environnement],$E169)=0),"Environnement ≠ cluster IKS",IF(AND(OR($G169="À migrer",$G169="Migré"),COUNTIFS(TblClusters[Cluster],$J169,TblClusters[Environnement],$E169)=0),"Environnement ≠ cluster ROKS",IF(AND($G169="À migrer",OR($P169&gt;$Q169,$Q169&gt;$R169)),"Dates incohérentes (prov ≤ bascule ≤ libération)",IF(AND(OR($G169="À migrer",$G169="À décommissionner"),OR(N($N169)&gt;SUMIFS(TblClusters[CPU initial (vCPU)],TblClusters[Cluster],$I169),N($O169)&gt;SUMIFS(TblClusters[RAM initiale (Go)],TblClusters[Cluster],$I169))),"Libération &gt; capacité du cluster source",IF(OR(AND($V169&lt;&gt;"",$V169&lt;p_debut),AND($W169&lt;&gt;"",$W169&gt;p_fin)),"Hors horizon (info)",IF(AND($G169="À migrer",$E169="PRD",COUNTIFS(TblApplications[ID],$C169,TblApplications[Environnement],"NPRD",TblApplications[Action],"À migrer")&gt;0,$V169&lt;_xlfn.MINIFS(TblApplications[Mois prov (calc)],TblApplications[ID],$C169,TblApplications[Environnement],"NPRD")),"PRD avant NPRD (info)","OK"))))))))))))))))))))</f>
        <v/>
      </c>
      <c r="AC169" s="76"/>
      <c r="AD169" s="76"/>
      <c r="AE169" s="22" t="str">
        <f aca="false">IF(OR($C169="",NOT(OR($G169="À migrer",$G169="À décommissionner")),NOT(ISNUMBER($N169)),NOT(ISNUMBER($O169)),$W169=""),"",($N169+p_poidsram*$O169)*SUMIFS(TblCalculs[Coût par unité],TblCalculs[Cluster],$I169,TblCalculs[Mois],"&lt;"&amp;$W169))</f>
        <v/>
      </c>
      <c r="AF169" s="22" t="str">
        <f aca="false">IF($C169="","",IF(AND($G169="À migrer",$H169="Non",$T169&lt;&gt;"",$V169&lt;&gt;""),($T169+p_poidsram*$U169)*SUMIFS(TblCalculs[Coût par unité],TblCalculs[Cluster],$J169,TblCalculs[Mois],"&gt;="&amp;$V169),IF(AND($G169="Migré",$T169&lt;&gt;""),($T169+p_poidsram*$U169)*SUMIFS(TblCalculs[Coût par unité],TblCalculs[Cluster],$J169),"")))</f>
        <v/>
      </c>
      <c r="AG169" s="22" t="str">
        <f aca="false">IF($C169="","",N($AE169)+N($AF169))</f>
        <v/>
      </c>
      <c r="AH169" s="21" t="str">
        <f aca="false">IF(OR($C169="",$G169="Décommissionné",COUNTIFS($E169,av_envc,$A169,av_domc,$B169,av_tric)=0),"",COUNTIFS($C$6:$C169,"&lt;&gt;",$G$6:$G169,"&lt;&gt;Décommissionné",$E$6:$E169,av_envc,$A$6:$A169,av_domc,$B$6:$B169,av_tric))</f>
        <v/>
      </c>
      <c r="AI169" s="21" t="str">
        <f aca="false">IF($C169="","",IF(AND(OR($G169="À migrer",$G169="À décommissionner"),$W169&lt;&gt;"",$W169&gt;ex_mois),1,0))</f>
        <v/>
      </c>
      <c r="AJ169" s="21" t="str">
        <f aca="false">IF(OR($C169="",$AI169&lt;&gt;1,COUNTIFS($E169,ex_envc,$A169,ex_domc,$B169,ex_tric)=0),"",COUNTIFS($AI$6:$AI169,1,$E$6:$E169,ex_envc,$A$6:$A169,ex_domc,$B$6:$B169,ex_tric))</f>
        <v/>
      </c>
    </row>
    <row r="170" customFormat="false" ht="15" hidden="false" customHeight="false" outlineLevel="0" collapsed="false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5"/>
      <c r="Q170" s="75"/>
      <c r="R170" s="75"/>
      <c r="S170" s="74"/>
      <c r="T170" s="21" t="str">
        <f aca="false">IF(OR($C170="",NOT(OR($G170="À migrer",$G170="Migré")),NOT(ISNUMBER($K170))),"",ROUNDUP($K170*(1+IF($AC170="",p_margeCPU,$AC170)),0))</f>
        <v/>
      </c>
      <c r="U170" s="21" t="str">
        <f aca="false">IF(OR($C170="",NOT(OR($G170="À migrer",$G170="Migré")),NOT(ISNUMBER($L170))),"",ROUNDUP($L170*(1+IF($AD170="",p_margeRAM,$AD170)),0))</f>
        <v/>
      </c>
      <c r="V170" s="39" t="str">
        <f aca="false">IF(OR(NOT($G170="À migrer"),$P170=""),"",IFERROR(DATE(YEAR($P170),MONTH($P170),1),""))</f>
        <v/>
      </c>
      <c r="W170" s="39" t="str">
        <f aca="false">IF(OR(NOT(OR($G170="À migrer",$G170="À décommissionner")),$R170=""),"",IFERROR(DATE(YEAR($R170),MONTH($R170),1),""))</f>
        <v/>
      </c>
      <c r="X170" s="21" t="str">
        <f aca="false">IF(OR($V170="",$W170=""),"",MAX(0,(YEAR($W170)-YEAR($V170))*12+MONTH($W170)-MONTH($V170)))</f>
        <v/>
      </c>
      <c r="Y170" s="21" t="str">
        <f aca="false">IF($C170="","",COUNTIF(TblApplications[ID],$C170))</f>
        <v/>
      </c>
      <c r="Z170" s="39" t="str">
        <f aca="false">IF($C170="","",IFERROR(1/(1/_xlfn.MINIFS(TblApplications[Mois prov (calc)],TblApplications[ID],$C170)),""))</f>
        <v/>
      </c>
      <c r="AA170" s="39" t="str">
        <f aca="false">IF($C170="","",IFERROR(1/(1/_xlfn.MAXIFS(TblApplications[Mois lib (calc)],TblApplications[ID],$C170)),""))</f>
        <v/>
      </c>
      <c r="AB170" s="21" t="str">
        <f aca="false">IF($C170="","",IF(OR(OR($A170="",$B170="",$D170="",$E170="",$F170="",$G170=""),AND($G170="À migrer",OR($H170="",$I170="",$J170="",$K170="",$L170="",$N170="",$O170="",$P170="",$Q170="",$R170="")),AND($G170="Migré",OR($J170="",$K170="",$L170="")),AND($G170="À décommissionner",OR($I170="",$N170="",$O170="",$R170=""))),"Données manquantes (selon l’action)",IF(AND($G170&lt;&gt;"Migré",$G170&lt;&gt;"À migrer",$G170&lt;&gt;"À décommissionner",$G170&lt;&gt;"Décommissionné"),"Action invalide",IF(COUNTIF(TblDomaines[Domaine],$A170)=0,"Domaine inconnu (référentiel)",IF(COUNTIFS(TblTribes[Tribe],$B170,TblTribes[Domaine de la tribe],$A170)=0,"Tribe inconnue ou hors domaine",IF(AND($G170="À migrer",$H170&lt;&gt;"Oui",$H170&lt;&gt;"Non"),"Valeur Oui/Non invalide (Déjà incluse ROKS)",IF(AND($E170&lt;&gt;"PRD",$E170&lt;&gt;"NPRD"),"Environnement invalide",IF(COUNTIFS(TblApplications[ID],$C170,TblApplications[Environnement],$E170,TblApplications[Couloir],$F170)&gt;1,"Déploiement en doublon (ID + env + couloir)",IF(OR(AND($K170&lt;&gt;"",NOT(ISNUMBER($K170))),AND($L170&lt;&gt;"",NOT(ISNUMBER($L170))),AND($N170&lt;&gt;"",NOT(ISNUMBER($N170))),AND($O170&lt;&gt;"",NOT(ISNUMBER($O170)))),"Ressource non numérique",IF(MIN(N($K170),N($L170),N($N170),N($O170))&lt;0,"Ressource négative",IF(OR(AND($AC170&lt;&gt;"",OR(NOT(ISNUMBER($AC170)),$AC170&lt;0,$AC170&gt;1)),AND($AD170&lt;&gt;"",OR(NOT(ISNUMBER($AD170)),$AD170&lt;0,$AD170&gt;1))),"Marge spécifique invalide (0–100 %)",IF(OR(AND($P170&lt;&gt;"",NOT(ISNUMBER($P170))),AND($Q170&lt;&gt;"",NOT(ISNUMBER($Q170))),AND($R170&lt;&gt;"",NOT(ISNUMBER($R170)))),"Mois invalide",IF(AND(OR($G170="À migrer",$G170="À décommissionner"),COUNTIFS(TblClusters[Cluster],$I170,TblClusters[Plateforme],"IKS")=0),"Cluster IKS inconnu",IF(AND(OR($G170="À migrer",$G170="Migré"),COUNTIFS(TblClusters[Cluster],$J170,TblClusters[Plateforme],"ROKS")=0),"Cluster ROKS inconnu",IF(AND(OR($G170="À migrer",$G170="À décommissionner"),COUNTIFS(TblClusters[Cluster],$I170,TblClusters[Environnement],$E170)=0),"Environnement ≠ cluster IKS",IF(AND(OR($G170="À migrer",$G170="Migré"),COUNTIFS(TblClusters[Cluster],$J170,TblClusters[Environnement],$E170)=0),"Environnement ≠ cluster ROKS",IF(AND($G170="À migrer",OR($P170&gt;$Q170,$Q170&gt;$R170)),"Dates incohérentes (prov ≤ bascule ≤ libération)",IF(AND(OR($G170="À migrer",$G170="À décommissionner"),OR(N($N170)&gt;SUMIFS(TblClusters[CPU initial (vCPU)],TblClusters[Cluster],$I170),N($O170)&gt;SUMIFS(TblClusters[RAM initiale (Go)],TblClusters[Cluster],$I170))),"Libération &gt; capacité du cluster source",IF(OR(AND($V170&lt;&gt;"",$V170&lt;p_debut),AND($W170&lt;&gt;"",$W170&gt;p_fin)),"Hors horizon (info)",IF(AND($G170="À migrer",$E170="PRD",COUNTIFS(TblApplications[ID],$C170,TblApplications[Environnement],"NPRD",TblApplications[Action],"À migrer")&gt;0,$V170&lt;_xlfn.MINIFS(TblApplications[Mois prov (calc)],TblApplications[ID],$C170,TblApplications[Environnement],"NPRD")),"PRD avant NPRD (info)","OK"))))))))))))))))))))</f>
        <v/>
      </c>
      <c r="AC170" s="76"/>
      <c r="AD170" s="76"/>
      <c r="AE170" s="22" t="str">
        <f aca="false">IF(OR($C170="",NOT(OR($G170="À migrer",$G170="À décommissionner")),NOT(ISNUMBER($N170)),NOT(ISNUMBER($O170)),$W170=""),"",($N170+p_poidsram*$O170)*SUMIFS(TblCalculs[Coût par unité],TblCalculs[Cluster],$I170,TblCalculs[Mois],"&lt;"&amp;$W170))</f>
        <v/>
      </c>
      <c r="AF170" s="22" t="str">
        <f aca="false">IF($C170="","",IF(AND($G170="À migrer",$H170="Non",$T170&lt;&gt;"",$V170&lt;&gt;""),($T170+p_poidsram*$U170)*SUMIFS(TblCalculs[Coût par unité],TblCalculs[Cluster],$J170,TblCalculs[Mois],"&gt;="&amp;$V170),IF(AND($G170="Migré",$T170&lt;&gt;""),($T170+p_poidsram*$U170)*SUMIFS(TblCalculs[Coût par unité],TblCalculs[Cluster],$J170),"")))</f>
        <v/>
      </c>
      <c r="AG170" s="22" t="str">
        <f aca="false">IF($C170="","",N($AE170)+N($AF170))</f>
        <v/>
      </c>
      <c r="AH170" s="21" t="str">
        <f aca="false">IF(OR($C170="",$G170="Décommissionné",COUNTIFS($E170,av_envc,$A170,av_domc,$B170,av_tric)=0),"",COUNTIFS($C$6:$C170,"&lt;&gt;",$G$6:$G170,"&lt;&gt;Décommissionné",$E$6:$E170,av_envc,$A$6:$A170,av_domc,$B$6:$B170,av_tric))</f>
        <v/>
      </c>
      <c r="AI170" s="21" t="str">
        <f aca="false">IF($C170="","",IF(AND(OR($G170="À migrer",$G170="À décommissionner"),$W170&lt;&gt;"",$W170&gt;ex_mois),1,0))</f>
        <v/>
      </c>
      <c r="AJ170" s="21" t="str">
        <f aca="false">IF(OR($C170="",$AI170&lt;&gt;1,COUNTIFS($E170,ex_envc,$A170,ex_domc,$B170,ex_tric)=0),"",COUNTIFS($AI$6:$AI170,1,$E$6:$E170,ex_envc,$A$6:$A170,ex_domc,$B$6:$B170,ex_tric))</f>
        <v/>
      </c>
    </row>
    <row r="171" customFormat="false" ht="15" hidden="false" customHeight="false" outlineLevel="0" collapsed="false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5"/>
      <c r="Q171" s="75"/>
      <c r="R171" s="75"/>
      <c r="S171" s="74"/>
      <c r="T171" s="21" t="str">
        <f aca="false">IF(OR($C171="",NOT(OR($G171="À migrer",$G171="Migré")),NOT(ISNUMBER($K171))),"",ROUNDUP($K171*(1+IF($AC171="",p_margeCPU,$AC171)),0))</f>
        <v/>
      </c>
      <c r="U171" s="21" t="str">
        <f aca="false">IF(OR($C171="",NOT(OR($G171="À migrer",$G171="Migré")),NOT(ISNUMBER($L171))),"",ROUNDUP($L171*(1+IF($AD171="",p_margeRAM,$AD171)),0))</f>
        <v/>
      </c>
      <c r="V171" s="39" t="str">
        <f aca="false">IF(OR(NOT($G171="À migrer"),$P171=""),"",IFERROR(DATE(YEAR($P171),MONTH($P171),1),""))</f>
        <v/>
      </c>
      <c r="W171" s="39" t="str">
        <f aca="false">IF(OR(NOT(OR($G171="À migrer",$G171="À décommissionner")),$R171=""),"",IFERROR(DATE(YEAR($R171),MONTH($R171),1),""))</f>
        <v/>
      </c>
      <c r="X171" s="21" t="str">
        <f aca="false">IF(OR($V171="",$W171=""),"",MAX(0,(YEAR($W171)-YEAR($V171))*12+MONTH($W171)-MONTH($V171)))</f>
        <v/>
      </c>
      <c r="Y171" s="21" t="str">
        <f aca="false">IF($C171="","",COUNTIF(TblApplications[ID],$C171))</f>
        <v/>
      </c>
      <c r="Z171" s="39" t="str">
        <f aca="false">IF($C171="","",IFERROR(1/(1/_xlfn.MINIFS(TblApplications[Mois prov (calc)],TblApplications[ID],$C171)),""))</f>
        <v/>
      </c>
      <c r="AA171" s="39" t="str">
        <f aca="false">IF($C171="","",IFERROR(1/(1/_xlfn.MAXIFS(TblApplications[Mois lib (calc)],TblApplications[ID],$C171)),""))</f>
        <v/>
      </c>
      <c r="AB171" s="21" t="str">
        <f aca="false">IF($C171="","",IF(OR(OR($A171="",$B171="",$D171="",$E171="",$F171="",$G171=""),AND($G171="À migrer",OR($H171="",$I171="",$J171="",$K171="",$L171="",$N171="",$O171="",$P171="",$Q171="",$R171="")),AND($G171="Migré",OR($J171="",$K171="",$L171="")),AND($G171="À décommissionner",OR($I171="",$N171="",$O171="",$R171=""))),"Données manquantes (selon l’action)",IF(AND($G171&lt;&gt;"Migré",$G171&lt;&gt;"À migrer",$G171&lt;&gt;"À décommissionner",$G171&lt;&gt;"Décommissionné"),"Action invalide",IF(COUNTIF(TblDomaines[Domaine],$A171)=0,"Domaine inconnu (référentiel)",IF(COUNTIFS(TblTribes[Tribe],$B171,TblTribes[Domaine de la tribe],$A171)=0,"Tribe inconnue ou hors domaine",IF(AND($G171="À migrer",$H171&lt;&gt;"Oui",$H171&lt;&gt;"Non"),"Valeur Oui/Non invalide (Déjà incluse ROKS)",IF(AND($E171&lt;&gt;"PRD",$E171&lt;&gt;"NPRD"),"Environnement invalide",IF(COUNTIFS(TblApplications[ID],$C171,TblApplications[Environnement],$E171,TblApplications[Couloir],$F171)&gt;1,"Déploiement en doublon (ID + env + couloir)",IF(OR(AND($K171&lt;&gt;"",NOT(ISNUMBER($K171))),AND($L171&lt;&gt;"",NOT(ISNUMBER($L171))),AND($N171&lt;&gt;"",NOT(ISNUMBER($N171))),AND($O171&lt;&gt;"",NOT(ISNUMBER($O171)))),"Ressource non numérique",IF(MIN(N($K171),N($L171),N($N171),N($O171))&lt;0,"Ressource négative",IF(OR(AND($AC171&lt;&gt;"",OR(NOT(ISNUMBER($AC171)),$AC171&lt;0,$AC171&gt;1)),AND($AD171&lt;&gt;"",OR(NOT(ISNUMBER($AD171)),$AD171&lt;0,$AD171&gt;1))),"Marge spécifique invalide (0–100 %)",IF(OR(AND($P171&lt;&gt;"",NOT(ISNUMBER($P171))),AND($Q171&lt;&gt;"",NOT(ISNUMBER($Q171))),AND($R171&lt;&gt;"",NOT(ISNUMBER($R171)))),"Mois invalide",IF(AND(OR($G171="À migrer",$G171="À décommissionner"),COUNTIFS(TblClusters[Cluster],$I171,TblClusters[Plateforme],"IKS")=0),"Cluster IKS inconnu",IF(AND(OR($G171="À migrer",$G171="Migré"),COUNTIFS(TblClusters[Cluster],$J171,TblClusters[Plateforme],"ROKS")=0),"Cluster ROKS inconnu",IF(AND(OR($G171="À migrer",$G171="À décommissionner"),COUNTIFS(TblClusters[Cluster],$I171,TblClusters[Environnement],$E171)=0),"Environnement ≠ cluster IKS",IF(AND(OR($G171="À migrer",$G171="Migré"),COUNTIFS(TblClusters[Cluster],$J171,TblClusters[Environnement],$E171)=0),"Environnement ≠ cluster ROKS",IF(AND($G171="À migrer",OR($P171&gt;$Q171,$Q171&gt;$R171)),"Dates incohérentes (prov ≤ bascule ≤ libération)",IF(AND(OR($G171="À migrer",$G171="À décommissionner"),OR(N($N171)&gt;SUMIFS(TblClusters[CPU initial (vCPU)],TblClusters[Cluster],$I171),N($O171)&gt;SUMIFS(TblClusters[RAM initiale (Go)],TblClusters[Cluster],$I171))),"Libération &gt; capacité du cluster source",IF(OR(AND($V171&lt;&gt;"",$V171&lt;p_debut),AND($W171&lt;&gt;"",$W171&gt;p_fin)),"Hors horizon (info)",IF(AND($G171="À migrer",$E171="PRD",COUNTIFS(TblApplications[ID],$C171,TblApplications[Environnement],"NPRD",TblApplications[Action],"À migrer")&gt;0,$V171&lt;_xlfn.MINIFS(TblApplications[Mois prov (calc)],TblApplications[ID],$C171,TblApplications[Environnement],"NPRD")),"PRD avant NPRD (info)","OK"))))))))))))))))))))</f>
        <v/>
      </c>
      <c r="AC171" s="76"/>
      <c r="AD171" s="76"/>
      <c r="AE171" s="22" t="str">
        <f aca="false">IF(OR($C171="",NOT(OR($G171="À migrer",$G171="À décommissionner")),NOT(ISNUMBER($N171)),NOT(ISNUMBER($O171)),$W171=""),"",($N171+p_poidsram*$O171)*SUMIFS(TblCalculs[Coût par unité],TblCalculs[Cluster],$I171,TblCalculs[Mois],"&lt;"&amp;$W171))</f>
        <v/>
      </c>
      <c r="AF171" s="22" t="str">
        <f aca="false">IF($C171="","",IF(AND($G171="À migrer",$H171="Non",$T171&lt;&gt;"",$V171&lt;&gt;""),($T171+p_poidsram*$U171)*SUMIFS(TblCalculs[Coût par unité],TblCalculs[Cluster],$J171,TblCalculs[Mois],"&gt;="&amp;$V171),IF(AND($G171="Migré",$T171&lt;&gt;""),($T171+p_poidsram*$U171)*SUMIFS(TblCalculs[Coût par unité],TblCalculs[Cluster],$J171),"")))</f>
        <v/>
      </c>
      <c r="AG171" s="22" t="str">
        <f aca="false">IF($C171="","",N($AE171)+N($AF171))</f>
        <v/>
      </c>
      <c r="AH171" s="21" t="str">
        <f aca="false">IF(OR($C171="",$G171="Décommissionné",COUNTIFS($E171,av_envc,$A171,av_domc,$B171,av_tric)=0),"",COUNTIFS($C$6:$C171,"&lt;&gt;",$G$6:$G171,"&lt;&gt;Décommissionné",$E$6:$E171,av_envc,$A$6:$A171,av_domc,$B$6:$B171,av_tric))</f>
        <v/>
      </c>
      <c r="AI171" s="21" t="str">
        <f aca="false">IF($C171="","",IF(AND(OR($G171="À migrer",$G171="À décommissionner"),$W171&lt;&gt;"",$W171&gt;ex_mois),1,0))</f>
        <v/>
      </c>
      <c r="AJ171" s="21" t="str">
        <f aca="false">IF(OR($C171="",$AI171&lt;&gt;1,COUNTIFS($E171,ex_envc,$A171,ex_domc,$B171,ex_tric)=0),"",COUNTIFS($AI$6:$AI171,1,$E$6:$E171,ex_envc,$A$6:$A171,ex_domc,$B$6:$B171,ex_tric))</f>
        <v/>
      </c>
    </row>
    <row r="172" customFormat="false" ht="15" hidden="false" customHeight="false" outlineLevel="0" collapsed="false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5"/>
      <c r="Q172" s="75"/>
      <c r="R172" s="75"/>
      <c r="S172" s="74"/>
      <c r="T172" s="21" t="str">
        <f aca="false">IF(OR($C172="",NOT(OR($G172="À migrer",$G172="Migré")),NOT(ISNUMBER($K172))),"",ROUNDUP($K172*(1+IF($AC172="",p_margeCPU,$AC172)),0))</f>
        <v/>
      </c>
      <c r="U172" s="21" t="str">
        <f aca="false">IF(OR($C172="",NOT(OR($G172="À migrer",$G172="Migré")),NOT(ISNUMBER($L172))),"",ROUNDUP($L172*(1+IF($AD172="",p_margeRAM,$AD172)),0))</f>
        <v/>
      </c>
      <c r="V172" s="39" t="str">
        <f aca="false">IF(OR(NOT($G172="À migrer"),$P172=""),"",IFERROR(DATE(YEAR($P172),MONTH($P172),1),""))</f>
        <v/>
      </c>
      <c r="W172" s="39" t="str">
        <f aca="false">IF(OR(NOT(OR($G172="À migrer",$G172="À décommissionner")),$R172=""),"",IFERROR(DATE(YEAR($R172),MONTH($R172),1),""))</f>
        <v/>
      </c>
      <c r="X172" s="21" t="str">
        <f aca="false">IF(OR($V172="",$W172=""),"",MAX(0,(YEAR($W172)-YEAR($V172))*12+MONTH($W172)-MONTH($V172)))</f>
        <v/>
      </c>
      <c r="Y172" s="21" t="str">
        <f aca="false">IF($C172="","",COUNTIF(TblApplications[ID],$C172))</f>
        <v/>
      </c>
      <c r="Z172" s="39" t="str">
        <f aca="false">IF($C172="","",IFERROR(1/(1/_xlfn.MINIFS(TblApplications[Mois prov (calc)],TblApplications[ID],$C172)),""))</f>
        <v/>
      </c>
      <c r="AA172" s="39" t="str">
        <f aca="false">IF($C172="","",IFERROR(1/(1/_xlfn.MAXIFS(TblApplications[Mois lib (calc)],TblApplications[ID],$C172)),""))</f>
        <v/>
      </c>
      <c r="AB172" s="21" t="str">
        <f aca="false">IF($C172="","",IF(OR(OR($A172="",$B172="",$D172="",$E172="",$F172="",$G172=""),AND($G172="À migrer",OR($H172="",$I172="",$J172="",$K172="",$L172="",$N172="",$O172="",$P172="",$Q172="",$R172="")),AND($G172="Migré",OR($J172="",$K172="",$L172="")),AND($G172="À décommissionner",OR($I172="",$N172="",$O172="",$R172=""))),"Données manquantes (selon l’action)",IF(AND($G172&lt;&gt;"Migré",$G172&lt;&gt;"À migrer",$G172&lt;&gt;"À décommissionner",$G172&lt;&gt;"Décommissionné"),"Action invalide",IF(COUNTIF(TblDomaines[Domaine],$A172)=0,"Domaine inconnu (référentiel)",IF(COUNTIFS(TblTribes[Tribe],$B172,TblTribes[Domaine de la tribe],$A172)=0,"Tribe inconnue ou hors domaine",IF(AND($G172="À migrer",$H172&lt;&gt;"Oui",$H172&lt;&gt;"Non"),"Valeur Oui/Non invalide (Déjà incluse ROKS)",IF(AND($E172&lt;&gt;"PRD",$E172&lt;&gt;"NPRD"),"Environnement invalide",IF(COUNTIFS(TblApplications[ID],$C172,TblApplications[Environnement],$E172,TblApplications[Couloir],$F172)&gt;1,"Déploiement en doublon (ID + env + couloir)",IF(OR(AND($K172&lt;&gt;"",NOT(ISNUMBER($K172))),AND($L172&lt;&gt;"",NOT(ISNUMBER($L172))),AND($N172&lt;&gt;"",NOT(ISNUMBER($N172))),AND($O172&lt;&gt;"",NOT(ISNUMBER($O172)))),"Ressource non numérique",IF(MIN(N($K172),N($L172),N($N172),N($O172))&lt;0,"Ressource négative",IF(OR(AND($AC172&lt;&gt;"",OR(NOT(ISNUMBER($AC172)),$AC172&lt;0,$AC172&gt;1)),AND($AD172&lt;&gt;"",OR(NOT(ISNUMBER($AD172)),$AD172&lt;0,$AD172&gt;1))),"Marge spécifique invalide (0–100 %)",IF(OR(AND($P172&lt;&gt;"",NOT(ISNUMBER($P172))),AND($Q172&lt;&gt;"",NOT(ISNUMBER($Q172))),AND($R172&lt;&gt;"",NOT(ISNUMBER($R172)))),"Mois invalide",IF(AND(OR($G172="À migrer",$G172="À décommissionner"),COUNTIFS(TblClusters[Cluster],$I172,TblClusters[Plateforme],"IKS")=0),"Cluster IKS inconnu",IF(AND(OR($G172="À migrer",$G172="Migré"),COUNTIFS(TblClusters[Cluster],$J172,TblClusters[Plateforme],"ROKS")=0),"Cluster ROKS inconnu",IF(AND(OR($G172="À migrer",$G172="À décommissionner"),COUNTIFS(TblClusters[Cluster],$I172,TblClusters[Environnement],$E172)=0),"Environnement ≠ cluster IKS",IF(AND(OR($G172="À migrer",$G172="Migré"),COUNTIFS(TblClusters[Cluster],$J172,TblClusters[Environnement],$E172)=0),"Environnement ≠ cluster ROKS",IF(AND($G172="À migrer",OR($P172&gt;$Q172,$Q172&gt;$R172)),"Dates incohérentes (prov ≤ bascule ≤ libération)",IF(AND(OR($G172="À migrer",$G172="À décommissionner"),OR(N($N172)&gt;SUMIFS(TblClusters[CPU initial (vCPU)],TblClusters[Cluster],$I172),N($O172)&gt;SUMIFS(TblClusters[RAM initiale (Go)],TblClusters[Cluster],$I172))),"Libération &gt; capacité du cluster source",IF(OR(AND($V172&lt;&gt;"",$V172&lt;p_debut),AND($W172&lt;&gt;"",$W172&gt;p_fin)),"Hors horizon (info)",IF(AND($G172="À migrer",$E172="PRD",COUNTIFS(TblApplications[ID],$C172,TblApplications[Environnement],"NPRD",TblApplications[Action],"À migrer")&gt;0,$V172&lt;_xlfn.MINIFS(TblApplications[Mois prov (calc)],TblApplications[ID],$C172,TblApplications[Environnement],"NPRD")),"PRD avant NPRD (info)","OK"))))))))))))))))))))</f>
        <v/>
      </c>
      <c r="AC172" s="76"/>
      <c r="AD172" s="76"/>
      <c r="AE172" s="22" t="str">
        <f aca="false">IF(OR($C172="",NOT(OR($G172="À migrer",$G172="À décommissionner")),NOT(ISNUMBER($N172)),NOT(ISNUMBER($O172)),$W172=""),"",($N172+p_poidsram*$O172)*SUMIFS(TblCalculs[Coût par unité],TblCalculs[Cluster],$I172,TblCalculs[Mois],"&lt;"&amp;$W172))</f>
        <v/>
      </c>
      <c r="AF172" s="22" t="str">
        <f aca="false">IF($C172="","",IF(AND($G172="À migrer",$H172="Non",$T172&lt;&gt;"",$V172&lt;&gt;""),($T172+p_poidsram*$U172)*SUMIFS(TblCalculs[Coût par unité],TblCalculs[Cluster],$J172,TblCalculs[Mois],"&gt;="&amp;$V172),IF(AND($G172="Migré",$T172&lt;&gt;""),($T172+p_poidsram*$U172)*SUMIFS(TblCalculs[Coût par unité],TblCalculs[Cluster],$J172),"")))</f>
        <v/>
      </c>
      <c r="AG172" s="22" t="str">
        <f aca="false">IF($C172="","",N($AE172)+N($AF172))</f>
        <v/>
      </c>
      <c r="AH172" s="21" t="str">
        <f aca="false">IF(OR($C172="",$G172="Décommissionné",COUNTIFS($E172,av_envc,$A172,av_domc,$B172,av_tric)=0),"",COUNTIFS($C$6:$C172,"&lt;&gt;",$G$6:$G172,"&lt;&gt;Décommissionné",$E$6:$E172,av_envc,$A$6:$A172,av_domc,$B$6:$B172,av_tric))</f>
        <v/>
      </c>
      <c r="AI172" s="21" t="str">
        <f aca="false">IF($C172="","",IF(AND(OR($G172="À migrer",$G172="À décommissionner"),$W172&lt;&gt;"",$W172&gt;ex_mois),1,0))</f>
        <v/>
      </c>
      <c r="AJ172" s="21" t="str">
        <f aca="false">IF(OR($C172="",$AI172&lt;&gt;1,COUNTIFS($E172,ex_envc,$A172,ex_domc,$B172,ex_tric)=0),"",COUNTIFS($AI$6:$AI172,1,$E$6:$E172,ex_envc,$A$6:$A172,ex_domc,$B$6:$B172,ex_tric))</f>
        <v/>
      </c>
    </row>
    <row r="173" customFormat="false" ht="15" hidden="false" customHeight="false" outlineLevel="0" collapsed="false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5"/>
      <c r="Q173" s="75"/>
      <c r="R173" s="75"/>
      <c r="S173" s="74"/>
      <c r="T173" s="21" t="str">
        <f aca="false">IF(OR($C173="",NOT(OR($G173="À migrer",$G173="Migré")),NOT(ISNUMBER($K173))),"",ROUNDUP($K173*(1+IF($AC173="",p_margeCPU,$AC173)),0))</f>
        <v/>
      </c>
      <c r="U173" s="21" t="str">
        <f aca="false">IF(OR($C173="",NOT(OR($G173="À migrer",$G173="Migré")),NOT(ISNUMBER($L173))),"",ROUNDUP($L173*(1+IF($AD173="",p_margeRAM,$AD173)),0))</f>
        <v/>
      </c>
      <c r="V173" s="39" t="str">
        <f aca="false">IF(OR(NOT($G173="À migrer"),$P173=""),"",IFERROR(DATE(YEAR($P173),MONTH($P173),1),""))</f>
        <v/>
      </c>
      <c r="W173" s="39" t="str">
        <f aca="false">IF(OR(NOT(OR($G173="À migrer",$G173="À décommissionner")),$R173=""),"",IFERROR(DATE(YEAR($R173),MONTH($R173),1),""))</f>
        <v/>
      </c>
      <c r="X173" s="21" t="str">
        <f aca="false">IF(OR($V173="",$W173=""),"",MAX(0,(YEAR($W173)-YEAR($V173))*12+MONTH($W173)-MONTH($V173)))</f>
        <v/>
      </c>
      <c r="Y173" s="21" t="str">
        <f aca="false">IF($C173="","",COUNTIF(TblApplications[ID],$C173))</f>
        <v/>
      </c>
      <c r="Z173" s="39" t="str">
        <f aca="false">IF($C173="","",IFERROR(1/(1/_xlfn.MINIFS(TblApplications[Mois prov (calc)],TblApplications[ID],$C173)),""))</f>
        <v/>
      </c>
      <c r="AA173" s="39" t="str">
        <f aca="false">IF($C173="","",IFERROR(1/(1/_xlfn.MAXIFS(TblApplications[Mois lib (calc)],TblApplications[ID],$C173)),""))</f>
        <v/>
      </c>
      <c r="AB173" s="21" t="str">
        <f aca="false">IF($C173="","",IF(OR(OR($A173="",$B173="",$D173="",$E173="",$F173="",$G173=""),AND($G173="À migrer",OR($H173="",$I173="",$J173="",$K173="",$L173="",$N173="",$O173="",$P173="",$Q173="",$R173="")),AND($G173="Migré",OR($J173="",$K173="",$L173="")),AND($G173="À décommissionner",OR($I173="",$N173="",$O173="",$R173=""))),"Données manquantes (selon l’action)",IF(AND($G173&lt;&gt;"Migré",$G173&lt;&gt;"À migrer",$G173&lt;&gt;"À décommissionner",$G173&lt;&gt;"Décommissionné"),"Action invalide",IF(COUNTIF(TblDomaines[Domaine],$A173)=0,"Domaine inconnu (référentiel)",IF(COUNTIFS(TblTribes[Tribe],$B173,TblTribes[Domaine de la tribe],$A173)=0,"Tribe inconnue ou hors domaine",IF(AND($G173="À migrer",$H173&lt;&gt;"Oui",$H173&lt;&gt;"Non"),"Valeur Oui/Non invalide (Déjà incluse ROKS)",IF(AND($E173&lt;&gt;"PRD",$E173&lt;&gt;"NPRD"),"Environnement invalide",IF(COUNTIFS(TblApplications[ID],$C173,TblApplications[Environnement],$E173,TblApplications[Couloir],$F173)&gt;1,"Déploiement en doublon (ID + env + couloir)",IF(OR(AND($K173&lt;&gt;"",NOT(ISNUMBER($K173))),AND($L173&lt;&gt;"",NOT(ISNUMBER($L173))),AND($N173&lt;&gt;"",NOT(ISNUMBER($N173))),AND($O173&lt;&gt;"",NOT(ISNUMBER($O173)))),"Ressource non numérique",IF(MIN(N($K173),N($L173),N($N173),N($O173))&lt;0,"Ressource négative",IF(OR(AND($AC173&lt;&gt;"",OR(NOT(ISNUMBER($AC173)),$AC173&lt;0,$AC173&gt;1)),AND($AD173&lt;&gt;"",OR(NOT(ISNUMBER($AD173)),$AD173&lt;0,$AD173&gt;1))),"Marge spécifique invalide (0–100 %)",IF(OR(AND($P173&lt;&gt;"",NOT(ISNUMBER($P173))),AND($Q173&lt;&gt;"",NOT(ISNUMBER($Q173))),AND($R173&lt;&gt;"",NOT(ISNUMBER($R173)))),"Mois invalide",IF(AND(OR($G173="À migrer",$G173="À décommissionner"),COUNTIFS(TblClusters[Cluster],$I173,TblClusters[Plateforme],"IKS")=0),"Cluster IKS inconnu",IF(AND(OR($G173="À migrer",$G173="Migré"),COUNTIFS(TblClusters[Cluster],$J173,TblClusters[Plateforme],"ROKS")=0),"Cluster ROKS inconnu",IF(AND(OR($G173="À migrer",$G173="À décommissionner"),COUNTIFS(TblClusters[Cluster],$I173,TblClusters[Environnement],$E173)=0),"Environnement ≠ cluster IKS",IF(AND(OR($G173="À migrer",$G173="Migré"),COUNTIFS(TblClusters[Cluster],$J173,TblClusters[Environnement],$E173)=0),"Environnement ≠ cluster ROKS",IF(AND($G173="À migrer",OR($P173&gt;$Q173,$Q173&gt;$R173)),"Dates incohérentes (prov ≤ bascule ≤ libération)",IF(AND(OR($G173="À migrer",$G173="À décommissionner"),OR(N($N173)&gt;SUMIFS(TblClusters[CPU initial (vCPU)],TblClusters[Cluster],$I173),N($O173)&gt;SUMIFS(TblClusters[RAM initiale (Go)],TblClusters[Cluster],$I173))),"Libération &gt; capacité du cluster source",IF(OR(AND($V173&lt;&gt;"",$V173&lt;p_debut),AND($W173&lt;&gt;"",$W173&gt;p_fin)),"Hors horizon (info)",IF(AND($G173="À migrer",$E173="PRD",COUNTIFS(TblApplications[ID],$C173,TblApplications[Environnement],"NPRD",TblApplications[Action],"À migrer")&gt;0,$V173&lt;_xlfn.MINIFS(TblApplications[Mois prov (calc)],TblApplications[ID],$C173,TblApplications[Environnement],"NPRD")),"PRD avant NPRD (info)","OK"))))))))))))))))))))</f>
        <v/>
      </c>
      <c r="AC173" s="76"/>
      <c r="AD173" s="76"/>
      <c r="AE173" s="22" t="str">
        <f aca="false">IF(OR($C173="",NOT(OR($G173="À migrer",$G173="À décommissionner")),NOT(ISNUMBER($N173)),NOT(ISNUMBER($O173)),$W173=""),"",($N173+p_poidsram*$O173)*SUMIFS(TblCalculs[Coût par unité],TblCalculs[Cluster],$I173,TblCalculs[Mois],"&lt;"&amp;$W173))</f>
        <v/>
      </c>
      <c r="AF173" s="22" t="str">
        <f aca="false">IF($C173="","",IF(AND($G173="À migrer",$H173="Non",$T173&lt;&gt;"",$V173&lt;&gt;""),($T173+p_poidsram*$U173)*SUMIFS(TblCalculs[Coût par unité],TblCalculs[Cluster],$J173,TblCalculs[Mois],"&gt;="&amp;$V173),IF(AND($G173="Migré",$T173&lt;&gt;""),($T173+p_poidsram*$U173)*SUMIFS(TblCalculs[Coût par unité],TblCalculs[Cluster],$J173),"")))</f>
        <v/>
      </c>
      <c r="AG173" s="22" t="str">
        <f aca="false">IF($C173="","",N($AE173)+N($AF173))</f>
        <v/>
      </c>
      <c r="AH173" s="21" t="str">
        <f aca="false">IF(OR($C173="",$G173="Décommissionné",COUNTIFS($E173,av_envc,$A173,av_domc,$B173,av_tric)=0),"",COUNTIFS($C$6:$C173,"&lt;&gt;",$G$6:$G173,"&lt;&gt;Décommissionné",$E$6:$E173,av_envc,$A$6:$A173,av_domc,$B$6:$B173,av_tric))</f>
        <v/>
      </c>
      <c r="AI173" s="21" t="str">
        <f aca="false">IF($C173="","",IF(AND(OR($G173="À migrer",$G173="À décommissionner"),$W173&lt;&gt;"",$W173&gt;ex_mois),1,0))</f>
        <v/>
      </c>
      <c r="AJ173" s="21" t="str">
        <f aca="false">IF(OR($C173="",$AI173&lt;&gt;1,COUNTIFS($E173,ex_envc,$A173,ex_domc,$B173,ex_tric)=0),"",COUNTIFS($AI$6:$AI173,1,$E$6:$E173,ex_envc,$A$6:$A173,ex_domc,$B$6:$B173,ex_tric))</f>
        <v/>
      </c>
    </row>
    <row r="174" customFormat="false" ht="15" hidden="false" customHeight="false" outlineLevel="0" collapsed="false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5"/>
      <c r="Q174" s="75"/>
      <c r="R174" s="75"/>
      <c r="S174" s="74"/>
      <c r="T174" s="21" t="str">
        <f aca="false">IF(OR($C174="",NOT(OR($G174="À migrer",$G174="Migré")),NOT(ISNUMBER($K174))),"",ROUNDUP($K174*(1+IF($AC174="",p_margeCPU,$AC174)),0))</f>
        <v/>
      </c>
      <c r="U174" s="21" t="str">
        <f aca="false">IF(OR($C174="",NOT(OR($G174="À migrer",$G174="Migré")),NOT(ISNUMBER($L174))),"",ROUNDUP($L174*(1+IF($AD174="",p_margeRAM,$AD174)),0))</f>
        <v/>
      </c>
      <c r="V174" s="39" t="str">
        <f aca="false">IF(OR(NOT($G174="À migrer"),$P174=""),"",IFERROR(DATE(YEAR($P174),MONTH($P174),1),""))</f>
        <v/>
      </c>
      <c r="W174" s="39" t="str">
        <f aca="false">IF(OR(NOT(OR($G174="À migrer",$G174="À décommissionner")),$R174=""),"",IFERROR(DATE(YEAR($R174),MONTH($R174),1),""))</f>
        <v/>
      </c>
      <c r="X174" s="21" t="str">
        <f aca="false">IF(OR($V174="",$W174=""),"",MAX(0,(YEAR($W174)-YEAR($V174))*12+MONTH($W174)-MONTH($V174)))</f>
        <v/>
      </c>
      <c r="Y174" s="21" t="str">
        <f aca="false">IF($C174="","",COUNTIF(TblApplications[ID],$C174))</f>
        <v/>
      </c>
      <c r="Z174" s="39" t="str">
        <f aca="false">IF($C174="","",IFERROR(1/(1/_xlfn.MINIFS(TblApplications[Mois prov (calc)],TblApplications[ID],$C174)),""))</f>
        <v/>
      </c>
      <c r="AA174" s="39" t="str">
        <f aca="false">IF($C174="","",IFERROR(1/(1/_xlfn.MAXIFS(TblApplications[Mois lib (calc)],TblApplications[ID],$C174)),""))</f>
        <v/>
      </c>
      <c r="AB174" s="21" t="str">
        <f aca="false">IF($C174="","",IF(OR(OR($A174="",$B174="",$D174="",$E174="",$F174="",$G174=""),AND($G174="À migrer",OR($H174="",$I174="",$J174="",$K174="",$L174="",$N174="",$O174="",$P174="",$Q174="",$R174="")),AND($G174="Migré",OR($J174="",$K174="",$L174="")),AND($G174="À décommissionner",OR($I174="",$N174="",$O174="",$R174=""))),"Données manquantes (selon l’action)",IF(AND($G174&lt;&gt;"Migré",$G174&lt;&gt;"À migrer",$G174&lt;&gt;"À décommissionner",$G174&lt;&gt;"Décommissionné"),"Action invalide",IF(COUNTIF(TblDomaines[Domaine],$A174)=0,"Domaine inconnu (référentiel)",IF(COUNTIFS(TblTribes[Tribe],$B174,TblTribes[Domaine de la tribe],$A174)=0,"Tribe inconnue ou hors domaine",IF(AND($G174="À migrer",$H174&lt;&gt;"Oui",$H174&lt;&gt;"Non"),"Valeur Oui/Non invalide (Déjà incluse ROKS)",IF(AND($E174&lt;&gt;"PRD",$E174&lt;&gt;"NPRD"),"Environnement invalide",IF(COUNTIFS(TblApplications[ID],$C174,TblApplications[Environnement],$E174,TblApplications[Couloir],$F174)&gt;1,"Déploiement en doublon (ID + env + couloir)",IF(OR(AND($K174&lt;&gt;"",NOT(ISNUMBER($K174))),AND($L174&lt;&gt;"",NOT(ISNUMBER($L174))),AND($N174&lt;&gt;"",NOT(ISNUMBER($N174))),AND($O174&lt;&gt;"",NOT(ISNUMBER($O174)))),"Ressource non numérique",IF(MIN(N($K174),N($L174),N($N174),N($O174))&lt;0,"Ressource négative",IF(OR(AND($AC174&lt;&gt;"",OR(NOT(ISNUMBER($AC174)),$AC174&lt;0,$AC174&gt;1)),AND($AD174&lt;&gt;"",OR(NOT(ISNUMBER($AD174)),$AD174&lt;0,$AD174&gt;1))),"Marge spécifique invalide (0–100 %)",IF(OR(AND($P174&lt;&gt;"",NOT(ISNUMBER($P174))),AND($Q174&lt;&gt;"",NOT(ISNUMBER($Q174))),AND($R174&lt;&gt;"",NOT(ISNUMBER($R174)))),"Mois invalide",IF(AND(OR($G174="À migrer",$G174="À décommissionner"),COUNTIFS(TblClusters[Cluster],$I174,TblClusters[Plateforme],"IKS")=0),"Cluster IKS inconnu",IF(AND(OR($G174="À migrer",$G174="Migré"),COUNTIFS(TblClusters[Cluster],$J174,TblClusters[Plateforme],"ROKS")=0),"Cluster ROKS inconnu",IF(AND(OR($G174="À migrer",$G174="À décommissionner"),COUNTIFS(TblClusters[Cluster],$I174,TblClusters[Environnement],$E174)=0),"Environnement ≠ cluster IKS",IF(AND(OR($G174="À migrer",$G174="Migré"),COUNTIFS(TblClusters[Cluster],$J174,TblClusters[Environnement],$E174)=0),"Environnement ≠ cluster ROKS",IF(AND($G174="À migrer",OR($P174&gt;$Q174,$Q174&gt;$R174)),"Dates incohérentes (prov ≤ bascule ≤ libération)",IF(AND(OR($G174="À migrer",$G174="À décommissionner"),OR(N($N174)&gt;SUMIFS(TblClusters[CPU initial (vCPU)],TblClusters[Cluster],$I174),N($O174)&gt;SUMIFS(TblClusters[RAM initiale (Go)],TblClusters[Cluster],$I174))),"Libération &gt; capacité du cluster source",IF(OR(AND($V174&lt;&gt;"",$V174&lt;p_debut),AND($W174&lt;&gt;"",$W174&gt;p_fin)),"Hors horizon (info)",IF(AND($G174="À migrer",$E174="PRD",COUNTIFS(TblApplications[ID],$C174,TblApplications[Environnement],"NPRD",TblApplications[Action],"À migrer")&gt;0,$V174&lt;_xlfn.MINIFS(TblApplications[Mois prov (calc)],TblApplications[ID],$C174,TblApplications[Environnement],"NPRD")),"PRD avant NPRD (info)","OK"))))))))))))))))))))</f>
        <v/>
      </c>
      <c r="AC174" s="76"/>
      <c r="AD174" s="76"/>
      <c r="AE174" s="22" t="str">
        <f aca="false">IF(OR($C174="",NOT(OR($G174="À migrer",$G174="À décommissionner")),NOT(ISNUMBER($N174)),NOT(ISNUMBER($O174)),$W174=""),"",($N174+p_poidsram*$O174)*SUMIFS(TblCalculs[Coût par unité],TblCalculs[Cluster],$I174,TblCalculs[Mois],"&lt;"&amp;$W174))</f>
        <v/>
      </c>
      <c r="AF174" s="22" t="str">
        <f aca="false">IF($C174="","",IF(AND($G174="À migrer",$H174="Non",$T174&lt;&gt;"",$V174&lt;&gt;""),($T174+p_poidsram*$U174)*SUMIFS(TblCalculs[Coût par unité],TblCalculs[Cluster],$J174,TblCalculs[Mois],"&gt;="&amp;$V174),IF(AND($G174="Migré",$T174&lt;&gt;""),($T174+p_poidsram*$U174)*SUMIFS(TblCalculs[Coût par unité],TblCalculs[Cluster],$J174),"")))</f>
        <v/>
      </c>
      <c r="AG174" s="22" t="str">
        <f aca="false">IF($C174="","",N($AE174)+N($AF174))</f>
        <v/>
      </c>
      <c r="AH174" s="21" t="str">
        <f aca="false">IF(OR($C174="",$G174="Décommissionné",COUNTIFS($E174,av_envc,$A174,av_domc,$B174,av_tric)=0),"",COUNTIFS($C$6:$C174,"&lt;&gt;",$G$6:$G174,"&lt;&gt;Décommissionné",$E$6:$E174,av_envc,$A$6:$A174,av_domc,$B$6:$B174,av_tric))</f>
        <v/>
      </c>
      <c r="AI174" s="21" t="str">
        <f aca="false">IF($C174="","",IF(AND(OR($G174="À migrer",$G174="À décommissionner"),$W174&lt;&gt;"",$W174&gt;ex_mois),1,0))</f>
        <v/>
      </c>
      <c r="AJ174" s="21" t="str">
        <f aca="false">IF(OR($C174="",$AI174&lt;&gt;1,COUNTIFS($E174,ex_envc,$A174,ex_domc,$B174,ex_tric)=0),"",COUNTIFS($AI$6:$AI174,1,$E$6:$E174,ex_envc,$A$6:$A174,ex_domc,$B$6:$B174,ex_tric))</f>
        <v/>
      </c>
    </row>
    <row r="175" customFormat="false" ht="15" hidden="false" customHeight="false" outlineLevel="0" collapsed="false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5"/>
      <c r="Q175" s="75"/>
      <c r="R175" s="75"/>
      <c r="S175" s="74"/>
      <c r="T175" s="21" t="str">
        <f aca="false">IF(OR($C175="",NOT(OR($G175="À migrer",$G175="Migré")),NOT(ISNUMBER($K175))),"",ROUNDUP($K175*(1+IF($AC175="",p_margeCPU,$AC175)),0))</f>
        <v/>
      </c>
      <c r="U175" s="21" t="str">
        <f aca="false">IF(OR($C175="",NOT(OR($G175="À migrer",$G175="Migré")),NOT(ISNUMBER($L175))),"",ROUNDUP($L175*(1+IF($AD175="",p_margeRAM,$AD175)),0))</f>
        <v/>
      </c>
      <c r="V175" s="39" t="str">
        <f aca="false">IF(OR(NOT($G175="À migrer"),$P175=""),"",IFERROR(DATE(YEAR($P175),MONTH($P175),1),""))</f>
        <v/>
      </c>
      <c r="W175" s="39" t="str">
        <f aca="false">IF(OR(NOT(OR($G175="À migrer",$G175="À décommissionner")),$R175=""),"",IFERROR(DATE(YEAR($R175),MONTH($R175),1),""))</f>
        <v/>
      </c>
      <c r="X175" s="21" t="str">
        <f aca="false">IF(OR($V175="",$W175=""),"",MAX(0,(YEAR($W175)-YEAR($V175))*12+MONTH($W175)-MONTH($V175)))</f>
        <v/>
      </c>
      <c r="Y175" s="21" t="str">
        <f aca="false">IF($C175="","",COUNTIF(TblApplications[ID],$C175))</f>
        <v/>
      </c>
      <c r="Z175" s="39" t="str">
        <f aca="false">IF($C175="","",IFERROR(1/(1/_xlfn.MINIFS(TblApplications[Mois prov (calc)],TblApplications[ID],$C175)),""))</f>
        <v/>
      </c>
      <c r="AA175" s="39" t="str">
        <f aca="false">IF($C175="","",IFERROR(1/(1/_xlfn.MAXIFS(TblApplications[Mois lib (calc)],TblApplications[ID],$C175)),""))</f>
        <v/>
      </c>
      <c r="AB175" s="21" t="str">
        <f aca="false">IF($C175="","",IF(OR(OR($A175="",$B175="",$D175="",$E175="",$F175="",$G175=""),AND($G175="À migrer",OR($H175="",$I175="",$J175="",$K175="",$L175="",$N175="",$O175="",$P175="",$Q175="",$R175="")),AND($G175="Migré",OR($J175="",$K175="",$L175="")),AND($G175="À décommissionner",OR($I175="",$N175="",$O175="",$R175=""))),"Données manquantes (selon l’action)",IF(AND($G175&lt;&gt;"Migré",$G175&lt;&gt;"À migrer",$G175&lt;&gt;"À décommissionner",$G175&lt;&gt;"Décommissionné"),"Action invalide",IF(COUNTIF(TblDomaines[Domaine],$A175)=0,"Domaine inconnu (référentiel)",IF(COUNTIFS(TblTribes[Tribe],$B175,TblTribes[Domaine de la tribe],$A175)=0,"Tribe inconnue ou hors domaine",IF(AND($G175="À migrer",$H175&lt;&gt;"Oui",$H175&lt;&gt;"Non"),"Valeur Oui/Non invalide (Déjà incluse ROKS)",IF(AND($E175&lt;&gt;"PRD",$E175&lt;&gt;"NPRD"),"Environnement invalide",IF(COUNTIFS(TblApplications[ID],$C175,TblApplications[Environnement],$E175,TblApplications[Couloir],$F175)&gt;1,"Déploiement en doublon (ID + env + couloir)",IF(OR(AND($K175&lt;&gt;"",NOT(ISNUMBER($K175))),AND($L175&lt;&gt;"",NOT(ISNUMBER($L175))),AND($N175&lt;&gt;"",NOT(ISNUMBER($N175))),AND($O175&lt;&gt;"",NOT(ISNUMBER($O175)))),"Ressource non numérique",IF(MIN(N($K175),N($L175),N($N175),N($O175))&lt;0,"Ressource négative",IF(OR(AND($AC175&lt;&gt;"",OR(NOT(ISNUMBER($AC175)),$AC175&lt;0,$AC175&gt;1)),AND($AD175&lt;&gt;"",OR(NOT(ISNUMBER($AD175)),$AD175&lt;0,$AD175&gt;1))),"Marge spécifique invalide (0–100 %)",IF(OR(AND($P175&lt;&gt;"",NOT(ISNUMBER($P175))),AND($Q175&lt;&gt;"",NOT(ISNUMBER($Q175))),AND($R175&lt;&gt;"",NOT(ISNUMBER($R175)))),"Mois invalide",IF(AND(OR($G175="À migrer",$G175="À décommissionner"),COUNTIFS(TblClusters[Cluster],$I175,TblClusters[Plateforme],"IKS")=0),"Cluster IKS inconnu",IF(AND(OR($G175="À migrer",$G175="Migré"),COUNTIFS(TblClusters[Cluster],$J175,TblClusters[Plateforme],"ROKS")=0),"Cluster ROKS inconnu",IF(AND(OR($G175="À migrer",$G175="À décommissionner"),COUNTIFS(TblClusters[Cluster],$I175,TblClusters[Environnement],$E175)=0),"Environnement ≠ cluster IKS",IF(AND(OR($G175="À migrer",$G175="Migré"),COUNTIFS(TblClusters[Cluster],$J175,TblClusters[Environnement],$E175)=0),"Environnement ≠ cluster ROKS",IF(AND($G175="À migrer",OR($P175&gt;$Q175,$Q175&gt;$R175)),"Dates incohérentes (prov ≤ bascule ≤ libération)",IF(AND(OR($G175="À migrer",$G175="À décommissionner"),OR(N($N175)&gt;SUMIFS(TblClusters[CPU initial (vCPU)],TblClusters[Cluster],$I175),N($O175)&gt;SUMIFS(TblClusters[RAM initiale (Go)],TblClusters[Cluster],$I175))),"Libération &gt; capacité du cluster source",IF(OR(AND($V175&lt;&gt;"",$V175&lt;p_debut),AND($W175&lt;&gt;"",$W175&gt;p_fin)),"Hors horizon (info)",IF(AND($G175="À migrer",$E175="PRD",COUNTIFS(TblApplications[ID],$C175,TblApplications[Environnement],"NPRD",TblApplications[Action],"À migrer")&gt;0,$V175&lt;_xlfn.MINIFS(TblApplications[Mois prov (calc)],TblApplications[ID],$C175,TblApplications[Environnement],"NPRD")),"PRD avant NPRD (info)","OK"))))))))))))))))))))</f>
        <v/>
      </c>
      <c r="AC175" s="76"/>
      <c r="AD175" s="76"/>
      <c r="AE175" s="22" t="str">
        <f aca="false">IF(OR($C175="",NOT(OR($G175="À migrer",$G175="À décommissionner")),NOT(ISNUMBER($N175)),NOT(ISNUMBER($O175)),$W175=""),"",($N175+p_poidsram*$O175)*SUMIFS(TblCalculs[Coût par unité],TblCalculs[Cluster],$I175,TblCalculs[Mois],"&lt;"&amp;$W175))</f>
        <v/>
      </c>
      <c r="AF175" s="22" t="str">
        <f aca="false">IF($C175="","",IF(AND($G175="À migrer",$H175="Non",$T175&lt;&gt;"",$V175&lt;&gt;""),($T175+p_poidsram*$U175)*SUMIFS(TblCalculs[Coût par unité],TblCalculs[Cluster],$J175,TblCalculs[Mois],"&gt;="&amp;$V175),IF(AND($G175="Migré",$T175&lt;&gt;""),($T175+p_poidsram*$U175)*SUMIFS(TblCalculs[Coût par unité],TblCalculs[Cluster],$J175),"")))</f>
        <v/>
      </c>
      <c r="AG175" s="22" t="str">
        <f aca="false">IF($C175="","",N($AE175)+N($AF175))</f>
        <v/>
      </c>
      <c r="AH175" s="21" t="str">
        <f aca="false">IF(OR($C175="",$G175="Décommissionné",COUNTIFS($E175,av_envc,$A175,av_domc,$B175,av_tric)=0),"",COUNTIFS($C$6:$C175,"&lt;&gt;",$G$6:$G175,"&lt;&gt;Décommissionné",$E$6:$E175,av_envc,$A$6:$A175,av_domc,$B$6:$B175,av_tric))</f>
        <v/>
      </c>
      <c r="AI175" s="21" t="str">
        <f aca="false">IF($C175="","",IF(AND(OR($G175="À migrer",$G175="À décommissionner"),$W175&lt;&gt;"",$W175&gt;ex_mois),1,0))</f>
        <v/>
      </c>
      <c r="AJ175" s="21" t="str">
        <f aca="false">IF(OR($C175="",$AI175&lt;&gt;1,COUNTIFS($E175,ex_envc,$A175,ex_domc,$B175,ex_tric)=0),"",COUNTIFS($AI$6:$AI175,1,$E$6:$E175,ex_envc,$A$6:$A175,ex_domc,$B$6:$B175,ex_tric))</f>
        <v/>
      </c>
    </row>
    <row r="176" customFormat="false" ht="15" hidden="false" customHeight="false" outlineLevel="0" collapsed="false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5"/>
      <c r="Q176" s="75"/>
      <c r="R176" s="75"/>
      <c r="S176" s="74"/>
      <c r="T176" s="21" t="str">
        <f aca="false">IF(OR($C176="",NOT(OR($G176="À migrer",$G176="Migré")),NOT(ISNUMBER($K176))),"",ROUNDUP($K176*(1+IF($AC176="",p_margeCPU,$AC176)),0))</f>
        <v/>
      </c>
      <c r="U176" s="21" t="str">
        <f aca="false">IF(OR($C176="",NOT(OR($G176="À migrer",$G176="Migré")),NOT(ISNUMBER($L176))),"",ROUNDUP($L176*(1+IF($AD176="",p_margeRAM,$AD176)),0))</f>
        <v/>
      </c>
      <c r="V176" s="39" t="str">
        <f aca="false">IF(OR(NOT($G176="À migrer"),$P176=""),"",IFERROR(DATE(YEAR($P176),MONTH($P176),1),""))</f>
        <v/>
      </c>
      <c r="W176" s="39" t="str">
        <f aca="false">IF(OR(NOT(OR($G176="À migrer",$G176="À décommissionner")),$R176=""),"",IFERROR(DATE(YEAR($R176),MONTH($R176),1),""))</f>
        <v/>
      </c>
      <c r="X176" s="21" t="str">
        <f aca="false">IF(OR($V176="",$W176=""),"",MAX(0,(YEAR($W176)-YEAR($V176))*12+MONTH($W176)-MONTH($V176)))</f>
        <v/>
      </c>
      <c r="Y176" s="21" t="str">
        <f aca="false">IF($C176="","",COUNTIF(TblApplications[ID],$C176))</f>
        <v/>
      </c>
      <c r="Z176" s="39" t="str">
        <f aca="false">IF($C176="","",IFERROR(1/(1/_xlfn.MINIFS(TblApplications[Mois prov (calc)],TblApplications[ID],$C176)),""))</f>
        <v/>
      </c>
      <c r="AA176" s="39" t="str">
        <f aca="false">IF($C176="","",IFERROR(1/(1/_xlfn.MAXIFS(TblApplications[Mois lib (calc)],TblApplications[ID],$C176)),""))</f>
        <v/>
      </c>
      <c r="AB176" s="21" t="str">
        <f aca="false">IF($C176="","",IF(OR(OR($A176="",$B176="",$D176="",$E176="",$F176="",$G176=""),AND($G176="À migrer",OR($H176="",$I176="",$J176="",$K176="",$L176="",$N176="",$O176="",$P176="",$Q176="",$R176="")),AND($G176="Migré",OR($J176="",$K176="",$L176="")),AND($G176="À décommissionner",OR($I176="",$N176="",$O176="",$R176=""))),"Données manquantes (selon l’action)",IF(AND($G176&lt;&gt;"Migré",$G176&lt;&gt;"À migrer",$G176&lt;&gt;"À décommissionner",$G176&lt;&gt;"Décommissionné"),"Action invalide",IF(COUNTIF(TblDomaines[Domaine],$A176)=0,"Domaine inconnu (référentiel)",IF(COUNTIFS(TblTribes[Tribe],$B176,TblTribes[Domaine de la tribe],$A176)=0,"Tribe inconnue ou hors domaine",IF(AND($G176="À migrer",$H176&lt;&gt;"Oui",$H176&lt;&gt;"Non"),"Valeur Oui/Non invalide (Déjà incluse ROKS)",IF(AND($E176&lt;&gt;"PRD",$E176&lt;&gt;"NPRD"),"Environnement invalide",IF(COUNTIFS(TblApplications[ID],$C176,TblApplications[Environnement],$E176,TblApplications[Couloir],$F176)&gt;1,"Déploiement en doublon (ID + env + couloir)",IF(OR(AND($K176&lt;&gt;"",NOT(ISNUMBER($K176))),AND($L176&lt;&gt;"",NOT(ISNUMBER($L176))),AND($N176&lt;&gt;"",NOT(ISNUMBER($N176))),AND($O176&lt;&gt;"",NOT(ISNUMBER($O176)))),"Ressource non numérique",IF(MIN(N($K176),N($L176),N($N176),N($O176))&lt;0,"Ressource négative",IF(OR(AND($AC176&lt;&gt;"",OR(NOT(ISNUMBER($AC176)),$AC176&lt;0,$AC176&gt;1)),AND($AD176&lt;&gt;"",OR(NOT(ISNUMBER($AD176)),$AD176&lt;0,$AD176&gt;1))),"Marge spécifique invalide (0–100 %)",IF(OR(AND($P176&lt;&gt;"",NOT(ISNUMBER($P176))),AND($Q176&lt;&gt;"",NOT(ISNUMBER($Q176))),AND($R176&lt;&gt;"",NOT(ISNUMBER($R176)))),"Mois invalide",IF(AND(OR($G176="À migrer",$G176="À décommissionner"),COUNTIFS(TblClusters[Cluster],$I176,TblClusters[Plateforme],"IKS")=0),"Cluster IKS inconnu",IF(AND(OR($G176="À migrer",$G176="Migré"),COUNTIFS(TblClusters[Cluster],$J176,TblClusters[Plateforme],"ROKS")=0),"Cluster ROKS inconnu",IF(AND(OR($G176="À migrer",$G176="À décommissionner"),COUNTIFS(TblClusters[Cluster],$I176,TblClusters[Environnement],$E176)=0),"Environnement ≠ cluster IKS",IF(AND(OR($G176="À migrer",$G176="Migré"),COUNTIFS(TblClusters[Cluster],$J176,TblClusters[Environnement],$E176)=0),"Environnement ≠ cluster ROKS",IF(AND($G176="À migrer",OR($P176&gt;$Q176,$Q176&gt;$R176)),"Dates incohérentes (prov ≤ bascule ≤ libération)",IF(AND(OR($G176="À migrer",$G176="À décommissionner"),OR(N($N176)&gt;SUMIFS(TblClusters[CPU initial (vCPU)],TblClusters[Cluster],$I176),N($O176)&gt;SUMIFS(TblClusters[RAM initiale (Go)],TblClusters[Cluster],$I176))),"Libération &gt; capacité du cluster source",IF(OR(AND($V176&lt;&gt;"",$V176&lt;p_debut),AND($W176&lt;&gt;"",$W176&gt;p_fin)),"Hors horizon (info)",IF(AND($G176="À migrer",$E176="PRD",COUNTIFS(TblApplications[ID],$C176,TblApplications[Environnement],"NPRD",TblApplications[Action],"À migrer")&gt;0,$V176&lt;_xlfn.MINIFS(TblApplications[Mois prov (calc)],TblApplications[ID],$C176,TblApplications[Environnement],"NPRD")),"PRD avant NPRD (info)","OK"))))))))))))))))))))</f>
        <v/>
      </c>
      <c r="AC176" s="76"/>
      <c r="AD176" s="76"/>
      <c r="AE176" s="22" t="str">
        <f aca="false">IF(OR($C176="",NOT(OR($G176="À migrer",$G176="À décommissionner")),NOT(ISNUMBER($N176)),NOT(ISNUMBER($O176)),$W176=""),"",($N176+p_poidsram*$O176)*SUMIFS(TblCalculs[Coût par unité],TblCalculs[Cluster],$I176,TblCalculs[Mois],"&lt;"&amp;$W176))</f>
        <v/>
      </c>
      <c r="AF176" s="22" t="str">
        <f aca="false">IF($C176="","",IF(AND($G176="À migrer",$H176="Non",$T176&lt;&gt;"",$V176&lt;&gt;""),($T176+p_poidsram*$U176)*SUMIFS(TblCalculs[Coût par unité],TblCalculs[Cluster],$J176,TblCalculs[Mois],"&gt;="&amp;$V176),IF(AND($G176="Migré",$T176&lt;&gt;""),($T176+p_poidsram*$U176)*SUMIFS(TblCalculs[Coût par unité],TblCalculs[Cluster],$J176),"")))</f>
        <v/>
      </c>
      <c r="AG176" s="22" t="str">
        <f aca="false">IF($C176="","",N($AE176)+N($AF176))</f>
        <v/>
      </c>
      <c r="AH176" s="21" t="str">
        <f aca="false">IF(OR($C176="",$G176="Décommissionné",COUNTIFS($E176,av_envc,$A176,av_domc,$B176,av_tric)=0),"",COUNTIFS($C$6:$C176,"&lt;&gt;",$G$6:$G176,"&lt;&gt;Décommissionné",$E$6:$E176,av_envc,$A$6:$A176,av_domc,$B$6:$B176,av_tric))</f>
        <v/>
      </c>
      <c r="AI176" s="21" t="str">
        <f aca="false">IF($C176="","",IF(AND(OR($G176="À migrer",$G176="À décommissionner"),$W176&lt;&gt;"",$W176&gt;ex_mois),1,0))</f>
        <v/>
      </c>
      <c r="AJ176" s="21" t="str">
        <f aca="false">IF(OR($C176="",$AI176&lt;&gt;1,COUNTIFS($E176,ex_envc,$A176,ex_domc,$B176,ex_tric)=0),"",COUNTIFS($AI$6:$AI176,1,$E$6:$E176,ex_envc,$A$6:$A176,ex_domc,$B$6:$B176,ex_tric))</f>
        <v/>
      </c>
    </row>
    <row r="177" customFormat="false" ht="15" hidden="false" customHeight="false" outlineLevel="0" collapsed="false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5"/>
      <c r="Q177" s="75"/>
      <c r="R177" s="75"/>
      <c r="S177" s="74"/>
      <c r="T177" s="21" t="str">
        <f aca="false">IF(OR($C177="",NOT(OR($G177="À migrer",$G177="Migré")),NOT(ISNUMBER($K177))),"",ROUNDUP($K177*(1+IF($AC177="",p_margeCPU,$AC177)),0))</f>
        <v/>
      </c>
      <c r="U177" s="21" t="str">
        <f aca="false">IF(OR($C177="",NOT(OR($G177="À migrer",$G177="Migré")),NOT(ISNUMBER($L177))),"",ROUNDUP($L177*(1+IF($AD177="",p_margeRAM,$AD177)),0))</f>
        <v/>
      </c>
      <c r="V177" s="39" t="str">
        <f aca="false">IF(OR(NOT($G177="À migrer"),$P177=""),"",IFERROR(DATE(YEAR($P177),MONTH($P177),1),""))</f>
        <v/>
      </c>
      <c r="W177" s="39" t="str">
        <f aca="false">IF(OR(NOT(OR($G177="À migrer",$G177="À décommissionner")),$R177=""),"",IFERROR(DATE(YEAR($R177),MONTH($R177),1),""))</f>
        <v/>
      </c>
      <c r="X177" s="21" t="str">
        <f aca="false">IF(OR($V177="",$W177=""),"",MAX(0,(YEAR($W177)-YEAR($V177))*12+MONTH($W177)-MONTH($V177)))</f>
        <v/>
      </c>
      <c r="Y177" s="21" t="str">
        <f aca="false">IF($C177="","",COUNTIF(TblApplications[ID],$C177))</f>
        <v/>
      </c>
      <c r="Z177" s="39" t="str">
        <f aca="false">IF($C177="","",IFERROR(1/(1/_xlfn.MINIFS(TblApplications[Mois prov (calc)],TblApplications[ID],$C177)),""))</f>
        <v/>
      </c>
      <c r="AA177" s="39" t="str">
        <f aca="false">IF($C177="","",IFERROR(1/(1/_xlfn.MAXIFS(TblApplications[Mois lib (calc)],TblApplications[ID],$C177)),""))</f>
        <v/>
      </c>
      <c r="AB177" s="21" t="str">
        <f aca="false">IF($C177="","",IF(OR(OR($A177="",$B177="",$D177="",$E177="",$F177="",$G177=""),AND($G177="À migrer",OR($H177="",$I177="",$J177="",$K177="",$L177="",$N177="",$O177="",$P177="",$Q177="",$R177="")),AND($G177="Migré",OR($J177="",$K177="",$L177="")),AND($G177="À décommissionner",OR($I177="",$N177="",$O177="",$R177=""))),"Données manquantes (selon l’action)",IF(AND($G177&lt;&gt;"Migré",$G177&lt;&gt;"À migrer",$G177&lt;&gt;"À décommissionner",$G177&lt;&gt;"Décommissionné"),"Action invalide",IF(COUNTIF(TblDomaines[Domaine],$A177)=0,"Domaine inconnu (référentiel)",IF(COUNTIFS(TblTribes[Tribe],$B177,TblTribes[Domaine de la tribe],$A177)=0,"Tribe inconnue ou hors domaine",IF(AND($G177="À migrer",$H177&lt;&gt;"Oui",$H177&lt;&gt;"Non"),"Valeur Oui/Non invalide (Déjà incluse ROKS)",IF(AND($E177&lt;&gt;"PRD",$E177&lt;&gt;"NPRD"),"Environnement invalide",IF(COUNTIFS(TblApplications[ID],$C177,TblApplications[Environnement],$E177,TblApplications[Couloir],$F177)&gt;1,"Déploiement en doublon (ID + env + couloir)",IF(OR(AND($K177&lt;&gt;"",NOT(ISNUMBER($K177))),AND($L177&lt;&gt;"",NOT(ISNUMBER($L177))),AND($N177&lt;&gt;"",NOT(ISNUMBER($N177))),AND($O177&lt;&gt;"",NOT(ISNUMBER($O177)))),"Ressource non numérique",IF(MIN(N($K177),N($L177),N($N177),N($O177))&lt;0,"Ressource négative",IF(OR(AND($AC177&lt;&gt;"",OR(NOT(ISNUMBER($AC177)),$AC177&lt;0,$AC177&gt;1)),AND($AD177&lt;&gt;"",OR(NOT(ISNUMBER($AD177)),$AD177&lt;0,$AD177&gt;1))),"Marge spécifique invalide (0–100 %)",IF(OR(AND($P177&lt;&gt;"",NOT(ISNUMBER($P177))),AND($Q177&lt;&gt;"",NOT(ISNUMBER($Q177))),AND($R177&lt;&gt;"",NOT(ISNUMBER($R177)))),"Mois invalide",IF(AND(OR($G177="À migrer",$G177="À décommissionner"),COUNTIFS(TblClusters[Cluster],$I177,TblClusters[Plateforme],"IKS")=0),"Cluster IKS inconnu",IF(AND(OR($G177="À migrer",$G177="Migré"),COUNTIFS(TblClusters[Cluster],$J177,TblClusters[Plateforme],"ROKS")=0),"Cluster ROKS inconnu",IF(AND(OR($G177="À migrer",$G177="À décommissionner"),COUNTIFS(TblClusters[Cluster],$I177,TblClusters[Environnement],$E177)=0),"Environnement ≠ cluster IKS",IF(AND(OR($G177="À migrer",$G177="Migré"),COUNTIFS(TblClusters[Cluster],$J177,TblClusters[Environnement],$E177)=0),"Environnement ≠ cluster ROKS",IF(AND($G177="À migrer",OR($P177&gt;$Q177,$Q177&gt;$R177)),"Dates incohérentes (prov ≤ bascule ≤ libération)",IF(AND(OR($G177="À migrer",$G177="À décommissionner"),OR(N($N177)&gt;SUMIFS(TblClusters[CPU initial (vCPU)],TblClusters[Cluster],$I177),N($O177)&gt;SUMIFS(TblClusters[RAM initiale (Go)],TblClusters[Cluster],$I177))),"Libération &gt; capacité du cluster source",IF(OR(AND($V177&lt;&gt;"",$V177&lt;p_debut),AND($W177&lt;&gt;"",$W177&gt;p_fin)),"Hors horizon (info)",IF(AND($G177="À migrer",$E177="PRD",COUNTIFS(TblApplications[ID],$C177,TblApplications[Environnement],"NPRD",TblApplications[Action],"À migrer")&gt;0,$V177&lt;_xlfn.MINIFS(TblApplications[Mois prov (calc)],TblApplications[ID],$C177,TblApplications[Environnement],"NPRD")),"PRD avant NPRD (info)","OK"))))))))))))))))))))</f>
        <v/>
      </c>
      <c r="AC177" s="76"/>
      <c r="AD177" s="76"/>
      <c r="AE177" s="22" t="str">
        <f aca="false">IF(OR($C177="",NOT(OR($G177="À migrer",$G177="À décommissionner")),NOT(ISNUMBER($N177)),NOT(ISNUMBER($O177)),$W177=""),"",($N177+p_poidsram*$O177)*SUMIFS(TblCalculs[Coût par unité],TblCalculs[Cluster],$I177,TblCalculs[Mois],"&lt;"&amp;$W177))</f>
        <v/>
      </c>
      <c r="AF177" s="22" t="str">
        <f aca="false">IF($C177="","",IF(AND($G177="À migrer",$H177="Non",$T177&lt;&gt;"",$V177&lt;&gt;""),($T177+p_poidsram*$U177)*SUMIFS(TblCalculs[Coût par unité],TblCalculs[Cluster],$J177,TblCalculs[Mois],"&gt;="&amp;$V177),IF(AND($G177="Migré",$T177&lt;&gt;""),($T177+p_poidsram*$U177)*SUMIFS(TblCalculs[Coût par unité],TblCalculs[Cluster],$J177),"")))</f>
        <v/>
      </c>
      <c r="AG177" s="22" t="str">
        <f aca="false">IF($C177="","",N($AE177)+N($AF177))</f>
        <v/>
      </c>
      <c r="AH177" s="21" t="str">
        <f aca="false">IF(OR($C177="",$G177="Décommissionné",COUNTIFS($E177,av_envc,$A177,av_domc,$B177,av_tric)=0),"",COUNTIFS($C$6:$C177,"&lt;&gt;",$G$6:$G177,"&lt;&gt;Décommissionné",$E$6:$E177,av_envc,$A$6:$A177,av_domc,$B$6:$B177,av_tric))</f>
        <v/>
      </c>
      <c r="AI177" s="21" t="str">
        <f aca="false">IF($C177="","",IF(AND(OR($G177="À migrer",$G177="À décommissionner"),$W177&lt;&gt;"",$W177&gt;ex_mois),1,0))</f>
        <v/>
      </c>
      <c r="AJ177" s="21" t="str">
        <f aca="false">IF(OR($C177="",$AI177&lt;&gt;1,COUNTIFS($E177,ex_envc,$A177,ex_domc,$B177,ex_tric)=0),"",COUNTIFS($AI$6:$AI177,1,$E$6:$E177,ex_envc,$A$6:$A177,ex_domc,$B$6:$B177,ex_tric))</f>
        <v/>
      </c>
    </row>
    <row r="178" customFormat="false" ht="15" hidden="false" customHeight="false" outlineLevel="0" collapsed="false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5"/>
      <c r="Q178" s="75"/>
      <c r="R178" s="75"/>
      <c r="S178" s="74"/>
      <c r="T178" s="21" t="str">
        <f aca="false">IF(OR($C178="",NOT(OR($G178="À migrer",$G178="Migré")),NOT(ISNUMBER($K178))),"",ROUNDUP($K178*(1+IF($AC178="",p_margeCPU,$AC178)),0))</f>
        <v/>
      </c>
      <c r="U178" s="21" t="str">
        <f aca="false">IF(OR($C178="",NOT(OR($G178="À migrer",$G178="Migré")),NOT(ISNUMBER($L178))),"",ROUNDUP($L178*(1+IF($AD178="",p_margeRAM,$AD178)),0))</f>
        <v/>
      </c>
      <c r="V178" s="39" t="str">
        <f aca="false">IF(OR(NOT($G178="À migrer"),$P178=""),"",IFERROR(DATE(YEAR($P178),MONTH($P178),1),""))</f>
        <v/>
      </c>
      <c r="W178" s="39" t="str">
        <f aca="false">IF(OR(NOT(OR($G178="À migrer",$G178="À décommissionner")),$R178=""),"",IFERROR(DATE(YEAR($R178),MONTH($R178),1),""))</f>
        <v/>
      </c>
      <c r="X178" s="21" t="str">
        <f aca="false">IF(OR($V178="",$W178=""),"",MAX(0,(YEAR($W178)-YEAR($V178))*12+MONTH($W178)-MONTH($V178)))</f>
        <v/>
      </c>
      <c r="Y178" s="21" t="str">
        <f aca="false">IF($C178="","",COUNTIF(TblApplications[ID],$C178))</f>
        <v/>
      </c>
      <c r="Z178" s="39" t="str">
        <f aca="false">IF($C178="","",IFERROR(1/(1/_xlfn.MINIFS(TblApplications[Mois prov (calc)],TblApplications[ID],$C178)),""))</f>
        <v/>
      </c>
      <c r="AA178" s="39" t="str">
        <f aca="false">IF($C178="","",IFERROR(1/(1/_xlfn.MAXIFS(TblApplications[Mois lib (calc)],TblApplications[ID],$C178)),""))</f>
        <v/>
      </c>
      <c r="AB178" s="21" t="str">
        <f aca="false">IF($C178="","",IF(OR(OR($A178="",$B178="",$D178="",$E178="",$F178="",$G178=""),AND($G178="À migrer",OR($H178="",$I178="",$J178="",$K178="",$L178="",$N178="",$O178="",$P178="",$Q178="",$R178="")),AND($G178="Migré",OR($J178="",$K178="",$L178="")),AND($G178="À décommissionner",OR($I178="",$N178="",$O178="",$R178=""))),"Données manquantes (selon l’action)",IF(AND($G178&lt;&gt;"Migré",$G178&lt;&gt;"À migrer",$G178&lt;&gt;"À décommissionner",$G178&lt;&gt;"Décommissionné"),"Action invalide",IF(COUNTIF(TblDomaines[Domaine],$A178)=0,"Domaine inconnu (référentiel)",IF(COUNTIFS(TblTribes[Tribe],$B178,TblTribes[Domaine de la tribe],$A178)=0,"Tribe inconnue ou hors domaine",IF(AND($G178="À migrer",$H178&lt;&gt;"Oui",$H178&lt;&gt;"Non"),"Valeur Oui/Non invalide (Déjà incluse ROKS)",IF(AND($E178&lt;&gt;"PRD",$E178&lt;&gt;"NPRD"),"Environnement invalide",IF(COUNTIFS(TblApplications[ID],$C178,TblApplications[Environnement],$E178,TblApplications[Couloir],$F178)&gt;1,"Déploiement en doublon (ID + env + couloir)",IF(OR(AND($K178&lt;&gt;"",NOT(ISNUMBER($K178))),AND($L178&lt;&gt;"",NOT(ISNUMBER($L178))),AND($N178&lt;&gt;"",NOT(ISNUMBER($N178))),AND($O178&lt;&gt;"",NOT(ISNUMBER($O178)))),"Ressource non numérique",IF(MIN(N($K178),N($L178),N($N178),N($O178))&lt;0,"Ressource négative",IF(OR(AND($AC178&lt;&gt;"",OR(NOT(ISNUMBER($AC178)),$AC178&lt;0,$AC178&gt;1)),AND($AD178&lt;&gt;"",OR(NOT(ISNUMBER($AD178)),$AD178&lt;0,$AD178&gt;1))),"Marge spécifique invalide (0–100 %)",IF(OR(AND($P178&lt;&gt;"",NOT(ISNUMBER($P178))),AND($Q178&lt;&gt;"",NOT(ISNUMBER($Q178))),AND($R178&lt;&gt;"",NOT(ISNUMBER($R178)))),"Mois invalide",IF(AND(OR($G178="À migrer",$G178="À décommissionner"),COUNTIFS(TblClusters[Cluster],$I178,TblClusters[Plateforme],"IKS")=0),"Cluster IKS inconnu",IF(AND(OR($G178="À migrer",$G178="Migré"),COUNTIFS(TblClusters[Cluster],$J178,TblClusters[Plateforme],"ROKS")=0),"Cluster ROKS inconnu",IF(AND(OR($G178="À migrer",$G178="À décommissionner"),COUNTIFS(TblClusters[Cluster],$I178,TblClusters[Environnement],$E178)=0),"Environnement ≠ cluster IKS",IF(AND(OR($G178="À migrer",$G178="Migré"),COUNTIFS(TblClusters[Cluster],$J178,TblClusters[Environnement],$E178)=0),"Environnement ≠ cluster ROKS",IF(AND($G178="À migrer",OR($P178&gt;$Q178,$Q178&gt;$R178)),"Dates incohérentes (prov ≤ bascule ≤ libération)",IF(AND(OR($G178="À migrer",$G178="À décommissionner"),OR(N($N178)&gt;SUMIFS(TblClusters[CPU initial (vCPU)],TblClusters[Cluster],$I178),N($O178)&gt;SUMIFS(TblClusters[RAM initiale (Go)],TblClusters[Cluster],$I178))),"Libération &gt; capacité du cluster source",IF(OR(AND($V178&lt;&gt;"",$V178&lt;p_debut),AND($W178&lt;&gt;"",$W178&gt;p_fin)),"Hors horizon (info)",IF(AND($G178="À migrer",$E178="PRD",COUNTIFS(TblApplications[ID],$C178,TblApplications[Environnement],"NPRD",TblApplications[Action],"À migrer")&gt;0,$V178&lt;_xlfn.MINIFS(TblApplications[Mois prov (calc)],TblApplications[ID],$C178,TblApplications[Environnement],"NPRD")),"PRD avant NPRD (info)","OK"))))))))))))))))))))</f>
        <v/>
      </c>
      <c r="AC178" s="76"/>
      <c r="AD178" s="76"/>
      <c r="AE178" s="22" t="str">
        <f aca="false">IF(OR($C178="",NOT(OR($G178="À migrer",$G178="À décommissionner")),NOT(ISNUMBER($N178)),NOT(ISNUMBER($O178)),$W178=""),"",($N178+p_poidsram*$O178)*SUMIFS(TblCalculs[Coût par unité],TblCalculs[Cluster],$I178,TblCalculs[Mois],"&lt;"&amp;$W178))</f>
        <v/>
      </c>
      <c r="AF178" s="22" t="str">
        <f aca="false">IF($C178="","",IF(AND($G178="À migrer",$H178="Non",$T178&lt;&gt;"",$V178&lt;&gt;""),($T178+p_poidsram*$U178)*SUMIFS(TblCalculs[Coût par unité],TblCalculs[Cluster],$J178,TblCalculs[Mois],"&gt;="&amp;$V178),IF(AND($G178="Migré",$T178&lt;&gt;""),($T178+p_poidsram*$U178)*SUMIFS(TblCalculs[Coût par unité],TblCalculs[Cluster],$J178),"")))</f>
        <v/>
      </c>
      <c r="AG178" s="22" t="str">
        <f aca="false">IF($C178="","",N($AE178)+N($AF178))</f>
        <v/>
      </c>
      <c r="AH178" s="21" t="str">
        <f aca="false">IF(OR($C178="",$G178="Décommissionné",COUNTIFS($E178,av_envc,$A178,av_domc,$B178,av_tric)=0),"",COUNTIFS($C$6:$C178,"&lt;&gt;",$G$6:$G178,"&lt;&gt;Décommissionné",$E$6:$E178,av_envc,$A$6:$A178,av_domc,$B$6:$B178,av_tric))</f>
        <v/>
      </c>
      <c r="AI178" s="21" t="str">
        <f aca="false">IF($C178="","",IF(AND(OR($G178="À migrer",$G178="À décommissionner"),$W178&lt;&gt;"",$W178&gt;ex_mois),1,0))</f>
        <v/>
      </c>
      <c r="AJ178" s="21" t="str">
        <f aca="false">IF(OR($C178="",$AI178&lt;&gt;1,COUNTIFS($E178,ex_envc,$A178,ex_domc,$B178,ex_tric)=0),"",COUNTIFS($AI$6:$AI178,1,$E$6:$E178,ex_envc,$A$6:$A178,ex_domc,$B$6:$B178,ex_tric))</f>
        <v/>
      </c>
    </row>
    <row r="179" customFormat="false" ht="15" hidden="false" customHeight="false" outlineLevel="0" collapsed="false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5"/>
      <c r="Q179" s="75"/>
      <c r="R179" s="75"/>
      <c r="S179" s="74"/>
      <c r="T179" s="21" t="str">
        <f aca="false">IF(OR($C179="",NOT(OR($G179="À migrer",$G179="Migré")),NOT(ISNUMBER($K179))),"",ROUNDUP($K179*(1+IF($AC179="",p_margeCPU,$AC179)),0))</f>
        <v/>
      </c>
      <c r="U179" s="21" t="str">
        <f aca="false">IF(OR($C179="",NOT(OR($G179="À migrer",$G179="Migré")),NOT(ISNUMBER($L179))),"",ROUNDUP($L179*(1+IF($AD179="",p_margeRAM,$AD179)),0))</f>
        <v/>
      </c>
      <c r="V179" s="39" t="str">
        <f aca="false">IF(OR(NOT($G179="À migrer"),$P179=""),"",IFERROR(DATE(YEAR($P179),MONTH($P179),1),""))</f>
        <v/>
      </c>
      <c r="W179" s="39" t="str">
        <f aca="false">IF(OR(NOT(OR($G179="À migrer",$G179="À décommissionner")),$R179=""),"",IFERROR(DATE(YEAR($R179),MONTH($R179),1),""))</f>
        <v/>
      </c>
      <c r="X179" s="21" t="str">
        <f aca="false">IF(OR($V179="",$W179=""),"",MAX(0,(YEAR($W179)-YEAR($V179))*12+MONTH($W179)-MONTH($V179)))</f>
        <v/>
      </c>
      <c r="Y179" s="21" t="str">
        <f aca="false">IF($C179="","",COUNTIF(TblApplications[ID],$C179))</f>
        <v/>
      </c>
      <c r="Z179" s="39" t="str">
        <f aca="false">IF($C179="","",IFERROR(1/(1/_xlfn.MINIFS(TblApplications[Mois prov (calc)],TblApplications[ID],$C179)),""))</f>
        <v/>
      </c>
      <c r="AA179" s="39" t="str">
        <f aca="false">IF($C179="","",IFERROR(1/(1/_xlfn.MAXIFS(TblApplications[Mois lib (calc)],TblApplications[ID],$C179)),""))</f>
        <v/>
      </c>
      <c r="AB179" s="21" t="str">
        <f aca="false">IF($C179="","",IF(OR(OR($A179="",$B179="",$D179="",$E179="",$F179="",$G179=""),AND($G179="À migrer",OR($H179="",$I179="",$J179="",$K179="",$L179="",$N179="",$O179="",$P179="",$Q179="",$R179="")),AND($G179="Migré",OR($J179="",$K179="",$L179="")),AND($G179="À décommissionner",OR($I179="",$N179="",$O179="",$R179=""))),"Données manquantes (selon l’action)",IF(AND($G179&lt;&gt;"Migré",$G179&lt;&gt;"À migrer",$G179&lt;&gt;"À décommissionner",$G179&lt;&gt;"Décommissionné"),"Action invalide",IF(COUNTIF(TblDomaines[Domaine],$A179)=0,"Domaine inconnu (référentiel)",IF(COUNTIFS(TblTribes[Tribe],$B179,TblTribes[Domaine de la tribe],$A179)=0,"Tribe inconnue ou hors domaine",IF(AND($G179="À migrer",$H179&lt;&gt;"Oui",$H179&lt;&gt;"Non"),"Valeur Oui/Non invalide (Déjà incluse ROKS)",IF(AND($E179&lt;&gt;"PRD",$E179&lt;&gt;"NPRD"),"Environnement invalide",IF(COUNTIFS(TblApplications[ID],$C179,TblApplications[Environnement],$E179,TblApplications[Couloir],$F179)&gt;1,"Déploiement en doublon (ID + env + couloir)",IF(OR(AND($K179&lt;&gt;"",NOT(ISNUMBER($K179))),AND($L179&lt;&gt;"",NOT(ISNUMBER($L179))),AND($N179&lt;&gt;"",NOT(ISNUMBER($N179))),AND($O179&lt;&gt;"",NOT(ISNUMBER($O179)))),"Ressource non numérique",IF(MIN(N($K179),N($L179),N($N179),N($O179))&lt;0,"Ressource négative",IF(OR(AND($AC179&lt;&gt;"",OR(NOT(ISNUMBER($AC179)),$AC179&lt;0,$AC179&gt;1)),AND($AD179&lt;&gt;"",OR(NOT(ISNUMBER($AD179)),$AD179&lt;0,$AD179&gt;1))),"Marge spécifique invalide (0–100 %)",IF(OR(AND($P179&lt;&gt;"",NOT(ISNUMBER($P179))),AND($Q179&lt;&gt;"",NOT(ISNUMBER($Q179))),AND($R179&lt;&gt;"",NOT(ISNUMBER($R179)))),"Mois invalide",IF(AND(OR($G179="À migrer",$G179="À décommissionner"),COUNTIFS(TblClusters[Cluster],$I179,TblClusters[Plateforme],"IKS")=0),"Cluster IKS inconnu",IF(AND(OR($G179="À migrer",$G179="Migré"),COUNTIFS(TblClusters[Cluster],$J179,TblClusters[Plateforme],"ROKS")=0),"Cluster ROKS inconnu",IF(AND(OR($G179="À migrer",$G179="À décommissionner"),COUNTIFS(TblClusters[Cluster],$I179,TblClusters[Environnement],$E179)=0),"Environnement ≠ cluster IKS",IF(AND(OR($G179="À migrer",$G179="Migré"),COUNTIFS(TblClusters[Cluster],$J179,TblClusters[Environnement],$E179)=0),"Environnement ≠ cluster ROKS",IF(AND($G179="À migrer",OR($P179&gt;$Q179,$Q179&gt;$R179)),"Dates incohérentes (prov ≤ bascule ≤ libération)",IF(AND(OR($G179="À migrer",$G179="À décommissionner"),OR(N($N179)&gt;SUMIFS(TblClusters[CPU initial (vCPU)],TblClusters[Cluster],$I179),N($O179)&gt;SUMIFS(TblClusters[RAM initiale (Go)],TblClusters[Cluster],$I179))),"Libération &gt; capacité du cluster source",IF(OR(AND($V179&lt;&gt;"",$V179&lt;p_debut),AND($W179&lt;&gt;"",$W179&gt;p_fin)),"Hors horizon (info)",IF(AND($G179="À migrer",$E179="PRD",COUNTIFS(TblApplications[ID],$C179,TblApplications[Environnement],"NPRD",TblApplications[Action],"À migrer")&gt;0,$V179&lt;_xlfn.MINIFS(TblApplications[Mois prov (calc)],TblApplications[ID],$C179,TblApplications[Environnement],"NPRD")),"PRD avant NPRD (info)","OK"))))))))))))))))))))</f>
        <v/>
      </c>
      <c r="AC179" s="76"/>
      <c r="AD179" s="76"/>
      <c r="AE179" s="22" t="str">
        <f aca="false">IF(OR($C179="",NOT(OR($G179="À migrer",$G179="À décommissionner")),NOT(ISNUMBER($N179)),NOT(ISNUMBER($O179)),$W179=""),"",($N179+p_poidsram*$O179)*SUMIFS(TblCalculs[Coût par unité],TblCalculs[Cluster],$I179,TblCalculs[Mois],"&lt;"&amp;$W179))</f>
        <v/>
      </c>
      <c r="AF179" s="22" t="str">
        <f aca="false">IF($C179="","",IF(AND($G179="À migrer",$H179="Non",$T179&lt;&gt;"",$V179&lt;&gt;""),($T179+p_poidsram*$U179)*SUMIFS(TblCalculs[Coût par unité],TblCalculs[Cluster],$J179,TblCalculs[Mois],"&gt;="&amp;$V179),IF(AND($G179="Migré",$T179&lt;&gt;""),($T179+p_poidsram*$U179)*SUMIFS(TblCalculs[Coût par unité],TblCalculs[Cluster],$J179),"")))</f>
        <v/>
      </c>
      <c r="AG179" s="22" t="str">
        <f aca="false">IF($C179="","",N($AE179)+N($AF179))</f>
        <v/>
      </c>
      <c r="AH179" s="21" t="str">
        <f aca="false">IF(OR($C179="",$G179="Décommissionné",COUNTIFS($E179,av_envc,$A179,av_domc,$B179,av_tric)=0),"",COUNTIFS($C$6:$C179,"&lt;&gt;",$G$6:$G179,"&lt;&gt;Décommissionné",$E$6:$E179,av_envc,$A$6:$A179,av_domc,$B$6:$B179,av_tric))</f>
        <v/>
      </c>
      <c r="AI179" s="21" t="str">
        <f aca="false">IF($C179="","",IF(AND(OR($G179="À migrer",$G179="À décommissionner"),$W179&lt;&gt;"",$W179&gt;ex_mois),1,0))</f>
        <v/>
      </c>
      <c r="AJ179" s="21" t="str">
        <f aca="false">IF(OR($C179="",$AI179&lt;&gt;1,COUNTIFS($E179,ex_envc,$A179,ex_domc,$B179,ex_tric)=0),"",COUNTIFS($AI$6:$AI179,1,$E$6:$E179,ex_envc,$A$6:$A179,ex_domc,$B$6:$B179,ex_tric))</f>
        <v/>
      </c>
    </row>
    <row r="180" customFormat="false" ht="15" hidden="false" customHeight="false" outlineLevel="0" collapsed="false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5"/>
      <c r="Q180" s="75"/>
      <c r="R180" s="75"/>
      <c r="S180" s="74"/>
      <c r="T180" s="21" t="str">
        <f aca="false">IF(OR($C180="",NOT(OR($G180="À migrer",$G180="Migré")),NOT(ISNUMBER($K180))),"",ROUNDUP($K180*(1+IF($AC180="",p_margeCPU,$AC180)),0))</f>
        <v/>
      </c>
      <c r="U180" s="21" t="str">
        <f aca="false">IF(OR($C180="",NOT(OR($G180="À migrer",$G180="Migré")),NOT(ISNUMBER($L180))),"",ROUNDUP($L180*(1+IF($AD180="",p_margeRAM,$AD180)),0))</f>
        <v/>
      </c>
      <c r="V180" s="39" t="str">
        <f aca="false">IF(OR(NOT($G180="À migrer"),$P180=""),"",IFERROR(DATE(YEAR($P180),MONTH($P180),1),""))</f>
        <v/>
      </c>
      <c r="W180" s="39" t="str">
        <f aca="false">IF(OR(NOT(OR($G180="À migrer",$G180="À décommissionner")),$R180=""),"",IFERROR(DATE(YEAR($R180),MONTH($R180),1),""))</f>
        <v/>
      </c>
      <c r="X180" s="21" t="str">
        <f aca="false">IF(OR($V180="",$W180=""),"",MAX(0,(YEAR($W180)-YEAR($V180))*12+MONTH($W180)-MONTH($V180)))</f>
        <v/>
      </c>
      <c r="Y180" s="21" t="str">
        <f aca="false">IF($C180="","",COUNTIF(TblApplications[ID],$C180))</f>
        <v/>
      </c>
      <c r="Z180" s="39" t="str">
        <f aca="false">IF($C180="","",IFERROR(1/(1/_xlfn.MINIFS(TblApplications[Mois prov (calc)],TblApplications[ID],$C180)),""))</f>
        <v/>
      </c>
      <c r="AA180" s="39" t="str">
        <f aca="false">IF($C180="","",IFERROR(1/(1/_xlfn.MAXIFS(TblApplications[Mois lib (calc)],TblApplications[ID],$C180)),""))</f>
        <v/>
      </c>
      <c r="AB180" s="21" t="str">
        <f aca="false">IF($C180="","",IF(OR(OR($A180="",$B180="",$D180="",$E180="",$F180="",$G180=""),AND($G180="À migrer",OR($H180="",$I180="",$J180="",$K180="",$L180="",$N180="",$O180="",$P180="",$Q180="",$R180="")),AND($G180="Migré",OR($J180="",$K180="",$L180="")),AND($G180="À décommissionner",OR($I180="",$N180="",$O180="",$R180=""))),"Données manquantes (selon l’action)",IF(AND($G180&lt;&gt;"Migré",$G180&lt;&gt;"À migrer",$G180&lt;&gt;"À décommissionner",$G180&lt;&gt;"Décommissionné"),"Action invalide",IF(COUNTIF(TblDomaines[Domaine],$A180)=0,"Domaine inconnu (référentiel)",IF(COUNTIFS(TblTribes[Tribe],$B180,TblTribes[Domaine de la tribe],$A180)=0,"Tribe inconnue ou hors domaine",IF(AND($G180="À migrer",$H180&lt;&gt;"Oui",$H180&lt;&gt;"Non"),"Valeur Oui/Non invalide (Déjà incluse ROKS)",IF(AND($E180&lt;&gt;"PRD",$E180&lt;&gt;"NPRD"),"Environnement invalide",IF(COUNTIFS(TblApplications[ID],$C180,TblApplications[Environnement],$E180,TblApplications[Couloir],$F180)&gt;1,"Déploiement en doublon (ID + env + couloir)",IF(OR(AND($K180&lt;&gt;"",NOT(ISNUMBER($K180))),AND($L180&lt;&gt;"",NOT(ISNUMBER($L180))),AND($N180&lt;&gt;"",NOT(ISNUMBER($N180))),AND($O180&lt;&gt;"",NOT(ISNUMBER($O180)))),"Ressource non numérique",IF(MIN(N($K180),N($L180),N($N180),N($O180))&lt;0,"Ressource négative",IF(OR(AND($AC180&lt;&gt;"",OR(NOT(ISNUMBER($AC180)),$AC180&lt;0,$AC180&gt;1)),AND($AD180&lt;&gt;"",OR(NOT(ISNUMBER($AD180)),$AD180&lt;0,$AD180&gt;1))),"Marge spécifique invalide (0–100 %)",IF(OR(AND($P180&lt;&gt;"",NOT(ISNUMBER($P180))),AND($Q180&lt;&gt;"",NOT(ISNUMBER($Q180))),AND($R180&lt;&gt;"",NOT(ISNUMBER($R180)))),"Mois invalide",IF(AND(OR($G180="À migrer",$G180="À décommissionner"),COUNTIFS(TblClusters[Cluster],$I180,TblClusters[Plateforme],"IKS")=0),"Cluster IKS inconnu",IF(AND(OR($G180="À migrer",$G180="Migré"),COUNTIFS(TblClusters[Cluster],$J180,TblClusters[Plateforme],"ROKS")=0),"Cluster ROKS inconnu",IF(AND(OR($G180="À migrer",$G180="À décommissionner"),COUNTIFS(TblClusters[Cluster],$I180,TblClusters[Environnement],$E180)=0),"Environnement ≠ cluster IKS",IF(AND(OR($G180="À migrer",$G180="Migré"),COUNTIFS(TblClusters[Cluster],$J180,TblClusters[Environnement],$E180)=0),"Environnement ≠ cluster ROKS",IF(AND($G180="À migrer",OR($P180&gt;$Q180,$Q180&gt;$R180)),"Dates incohérentes (prov ≤ bascule ≤ libération)",IF(AND(OR($G180="À migrer",$G180="À décommissionner"),OR(N($N180)&gt;SUMIFS(TblClusters[CPU initial (vCPU)],TblClusters[Cluster],$I180),N($O180)&gt;SUMIFS(TblClusters[RAM initiale (Go)],TblClusters[Cluster],$I180))),"Libération &gt; capacité du cluster source",IF(OR(AND($V180&lt;&gt;"",$V180&lt;p_debut),AND($W180&lt;&gt;"",$W180&gt;p_fin)),"Hors horizon (info)",IF(AND($G180="À migrer",$E180="PRD",COUNTIFS(TblApplications[ID],$C180,TblApplications[Environnement],"NPRD",TblApplications[Action],"À migrer")&gt;0,$V180&lt;_xlfn.MINIFS(TblApplications[Mois prov (calc)],TblApplications[ID],$C180,TblApplications[Environnement],"NPRD")),"PRD avant NPRD (info)","OK"))))))))))))))))))))</f>
        <v/>
      </c>
      <c r="AC180" s="76"/>
      <c r="AD180" s="76"/>
      <c r="AE180" s="22" t="str">
        <f aca="false">IF(OR($C180="",NOT(OR($G180="À migrer",$G180="À décommissionner")),NOT(ISNUMBER($N180)),NOT(ISNUMBER($O180)),$W180=""),"",($N180+p_poidsram*$O180)*SUMIFS(TblCalculs[Coût par unité],TblCalculs[Cluster],$I180,TblCalculs[Mois],"&lt;"&amp;$W180))</f>
        <v/>
      </c>
      <c r="AF180" s="22" t="str">
        <f aca="false">IF($C180="","",IF(AND($G180="À migrer",$H180="Non",$T180&lt;&gt;"",$V180&lt;&gt;""),($T180+p_poidsram*$U180)*SUMIFS(TblCalculs[Coût par unité],TblCalculs[Cluster],$J180,TblCalculs[Mois],"&gt;="&amp;$V180),IF(AND($G180="Migré",$T180&lt;&gt;""),($T180+p_poidsram*$U180)*SUMIFS(TblCalculs[Coût par unité],TblCalculs[Cluster],$J180),"")))</f>
        <v/>
      </c>
      <c r="AG180" s="22" t="str">
        <f aca="false">IF($C180="","",N($AE180)+N($AF180))</f>
        <v/>
      </c>
      <c r="AH180" s="21" t="str">
        <f aca="false">IF(OR($C180="",$G180="Décommissionné",COUNTIFS($E180,av_envc,$A180,av_domc,$B180,av_tric)=0),"",COUNTIFS($C$6:$C180,"&lt;&gt;",$G$6:$G180,"&lt;&gt;Décommissionné",$E$6:$E180,av_envc,$A$6:$A180,av_domc,$B$6:$B180,av_tric))</f>
        <v/>
      </c>
      <c r="AI180" s="21" t="str">
        <f aca="false">IF($C180="","",IF(AND(OR($G180="À migrer",$G180="À décommissionner"),$W180&lt;&gt;"",$W180&gt;ex_mois),1,0))</f>
        <v/>
      </c>
      <c r="AJ180" s="21" t="str">
        <f aca="false">IF(OR($C180="",$AI180&lt;&gt;1,COUNTIFS($E180,ex_envc,$A180,ex_domc,$B180,ex_tric)=0),"",COUNTIFS($AI$6:$AI180,1,$E$6:$E180,ex_envc,$A$6:$A180,ex_domc,$B$6:$B180,ex_tric))</f>
        <v/>
      </c>
    </row>
    <row r="181" customFormat="false" ht="15" hidden="false" customHeight="false" outlineLevel="0" collapsed="false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5"/>
      <c r="Q181" s="75"/>
      <c r="R181" s="75"/>
      <c r="S181" s="74"/>
      <c r="T181" s="21" t="str">
        <f aca="false">IF(OR($C181="",NOT(OR($G181="À migrer",$G181="Migré")),NOT(ISNUMBER($K181))),"",ROUNDUP($K181*(1+IF($AC181="",p_margeCPU,$AC181)),0))</f>
        <v/>
      </c>
      <c r="U181" s="21" t="str">
        <f aca="false">IF(OR($C181="",NOT(OR($G181="À migrer",$G181="Migré")),NOT(ISNUMBER($L181))),"",ROUNDUP($L181*(1+IF($AD181="",p_margeRAM,$AD181)),0))</f>
        <v/>
      </c>
      <c r="V181" s="39" t="str">
        <f aca="false">IF(OR(NOT($G181="À migrer"),$P181=""),"",IFERROR(DATE(YEAR($P181),MONTH($P181),1),""))</f>
        <v/>
      </c>
      <c r="W181" s="39" t="str">
        <f aca="false">IF(OR(NOT(OR($G181="À migrer",$G181="À décommissionner")),$R181=""),"",IFERROR(DATE(YEAR($R181),MONTH($R181),1),""))</f>
        <v/>
      </c>
      <c r="X181" s="21" t="str">
        <f aca="false">IF(OR($V181="",$W181=""),"",MAX(0,(YEAR($W181)-YEAR($V181))*12+MONTH($W181)-MONTH($V181)))</f>
        <v/>
      </c>
      <c r="Y181" s="21" t="str">
        <f aca="false">IF($C181="","",COUNTIF(TblApplications[ID],$C181))</f>
        <v/>
      </c>
      <c r="Z181" s="39" t="str">
        <f aca="false">IF($C181="","",IFERROR(1/(1/_xlfn.MINIFS(TblApplications[Mois prov (calc)],TblApplications[ID],$C181)),""))</f>
        <v/>
      </c>
      <c r="AA181" s="39" t="str">
        <f aca="false">IF($C181="","",IFERROR(1/(1/_xlfn.MAXIFS(TblApplications[Mois lib (calc)],TblApplications[ID],$C181)),""))</f>
        <v/>
      </c>
      <c r="AB181" s="21" t="str">
        <f aca="false">IF($C181="","",IF(OR(OR($A181="",$B181="",$D181="",$E181="",$F181="",$G181=""),AND($G181="À migrer",OR($H181="",$I181="",$J181="",$K181="",$L181="",$N181="",$O181="",$P181="",$Q181="",$R181="")),AND($G181="Migré",OR($J181="",$K181="",$L181="")),AND($G181="À décommissionner",OR($I181="",$N181="",$O181="",$R181=""))),"Données manquantes (selon l’action)",IF(AND($G181&lt;&gt;"Migré",$G181&lt;&gt;"À migrer",$G181&lt;&gt;"À décommissionner",$G181&lt;&gt;"Décommissionné"),"Action invalide",IF(COUNTIF(TblDomaines[Domaine],$A181)=0,"Domaine inconnu (référentiel)",IF(COUNTIFS(TblTribes[Tribe],$B181,TblTribes[Domaine de la tribe],$A181)=0,"Tribe inconnue ou hors domaine",IF(AND($G181="À migrer",$H181&lt;&gt;"Oui",$H181&lt;&gt;"Non"),"Valeur Oui/Non invalide (Déjà incluse ROKS)",IF(AND($E181&lt;&gt;"PRD",$E181&lt;&gt;"NPRD"),"Environnement invalide",IF(COUNTIFS(TblApplications[ID],$C181,TblApplications[Environnement],$E181,TblApplications[Couloir],$F181)&gt;1,"Déploiement en doublon (ID + env + couloir)",IF(OR(AND($K181&lt;&gt;"",NOT(ISNUMBER($K181))),AND($L181&lt;&gt;"",NOT(ISNUMBER($L181))),AND($N181&lt;&gt;"",NOT(ISNUMBER($N181))),AND($O181&lt;&gt;"",NOT(ISNUMBER($O181)))),"Ressource non numérique",IF(MIN(N($K181),N($L181),N($N181),N($O181))&lt;0,"Ressource négative",IF(OR(AND($AC181&lt;&gt;"",OR(NOT(ISNUMBER($AC181)),$AC181&lt;0,$AC181&gt;1)),AND($AD181&lt;&gt;"",OR(NOT(ISNUMBER($AD181)),$AD181&lt;0,$AD181&gt;1))),"Marge spécifique invalide (0–100 %)",IF(OR(AND($P181&lt;&gt;"",NOT(ISNUMBER($P181))),AND($Q181&lt;&gt;"",NOT(ISNUMBER($Q181))),AND($R181&lt;&gt;"",NOT(ISNUMBER($R181)))),"Mois invalide",IF(AND(OR($G181="À migrer",$G181="À décommissionner"),COUNTIFS(TblClusters[Cluster],$I181,TblClusters[Plateforme],"IKS")=0),"Cluster IKS inconnu",IF(AND(OR($G181="À migrer",$G181="Migré"),COUNTIFS(TblClusters[Cluster],$J181,TblClusters[Plateforme],"ROKS")=0),"Cluster ROKS inconnu",IF(AND(OR($G181="À migrer",$G181="À décommissionner"),COUNTIFS(TblClusters[Cluster],$I181,TblClusters[Environnement],$E181)=0),"Environnement ≠ cluster IKS",IF(AND(OR($G181="À migrer",$G181="Migré"),COUNTIFS(TblClusters[Cluster],$J181,TblClusters[Environnement],$E181)=0),"Environnement ≠ cluster ROKS",IF(AND($G181="À migrer",OR($P181&gt;$Q181,$Q181&gt;$R181)),"Dates incohérentes (prov ≤ bascule ≤ libération)",IF(AND(OR($G181="À migrer",$G181="À décommissionner"),OR(N($N181)&gt;SUMIFS(TblClusters[CPU initial (vCPU)],TblClusters[Cluster],$I181),N($O181)&gt;SUMIFS(TblClusters[RAM initiale (Go)],TblClusters[Cluster],$I181))),"Libération &gt; capacité du cluster source",IF(OR(AND($V181&lt;&gt;"",$V181&lt;p_debut),AND($W181&lt;&gt;"",$W181&gt;p_fin)),"Hors horizon (info)",IF(AND($G181="À migrer",$E181="PRD",COUNTIFS(TblApplications[ID],$C181,TblApplications[Environnement],"NPRD",TblApplications[Action],"À migrer")&gt;0,$V181&lt;_xlfn.MINIFS(TblApplications[Mois prov (calc)],TblApplications[ID],$C181,TblApplications[Environnement],"NPRD")),"PRD avant NPRD (info)","OK"))))))))))))))))))))</f>
        <v/>
      </c>
      <c r="AC181" s="76"/>
      <c r="AD181" s="76"/>
      <c r="AE181" s="22" t="str">
        <f aca="false">IF(OR($C181="",NOT(OR($G181="À migrer",$G181="À décommissionner")),NOT(ISNUMBER($N181)),NOT(ISNUMBER($O181)),$W181=""),"",($N181+p_poidsram*$O181)*SUMIFS(TblCalculs[Coût par unité],TblCalculs[Cluster],$I181,TblCalculs[Mois],"&lt;"&amp;$W181))</f>
        <v/>
      </c>
      <c r="AF181" s="22" t="str">
        <f aca="false">IF($C181="","",IF(AND($G181="À migrer",$H181="Non",$T181&lt;&gt;"",$V181&lt;&gt;""),($T181+p_poidsram*$U181)*SUMIFS(TblCalculs[Coût par unité],TblCalculs[Cluster],$J181,TblCalculs[Mois],"&gt;="&amp;$V181),IF(AND($G181="Migré",$T181&lt;&gt;""),($T181+p_poidsram*$U181)*SUMIFS(TblCalculs[Coût par unité],TblCalculs[Cluster],$J181),"")))</f>
        <v/>
      </c>
      <c r="AG181" s="22" t="str">
        <f aca="false">IF($C181="","",N($AE181)+N($AF181))</f>
        <v/>
      </c>
      <c r="AH181" s="21" t="str">
        <f aca="false">IF(OR($C181="",$G181="Décommissionné",COUNTIFS($E181,av_envc,$A181,av_domc,$B181,av_tric)=0),"",COUNTIFS($C$6:$C181,"&lt;&gt;",$G$6:$G181,"&lt;&gt;Décommissionné",$E$6:$E181,av_envc,$A$6:$A181,av_domc,$B$6:$B181,av_tric))</f>
        <v/>
      </c>
      <c r="AI181" s="21" t="str">
        <f aca="false">IF($C181="","",IF(AND(OR($G181="À migrer",$G181="À décommissionner"),$W181&lt;&gt;"",$W181&gt;ex_mois),1,0))</f>
        <v/>
      </c>
      <c r="AJ181" s="21" t="str">
        <f aca="false">IF(OR($C181="",$AI181&lt;&gt;1,COUNTIFS($E181,ex_envc,$A181,ex_domc,$B181,ex_tric)=0),"",COUNTIFS($AI$6:$AI181,1,$E$6:$E181,ex_envc,$A$6:$A181,ex_domc,$B$6:$B181,ex_tric))</f>
        <v/>
      </c>
    </row>
    <row r="182" customFormat="false" ht="15" hidden="false" customHeight="false" outlineLevel="0" collapsed="false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5"/>
      <c r="Q182" s="75"/>
      <c r="R182" s="75"/>
      <c r="S182" s="74"/>
      <c r="T182" s="21" t="str">
        <f aca="false">IF(OR($C182="",NOT(OR($G182="À migrer",$G182="Migré")),NOT(ISNUMBER($K182))),"",ROUNDUP($K182*(1+IF($AC182="",p_margeCPU,$AC182)),0))</f>
        <v/>
      </c>
      <c r="U182" s="21" t="str">
        <f aca="false">IF(OR($C182="",NOT(OR($G182="À migrer",$G182="Migré")),NOT(ISNUMBER($L182))),"",ROUNDUP($L182*(1+IF($AD182="",p_margeRAM,$AD182)),0))</f>
        <v/>
      </c>
      <c r="V182" s="39" t="str">
        <f aca="false">IF(OR(NOT($G182="À migrer"),$P182=""),"",IFERROR(DATE(YEAR($P182),MONTH($P182),1),""))</f>
        <v/>
      </c>
      <c r="W182" s="39" t="str">
        <f aca="false">IF(OR(NOT(OR($G182="À migrer",$G182="À décommissionner")),$R182=""),"",IFERROR(DATE(YEAR($R182),MONTH($R182),1),""))</f>
        <v/>
      </c>
      <c r="X182" s="21" t="str">
        <f aca="false">IF(OR($V182="",$W182=""),"",MAX(0,(YEAR($W182)-YEAR($V182))*12+MONTH($W182)-MONTH($V182)))</f>
        <v/>
      </c>
      <c r="Y182" s="21" t="str">
        <f aca="false">IF($C182="","",COUNTIF(TblApplications[ID],$C182))</f>
        <v/>
      </c>
      <c r="Z182" s="39" t="str">
        <f aca="false">IF($C182="","",IFERROR(1/(1/_xlfn.MINIFS(TblApplications[Mois prov (calc)],TblApplications[ID],$C182)),""))</f>
        <v/>
      </c>
      <c r="AA182" s="39" t="str">
        <f aca="false">IF($C182="","",IFERROR(1/(1/_xlfn.MAXIFS(TblApplications[Mois lib (calc)],TblApplications[ID],$C182)),""))</f>
        <v/>
      </c>
      <c r="AB182" s="21" t="str">
        <f aca="false">IF($C182="","",IF(OR(OR($A182="",$B182="",$D182="",$E182="",$F182="",$G182=""),AND($G182="À migrer",OR($H182="",$I182="",$J182="",$K182="",$L182="",$N182="",$O182="",$P182="",$Q182="",$R182="")),AND($G182="Migré",OR($J182="",$K182="",$L182="")),AND($G182="À décommissionner",OR($I182="",$N182="",$O182="",$R182=""))),"Données manquantes (selon l’action)",IF(AND($G182&lt;&gt;"Migré",$G182&lt;&gt;"À migrer",$G182&lt;&gt;"À décommissionner",$G182&lt;&gt;"Décommissionné"),"Action invalide",IF(COUNTIF(TblDomaines[Domaine],$A182)=0,"Domaine inconnu (référentiel)",IF(COUNTIFS(TblTribes[Tribe],$B182,TblTribes[Domaine de la tribe],$A182)=0,"Tribe inconnue ou hors domaine",IF(AND($G182="À migrer",$H182&lt;&gt;"Oui",$H182&lt;&gt;"Non"),"Valeur Oui/Non invalide (Déjà incluse ROKS)",IF(AND($E182&lt;&gt;"PRD",$E182&lt;&gt;"NPRD"),"Environnement invalide",IF(COUNTIFS(TblApplications[ID],$C182,TblApplications[Environnement],$E182,TblApplications[Couloir],$F182)&gt;1,"Déploiement en doublon (ID + env + couloir)",IF(OR(AND($K182&lt;&gt;"",NOT(ISNUMBER($K182))),AND($L182&lt;&gt;"",NOT(ISNUMBER($L182))),AND($N182&lt;&gt;"",NOT(ISNUMBER($N182))),AND($O182&lt;&gt;"",NOT(ISNUMBER($O182)))),"Ressource non numérique",IF(MIN(N($K182),N($L182),N($N182),N($O182))&lt;0,"Ressource négative",IF(OR(AND($AC182&lt;&gt;"",OR(NOT(ISNUMBER($AC182)),$AC182&lt;0,$AC182&gt;1)),AND($AD182&lt;&gt;"",OR(NOT(ISNUMBER($AD182)),$AD182&lt;0,$AD182&gt;1))),"Marge spécifique invalide (0–100 %)",IF(OR(AND($P182&lt;&gt;"",NOT(ISNUMBER($P182))),AND($Q182&lt;&gt;"",NOT(ISNUMBER($Q182))),AND($R182&lt;&gt;"",NOT(ISNUMBER($R182)))),"Mois invalide",IF(AND(OR($G182="À migrer",$G182="À décommissionner"),COUNTIFS(TblClusters[Cluster],$I182,TblClusters[Plateforme],"IKS")=0),"Cluster IKS inconnu",IF(AND(OR($G182="À migrer",$G182="Migré"),COUNTIFS(TblClusters[Cluster],$J182,TblClusters[Plateforme],"ROKS")=0),"Cluster ROKS inconnu",IF(AND(OR($G182="À migrer",$G182="À décommissionner"),COUNTIFS(TblClusters[Cluster],$I182,TblClusters[Environnement],$E182)=0),"Environnement ≠ cluster IKS",IF(AND(OR($G182="À migrer",$G182="Migré"),COUNTIFS(TblClusters[Cluster],$J182,TblClusters[Environnement],$E182)=0),"Environnement ≠ cluster ROKS",IF(AND($G182="À migrer",OR($P182&gt;$Q182,$Q182&gt;$R182)),"Dates incohérentes (prov ≤ bascule ≤ libération)",IF(AND(OR($G182="À migrer",$G182="À décommissionner"),OR(N($N182)&gt;SUMIFS(TblClusters[CPU initial (vCPU)],TblClusters[Cluster],$I182),N($O182)&gt;SUMIFS(TblClusters[RAM initiale (Go)],TblClusters[Cluster],$I182))),"Libération &gt; capacité du cluster source",IF(OR(AND($V182&lt;&gt;"",$V182&lt;p_debut),AND($W182&lt;&gt;"",$W182&gt;p_fin)),"Hors horizon (info)",IF(AND($G182="À migrer",$E182="PRD",COUNTIFS(TblApplications[ID],$C182,TblApplications[Environnement],"NPRD",TblApplications[Action],"À migrer")&gt;0,$V182&lt;_xlfn.MINIFS(TblApplications[Mois prov (calc)],TblApplications[ID],$C182,TblApplications[Environnement],"NPRD")),"PRD avant NPRD (info)","OK"))))))))))))))))))))</f>
        <v/>
      </c>
      <c r="AC182" s="76"/>
      <c r="AD182" s="76"/>
      <c r="AE182" s="22" t="str">
        <f aca="false">IF(OR($C182="",NOT(OR($G182="À migrer",$G182="À décommissionner")),NOT(ISNUMBER($N182)),NOT(ISNUMBER($O182)),$W182=""),"",($N182+p_poidsram*$O182)*SUMIFS(TblCalculs[Coût par unité],TblCalculs[Cluster],$I182,TblCalculs[Mois],"&lt;"&amp;$W182))</f>
        <v/>
      </c>
      <c r="AF182" s="22" t="str">
        <f aca="false">IF($C182="","",IF(AND($G182="À migrer",$H182="Non",$T182&lt;&gt;"",$V182&lt;&gt;""),($T182+p_poidsram*$U182)*SUMIFS(TblCalculs[Coût par unité],TblCalculs[Cluster],$J182,TblCalculs[Mois],"&gt;="&amp;$V182),IF(AND($G182="Migré",$T182&lt;&gt;""),($T182+p_poidsram*$U182)*SUMIFS(TblCalculs[Coût par unité],TblCalculs[Cluster],$J182),"")))</f>
        <v/>
      </c>
      <c r="AG182" s="22" t="str">
        <f aca="false">IF($C182="","",N($AE182)+N($AF182))</f>
        <v/>
      </c>
      <c r="AH182" s="21" t="str">
        <f aca="false">IF(OR($C182="",$G182="Décommissionné",COUNTIFS($E182,av_envc,$A182,av_domc,$B182,av_tric)=0),"",COUNTIFS($C$6:$C182,"&lt;&gt;",$G$6:$G182,"&lt;&gt;Décommissionné",$E$6:$E182,av_envc,$A$6:$A182,av_domc,$B$6:$B182,av_tric))</f>
        <v/>
      </c>
      <c r="AI182" s="21" t="str">
        <f aca="false">IF($C182="","",IF(AND(OR($G182="À migrer",$G182="À décommissionner"),$W182&lt;&gt;"",$W182&gt;ex_mois),1,0))</f>
        <v/>
      </c>
      <c r="AJ182" s="21" t="str">
        <f aca="false">IF(OR($C182="",$AI182&lt;&gt;1,COUNTIFS($E182,ex_envc,$A182,ex_domc,$B182,ex_tric)=0),"",COUNTIFS($AI$6:$AI182,1,$E$6:$E182,ex_envc,$A$6:$A182,ex_domc,$B$6:$B182,ex_tric))</f>
        <v/>
      </c>
    </row>
    <row r="183" customFormat="false" ht="15" hidden="false" customHeight="false" outlineLevel="0" collapsed="false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5"/>
      <c r="Q183" s="75"/>
      <c r="R183" s="75"/>
      <c r="S183" s="74"/>
      <c r="T183" s="21" t="str">
        <f aca="false">IF(OR($C183="",NOT(OR($G183="À migrer",$G183="Migré")),NOT(ISNUMBER($K183))),"",ROUNDUP($K183*(1+IF($AC183="",p_margeCPU,$AC183)),0))</f>
        <v/>
      </c>
      <c r="U183" s="21" t="str">
        <f aca="false">IF(OR($C183="",NOT(OR($G183="À migrer",$G183="Migré")),NOT(ISNUMBER($L183))),"",ROUNDUP($L183*(1+IF($AD183="",p_margeRAM,$AD183)),0))</f>
        <v/>
      </c>
      <c r="V183" s="39" t="str">
        <f aca="false">IF(OR(NOT($G183="À migrer"),$P183=""),"",IFERROR(DATE(YEAR($P183),MONTH($P183),1),""))</f>
        <v/>
      </c>
      <c r="W183" s="39" t="str">
        <f aca="false">IF(OR(NOT(OR($G183="À migrer",$G183="À décommissionner")),$R183=""),"",IFERROR(DATE(YEAR($R183),MONTH($R183),1),""))</f>
        <v/>
      </c>
      <c r="X183" s="21" t="str">
        <f aca="false">IF(OR($V183="",$W183=""),"",MAX(0,(YEAR($W183)-YEAR($V183))*12+MONTH($W183)-MONTH($V183)))</f>
        <v/>
      </c>
      <c r="Y183" s="21" t="str">
        <f aca="false">IF($C183="","",COUNTIF(TblApplications[ID],$C183))</f>
        <v/>
      </c>
      <c r="Z183" s="39" t="str">
        <f aca="false">IF($C183="","",IFERROR(1/(1/_xlfn.MINIFS(TblApplications[Mois prov (calc)],TblApplications[ID],$C183)),""))</f>
        <v/>
      </c>
      <c r="AA183" s="39" t="str">
        <f aca="false">IF($C183="","",IFERROR(1/(1/_xlfn.MAXIFS(TblApplications[Mois lib (calc)],TblApplications[ID],$C183)),""))</f>
        <v/>
      </c>
      <c r="AB183" s="21" t="str">
        <f aca="false">IF($C183="","",IF(OR(OR($A183="",$B183="",$D183="",$E183="",$F183="",$G183=""),AND($G183="À migrer",OR($H183="",$I183="",$J183="",$K183="",$L183="",$N183="",$O183="",$P183="",$Q183="",$R183="")),AND($G183="Migré",OR($J183="",$K183="",$L183="")),AND($G183="À décommissionner",OR($I183="",$N183="",$O183="",$R183=""))),"Données manquantes (selon l’action)",IF(AND($G183&lt;&gt;"Migré",$G183&lt;&gt;"À migrer",$G183&lt;&gt;"À décommissionner",$G183&lt;&gt;"Décommissionné"),"Action invalide",IF(COUNTIF(TblDomaines[Domaine],$A183)=0,"Domaine inconnu (référentiel)",IF(COUNTIFS(TblTribes[Tribe],$B183,TblTribes[Domaine de la tribe],$A183)=0,"Tribe inconnue ou hors domaine",IF(AND($G183="À migrer",$H183&lt;&gt;"Oui",$H183&lt;&gt;"Non"),"Valeur Oui/Non invalide (Déjà incluse ROKS)",IF(AND($E183&lt;&gt;"PRD",$E183&lt;&gt;"NPRD"),"Environnement invalide",IF(COUNTIFS(TblApplications[ID],$C183,TblApplications[Environnement],$E183,TblApplications[Couloir],$F183)&gt;1,"Déploiement en doublon (ID + env + couloir)",IF(OR(AND($K183&lt;&gt;"",NOT(ISNUMBER($K183))),AND($L183&lt;&gt;"",NOT(ISNUMBER($L183))),AND($N183&lt;&gt;"",NOT(ISNUMBER($N183))),AND($O183&lt;&gt;"",NOT(ISNUMBER($O183)))),"Ressource non numérique",IF(MIN(N($K183),N($L183),N($N183),N($O183))&lt;0,"Ressource négative",IF(OR(AND($AC183&lt;&gt;"",OR(NOT(ISNUMBER($AC183)),$AC183&lt;0,$AC183&gt;1)),AND($AD183&lt;&gt;"",OR(NOT(ISNUMBER($AD183)),$AD183&lt;0,$AD183&gt;1))),"Marge spécifique invalide (0–100 %)",IF(OR(AND($P183&lt;&gt;"",NOT(ISNUMBER($P183))),AND($Q183&lt;&gt;"",NOT(ISNUMBER($Q183))),AND($R183&lt;&gt;"",NOT(ISNUMBER($R183)))),"Mois invalide",IF(AND(OR($G183="À migrer",$G183="À décommissionner"),COUNTIFS(TblClusters[Cluster],$I183,TblClusters[Plateforme],"IKS")=0),"Cluster IKS inconnu",IF(AND(OR($G183="À migrer",$G183="Migré"),COUNTIFS(TblClusters[Cluster],$J183,TblClusters[Plateforme],"ROKS")=0),"Cluster ROKS inconnu",IF(AND(OR($G183="À migrer",$G183="À décommissionner"),COUNTIFS(TblClusters[Cluster],$I183,TblClusters[Environnement],$E183)=0),"Environnement ≠ cluster IKS",IF(AND(OR($G183="À migrer",$G183="Migré"),COUNTIFS(TblClusters[Cluster],$J183,TblClusters[Environnement],$E183)=0),"Environnement ≠ cluster ROKS",IF(AND($G183="À migrer",OR($P183&gt;$Q183,$Q183&gt;$R183)),"Dates incohérentes (prov ≤ bascule ≤ libération)",IF(AND(OR($G183="À migrer",$G183="À décommissionner"),OR(N($N183)&gt;SUMIFS(TblClusters[CPU initial (vCPU)],TblClusters[Cluster],$I183),N($O183)&gt;SUMIFS(TblClusters[RAM initiale (Go)],TblClusters[Cluster],$I183))),"Libération &gt; capacité du cluster source",IF(OR(AND($V183&lt;&gt;"",$V183&lt;p_debut),AND($W183&lt;&gt;"",$W183&gt;p_fin)),"Hors horizon (info)",IF(AND($G183="À migrer",$E183="PRD",COUNTIFS(TblApplications[ID],$C183,TblApplications[Environnement],"NPRD",TblApplications[Action],"À migrer")&gt;0,$V183&lt;_xlfn.MINIFS(TblApplications[Mois prov (calc)],TblApplications[ID],$C183,TblApplications[Environnement],"NPRD")),"PRD avant NPRD (info)","OK"))))))))))))))))))))</f>
        <v/>
      </c>
      <c r="AC183" s="76"/>
      <c r="AD183" s="76"/>
      <c r="AE183" s="22" t="str">
        <f aca="false">IF(OR($C183="",NOT(OR($G183="À migrer",$G183="À décommissionner")),NOT(ISNUMBER($N183)),NOT(ISNUMBER($O183)),$W183=""),"",($N183+p_poidsram*$O183)*SUMIFS(TblCalculs[Coût par unité],TblCalculs[Cluster],$I183,TblCalculs[Mois],"&lt;"&amp;$W183))</f>
        <v/>
      </c>
      <c r="AF183" s="22" t="str">
        <f aca="false">IF($C183="","",IF(AND($G183="À migrer",$H183="Non",$T183&lt;&gt;"",$V183&lt;&gt;""),($T183+p_poidsram*$U183)*SUMIFS(TblCalculs[Coût par unité],TblCalculs[Cluster],$J183,TblCalculs[Mois],"&gt;="&amp;$V183),IF(AND($G183="Migré",$T183&lt;&gt;""),($T183+p_poidsram*$U183)*SUMIFS(TblCalculs[Coût par unité],TblCalculs[Cluster],$J183),"")))</f>
        <v/>
      </c>
      <c r="AG183" s="22" t="str">
        <f aca="false">IF($C183="","",N($AE183)+N($AF183))</f>
        <v/>
      </c>
      <c r="AH183" s="21" t="str">
        <f aca="false">IF(OR($C183="",$G183="Décommissionné",COUNTIFS($E183,av_envc,$A183,av_domc,$B183,av_tric)=0),"",COUNTIFS($C$6:$C183,"&lt;&gt;",$G$6:$G183,"&lt;&gt;Décommissionné",$E$6:$E183,av_envc,$A$6:$A183,av_domc,$B$6:$B183,av_tric))</f>
        <v/>
      </c>
      <c r="AI183" s="21" t="str">
        <f aca="false">IF($C183="","",IF(AND(OR($G183="À migrer",$G183="À décommissionner"),$W183&lt;&gt;"",$W183&gt;ex_mois),1,0))</f>
        <v/>
      </c>
      <c r="AJ183" s="21" t="str">
        <f aca="false">IF(OR($C183="",$AI183&lt;&gt;1,COUNTIFS($E183,ex_envc,$A183,ex_domc,$B183,ex_tric)=0),"",COUNTIFS($AI$6:$AI183,1,$E$6:$E183,ex_envc,$A$6:$A183,ex_domc,$B$6:$B183,ex_tric))</f>
        <v/>
      </c>
    </row>
    <row r="184" customFormat="false" ht="15" hidden="false" customHeight="false" outlineLevel="0" collapsed="false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5"/>
      <c r="Q184" s="75"/>
      <c r="R184" s="75"/>
      <c r="S184" s="74"/>
      <c r="T184" s="21" t="str">
        <f aca="false">IF(OR($C184="",NOT(OR($G184="À migrer",$G184="Migré")),NOT(ISNUMBER($K184))),"",ROUNDUP($K184*(1+IF($AC184="",p_margeCPU,$AC184)),0))</f>
        <v/>
      </c>
      <c r="U184" s="21" t="str">
        <f aca="false">IF(OR($C184="",NOT(OR($G184="À migrer",$G184="Migré")),NOT(ISNUMBER($L184))),"",ROUNDUP($L184*(1+IF($AD184="",p_margeRAM,$AD184)),0))</f>
        <v/>
      </c>
      <c r="V184" s="39" t="str">
        <f aca="false">IF(OR(NOT($G184="À migrer"),$P184=""),"",IFERROR(DATE(YEAR($P184),MONTH($P184),1),""))</f>
        <v/>
      </c>
      <c r="W184" s="39" t="str">
        <f aca="false">IF(OR(NOT(OR($G184="À migrer",$G184="À décommissionner")),$R184=""),"",IFERROR(DATE(YEAR($R184),MONTH($R184),1),""))</f>
        <v/>
      </c>
      <c r="X184" s="21" t="str">
        <f aca="false">IF(OR($V184="",$W184=""),"",MAX(0,(YEAR($W184)-YEAR($V184))*12+MONTH($W184)-MONTH($V184)))</f>
        <v/>
      </c>
      <c r="Y184" s="21" t="str">
        <f aca="false">IF($C184="","",COUNTIF(TblApplications[ID],$C184))</f>
        <v/>
      </c>
      <c r="Z184" s="39" t="str">
        <f aca="false">IF($C184="","",IFERROR(1/(1/_xlfn.MINIFS(TblApplications[Mois prov (calc)],TblApplications[ID],$C184)),""))</f>
        <v/>
      </c>
      <c r="AA184" s="39" t="str">
        <f aca="false">IF($C184="","",IFERROR(1/(1/_xlfn.MAXIFS(TblApplications[Mois lib (calc)],TblApplications[ID],$C184)),""))</f>
        <v/>
      </c>
      <c r="AB184" s="21" t="str">
        <f aca="false">IF($C184="","",IF(OR(OR($A184="",$B184="",$D184="",$E184="",$F184="",$G184=""),AND($G184="À migrer",OR($H184="",$I184="",$J184="",$K184="",$L184="",$N184="",$O184="",$P184="",$Q184="",$R184="")),AND($G184="Migré",OR($J184="",$K184="",$L184="")),AND($G184="À décommissionner",OR($I184="",$N184="",$O184="",$R184=""))),"Données manquantes (selon l’action)",IF(AND($G184&lt;&gt;"Migré",$G184&lt;&gt;"À migrer",$G184&lt;&gt;"À décommissionner",$G184&lt;&gt;"Décommissionné"),"Action invalide",IF(COUNTIF(TblDomaines[Domaine],$A184)=0,"Domaine inconnu (référentiel)",IF(COUNTIFS(TblTribes[Tribe],$B184,TblTribes[Domaine de la tribe],$A184)=0,"Tribe inconnue ou hors domaine",IF(AND($G184="À migrer",$H184&lt;&gt;"Oui",$H184&lt;&gt;"Non"),"Valeur Oui/Non invalide (Déjà incluse ROKS)",IF(AND($E184&lt;&gt;"PRD",$E184&lt;&gt;"NPRD"),"Environnement invalide",IF(COUNTIFS(TblApplications[ID],$C184,TblApplications[Environnement],$E184,TblApplications[Couloir],$F184)&gt;1,"Déploiement en doublon (ID + env + couloir)",IF(OR(AND($K184&lt;&gt;"",NOT(ISNUMBER($K184))),AND($L184&lt;&gt;"",NOT(ISNUMBER($L184))),AND($N184&lt;&gt;"",NOT(ISNUMBER($N184))),AND($O184&lt;&gt;"",NOT(ISNUMBER($O184)))),"Ressource non numérique",IF(MIN(N($K184),N($L184),N($N184),N($O184))&lt;0,"Ressource négative",IF(OR(AND($AC184&lt;&gt;"",OR(NOT(ISNUMBER($AC184)),$AC184&lt;0,$AC184&gt;1)),AND($AD184&lt;&gt;"",OR(NOT(ISNUMBER($AD184)),$AD184&lt;0,$AD184&gt;1))),"Marge spécifique invalide (0–100 %)",IF(OR(AND($P184&lt;&gt;"",NOT(ISNUMBER($P184))),AND($Q184&lt;&gt;"",NOT(ISNUMBER($Q184))),AND($R184&lt;&gt;"",NOT(ISNUMBER($R184)))),"Mois invalide",IF(AND(OR($G184="À migrer",$G184="À décommissionner"),COUNTIFS(TblClusters[Cluster],$I184,TblClusters[Plateforme],"IKS")=0),"Cluster IKS inconnu",IF(AND(OR($G184="À migrer",$G184="Migré"),COUNTIFS(TblClusters[Cluster],$J184,TblClusters[Plateforme],"ROKS")=0),"Cluster ROKS inconnu",IF(AND(OR($G184="À migrer",$G184="À décommissionner"),COUNTIFS(TblClusters[Cluster],$I184,TblClusters[Environnement],$E184)=0),"Environnement ≠ cluster IKS",IF(AND(OR($G184="À migrer",$G184="Migré"),COUNTIFS(TblClusters[Cluster],$J184,TblClusters[Environnement],$E184)=0),"Environnement ≠ cluster ROKS",IF(AND($G184="À migrer",OR($P184&gt;$Q184,$Q184&gt;$R184)),"Dates incohérentes (prov ≤ bascule ≤ libération)",IF(AND(OR($G184="À migrer",$G184="À décommissionner"),OR(N($N184)&gt;SUMIFS(TblClusters[CPU initial (vCPU)],TblClusters[Cluster],$I184),N($O184)&gt;SUMIFS(TblClusters[RAM initiale (Go)],TblClusters[Cluster],$I184))),"Libération &gt; capacité du cluster source",IF(OR(AND($V184&lt;&gt;"",$V184&lt;p_debut),AND($W184&lt;&gt;"",$W184&gt;p_fin)),"Hors horizon (info)",IF(AND($G184="À migrer",$E184="PRD",COUNTIFS(TblApplications[ID],$C184,TblApplications[Environnement],"NPRD",TblApplications[Action],"À migrer")&gt;0,$V184&lt;_xlfn.MINIFS(TblApplications[Mois prov (calc)],TblApplications[ID],$C184,TblApplications[Environnement],"NPRD")),"PRD avant NPRD (info)","OK"))))))))))))))))))))</f>
        <v/>
      </c>
      <c r="AC184" s="76"/>
      <c r="AD184" s="76"/>
      <c r="AE184" s="22" t="str">
        <f aca="false">IF(OR($C184="",NOT(OR($G184="À migrer",$G184="À décommissionner")),NOT(ISNUMBER($N184)),NOT(ISNUMBER($O184)),$W184=""),"",($N184+p_poidsram*$O184)*SUMIFS(TblCalculs[Coût par unité],TblCalculs[Cluster],$I184,TblCalculs[Mois],"&lt;"&amp;$W184))</f>
        <v/>
      </c>
      <c r="AF184" s="22" t="str">
        <f aca="false">IF($C184="","",IF(AND($G184="À migrer",$H184="Non",$T184&lt;&gt;"",$V184&lt;&gt;""),($T184+p_poidsram*$U184)*SUMIFS(TblCalculs[Coût par unité],TblCalculs[Cluster],$J184,TblCalculs[Mois],"&gt;="&amp;$V184),IF(AND($G184="Migré",$T184&lt;&gt;""),($T184+p_poidsram*$U184)*SUMIFS(TblCalculs[Coût par unité],TblCalculs[Cluster],$J184),"")))</f>
        <v/>
      </c>
      <c r="AG184" s="22" t="str">
        <f aca="false">IF($C184="","",N($AE184)+N($AF184))</f>
        <v/>
      </c>
      <c r="AH184" s="21" t="str">
        <f aca="false">IF(OR($C184="",$G184="Décommissionné",COUNTIFS($E184,av_envc,$A184,av_domc,$B184,av_tric)=0),"",COUNTIFS($C$6:$C184,"&lt;&gt;",$G$6:$G184,"&lt;&gt;Décommissionné",$E$6:$E184,av_envc,$A$6:$A184,av_domc,$B$6:$B184,av_tric))</f>
        <v/>
      </c>
      <c r="AI184" s="21" t="str">
        <f aca="false">IF($C184="","",IF(AND(OR($G184="À migrer",$G184="À décommissionner"),$W184&lt;&gt;"",$W184&gt;ex_mois),1,0))</f>
        <v/>
      </c>
      <c r="AJ184" s="21" t="str">
        <f aca="false">IF(OR($C184="",$AI184&lt;&gt;1,COUNTIFS($E184,ex_envc,$A184,ex_domc,$B184,ex_tric)=0),"",COUNTIFS($AI$6:$AI184,1,$E$6:$E184,ex_envc,$A$6:$A184,ex_domc,$B$6:$B184,ex_tric))</f>
        <v/>
      </c>
    </row>
    <row r="185" customFormat="false" ht="15" hidden="false" customHeight="false" outlineLevel="0" collapsed="false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5"/>
      <c r="Q185" s="75"/>
      <c r="R185" s="75"/>
      <c r="S185" s="74"/>
      <c r="T185" s="21" t="str">
        <f aca="false">IF(OR($C185="",NOT(OR($G185="À migrer",$G185="Migré")),NOT(ISNUMBER($K185))),"",ROUNDUP($K185*(1+IF($AC185="",p_margeCPU,$AC185)),0))</f>
        <v/>
      </c>
      <c r="U185" s="21" t="str">
        <f aca="false">IF(OR($C185="",NOT(OR($G185="À migrer",$G185="Migré")),NOT(ISNUMBER($L185))),"",ROUNDUP($L185*(1+IF($AD185="",p_margeRAM,$AD185)),0))</f>
        <v/>
      </c>
      <c r="V185" s="39" t="str">
        <f aca="false">IF(OR(NOT($G185="À migrer"),$P185=""),"",IFERROR(DATE(YEAR($P185),MONTH($P185),1),""))</f>
        <v/>
      </c>
      <c r="W185" s="39" t="str">
        <f aca="false">IF(OR(NOT(OR($G185="À migrer",$G185="À décommissionner")),$R185=""),"",IFERROR(DATE(YEAR($R185),MONTH($R185),1),""))</f>
        <v/>
      </c>
      <c r="X185" s="21" t="str">
        <f aca="false">IF(OR($V185="",$W185=""),"",MAX(0,(YEAR($W185)-YEAR($V185))*12+MONTH($W185)-MONTH($V185)))</f>
        <v/>
      </c>
      <c r="Y185" s="21" t="str">
        <f aca="false">IF($C185="","",COUNTIF(TblApplications[ID],$C185))</f>
        <v/>
      </c>
      <c r="Z185" s="39" t="str">
        <f aca="false">IF($C185="","",IFERROR(1/(1/_xlfn.MINIFS(TblApplications[Mois prov (calc)],TblApplications[ID],$C185)),""))</f>
        <v/>
      </c>
      <c r="AA185" s="39" t="str">
        <f aca="false">IF($C185="","",IFERROR(1/(1/_xlfn.MAXIFS(TblApplications[Mois lib (calc)],TblApplications[ID],$C185)),""))</f>
        <v/>
      </c>
      <c r="AB185" s="21" t="str">
        <f aca="false">IF($C185="","",IF(OR(OR($A185="",$B185="",$D185="",$E185="",$F185="",$G185=""),AND($G185="À migrer",OR($H185="",$I185="",$J185="",$K185="",$L185="",$N185="",$O185="",$P185="",$Q185="",$R185="")),AND($G185="Migré",OR($J185="",$K185="",$L185="")),AND($G185="À décommissionner",OR($I185="",$N185="",$O185="",$R185=""))),"Données manquantes (selon l’action)",IF(AND($G185&lt;&gt;"Migré",$G185&lt;&gt;"À migrer",$G185&lt;&gt;"À décommissionner",$G185&lt;&gt;"Décommissionné"),"Action invalide",IF(COUNTIF(TblDomaines[Domaine],$A185)=0,"Domaine inconnu (référentiel)",IF(COUNTIFS(TblTribes[Tribe],$B185,TblTribes[Domaine de la tribe],$A185)=0,"Tribe inconnue ou hors domaine",IF(AND($G185="À migrer",$H185&lt;&gt;"Oui",$H185&lt;&gt;"Non"),"Valeur Oui/Non invalide (Déjà incluse ROKS)",IF(AND($E185&lt;&gt;"PRD",$E185&lt;&gt;"NPRD"),"Environnement invalide",IF(COUNTIFS(TblApplications[ID],$C185,TblApplications[Environnement],$E185,TblApplications[Couloir],$F185)&gt;1,"Déploiement en doublon (ID + env + couloir)",IF(OR(AND($K185&lt;&gt;"",NOT(ISNUMBER($K185))),AND($L185&lt;&gt;"",NOT(ISNUMBER($L185))),AND($N185&lt;&gt;"",NOT(ISNUMBER($N185))),AND($O185&lt;&gt;"",NOT(ISNUMBER($O185)))),"Ressource non numérique",IF(MIN(N($K185),N($L185),N($N185),N($O185))&lt;0,"Ressource négative",IF(OR(AND($AC185&lt;&gt;"",OR(NOT(ISNUMBER($AC185)),$AC185&lt;0,$AC185&gt;1)),AND($AD185&lt;&gt;"",OR(NOT(ISNUMBER($AD185)),$AD185&lt;0,$AD185&gt;1))),"Marge spécifique invalide (0–100 %)",IF(OR(AND($P185&lt;&gt;"",NOT(ISNUMBER($P185))),AND($Q185&lt;&gt;"",NOT(ISNUMBER($Q185))),AND($R185&lt;&gt;"",NOT(ISNUMBER($R185)))),"Mois invalide",IF(AND(OR($G185="À migrer",$G185="À décommissionner"),COUNTIFS(TblClusters[Cluster],$I185,TblClusters[Plateforme],"IKS")=0),"Cluster IKS inconnu",IF(AND(OR($G185="À migrer",$G185="Migré"),COUNTIFS(TblClusters[Cluster],$J185,TblClusters[Plateforme],"ROKS")=0),"Cluster ROKS inconnu",IF(AND(OR($G185="À migrer",$G185="À décommissionner"),COUNTIFS(TblClusters[Cluster],$I185,TblClusters[Environnement],$E185)=0),"Environnement ≠ cluster IKS",IF(AND(OR($G185="À migrer",$G185="Migré"),COUNTIFS(TblClusters[Cluster],$J185,TblClusters[Environnement],$E185)=0),"Environnement ≠ cluster ROKS",IF(AND($G185="À migrer",OR($P185&gt;$Q185,$Q185&gt;$R185)),"Dates incohérentes (prov ≤ bascule ≤ libération)",IF(AND(OR($G185="À migrer",$G185="À décommissionner"),OR(N($N185)&gt;SUMIFS(TblClusters[CPU initial (vCPU)],TblClusters[Cluster],$I185),N($O185)&gt;SUMIFS(TblClusters[RAM initiale (Go)],TblClusters[Cluster],$I185))),"Libération &gt; capacité du cluster source",IF(OR(AND($V185&lt;&gt;"",$V185&lt;p_debut),AND($W185&lt;&gt;"",$W185&gt;p_fin)),"Hors horizon (info)",IF(AND($G185="À migrer",$E185="PRD",COUNTIFS(TblApplications[ID],$C185,TblApplications[Environnement],"NPRD",TblApplications[Action],"À migrer")&gt;0,$V185&lt;_xlfn.MINIFS(TblApplications[Mois prov (calc)],TblApplications[ID],$C185,TblApplications[Environnement],"NPRD")),"PRD avant NPRD (info)","OK"))))))))))))))))))))</f>
        <v/>
      </c>
      <c r="AC185" s="76"/>
      <c r="AD185" s="76"/>
      <c r="AE185" s="22" t="str">
        <f aca="false">IF(OR($C185="",NOT(OR($G185="À migrer",$G185="À décommissionner")),NOT(ISNUMBER($N185)),NOT(ISNUMBER($O185)),$W185=""),"",($N185+p_poidsram*$O185)*SUMIFS(TblCalculs[Coût par unité],TblCalculs[Cluster],$I185,TblCalculs[Mois],"&lt;"&amp;$W185))</f>
        <v/>
      </c>
      <c r="AF185" s="22" t="str">
        <f aca="false">IF($C185="","",IF(AND($G185="À migrer",$H185="Non",$T185&lt;&gt;"",$V185&lt;&gt;""),($T185+p_poidsram*$U185)*SUMIFS(TblCalculs[Coût par unité],TblCalculs[Cluster],$J185,TblCalculs[Mois],"&gt;="&amp;$V185),IF(AND($G185="Migré",$T185&lt;&gt;""),($T185+p_poidsram*$U185)*SUMIFS(TblCalculs[Coût par unité],TblCalculs[Cluster],$J185),"")))</f>
        <v/>
      </c>
      <c r="AG185" s="22" t="str">
        <f aca="false">IF($C185="","",N($AE185)+N($AF185))</f>
        <v/>
      </c>
      <c r="AH185" s="21" t="str">
        <f aca="false">IF(OR($C185="",$G185="Décommissionné",COUNTIFS($E185,av_envc,$A185,av_domc,$B185,av_tric)=0),"",COUNTIFS($C$6:$C185,"&lt;&gt;",$G$6:$G185,"&lt;&gt;Décommissionné",$E$6:$E185,av_envc,$A$6:$A185,av_domc,$B$6:$B185,av_tric))</f>
        <v/>
      </c>
      <c r="AI185" s="21" t="str">
        <f aca="false">IF($C185="","",IF(AND(OR($G185="À migrer",$G185="À décommissionner"),$W185&lt;&gt;"",$W185&gt;ex_mois),1,0))</f>
        <v/>
      </c>
      <c r="AJ185" s="21" t="str">
        <f aca="false">IF(OR($C185="",$AI185&lt;&gt;1,COUNTIFS($E185,ex_envc,$A185,ex_domc,$B185,ex_tric)=0),"",COUNTIFS($AI$6:$AI185,1,$E$6:$E185,ex_envc,$A$6:$A185,ex_domc,$B$6:$B185,ex_tric))</f>
        <v/>
      </c>
    </row>
    <row r="186" customFormat="false" ht="15" hidden="false" customHeight="false" outlineLevel="0" collapsed="false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5"/>
      <c r="Q186" s="75"/>
      <c r="R186" s="75"/>
      <c r="S186" s="74"/>
      <c r="T186" s="21" t="str">
        <f aca="false">IF(OR($C186="",NOT(OR($G186="À migrer",$G186="Migré")),NOT(ISNUMBER($K186))),"",ROUNDUP($K186*(1+IF($AC186="",p_margeCPU,$AC186)),0))</f>
        <v/>
      </c>
      <c r="U186" s="21" t="str">
        <f aca="false">IF(OR($C186="",NOT(OR($G186="À migrer",$G186="Migré")),NOT(ISNUMBER($L186))),"",ROUNDUP($L186*(1+IF($AD186="",p_margeRAM,$AD186)),0))</f>
        <v/>
      </c>
      <c r="V186" s="39" t="str">
        <f aca="false">IF(OR(NOT($G186="À migrer"),$P186=""),"",IFERROR(DATE(YEAR($P186),MONTH($P186),1),""))</f>
        <v/>
      </c>
      <c r="W186" s="39" t="str">
        <f aca="false">IF(OR(NOT(OR($G186="À migrer",$G186="À décommissionner")),$R186=""),"",IFERROR(DATE(YEAR($R186),MONTH($R186),1),""))</f>
        <v/>
      </c>
      <c r="X186" s="21" t="str">
        <f aca="false">IF(OR($V186="",$W186=""),"",MAX(0,(YEAR($W186)-YEAR($V186))*12+MONTH($W186)-MONTH($V186)))</f>
        <v/>
      </c>
      <c r="Y186" s="21" t="str">
        <f aca="false">IF($C186="","",COUNTIF(TblApplications[ID],$C186))</f>
        <v/>
      </c>
      <c r="Z186" s="39" t="str">
        <f aca="false">IF($C186="","",IFERROR(1/(1/_xlfn.MINIFS(TblApplications[Mois prov (calc)],TblApplications[ID],$C186)),""))</f>
        <v/>
      </c>
      <c r="AA186" s="39" t="str">
        <f aca="false">IF($C186="","",IFERROR(1/(1/_xlfn.MAXIFS(TblApplications[Mois lib (calc)],TblApplications[ID],$C186)),""))</f>
        <v/>
      </c>
      <c r="AB186" s="21" t="str">
        <f aca="false">IF($C186="","",IF(OR(OR($A186="",$B186="",$D186="",$E186="",$F186="",$G186=""),AND($G186="À migrer",OR($H186="",$I186="",$J186="",$K186="",$L186="",$N186="",$O186="",$P186="",$Q186="",$R186="")),AND($G186="Migré",OR($J186="",$K186="",$L186="")),AND($G186="À décommissionner",OR($I186="",$N186="",$O186="",$R186=""))),"Données manquantes (selon l’action)",IF(AND($G186&lt;&gt;"Migré",$G186&lt;&gt;"À migrer",$G186&lt;&gt;"À décommissionner",$G186&lt;&gt;"Décommissionné"),"Action invalide",IF(COUNTIF(TblDomaines[Domaine],$A186)=0,"Domaine inconnu (référentiel)",IF(COUNTIFS(TblTribes[Tribe],$B186,TblTribes[Domaine de la tribe],$A186)=0,"Tribe inconnue ou hors domaine",IF(AND($G186="À migrer",$H186&lt;&gt;"Oui",$H186&lt;&gt;"Non"),"Valeur Oui/Non invalide (Déjà incluse ROKS)",IF(AND($E186&lt;&gt;"PRD",$E186&lt;&gt;"NPRD"),"Environnement invalide",IF(COUNTIFS(TblApplications[ID],$C186,TblApplications[Environnement],$E186,TblApplications[Couloir],$F186)&gt;1,"Déploiement en doublon (ID + env + couloir)",IF(OR(AND($K186&lt;&gt;"",NOT(ISNUMBER($K186))),AND($L186&lt;&gt;"",NOT(ISNUMBER($L186))),AND($N186&lt;&gt;"",NOT(ISNUMBER($N186))),AND($O186&lt;&gt;"",NOT(ISNUMBER($O186)))),"Ressource non numérique",IF(MIN(N($K186),N($L186),N($N186),N($O186))&lt;0,"Ressource négative",IF(OR(AND($AC186&lt;&gt;"",OR(NOT(ISNUMBER($AC186)),$AC186&lt;0,$AC186&gt;1)),AND($AD186&lt;&gt;"",OR(NOT(ISNUMBER($AD186)),$AD186&lt;0,$AD186&gt;1))),"Marge spécifique invalide (0–100 %)",IF(OR(AND($P186&lt;&gt;"",NOT(ISNUMBER($P186))),AND($Q186&lt;&gt;"",NOT(ISNUMBER($Q186))),AND($R186&lt;&gt;"",NOT(ISNUMBER($R186)))),"Mois invalide",IF(AND(OR($G186="À migrer",$G186="À décommissionner"),COUNTIFS(TblClusters[Cluster],$I186,TblClusters[Plateforme],"IKS")=0),"Cluster IKS inconnu",IF(AND(OR($G186="À migrer",$G186="Migré"),COUNTIFS(TblClusters[Cluster],$J186,TblClusters[Plateforme],"ROKS")=0),"Cluster ROKS inconnu",IF(AND(OR($G186="À migrer",$G186="À décommissionner"),COUNTIFS(TblClusters[Cluster],$I186,TblClusters[Environnement],$E186)=0),"Environnement ≠ cluster IKS",IF(AND(OR($G186="À migrer",$G186="Migré"),COUNTIFS(TblClusters[Cluster],$J186,TblClusters[Environnement],$E186)=0),"Environnement ≠ cluster ROKS",IF(AND($G186="À migrer",OR($P186&gt;$Q186,$Q186&gt;$R186)),"Dates incohérentes (prov ≤ bascule ≤ libération)",IF(AND(OR($G186="À migrer",$G186="À décommissionner"),OR(N($N186)&gt;SUMIFS(TblClusters[CPU initial (vCPU)],TblClusters[Cluster],$I186),N($O186)&gt;SUMIFS(TblClusters[RAM initiale (Go)],TblClusters[Cluster],$I186))),"Libération &gt; capacité du cluster source",IF(OR(AND($V186&lt;&gt;"",$V186&lt;p_debut),AND($W186&lt;&gt;"",$W186&gt;p_fin)),"Hors horizon (info)",IF(AND($G186="À migrer",$E186="PRD",COUNTIFS(TblApplications[ID],$C186,TblApplications[Environnement],"NPRD",TblApplications[Action],"À migrer")&gt;0,$V186&lt;_xlfn.MINIFS(TblApplications[Mois prov (calc)],TblApplications[ID],$C186,TblApplications[Environnement],"NPRD")),"PRD avant NPRD (info)","OK"))))))))))))))))))))</f>
        <v/>
      </c>
      <c r="AC186" s="76"/>
      <c r="AD186" s="76"/>
      <c r="AE186" s="22" t="str">
        <f aca="false">IF(OR($C186="",NOT(OR($G186="À migrer",$G186="À décommissionner")),NOT(ISNUMBER($N186)),NOT(ISNUMBER($O186)),$W186=""),"",($N186+p_poidsram*$O186)*SUMIFS(TblCalculs[Coût par unité],TblCalculs[Cluster],$I186,TblCalculs[Mois],"&lt;"&amp;$W186))</f>
        <v/>
      </c>
      <c r="AF186" s="22" t="str">
        <f aca="false">IF($C186="","",IF(AND($G186="À migrer",$H186="Non",$T186&lt;&gt;"",$V186&lt;&gt;""),($T186+p_poidsram*$U186)*SUMIFS(TblCalculs[Coût par unité],TblCalculs[Cluster],$J186,TblCalculs[Mois],"&gt;="&amp;$V186),IF(AND($G186="Migré",$T186&lt;&gt;""),($T186+p_poidsram*$U186)*SUMIFS(TblCalculs[Coût par unité],TblCalculs[Cluster],$J186),"")))</f>
        <v/>
      </c>
      <c r="AG186" s="22" t="str">
        <f aca="false">IF($C186="","",N($AE186)+N($AF186))</f>
        <v/>
      </c>
      <c r="AH186" s="21" t="str">
        <f aca="false">IF(OR($C186="",$G186="Décommissionné",COUNTIFS($E186,av_envc,$A186,av_domc,$B186,av_tric)=0),"",COUNTIFS($C$6:$C186,"&lt;&gt;",$G$6:$G186,"&lt;&gt;Décommissionné",$E$6:$E186,av_envc,$A$6:$A186,av_domc,$B$6:$B186,av_tric))</f>
        <v/>
      </c>
      <c r="AI186" s="21" t="str">
        <f aca="false">IF($C186="","",IF(AND(OR($G186="À migrer",$G186="À décommissionner"),$W186&lt;&gt;"",$W186&gt;ex_mois),1,0))</f>
        <v/>
      </c>
      <c r="AJ186" s="21" t="str">
        <f aca="false">IF(OR($C186="",$AI186&lt;&gt;1,COUNTIFS($E186,ex_envc,$A186,ex_domc,$B186,ex_tric)=0),"",COUNTIFS($AI$6:$AI186,1,$E$6:$E186,ex_envc,$A$6:$A186,ex_domc,$B$6:$B186,ex_tric))</f>
        <v/>
      </c>
    </row>
    <row r="187" customFormat="false" ht="15" hidden="false" customHeight="false" outlineLevel="0" collapsed="false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5"/>
      <c r="Q187" s="75"/>
      <c r="R187" s="75"/>
      <c r="S187" s="74"/>
      <c r="T187" s="21" t="str">
        <f aca="false">IF(OR($C187="",NOT(OR($G187="À migrer",$G187="Migré")),NOT(ISNUMBER($K187))),"",ROUNDUP($K187*(1+IF($AC187="",p_margeCPU,$AC187)),0))</f>
        <v/>
      </c>
      <c r="U187" s="21" t="str">
        <f aca="false">IF(OR($C187="",NOT(OR($G187="À migrer",$G187="Migré")),NOT(ISNUMBER($L187))),"",ROUNDUP($L187*(1+IF($AD187="",p_margeRAM,$AD187)),0))</f>
        <v/>
      </c>
      <c r="V187" s="39" t="str">
        <f aca="false">IF(OR(NOT($G187="À migrer"),$P187=""),"",IFERROR(DATE(YEAR($P187),MONTH($P187),1),""))</f>
        <v/>
      </c>
      <c r="W187" s="39" t="str">
        <f aca="false">IF(OR(NOT(OR($G187="À migrer",$G187="À décommissionner")),$R187=""),"",IFERROR(DATE(YEAR($R187),MONTH($R187),1),""))</f>
        <v/>
      </c>
      <c r="X187" s="21" t="str">
        <f aca="false">IF(OR($V187="",$W187=""),"",MAX(0,(YEAR($W187)-YEAR($V187))*12+MONTH($W187)-MONTH($V187)))</f>
        <v/>
      </c>
      <c r="Y187" s="21" t="str">
        <f aca="false">IF($C187="","",COUNTIF(TblApplications[ID],$C187))</f>
        <v/>
      </c>
      <c r="Z187" s="39" t="str">
        <f aca="false">IF($C187="","",IFERROR(1/(1/_xlfn.MINIFS(TblApplications[Mois prov (calc)],TblApplications[ID],$C187)),""))</f>
        <v/>
      </c>
      <c r="AA187" s="39" t="str">
        <f aca="false">IF($C187="","",IFERROR(1/(1/_xlfn.MAXIFS(TblApplications[Mois lib (calc)],TblApplications[ID],$C187)),""))</f>
        <v/>
      </c>
      <c r="AB187" s="21" t="str">
        <f aca="false">IF($C187="","",IF(OR(OR($A187="",$B187="",$D187="",$E187="",$F187="",$G187=""),AND($G187="À migrer",OR($H187="",$I187="",$J187="",$K187="",$L187="",$N187="",$O187="",$P187="",$Q187="",$R187="")),AND($G187="Migré",OR($J187="",$K187="",$L187="")),AND($G187="À décommissionner",OR($I187="",$N187="",$O187="",$R187=""))),"Données manquantes (selon l’action)",IF(AND($G187&lt;&gt;"Migré",$G187&lt;&gt;"À migrer",$G187&lt;&gt;"À décommissionner",$G187&lt;&gt;"Décommissionné"),"Action invalide",IF(COUNTIF(TblDomaines[Domaine],$A187)=0,"Domaine inconnu (référentiel)",IF(COUNTIFS(TblTribes[Tribe],$B187,TblTribes[Domaine de la tribe],$A187)=0,"Tribe inconnue ou hors domaine",IF(AND($G187="À migrer",$H187&lt;&gt;"Oui",$H187&lt;&gt;"Non"),"Valeur Oui/Non invalide (Déjà incluse ROKS)",IF(AND($E187&lt;&gt;"PRD",$E187&lt;&gt;"NPRD"),"Environnement invalide",IF(COUNTIFS(TblApplications[ID],$C187,TblApplications[Environnement],$E187,TblApplications[Couloir],$F187)&gt;1,"Déploiement en doublon (ID + env + couloir)",IF(OR(AND($K187&lt;&gt;"",NOT(ISNUMBER($K187))),AND($L187&lt;&gt;"",NOT(ISNUMBER($L187))),AND($N187&lt;&gt;"",NOT(ISNUMBER($N187))),AND($O187&lt;&gt;"",NOT(ISNUMBER($O187)))),"Ressource non numérique",IF(MIN(N($K187),N($L187),N($N187),N($O187))&lt;0,"Ressource négative",IF(OR(AND($AC187&lt;&gt;"",OR(NOT(ISNUMBER($AC187)),$AC187&lt;0,$AC187&gt;1)),AND($AD187&lt;&gt;"",OR(NOT(ISNUMBER($AD187)),$AD187&lt;0,$AD187&gt;1))),"Marge spécifique invalide (0–100 %)",IF(OR(AND($P187&lt;&gt;"",NOT(ISNUMBER($P187))),AND($Q187&lt;&gt;"",NOT(ISNUMBER($Q187))),AND($R187&lt;&gt;"",NOT(ISNUMBER($R187)))),"Mois invalide",IF(AND(OR($G187="À migrer",$G187="À décommissionner"),COUNTIFS(TblClusters[Cluster],$I187,TblClusters[Plateforme],"IKS")=0),"Cluster IKS inconnu",IF(AND(OR($G187="À migrer",$G187="Migré"),COUNTIFS(TblClusters[Cluster],$J187,TblClusters[Plateforme],"ROKS")=0),"Cluster ROKS inconnu",IF(AND(OR($G187="À migrer",$G187="À décommissionner"),COUNTIFS(TblClusters[Cluster],$I187,TblClusters[Environnement],$E187)=0),"Environnement ≠ cluster IKS",IF(AND(OR($G187="À migrer",$G187="Migré"),COUNTIFS(TblClusters[Cluster],$J187,TblClusters[Environnement],$E187)=0),"Environnement ≠ cluster ROKS",IF(AND($G187="À migrer",OR($P187&gt;$Q187,$Q187&gt;$R187)),"Dates incohérentes (prov ≤ bascule ≤ libération)",IF(AND(OR($G187="À migrer",$G187="À décommissionner"),OR(N($N187)&gt;SUMIFS(TblClusters[CPU initial (vCPU)],TblClusters[Cluster],$I187),N($O187)&gt;SUMIFS(TblClusters[RAM initiale (Go)],TblClusters[Cluster],$I187))),"Libération &gt; capacité du cluster source",IF(OR(AND($V187&lt;&gt;"",$V187&lt;p_debut),AND($W187&lt;&gt;"",$W187&gt;p_fin)),"Hors horizon (info)",IF(AND($G187="À migrer",$E187="PRD",COUNTIFS(TblApplications[ID],$C187,TblApplications[Environnement],"NPRD",TblApplications[Action],"À migrer")&gt;0,$V187&lt;_xlfn.MINIFS(TblApplications[Mois prov (calc)],TblApplications[ID],$C187,TblApplications[Environnement],"NPRD")),"PRD avant NPRD (info)","OK"))))))))))))))))))))</f>
        <v/>
      </c>
      <c r="AC187" s="76"/>
      <c r="AD187" s="76"/>
      <c r="AE187" s="22" t="str">
        <f aca="false">IF(OR($C187="",NOT(OR($G187="À migrer",$G187="À décommissionner")),NOT(ISNUMBER($N187)),NOT(ISNUMBER($O187)),$W187=""),"",($N187+p_poidsram*$O187)*SUMIFS(TblCalculs[Coût par unité],TblCalculs[Cluster],$I187,TblCalculs[Mois],"&lt;"&amp;$W187))</f>
        <v/>
      </c>
      <c r="AF187" s="22" t="str">
        <f aca="false">IF($C187="","",IF(AND($G187="À migrer",$H187="Non",$T187&lt;&gt;"",$V187&lt;&gt;""),($T187+p_poidsram*$U187)*SUMIFS(TblCalculs[Coût par unité],TblCalculs[Cluster],$J187,TblCalculs[Mois],"&gt;="&amp;$V187),IF(AND($G187="Migré",$T187&lt;&gt;""),($T187+p_poidsram*$U187)*SUMIFS(TblCalculs[Coût par unité],TblCalculs[Cluster],$J187),"")))</f>
        <v/>
      </c>
      <c r="AG187" s="22" t="str">
        <f aca="false">IF($C187="","",N($AE187)+N($AF187))</f>
        <v/>
      </c>
      <c r="AH187" s="21" t="str">
        <f aca="false">IF(OR($C187="",$G187="Décommissionné",COUNTIFS($E187,av_envc,$A187,av_domc,$B187,av_tric)=0),"",COUNTIFS($C$6:$C187,"&lt;&gt;",$G$6:$G187,"&lt;&gt;Décommissionné",$E$6:$E187,av_envc,$A$6:$A187,av_domc,$B$6:$B187,av_tric))</f>
        <v/>
      </c>
      <c r="AI187" s="21" t="str">
        <f aca="false">IF($C187="","",IF(AND(OR($G187="À migrer",$G187="À décommissionner"),$W187&lt;&gt;"",$W187&gt;ex_mois),1,0))</f>
        <v/>
      </c>
      <c r="AJ187" s="21" t="str">
        <f aca="false">IF(OR($C187="",$AI187&lt;&gt;1,COUNTIFS($E187,ex_envc,$A187,ex_domc,$B187,ex_tric)=0),"",COUNTIFS($AI$6:$AI187,1,$E$6:$E187,ex_envc,$A$6:$A187,ex_domc,$B$6:$B187,ex_tric))</f>
        <v/>
      </c>
    </row>
    <row r="188" customFormat="false" ht="15" hidden="false" customHeight="false" outlineLevel="0" collapsed="false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5"/>
      <c r="Q188" s="75"/>
      <c r="R188" s="75"/>
      <c r="S188" s="74"/>
      <c r="T188" s="21" t="str">
        <f aca="false">IF(OR($C188="",NOT(OR($G188="À migrer",$G188="Migré")),NOT(ISNUMBER($K188))),"",ROUNDUP($K188*(1+IF($AC188="",p_margeCPU,$AC188)),0))</f>
        <v/>
      </c>
      <c r="U188" s="21" t="str">
        <f aca="false">IF(OR($C188="",NOT(OR($G188="À migrer",$G188="Migré")),NOT(ISNUMBER($L188))),"",ROUNDUP($L188*(1+IF($AD188="",p_margeRAM,$AD188)),0))</f>
        <v/>
      </c>
      <c r="V188" s="39" t="str">
        <f aca="false">IF(OR(NOT($G188="À migrer"),$P188=""),"",IFERROR(DATE(YEAR($P188),MONTH($P188),1),""))</f>
        <v/>
      </c>
      <c r="W188" s="39" t="str">
        <f aca="false">IF(OR(NOT(OR($G188="À migrer",$G188="À décommissionner")),$R188=""),"",IFERROR(DATE(YEAR($R188),MONTH($R188),1),""))</f>
        <v/>
      </c>
      <c r="X188" s="21" t="str">
        <f aca="false">IF(OR($V188="",$W188=""),"",MAX(0,(YEAR($W188)-YEAR($V188))*12+MONTH($W188)-MONTH($V188)))</f>
        <v/>
      </c>
      <c r="Y188" s="21" t="str">
        <f aca="false">IF($C188="","",COUNTIF(TblApplications[ID],$C188))</f>
        <v/>
      </c>
      <c r="Z188" s="39" t="str">
        <f aca="false">IF($C188="","",IFERROR(1/(1/_xlfn.MINIFS(TblApplications[Mois prov (calc)],TblApplications[ID],$C188)),""))</f>
        <v/>
      </c>
      <c r="AA188" s="39" t="str">
        <f aca="false">IF($C188="","",IFERROR(1/(1/_xlfn.MAXIFS(TblApplications[Mois lib (calc)],TblApplications[ID],$C188)),""))</f>
        <v/>
      </c>
      <c r="AB188" s="21" t="str">
        <f aca="false">IF($C188="","",IF(OR(OR($A188="",$B188="",$D188="",$E188="",$F188="",$G188=""),AND($G188="À migrer",OR($H188="",$I188="",$J188="",$K188="",$L188="",$N188="",$O188="",$P188="",$Q188="",$R188="")),AND($G188="Migré",OR($J188="",$K188="",$L188="")),AND($G188="À décommissionner",OR($I188="",$N188="",$O188="",$R188=""))),"Données manquantes (selon l’action)",IF(AND($G188&lt;&gt;"Migré",$G188&lt;&gt;"À migrer",$G188&lt;&gt;"À décommissionner",$G188&lt;&gt;"Décommissionné"),"Action invalide",IF(COUNTIF(TblDomaines[Domaine],$A188)=0,"Domaine inconnu (référentiel)",IF(COUNTIFS(TblTribes[Tribe],$B188,TblTribes[Domaine de la tribe],$A188)=0,"Tribe inconnue ou hors domaine",IF(AND($G188="À migrer",$H188&lt;&gt;"Oui",$H188&lt;&gt;"Non"),"Valeur Oui/Non invalide (Déjà incluse ROKS)",IF(AND($E188&lt;&gt;"PRD",$E188&lt;&gt;"NPRD"),"Environnement invalide",IF(COUNTIFS(TblApplications[ID],$C188,TblApplications[Environnement],$E188,TblApplications[Couloir],$F188)&gt;1,"Déploiement en doublon (ID + env + couloir)",IF(OR(AND($K188&lt;&gt;"",NOT(ISNUMBER($K188))),AND($L188&lt;&gt;"",NOT(ISNUMBER($L188))),AND($N188&lt;&gt;"",NOT(ISNUMBER($N188))),AND($O188&lt;&gt;"",NOT(ISNUMBER($O188)))),"Ressource non numérique",IF(MIN(N($K188),N($L188),N($N188),N($O188))&lt;0,"Ressource négative",IF(OR(AND($AC188&lt;&gt;"",OR(NOT(ISNUMBER($AC188)),$AC188&lt;0,$AC188&gt;1)),AND($AD188&lt;&gt;"",OR(NOT(ISNUMBER($AD188)),$AD188&lt;0,$AD188&gt;1))),"Marge spécifique invalide (0–100 %)",IF(OR(AND($P188&lt;&gt;"",NOT(ISNUMBER($P188))),AND($Q188&lt;&gt;"",NOT(ISNUMBER($Q188))),AND($R188&lt;&gt;"",NOT(ISNUMBER($R188)))),"Mois invalide",IF(AND(OR($G188="À migrer",$G188="À décommissionner"),COUNTIFS(TblClusters[Cluster],$I188,TblClusters[Plateforme],"IKS")=0),"Cluster IKS inconnu",IF(AND(OR($G188="À migrer",$G188="Migré"),COUNTIFS(TblClusters[Cluster],$J188,TblClusters[Plateforme],"ROKS")=0),"Cluster ROKS inconnu",IF(AND(OR($G188="À migrer",$G188="À décommissionner"),COUNTIFS(TblClusters[Cluster],$I188,TblClusters[Environnement],$E188)=0),"Environnement ≠ cluster IKS",IF(AND(OR($G188="À migrer",$G188="Migré"),COUNTIFS(TblClusters[Cluster],$J188,TblClusters[Environnement],$E188)=0),"Environnement ≠ cluster ROKS",IF(AND($G188="À migrer",OR($P188&gt;$Q188,$Q188&gt;$R188)),"Dates incohérentes (prov ≤ bascule ≤ libération)",IF(AND(OR($G188="À migrer",$G188="À décommissionner"),OR(N($N188)&gt;SUMIFS(TblClusters[CPU initial (vCPU)],TblClusters[Cluster],$I188),N($O188)&gt;SUMIFS(TblClusters[RAM initiale (Go)],TblClusters[Cluster],$I188))),"Libération &gt; capacité du cluster source",IF(OR(AND($V188&lt;&gt;"",$V188&lt;p_debut),AND($W188&lt;&gt;"",$W188&gt;p_fin)),"Hors horizon (info)",IF(AND($G188="À migrer",$E188="PRD",COUNTIFS(TblApplications[ID],$C188,TblApplications[Environnement],"NPRD",TblApplications[Action],"À migrer")&gt;0,$V188&lt;_xlfn.MINIFS(TblApplications[Mois prov (calc)],TblApplications[ID],$C188,TblApplications[Environnement],"NPRD")),"PRD avant NPRD (info)","OK"))))))))))))))))))))</f>
        <v/>
      </c>
      <c r="AC188" s="76"/>
      <c r="AD188" s="76"/>
      <c r="AE188" s="22" t="str">
        <f aca="false">IF(OR($C188="",NOT(OR($G188="À migrer",$G188="À décommissionner")),NOT(ISNUMBER($N188)),NOT(ISNUMBER($O188)),$W188=""),"",($N188+p_poidsram*$O188)*SUMIFS(TblCalculs[Coût par unité],TblCalculs[Cluster],$I188,TblCalculs[Mois],"&lt;"&amp;$W188))</f>
        <v/>
      </c>
      <c r="AF188" s="22" t="str">
        <f aca="false">IF($C188="","",IF(AND($G188="À migrer",$H188="Non",$T188&lt;&gt;"",$V188&lt;&gt;""),($T188+p_poidsram*$U188)*SUMIFS(TblCalculs[Coût par unité],TblCalculs[Cluster],$J188,TblCalculs[Mois],"&gt;="&amp;$V188),IF(AND($G188="Migré",$T188&lt;&gt;""),($T188+p_poidsram*$U188)*SUMIFS(TblCalculs[Coût par unité],TblCalculs[Cluster],$J188),"")))</f>
        <v/>
      </c>
      <c r="AG188" s="22" t="str">
        <f aca="false">IF($C188="","",N($AE188)+N($AF188))</f>
        <v/>
      </c>
      <c r="AH188" s="21" t="str">
        <f aca="false">IF(OR($C188="",$G188="Décommissionné",COUNTIFS($E188,av_envc,$A188,av_domc,$B188,av_tric)=0),"",COUNTIFS($C$6:$C188,"&lt;&gt;",$G$6:$G188,"&lt;&gt;Décommissionné",$E$6:$E188,av_envc,$A$6:$A188,av_domc,$B$6:$B188,av_tric))</f>
        <v/>
      </c>
      <c r="AI188" s="21" t="str">
        <f aca="false">IF($C188="","",IF(AND(OR($G188="À migrer",$G188="À décommissionner"),$W188&lt;&gt;"",$W188&gt;ex_mois),1,0))</f>
        <v/>
      </c>
      <c r="AJ188" s="21" t="str">
        <f aca="false">IF(OR($C188="",$AI188&lt;&gt;1,COUNTIFS($E188,ex_envc,$A188,ex_domc,$B188,ex_tric)=0),"",COUNTIFS($AI$6:$AI188,1,$E$6:$E188,ex_envc,$A$6:$A188,ex_domc,$B$6:$B188,ex_tric))</f>
        <v/>
      </c>
    </row>
    <row r="189" customFormat="false" ht="15" hidden="false" customHeight="false" outlineLevel="0" collapsed="false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5"/>
      <c r="Q189" s="75"/>
      <c r="R189" s="75"/>
      <c r="S189" s="74"/>
      <c r="T189" s="21" t="str">
        <f aca="false">IF(OR($C189="",NOT(OR($G189="À migrer",$G189="Migré")),NOT(ISNUMBER($K189))),"",ROUNDUP($K189*(1+IF($AC189="",p_margeCPU,$AC189)),0))</f>
        <v/>
      </c>
      <c r="U189" s="21" t="str">
        <f aca="false">IF(OR($C189="",NOT(OR($G189="À migrer",$G189="Migré")),NOT(ISNUMBER($L189))),"",ROUNDUP($L189*(1+IF($AD189="",p_margeRAM,$AD189)),0))</f>
        <v/>
      </c>
      <c r="V189" s="39" t="str">
        <f aca="false">IF(OR(NOT($G189="À migrer"),$P189=""),"",IFERROR(DATE(YEAR($P189),MONTH($P189),1),""))</f>
        <v/>
      </c>
      <c r="W189" s="39" t="str">
        <f aca="false">IF(OR(NOT(OR($G189="À migrer",$G189="À décommissionner")),$R189=""),"",IFERROR(DATE(YEAR($R189),MONTH($R189),1),""))</f>
        <v/>
      </c>
      <c r="X189" s="21" t="str">
        <f aca="false">IF(OR($V189="",$W189=""),"",MAX(0,(YEAR($W189)-YEAR($V189))*12+MONTH($W189)-MONTH($V189)))</f>
        <v/>
      </c>
      <c r="Y189" s="21" t="str">
        <f aca="false">IF($C189="","",COUNTIF(TblApplications[ID],$C189))</f>
        <v/>
      </c>
      <c r="Z189" s="39" t="str">
        <f aca="false">IF($C189="","",IFERROR(1/(1/_xlfn.MINIFS(TblApplications[Mois prov (calc)],TblApplications[ID],$C189)),""))</f>
        <v/>
      </c>
      <c r="AA189" s="39" t="str">
        <f aca="false">IF($C189="","",IFERROR(1/(1/_xlfn.MAXIFS(TblApplications[Mois lib (calc)],TblApplications[ID],$C189)),""))</f>
        <v/>
      </c>
      <c r="AB189" s="21" t="str">
        <f aca="false">IF($C189="","",IF(OR(OR($A189="",$B189="",$D189="",$E189="",$F189="",$G189=""),AND($G189="À migrer",OR($H189="",$I189="",$J189="",$K189="",$L189="",$N189="",$O189="",$P189="",$Q189="",$R189="")),AND($G189="Migré",OR($J189="",$K189="",$L189="")),AND($G189="À décommissionner",OR($I189="",$N189="",$O189="",$R189=""))),"Données manquantes (selon l’action)",IF(AND($G189&lt;&gt;"Migré",$G189&lt;&gt;"À migrer",$G189&lt;&gt;"À décommissionner",$G189&lt;&gt;"Décommissionné"),"Action invalide",IF(COUNTIF(TblDomaines[Domaine],$A189)=0,"Domaine inconnu (référentiel)",IF(COUNTIFS(TblTribes[Tribe],$B189,TblTribes[Domaine de la tribe],$A189)=0,"Tribe inconnue ou hors domaine",IF(AND($G189="À migrer",$H189&lt;&gt;"Oui",$H189&lt;&gt;"Non"),"Valeur Oui/Non invalide (Déjà incluse ROKS)",IF(AND($E189&lt;&gt;"PRD",$E189&lt;&gt;"NPRD"),"Environnement invalide",IF(COUNTIFS(TblApplications[ID],$C189,TblApplications[Environnement],$E189,TblApplications[Couloir],$F189)&gt;1,"Déploiement en doublon (ID + env + couloir)",IF(OR(AND($K189&lt;&gt;"",NOT(ISNUMBER($K189))),AND($L189&lt;&gt;"",NOT(ISNUMBER($L189))),AND($N189&lt;&gt;"",NOT(ISNUMBER($N189))),AND($O189&lt;&gt;"",NOT(ISNUMBER($O189)))),"Ressource non numérique",IF(MIN(N($K189),N($L189),N($N189),N($O189))&lt;0,"Ressource négative",IF(OR(AND($AC189&lt;&gt;"",OR(NOT(ISNUMBER($AC189)),$AC189&lt;0,$AC189&gt;1)),AND($AD189&lt;&gt;"",OR(NOT(ISNUMBER($AD189)),$AD189&lt;0,$AD189&gt;1))),"Marge spécifique invalide (0–100 %)",IF(OR(AND($P189&lt;&gt;"",NOT(ISNUMBER($P189))),AND($Q189&lt;&gt;"",NOT(ISNUMBER($Q189))),AND($R189&lt;&gt;"",NOT(ISNUMBER($R189)))),"Mois invalide",IF(AND(OR($G189="À migrer",$G189="À décommissionner"),COUNTIFS(TblClusters[Cluster],$I189,TblClusters[Plateforme],"IKS")=0),"Cluster IKS inconnu",IF(AND(OR($G189="À migrer",$G189="Migré"),COUNTIFS(TblClusters[Cluster],$J189,TblClusters[Plateforme],"ROKS")=0),"Cluster ROKS inconnu",IF(AND(OR($G189="À migrer",$G189="À décommissionner"),COUNTIFS(TblClusters[Cluster],$I189,TblClusters[Environnement],$E189)=0),"Environnement ≠ cluster IKS",IF(AND(OR($G189="À migrer",$G189="Migré"),COUNTIFS(TblClusters[Cluster],$J189,TblClusters[Environnement],$E189)=0),"Environnement ≠ cluster ROKS",IF(AND($G189="À migrer",OR($P189&gt;$Q189,$Q189&gt;$R189)),"Dates incohérentes (prov ≤ bascule ≤ libération)",IF(AND(OR($G189="À migrer",$G189="À décommissionner"),OR(N($N189)&gt;SUMIFS(TblClusters[CPU initial (vCPU)],TblClusters[Cluster],$I189),N($O189)&gt;SUMIFS(TblClusters[RAM initiale (Go)],TblClusters[Cluster],$I189))),"Libération &gt; capacité du cluster source",IF(OR(AND($V189&lt;&gt;"",$V189&lt;p_debut),AND($W189&lt;&gt;"",$W189&gt;p_fin)),"Hors horizon (info)",IF(AND($G189="À migrer",$E189="PRD",COUNTIFS(TblApplications[ID],$C189,TblApplications[Environnement],"NPRD",TblApplications[Action],"À migrer")&gt;0,$V189&lt;_xlfn.MINIFS(TblApplications[Mois prov (calc)],TblApplications[ID],$C189,TblApplications[Environnement],"NPRD")),"PRD avant NPRD (info)","OK"))))))))))))))))))))</f>
        <v/>
      </c>
      <c r="AC189" s="76"/>
      <c r="AD189" s="76"/>
      <c r="AE189" s="22" t="str">
        <f aca="false">IF(OR($C189="",NOT(OR($G189="À migrer",$G189="À décommissionner")),NOT(ISNUMBER($N189)),NOT(ISNUMBER($O189)),$W189=""),"",($N189+p_poidsram*$O189)*SUMIFS(TblCalculs[Coût par unité],TblCalculs[Cluster],$I189,TblCalculs[Mois],"&lt;"&amp;$W189))</f>
        <v/>
      </c>
      <c r="AF189" s="22" t="str">
        <f aca="false">IF($C189="","",IF(AND($G189="À migrer",$H189="Non",$T189&lt;&gt;"",$V189&lt;&gt;""),($T189+p_poidsram*$U189)*SUMIFS(TblCalculs[Coût par unité],TblCalculs[Cluster],$J189,TblCalculs[Mois],"&gt;="&amp;$V189),IF(AND($G189="Migré",$T189&lt;&gt;""),($T189+p_poidsram*$U189)*SUMIFS(TblCalculs[Coût par unité],TblCalculs[Cluster],$J189),"")))</f>
        <v/>
      </c>
      <c r="AG189" s="22" t="str">
        <f aca="false">IF($C189="","",N($AE189)+N($AF189))</f>
        <v/>
      </c>
      <c r="AH189" s="21" t="str">
        <f aca="false">IF(OR($C189="",$G189="Décommissionné",COUNTIFS($E189,av_envc,$A189,av_domc,$B189,av_tric)=0),"",COUNTIFS($C$6:$C189,"&lt;&gt;",$G$6:$G189,"&lt;&gt;Décommissionné",$E$6:$E189,av_envc,$A$6:$A189,av_domc,$B$6:$B189,av_tric))</f>
        <v/>
      </c>
      <c r="AI189" s="21" t="str">
        <f aca="false">IF($C189="","",IF(AND(OR($G189="À migrer",$G189="À décommissionner"),$W189&lt;&gt;"",$W189&gt;ex_mois),1,0))</f>
        <v/>
      </c>
      <c r="AJ189" s="21" t="str">
        <f aca="false">IF(OR($C189="",$AI189&lt;&gt;1,COUNTIFS($E189,ex_envc,$A189,ex_domc,$B189,ex_tric)=0),"",COUNTIFS($AI$6:$AI189,1,$E$6:$E189,ex_envc,$A$6:$A189,ex_domc,$B$6:$B189,ex_tric))</f>
        <v/>
      </c>
    </row>
    <row r="190" customFormat="false" ht="15" hidden="false" customHeight="false" outlineLevel="0" collapsed="false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5"/>
      <c r="Q190" s="75"/>
      <c r="R190" s="75"/>
      <c r="S190" s="74"/>
      <c r="T190" s="21" t="str">
        <f aca="false">IF(OR($C190="",NOT(OR($G190="À migrer",$G190="Migré")),NOT(ISNUMBER($K190))),"",ROUNDUP($K190*(1+IF($AC190="",p_margeCPU,$AC190)),0))</f>
        <v/>
      </c>
      <c r="U190" s="21" t="str">
        <f aca="false">IF(OR($C190="",NOT(OR($G190="À migrer",$G190="Migré")),NOT(ISNUMBER($L190))),"",ROUNDUP($L190*(1+IF($AD190="",p_margeRAM,$AD190)),0))</f>
        <v/>
      </c>
      <c r="V190" s="39" t="str">
        <f aca="false">IF(OR(NOT($G190="À migrer"),$P190=""),"",IFERROR(DATE(YEAR($P190),MONTH($P190),1),""))</f>
        <v/>
      </c>
      <c r="W190" s="39" t="str">
        <f aca="false">IF(OR(NOT(OR($G190="À migrer",$G190="À décommissionner")),$R190=""),"",IFERROR(DATE(YEAR($R190),MONTH($R190),1),""))</f>
        <v/>
      </c>
      <c r="X190" s="21" t="str">
        <f aca="false">IF(OR($V190="",$W190=""),"",MAX(0,(YEAR($W190)-YEAR($V190))*12+MONTH($W190)-MONTH($V190)))</f>
        <v/>
      </c>
      <c r="Y190" s="21" t="str">
        <f aca="false">IF($C190="","",COUNTIF(TblApplications[ID],$C190))</f>
        <v/>
      </c>
      <c r="Z190" s="39" t="str">
        <f aca="false">IF($C190="","",IFERROR(1/(1/_xlfn.MINIFS(TblApplications[Mois prov (calc)],TblApplications[ID],$C190)),""))</f>
        <v/>
      </c>
      <c r="AA190" s="39" t="str">
        <f aca="false">IF($C190="","",IFERROR(1/(1/_xlfn.MAXIFS(TblApplications[Mois lib (calc)],TblApplications[ID],$C190)),""))</f>
        <v/>
      </c>
      <c r="AB190" s="21" t="str">
        <f aca="false">IF($C190="","",IF(OR(OR($A190="",$B190="",$D190="",$E190="",$F190="",$G190=""),AND($G190="À migrer",OR($H190="",$I190="",$J190="",$K190="",$L190="",$N190="",$O190="",$P190="",$Q190="",$R190="")),AND($G190="Migré",OR($J190="",$K190="",$L190="")),AND($G190="À décommissionner",OR($I190="",$N190="",$O190="",$R190=""))),"Données manquantes (selon l’action)",IF(AND($G190&lt;&gt;"Migré",$G190&lt;&gt;"À migrer",$G190&lt;&gt;"À décommissionner",$G190&lt;&gt;"Décommissionné"),"Action invalide",IF(COUNTIF(TblDomaines[Domaine],$A190)=0,"Domaine inconnu (référentiel)",IF(COUNTIFS(TblTribes[Tribe],$B190,TblTribes[Domaine de la tribe],$A190)=0,"Tribe inconnue ou hors domaine",IF(AND($G190="À migrer",$H190&lt;&gt;"Oui",$H190&lt;&gt;"Non"),"Valeur Oui/Non invalide (Déjà incluse ROKS)",IF(AND($E190&lt;&gt;"PRD",$E190&lt;&gt;"NPRD"),"Environnement invalide",IF(COUNTIFS(TblApplications[ID],$C190,TblApplications[Environnement],$E190,TblApplications[Couloir],$F190)&gt;1,"Déploiement en doublon (ID + env + couloir)",IF(OR(AND($K190&lt;&gt;"",NOT(ISNUMBER($K190))),AND($L190&lt;&gt;"",NOT(ISNUMBER($L190))),AND($N190&lt;&gt;"",NOT(ISNUMBER($N190))),AND($O190&lt;&gt;"",NOT(ISNUMBER($O190)))),"Ressource non numérique",IF(MIN(N($K190),N($L190),N($N190),N($O190))&lt;0,"Ressource négative",IF(OR(AND($AC190&lt;&gt;"",OR(NOT(ISNUMBER($AC190)),$AC190&lt;0,$AC190&gt;1)),AND($AD190&lt;&gt;"",OR(NOT(ISNUMBER($AD190)),$AD190&lt;0,$AD190&gt;1))),"Marge spécifique invalide (0–100 %)",IF(OR(AND($P190&lt;&gt;"",NOT(ISNUMBER($P190))),AND($Q190&lt;&gt;"",NOT(ISNUMBER($Q190))),AND($R190&lt;&gt;"",NOT(ISNUMBER($R190)))),"Mois invalide",IF(AND(OR($G190="À migrer",$G190="À décommissionner"),COUNTIFS(TblClusters[Cluster],$I190,TblClusters[Plateforme],"IKS")=0),"Cluster IKS inconnu",IF(AND(OR($G190="À migrer",$G190="Migré"),COUNTIFS(TblClusters[Cluster],$J190,TblClusters[Plateforme],"ROKS")=0),"Cluster ROKS inconnu",IF(AND(OR($G190="À migrer",$G190="À décommissionner"),COUNTIFS(TblClusters[Cluster],$I190,TblClusters[Environnement],$E190)=0),"Environnement ≠ cluster IKS",IF(AND(OR($G190="À migrer",$G190="Migré"),COUNTIFS(TblClusters[Cluster],$J190,TblClusters[Environnement],$E190)=0),"Environnement ≠ cluster ROKS",IF(AND($G190="À migrer",OR($P190&gt;$Q190,$Q190&gt;$R190)),"Dates incohérentes (prov ≤ bascule ≤ libération)",IF(AND(OR($G190="À migrer",$G190="À décommissionner"),OR(N($N190)&gt;SUMIFS(TblClusters[CPU initial (vCPU)],TblClusters[Cluster],$I190),N($O190)&gt;SUMIFS(TblClusters[RAM initiale (Go)],TblClusters[Cluster],$I190))),"Libération &gt; capacité du cluster source",IF(OR(AND($V190&lt;&gt;"",$V190&lt;p_debut),AND($W190&lt;&gt;"",$W190&gt;p_fin)),"Hors horizon (info)",IF(AND($G190="À migrer",$E190="PRD",COUNTIFS(TblApplications[ID],$C190,TblApplications[Environnement],"NPRD",TblApplications[Action],"À migrer")&gt;0,$V190&lt;_xlfn.MINIFS(TblApplications[Mois prov (calc)],TblApplications[ID],$C190,TblApplications[Environnement],"NPRD")),"PRD avant NPRD (info)","OK"))))))))))))))))))))</f>
        <v/>
      </c>
      <c r="AC190" s="76"/>
      <c r="AD190" s="76"/>
      <c r="AE190" s="22" t="str">
        <f aca="false">IF(OR($C190="",NOT(OR($G190="À migrer",$G190="À décommissionner")),NOT(ISNUMBER($N190)),NOT(ISNUMBER($O190)),$W190=""),"",($N190+p_poidsram*$O190)*SUMIFS(TblCalculs[Coût par unité],TblCalculs[Cluster],$I190,TblCalculs[Mois],"&lt;"&amp;$W190))</f>
        <v/>
      </c>
      <c r="AF190" s="22" t="str">
        <f aca="false">IF($C190="","",IF(AND($G190="À migrer",$H190="Non",$T190&lt;&gt;"",$V190&lt;&gt;""),($T190+p_poidsram*$U190)*SUMIFS(TblCalculs[Coût par unité],TblCalculs[Cluster],$J190,TblCalculs[Mois],"&gt;="&amp;$V190),IF(AND($G190="Migré",$T190&lt;&gt;""),($T190+p_poidsram*$U190)*SUMIFS(TblCalculs[Coût par unité],TblCalculs[Cluster],$J190),"")))</f>
        <v/>
      </c>
      <c r="AG190" s="22" t="str">
        <f aca="false">IF($C190="","",N($AE190)+N($AF190))</f>
        <v/>
      </c>
      <c r="AH190" s="21" t="str">
        <f aca="false">IF(OR($C190="",$G190="Décommissionné",COUNTIFS($E190,av_envc,$A190,av_domc,$B190,av_tric)=0),"",COUNTIFS($C$6:$C190,"&lt;&gt;",$G$6:$G190,"&lt;&gt;Décommissionné",$E$6:$E190,av_envc,$A$6:$A190,av_domc,$B$6:$B190,av_tric))</f>
        <v/>
      </c>
      <c r="AI190" s="21" t="str">
        <f aca="false">IF($C190="","",IF(AND(OR($G190="À migrer",$G190="À décommissionner"),$W190&lt;&gt;"",$W190&gt;ex_mois),1,0))</f>
        <v/>
      </c>
      <c r="AJ190" s="21" t="str">
        <f aca="false">IF(OR($C190="",$AI190&lt;&gt;1,COUNTIFS($E190,ex_envc,$A190,ex_domc,$B190,ex_tric)=0),"",COUNTIFS($AI$6:$AI190,1,$E$6:$E190,ex_envc,$A$6:$A190,ex_domc,$B$6:$B190,ex_tric))</f>
        <v/>
      </c>
    </row>
    <row r="191" customFormat="false" ht="15" hidden="false" customHeight="false" outlineLevel="0" collapsed="false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5"/>
      <c r="Q191" s="75"/>
      <c r="R191" s="75"/>
      <c r="S191" s="74"/>
      <c r="T191" s="21" t="str">
        <f aca="false">IF(OR($C191="",NOT(OR($G191="À migrer",$G191="Migré")),NOT(ISNUMBER($K191))),"",ROUNDUP($K191*(1+IF($AC191="",p_margeCPU,$AC191)),0))</f>
        <v/>
      </c>
      <c r="U191" s="21" t="str">
        <f aca="false">IF(OR($C191="",NOT(OR($G191="À migrer",$G191="Migré")),NOT(ISNUMBER($L191))),"",ROUNDUP($L191*(1+IF($AD191="",p_margeRAM,$AD191)),0))</f>
        <v/>
      </c>
      <c r="V191" s="39" t="str">
        <f aca="false">IF(OR(NOT($G191="À migrer"),$P191=""),"",IFERROR(DATE(YEAR($P191),MONTH($P191),1),""))</f>
        <v/>
      </c>
      <c r="W191" s="39" t="str">
        <f aca="false">IF(OR(NOT(OR($G191="À migrer",$G191="À décommissionner")),$R191=""),"",IFERROR(DATE(YEAR($R191),MONTH($R191),1),""))</f>
        <v/>
      </c>
      <c r="X191" s="21" t="str">
        <f aca="false">IF(OR($V191="",$W191=""),"",MAX(0,(YEAR($W191)-YEAR($V191))*12+MONTH($W191)-MONTH($V191)))</f>
        <v/>
      </c>
      <c r="Y191" s="21" t="str">
        <f aca="false">IF($C191="","",COUNTIF(TblApplications[ID],$C191))</f>
        <v/>
      </c>
      <c r="Z191" s="39" t="str">
        <f aca="false">IF($C191="","",IFERROR(1/(1/_xlfn.MINIFS(TblApplications[Mois prov (calc)],TblApplications[ID],$C191)),""))</f>
        <v/>
      </c>
      <c r="AA191" s="39" t="str">
        <f aca="false">IF($C191="","",IFERROR(1/(1/_xlfn.MAXIFS(TblApplications[Mois lib (calc)],TblApplications[ID],$C191)),""))</f>
        <v/>
      </c>
      <c r="AB191" s="21" t="str">
        <f aca="false">IF($C191="","",IF(OR(OR($A191="",$B191="",$D191="",$E191="",$F191="",$G191=""),AND($G191="À migrer",OR($H191="",$I191="",$J191="",$K191="",$L191="",$N191="",$O191="",$P191="",$Q191="",$R191="")),AND($G191="Migré",OR($J191="",$K191="",$L191="")),AND($G191="À décommissionner",OR($I191="",$N191="",$O191="",$R191=""))),"Données manquantes (selon l’action)",IF(AND($G191&lt;&gt;"Migré",$G191&lt;&gt;"À migrer",$G191&lt;&gt;"À décommissionner",$G191&lt;&gt;"Décommissionné"),"Action invalide",IF(COUNTIF(TblDomaines[Domaine],$A191)=0,"Domaine inconnu (référentiel)",IF(COUNTIFS(TblTribes[Tribe],$B191,TblTribes[Domaine de la tribe],$A191)=0,"Tribe inconnue ou hors domaine",IF(AND($G191="À migrer",$H191&lt;&gt;"Oui",$H191&lt;&gt;"Non"),"Valeur Oui/Non invalide (Déjà incluse ROKS)",IF(AND($E191&lt;&gt;"PRD",$E191&lt;&gt;"NPRD"),"Environnement invalide",IF(COUNTIFS(TblApplications[ID],$C191,TblApplications[Environnement],$E191,TblApplications[Couloir],$F191)&gt;1,"Déploiement en doublon (ID + env + couloir)",IF(OR(AND($K191&lt;&gt;"",NOT(ISNUMBER($K191))),AND($L191&lt;&gt;"",NOT(ISNUMBER($L191))),AND($N191&lt;&gt;"",NOT(ISNUMBER($N191))),AND($O191&lt;&gt;"",NOT(ISNUMBER($O191)))),"Ressource non numérique",IF(MIN(N($K191),N($L191),N($N191),N($O191))&lt;0,"Ressource négative",IF(OR(AND($AC191&lt;&gt;"",OR(NOT(ISNUMBER($AC191)),$AC191&lt;0,$AC191&gt;1)),AND($AD191&lt;&gt;"",OR(NOT(ISNUMBER($AD191)),$AD191&lt;0,$AD191&gt;1))),"Marge spécifique invalide (0–100 %)",IF(OR(AND($P191&lt;&gt;"",NOT(ISNUMBER($P191))),AND($Q191&lt;&gt;"",NOT(ISNUMBER($Q191))),AND($R191&lt;&gt;"",NOT(ISNUMBER($R191)))),"Mois invalide",IF(AND(OR($G191="À migrer",$G191="À décommissionner"),COUNTIFS(TblClusters[Cluster],$I191,TblClusters[Plateforme],"IKS")=0),"Cluster IKS inconnu",IF(AND(OR($G191="À migrer",$G191="Migré"),COUNTIFS(TblClusters[Cluster],$J191,TblClusters[Plateforme],"ROKS")=0),"Cluster ROKS inconnu",IF(AND(OR($G191="À migrer",$G191="À décommissionner"),COUNTIFS(TblClusters[Cluster],$I191,TblClusters[Environnement],$E191)=0),"Environnement ≠ cluster IKS",IF(AND(OR($G191="À migrer",$G191="Migré"),COUNTIFS(TblClusters[Cluster],$J191,TblClusters[Environnement],$E191)=0),"Environnement ≠ cluster ROKS",IF(AND($G191="À migrer",OR($P191&gt;$Q191,$Q191&gt;$R191)),"Dates incohérentes (prov ≤ bascule ≤ libération)",IF(AND(OR($G191="À migrer",$G191="À décommissionner"),OR(N($N191)&gt;SUMIFS(TblClusters[CPU initial (vCPU)],TblClusters[Cluster],$I191),N($O191)&gt;SUMIFS(TblClusters[RAM initiale (Go)],TblClusters[Cluster],$I191))),"Libération &gt; capacité du cluster source",IF(OR(AND($V191&lt;&gt;"",$V191&lt;p_debut),AND($W191&lt;&gt;"",$W191&gt;p_fin)),"Hors horizon (info)",IF(AND($G191="À migrer",$E191="PRD",COUNTIFS(TblApplications[ID],$C191,TblApplications[Environnement],"NPRD",TblApplications[Action],"À migrer")&gt;0,$V191&lt;_xlfn.MINIFS(TblApplications[Mois prov (calc)],TblApplications[ID],$C191,TblApplications[Environnement],"NPRD")),"PRD avant NPRD (info)","OK"))))))))))))))))))))</f>
        <v/>
      </c>
      <c r="AC191" s="76"/>
      <c r="AD191" s="76"/>
      <c r="AE191" s="22" t="str">
        <f aca="false">IF(OR($C191="",NOT(OR($G191="À migrer",$G191="À décommissionner")),NOT(ISNUMBER($N191)),NOT(ISNUMBER($O191)),$W191=""),"",($N191+p_poidsram*$O191)*SUMIFS(TblCalculs[Coût par unité],TblCalculs[Cluster],$I191,TblCalculs[Mois],"&lt;"&amp;$W191))</f>
        <v/>
      </c>
      <c r="AF191" s="22" t="str">
        <f aca="false">IF($C191="","",IF(AND($G191="À migrer",$H191="Non",$T191&lt;&gt;"",$V191&lt;&gt;""),($T191+p_poidsram*$U191)*SUMIFS(TblCalculs[Coût par unité],TblCalculs[Cluster],$J191,TblCalculs[Mois],"&gt;="&amp;$V191),IF(AND($G191="Migré",$T191&lt;&gt;""),($T191+p_poidsram*$U191)*SUMIFS(TblCalculs[Coût par unité],TblCalculs[Cluster],$J191),"")))</f>
        <v/>
      </c>
      <c r="AG191" s="22" t="str">
        <f aca="false">IF($C191="","",N($AE191)+N($AF191))</f>
        <v/>
      </c>
      <c r="AH191" s="21" t="str">
        <f aca="false">IF(OR($C191="",$G191="Décommissionné",COUNTIFS($E191,av_envc,$A191,av_domc,$B191,av_tric)=0),"",COUNTIFS($C$6:$C191,"&lt;&gt;",$G$6:$G191,"&lt;&gt;Décommissionné",$E$6:$E191,av_envc,$A$6:$A191,av_domc,$B$6:$B191,av_tric))</f>
        <v/>
      </c>
      <c r="AI191" s="21" t="str">
        <f aca="false">IF($C191="","",IF(AND(OR($G191="À migrer",$G191="À décommissionner"),$W191&lt;&gt;"",$W191&gt;ex_mois),1,0))</f>
        <v/>
      </c>
      <c r="AJ191" s="21" t="str">
        <f aca="false">IF(OR($C191="",$AI191&lt;&gt;1,COUNTIFS($E191,ex_envc,$A191,ex_domc,$B191,ex_tric)=0),"",COUNTIFS($AI$6:$AI191,1,$E$6:$E191,ex_envc,$A$6:$A191,ex_domc,$B$6:$B191,ex_tric))</f>
        <v/>
      </c>
    </row>
    <row r="192" customFormat="false" ht="15" hidden="false" customHeight="false" outlineLevel="0" collapsed="false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5"/>
      <c r="Q192" s="75"/>
      <c r="R192" s="75"/>
      <c r="S192" s="74"/>
      <c r="T192" s="21" t="str">
        <f aca="false">IF(OR($C192="",NOT(OR($G192="À migrer",$G192="Migré")),NOT(ISNUMBER($K192))),"",ROUNDUP($K192*(1+IF($AC192="",p_margeCPU,$AC192)),0))</f>
        <v/>
      </c>
      <c r="U192" s="21" t="str">
        <f aca="false">IF(OR($C192="",NOT(OR($G192="À migrer",$G192="Migré")),NOT(ISNUMBER($L192))),"",ROUNDUP($L192*(1+IF($AD192="",p_margeRAM,$AD192)),0))</f>
        <v/>
      </c>
      <c r="V192" s="39" t="str">
        <f aca="false">IF(OR(NOT($G192="À migrer"),$P192=""),"",IFERROR(DATE(YEAR($P192),MONTH($P192),1),""))</f>
        <v/>
      </c>
      <c r="W192" s="39" t="str">
        <f aca="false">IF(OR(NOT(OR($G192="À migrer",$G192="À décommissionner")),$R192=""),"",IFERROR(DATE(YEAR($R192),MONTH($R192),1),""))</f>
        <v/>
      </c>
      <c r="X192" s="21" t="str">
        <f aca="false">IF(OR($V192="",$W192=""),"",MAX(0,(YEAR($W192)-YEAR($V192))*12+MONTH($W192)-MONTH($V192)))</f>
        <v/>
      </c>
      <c r="Y192" s="21" t="str">
        <f aca="false">IF($C192="","",COUNTIF(TblApplications[ID],$C192))</f>
        <v/>
      </c>
      <c r="Z192" s="39" t="str">
        <f aca="false">IF($C192="","",IFERROR(1/(1/_xlfn.MINIFS(TblApplications[Mois prov (calc)],TblApplications[ID],$C192)),""))</f>
        <v/>
      </c>
      <c r="AA192" s="39" t="str">
        <f aca="false">IF($C192="","",IFERROR(1/(1/_xlfn.MAXIFS(TblApplications[Mois lib (calc)],TblApplications[ID],$C192)),""))</f>
        <v/>
      </c>
      <c r="AB192" s="21" t="str">
        <f aca="false">IF($C192="","",IF(OR(OR($A192="",$B192="",$D192="",$E192="",$F192="",$G192=""),AND($G192="À migrer",OR($H192="",$I192="",$J192="",$K192="",$L192="",$N192="",$O192="",$P192="",$Q192="",$R192="")),AND($G192="Migré",OR($J192="",$K192="",$L192="")),AND($G192="À décommissionner",OR($I192="",$N192="",$O192="",$R192=""))),"Données manquantes (selon l’action)",IF(AND($G192&lt;&gt;"Migré",$G192&lt;&gt;"À migrer",$G192&lt;&gt;"À décommissionner",$G192&lt;&gt;"Décommissionné"),"Action invalide",IF(COUNTIF(TblDomaines[Domaine],$A192)=0,"Domaine inconnu (référentiel)",IF(COUNTIFS(TblTribes[Tribe],$B192,TblTribes[Domaine de la tribe],$A192)=0,"Tribe inconnue ou hors domaine",IF(AND($G192="À migrer",$H192&lt;&gt;"Oui",$H192&lt;&gt;"Non"),"Valeur Oui/Non invalide (Déjà incluse ROKS)",IF(AND($E192&lt;&gt;"PRD",$E192&lt;&gt;"NPRD"),"Environnement invalide",IF(COUNTIFS(TblApplications[ID],$C192,TblApplications[Environnement],$E192,TblApplications[Couloir],$F192)&gt;1,"Déploiement en doublon (ID + env + couloir)",IF(OR(AND($K192&lt;&gt;"",NOT(ISNUMBER($K192))),AND($L192&lt;&gt;"",NOT(ISNUMBER($L192))),AND($N192&lt;&gt;"",NOT(ISNUMBER($N192))),AND($O192&lt;&gt;"",NOT(ISNUMBER($O192)))),"Ressource non numérique",IF(MIN(N($K192),N($L192),N($N192),N($O192))&lt;0,"Ressource négative",IF(OR(AND($AC192&lt;&gt;"",OR(NOT(ISNUMBER($AC192)),$AC192&lt;0,$AC192&gt;1)),AND($AD192&lt;&gt;"",OR(NOT(ISNUMBER($AD192)),$AD192&lt;0,$AD192&gt;1))),"Marge spécifique invalide (0–100 %)",IF(OR(AND($P192&lt;&gt;"",NOT(ISNUMBER($P192))),AND($Q192&lt;&gt;"",NOT(ISNUMBER($Q192))),AND($R192&lt;&gt;"",NOT(ISNUMBER($R192)))),"Mois invalide",IF(AND(OR($G192="À migrer",$G192="À décommissionner"),COUNTIFS(TblClusters[Cluster],$I192,TblClusters[Plateforme],"IKS")=0),"Cluster IKS inconnu",IF(AND(OR($G192="À migrer",$G192="Migré"),COUNTIFS(TblClusters[Cluster],$J192,TblClusters[Plateforme],"ROKS")=0),"Cluster ROKS inconnu",IF(AND(OR($G192="À migrer",$G192="À décommissionner"),COUNTIFS(TblClusters[Cluster],$I192,TblClusters[Environnement],$E192)=0),"Environnement ≠ cluster IKS",IF(AND(OR($G192="À migrer",$G192="Migré"),COUNTIFS(TblClusters[Cluster],$J192,TblClusters[Environnement],$E192)=0),"Environnement ≠ cluster ROKS",IF(AND($G192="À migrer",OR($P192&gt;$Q192,$Q192&gt;$R192)),"Dates incohérentes (prov ≤ bascule ≤ libération)",IF(AND(OR($G192="À migrer",$G192="À décommissionner"),OR(N($N192)&gt;SUMIFS(TblClusters[CPU initial (vCPU)],TblClusters[Cluster],$I192),N($O192)&gt;SUMIFS(TblClusters[RAM initiale (Go)],TblClusters[Cluster],$I192))),"Libération &gt; capacité du cluster source",IF(OR(AND($V192&lt;&gt;"",$V192&lt;p_debut),AND($W192&lt;&gt;"",$W192&gt;p_fin)),"Hors horizon (info)",IF(AND($G192="À migrer",$E192="PRD",COUNTIFS(TblApplications[ID],$C192,TblApplications[Environnement],"NPRD",TblApplications[Action],"À migrer")&gt;0,$V192&lt;_xlfn.MINIFS(TblApplications[Mois prov (calc)],TblApplications[ID],$C192,TblApplications[Environnement],"NPRD")),"PRD avant NPRD (info)","OK"))))))))))))))))))))</f>
        <v/>
      </c>
      <c r="AC192" s="76"/>
      <c r="AD192" s="76"/>
      <c r="AE192" s="22" t="str">
        <f aca="false">IF(OR($C192="",NOT(OR($G192="À migrer",$G192="À décommissionner")),NOT(ISNUMBER($N192)),NOT(ISNUMBER($O192)),$W192=""),"",($N192+p_poidsram*$O192)*SUMIFS(TblCalculs[Coût par unité],TblCalculs[Cluster],$I192,TblCalculs[Mois],"&lt;"&amp;$W192))</f>
        <v/>
      </c>
      <c r="AF192" s="22" t="str">
        <f aca="false">IF($C192="","",IF(AND($G192="À migrer",$H192="Non",$T192&lt;&gt;"",$V192&lt;&gt;""),($T192+p_poidsram*$U192)*SUMIFS(TblCalculs[Coût par unité],TblCalculs[Cluster],$J192,TblCalculs[Mois],"&gt;="&amp;$V192),IF(AND($G192="Migré",$T192&lt;&gt;""),($T192+p_poidsram*$U192)*SUMIFS(TblCalculs[Coût par unité],TblCalculs[Cluster],$J192),"")))</f>
        <v/>
      </c>
      <c r="AG192" s="22" t="str">
        <f aca="false">IF($C192="","",N($AE192)+N($AF192))</f>
        <v/>
      </c>
      <c r="AH192" s="21" t="str">
        <f aca="false">IF(OR($C192="",$G192="Décommissionné",COUNTIFS($E192,av_envc,$A192,av_domc,$B192,av_tric)=0),"",COUNTIFS($C$6:$C192,"&lt;&gt;",$G$6:$G192,"&lt;&gt;Décommissionné",$E$6:$E192,av_envc,$A$6:$A192,av_domc,$B$6:$B192,av_tric))</f>
        <v/>
      </c>
      <c r="AI192" s="21" t="str">
        <f aca="false">IF($C192="","",IF(AND(OR($G192="À migrer",$G192="À décommissionner"),$W192&lt;&gt;"",$W192&gt;ex_mois),1,0))</f>
        <v/>
      </c>
      <c r="AJ192" s="21" t="str">
        <f aca="false">IF(OR($C192="",$AI192&lt;&gt;1,COUNTIFS($E192,ex_envc,$A192,ex_domc,$B192,ex_tric)=0),"",COUNTIFS($AI$6:$AI192,1,$E$6:$E192,ex_envc,$A$6:$A192,ex_domc,$B$6:$B192,ex_tric))</f>
        <v/>
      </c>
    </row>
    <row r="193" customFormat="false" ht="15" hidden="false" customHeight="false" outlineLevel="0" collapsed="false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5"/>
      <c r="Q193" s="75"/>
      <c r="R193" s="75"/>
      <c r="S193" s="74"/>
      <c r="T193" s="21" t="str">
        <f aca="false">IF(OR($C193="",NOT(OR($G193="À migrer",$G193="Migré")),NOT(ISNUMBER($K193))),"",ROUNDUP($K193*(1+IF($AC193="",p_margeCPU,$AC193)),0))</f>
        <v/>
      </c>
      <c r="U193" s="21" t="str">
        <f aca="false">IF(OR($C193="",NOT(OR($G193="À migrer",$G193="Migré")),NOT(ISNUMBER($L193))),"",ROUNDUP($L193*(1+IF($AD193="",p_margeRAM,$AD193)),0))</f>
        <v/>
      </c>
      <c r="V193" s="39" t="str">
        <f aca="false">IF(OR(NOT($G193="À migrer"),$P193=""),"",IFERROR(DATE(YEAR($P193),MONTH($P193),1),""))</f>
        <v/>
      </c>
      <c r="W193" s="39" t="str">
        <f aca="false">IF(OR(NOT(OR($G193="À migrer",$G193="À décommissionner")),$R193=""),"",IFERROR(DATE(YEAR($R193),MONTH($R193),1),""))</f>
        <v/>
      </c>
      <c r="X193" s="21" t="str">
        <f aca="false">IF(OR($V193="",$W193=""),"",MAX(0,(YEAR($W193)-YEAR($V193))*12+MONTH($W193)-MONTH($V193)))</f>
        <v/>
      </c>
      <c r="Y193" s="21" t="str">
        <f aca="false">IF($C193="","",COUNTIF(TblApplications[ID],$C193))</f>
        <v/>
      </c>
      <c r="Z193" s="39" t="str">
        <f aca="false">IF($C193="","",IFERROR(1/(1/_xlfn.MINIFS(TblApplications[Mois prov (calc)],TblApplications[ID],$C193)),""))</f>
        <v/>
      </c>
      <c r="AA193" s="39" t="str">
        <f aca="false">IF($C193="","",IFERROR(1/(1/_xlfn.MAXIFS(TblApplications[Mois lib (calc)],TblApplications[ID],$C193)),""))</f>
        <v/>
      </c>
      <c r="AB193" s="21" t="str">
        <f aca="false">IF($C193="","",IF(OR(OR($A193="",$B193="",$D193="",$E193="",$F193="",$G193=""),AND($G193="À migrer",OR($H193="",$I193="",$J193="",$K193="",$L193="",$N193="",$O193="",$P193="",$Q193="",$R193="")),AND($G193="Migré",OR($J193="",$K193="",$L193="")),AND($G193="À décommissionner",OR($I193="",$N193="",$O193="",$R193=""))),"Données manquantes (selon l’action)",IF(AND($G193&lt;&gt;"Migré",$G193&lt;&gt;"À migrer",$G193&lt;&gt;"À décommissionner",$G193&lt;&gt;"Décommissionné"),"Action invalide",IF(COUNTIF(TblDomaines[Domaine],$A193)=0,"Domaine inconnu (référentiel)",IF(COUNTIFS(TblTribes[Tribe],$B193,TblTribes[Domaine de la tribe],$A193)=0,"Tribe inconnue ou hors domaine",IF(AND($G193="À migrer",$H193&lt;&gt;"Oui",$H193&lt;&gt;"Non"),"Valeur Oui/Non invalide (Déjà incluse ROKS)",IF(AND($E193&lt;&gt;"PRD",$E193&lt;&gt;"NPRD"),"Environnement invalide",IF(COUNTIFS(TblApplications[ID],$C193,TblApplications[Environnement],$E193,TblApplications[Couloir],$F193)&gt;1,"Déploiement en doublon (ID + env + couloir)",IF(OR(AND($K193&lt;&gt;"",NOT(ISNUMBER($K193))),AND($L193&lt;&gt;"",NOT(ISNUMBER($L193))),AND($N193&lt;&gt;"",NOT(ISNUMBER($N193))),AND($O193&lt;&gt;"",NOT(ISNUMBER($O193)))),"Ressource non numérique",IF(MIN(N($K193),N($L193),N($N193),N($O193))&lt;0,"Ressource négative",IF(OR(AND($AC193&lt;&gt;"",OR(NOT(ISNUMBER($AC193)),$AC193&lt;0,$AC193&gt;1)),AND($AD193&lt;&gt;"",OR(NOT(ISNUMBER($AD193)),$AD193&lt;0,$AD193&gt;1))),"Marge spécifique invalide (0–100 %)",IF(OR(AND($P193&lt;&gt;"",NOT(ISNUMBER($P193))),AND($Q193&lt;&gt;"",NOT(ISNUMBER($Q193))),AND($R193&lt;&gt;"",NOT(ISNUMBER($R193)))),"Mois invalide",IF(AND(OR($G193="À migrer",$G193="À décommissionner"),COUNTIFS(TblClusters[Cluster],$I193,TblClusters[Plateforme],"IKS")=0),"Cluster IKS inconnu",IF(AND(OR($G193="À migrer",$G193="Migré"),COUNTIFS(TblClusters[Cluster],$J193,TblClusters[Plateforme],"ROKS")=0),"Cluster ROKS inconnu",IF(AND(OR($G193="À migrer",$G193="À décommissionner"),COUNTIFS(TblClusters[Cluster],$I193,TblClusters[Environnement],$E193)=0),"Environnement ≠ cluster IKS",IF(AND(OR($G193="À migrer",$G193="Migré"),COUNTIFS(TblClusters[Cluster],$J193,TblClusters[Environnement],$E193)=0),"Environnement ≠ cluster ROKS",IF(AND($G193="À migrer",OR($P193&gt;$Q193,$Q193&gt;$R193)),"Dates incohérentes (prov ≤ bascule ≤ libération)",IF(AND(OR($G193="À migrer",$G193="À décommissionner"),OR(N($N193)&gt;SUMIFS(TblClusters[CPU initial (vCPU)],TblClusters[Cluster],$I193),N($O193)&gt;SUMIFS(TblClusters[RAM initiale (Go)],TblClusters[Cluster],$I193))),"Libération &gt; capacité du cluster source",IF(OR(AND($V193&lt;&gt;"",$V193&lt;p_debut),AND($W193&lt;&gt;"",$W193&gt;p_fin)),"Hors horizon (info)",IF(AND($G193="À migrer",$E193="PRD",COUNTIFS(TblApplications[ID],$C193,TblApplications[Environnement],"NPRD",TblApplications[Action],"À migrer")&gt;0,$V193&lt;_xlfn.MINIFS(TblApplications[Mois prov (calc)],TblApplications[ID],$C193,TblApplications[Environnement],"NPRD")),"PRD avant NPRD (info)","OK"))))))))))))))))))))</f>
        <v/>
      </c>
      <c r="AC193" s="76"/>
      <c r="AD193" s="76"/>
      <c r="AE193" s="22" t="str">
        <f aca="false">IF(OR($C193="",NOT(OR($G193="À migrer",$G193="À décommissionner")),NOT(ISNUMBER($N193)),NOT(ISNUMBER($O193)),$W193=""),"",($N193+p_poidsram*$O193)*SUMIFS(TblCalculs[Coût par unité],TblCalculs[Cluster],$I193,TblCalculs[Mois],"&lt;"&amp;$W193))</f>
        <v/>
      </c>
      <c r="AF193" s="22" t="str">
        <f aca="false">IF($C193="","",IF(AND($G193="À migrer",$H193="Non",$T193&lt;&gt;"",$V193&lt;&gt;""),($T193+p_poidsram*$U193)*SUMIFS(TblCalculs[Coût par unité],TblCalculs[Cluster],$J193,TblCalculs[Mois],"&gt;="&amp;$V193),IF(AND($G193="Migré",$T193&lt;&gt;""),($T193+p_poidsram*$U193)*SUMIFS(TblCalculs[Coût par unité],TblCalculs[Cluster],$J193),"")))</f>
        <v/>
      </c>
      <c r="AG193" s="22" t="str">
        <f aca="false">IF($C193="","",N($AE193)+N($AF193))</f>
        <v/>
      </c>
      <c r="AH193" s="21" t="str">
        <f aca="false">IF(OR($C193="",$G193="Décommissionné",COUNTIFS($E193,av_envc,$A193,av_domc,$B193,av_tric)=0),"",COUNTIFS($C$6:$C193,"&lt;&gt;",$G$6:$G193,"&lt;&gt;Décommissionné",$E$6:$E193,av_envc,$A$6:$A193,av_domc,$B$6:$B193,av_tric))</f>
        <v/>
      </c>
      <c r="AI193" s="21" t="str">
        <f aca="false">IF($C193="","",IF(AND(OR($G193="À migrer",$G193="À décommissionner"),$W193&lt;&gt;"",$W193&gt;ex_mois),1,0))</f>
        <v/>
      </c>
      <c r="AJ193" s="21" t="str">
        <f aca="false">IF(OR($C193="",$AI193&lt;&gt;1,COUNTIFS($E193,ex_envc,$A193,ex_domc,$B193,ex_tric)=0),"",COUNTIFS($AI$6:$AI193,1,$E$6:$E193,ex_envc,$A$6:$A193,ex_domc,$B$6:$B193,ex_tric))</f>
        <v/>
      </c>
    </row>
    <row r="194" customFormat="false" ht="15" hidden="false" customHeight="false" outlineLevel="0" collapsed="false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5"/>
      <c r="Q194" s="75"/>
      <c r="R194" s="75"/>
      <c r="S194" s="74"/>
      <c r="T194" s="21" t="str">
        <f aca="false">IF(OR($C194="",NOT(OR($G194="À migrer",$G194="Migré")),NOT(ISNUMBER($K194))),"",ROUNDUP($K194*(1+IF($AC194="",p_margeCPU,$AC194)),0))</f>
        <v/>
      </c>
      <c r="U194" s="21" t="str">
        <f aca="false">IF(OR($C194="",NOT(OR($G194="À migrer",$G194="Migré")),NOT(ISNUMBER($L194))),"",ROUNDUP($L194*(1+IF($AD194="",p_margeRAM,$AD194)),0))</f>
        <v/>
      </c>
      <c r="V194" s="39" t="str">
        <f aca="false">IF(OR(NOT($G194="À migrer"),$P194=""),"",IFERROR(DATE(YEAR($P194),MONTH($P194),1),""))</f>
        <v/>
      </c>
      <c r="W194" s="39" t="str">
        <f aca="false">IF(OR(NOT(OR($G194="À migrer",$G194="À décommissionner")),$R194=""),"",IFERROR(DATE(YEAR($R194),MONTH($R194),1),""))</f>
        <v/>
      </c>
      <c r="X194" s="21" t="str">
        <f aca="false">IF(OR($V194="",$W194=""),"",MAX(0,(YEAR($W194)-YEAR($V194))*12+MONTH($W194)-MONTH($V194)))</f>
        <v/>
      </c>
      <c r="Y194" s="21" t="str">
        <f aca="false">IF($C194="","",COUNTIF(TblApplications[ID],$C194))</f>
        <v/>
      </c>
      <c r="Z194" s="39" t="str">
        <f aca="false">IF($C194="","",IFERROR(1/(1/_xlfn.MINIFS(TblApplications[Mois prov (calc)],TblApplications[ID],$C194)),""))</f>
        <v/>
      </c>
      <c r="AA194" s="39" t="str">
        <f aca="false">IF($C194="","",IFERROR(1/(1/_xlfn.MAXIFS(TblApplications[Mois lib (calc)],TblApplications[ID],$C194)),""))</f>
        <v/>
      </c>
      <c r="AB194" s="21" t="str">
        <f aca="false">IF($C194="","",IF(OR(OR($A194="",$B194="",$D194="",$E194="",$F194="",$G194=""),AND($G194="À migrer",OR($H194="",$I194="",$J194="",$K194="",$L194="",$N194="",$O194="",$P194="",$Q194="",$R194="")),AND($G194="Migré",OR($J194="",$K194="",$L194="")),AND($G194="À décommissionner",OR($I194="",$N194="",$O194="",$R194=""))),"Données manquantes (selon l’action)",IF(AND($G194&lt;&gt;"Migré",$G194&lt;&gt;"À migrer",$G194&lt;&gt;"À décommissionner",$G194&lt;&gt;"Décommissionné"),"Action invalide",IF(COUNTIF(TblDomaines[Domaine],$A194)=0,"Domaine inconnu (référentiel)",IF(COUNTIFS(TblTribes[Tribe],$B194,TblTribes[Domaine de la tribe],$A194)=0,"Tribe inconnue ou hors domaine",IF(AND($G194="À migrer",$H194&lt;&gt;"Oui",$H194&lt;&gt;"Non"),"Valeur Oui/Non invalide (Déjà incluse ROKS)",IF(AND($E194&lt;&gt;"PRD",$E194&lt;&gt;"NPRD"),"Environnement invalide",IF(COUNTIFS(TblApplications[ID],$C194,TblApplications[Environnement],$E194,TblApplications[Couloir],$F194)&gt;1,"Déploiement en doublon (ID + env + couloir)",IF(OR(AND($K194&lt;&gt;"",NOT(ISNUMBER($K194))),AND($L194&lt;&gt;"",NOT(ISNUMBER($L194))),AND($N194&lt;&gt;"",NOT(ISNUMBER($N194))),AND($O194&lt;&gt;"",NOT(ISNUMBER($O194)))),"Ressource non numérique",IF(MIN(N($K194),N($L194),N($N194),N($O194))&lt;0,"Ressource négative",IF(OR(AND($AC194&lt;&gt;"",OR(NOT(ISNUMBER($AC194)),$AC194&lt;0,$AC194&gt;1)),AND($AD194&lt;&gt;"",OR(NOT(ISNUMBER($AD194)),$AD194&lt;0,$AD194&gt;1))),"Marge spécifique invalide (0–100 %)",IF(OR(AND($P194&lt;&gt;"",NOT(ISNUMBER($P194))),AND($Q194&lt;&gt;"",NOT(ISNUMBER($Q194))),AND($R194&lt;&gt;"",NOT(ISNUMBER($R194)))),"Mois invalide",IF(AND(OR($G194="À migrer",$G194="À décommissionner"),COUNTIFS(TblClusters[Cluster],$I194,TblClusters[Plateforme],"IKS")=0),"Cluster IKS inconnu",IF(AND(OR($G194="À migrer",$G194="Migré"),COUNTIFS(TblClusters[Cluster],$J194,TblClusters[Plateforme],"ROKS")=0),"Cluster ROKS inconnu",IF(AND(OR($G194="À migrer",$G194="À décommissionner"),COUNTIFS(TblClusters[Cluster],$I194,TblClusters[Environnement],$E194)=0),"Environnement ≠ cluster IKS",IF(AND(OR($G194="À migrer",$G194="Migré"),COUNTIFS(TblClusters[Cluster],$J194,TblClusters[Environnement],$E194)=0),"Environnement ≠ cluster ROKS",IF(AND($G194="À migrer",OR($P194&gt;$Q194,$Q194&gt;$R194)),"Dates incohérentes (prov ≤ bascule ≤ libération)",IF(AND(OR($G194="À migrer",$G194="À décommissionner"),OR(N($N194)&gt;SUMIFS(TblClusters[CPU initial (vCPU)],TblClusters[Cluster],$I194),N($O194)&gt;SUMIFS(TblClusters[RAM initiale (Go)],TblClusters[Cluster],$I194))),"Libération &gt; capacité du cluster source",IF(OR(AND($V194&lt;&gt;"",$V194&lt;p_debut),AND($W194&lt;&gt;"",$W194&gt;p_fin)),"Hors horizon (info)",IF(AND($G194="À migrer",$E194="PRD",COUNTIFS(TblApplications[ID],$C194,TblApplications[Environnement],"NPRD",TblApplications[Action],"À migrer")&gt;0,$V194&lt;_xlfn.MINIFS(TblApplications[Mois prov (calc)],TblApplications[ID],$C194,TblApplications[Environnement],"NPRD")),"PRD avant NPRD (info)","OK"))))))))))))))))))))</f>
        <v/>
      </c>
      <c r="AC194" s="76"/>
      <c r="AD194" s="76"/>
      <c r="AE194" s="22" t="str">
        <f aca="false">IF(OR($C194="",NOT(OR($G194="À migrer",$G194="À décommissionner")),NOT(ISNUMBER($N194)),NOT(ISNUMBER($O194)),$W194=""),"",($N194+p_poidsram*$O194)*SUMIFS(TblCalculs[Coût par unité],TblCalculs[Cluster],$I194,TblCalculs[Mois],"&lt;"&amp;$W194))</f>
        <v/>
      </c>
      <c r="AF194" s="22" t="str">
        <f aca="false">IF($C194="","",IF(AND($G194="À migrer",$H194="Non",$T194&lt;&gt;"",$V194&lt;&gt;""),($T194+p_poidsram*$U194)*SUMIFS(TblCalculs[Coût par unité],TblCalculs[Cluster],$J194,TblCalculs[Mois],"&gt;="&amp;$V194),IF(AND($G194="Migré",$T194&lt;&gt;""),($T194+p_poidsram*$U194)*SUMIFS(TblCalculs[Coût par unité],TblCalculs[Cluster],$J194),"")))</f>
        <v/>
      </c>
      <c r="AG194" s="22" t="str">
        <f aca="false">IF($C194="","",N($AE194)+N($AF194))</f>
        <v/>
      </c>
      <c r="AH194" s="21" t="str">
        <f aca="false">IF(OR($C194="",$G194="Décommissionné",COUNTIFS($E194,av_envc,$A194,av_domc,$B194,av_tric)=0),"",COUNTIFS($C$6:$C194,"&lt;&gt;",$G$6:$G194,"&lt;&gt;Décommissionné",$E$6:$E194,av_envc,$A$6:$A194,av_domc,$B$6:$B194,av_tric))</f>
        <v/>
      </c>
      <c r="AI194" s="21" t="str">
        <f aca="false">IF($C194="","",IF(AND(OR($G194="À migrer",$G194="À décommissionner"),$W194&lt;&gt;"",$W194&gt;ex_mois),1,0))</f>
        <v/>
      </c>
      <c r="AJ194" s="21" t="str">
        <f aca="false">IF(OR($C194="",$AI194&lt;&gt;1,COUNTIFS($E194,ex_envc,$A194,ex_domc,$B194,ex_tric)=0),"",COUNTIFS($AI$6:$AI194,1,$E$6:$E194,ex_envc,$A$6:$A194,ex_domc,$B$6:$B194,ex_tric))</f>
        <v/>
      </c>
    </row>
    <row r="195" customFormat="false" ht="15" hidden="false" customHeight="false" outlineLevel="0" collapsed="false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5"/>
      <c r="Q195" s="75"/>
      <c r="R195" s="75"/>
      <c r="S195" s="74"/>
      <c r="T195" s="21" t="str">
        <f aca="false">IF(OR($C195="",NOT(OR($G195="À migrer",$G195="Migré")),NOT(ISNUMBER($K195))),"",ROUNDUP($K195*(1+IF($AC195="",p_margeCPU,$AC195)),0))</f>
        <v/>
      </c>
      <c r="U195" s="21" t="str">
        <f aca="false">IF(OR($C195="",NOT(OR($G195="À migrer",$G195="Migré")),NOT(ISNUMBER($L195))),"",ROUNDUP($L195*(1+IF($AD195="",p_margeRAM,$AD195)),0))</f>
        <v/>
      </c>
      <c r="V195" s="39" t="str">
        <f aca="false">IF(OR(NOT($G195="À migrer"),$P195=""),"",IFERROR(DATE(YEAR($P195),MONTH($P195),1),""))</f>
        <v/>
      </c>
      <c r="W195" s="39" t="str">
        <f aca="false">IF(OR(NOT(OR($G195="À migrer",$G195="À décommissionner")),$R195=""),"",IFERROR(DATE(YEAR($R195),MONTH($R195),1),""))</f>
        <v/>
      </c>
      <c r="X195" s="21" t="str">
        <f aca="false">IF(OR($V195="",$W195=""),"",MAX(0,(YEAR($W195)-YEAR($V195))*12+MONTH($W195)-MONTH($V195)))</f>
        <v/>
      </c>
      <c r="Y195" s="21" t="str">
        <f aca="false">IF($C195="","",COUNTIF(TblApplications[ID],$C195))</f>
        <v/>
      </c>
      <c r="Z195" s="39" t="str">
        <f aca="false">IF($C195="","",IFERROR(1/(1/_xlfn.MINIFS(TblApplications[Mois prov (calc)],TblApplications[ID],$C195)),""))</f>
        <v/>
      </c>
      <c r="AA195" s="39" t="str">
        <f aca="false">IF($C195="","",IFERROR(1/(1/_xlfn.MAXIFS(TblApplications[Mois lib (calc)],TblApplications[ID],$C195)),""))</f>
        <v/>
      </c>
      <c r="AB195" s="21" t="str">
        <f aca="false">IF($C195="","",IF(OR(OR($A195="",$B195="",$D195="",$E195="",$F195="",$G195=""),AND($G195="À migrer",OR($H195="",$I195="",$J195="",$K195="",$L195="",$N195="",$O195="",$P195="",$Q195="",$R195="")),AND($G195="Migré",OR($J195="",$K195="",$L195="")),AND($G195="À décommissionner",OR($I195="",$N195="",$O195="",$R195=""))),"Données manquantes (selon l’action)",IF(AND($G195&lt;&gt;"Migré",$G195&lt;&gt;"À migrer",$G195&lt;&gt;"À décommissionner",$G195&lt;&gt;"Décommissionné"),"Action invalide",IF(COUNTIF(TblDomaines[Domaine],$A195)=0,"Domaine inconnu (référentiel)",IF(COUNTIFS(TblTribes[Tribe],$B195,TblTribes[Domaine de la tribe],$A195)=0,"Tribe inconnue ou hors domaine",IF(AND($G195="À migrer",$H195&lt;&gt;"Oui",$H195&lt;&gt;"Non"),"Valeur Oui/Non invalide (Déjà incluse ROKS)",IF(AND($E195&lt;&gt;"PRD",$E195&lt;&gt;"NPRD"),"Environnement invalide",IF(COUNTIFS(TblApplications[ID],$C195,TblApplications[Environnement],$E195,TblApplications[Couloir],$F195)&gt;1,"Déploiement en doublon (ID + env + couloir)",IF(OR(AND($K195&lt;&gt;"",NOT(ISNUMBER($K195))),AND($L195&lt;&gt;"",NOT(ISNUMBER($L195))),AND($N195&lt;&gt;"",NOT(ISNUMBER($N195))),AND($O195&lt;&gt;"",NOT(ISNUMBER($O195)))),"Ressource non numérique",IF(MIN(N($K195),N($L195),N($N195),N($O195))&lt;0,"Ressource négative",IF(OR(AND($AC195&lt;&gt;"",OR(NOT(ISNUMBER($AC195)),$AC195&lt;0,$AC195&gt;1)),AND($AD195&lt;&gt;"",OR(NOT(ISNUMBER($AD195)),$AD195&lt;0,$AD195&gt;1))),"Marge spécifique invalide (0–100 %)",IF(OR(AND($P195&lt;&gt;"",NOT(ISNUMBER($P195))),AND($Q195&lt;&gt;"",NOT(ISNUMBER($Q195))),AND($R195&lt;&gt;"",NOT(ISNUMBER($R195)))),"Mois invalide",IF(AND(OR($G195="À migrer",$G195="À décommissionner"),COUNTIFS(TblClusters[Cluster],$I195,TblClusters[Plateforme],"IKS")=0),"Cluster IKS inconnu",IF(AND(OR($G195="À migrer",$G195="Migré"),COUNTIFS(TblClusters[Cluster],$J195,TblClusters[Plateforme],"ROKS")=0),"Cluster ROKS inconnu",IF(AND(OR($G195="À migrer",$G195="À décommissionner"),COUNTIFS(TblClusters[Cluster],$I195,TblClusters[Environnement],$E195)=0),"Environnement ≠ cluster IKS",IF(AND(OR($G195="À migrer",$G195="Migré"),COUNTIFS(TblClusters[Cluster],$J195,TblClusters[Environnement],$E195)=0),"Environnement ≠ cluster ROKS",IF(AND($G195="À migrer",OR($P195&gt;$Q195,$Q195&gt;$R195)),"Dates incohérentes (prov ≤ bascule ≤ libération)",IF(AND(OR($G195="À migrer",$G195="À décommissionner"),OR(N($N195)&gt;SUMIFS(TblClusters[CPU initial (vCPU)],TblClusters[Cluster],$I195),N($O195)&gt;SUMIFS(TblClusters[RAM initiale (Go)],TblClusters[Cluster],$I195))),"Libération &gt; capacité du cluster source",IF(OR(AND($V195&lt;&gt;"",$V195&lt;p_debut),AND($W195&lt;&gt;"",$W195&gt;p_fin)),"Hors horizon (info)",IF(AND($G195="À migrer",$E195="PRD",COUNTIFS(TblApplications[ID],$C195,TblApplications[Environnement],"NPRD",TblApplications[Action],"À migrer")&gt;0,$V195&lt;_xlfn.MINIFS(TblApplications[Mois prov (calc)],TblApplications[ID],$C195,TblApplications[Environnement],"NPRD")),"PRD avant NPRD (info)","OK"))))))))))))))))))))</f>
        <v/>
      </c>
      <c r="AC195" s="76"/>
      <c r="AD195" s="76"/>
      <c r="AE195" s="22" t="str">
        <f aca="false">IF(OR($C195="",NOT(OR($G195="À migrer",$G195="À décommissionner")),NOT(ISNUMBER($N195)),NOT(ISNUMBER($O195)),$W195=""),"",($N195+p_poidsram*$O195)*SUMIFS(TblCalculs[Coût par unité],TblCalculs[Cluster],$I195,TblCalculs[Mois],"&lt;"&amp;$W195))</f>
        <v/>
      </c>
      <c r="AF195" s="22" t="str">
        <f aca="false">IF($C195="","",IF(AND($G195="À migrer",$H195="Non",$T195&lt;&gt;"",$V195&lt;&gt;""),($T195+p_poidsram*$U195)*SUMIFS(TblCalculs[Coût par unité],TblCalculs[Cluster],$J195,TblCalculs[Mois],"&gt;="&amp;$V195),IF(AND($G195="Migré",$T195&lt;&gt;""),($T195+p_poidsram*$U195)*SUMIFS(TblCalculs[Coût par unité],TblCalculs[Cluster],$J195),"")))</f>
        <v/>
      </c>
      <c r="AG195" s="22" t="str">
        <f aca="false">IF($C195="","",N($AE195)+N($AF195))</f>
        <v/>
      </c>
      <c r="AH195" s="21" t="str">
        <f aca="false">IF(OR($C195="",$G195="Décommissionné",COUNTIFS($E195,av_envc,$A195,av_domc,$B195,av_tric)=0),"",COUNTIFS($C$6:$C195,"&lt;&gt;",$G$6:$G195,"&lt;&gt;Décommissionné",$E$6:$E195,av_envc,$A$6:$A195,av_domc,$B$6:$B195,av_tric))</f>
        <v/>
      </c>
      <c r="AI195" s="21" t="str">
        <f aca="false">IF($C195="","",IF(AND(OR($G195="À migrer",$G195="À décommissionner"),$W195&lt;&gt;"",$W195&gt;ex_mois),1,0))</f>
        <v/>
      </c>
      <c r="AJ195" s="21" t="str">
        <f aca="false">IF(OR($C195="",$AI195&lt;&gt;1,COUNTIFS($E195,ex_envc,$A195,ex_domc,$B195,ex_tric)=0),"",COUNTIFS($AI$6:$AI195,1,$E$6:$E195,ex_envc,$A$6:$A195,ex_domc,$B$6:$B195,ex_tric))</f>
        <v/>
      </c>
    </row>
    <row r="196" customFormat="false" ht="15" hidden="false" customHeight="false" outlineLevel="0" collapsed="false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5"/>
      <c r="Q196" s="75"/>
      <c r="R196" s="75"/>
      <c r="S196" s="74"/>
      <c r="T196" s="21" t="str">
        <f aca="false">IF(OR($C196="",NOT(OR($G196="À migrer",$G196="Migré")),NOT(ISNUMBER($K196))),"",ROUNDUP($K196*(1+IF($AC196="",p_margeCPU,$AC196)),0))</f>
        <v/>
      </c>
      <c r="U196" s="21" t="str">
        <f aca="false">IF(OR($C196="",NOT(OR($G196="À migrer",$G196="Migré")),NOT(ISNUMBER($L196))),"",ROUNDUP($L196*(1+IF($AD196="",p_margeRAM,$AD196)),0))</f>
        <v/>
      </c>
      <c r="V196" s="39" t="str">
        <f aca="false">IF(OR(NOT($G196="À migrer"),$P196=""),"",IFERROR(DATE(YEAR($P196),MONTH($P196),1),""))</f>
        <v/>
      </c>
      <c r="W196" s="39" t="str">
        <f aca="false">IF(OR(NOT(OR($G196="À migrer",$G196="À décommissionner")),$R196=""),"",IFERROR(DATE(YEAR($R196),MONTH($R196),1),""))</f>
        <v/>
      </c>
      <c r="X196" s="21" t="str">
        <f aca="false">IF(OR($V196="",$W196=""),"",MAX(0,(YEAR($W196)-YEAR($V196))*12+MONTH($W196)-MONTH($V196)))</f>
        <v/>
      </c>
      <c r="Y196" s="21" t="str">
        <f aca="false">IF($C196="","",COUNTIF(TblApplications[ID],$C196))</f>
        <v/>
      </c>
      <c r="Z196" s="39" t="str">
        <f aca="false">IF($C196="","",IFERROR(1/(1/_xlfn.MINIFS(TblApplications[Mois prov (calc)],TblApplications[ID],$C196)),""))</f>
        <v/>
      </c>
      <c r="AA196" s="39" t="str">
        <f aca="false">IF($C196="","",IFERROR(1/(1/_xlfn.MAXIFS(TblApplications[Mois lib (calc)],TblApplications[ID],$C196)),""))</f>
        <v/>
      </c>
      <c r="AB196" s="21" t="str">
        <f aca="false">IF($C196="","",IF(OR(OR($A196="",$B196="",$D196="",$E196="",$F196="",$G196=""),AND($G196="À migrer",OR($H196="",$I196="",$J196="",$K196="",$L196="",$N196="",$O196="",$P196="",$Q196="",$R196="")),AND($G196="Migré",OR($J196="",$K196="",$L196="")),AND($G196="À décommissionner",OR($I196="",$N196="",$O196="",$R196=""))),"Données manquantes (selon l’action)",IF(AND($G196&lt;&gt;"Migré",$G196&lt;&gt;"À migrer",$G196&lt;&gt;"À décommissionner",$G196&lt;&gt;"Décommissionné"),"Action invalide",IF(COUNTIF(TblDomaines[Domaine],$A196)=0,"Domaine inconnu (référentiel)",IF(COUNTIFS(TblTribes[Tribe],$B196,TblTribes[Domaine de la tribe],$A196)=0,"Tribe inconnue ou hors domaine",IF(AND($G196="À migrer",$H196&lt;&gt;"Oui",$H196&lt;&gt;"Non"),"Valeur Oui/Non invalide (Déjà incluse ROKS)",IF(AND($E196&lt;&gt;"PRD",$E196&lt;&gt;"NPRD"),"Environnement invalide",IF(COUNTIFS(TblApplications[ID],$C196,TblApplications[Environnement],$E196,TblApplications[Couloir],$F196)&gt;1,"Déploiement en doublon (ID + env + couloir)",IF(OR(AND($K196&lt;&gt;"",NOT(ISNUMBER($K196))),AND($L196&lt;&gt;"",NOT(ISNUMBER($L196))),AND($N196&lt;&gt;"",NOT(ISNUMBER($N196))),AND($O196&lt;&gt;"",NOT(ISNUMBER($O196)))),"Ressource non numérique",IF(MIN(N($K196),N($L196),N($N196),N($O196))&lt;0,"Ressource négative",IF(OR(AND($AC196&lt;&gt;"",OR(NOT(ISNUMBER($AC196)),$AC196&lt;0,$AC196&gt;1)),AND($AD196&lt;&gt;"",OR(NOT(ISNUMBER($AD196)),$AD196&lt;0,$AD196&gt;1))),"Marge spécifique invalide (0–100 %)",IF(OR(AND($P196&lt;&gt;"",NOT(ISNUMBER($P196))),AND($Q196&lt;&gt;"",NOT(ISNUMBER($Q196))),AND($R196&lt;&gt;"",NOT(ISNUMBER($R196)))),"Mois invalide",IF(AND(OR($G196="À migrer",$G196="À décommissionner"),COUNTIFS(TblClusters[Cluster],$I196,TblClusters[Plateforme],"IKS")=0),"Cluster IKS inconnu",IF(AND(OR($G196="À migrer",$G196="Migré"),COUNTIFS(TblClusters[Cluster],$J196,TblClusters[Plateforme],"ROKS")=0),"Cluster ROKS inconnu",IF(AND(OR($G196="À migrer",$G196="À décommissionner"),COUNTIFS(TblClusters[Cluster],$I196,TblClusters[Environnement],$E196)=0),"Environnement ≠ cluster IKS",IF(AND(OR($G196="À migrer",$G196="Migré"),COUNTIFS(TblClusters[Cluster],$J196,TblClusters[Environnement],$E196)=0),"Environnement ≠ cluster ROKS",IF(AND($G196="À migrer",OR($P196&gt;$Q196,$Q196&gt;$R196)),"Dates incohérentes (prov ≤ bascule ≤ libération)",IF(AND(OR($G196="À migrer",$G196="À décommissionner"),OR(N($N196)&gt;SUMIFS(TblClusters[CPU initial (vCPU)],TblClusters[Cluster],$I196),N($O196)&gt;SUMIFS(TblClusters[RAM initiale (Go)],TblClusters[Cluster],$I196))),"Libération &gt; capacité du cluster source",IF(OR(AND($V196&lt;&gt;"",$V196&lt;p_debut),AND($W196&lt;&gt;"",$W196&gt;p_fin)),"Hors horizon (info)",IF(AND($G196="À migrer",$E196="PRD",COUNTIFS(TblApplications[ID],$C196,TblApplications[Environnement],"NPRD",TblApplications[Action],"À migrer")&gt;0,$V196&lt;_xlfn.MINIFS(TblApplications[Mois prov (calc)],TblApplications[ID],$C196,TblApplications[Environnement],"NPRD")),"PRD avant NPRD (info)","OK"))))))))))))))))))))</f>
        <v/>
      </c>
      <c r="AC196" s="76"/>
      <c r="AD196" s="76"/>
      <c r="AE196" s="22" t="str">
        <f aca="false">IF(OR($C196="",NOT(OR($G196="À migrer",$G196="À décommissionner")),NOT(ISNUMBER($N196)),NOT(ISNUMBER($O196)),$W196=""),"",($N196+p_poidsram*$O196)*SUMIFS(TblCalculs[Coût par unité],TblCalculs[Cluster],$I196,TblCalculs[Mois],"&lt;"&amp;$W196))</f>
        <v/>
      </c>
      <c r="AF196" s="22" t="str">
        <f aca="false">IF($C196="","",IF(AND($G196="À migrer",$H196="Non",$T196&lt;&gt;"",$V196&lt;&gt;""),($T196+p_poidsram*$U196)*SUMIFS(TblCalculs[Coût par unité],TblCalculs[Cluster],$J196,TblCalculs[Mois],"&gt;="&amp;$V196),IF(AND($G196="Migré",$T196&lt;&gt;""),($T196+p_poidsram*$U196)*SUMIFS(TblCalculs[Coût par unité],TblCalculs[Cluster],$J196),"")))</f>
        <v/>
      </c>
      <c r="AG196" s="22" t="str">
        <f aca="false">IF($C196="","",N($AE196)+N($AF196))</f>
        <v/>
      </c>
      <c r="AH196" s="21" t="str">
        <f aca="false">IF(OR($C196="",$G196="Décommissionné",COUNTIFS($E196,av_envc,$A196,av_domc,$B196,av_tric)=0),"",COUNTIFS($C$6:$C196,"&lt;&gt;",$G$6:$G196,"&lt;&gt;Décommissionné",$E$6:$E196,av_envc,$A$6:$A196,av_domc,$B$6:$B196,av_tric))</f>
        <v/>
      </c>
      <c r="AI196" s="21" t="str">
        <f aca="false">IF($C196="","",IF(AND(OR($G196="À migrer",$G196="À décommissionner"),$W196&lt;&gt;"",$W196&gt;ex_mois),1,0))</f>
        <v/>
      </c>
      <c r="AJ196" s="21" t="str">
        <f aca="false">IF(OR($C196="",$AI196&lt;&gt;1,COUNTIFS($E196,ex_envc,$A196,ex_domc,$B196,ex_tric)=0),"",COUNTIFS($AI$6:$AI196,1,$E$6:$E196,ex_envc,$A$6:$A196,ex_domc,$B$6:$B196,ex_tric))</f>
        <v/>
      </c>
    </row>
    <row r="197" customFormat="false" ht="15" hidden="false" customHeight="false" outlineLevel="0" collapsed="false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5"/>
      <c r="Q197" s="75"/>
      <c r="R197" s="75"/>
      <c r="S197" s="74"/>
      <c r="T197" s="21" t="str">
        <f aca="false">IF(OR($C197="",NOT(OR($G197="À migrer",$G197="Migré")),NOT(ISNUMBER($K197))),"",ROUNDUP($K197*(1+IF($AC197="",p_margeCPU,$AC197)),0))</f>
        <v/>
      </c>
      <c r="U197" s="21" t="str">
        <f aca="false">IF(OR($C197="",NOT(OR($G197="À migrer",$G197="Migré")),NOT(ISNUMBER($L197))),"",ROUNDUP($L197*(1+IF($AD197="",p_margeRAM,$AD197)),0))</f>
        <v/>
      </c>
      <c r="V197" s="39" t="str">
        <f aca="false">IF(OR(NOT($G197="À migrer"),$P197=""),"",IFERROR(DATE(YEAR($P197),MONTH($P197),1),""))</f>
        <v/>
      </c>
      <c r="W197" s="39" t="str">
        <f aca="false">IF(OR(NOT(OR($G197="À migrer",$G197="À décommissionner")),$R197=""),"",IFERROR(DATE(YEAR($R197),MONTH($R197),1),""))</f>
        <v/>
      </c>
      <c r="X197" s="21" t="str">
        <f aca="false">IF(OR($V197="",$W197=""),"",MAX(0,(YEAR($W197)-YEAR($V197))*12+MONTH($W197)-MONTH($V197)))</f>
        <v/>
      </c>
      <c r="Y197" s="21" t="str">
        <f aca="false">IF($C197="","",COUNTIF(TblApplications[ID],$C197))</f>
        <v/>
      </c>
      <c r="Z197" s="39" t="str">
        <f aca="false">IF($C197="","",IFERROR(1/(1/_xlfn.MINIFS(TblApplications[Mois prov (calc)],TblApplications[ID],$C197)),""))</f>
        <v/>
      </c>
      <c r="AA197" s="39" t="str">
        <f aca="false">IF($C197="","",IFERROR(1/(1/_xlfn.MAXIFS(TblApplications[Mois lib (calc)],TblApplications[ID],$C197)),""))</f>
        <v/>
      </c>
      <c r="AB197" s="21" t="str">
        <f aca="false">IF($C197="","",IF(OR(OR($A197="",$B197="",$D197="",$E197="",$F197="",$G197=""),AND($G197="À migrer",OR($H197="",$I197="",$J197="",$K197="",$L197="",$N197="",$O197="",$P197="",$Q197="",$R197="")),AND($G197="Migré",OR($J197="",$K197="",$L197="")),AND($G197="À décommissionner",OR($I197="",$N197="",$O197="",$R197=""))),"Données manquantes (selon l’action)",IF(AND($G197&lt;&gt;"Migré",$G197&lt;&gt;"À migrer",$G197&lt;&gt;"À décommissionner",$G197&lt;&gt;"Décommissionné"),"Action invalide",IF(COUNTIF(TblDomaines[Domaine],$A197)=0,"Domaine inconnu (référentiel)",IF(COUNTIFS(TblTribes[Tribe],$B197,TblTribes[Domaine de la tribe],$A197)=0,"Tribe inconnue ou hors domaine",IF(AND($G197="À migrer",$H197&lt;&gt;"Oui",$H197&lt;&gt;"Non"),"Valeur Oui/Non invalide (Déjà incluse ROKS)",IF(AND($E197&lt;&gt;"PRD",$E197&lt;&gt;"NPRD"),"Environnement invalide",IF(COUNTIFS(TblApplications[ID],$C197,TblApplications[Environnement],$E197,TblApplications[Couloir],$F197)&gt;1,"Déploiement en doublon (ID + env + couloir)",IF(OR(AND($K197&lt;&gt;"",NOT(ISNUMBER($K197))),AND($L197&lt;&gt;"",NOT(ISNUMBER($L197))),AND($N197&lt;&gt;"",NOT(ISNUMBER($N197))),AND($O197&lt;&gt;"",NOT(ISNUMBER($O197)))),"Ressource non numérique",IF(MIN(N($K197),N($L197),N($N197),N($O197))&lt;0,"Ressource négative",IF(OR(AND($AC197&lt;&gt;"",OR(NOT(ISNUMBER($AC197)),$AC197&lt;0,$AC197&gt;1)),AND($AD197&lt;&gt;"",OR(NOT(ISNUMBER($AD197)),$AD197&lt;0,$AD197&gt;1))),"Marge spécifique invalide (0–100 %)",IF(OR(AND($P197&lt;&gt;"",NOT(ISNUMBER($P197))),AND($Q197&lt;&gt;"",NOT(ISNUMBER($Q197))),AND($R197&lt;&gt;"",NOT(ISNUMBER($R197)))),"Mois invalide",IF(AND(OR($G197="À migrer",$G197="À décommissionner"),COUNTIFS(TblClusters[Cluster],$I197,TblClusters[Plateforme],"IKS")=0),"Cluster IKS inconnu",IF(AND(OR($G197="À migrer",$G197="Migré"),COUNTIFS(TblClusters[Cluster],$J197,TblClusters[Plateforme],"ROKS")=0),"Cluster ROKS inconnu",IF(AND(OR($G197="À migrer",$G197="À décommissionner"),COUNTIFS(TblClusters[Cluster],$I197,TblClusters[Environnement],$E197)=0),"Environnement ≠ cluster IKS",IF(AND(OR($G197="À migrer",$G197="Migré"),COUNTIFS(TblClusters[Cluster],$J197,TblClusters[Environnement],$E197)=0),"Environnement ≠ cluster ROKS",IF(AND($G197="À migrer",OR($P197&gt;$Q197,$Q197&gt;$R197)),"Dates incohérentes (prov ≤ bascule ≤ libération)",IF(AND(OR($G197="À migrer",$G197="À décommissionner"),OR(N($N197)&gt;SUMIFS(TblClusters[CPU initial (vCPU)],TblClusters[Cluster],$I197),N($O197)&gt;SUMIFS(TblClusters[RAM initiale (Go)],TblClusters[Cluster],$I197))),"Libération &gt; capacité du cluster source",IF(OR(AND($V197&lt;&gt;"",$V197&lt;p_debut),AND($W197&lt;&gt;"",$W197&gt;p_fin)),"Hors horizon (info)",IF(AND($G197="À migrer",$E197="PRD",COUNTIFS(TblApplications[ID],$C197,TblApplications[Environnement],"NPRD",TblApplications[Action],"À migrer")&gt;0,$V197&lt;_xlfn.MINIFS(TblApplications[Mois prov (calc)],TblApplications[ID],$C197,TblApplications[Environnement],"NPRD")),"PRD avant NPRD (info)","OK"))))))))))))))))))))</f>
        <v/>
      </c>
      <c r="AC197" s="76"/>
      <c r="AD197" s="76"/>
      <c r="AE197" s="22" t="str">
        <f aca="false">IF(OR($C197="",NOT(OR($G197="À migrer",$G197="À décommissionner")),NOT(ISNUMBER($N197)),NOT(ISNUMBER($O197)),$W197=""),"",($N197+p_poidsram*$O197)*SUMIFS(TblCalculs[Coût par unité],TblCalculs[Cluster],$I197,TblCalculs[Mois],"&lt;"&amp;$W197))</f>
        <v/>
      </c>
      <c r="AF197" s="22" t="str">
        <f aca="false">IF($C197="","",IF(AND($G197="À migrer",$H197="Non",$T197&lt;&gt;"",$V197&lt;&gt;""),($T197+p_poidsram*$U197)*SUMIFS(TblCalculs[Coût par unité],TblCalculs[Cluster],$J197,TblCalculs[Mois],"&gt;="&amp;$V197),IF(AND($G197="Migré",$T197&lt;&gt;""),($T197+p_poidsram*$U197)*SUMIFS(TblCalculs[Coût par unité],TblCalculs[Cluster],$J197),"")))</f>
        <v/>
      </c>
      <c r="AG197" s="22" t="str">
        <f aca="false">IF($C197="","",N($AE197)+N($AF197))</f>
        <v/>
      </c>
      <c r="AH197" s="21" t="str">
        <f aca="false">IF(OR($C197="",$G197="Décommissionné",COUNTIFS($E197,av_envc,$A197,av_domc,$B197,av_tric)=0),"",COUNTIFS($C$6:$C197,"&lt;&gt;",$G$6:$G197,"&lt;&gt;Décommissionné",$E$6:$E197,av_envc,$A$6:$A197,av_domc,$B$6:$B197,av_tric))</f>
        <v/>
      </c>
      <c r="AI197" s="21" t="str">
        <f aca="false">IF($C197="","",IF(AND(OR($G197="À migrer",$G197="À décommissionner"),$W197&lt;&gt;"",$W197&gt;ex_mois),1,0))</f>
        <v/>
      </c>
      <c r="AJ197" s="21" t="str">
        <f aca="false">IF(OR($C197="",$AI197&lt;&gt;1,COUNTIFS($E197,ex_envc,$A197,ex_domc,$B197,ex_tric)=0),"",COUNTIFS($AI$6:$AI197,1,$E$6:$E197,ex_envc,$A$6:$A197,ex_domc,$B$6:$B197,ex_tric))</f>
        <v/>
      </c>
    </row>
    <row r="198" customFormat="false" ht="15" hidden="false" customHeight="false" outlineLevel="0" collapsed="false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5"/>
      <c r="Q198" s="75"/>
      <c r="R198" s="75"/>
      <c r="S198" s="74"/>
      <c r="T198" s="21" t="str">
        <f aca="false">IF(OR($C198="",NOT(OR($G198="À migrer",$G198="Migré")),NOT(ISNUMBER($K198))),"",ROUNDUP($K198*(1+IF($AC198="",p_margeCPU,$AC198)),0))</f>
        <v/>
      </c>
      <c r="U198" s="21" t="str">
        <f aca="false">IF(OR($C198="",NOT(OR($G198="À migrer",$G198="Migré")),NOT(ISNUMBER($L198))),"",ROUNDUP($L198*(1+IF($AD198="",p_margeRAM,$AD198)),0))</f>
        <v/>
      </c>
      <c r="V198" s="39" t="str">
        <f aca="false">IF(OR(NOT($G198="À migrer"),$P198=""),"",IFERROR(DATE(YEAR($P198),MONTH($P198),1),""))</f>
        <v/>
      </c>
      <c r="W198" s="39" t="str">
        <f aca="false">IF(OR(NOT(OR($G198="À migrer",$G198="À décommissionner")),$R198=""),"",IFERROR(DATE(YEAR($R198),MONTH($R198),1),""))</f>
        <v/>
      </c>
      <c r="X198" s="21" t="str">
        <f aca="false">IF(OR($V198="",$W198=""),"",MAX(0,(YEAR($W198)-YEAR($V198))*12+MONTH($W198)-MONTH($V198)))</f>
        <v/>
      </c>
      <c r="Y198" s="21" t="str">
        <f aca="false">IF($C198="","",COUNTIF(TblApplications[ID],$C198))</f>
        <v/>
      </c>
      <c r="Z198" s="39" t="str">
        <f aca="false">IF($C198="","",IFERROR(1/(1/_xlfn.MINIFS(TblApplications[Mois prov (calc)],TblApplications[ID],$C198)),""))</f>
        <v/>
      </c>
      <c r="AA198" s="39" t="str">
        <f aca="false">IF($C198="","",IFERROR(1/(1/_xlfn.MAXIFS(TblApplications[Mois lib (calc)],TblApplications[ID],$C198)),""))</f>
        <v/>
      </c>
      <c r="AB198" s="21" t="str">
        <f aca="false">IF($C198="","",IF(OR(OR($A198="",$B198="",$D198="",$E198="",$F198="",$G198=""),AND($G198="À migrer",OR($H198="",$I198="",$J198="",$K198="",$L198="",$N198="",$O198="",$P198="",$Q198="",$R198="")),AND($G198="Migré",OR($J198="",$K198="",$L198="")),AND($G198="À décommissionner",OR($I198="",$N198="",$O198="",$R198=""))),"Données manquantes (selon l’action)",IF(AND($G198&lt;&gt;"Migré",$G198&lt;&gt;"À migrer",$G198&lt;&gt;"À décommissionner",$G198&lt;&gt;"Décommissionné"),"Action invalide",IF(COUNTIF(TblDomaines[Domaine],$A198)=0,"Domaine inconnu (référentiel)",IF(COUNTIFS(TblTribes[Tribe],$B198,TblTribes[Domaine de la tribe],$A198)=0,"Tribe inconnue ou hors domaine",IF(AND($G198="À migrer",$H198&lt;&gt;"Oui",$H198&lt;&gt;"Non"),"Valeur Oui/Non invalide (Déjà incluse ROKS)",IF(AND($E198&lt;&gt;"PRD",$E198&lt;&gt;"NPRD"),"Environnement invalide",IF(COUNTIFS(TblApplications[ID],$C198,TblApplications[Environnement],$E198,TblApplications[Couloir],$F198)&gt;1,"Déploiement en doublon (ID + env + couloir)",IF(OR(AND($K198&lt;&gt;"",NOT(ISNUMBER($K198))),AND($L198&lt;&gt;"",NOT(ISNUMBER($L198))),AND($N198&lt;&gt;"",NOT(ISNUMBER($N198))),AND($O198&lt;&gt;"",NOT(ISNUMBER($O198)))),"Ressource non numérique",IF(MIN(N($K198),N($L198),N($N198),N($O198))&lt;0,"Ressource négative",IF(OR(AND($AC198&lt;&gt;"",OR(NOT(ISNUMBER($AC198)),$AC198&lt;0,$AC198&gt;1)),AND($AD198&lt;&gt;"",OR(NOT(ISNUMBER($AD198)),$AD198&lt;0,$AD198&gt;1))),"Marge spécifique invalide (0–100 %)",IF(OR(AND($P198&lt;&gt;"",NOT(ISNUMBER($P198))),AND($Q198&lt;&gt;"",NOT(ISNUMBER($Q198))),AND($R198&lt;&gt;"",NOT(ISNUMBER($R198)))),"Mois invalide",IF(AND(OR($G198="À migrer",$G198="À décommissionner"),COUNTIFS(TblClusters[Cluster],$I198,TblClusters[Plateforme],"IKS")=0),"Cluster IKS inconnu",IF(AND(OR($G198="À migrer",$G198="Migré"),COUNTIFS(TblClusters[Cluster],$J198,TblClusters[Plateforme],"ROKS")=0),"Cluster ROKS inconnu",IF(AND(OR($G198="À migrer",$G198="À décommissionner"),COUNTIFS(TblClusters[Cluster],$I198,TblClusters[Environnement],$E198)=0),"Environnement ≠ cluster IKS",IF(AND(OR($G198="À migrer",$G198="Migré"),COUNTIFS(TblClusters[Cluster],$J198,TblClusters[Environnement],$E198)=0),"Environnement ≠ cluster ROKS",IF(AND($G198="À migrer",OR($P198&gt;$Q198,$Q198&gt;$R198)),"Dates incohérentes (prov ≤ bascule ≤ libération)",IF(AND(OR($G198="À migrer",$G198="À décommissionner"),OR(N($N198)&gt;SUMIFS(TblClusters[CPU initial (vCPU)],TblClusters[Cluster],$I198),N($O198)&gt;SUMIFS(TblClusters[RAM initiale (Go)],TblClusters[Cluster],$I198))),"Libération &gt; capacité du cluster source",IF(OR(AND($V198&lt;&gt;"",$V198&lt;p_debut),AND($W198&lt;&gt;"",$W198&gt;p_fin)),"Hors horizon (info)",IF(AND($G198="À migrer",$E198="PRD",COUNTIFS(TblApplications[ID],$C198,TblApplications[Environnement],"NPRD",TblApplications[Action],"À migrer")&gt;0,$V198&lt;_xlfn.MINIFS(TblApplications[Mois prov (calc)],TblApplications[ID],$C198,TblApplications[Environnement],"NPRD")),"PRD avant NPRD (info)","OK"))))))))))))))))))))</f>
        <v/>
      </c>
      <c r="AC198" s="76"/>
      <c r="AD198" s="76"/>
      <c r="AE198" s="22" t="str">
        <f aca="false">IF(OR($C198="",NOT(OR($G198="À migrer",$G198="À décommissionner")),NOT(ISNUMBER($N198)),NOT(ISNUMBER($O198)),$W198=""),"",($N198+p_poidsram*$O198)*SUMIFS(TblCalculs[Coût par unité],TblCalculs[Cluster],$I198,TblCalculs[Mois],"&lt;"&amp;$W198))</f>
        <v/>
      </c>
      <c r="AF198" s="22" t="str">
        <f aca="false">IF($C198="","",IF(AND($G198="À migrer",$H198="Non",$T198&lt;&gt;"",$V198&lt;&gt;""),($T198+p_poidsram*$U198)*SUMIFS(TblCalculs[Coût par unité],TblCalculs[Cluster],$J198,TblCalculs[Mois],"&gt;="&amp;$V198),IF(AND($G198="Migré",$T198&lt;&gt;""),($T198+p_poidsram*$U198)*SUMIFS(TblCalculs[Coût par unité],TblCalculs[Cluster],$J198),"")))</f>
        <v/>
      </c>
      <c r="AG198" s="22" t="str">
        <f aca="false">IF($C198="","",N($AE198)+N($AF198))</f>
        <v/>
      </c>
      <c r="AH198" s="21" t="str">
        <f aca="false">IF(OR($C198="",$G198="Décommissionné",COUNTIFS($E198,av_envc,$A198,av_domc,$B198,av_tric)=0),"",COUNTIFS($C$6:$C198,"&lt;&gt;",$G$6:$G198,"&lt;&gt;Décommissionné",$E$6:$E198,av_envc,$A$6:$A198,av_domc,$B$6:$B198,av_tric))</f>
        <v/>
      </c>
      <c r="AI198" s="21" t="str">
        <f aca="false">IF($C198="","",IF(AND(OR($G198="À migrer",$G198="À décommissionner"),$W198&lt;&gt;"",$W198&gt;ex_mois),1,0))</f>
        <v/>
      </c>
      <c r="AJ198" s="21" t="str">
        <f aca="false">IF(OR($C198="",$AI198&lt;&gt;1,COUNTIFS($E198,ex_envc,$A198,ex_domc,$B198,ex_tric)=0),"",COUNTIFS($AI$6:$AI198,1,$E$6:$E198,ex_envc,$A$6:$A198,ex_domc,$B$6:$B198,ex_tric))</f>
        <v/>
      </c>
    </row>
    <row r="199" customFormat="false" ht="15" hidden="false" customHeight="false" outlineLevel="0" collapsed="false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5"/>
      <c r="Q199" s="75"/>
      <c r="R199" s="75"/>
      <c r="S199" s="74"/>
      <c r="T199" s="21" t="str">
        <f aca="false">IF(OR($C199="",NOT(OR($G199="À migrer",$G199="Migré")),NOT(ISNUMBER($K199))),"",ROUNDUP($K199*(1+IF($AC199="",p_margeCPU,$AC199)),0))</f>
        <v/>
      </c>
      <c r="U199" s="21" t="str">
        <f aca="false">IF(OR($C199="",NOT(OR($G199="À migrer",$G199="Migré")),NOT(ISNUMBER($L199))),"",ROUNDUP($L199*(1+IF($AD199="",p_margeRAM,$AD199)),0))</f>
        <v/>
      </c>
      <c r="V199" s="39" t="str">
        <f aca="false">IF(OR(NOT($G199="À migrer"),$P199=""),"",IFERROR(DATE(YEAR($P199),MONTH($P199),1),""))</f>
        <v/>
      </c>
      <c r="W199" s="39" t="str">
        <f aca="false">IF(OR(NOT(OR($G199="À migrer",$G199="À décommissionner")),$R199=""),"",IFERROR(DATE(YEAR($R199),MONTH($R199),1),""))</f>
        <v/>
      </c>
      <c r="X199" s="21" t="str">
        <f aca="false">IF(OR($V199="",$W199=""),"",MAX(0,(YEAR($W199)-YEAR($V199))*12+MONTH($W199)-MONTH($V199)))</f>
        <v/>
      </c>
      <c r="Y199" s="21" t="str">
        <f aca="false">IF($C199="","",COUNTIF(TblApplications[ID],$C199))</f>
        <v/>
      </c>
      <c r="Z199" s="39" t="str">
        <f aca="false">IF($C199="","",IFERROR(1/(1/_xlfn.MINIFS(TblApplications[Mois prov (calc)],TblApplications[ID],$C199)),""))</f>
        <v/>
      </c>
      <c r="AA199" s="39" t="str">
        <f aca="false">IF($C199="","",IFERROR(1/(1/_xlfn.MAXIFS(TblApplications[Mois lib (calc)],TblApplications[ID],$C199)),""))</f>
        <v/>
      </c>
      <c r="AB199" s="21" t="str">
        <f aca="false">IF($C199="","",IF(OR(OR($A199="",$B199="",$D199="",$E199="",$F199="",$G199=""),AND($G199="À migrer",OR($H199="",$I199="",$J199="",$K199="",$L199="",$N199="",$O199="",$P199="",$Q199="",$R199="")),AND($G199="Migré",OR($J199="",$K199="",$L199="")),AND($G199="À décommissionner",OR($I199="",$N199="",$O199="",$R199=""))),"Données manquantes (selon l’action)",IF(AND($G199&lt;&gt;"Migré",$G199&lt;&gt;"À migrer",$G199&lt;&gt;"À décommissionner",$G199&lt;&gt;"Décommissionné"),"Action invalide",IF(COUNTIF(TblDomaines[Domaine],$A199)=0,"Domaine inconnu (référentiel)",IF(COUNTIFS(TblTribes[Tribe],$B199,TblTribes[Domaine de la tribe],$A199)=0,"Tribe inconnue ou hors domaine",IF(AND($G199="À migrer",$H199&lt;&gt;"Oui",$H199&lt;&gt;"Non"),"Valeur Oui/Non invalide (Déjà incluse ROKS)",IF(AND($E199&lt;&gt;"PRD",$E199&lt;&gt;"NPRD"),"Environnement invalide",IF(COUNTIFS(TblApplications[ID],$C199,TblApplications[Environnement],$E199,TblApplications[Couloir],$F199)&gt;1,"Déploiement en doublon (ID + env + couloir)",IF(OR(AND($K199&lt;&gt;"",NOT(ISNUMBER($K199))),AND($L199&lt;&gt;"",NOT(ISNUMBER($L199))),AND($N199&lt;&gt;"",NOT(ISNUMBER($N199))),AND($O199&lt;&gt;"",NOT(ISNUMBER($O199)))),"Ressource non numérique",IF(MIN(N($K199),N($L199),N($N199),N($O199))&lt;0,"Ressource négative",IF(OR(AND($AC199&lt;&gt;"",OR(NOT(ISNUMBER($AC199)),$AC199&lt;0,$AC199&gt;1)),AND($AD199&lt;&gt;"",OR(NOT(ISNUMBER($AD199)),$AD199&lt;0,$AD199&gt;1))),"Marge spécifique invalide (0–100 %)",IF(OR(AND($P199&lt;&gt;"",NOT(ISNUMBER($P199))),AND($Q199&lt;&gt;"",NOT(ISNUMBER($Q199))),AND($R199&lt;&gt;"",NOT(ISNUMBER($R199)))),"Mois invalide",IF(AND(OR($G199="À migrer",$G199="À décommissionner"),COUNTIFS(TblClusters[Cluster],$I199,TblClusters[Plateforme],"IKS")=0),"Cluster IKS inconnu",IF(AND(OR($G199="À migrer",$G199="Migré"),COUNTIFS(TblClusters[Cluster],$J199,TblClusters[Plateforme],"ROKS")=0),"Cluster ROKS inconnu",IF(AND(OR($G199="À migrer",$G199="À décommissionner"),COUNTIFS(TblClusters[Cluster],$I199,TblClusters[Environnement],$E199)=0),"Environnement ≠ cluster IKS",IF(AND(OR($G199="À migrer",$G199="Migré"),COUNTIFS(TblClusters[Cluster],$J199,TblClusters[Environnement],$E199)=0),"Environnement ≠ cluster ROKS",IF(AND($G199="À migrer",OR($P199&gt;$Q199,$Q199&gt;$R199)),"Dates incohérentes (prov ≤ bascule ≤ libération)",IF(AND(OR($G199="À migrer",$G199="À décommissionner"),OR(N($N199)&gt;SUMIFS(TblClusters[CPU initial (vCPU)],TblClusters[Cluster],$I199),N($O199)&gt;SUMIFS(TblClusters[RAM initiale (Go)],TblClusters[Cluster],$I199))),"Libération &gt; capacité du cluster source",IF(OR(AND($V199&lt;&gt;"",$V199&lt;p_debut),AND($W199&lt;&gt;"",$W199&gt;p_fin)),"Hors horizon (info)",IF(AND($G199="À migrer",$E199="PRD",COUNTIFS(TblApplications[ID],$C199,TblApplications[Environnement],"NPRD",TblApplications[Action],"À migrer")&gt;0,$V199&lt;_xlfn.MINIFS(TblApplications[Mois prov (calc)],TblApplications[ID],$C199,TblApplications[Environnement],"NPRD")),"PRD avant NPRD (info)","OK"))))))))))))))))))))</f>
        <v/>
      </c>
      <c r="AC199" s="76"/>
      <c r="AD199" s="76"/>
      <c r="AE199" s="22" t="str">
        <f aca="false">IF(OR($C199="",NOT(OR($G199="À migrer",$G199="À décommissionner")),NOT(ISNUMBER($N199)),NOT(ISNUMBER($O199)),$W199=""),"",($N199+p_poidsram*$O199)*SUMIFS(TblCalculs[Coût par unité],TblCalculs[Cluster],$I199,TblCalculs[Mois],"&lt;"&amp;$W199))</f>
        <v/>
      </c>
      <c r="AF199" s="22" t="str">
        <f aca="false">IF($C199="","",IF(AND($G199="À migrer",$H199="Non",$T199&lt;&gt;"",$V199&lt;&gt;""),($T199+p_poidsram*$U199)*SUMIFS(TblCalculs[Coût par unité],TblCalculs[Cluster],$J199,TblCalculs[Mois],"&gt;="&amp;$V199),IF(AND($G199="Migré",$T199&lt;&gt;""),($T199+p_poidsram*$U199)*SUMIFS(TblCalculs[Coût par unité],TblCalculs[Cluster],$J199),"")))</f>
        <v/>
      </c>
      <c r="AG199" s="22" t="str">
        <f aca="false">IF($C199="","",N($AE199)+N($AF199))</f>
        <v/>
      </c>
      <c r="AH199" s="21" t="str">
        <f aca="false">IF(OR($C199="",$G199="Décommissionné",COUNTIFS($E199,av_envc,$A199,av_domc,$B199,av_tric)=0),"",COUNTIFS($C$6:$C199,"&lt;&gt;",$G$6:$G199,"&lt;&gt;Décommissionné",$E$6:$E199,av_envc,$A$6:$A199,av_domc,$B$6:$B199,av_tric))</f>
        <v/>
      </c>
      <c r="AI199" s="21" t="str">
        <f aca="false">IF($C199="","",IF(AND(OR($G199="À migrer",$G199="À décommissionner"),$W199&lt;&gt;"",$W199&gt;ex_mois),1,0))</f>
        <v/>
      </c>
      <c r="AJ199" s="21" t="str">
        <f aca="false">IF(OR($C199="",$AI199&lt;&gt;1,COUNTIFS($E199,ex_envc,$A199,ex_domc,$B199,ex_tric)=0),"",COUNTIFS($AI$6:$AI199,1,$E$6:$E199,ex_envc,$A$6:$A199,ex_domc,$B$6:$B199,ex_tric))</f>
        <v/>
      </c>
    </row>
    <row r="200" customFormat="false" ht="15" hidden="false" customHeight="false" outlineLevel="0" collapsed="false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5"/>
      <c r="Q200" s="75"/>
      <c r="R200" s="75"/>
      <c r="S200" s="74"/>
      <c r="T200" s="21" t="str">
        <f aca="false">IF(OR($C200="",NOT(OR($G200="À migrer",$G200="Migré")),NOT(ISNUMBER($K200))),"",ROUNDUP($K200*(1+IF($AC200="",p_margeCPU,$AC200)),0))</f>
        <v/>
      </c>
      <c r="U200" s="21" t="str">
        <f aca="false">IF(OR($C200="",NOT(OR($G200="À migrer",$G200="Migré")),NOT(ISNUMBER($L200))),"",ROUNDUP($L200*(1+IF($AD200="",p_margeRAM,$AD200)),0))</f>
        <v/>
      </c>
      <c r="V200" s="39" t="str">
        <f aca="false">IF(OR(NOT($G200="À migrer"),$P200=""),"",IFERROR(DATE(YEAR($P200),MONTH($P200),1),""))</f>
        <v/>
      </c>
      <c r="W200" s="39" t="str">
        <f aca="false">IF(OR(NOT(OR($G200="À migrer",$G200="À décommissionner")),$R200=""),"",IFERROR(DATE(YEAR($R200),MONTH($R200),1),""))</f>
        <v/>
      </c>
      <c r="X200" s="21" t="str">
        <f aca="false">IF(OR($V200="",$W200=""),"",MAX(0,(YEAR($W200)-YEAR($V200))*12+MONTH($W200)-MONTH($V200)))</f>
        <v/>
      </c>
      <c r="Y200" s="21" t="str">
        <f aca="false">IF($C200="","",COUNTIF(TblApplications[ID],$C200))</f>
        <v/>
      </c>
      <c r="Z200" s="39" t="str">
        <f aca="false">IF($C200="","",IFERROR(1/(1/_xlfn.MINIFS(TblApplications[Mois prov (calc)],TblApplications[ID],$C200)),""))</f>
        <v/>
      </c>
      <c r="AA200" s="39" t="str">
        <f aca="false">IF($C200="","",IFERROR(1/(1/_xlfn.MAXIFS(TblApplications[Mois lib (calc)],TblApplications[ID],$C200)),""))</f>
        <v/>
      </c>
      <c r="AB200" s="21" t="str">
        <f aca="false">IF($C200="","",IF(OR(OR($A200="",$B200="",$D200="",$E200="",$F200="",$G200=""),AND($G200="À migrer",OR($H200="",$I200="",$J200="",$K200="",$L200="",$N200="",$O200="",$P200="",$Q200="",$R200="")),AND($G200="Migré",OR($J200="",$K200="",$L200="")),AND($G200="À décommissionner",OR($I200="",$N200="",$O200="",$R200=""))),"Données manquantes (selon l’action)",IF(AND($G200&lt;&gt;"Migré",$G200&lt;&gt;"À migrer",$G200&lt;&gt;"À décommissionner",$G200&lt;&gt;"Décommissionné"),"Action invalide",IF(COUNTIF(TblDomaines[Domaine],$A200)=0,"Domaine inconnu (référentiel)",IF(COUNTIFS(TblTribes[Tribe],$B200,TblTribes[Domaine de la tribe],$A200)=0,"Tribe inconnue ou hors domaine",IF(AND($G200="À migrer",$H200&lt;&gt;"Oui",$H200&lt;&gt;"Non"),"Valeur Oui/Non invalide (Déjà incluse ROKS)",IF(AND($E200&lt;&gt;"PRD",$E200&lt;&gt;"NPRD"),"Environnement invalide",IF(COUNTIFS(TblApplications[ID],$C200,TblApplications[Environnement],$E200,TblApplications[Couloir],$F200)&gt;1,"Déploiement en doublon (ID + env + couloir)",IF(OR(AND($K200&lt;&gt;"",NOT(ISNUMBER($K200))),AND($L200&lt;&gt;"",NOT(ISNUMBER($L200))),AND($N200&lt;&gt;"",NOT(ISNUMBER($N200))),AND($O200&lt;&gt;"",NOT(ISNUMBER($O200)))),"Ressource non numérique",IF(MIN(N($K200),N($L200),N($N200),N($O200))&lt;0,"Ressource négative",IF(OR(AND($AC200&lt;&gt;"",OR(NOT(ISNUMBER($AC200)),$AC200&lt;0,$AC200&gt;1)),AND($AD200&lt;&gt;"",OR(NOT(ISNUMBER($AD200)),$AD200&lt;0,$AD200&gt;1))),"Marge spécifique invalide (0–100 %)",IF(OR(AND($P200&lt;&gt;"",NOT(ISNUMBER($P200))),AND($Q200&lt;&gt;"",NOT(ISNUMBER($Q200))),AND($R200&lt;&gt;"",NOT(ISNUMBER($R200)))),"Mois invalide",IF(AND(OR($G200="À migrer",$G200="À décommissionner"),COUNTIFS(TblClusters[Cluster],$I200,TblClusters[Plateforme],"IKS")=0),"Cluster IKS inconnu",IF(AND(OR($G200="À migrer",$G200="Migré"),COUNTIFS(TblClusters[Cluster],$J200,TblClusters[Plateforme],"ROKS")=0),"Cluster ROKS inconnu",IF(AND(OR($G200="À migrer",$G200="À décommissionner"),COUNTIFS(TblClusters[Cluster],$I200,TblClusters[Environnement],$E200)=0),"Environnement ≠ cluster IKS",IF(AND(OR($G200="À migrer",$G200="Migré"),COUNTIFS(TblClusters[Cluster],$J200,TblClusters[Environnement],$E200)=0),"Environnement ≠ cluster ROKS",IF(AND($G200="À migrer",OR($P200&gt;$Q200,$Q200&gt;$R200)),"Dates incohérentes (prov ≤ bascule ≤ libération)",IF(AND(OR($G200="À migrer",$G200="À décommissionner"),OR(N($N200)&gt;SUMIFS(TblClusters[CPU initial (vCPU)],TblClusters[Cluster],$I200),N($O200)&gt;SUMIFS(TblClusters[RAM initiale (Go)],TblClusters[Cluster],$I200))),"Libération &gt; capacité du cluster source",IF(OR(AND($V200&lt;&gt;"",$V200&lt;p_debut),AND($W200&lt;&gt;"",$W200&gt;p_fin)),"Hors horizon (info)",IF(AND($G200="À migrer",$E200="PRD",COUNTIFS(TblApplications[ID],$C200,TblApplications[Environnement],"NPRD",TblApplications[Action],"À migrer")&gt;0,$V200&lt;_xlfn.MINIFS(TblApplications[Mois prov (calc)],TblApplications[ID],$C200,TblApplications[Environnement],"NPRD")),"PRD avant NPRD (info)","OK"))))))))))))))))))))</f>
        <v/>
      </c>
      <c r="AC200" s="76"/>
      <c r="AD200" s="76"/>
      <c r="AE200" s="22" t="str">
        <f aca="false">IF(OR($C200="",NOT(OR($G200="À migrer",$G200="À décommissionner")),NOT(ISNUMBER($N200)),NOT(ISNUMBER($O200)),$W200=""),"",($N200+p_poidsram*$O200)*SUMIFS(TblCalculs[Coût par unité],TblCalculs[Cluster],$I200,TblCalculs[Mois],"&lt;"&amp;$W200))</f>
        <v/>
      </c>
      <c r="AF200" s="22" t="str">
        <f aca="false">IF($C200="","",IF(AND($G200="À migrer",$H200="Non",$T200&lt;&gt;"",$V200&lt;&gt;""),($T200+p_poidsram*$U200)*SUMIFS(TblCalculs[Coût par unité],TblCalculs[Cluster],$J200,TblCalculs[Mois],"&gt;="&amp;$V200),IF(AND($G200="Migré",$T200&lt;&gt;""),($T200+p_poidsram*$U200)*SUMIFS(TblCalculs[Coût par unité],TblCalculs[Cluster],$J200),"")))</f>
        <v/>
      </c>
      <c r="AG200" s="22" t="str">
        <f aca="false">IF($C200="","",N($AE200)+N($AF200))</f>
        <v/>
      </c>
      <c r="AH200" s="21" t="str">
        <f aca="false">IF(OR($C200="",$G200="Décommissionné",COUNTIFS($E200,av_envc,$A200,av_domc,$B200,av_tric)=0),"",COUNTIFS($C$6:$C200,"&lt;&gt;",$G$6:$G200,"&lt;&gt;Décommissionné",$E$6:$E200,av_envc,$A$6:$A200,av_domc,$B$6:$B200,av_tric))</f>
        <v/>
      </c>
      <c r="AI200" s="21" t="str">
        <f aca="false">IF($C200="","",IF(AND(OR($G200="À migrer",$G200="À décommissionner"),$W200&lt;&gt;"",$W200&gt;ex_mois),1,0))</f>
        <v/>
      </c>
      <c r="AJ200" s="21" t="str">
        <f aca="false">IF(OR($C200="",$AI200&lt;&gt;1,COUNTIFS($E200,ex_envc,$A200,ex_domc,$B200,ex_tric)=0),"",COUNTIFS($AI$6:$AI200,1,$E$6:$E200,ex_envc,$A$6:$A200,ex_domc,$B$6:$B200,ex_tric))</f>
        <v/>
      </c>
    </row>
    <row r="201" customFormat="false" ht="15" hidden="false" customHeight="false" outlineLevel="0" collapsed="false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5"/>
      <c r="Q201" s="75"/>
      <c r="R201" s="75"/>
      <c r="S201" s="74"/>
      <c r="T201" s="21" t="str">
        <f aca="false">IF(OR($C201="",NOT(OR($G201="À migrer",$G201="Migré")),NOT(ISNUMBER($K201))),"",ROUNDUP($K201*(1+IF($AC201="",p_margeCPU,$AC201)),0))</f>
        <v/>
      </c>
      <c r="U201" s="21" t="str">
        <f aca="false">IF(OR($C201="",NOT(OR($G201="À migrer",$G201="Migré")),NOT(ISNUMBER($L201))),"",ROUNDUP($L201*(1+IF($AD201="",p_margeRAM,$AD201)),0))</f>
        <v/>
      </c>
      <c r="V201" s="39" t="str">
        <f aca="false">IF(OR(NOT($G201="À migrer"),$P201=""),"",IFERROR(DATE(YEAR($P201),MONTH($P201),1),""))</f>
        <v/>
      </c>
      <c r="W201" s="39" t="str">
        <f aca="false">IF(OR(NOT(OR($G201="À migrer",$G201="À décommissionner")),$R201=""),"",IFERROR(DATE(YEAR($R201),MONTH($R201),1),""))</f>
        <v/>
      </c>
      <c r="X201" s="21" t="str">
        <f aca="false">IF(OR($V201="",$W201=""),"",MAX(0,(YEAR($W201)-YEAR($V201))*12+MONTH($W201)-MONTH($V201)))</f>
        <v/>
      </c>
      <c r="Y201" s="21" t="str">
        <f aca="false">IF($C201="","",COUNTIF(TblApplications[ID],$C201))</f>
        <v/>
      </c>
      <c r="Z201" s="39" t="str">
        <f aca="false">IF($C201="","",IFERROR(1/(1/_xlfn.MINIFS(TblApplications[Mois prov (calc)],TblApplications[ID],$C201)),""))</f>
        <v/>
      </c>
      <c r="AA201" s="39" t="str">
        <f aca="false">IF($C201="","",IFERROR(1/(1/_xlfn.MAXIFS(TblApplications[Mois lib (calc)],TblApplications[ID],$C201)),""))</f>
        <v/>
      </c>
      <c r="AB201" s="21" t="str">
        <f aca="false">IF($C201="","",IF(OR(OR($A201="",$B201="",$D201="",$E201="",$F201="",$G201=""),AND($G201="À migrer",OR($H201="",$I201="",$J201="",$K201="",$L201="",$N201="",$O201="",$P201="",$Q201="",$R201="")),AND($G201="Migré",OR($J201="",$K201="",$L201="")),AND($G201="À décommissionner",OR($I201="",$N201="",$O201="",$R201=""))),"Données manquantes (selon l’action)",IF(AND($G201&lt;&gt;"Migré",$G201&lt;&gt;"À migrer",$G201&lt;&gt;"À décommissionner",$G201&lt;&gt;"Décommissionné"),"Action invalide",IF(COUNTIF(TblDomaines[Domaine],$A201)=0,"Domaine inconnu (référentiel)",IF(COUNTIFS(TblTribes[Tribe],$B201,TblTribes[Domaine de la tribe],$A201)=0,"Tribe inconnue ou hors domaine",IF(AND($G201="À migrer",$H201&lt;&gt;"Oui",$H201&lt;&gt;"Non"),"Valeur Oui/Non invalide (Déjà incluse ROKS)",IF(AND($E201&lt;&gt;"PRD",$E201&lt;&gt;"NPRD"),"Environnement invalide",IF(COUNTIFS(TblApplications[ID],$C201,TblApplications[Environnement],$E201,TblApplications[Couloir],$F201)&gt;1,"Déploiement en doublon (ID + env + couloir)",IF(OR(AND($K201&lt;&gt;"",NOT(ISNUMBER($K201))),AND($L201&lt;&gt;"",NOT(ISNUMBER($L201))),AND($N201&lt;&gt;"",NOT(ISNUMBER($N201))),AND($O201&lt;&gt;"",NOT(ISNUMBER($O201)))),"Ressource non numérique",IF(MIN(N($K201),N($L201),N($N201),N($O201))&lt;0,"Ressource négative",IF(OR(AND($AC201&lt;&gt;"",OR(NOT(ISNUMBER($AC201)),$AC201&lt;0,$AC201&gt;1)),AND($AD201&lt;&gt;"",OR(NOT(ISNUMBER($AD201)),$AD201&lt;0,$AD201&gt;1))),"Marge spécifique invalide (0–100 %)",IF(OR(AND($P201&lt;&gt;"",NOT(ISNUMBER($P201))),AND($Q201&lt;&gt;"",NOT(ISNUMBER($Q201))),AND($R201&lt;&gt;"",NOT(ISNUMBER($R201)))),"Mois invalide",IF(AND(OR($G201="À migrer",$G201="À décommissionner"),COUNTIFS(TblClusters[Cluster],$I201,TblClusters[Plateforme],"IKS")=0),"Cluster IKS inconnu",IF(AND(OR($G201="À migrer",$G201="Migré"),COUNTIFS(TblClusters[Cluster],$J201,TblClusters[Plateforme],"ROKS")=0),"Cluster ROKS inconnu",IF(AND(OR($G201="À migrer",$G201="À décommissionner"),COUNTIFS(TblClusters[Cluster],$I201,TblClusters[Environnement],$E201)=0),"Environnement ≠ cluster IKS",IF(AND(OR($G201="À migrer",$G201="Migré"),COUNTIFS(TblClusters[Cluster],$J201,TblClusters[Environnement],$E201)=0),"Environnement ≠ cluster ROKS",IF(AND($G201="À migrer",OR($P201&gt;$Q201,$Q201&gt;$R201)),"Dates incohérentes (prov ≤ bascule ≤ libération)",IF(AND(OR($G201="À migrer",$G201="À décommissionner"),OR(N($N201)&gt;SUMIFS(TblClusters[CPU initial (vCPU)],TblClusters[Cluster],$I201),N($O201)&gt;SUMIFS(TblClusters[RAM initiale (Go)],TblClusters[Cluster],$I201))),"Libération &gt; capacité du cluster source",IF(OR(AND($V201&lt;&gt;"",$V201&lt;p_debut),AND($W201&lt;&gt;"",$W201&gt;p_fin)),"Hors horizon (info)",IF(AND($G201="À migrer",$E201="PRD",COUNTIFS(TblApplications[ID],$C201,TblApplications[Environnement],"NPRD",TblApplications[Action],"À migrer")&gt;0,$V201&lt;_xlfn.MINIFS(TblApplications[Mois prov (calc)],TblApplications[ID],$C201,TblApplications[Environnement],"NPRD")),"PRD avant NPRD (info)","OK"))))))))))))))))))))</f>
        <v/>
      </c>
      <c r="AC201" s="76"/>
      <c r="AD201" s="76"/>
      <c r="AE201" s="22" t="str">
        <f aca="false">IF(OR($C201="",NOT(OR($G201="À migrer",$G201="À décommissionner")),NOT(ISNUMBER($N201)),NOT(ISNUMBER($O201)),$W201=""),"",($N201+p_poidsram*$O201)*SUMIFS(TblCalculs[Coût par unité],TblCalculs[Cluster],$I201,TblCalculs[Mois],"&lt;"&amp;$W201))</f>
        <v/>
      </c>
      <c r="AF201" s="22" t="str">
        <f aca="false">IF($C201="","",IF(AND($G201="À migrer",$H201="Non",$T201&lt;&gt;"",$V201&lt;&gt;""),($T201+p_poidsram*$U201)*SUMIFS(TblCalculs[Coût par unité],TblCalculs[Cluster],$J201,TblCalculs[Mois],"&gt;="&amp;$V201),IF(AND($G201="Migré",$T201&lt;&gt;""),($T201+p_poidsram*$U201)*SUMIFS(TblCalculs[Coût par unité],TblCalculs[Cluster],$J201),"")))</f>
        <v/>
      </c>
      <c r="AG201" s="22" t="str">
        <f aca="false">IF($C201="","",N($AE201)+N($AF201))</f>
        <v/>
      </c>
      <c r="AH201" s="21" t="str">
        <f aca="false">IF(OR($C201="",$G201="Décommissionné",COUNTIFS($E201,av_envc,$A201,av_domc,$B201,av_tric)=0),"",COUNTIFS($C$6:$C201,"&lt;&gt;",$G$6:$G201,"&lt;&gt;Décommissionné",$E$6:$E201,av_envc,$A$6:$A201,av_domc,$B$6:$B201,av_tric))</f>
        <v/>
      </c>
      <c r="AI201" s="21" t="str">
        <f aca="false">IF($C201="","",IF(AND(OR($G201="À migrer",$G201="À décommissionner"),$W201&lt;&gt;"",$W201&gt;ex_mois),1,0))</f>
        <v/>
      </c>
      <c r="AJ201" s="21" t="str">
        <f aca="false">IF(OR($C201="",$AI201&lt;&gt;1,COUNTIFS($E201,ex_envc,$A201,ex_domc,$B201,ex_tric)=0),"",COUNTIFS($AI$6:$AI201,1,$E$6:$E201,ex_envc,$A$6:$A201,ex_domc,$B$6:$B201,ex_tric))</f>
        <v/>
      </c>
    </row>
    <row r="202" customFormat="false" ht="15" hidden="false" customHeight="false" outlineLevel="0" collapsed="false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5"/>
      <c r="Q202" s="75"/>
      <c r="R202" s="75"/>
      <c r="S202" s="74"/>
      <c r="T202" s="21" t="str">
        <f aca="false">IF(OR($C202="",NOT(OR($G202="À migrer",$G202="Migré")),NOT(ISNUMBER($K202))),"",ROUNDUP($K202*(1+IF($AC202="",p_margeCPU,$AC202)),0))</f>
        <v/>
      </c>
      <c r="U202" s="21" t="str">
        <f aca="false">IF(OR($C202="",NOT(OR($G202="À migrer",$G202="Migré")),NOT(ISNUMBER($L202))),"",ROUNDUP($L202*(1+IF($AD202="",p_margeRAM,$AD202)),0))</f>
        <v/>
      </c>
      <c r="V202" s="39" t="str">
        <f aca="false">IF(OR(NOT($G202="À migrer"),$P202=""),"",IFERROR(DATE(YEAR($P202),MONTH($P202),1),""))</f>
        <v/>
      </c>
      <c r="W202" s="39" t="str">
        <f aca="false">IF(OR(NOT(OR($G202="À migrer",$G202="À décommissionner")),$R202=""),"",IFERROR(DATE(YEAR($R202),MONTH($R202),1),""))</f>
        <v/>
      </c>
      <c r="X202" s="21" t="str">
        <f aca="false">IF(OR($V202="",$W202=""),"",MAX(0,(YEAR($W202)-YEAR($V202))*12+MONTH($W202)-MONTH($V202)))</f>
        <v/>
      </c>
      <c r="Y202" s="21" t="str">
        <f aca="false">IF($C202="","",COUNTIF(TblApplications[ID],$C202))</f>
        <v/>
      </c>
      <c r="Z202" s="39" t="str">
        <f aca="false">IF($C202="","",IFERROR(1/(1/_xlfn.MINIFS(TblApplications[Mois prov (calc)],TblApplications[ID],$C202)),""))</f>
        <v/>
      </c>
      <c r="AA202" s="39" t="str">
        <f aca="false">IF($C202="","",IFERROR(1/(1/_xlfn.MAXIFS(TblApplications[Mois lib (calc)],TblApplications[ID],$C202)),""))</f>
        <v/>
      </c>
      <c r="AB202" s="21" t="str">
        <f aca="false">IF($C202="","",IF(OR(OR($A202="",$B202="",$D202="",$E202="",$F202="",$G202=""),AND($G202="À migrer",OR($H202="",$I202="",$J202="",$K202="",$L202="",$N202="",$O202="",$P202="",$Q202="",$R202="")),AND($G202="Migré",OR($J202="",$K202="",$L202="")),AND($G202="À décommissionner",OR($I202="",$N202="",$O202="",$R202=""))),"Données manquantes (selon l’action)",IF(AND($G202&lt;&gt;"Migré",$G202&lt;&gt;"À migrer",$G202&lt;&gt;"À décommissionner",$G202&lt;&gt;"Décommissionné"),"Action invalide",IF(COUNTIF(TblDomaines[Domaine],$A202)=0,"Domaine inconnu (référentiel)",IF(COUNTIFS(TblTribes[Tribe],$B202,TblTribes[Domaine de la tribe],$A202)=0,"Tribe inconnue ou hors domaine",IF(AND($G202="À migrer",$H202&lt;&gt;"Oui",$H202&lt;&gt;"Non"),"Valeur Oui/Non invalide (Déjà incluse ROKS)",IF(AND($E202&lt;&gt;"PRD",$E202&lt;&gt;"NPRD"),"Environnement invalide",IF(COUNTIFS(TblApplications[ID],$C202,TblApplications[Environnement],$E202,TblApplications[Couloir],$F202)&gt;1,"Déploiement en doublon (ID + env + couloir)",IF(OR(AND($K202&lt;&gt;"",NOT(ISNUMBER($K202))),AND($L202&lt;&gt;"",NOT(ISNUMBER($L202))),AND($N202&lt;&gt;"",NOT(ISNUMBER($N202))),AND($O202&lt;&gt;"",NOT(ISNUMBER($O202)))),"Ressource non numérique",IF(MIN(N($K202),N($L202),N($N202),N($O202))&lt;0,"Ressource négative",IF(OR(AND($AC202&lt;&gt;"",OR(NOT(ISNUMBER($AC202)),$AC202&lt;0,$AC202&gt;1)),AND($AD202&lt;&gt;"",OR(NOT(ISNUMBER($AD202)),$AD202&lt;0,$AD202&gt;1))),"Marge spécifique invalide (0–100 %)",IF(OR(AND($P202&lt;&gt;"",NOT(ISNUMBER($P202))),AND($Q202&lt;&gt;"",NOT(ISNUMBER($Q202))),AND($R202&lt;&gt;"",NOT(ISNUMBER($R202)))),"Mois invalide",IF(AND(OR($G202="À migrer",$G202="À décommissionner"),COUNTIFS(TblClusters[Cluster],$I202,TblClusters[Plateforme],"IKS")=0),"Cluster IKS inconnu",IF(AND(OR($G202="À migrer",$G202="Migré"),COUNTIFS(TblClusters[Cluster],$J202,TblClusters[Plateforme],"ROKS")=0),"Cluster ROKS inconnu",IF(AND(OR($G202="À migrer",$G202="À décommissionner"),COUNTIFS(TblClusters[Cluster],$I202,TblClusters[Environnement],$E202)=0),"Environnement ≠ cluster IKS",IF(AND(OR($G202="À migrer",$G202="Migré"),COUNTIFS(TblClusters[Cluster],$J202,TblClusters[Environnement],$E202)=0),"Environnement ≠ cluster ROKS",IF(AND($G202="À migrer",OR($P202&gt;$Q202,$Q202&gt;$R202)),"Dates incohérentes (prov ≤ bascule ≤ libération)",IF(AND(OR($G202="À migrer",$G202="À décommissionner"),OR(N($N202)&gt;SUMIFS(TblClusters[CPU initial (vCPU)],TblClusters[Cluster],$I202),N($O202)&gt;SUMIFS(TblClusters[RAM initiale (Go)],TblClusters[Cluster],$I202))),"Libération &gt; capacité du cluster source",IF(OR(AND($V202&lt;&gt;"",$V202&lt;p_debut),AND($W202&lt;&gt;"",$W202&gt;p_fin)),"Hors horizon (info)",IF(AND($G202="À migrer",$E202="PRD",COUNTIFS(TblApplications[ID],$C202,TblApplications[Environnement],"NPRD",TblApplications[Action],"À migrer")&gt;0,$V202&lt;_xlfn.MINIFS(TblApplications[Mois prov (calc)],TblApplications[ID],$C202,TblApplications[Environnement],"NPRD")),"PRD avant NPRD (info)","OK"))))))))))))))))))))</f>
        <v/>
      </c>
      <c r="AC202" s="76"/>
      <c r="AD202" s="76"/>
      <c r="AE202" s="22" t="str">
        <f aca="false">IF(OR($C202="",NOT(OR($G202="À migrer",$G202="À décommissionner")),NOT(ISNUMBER($N202)),NOT(ISNUMBER($O202)),$W202=""),"",($N202+p_poidsram*$O202)*SUMIFS(TblCalculs[Coût par unité],TblCalculs[Cluster],$I202,TblCalculs[Mois],"&lt;"&amp;$W202))</f>
        <v/>
      </c>
      <c r="AF202" s="22" t="str">
        <f aca="false">IF($C202="","",IF(AND($G202="À migrer",$H202="Non",$T202&lt;&gt;"",$V202&lt;&gt;""),($T202+p_poidsram*$U202)*SUMIFS(TblCalculs[Coût par unité],TblCalculs[Cluster],$J202,TblCalculs[Mois],"&gt;="&amp;$V202),IF(AND($G202="Migré",$T202&lt;&gt;""),($T202+p_poidsram*$U202)*SUMIFS(TblCalculs[Coût par unité],TblCalculs[Cluster],$J202),"")))</f>
        <v/>
      </c>
      <c r="AG202" s="22" t="str">
        <f aca="false">IF($C202="","",N($AE202)+N($AF202))</f>
        <v/>
      </c>
      <c r="AH202" s="21" t="str">
        <f aca="false">IF(OR($C202="",$G202="Décommissionné",COUNTIFS($E202,av_envc,$A202,av_domc,$B202,av_tric)=0),"",COUNTIFS($C$6:$C202,"&lt;&gt;",$G$6:$G202,"&lt;&gt;Décommissionné",$E$6:$E202,av_envc,$A$6:$A202,av_domc,$B$6:$B202,av_tric))</f>
        <v/>
      </c>
      <c r="AI202" s="21" t="str">
        <f aca="false">IF($C202="","",IF(AND(OR($G202="À migrer",$G202="À décommissionner"),$W202&lt;&gt;"",$W202&gt;ex_mois),1,0))</f>
        <v/>
      </c>
      <c r="AJ202" s="21" t="str">
        <f aca="false">IF(OR($C202="",$AI202&lt;&gt;1,COUNTIFS($E202,ex_envc,$A202,ex_domc,$B202,ex_tric)=0),"",COUNTIFS($AI$6:$AI202,1,$E$6:$E202,ex_envc,$A$6:$A202,ex_domc,$B$6:$B202,ex_tric))</f>
        <v/>
      </c>
    </row>
    <row r="203" customFormat="false" ht="15" hidden="false" customHeight="false" outlineLevel="0" collapsed="false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5"/>
      <c r="Q203" s="75"/>
      <c r="R203" s="75"/>
      <c r="S203" s="74"/>
      <c r="T203" s="21" t="str">
        <f aca="false">IF(OR($C203="",NOT(OR($G203="À migrer",$G203="Migré")),NOT(ISNUMBER($K203))),"",ROUNDUP($K203*(1+IF($AC203="",p_margeCPU,$AC203)),0))</f>
        <v/>
      </c>
      <c r="U203" s="21" t="str">
        <f aca="false">IF(OR($C203="",NOT(OR($G203="À migrer",$G203="Migré")),NOT(ISNUMBER($L203))),"",ROUNDUP($L203*(1+IF($AD203="",p_margeRAM,$AD203)),0))</f>
        <v/>
      </c>
      <c r="V203" s="39" t="str">
        <f aca="false">IF(OR(NOT($G203="À migrer"),$P203=""),"",IFERROR(DATE(YEAR($P203),MONTH($P203),1),""))</f>
        <v/>
      </c>
      <c r="W203" s="39" t="str">
        <f aca="false">IF(OR(NOT(OR($G203="À migrer",$G203="À décommissionner")),$R203=""),"",IFERROR(DATE(YEAR($R203),MONTH($R203),1),""))</f>
        <v/>
      </c>
      <c r="X203" s="21" t="str">
        <f aca="false">IF(OR($V203="",$W203=""),"",MAX(0,(YEAR($W203)-YEAR($V203))*12+MONTH($W203)-MONTH($V203)))</f>
        <v/>
      </c>
      <c r="Y203" s="21" t="str">
        <f aca="false">IF($C203="","",COUNTIF(TblApplications[ID],$C203))</f>
        <v/>
      </c>
      <c r="Z203" s="39" t="str">
        <f aca="false">IF($C203="","",IFERROR(1/(1/_xlfn.MINIFS(TblApplications[Mois prov (calc)],TblApplications[ID],$C203)),""))</f>
        <v/>
      </c>
      <c r="AA203" s="39" t="str">
        <f aca="false">IF($C203="","",IFERROR(1/(1/_xlfn.MAXIFS(TblApplications[Mois lib (calc)],TblApplications[ID],$C203)),""))</f>
        <v/>
      </c>
      <c r="AB203" s="21" t="str">
        <f aca="false">IF($C203="","",IF(OR(OR($A203="",$B203="",$D203="",$E203="",$F203="",$G203=""),AND($G203="À migrer",OR($H203="",$I203="",$J203="",$K203="",$L203="",$N203="",$O203="",$P203="",$Q203="",$R203="")),AND($G203="Migré",OR($J203="",$K203="",$L203="")),AND($G203="À décommissionner",OR($I203="",$N203="",$O203="",$R203=""))),"Données manquantes (selon l’action)",IF(AND($G203&lt;&gt;"Migré",$G203&lt;&gt;"À migrer",$G203&lt;&gt;"À décommissionner",$G203&lt;&gt;"Décommissionné"),"Action invalide",IF(COUNTIF(TblDomaines[Domaine],$A203)=0,"Domaine inconnu (référentiel)",IF(COUNTIFS(TblTribes[Tribe],$B203,TblTribes[Domaine de la tribe],$A203)=0,"Tribe inconnue ou hors domaine",IF(AND($G203="À migrer",$H203&lt;&gt;"Oui",$H203&lt;&gt;"Non"),"Valeur Oui/Non invalide (Déjà incluse ROKS)",IF(AND($E203&lt;&gt;"PRD",$E203&lt;&gt;"NPRD"),"Environnement invalide",IF(COUNTIFS(TblApplications[ID],$C203,TblApplications[Environnement],$E203,TblApplications[Couloir],$F203)&gt;1,"Déploiement en doublon (ID + env + couloir)",IF(OR(AND($K203&lt;&gt;"",NOT(ISNUMBER($K203))),AND($L203&lt;&gt;"",NOT(ISNUMBER($L203))),AND($N203&lt;&gt;"",NOT(ISNUMBER($N203))),AND($O203&lt;&gt;"",NOT(ISNUMBER($O203)))),"Ressource non numérique",IF(MIN(N($K203),N($L203),N($N203),N($O203))&lt;0,"Ressource négative",IF(OR(AND($AC203&lt;&gt;"",OR(NOT(ISNUMBER($AC203)),$AC203&lt;0,$AC203&gt;1)),AND($AD203&lt;&gt;"",OR(NOT(ISNUMBER($AD203)),$AD203&lt;0,$AD203&gt;1))),"Marge spécifique invalide (0–100 %)",IF(OR(AND($P203&lt;&gt;"",NOT(ISNUMBER($P203))),AND($Q203&lt;&gt;"",NOT(ISNUMBER($Q203))),AND($R203&lt;&gt;"",NOT(ISNUMBER($R203)))),"Mois invalide",IF(AND(OR($G203="À migrer",$G203="À décommissionner"),COUNTIFS(TblClusters[Cluster],$I203,TblClusters[Plateforme],"IKS")=0),"Cluster IKS inconnu",IF(AND(OR($G203="À migrer",$G203="Migré"),COUNTIFS(TblClusters[Cluster],$J203,TblClusters[Plateforme],"ROKS")=0),"Cluster ROKS inconnu",IF(AND(OR($G203="À migrer",$G203="À décommissionner"),COUNTIFS(TblClusters[Cluster],$I203,TblClusters[Environnement],$E203)=0),"Environnement ≠ cluster IKS",IF(AND(OR($G203="À migrer",$G203="Migré"),COUNTIFS(TblClusters[Cluster],$J203,TblClusters[Environnement],$E203)=0),"Environnement ≠ cluster ROKS",IF(AND($G203="À migrer",OR($P203&gt;$Q203,$Q203&gt;$R203)),"Dates incohérentes (prov ≤ bascule ≤ libération)",IF(AND(OR($G203="À migrer",$G203="À décommissionner"),OR(N($N203)&gt;SUMIFS(TblClusters[CPU initial (vCPU)],TblClusters[Cluster],$I203),N($O203)&gt;SUMIFS(TblClusters[RAM initiale (Go)],TblClusters[Cluster],$I203))),"Libération &gt; capacité du cluster source",IF(OR(AND($V203&lt;&gt;"",$V203&lt;p_debut),AND($W203&lt;&gt;"",$W203&gt;p_fin)),"Hors horizon (info)",IF(AND($G203="À migrer",$E203="PRD",COUNTIFS(TblApplications[ID],$C203,TblApplications[Environnement],"NPRD",TblApplications[Action],"À migrer")&gt;0,$V203&lt;_xlfn.MINIFS(TblApplications[Mois prov (calc)],TblApplications[ID],$C203,TblApplications[Environnement],"NPRD")),"PRD avant NPRD (info)","OK"))))))))))))))))))))</f>
        <v/>
      </c>
      <c r="AC203" s="76"/>
      <c r="AD203" s="76"/>
      <c r="AE203" s="22" t="str">
        <f aca="false">IF(OR($C203="",NOT(OR($G203="À migrer",$G203="À décommissionner")),NOT(ISNUMBER($N203)),NOT(ISNUMBER($O203)),$W203=""),"",($N203+p_poidsram*$O203)*SUMIFS(TblCalculs[Coût par unité],TblCalculs[Cluster],$I203,TblCalculs[Mois],"&lt;"&amp;$W203))</f>
        <v/>
      </c>
      <c r="AF203" s="22" t="str">
        <f aca="false">IF($C203="","",IF(AND($G203="À migrer",$H203="Non",$T203&lt;&gt;"",$V203&lt;&gt;""),($T203+p_poidsram*$U203)*SUMIFS(TblCalculs[Coût par unité],TblCalculs[Cluster],$J203,TblCalculs[Mois],"&gt;="&amp;$V203),IF(AND($G203="Migré",$T203&lt;&gt;""),($T203+p_poidsram*$U203)*SUMIFS(TblCalculs[Coût par unité],TblCalculs[Cluster],$J203),"")))</f>
        <v/>
      </c>
      <c r="AG203" s="22" t="str">
        <f aca="false">IF($C203="","",N($AE203)+N($AF203))</f>
        <v/>
      </c>
      <c r="AH203" s="21" t="str">
        <f aca="false">IF(OR($C203="",$G203="Décommissionné",COUNTIFS($E203,av_envc,$A203,av_domc,$B203,av_tric)=0),"",COUNTIFS($C$6:$C203,"&lt;&gt;",$G$6:$G203,"&lt;&gt;Décommissionné",$E$6:$E203,av_envc,$A$6:$A203,av_domc,$B$6:$B203,av_tric))</f>
        <v/>
      </c>
      <c r="AI203" s="21" t="str">
        <f aca="false">IF($C203="","",IF(AND(OR($G203="À migrer",$G203="À décommissionner"),$W203&lt;&gt;"",$W203&gt;ex_mois),1,0))</f>
        <v/>
      </c>
      <c r="AJ203" s="21" t="str">
        <f aca="false">IF(OR($C203="",$AI203&lt;&gt;1,COUNTIFS($E203,ex_envc,$A203,ex_domc,$B203,ex_tric)=0),"",COUNTIFS($AI$6:$AI203,1,$E$6:$E203,ex_envc,$A$6:$A203,ex_domc,$B$6:$B203,ex_tric))</f>
        <v/>
      </c>
    </row>
    <row r="204" customFormat="false" ht="15" hidden="false" customHeight="false" outlineLevel="0" collapsed="false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5"/>
      <c r="Q204" s="75"/>
      <c r="R204" s="75"/>
      <c r="S204" s="74"/>
      <c r="T204" s="21" t="str">
        <f aca="false">IF(OR($C204="",NOT(OR($G204="À migrer",$G204="Migré")),NOT(ISNUMBER($K204))),"",ROUNDUP($K204*(1+IF($AC204="",p_margeCPU,$AC204)),0))</f>
        <v/>
      </c>
      <c r="U204" s="21" t="str">
        <f aca="false">IF(OR($C204="",NOT(OR($G204="À migrer",$G204="Migré")),NOT(ISNUMBER($L204))),"",ROUNDUP($L204*(1+IF($AD204="",p_margeRAM,$AD204)),0))</f>
        <v/>
      </c>
      <c r="V204" s="39" t="str">
        <f aca="false">IF(OR(NOT($G204="À migrer"),$P204=""),"",IFERROR(DATE(YEAR($P204),MONTH($P204),1),""))</f>
        <v/>
      </c>
      <c r="W204" s="39" t="str">
        <f aca="false">IF(OR(NOT(OR($G204="À migrer",$G204="À décommissionner")),$R204=""),"",IFERROR(DATE(YEAR($R204),MONTH($R204),1),""))</f>
        <v/>
      </c>
      <c r="X204" s="21" t="str">
        <f aca="false">IF(OR($V204="",$W204=""),"",MAX(0,(YEAR($W204)-YEAR($V204))*12+MONTH($W204)-MONTH($V204)))</f>
        <v/>
      </c>
      <c r="Y204" s="21" t="str">
        <f aca="false">IF($C204="","",COUNTIF(TblApplications[ID],$C204))</f>
        <v/>
      </c>
      <c r="Z204" s="39" t="str">
        <f aca="false">IF($C204="","",IFERROR(1/(1/_xlfn.MINIFS(TblApplications[Mois prov (calc)],TblApplications[ID],$C204)),""))</f>
        <v/>
      </c>
      <c r="AA204" s="39" t="str">
        <f aca="false">IF($C204="","",IFERROR(1/(1/_xlfn.MAXIFS(TblApplications[Mois lib (calc)],TblApplications[ID],$C204)),""))</f>
        <v/>
      </c>
      <c r="AB204" s="21" t="str">
        <f aca="false">IF($C204="","",IF(OR(OR($A204="",$B204="",$D204="",$E204="",$F204="",$G204=""),AND($G204="À migrer",OR($H204="",$I204="",$J204="",$K204="",$L204="",$N204="",$O204="",$P204="",$Q204="",$R204="")),AND($G204="Migré",OR($J204="",$K204="",$L204="")),AND($G204="À décommissionner",OR($I204="",$N204="",$O204="",$R204=""))),"Données manquantes (selon l’action)",IF(AND($G204&lt;&gt;"Migré",$G204&lt;&gt;"À migrer",$G204&lt;&gt;"À décommissionner",$G204&lt;&gt;"Décommissionné"),"Action invalide",IF(COUNTIF(TblDomaines[Domaine],$A204)=0,"Domaine inconnu (référentiel)",IF(COUNTIFS(TblTribes[Tribe],$B204,TblTribes[Domaine de la tribe],$A204)=0,"Tribe inconnue ou hors domaine",IF(AND($G204="À migrer",$H204&lt;&gt;"Oui",$H204&lt;&gt;"Non"),"Valeur Oui/Non invalide (Déjà incluse ROKS)",IF(AND($E204&lt;&gt;"PRD",$E204&lt;&gt;"NPRD"),"Environnement invalide",IF(COUNTIFS(TblApplications[ID],$C204,TblApplications[Environnement],$E204,TblApplications[Couloir],$F204)&gt;1,"Déploiement en doublon (ID + env + couloir)",IF(OR(AND($K204&lt;&gt;"",NOT(ISNUMBER($K204))),AND($L204&lt;&gt;"",NOT(ISNUMBER($L204))),AND($N204&lt;&gt;"",NOT(ISNUMBER($N204))),AND($O204&lt;&gt;"",NOT(ISNUMBER($O204)))),"Ressource non numérique",IF(MIN(N($K204),N($L204),N($N204),N($O204))&lt;0,"Ressource négative",IF(OR(AND($AC204&lt;&gt;"",OR(NOT(ISNUMBER($AC204)),$AC204&lt;0,$AC204&gt;1)),AND($AD204&lt;&gt;"",OR(NOT(ISNUMBER($AD204)),$AD204&lt;0,$AD204&gt;1))),"Marge spécifique invalide (0–100 %)",IF(OR(AND($P204&lt;&gt;"",NOT(ISNUMBER($P204))),AND($Q204&lt;&gt;"",NOT(ISNUMBER($Q204))),AND($R204&lt;&gt;"",NOT(ISNUMBER($R204)))),"Mois invalide",IF(AND(OR($G204="À migrer",$G204="À décommissionner"),COUNTIFS(TblClusters[Cluster],$I204,TblClusters[Plateforme],"IKS")=0),"Cluster IKS inconnu",IF(AND(OR($G204="À migrer",$G204="Migré"),COUNTIFS(TblClusters[Cluster],$J204,TblClusters[Plateforme],"ROKS")=0),"Cluster ROKS inconnu",IF(AND(OR($G204="À migrer",$G204="À décommissionner"),COUNTIFS(TblClusters[Cluster],$I204,TblClusters[Environnement],$E204)=0),"Environnement ≠ cluster IKS",IF(AND(OR($G204="À migrer",$G204="Migré"),COUNTIFS(TblClusters[Cluster],$J204,TblClusters[Environnement],$E204)=0),"Environnement ≠ cluster ROKS",IF(AND($G204="À migrer",OR($P204&gt;$Q204,$Q204&gt;$R204)),"Dates incohérentes (prov ≤ bascule ≤ libération)",IF(AND(OR($G204="À migrer",$G204="À décommissionner"),OR(N($N204)&gt;SUMIFS(TblClusters[CPU initial (vCPU)],TblClusters[Cluster],$I204),N($O204)&gt;SUMIFS(TblClusters[RAM initiale (Go)],TblClusters[Cluster],$I204))),"Libération &gt; capacité du cluster source",IF(OR(AND($V204&lt;&gt;"",$V204&lt;p_debut),AND($W204&lt;&gt;"",$W204&gt;p_fin)),"Hors horizon (info)",IF(AND($G204="À migrer",$E204="PRD",COUNTIFS(TblApplications[ID],$C204,TblApplications[Environnement],"NPRD",TblApplications[Action],"À migrer")&gt;0,$V204&lt;_xlfn.MINIFS(TblApplications[Mois prov (calc)],TblApplications[ID],$C204,TblApplications[Environnement],"NPRD")),"PRD avant NPRD (info)","OK"))))))))))))))))))))</f>
        <v/>
      </c>
      <c r="AC204" s="76"/>
      <c r="AD204" s="76"/>
      <c r="AE204" s="22" t="str">
        <f aca="false">IF(OR($C204="",NOT(OR($G204="À migrer",$G204="À décommissionner")),NOT(ISNUMBER($N204)),NOT(ISNUMBER($O204)),$W204=""),"",($N204+p_poidsram*$O204)*SUMIFS(TblCalculs[Coût par unité],TblCalculs[Cluster],$I204,TblCalculs[Mois],"&lt;"&amp;$W204))</f>
        <v/>
      </c>
      <c r="AF204" s="22" t="str">
        <f aca="false">IF($C204="","",IF(AND($G204="À migrer",$H204="Non",$T204&lt;&gt;"",$V204&lt;&gt;""),($T204+p_poidsram*$U204)*SUMIFS(TblCalculs[Coût par unité],TblCalculs[Cluster],$J204,TblCalculs[Mois],"&gt;="&amp;$V204),IF(AND($G204="Migré",$T204&lt;&gt;""),($T204+p_poidsram*$U204)*SUMIFS(TblCalculs[Coût par unité],TblCalculs[Cluster],$J204),"")))</f>
        <v/>
      </c>
      <c r="AG204" s="22" t="str">
        <f aca="false">IF($C204="","",N($AE204)+N($AF204))</f>
        <v/>
      </c>
      <c r="AH204" s="21" t="str">
        <f aca="false">IF(OR($C204="",$G204="Décommissionné",COUNTIFS($E204,av_envc,$A204,av_domc,$B204,av_tric)=0),"",COUNTIFS($C$6:$C204,"&lt;&gt;",$G$6:$G204,"&lt;&gt;Décommissionné",$E$6:$E204,av_envc,$A$6:$A204,av_domc,$B$6:$B204,av_tric))</f>
        <v/>
      </c>
      <c r="AI204" s="21" t="str">
        <f aca="false">IF($C204="","",IF(AND(OR($G204="À migrer",$G204="À décommissionner"),$W204&lt;&gt;"",$W204&gt;ex_mois),1,0))</f>
        <v/>
      </c>
      <c r="AJ204" s="21" t="str">
        <f aca="false">IF(OR($C204="",$AI204&lt;&gt;1,COUNTIFS($E204,ex_envc,$A204,ex_domc,$B204,ex_tric)=0),"",COUNTIFS($AI$6:$AI204,1,$E$6:$E204,ex_envc,$A$6:$A204,ex_domc,$B$6:$B204,ex_tric))</f>
        <v/>
      </c>
    </row>
    <row r="205" customFormat="false" ht="15" hidden="false" customHeight="false" outlineLevel="0" collapsed="false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5"/>
      <c r="Q205" s="75"/>
      <c r="R205" s="75"/>
      <c r="S205" s="74"/>
      <c r="T205" s="21" t="str">
        <f aca="false">IF(OR($C205="",NOT(OR($G205="À migrer",$G205="Migré")),NOT(ISNUMBER($K205))),"",ROUNDUP($K205*(1+IF($AC205="",p_margeCPU,$AC205)),0))</f>
        <v/>
      </c>
      <c r="U205" s="21" t="str">
        <f aca="false">IF(OR($C205="",NOT(OR($G205="À migrer",$G205="Migré")),NOT(ISNUMBER($L205))),"",ROUNDUP($L205*(1+IF($AD205="",p_margeRAM,$AD205)),0))</f>
        <v/>
      </c>
      <c r="V205" s="39" t="str">
        <f aca="false">IF(OR(NOT($G205="À migrer"),$P205=""),"",IFERROR(DATE(YEAR($P205),MONTH($P205),1),""))</f>
        <v/>
      </c>
      <c r="W205" s="39" t="str">
        <f aca="false">IF(OR(NOT(OR($G205="À migrer",$G205="À décommissionner")),$R205=""),"",IFERROR(DATE(YEAR($R205),MONTH($R205),1),""))</f>
        <v/>
      </c>
      <c r="X205" s="21" t="str">
        <f aca="false">IF(OR($V205="",$W205=""),"",MAX(0,(YEAR($W205)-YEAR($V205))*12+MONTH($W205)-MONTH($V205)))</f>
        <v/>
      </c>
      <c r="Y205" s="21" t="str">
        <f aca="false">IF($C205="","",COUNTIF(TblApplications[ID],$C205))</f>
        <v/>
      </c>
      <c r="Z205" s="39" t="str">
        <f aca="false">IF($C205="","",IFERROR(1/(1/_xlfn.MINIFS(TblApplications[Mois prov (calc)],TblApplications[ID],$C205)),""))</f>
        <v/>
      </c>
      <c r="AA205" s="39" t="str">
        <f aca="false">IF($C205="","",IFERROR(1/(1/_xlfn.MAXIFS(TblApplications[Mois lib (calc)],TblApplications[ID],$C205)),""))</f>
        <v/>
      </c>
      <c r="AB205" s="21" t="str">
        <f aca="false">IF($C205="","",IF(OR(OR($A205="",$B205="",$D205="",$E205="",$F205="",$G205=""),AND($G205="À migrer",OR($H205="",$I205="",$J205="",$K205="",$L205="",$N205="",$O205="",$P205="",$Q205="",$R205="")),AND($G205="Migré",OR($J205="",$K205="",$L205="")),AND($G205="À décommissionner",OR($I205="",$N205="",$O205="",$R205=""))),"Données manquantes (selon l’action)",IF(AND($G205&lt;&gt;"Migré",$G205&lt;&gt;"À migrer",$G205&lt;&gt;"À décommissionner",$G205&lt;&gt;"Décommissionné"),"Action invalide",IF(COUNTIF(TblDomaines[Domaine],$A205)=0,"Domaine inconnu (référentiel)",IF(COUNTIFS(TblTribes[Tribe],$B205,TblTribes[Domaine de la tribe],$A205)=0,"Tribe inconnue ou hors domaine",IF(AND($G205="À migrer",$H205&lt;&gt;"Oui",$H205&lt;&gt;"Non"),"Valeur Oui/Non invalide (Déjà incluse ROKS)",IF(AND($E205&lt;&gt;"PRD",$E205&lt;&gt;"NPRD"),"Environnement invalide",IF(COUNTIFS(TblApplications[ID],$C205,TblApplications[Environnement],$E205,TblApplications[Couloir],$F205)&gt;1,"Déploiement en doublon (ID + env + couloir)",IF(OR(AND($K205&lt;&gt;"",NOT(ISNUMBER($K205))),AND($L205&lt;&gt;"",NOT(ISNUMBER($L205))),AND($N205&lt;&gt;"",NOT(ISNUMBER($N205))),AND($O205&lt;&gt;"",NOT(ISNUMBER($O205)))),"Ressource non numérique",IF(MIN(N($K205),N($L205),N($N205),N($O205))&lt;0,"Ressource négative",IF(OR(AND($AC205&lt;&gt;"",OR(NOT(ISNUMBER($AC205)),$AC205&lt;0,$AC205&gt;1)),AND($AD205&lt;&gt;"",OR(NOT(ISNUMBER($AD205)),$AD205&lt;0,$AD205&gt;1))),"Marge spécifique invalide (0–100 %)",IF(OR(AND($P205&lt;&gt;"",NOT(ISNUMBER($P205))),AND($Q205&lt;&gt;"",NOT(ISNUMBER($Q205))),AND($R205&lt;&gt;"",NOT(ISNUMBER($R205)))),"Mois invalide",IF(AND(OR($G205="À migrer",$G205="À décommissionner"),COUNTIFS(TblClusters[Cluster],$I205,TblClusters[Plateforme],"IKS")=0),"Cluster IKS inconnu",IF(AND(OR($G205="À migrer",$G205="Migré"),COUNTIFS(TblClusters[Cluster],$J205,TblClusters[Plateforme],"ROKS")=0),"Cluster ROKS inconnu",IF(AND(OR($G205="À migrer",$G205="À décommissionner"),COUNTIFS(TblClusters[Cluster],$I205,TblClusters[Environnement],$E205)=0),"Environnement ≠ cluster IKS",IF(AND(OR($G205="À migrer",$G205="Migré"),COUNTIFS(TblClusters[Cluster],$J205,TblClusters[Environnement],$E205)=0),"Environnement ≠ cluster ROKS",IF(AND($G205="À migrer",OR($P205&gt;$Q205,$Q205&gt;$R205)),"Dates incohérentes (prov ≤ bascule ≤ libération)",IF(AND(OR($G205="À migrer",$G205="À décommissionner"),OR(N($N205)&gt;SUMIFS(TblClusters[CPU initial (vCPU)],TblClusters[Cluster],$I205),N($O205)&gt;SUMIFS(TblClusters[RAM initiale (Go)],TblClusters[Cluster],$I205))),"Libération &gt; capacité du cluster source",IF(OR(AND($V205&lt;&gt;"",$V205&lt;p_debut),AND($W205&lt;&gt;"",$W205&gt;p_fin)),"Hors horizon (info)",IF(AND($G205="À migrer",$E205="PRD",COUNTIFS(TblApplications[ID],$C205,TblApplications[Environnement],"NPRD",TblApplications[Action],"À migrer")&gt;0,$V205&lt;_xlfn.MINIFS(TblApplications[Mois prov (calc)],TblApplications[ID],$C205,TblApplications[Environnement],"NPRD")),"PRD avant NPRD (info)","OK"))))))))))))))))))))</f>
        <v/>
      </c>
      <c r="AC205" s="76"/>
      <c r="AD205" s="76"/>
      <c r="AE205" s="22" t="str">
        <f aca="false">IF(OR($C205="",NOT(OR($G205="À migrer",$G205="À décommissionner")),NOT(ISNUMBER($N205)),NOT(ISNUMBER($O205)),$W205=""),"",($N205+p_poidsram*$O205)*SUMIFS(TblCalculs[Coût par unité],TblCalculs[Cluster],$I205,TblCalculs[Mois],"&lt;"&amp;$W205))</f>
        <v/>
      </c>
      <c r="AF205" s="22" t="str">
        <f aca="false">IF($C205="","",IF(AND($G205="À migrer",$H205="Non",$T205&lt;&gt;"",$V205&lt;&gt;""),($T205+p_poidsram*$U205)*SUMIFS(TblCalculs[Coût par unité],TblCalculs[Cluster],$J205,TblCalculs[Mois],"&gt;="&amp;$V205),IF(AND($G205="Migré",$T205&lt;&gt;""),($T205+p_poidsram*$U205)*SUMIFS(TblCalculs[Coût par unité],TblCalculs[Cluster],$J205),"")))</f>
        <v/>
      </c>
      <c r="AG205" s="22" t="str">
        <f aca="false">IF($C205="","",N($AE205)+N($AF205))</f>
        <v/>
      </c>
      <c r="AH205" s="21" t="str">
        <f aca="false">IF(OR($C205="",$G205="Décommissionné",COUNTIFS($E205,av_envc,$A205,av_domc,$B205,av_tric)=0),"",COUNTIFS($C$6:$C205,"&lt;&gt;",$G$6:$G205,"&lt;&gt;Décommissionné",$E$6:$E205,av_envc,$A$6:$A205,av_domc,$B$6:$B205,av_tric))</f>
        <v/>
      </c>
      <c r="AI205" s="21" t="str">
        <f aca="false">IF($C205="","",IF(AND(OR($G205="À migrer",$G205="À décommissionner"),$W205&lt;&gt;"",$W205&gt;ex_mois),1,0))</f>
        <v/>
      </c>
      <c r="AJ205" s="21" t="str">
        <f aca="false">IF(OR($C205="",$AI205&lt;&gt;1,COUNTIFS($E205,ex_envc,$A205,ex_domc,$B205,ex_tric)=0),"",COUNTIFS($AI$6:$AI205,1,$E$6:$E205,ex_envc,$A$6:$A205,ex_domc,$B$6:$B205,ex_tric))</f>
        <v/>
      </c>
    </row>
    <row r="206" customFormat="false" ht="15" hidden="false" customHeight="false" outlineLevel="0" collapsed="false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5"/>
      <c r="Q206" s="75"/>
      <c r="R206" s="75"/>
      <c r="S206" s="74"/>
      <c r="T206" s="21" t="str">
        <f aca="false">IF(OR($C206="",NOT(OR($G206="À migrer",$G206="Migré")),NOT(ISNUMBER($K206))),"",ROUNDUP($K206*(1+IF($AC206="",p_margeCPU,$AC206)),0))</f>
        <v/>
      </c>
      <c r="U206" s="21" t="str">
        <f aca="false">IF(OR($C206="",NOT(OR($G206="À migrer",$G206="Migré")),NOT(ISNUMBER($L206))),"",ROUNDUP($L206*(1+IF($AD206="",p_margeRAM,$AD206)),0))</f>
        <v/>
      </c>
      <c r="V206" s="39" t="str">
        <f aca="false">IF(OR(NOT($G206="À migrer"),$P206=""),"",IFERROR(DATE(YEAR($P206),MONTH($P206),1),""))</f>
        <v/>
      </c>
      <c r="W206" s="39" t="str">
        <f aca="false">IF(OR(NOT(OR($G206="À migrer",$G206="À décommissionner")),$R206=""),"",IFERROR(DATE(YEAR($R206),MONTH($R206),1),""))</f>
        <v/>
      </c>
      <c r="X206" s="21" t="str">
        <f aca="false">IF(OR($V206="",$W206=""),"",MAX(0,(YEAR($W206)-YEAR($V206))*12+MONTH($W206)-MONTH($V206)))</f>
        <v/>
      </c>
      <c r="Y206" s="21" t="str">
        <f aca="false">IF($C206="","",COUNTIF(TblApplications[ID],$C206))</f>
        <v/>
      </c>
      <c r="Z206" s="39" t="str">
        <f aca="false">IF($C206="","",IFERROR(1/(1/_xlfn.MINIFS(TblApplications[Mois prov (calc)],TblApplications[ID],$C206)),""))</f>
        <v/>
      </c>
      <c r="AA206" s="39" t="str">
        <f aca="false">IF($C206="","",IFERROR(1/(1/_xlfn.MAXIFS(TblApplications[Mois lib (calc)],TblApplications[ID],$C206)),""))</f>
        <v/>
      </c>
      <c r="AB206" s="21" t="str">
        <f aca="false">IF($C206="","",IF(OR(OR($A206="",$B206="",$D206="",$E206="",$F206="",$G206=""),AND($G206="À migrer",OR($H206="",$I206="",$J206="",$K206="",$L206="",$N206="",$O206="",$P206="",$Q206="",$R206="")),AND($G206="Migré",OR($J206="",$K206="",$L206="")),AND($G206="À décommissionner",OR($I206="",$N206="",$O206="",$R206=""))),"Données manquantes (selon l’action)",IF(AND($G206&lt;&gt;"Migré",$G206&lt;&gt;"À migrer",$G206&lt;&gt;"À décommissionner",$G206&lt;&gt;"Décommissionné"),"Action invalide",IF(COUNTIF(TblDomaines[Domaine],$A206)=0,"Domaine inconnu (référentiel)",IF(COUNTIFS(TblTribes[Tribe],$B206,TblTribes[Domaine de la tribe],$A206)=0,"Tribe inconnue ou hors domaine",IF(AND($G206="À migrer",$H206&lt;&gt;"Oui",$H206&lt;&gt;"Non"),"Valeur Oui/Non invalide (Déjà incluse ROKS)",IF(AND($E206&lt;&gt;"PRD",$E206&lt;&gt;"NPRD"),"Environnement invalide",IF(COUNTIFS(TblApplications[ID],$C206,TblApplications[Environnement],$E206,TblApplications[Couloir],$F206)&gt;1,"Déploiement en doublon (ID + env + couloir)",IF(OR(AND($K206&lt;&gt;"",NOT(ISNUMBER($K206))),AND($L206&lt;&gt;"",NOT(ISNUMBER($L206))),AND($N206&lt;&gt;"",NOT(ISNUMBER($N206))),AND($O206&lt;&gt;"",NOT(ISNUMBER($O206)))),"Ressource non numérique",IF(MIN(N($K206),N($L206),N($N206),N($O206))&lt;0,"Ressource négative",IF(OR(AND($AC206&lt;&gt;"",OR(NOT(ISNUMBER($AC206)),$AC206&lt;0,$AC206&gt;1)),AND($AD206&lt;&gt;"",OR(NOT(ISNUMBER($AD206)),$AD206&lt;0,$AD206&gt;1))),"Marge spécifique invalide (0–100 %)",IF(OR(AND($P206&lt;&gt;"",NOT(ISNUMBER($P206))),AND($Q206&lt;&gt;"",NOT(ISNUMBER($Q206))),AND($R206&lt;&gt;"",NOT(ISNUMBER($R206)))),"Mois invalide",IF(AND(OR($G206="À migrer",$G206="À décommissionner"),COUNTIFS(TblClusters[Cluster],$I206,TblClusters[Plateforme],"IKS")=0),"Cluster IKS inconnu",IF(AND(OR($G206="À migrer",$G206="Migré"),COUNTIFS(TblClusters[Cluster],$J206,TblClusters[Plateforme],"ROKS")=0),"Cluster ROKS inconnu",IF(AND(OR($G206="À migrer",$G206="À décommissionner"),COUNTIFS(TblClusters[Cluster],$I206,TblClusters[Environnement],$E206)=0),"Environnement ≠ cluster IKS",IF(AND(OR($G206="À migrer",$G206="Migré"),COUNTIFS(TblClusters[Cluster],$J206,TblClusters[Environnement],$E206)=0),"Environnement ≠ cluster ROKS",IF(AND($G206="À migrer",OR($P206&gt;$Q206,$Q206&gt;$R206)),"Dates incohérentes (prov ≤ bascule ≤ libération)",IF(AND(OR($G206="À migrer",$G206="À décommissionner"),OR(N($N206)&gt;SUMIFS(TblClusters[CPU initial (vCPU)],TblClusters[Cluster],$I206),N($O206)&gt;SUMIFS(TblClusters[RAM initiale (Go)],TblClusters[Cluster],$I206))),"Libération &gt; capacité du cluster source",IF(OR(AND($V206&lt;&gt;"",$V206&lt;p_debut),AND($W206&lt;&gt;"",$W206&gt;p_fin)),"Hors horizon (info)",IF(AND($G206="À migrer",$E206="PRD",COUNTIFS(TblApplications[ID],$C206,TblApplications[Environnement],"NPRD",TblApplications[Action],"À migrer")&gt;0,$V206&lt;_xlfn.MINIFS(TblApplications[Mois prov (calc)],TblApplications[ID],$C206,TblApplications[Environnement],"NPRD")),"PRD avant NPRD (info)","OK"))))))))))))))))))))</f>
        <v/>
      </c>
      <c r="AC206" s="76"/>
      <c r="AD206" s="76"/>
      <c r="AE206" s="22" t="str">
        <f aca="false">IF(OR($C206="",NOT(OR($G206="À migrer",$G206="À décommissionner")),NOT(ISNUMBER($N206)),NOT(ISNUMBER($O206)),$W206=""),"",($N206+p_poidsram*$O206)*SUMIFS(TblCalculs[Coût par unité],TblCalculs[Cluster],$I206,TblCalculs[Mois],"&lt;"&amp;$W206))</f>
        <v/>
      </c>
      <c r="AF206" s="22" t="str">
        <f aca="false">IF($C206="","",IF(AND($G206="À migrer",$H206="Non",$T206&lt;&gt;"",$V206&lt;&gt;""),($T206+p_poidsram*$U206)*SUMIFS(TblCalculs[Coût par unité],TblCalculs[Cluster],$J206,TblCalculs[Mois],"&gt;="&amp;$V206),IF(AND($G206="Migré",$T206&lt;&gt;""),($T206+p_poidsram*$U206)*SUMIFS(TblCalculs[Coût par unité],TblCalculs[Cluster],$J206),"")))</f>
        <v/>
      </c>
      <c r="AG206" s="22" t="str">
        <f aca="false">IF($C206="","",N($AE206)+N($AF206))</f>
        <v/>
      </c>
      <c r="AH206" s="21" t="str">
        <f aca="false">IF(OR($C206="",$G206="Décommissionné",COUNTIFS($E206,av_envc,$A206,av_domc,$B206,av_tric)=0),"",COUNTIFS($C$6:$C206,"&lt;&gt;",$G$6:$G206,"&lt;&gt;Décommissionné",$E$6:$E206,av_envc,$A$6:$A206,av_domc,$B$6:$B206,av_tric))</f>
        <v/>
      </c>
      <c r="AI206" s="21" t="str">
        <f aca="false">IF($C206="","",IF(AND(OR($G206="À migrer",$G206="À décommissionner"),$W206&lt;&gt;"",$W206&gt;ex_mois),1,0))</f>
        <v/>
      </c>
      <c r="AJ206" s="21" t="str">
        <f aca="false">IF(OR($C206="",$AI206&lt;&gt;1,COUNTIFS($E206,ex_envc,$A206,ex_domc,$B206,ex_tric)=0),"",COUNTIFS($AI$6:$AI206,1,$E$6:$E206,ex_envc,$A$6:$A206,ex_domc,$B$6:$B206,ex_tric))</f>
        <v/>
      </c>
    </row>
    <row r="207" customFormat="false" ht="15" hidden="false" customHeight="false" outlineLevel="0" collapsed="false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5"/>
      <c r="Q207" s="75"/>
      <c r="R207" s="75"/>
      <c r="S207" s="74"/>
      <c r="T207" s="21" t="str">
        <f aca="false">IF(OR($C207="",NOT(OR($G207="À migrer",$G207="Migré")),NOT(ISNUMBER($K207))),"",ROUNDUP($K207*(1+IF($AC207="",p_margeCPU,$AC207)),0))</f>
        <v/>
      </c>
      <c r="U207" s="21" t="str">
        <f aca="false">IF(OR($C207="",NOT(OR($G207="À migrer",$G207="Migré")),NOT(ISNUMBER($L207))),"",ROUNDUP($L207*(1+IF($AD207="",p_margeRAM,$AD207)),0))</f>
        <v/>
      </c>
      <c r="V207" s="39" t="str">
        <f aca="false">IF(OR(NOT($G207="À migrer"),$P207=""),"",IFERROR(DATE(YEAR($P207),MONTH($P207),1),""))</f>
        <v/>
      </c>
      <c r="W207" s="39" t="str">
        <f aca="false">IF(OR(NOT(OR($G207="À migrer",$G207="À décommissionner")),$R207=""),"",IFERROR(DATE(YEAR($R207),MONTH($R207),1),""))</f>
        <v/>
      </c>
      <c r="X207" s="21" t="str">
        <f aca="false">IF(OR($V207="",$W207=""),"",MAX(0,(YEAR($W207)-YEAR($V207))*12+MONTH($W207)-MONTH($V207)))</f>
        <v/>
      </c>
      <c r="Y207" s="21" t="str">
        <f aca="false">IF($C207="","",COUNTIF(TblApplications[ID],$C207))</f>
        <v/>
      </c>
      <c r="Z207" s="39" t="str">
        <f aca="false">IF($C207="","",IFERROR(1/(1/_xlfn.MINIFS(TblApplications[Mois prov (calc)],TblApplications[ID],$C207)),""))</f>
        <v/>
      </c>
      <c r="AA207" s="39" t="str">
        <f aca="false">IF($C207="","",IFERROR(1/(1/_xlfn.MAXIFS(TblApplications[Mois lib (calc)],TblApplications[ID],$C207)),""))</f>
        <v/>
      </c>
      <c r="AB207" s="21" t="str">
        <f aca="false">IF($C207="","",IF(OR(OR($A207="",$B207="",$D207="",$E207="",$F207="",$G207=""),AND($G207="À migrer",OR($H207="",$I207="",$J207="",$K207="",$L207="",$N207="",$O207="",$P207="",$Q207="",$R207="")),AND($G207="Migré",OR($J207="",$K207="",$L207="")),AND($G207="À décommissionner",OR($I207="",$N207="",$O207="",$R207=""))),"Données manquantes (selon l’action)",IF(AND($G207&lt;&gt;"Migré",$G207&lt;&gt;"À migrer",$G207&lt;&gt;"À décommissionner",$G207&lt;&gt;"Décommissionné"),"Action invalide",IF(COUNTIF(TblDomaines[Domaine],$A207)=0,"Domaine inconnu (référentiel)",IF(COUNTIFS(TblTribes[Tribe],$B207,TblTribes[Domaine de la tribe],$A207)=0,"Tribe inconnue ou hors domaine",IF(AND($G207="À migrer",$H207&lt;&gt;"Oui",$H207&lt;&gt;"Non"),"Valeur Oui/Non invalide (Déjà incluse ROKS)",IF(AND($E207&lt;&gt;"PRD",$E207&lt;&gt;"NPRD"),"Environnement invalide",IF(COUNTIFS(TblApplications[ID],$C207,TblApplications[Environnement],$E207,TblApplications[Couloir],$F207)&gt;1,"Déploiement en doublon (ID + env + couloir)",IF(OR(AND($K207&lt;&gt;"",NOT(ISNUMBER($K207))),AND($L207&lt;&gt;"",NOT(ISNUMBER($L207))),AND($N207&lt;&gt;"",NOT(ISNUMBER($N207))),AND($O207&lt;&gt;"",NOT(ISNUMBER($O207)))),"Ressource non numérique",IF(MIN(N($K207),N($L207),N($N207),N($O207))&lt;0,"Ressource négative",IF(OR(AND($AC207&lt;&gt;"",OR(NOT(ISNUMBER($AC207)),$AC207&lt;0,$AC207&gt;1)),AND($AD207&lt;&gt;"",OR(NOT(ISNUMBER($AD207)),$AD207&lt;0,$AD207&gt;1))),"Marge spécifique invalide (0–100 %)",IF(OR(AND($P207&lt;&gt;"",NOT(ISNUMBER($P207))),AND($Q207&lt;&gt;"",NOT(ISNUMBER($Q207))),AND($R207&lt;&gt;"",NOT(ISNUMBER($R207)))),"Mois invalide",IF(AND(OR($G207="À migrer",$G207="À décommissionner"),COUNTIFS(TblClusters[Cluster],$I207,TblClusters[Plateforme],"IKS")=0),"Cluster IKS inconnu",IF(AND(OR($G207="À migrer",$G207="Migré"),COUNTIFS(TblClusters[Cluster],$J207,TblClusters[Plateforme],"ROKS")=0),"Cluster ROKS inconnu",IF(AND(OR($G207="À migrer",$G207="À décommissionner"),COUNTIFS(TblClusters[Cluster],$I207,TblClusters[Environnement],$E207)=0),"Environnement ≠ cluster IKS",IF(AND(OR($G207="À migrer",$G207="Migré"),COUNTIFS(TblClusters[Cluster],$J207,TblClusters[Environnement],$E207)=0),"Environnement ≠ cluster ROKS",IF(AND($G207="À migrer",OR($P207&gt;$Q207,$Q207&gt;$R207)),"Dates incohérentes (prov ≤ bascule ≤ libération)",IF(AND(OR($G207="À migrer",$G207="À décommissionner"),OR(N($N207)&gt;SUMIFS(TblClusters[CPU initial (vCPU)],TblClusters[Cluster],$I207),N($O207)&gt;SUMIFS(TblClusters[RAM initiale (Go)],TblClusters[Cluster],$I207))),"Libération &gt; capacité du cluster source",IF(OR(AND($V207&lt;&gt;"",$V207&lt;p_debut),AND($W207&lt;&gt;"",$W207&gt;p_fin)),"Hors horizon (info)",IF(AND($G207="À migrer",$E207="PRD",COUNTIFS(TblApplications[ID],$C207,TblApplications[Environnement],"NPRD",TblApplications[Action],"À migrer")&gt;0,$V207&lt;_xlfn.MINIFS(TblApplications[Mois prov (calc)],TblApplications[ID],$C207,TblApplications[Environnement],"NPRD")),"PRD avant NPRD (info)","OK"))))))))))))))))))))</f>
        <v/>
      </c>
      <c r="AC207" s="76"/>
      <c r="AD207" s="76"/>
      <c r="AE207" s="22" t="str">
        <f aca="false">IF(OR($C207="",NOT(OR($G207="À migrer",$G207="À décommissionner")),NOT(ISNUMBER($N207)),NOT(ISNUMBER($O207)),$W207=""),"",($N207+p_poidsram*$O207)*SUMIFS(TblCalculs[Coût par unité],TblCalculs[Cluster],$I207,TblCalculs[Mois],"&lt;"&amp;$W207))</f>
        <v/>
      </c>
      <c r="AF207" s="22" t="str">
        <f aca="false">IF($C207="","",IF(AND($G207="À migrer",$H207="Non",$T207&lt;&gt;"",$V207&lt;&gt;""),($T207+p_poidsram*$U207)*SUMIFS(TblCalculs[Coût par unité],TblCalculs[Cluster],$J207,TblCalculs[Mois],"&gt;="&amp;$V207),IF(AND($G207="Migré",$T207&lt;&gt;""),($T207+p_poidsram*$U207)*SUMIFS(TblCalculs[Coût par unité],TblCalculs[Cluster],$J207),"")))</f>
        <v/>
      </c>
      <c r="AG207" s="22" t="str">
        <f aca="false">IF($C207="","",N($AE207)+N($AF207))</f>
        <v/>
      </c>
      <c r="AH207" s="21" t="str">
        <f aca="false">IF(OR($C207="",$G207="Décommissionné",COUNTIFS($E207,av_envc,$A207,av_domc,$B207,av_tric)=0),"",COUNTIFS($C$6:$C207,"&lt;&gt;",$G$6:$G207,"&lt;&gt;Décommissionné",$E$6:$E207,av_envc,$A$6:$A207,av_domc,$B$6:$B207,av_tric))</f>
        <v/>
      </c>
      <c r="AI207" s="21" t="str">
        <f aca="false">IF($C207="","",IF(AND(OR($G207="À migrer",$G207="À décommissionner"),$W207&lt;&gt;"",$W207&gt;ex_mois),1,0))</f>
        <v/>
      </c>
      <c r="AJ207" s="21" t="str">
        <f aca="false">IF(OR($C207="",$AI207&lt;&gt;1,COUNTIFS($E207,ex_envc,$A207,ex_domc,$B207,ex_tric)=0),"",COUNTIFS($AI$6:$AI207,1,$E$6:$E207,ex_envc,$A$6:$A207,ex_domc,$B$6:$B207,ex_tric))</f>
        <v/>
      </c>
    </row>
    <row r="208" customFormat="false" ht="15" hidden="false" customHeight="false" outlineLevel="0" collapsed="false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5"/>
      <c r="Q208" s="75"/>
      <c r="R208" s="75"/>
      <c r="S208" s="74"/>
      <c r="T208" s="21" t="str">
        <f aca="false">IF(OR($C208="",NOT(OR($G208="À migrer",$G208="Migré")),NOT(ISNUMBER($K208))),"",ROUNDUP($K208*(1+IF($AC208="",p_margeCPU,$AC208)),0))</f>
        <v/>
      </c>
      <c r="U208" s="21" t="str">
        <f aca="false">IF(OR($C208="",NOT(OR($G208="À migrer",$G208="Migré")),NOT(ISNUMBER($L208))),"",ROUNDUP($L208*(1+IF($AD208="",p_margeRAM,$AD208)),0))</f>
        <v/>
      </c>
      <c r="V208" s="39" t="str">
        <f aca="false">IF(OR(NOT($G208="À migrer"),$P208=""),"",IFERROR(DATE(YEAR($P208),MONTH($P208),1),""))</f>
        <v/>
      </c>
      <c r="W208" s="39" t="str">
        <f aca="false">IF(OR(NOT(OR($G208="À migrer",$G208="À décommissionner")),$R208=""),"",IFERROR(DATE(YEAR($R208),MONTH($R208),1),""))</f>
        <v/>
      </c>
      <c r="X208" s="21" t="str">
        <f aca="false">IF(OR($V208="",$W208=""),"",MAX(0,(YEAR($W208)-YEAR($V208))*12+MONTH($W208)-MONTH($V208)))</f>
        <v/>
      </c>
      <c r="Y208" s="21" t="str">
        <f aca="false">IF($C208="","",COUNTIF(TblApplications[ID],$C208))</f>
        <v/>
      </c>
      <c r="Z208" s="39" t="str">
        <f aca="false">IF($C208="","",IFERROR(1/(1/_xlfn.MINIFS(TblApplications[Mois prov (calc)],TblApplications[ID],$C208)),""))</f>
        <v/>
      </c>
      <c r="AA208" s="39" t="str">
        <f aca="false">IF($C208="","",IFERROR(1/(1/_xlfn.MAXIFS(TblApplications[Mois lib (calc)],TblApplications[ID],$C208)),""))</f>
        <v/>
      </c>
      <c r="AB208" s="21" t="str">
        <f aca="false">IF($C208="","",IF(OR(OR($A208="",$B208="",$D208="",$E208="",$F208="",$G208=""),AND($G208="À migrer",OR($H208="",$I208="",$J208="",$K208="",$L208="",$N208="",$O208="",$P208="",$Q208="",$R208="")),AND($G208="Migré",OR($J208="",$K208="",$L208="")),AND($G208="À décommissionner",OR($I208="",$N208="",$O208="",$R208=""))),"Données manquantes (selon l’action)",IF(AND($G208&lt;&gt;"Migré",$G208&lt;&gt;"À migrer",$G208&lt;&gt;"À décommissionner",$G208&lt;&gt;"Décommissionné"),"Action invalide",IF(COUNTIF(TblDomaines[Domaine],$A208)=0,"Domaine inconnu (référentiel)",IF(COUNTIFS(TblTribes[Tribe],$B208,TblTribes[Domaine de la tribe],$A208)=0,"Tribe inconnue ou hors domaine",IF(AND($G208="À migrer",$H208&lt;&gt;"Oui",$H208&lt;&gt;"Non"),"Valeur Oui/Non invalide (Déjà incluse ROKS)",IF(AND($E208&lt;&gt;"PRD",$E208&lt;&gt;"NPRD"),"Environnement invalide",IF(COUNTIFS(TblApplications[ID],$C208,TblApplications[Environnement],$E208,TblApplications[Couloir],$F208)&gt;1,"Déploiement en doublon (ID + env + couloir)",IF(OR(AND($K208&lt;&gt;"",NOT(ISNUMBER($K208))),AND($L208&lt;&gt;"",NOT(ISNUMBER($L208))),AND($N208&lt;&gt;"",NOT(ISNUMBER($N208))),AND($O208&lt;&gt;"",NOT(ISNUMBER($O208)))),"Ressource non numérique",IF(MIN(N($K208),N($L208),N($N208),N($O208))&lt;0,"Ressource négative",IF(OR(AND($AC208&lt;&gt;"",OR(NOT(ISNUMBER($AC208)),$AC208&lt;0,$AC208&gt;1)),AND($AD208&lt;&gt;"",OR(NOT(ISNUMBER($AD208)),$AD208&lt;0,$AD208&gt;1))),"Marge spécifique invalide (0–100 %)",IF(OR(AND($P208&lt;&gt;"",NOT(ISNUMBER($P208))),AND($Q208&lt;&gt;"",NOT(ISNUMBER($Q208))),AND($R208&lt;&gt;"",NOT(ISNUMBER($R208)))),"Mois invalide",IF(AND(OR($G208="À migrer",$G208="À décommissionner"),COUNTIFS(TblClusters[Cluster],$I208,TblClusters[Plateforme],"IKS")=0),"Cluster IKS inconnu",IF(AND(OR($G208="À migrer",$G208="Migré"),COUNTIFS(TblClusters[Cluster],$J208,TblClusters[Plateforme],"ROKS")=0),"Cluster ROKS inconnu",IF(AND(OR($G208="À migrer",$G208="À décommissionner"),COUNTIFS(TblClusters[Cluster],$I208,TblClusters[Environnement],$E208)=0),"Environnement ≠ cluster IKS",IF(AND(OR($G208="À migrer",$G208="Migré"),COUNTIFS(TblClusters[Cluster],$J208,TblClusters[Environnement],$E208)=0),"Environnement ≠ cluster ROKS",IF(AND($G208="À migrer",OR($P208&gt;$Q208,$Q208&gt;$R208)),"Dates incohérentes (prov ≤ bascule ≤ libération)",IF(AND(OR($G208="À migrer",$G208="À décommissionner"),OR(N($N208)&gt;SUMIFS(TblClusters[CPU initial (vCPU)],TblClusters[Cluster],$I208),N($O208)&gt;SUMIFS(TblClusters[RAM initiale (Go)],TblClusters[Cluster],$I208))),"Libération &gt; capacité du cluster source",IF(OR(AND($V208&lt;&gt;"",$V208&lt;p_debut),AND($W208&lt;&gt;"",$W208&gt;p_fin)),"Hors horizon (info)",IF(AND($G208="À migrer",$E208="PRD",COUNTIFS(TblApplications[ID],$C208,TblApplications[Environnement],"NPRD",TblApplications[Action],"À migrer")&gt;0,$V208&lt;_xlfn.MINIFS(TblApplications[Mois prov (calc)],TblApplications[ID],$C208,TblApplications[Environnement],"NPRD")),"PRD avant NPRD (info)","OK"))))))))))))))))))))</f>
        <v/>
      </c>
      <c r="AC208" s="76"/>
      <c r="AD208" s="76"/>
      <c r="AE208" s="22" t="str">
        <f aca="false">IF(OR($C208="",NOT(OR($G208="À migrer",$G208="À décommissionner")),NOT(ISNUMBER($N208)),NOT(ISNUMBER($O208)),$W208=""),"",($N208+p_poidsram*$O208)*SUMIFS(TblCalculs[Coût par unité],TblCalculs[Cluster],$I208,TblCalculs[Mois],"&lt;"&amp;$W208))</f>
        <v/>
      </c>
      <c r="AF208" s="22" t="str">
        <f aca="false">IF($C208="","",IF(AND($G208="À migrer",$H208="Non",$T208&lt;&gt;"",$V208&lt;&gt;""),($T208+p_poidsram*$U208)*SUMIFS(TblCalculs[Coût par unité],TblCalculs[Cluster],$J208,TblCalculs[Mois],"&gt;="&amp;$V208),IF(AND($G208="Migré",$T208&lt;&gt;""),($T208+p_poidsram*$U208)*SUMIFS(TblCalculs[Coût par unité],TblCalculs[Cluster],$J208),"")))</f>
        <v/>
      </c>
      <c r="AG208" s="22" t="str">
        <f aca="false">IF($C208="","",N($AE208)+N($AF208))</f>
        <v/>
      </c>
      <c r="AH208" s="21" t="str">
        <f aca="false">IF(OR($C208="",$G208="Décommissionné",COUNTIFS($E208,av_envc,$A208,av_domc,$B208,av_tric)=0),"",COUNTIFS($C$6:$C208,"&lt;&gt;",$G$6:$G208,"&lt;&gt;Décommissionné",$E$6:$E208,av_envc,$A$6:$A208,av_domc,$B$6:$B208,av_tric))</f>
        <v/>
      </c>
      <c r="AI208" s="21" t="str">
        <f aca="false">IF($C208="","",IF(AND(OR($G208="À migrer",$G208="À décommissionner"),$W208&lt;&gt;"",$W208&gt;ex_mois),1,0))</f>
        <v/>
      </c>
      <c r="AJ208" s="21" t="str">
        <f aca="false">IF(OR($C208="",$AI208&lt;&gt;1,COUNTIFS($E208,ex_envc,$A208,ex_domc,$B208,ex_tric)=0),"",COUNTIFS($AI$6:$AI208,1,$E$6:$E208,ex_envc,$A$6:$A208,ex_domc,$B$6:$B208,ex_tric))</f>
        <v/>
      </c>
    </row>
    <row r="209" customFormat="false" ht="15" hidden="false" customHeight="false" outlineLevel="0" collapsed="false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5"/>
      <c r="Q209" s="75"/>
      <c r="R209" s="75"/>
      <c r="S209" s="74"/>
      <c r="T209" s="21" t="str">
        <f aca="false">IF(OR($C209="",NOT(OR($G209="À migrer",$G209="Migré")),NOT(ISNUMBER($K209))),"",ROUNDUP($K209*(1+IF($AC209="",p_margeCPU,$AC209)),0))</f>
        <v/>
      </c>
      <c r="U209" s="21" t="str">
        <f aca="false">IF(OR($C209="",NOT(OR($G209="À migrer",$G209="Migré")),NOT(ISNUMBER($L209))),"",ROUNDUP($L209*(1+IF($AD209="",p_margeRAM,$AD209)),0))</f>
        <v/>
      </c>
      <c r="V209" s="39" t="str">
        <f aca="false">IF(OR(NOT($G209="À migrer"),$P209=""),"",IFERROR(DATE(YEAR($P209),MONTH($P209),1),""))</f>
        <v/>
      </c>
      <c r="W209" s="39" t="str">
        <f aca="false">IF(OR(NOT(OR($G209="À migrer",$G209="À décommissionner")),$R209=""),"",IFERROR(DATE(YEAR($R209),MONTH($R209),1),""))</f>
        <v/>
      </c>
      <c r="X209" s="21" t="str">
        <f aca="false">IF(OR($V209="",$W209=""),"",MAX(0,(YEAR($W209)-YEAR($V209))*12+MONTH($W209)-MONTH($V209)))</f>
        <v/>
      </c>
      <c r="Y209" s="21" t="str">
        <f aca="false">IF($C209="","",COUNTIF(TblApplications[ID],$C209))</f>
        <v/>
      </c>
      <c r="Z209" s="39" t="str">
        <f aca="false">IF($C209="","",IFERROR(1/(1/_xlfn.MINIFS(TblApplications[Mois prov (calc)],TblApplications[ID],$C209)),""))</f>
        <v/>
      </c>
      <c r="AA209" s="39" t="str">
        <f aca="false">IF($C209="","",IFERROR(1/(1/_xlfn.MAXIFS(TblApplications[Mois lib (calc)],TblApplications[ID],$C209)),""))</f>
        <v/>
      </c>
      <c r="AB209" s="21" t="str">
        <f aca="false">IF($C209="","",IF(OR(OR($A209="",$B209="",$D209="",$E209="",$F209="",$G209=""),AND($G209="À migrer",OR($H209="",$I209="",$J209="",$K209="",$L209="",$N209="",$O209="",$P209="",$Q209="",$R209="")),AND($G209="Migré",OR($J209="",$K209="",$L209="")),AND($G209="À décommissionner",OR($I209="",$N209="",$O209="",$R209=""))),"Données manquantes (selon l’action)",IF(AND($G209&lt;&gt;"Migré",$G209&lt;&gt;"À migrer",$G209&lt;&gt;"À décommissionner",$G209&lt;&gt;"Décommissionné"),"Action invalide",IF(COUNTIF(TblDomaines[Domaine],$A209)=0,"Domaine inconnu (référentiel)",IF(COUNTIFS(TblTribes[Tribe],$B209,TblTribes[Domaine de la tribe],$A209)=0,"Tribe inconnue ou hors domaine",IF(AND($G209="À migrer",$H209&lt;&gt;"Oui",$H209&lt;&gt;"Non"),"Valeur Oui/Non invalide (Déjà incluse ROKS)",IF(AND($E209&lt;&gt;"PRD",$E209&lt;&gt;"NPRD"),"Environnement invalide",IF(COUNTIFS(TblApplications[ID],$C209,TblApplications[Environnement],$E209,TblApplications[Couloir],$F209)&gt;1,"Déploiement en doublon (ID + env + couloir)",IF(OR(AND($K209&lt;&gt;"",NOT(ISNUMBER($K209))),AND($L209&lt;&gt;"",NOT(ISNUMBER($L209))),AND($N209&lt;&gt;"",NOT(ISNUMBER($N209))),AND($O209&lt;&gt;"",NOT(ISNUMBER($O209)))),"Ressource non numérique",IF(MIN(N($K209),N($L209),N($N209),N($O209))&lt;0,"Ressource négative",IF(OR(AND($AC209&lt;&gt;"",OR(NOT(ISNUMBER($AC209)),$AC209&lt;0,$AC209&gt;1)),AND($AD209&lt;&gt;"",OR(NOT(ISNUMBER($AD209)),$AD209&lt;0,$AD209&gt;1))),"Marge spécifique invalide (0–100 %)",IF(OR(AND($P209&lt;&gt;"",NOT(ISNUMBER($P209))),AND($Q209&lt;&gt;"",NOT(ISNUMBER($Q209))),AND($R209&lt;&gt;"",NOT(ISNUMBER($R209)))),"Mois invalide",IF(AND(OR($G209="À migrer",$G209="À décommissionner"),COUNTIFS(TblClusters[Cluster],$I209,TblClusters[Plateforme],"IKS")=0),"Cluster IKS inconnu",IF(AND(OR($G209="À migrer",$G209="Migré"),COUNTIFS(TblClusters[Cluster],$J209,TblClusters[Plateforme],"ROKS")=0),"Cluster ROKS inconnu",IF(AND(OR($G209="À migrer",$G209="À décommissionner"),COUNTIFS(TblClusters[Cluster],$I209,TblClusters[Environnement],$E209)=0),"Environnement ≠ cluster IKS",IF(AND(OR($G209="À migrer",$G209="Migré"),COUNTIFS(TblClusters[Cluster],$J209,TblClusters[Environnement],$E209)=0),"Environnement ≠ cluster ROKS",IF(AND($G209="À migrer",OR($P209&gt;$Q209,$Q209&gt;$R209)),"Dates incohérentes (prov ≤ bascule ≤ libération)",IF(AND(OR($G209="À migrer",$G209="À décommissionner"),OR(N($N209)&gt;SUMIFS(TblClusters[CPU initial (vCPU)],TblClusters[Cluster],$I209),N($O209)&gt;SUMIFS(TblClusters[RAM initiale (Go)],TblClusters[Cluster],$I209))),"Libération &gt; capacité du cluster source",IF(OR(AND($V209&lt;&gt;"",$V209&lt;p_debut),AND($W209&lt;&gt;"",$W209&gt;p_fin)),"Hors horizon (info)",IF(AND($G209="À migrer",$E209="PRD",COUNTIFS(TblApplications[ID],$C209,TblApplications[Environnement],"NPRD",TblApplications[Action],"À migrer")&gt;0,$V209&lt;_xlfn.MINIFS(TblApplications[Mois prov (calc)],TblApplications[ID],$C209,TblApplications[Environnement],"NPRD")),"PRD avant NPRD (info)","OK"))))))))))))))))))))</f>
        <v/>
      </c>
      <c r="AC209" s="76"/>
      <c r="AD209" s="76"/>
      <c r="AE209" s="22" t="str">
        <f aca="false">IF(OR($C209="",NOT(OR($G209="À migrer",$G209="À décommissionner")),NOT(ISNUMBER($N209)),NOT(ISNUMBER($O209)),$W209=""),"",($N209+p_poidsram*$O209)*SUMIFS(TblCalculs[Coût par unité],TblCalculs[Cluster],$I209,TblCalculs[Mois],"&lt;"&amp;$W209))</f>
        <v/>
      </c>
      <c r="AF209" s="22" t="str">
        <f aca="false">IF($C209="","",IF(AND($G209="À migrer",$H209="Non",$T209&lt;&gt;"",$V209&lt;&gt;""),($T209+p_poidsram*$U209)*SUMIFS(TblCalculs[Coût par unité],TblCalculs[Cluster],$J209,TblCalculs[Mois],"&gt;="&amp;$V209),IF(AND($G209="Migré",$T209&lt;&gt;""),($T209+p_poidsram*$U209)*SUMIFS(TblCalculs[Coût par unité],TblCalculs[Cluster],$J209),"")))</f>
        <v/>
      </c>
      <c r="AG209" s="22" t="str">
        <f aca="false">IF($C209="","",N($AE209)+N($AF209))</f>
        <v/>
      </c>
      <c r="AH209" s="21" t="str">
        <f aca="false">IF(OR($C209="",$G209="Décommissionné",COUNTIFS($E209,av_envc,$A209,av_domc,$B209,av_tric)=0),"",COUNTIFS($C$6:$C209,"&lt;&gt;",$G$6:$G209,"&lt;&gt;Décommissionné",$E$6:$E209,av_envc,$A$6:$A209,av_domc,$B$6:$B209,av_tric))</f>
        <v/>
      </c>
      <c r="AI209" s="21" t="str">
        <f aca="false">IF($C209="","",IF(AND(OR($G209="À migrer",$G209="À décommissionner"),$W209&lt;&gt;"",$W209&gt;ex_mois),1,0))</f>
        <v/>
      </c>
      <c r="AJ209" s="21" t="str">
        <f aca="false">IF(OR($C209="",$AI209&lt;&gt;1,COUNTIFS($E209,ex_envc,$A209,ex_domc,$B209,ex_tric)=0),"",COUNTIFS($AI$6:$AI209,1,$E$6:$E209,ex_envc,$A$6:$A209,ex_domc,$B$6:$B209,ex_tric))</f>
        <v/>
      </c>
    </row>
    <row r="210" customFormat="false" ht="15" hidden="false" customHeight="false" outlineLevel="0" collapsed="false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5"/>
      <c r="Q210" s="75"/>
      <c r="R210" s="75"/>
      <c r="S210" s="74"/>
      <c r="T210" s="21" t="str">
        <f aca="false">IF(OR($C210="",NOT(OR($G210="À migrer",$G210="Migré")),NOT(ISNUMBER($K210))),"",ROUNDUP($K210*(1+IF($AC210="",p_margeCPU,$AC210)),0))</f>
        <v/>
      </c>
      <c r="U210" s="21" t="str">
        <f aca="false">IF(OR($C210="",NOT(OR($G210="À migrer",$G210="Migré")),NOT(ISNUMBER($L210))),"",ROUNDUP($L210*(1+IF($AD210="",p_margeRAM,$AD210)),0))</f>
        <v/>
      </c>
      <c r="V210" s="39" t="str">
        <f aca="false">IF(OR(NOT($G210="À migrer"),$P210=""),"",IFERROR(DATE(YEAR($P210),MONTH($P210),1),""))</f>
        <v/>
      </c>
      <c r="W210" s="39" t="str">
        <f aca="false">IF(OR(NOT(OR($G210="À migrer",$G210="À décommissionner")),$R210=""),"",IFERROR(DATE(YEAR($R210),MONTH($R210),1),""))</f>
        <v/>
      </c>
      <c r="X210" s="21" t="str">
        <f aca="false">IF(OR($V210="",$W210=""),"",MAX(0,(YEAR($W210)-YEAR($V210))*12+MONTH($W210)-MONTH($V210)))</f>
        <v/>
      </c>
      <c r="Y210" s="21" t="str">
        <f aca="false">IF($C210="","",COUNTIF(TblApplications[ID],$C210))</f>
        <v/>
      </c>
      <c r="Z210" s="39" t="str">
        <f aca="false">IF($C210="","",IFERROR(1/(1/_xlfn.MINIFS(TblApplications[Mois prov (calc)],TblApplications[ID],$C210)),""))</f>
        <v/>
      </c>
      <c r="AA210" s="39" t="str">
        <f aca="false">IF($C210="","",IFERROR(1/(1/_xlfn.MAXIFS(TblApplications[Mois lib (calc)],TblApplications[ID],$C210)),""))</f>
        <v/>
      </c>
      <c r="AB210" s="21" t="str">
        <f aca="false">IF($C210="","",IF(OR(OR($A210="",$B210="",$D210="",$E210="",$F210="",$G210=""),AND($G210="À migrer",OR($H210="",$I210="",$J210="",$K210="",$L210="",$N210="",$O210="",$P210="",$Q210="",$R210="")),AND($G210="Migré",OR($J210="",$K210="",$L210="")),AND($G210="À décommissionner",OR($I210="",$N210="",$O210="",$R210=""))),"Données manquantes (selon l’action)",IF(AND($G210&lt;&gt;"Migré",$G210&lt;&gt;"À migrer",$G210&lt;&gt;"À décommissionner",$G210&lt;&gt;"Décommissionné"),"Action invalide",IF(COUNTIF(TblDomaines[Domaine],$A210)=0,"Domaine inconnu (référentiel)",IF(COUNTIFS(TblTribes[Tribe],$B210,TblTribes[Domaine de la tribe],$A210)=0,"Tribe inconnue ou hors domaine",IF(AND($G210="À migrer",$H210&lt;&gt;"Oui",$H210&lt;&gt;"Non"),"Valeur Oui/Non invalide (Déjà incluse ROKS)",IF(AND($E210&lt;&gt;"PRD",$E210&lt;&gt;"NPRD"),"Environnement invalide",IF(COUNTIFS(TblApplications[ID],$C210,TblApplications[Environnement],$E210,TblApplications[Couloir],$F210)&gt;1,"Déploiement en doublon (ID + env + couloir)",IF(OR(AND($K210&lt;&gt;"",NOT(ISNUMBER($K210))),AND($L210&lt;&gt;"",NOT(ISNUMBER($L210))),AND($N210&lt;&gt;"",NOT(ISNUMBER($N210))),AND($O210&lt;&gt;"",NOT(ISNUMBER($O210)))),"Ressource non numérique",IF(MIN(N($K210),N($L210),N($N210),N($O210))&lt;0,"Ressource négative",IF(OR(AND($AC210&lt;&gt;"",OR(NOT(ISNUMBER($AC210)),$AC210&lt;0,$AC210&gt;1)),AND($AD210&lt;&gt;"",OR(NOT(ISNUMBER($AD210)),$AD210&lt;0,$AD210&gt;1))),"Marge spécifique invalide (0–100 %)",IF(OR(AND($P210&lt;&gt;"",NOT(ISNUMBER($P210))),AND($Q210&lt;&gt;"",NOT(ISNUMBER($Q210))),AND($R210&lt;&gt;"",NOT(ISNUMBER($R210)))),"Mois invalide",IF(AND(OR($G210="À migrer",$G210="À décommissionner"),COUNTIFS(TblClusters[Cluster],$I210,TblClusters[Plateforme],"IKS")=0),"Cluster IKS inconnu",IF(AND(OR($G210="À migrer",$G210="Migré"),COUNTIFS(TblClusters[Cluster],$J210,TblClusters[Plateforme],"ROKS")=0),"Cluster ROKS inconnu",IF(AND(OR($G210="À migrer",$G210="À décommissionner"),COUNTIFS(TblClusters[Cluster],$I210,TblClusters[Environnement],$E210)=0),"Environnement ≠ cluster IKS",IF(AND(OR($G210="À migrer",$G210="Migré"),COUNTIFS(TblClusters[Cluster],$J210,TblClusters[Environnement],$E210)=0),"Environnement ≠ cluster ROKS",IF(AND($G210="À migrer",OR($P210&gt;$Q210,$Q210&gt;$R210)),"Dates incohérentes (prov ≤ bascule ≤ libération)",IF(AND(OR($G210="À migrer",$G210="À décommissionner"),OR(N($N210)&gt;SUMIFS(TblClusters[CPU initial (vCPU)],TblClusters[Cluster],$I210),N($O210)&gt;SUMIFS(TblClusters[RAM initiale (Go)],TblClusters[Cluster],$I210))),"Libération &gt; capacité du cluster source",IF(OR(AND($V210&lt;&gt;"",$V210&lt;p_debut),AND($W210&lt;&gt;"",$W210&gt;p_fin)),"Hors horizon (info)",IF(AND($G210="À migrer",$E210="PRD",COUNTIFS(TblApplications[ID],$C210,TblApplications[Environnement],"NPRD",TblApplications[Action],"À migrer")&gt;0,$V210&lt;_xlfn.MINIFS(TblApplications[Mois prov (calc)],TblApplications[ID],$C210,TblApplications[Environnement],"NPRD")),"PRD avant NPRD (info)","OK"))))))))))))))))))))</f>
        <v/>
      </c>
      <c r="AC210" s="76"/>
      <c r="AD210" s="76"/>
      <c r="AE210" s="22" t="str">
        <f aca="false">IF(OR($C210="",NOT(OR($G210="À migrer",$G210="À décommissionner")),NOT(ISNUMBER($N210)),NOT(ISNUMBER($O210)),$W210=""),"",($N210+p_poidsram*$O210)*SUMIFS(TblCalculs[Coût par unité],TblCalculs[Cluster],$I210,TblCalculs[Mois],"&lt;"&amp;$W210))</f>
        <v/>
      </c>
      <c r="AF210" s="22" t="str">
        <f aca="false">IF($C210="","",IF(AND($G210="À migrer",$H210="Non",$T210&lt;&gt;"",$V210&lt;&gt;""),($T210+p_poidsram*$U210)*SUMIFS(TblCalculs[Coût par unité],TblCalculs[Cluster],$J210,TblCalculs[Mois],"&gt;="&amp;$V210),IF(AND($G210="Migré",$T210&lt;&gt;""),($T210+p_poidsram*$U210)*SUMIFS(TblCalculs[Coût par unité],TblCalculs[Cluster],$J210),"")))</f>
        <v/>
      </c>
      <c r="AG210" s="22" t="str">
        <f aca="false">IF($C210="","",N($AE210)+N($AF210))</f>
        <v/>
      </c>
      <c r="AH210" s="21" t="str">
        <f aca="false">IF(OR($C210="",$G210="Décommissionné",COUNTIFS($E210,av_envc,$A210,av_domc,$B210,av_tric)=0),"",COUNTIFS($C$6:$C210,"&lt;&gt;",$G$6:$G210,"&lt;&gt;Décommissionné",$E$6:$E210,av_envc,$A$6:$A210,av_domc,$B$6:$B210,av_tric))</f>
        <v/>
      </c>
      <c r="AI210" s="21" t="str">
        <f aca="false">IF($C210="","",IF(AND(OR($G210="À migrer",$G210="À décommissionner"),$W210&lt;&gt;"",$W210&gt;ex_mois),1,0))</f>
        <v/>
      </c>
      <c r="AJ210" s="21" t="str">
        <f aca="false">IF(OR($C210="",$AI210&lt;&gt;1,COUNTIFS($E210,ex_envc,$A210,ex_domc,$B210,ex_tric)=0),"",COUNTIFS($AI$6:$AI210,1,$E$6:$E210,ex_envc,$A$6:$A210,ex_domc,$B$6:$B210,ex_tric))</f>
        <v/>
      </c>
    </row>
    <row r="211" customFormat="false" ht="15" hidden="false" customHeight="false" outlineLevel="0" collapsed="false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5"/>
      <c r="Q211" s="75"/>
      <c r="R211" s="75"/>
      <c r="S211" s="74"/>
      <c r="T211" s="21" t="str">
        <f aca="false">IF(OR($C211="",NOT(OR($G211="À migrer",$G211="Migré")),NOT(ISNUMBER($K211))),"",ROUNDUP($K211*(1+IF($AC211="",p_margeCPU,$AC211)),0))</f>
        <v/>
      </c>
      <c r="U211" s="21" t="str">
        <f aca="false">IF(OR($C211="",NOT(OR($G211="À migrer",$G211="Migré")),NOT(ISNUMBER($L211))),"",ROUNDUP($L211*(1+IF($AD211="",p_margeRAM,$AD211)),0))</f>
        <v/>
      </c>
      <c r="V211" s="39" t="str">
        <f aca="false">IF(OR(NOT($G211="À migrer"),$P211=""),"",IFERROR(DATE(YEAR($P211),MONTH($P211),1),""))</f>
        <v/>
      </c>
      <c r="W211" s="39" t="str">
        <f aca="false">IF(OR(NOT(OR($G211="À migrer",$G211="À décommissionner")),$R211=""),"",IFERROR(DATE(YEAR($R211),MONTH($R211),1),""))</f>
        <v/>
      </c>
      <c r="X211" s="21" t="str">
        <f aca="false">IF(OR($V211="",$W211=""),"",MAX(0,(YEAR($W211)-YEAR($V211))*12+MONTH($W211)-MONTH($V211)))</f>
        <v/>
      </c>
      <c r="Y211" s="21" t="str">
        <f aca="false">IF($C211="","",COUNTIF(TblApplications[ID],$C211))</f>
        <v/>
      </c>
      <c r="Z211" s="39" t="str">
        <f aca="false">IF($C211="","",IFERROR(1/(1/_xlfn.MINIFS(TblApplications[Mois prov (calc)],TblApplications[ID],$C211)),""))</f>
        <v/>
      </c>
      <c r="AA211" s="39" t="str">
        <f aca="false">IF($C211="","",IFERROR(1/(1/_xlfn.MAXIFS(TblApplications[Mois lib (calc)],TblApplications[ID],$C211)),""))</f>
        <v/>
      </c>
      <c r="AB211" s="21" t="str">
        <f aca="false">IF($C211="","",IF(OR(OR($A211="",$B211="",$D211="",$E211="",$F211="",$G211=""),AND($G211="À migrer",OR($H211="",$I211="",$J211="",$K211="",$L211="",$N211="",$O211="",$P211="",$Q211="",$R211="")),AND($G211="Migré",OR($J211="",$K211="",$L211="")),AND($G211="À décommissionner",OR($I211="",$N211="",$O211="",$R211=""))),"Données manquantes (selon l’action)",IF(AND($G211&lt;&gt;"Migré",$G211&lt;&gt;"À migrer",$G211&lt;&gt;"À décommissionner",$G211&lt;&gt;"Décommissionné"),"Action invalide",IF(COUNTIF(TblDomaines[Domaine],$A211)=0,"Domaine inconnu (référentiel)",IF(COUNTIFS(TblTribes[Tribe],$B211,TblTribes[Domaine de la tribe],$A211)=0,"Tribe inconnue ou hors domaine",IF(AND($G211="À migrer",$H211&lt;&gt;"Oui",$H211&lt;&gt;"Non"),"Valeur Oui/Non invalide (Déjà incluse ROKS)",IF(AND($E211&lt;&gt;"PRD",$E211&lt;&gt;"NPRD"),"Environnement invalide",IF(COUNTIFS(TblApplications[ID],$C211,TblApplications[Environnement],$E211,TblApplications[Couloir],$F211)&gt;1,"Déploiement en doublon (ID + env + couloir)",IF(OR(AND($K211&lt;&gt;"",NOT(ISNUMBER($K211))),AND($L211&lt;&gt;"",NOT(ISNUMBER($L211))),AND($N211&lt;&gt;"",NOT(ISNUMBER($N211))),AND($O211&lt;&gt;"",NOT(ISNUMBER($O211)))),"Ressource non numérique",IF(MIN(N($K211),N($L211),N($N211),N($O211))&lt;0,"Ressource négative",IF(OR(AND($AC211&lt;&gt;"",OR(NOT(ISNUMBER($AC211)),$AC211&lt;0,$AC211&gt;1)),AND($AD211&lt;&gt;"",OR(NOT(ISNUMBER($AD211)),$AD211&lt;0,$AD211&gt;1))),"Marge spécifique invalide (0–100 %)",IF(OR(AND($P211&lt;&gt;"",NOT(ISNUMBER($P211))),AND($Q211&lt;&gt;"",NOT(ISNUMBER($Q211))),AND($R211&lt;&gt;"",NOT(ISNUMBER($R211)))),"Mois invalide",IF(AND(OR($G211="À migrer",$G211="À décommissionner"),COUNTIFS(TblClusters[Cluster],$I211,TblClusters[Plateforme],"IKS")=0),"Cluster IKS inconnu",IF(AND(OR($G211="À migrer",$G211="Migré"),COUNTIFS(TblClusters[Cluster],$J211,TblClusters[Plateforme],"ROKS")=0),"Cluster ROKS inconnu",IF(AND(OR($G211="À migrer",$G211="À décommissionner"),COUNTIFS(TblClusters[Cluster],$I211,TblClusters[Environnement],$E211)=0),"Environnement ≠ cluster IKS",IF(AND(OR($G211="À migrer",$G211="Migré"),COUNTIFS(TblClusters[Cluster],$J211,TblClusters[Environnement],$E211)=0),"Environnement ≠ cluster ROKS",IF(AND($G211="À migrer",OR($P211&gt;$Q211,$Q211&gt;$R211)),"Dates incohérentes (prov ≤ bascule ≤ libération)",IF(AND(OR($G211="À migrer",$G211="À décommissionner"),OR(N($N211)&gt;SUMIFS(TblClusters[CPU initial (vCPU)],TblClusters[Cluster],$I211),N($O211)&gt;SUMIFS(TblClusters[RAM initiale (Go)],TblClusters[Cluster],$I211))),"Libération &gt; capacité du cluster source",IF(OR(AND($V211&lt;&gt;"",$V211&lt;p_debut),AND($W211&lt;&gt;"",$W211&gt;p_fin)),"Hors horizon (info)",IF(AND($G211="À migrer",$E211="PRD",COUNTIFS(TblApplications[ID],$C211,TblApplications[Environnement],"NPRD",TblApplications[Action],"À migrer")&gt;0,$V211&lt;_xlfn.MINIFS(TblApplications[Mois prov (calc)],TblApplications[ID],$C211,TblApplications[Environnement],"NPRD")),"PRD avant NPRD (info)","OK"))))))))))))))))))))</f>
        <v/>
      </c>
      <c r="AC211" s="76"/>
      <c r="AD211" s="76"/>
      <c r="AE211" s="22" t="str">
        <f aca="false">IF(OR($C211="",NOT(OR($G211="À migrer",$G211="À décommissionner")),NOT(ISNUMBER($N211)),NOT(ISNUMBER($O211)),$W211=""),"",($N211+p_poidsram*$O211)*SUMIFS(TblCalculs[Coût par unité],TblCalculs[Cluster],$I211,TblCalculs[Mois],"&lt;"&amp;$W211))</f>
        <v/>
      </c>
      <c r="AF211" s="22" t="str">
        <f aca="false">IF($C211="","",IF(AND($G211="À migrer",$H211="Non",$T211&lt;&gt;"",$V211&lt;&gt;""),($T211+p_poidsram*$U211)*SUMIFS(TblCalculs[Coût par unité],TblCalculs[Cluster],$J211,TblCalculs[Mois],"&gt;="&amp;$V211),IF(AND($G211="Migré",$T211&lt;&gt;""),($T211+p_poidsram*$U211)*SUMIFS(TblCalculs[Coût par unité],TblCalculs[Cluster],$J211),"")))</f>
        <v/>
      </c>
      <c r="AG211" s="22" t="str">
        <f aca="false">IF($C211="","",N($AE211)+N($AF211))</f>
        <v/>
      </c>
      <c r="AH211" s="21" t="str">
        <f aca="false">IF(OR($C211="",$G211="Décommissionné",COUNTIFS($E211,av_envc,$A211,av_domc,$B211,av_tric)=0),"",COUNTIFS($C$6:$C211,"&lt;&gt;",$G$6:$G211,"&lt;&gt;Décommissionné",$E$6:$E211,av_envc,$A$6:$A211,av_domc,$B$6:$B211,av_tric))</f>
        <v/>
      </c>
      <c r="AI211" s="21" t="str">
        <f aca="false">IF($C211="","",IF(AND(OR($G211="À migrer",$G211="À décommissionner"),$W211&lt;&gt;"",$W211&gt;ex_mois),1,0))</f>
        <v/>
      </c>
      <c r="AJ211" s="21" t="str">
        <f aca="false">IF(OR($C211="",$AI211&lt;&gt;1,COUNTIFS($E211,ex_envc,$A211,ex_domc,$B211,ex_tric)=0),"",COUNTIFS($AI$6:$AI211,1,$E$6:$E211,ex_envc,$A$6:$A211,ex_domc,$B$6:$B211,ex_tric))</f>
        <v/>
      </c>
    </row>
    <row r="212" customFormat="false" ht="15" hidden="false" customHeight="false" outlineLevel="0" collapsed="false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5"/>
      <c r="Q212" s="75"/>
      <c r="R212" s="75"/>
      <c r="S212" s="74"/>
      <c r="T212" s="21" t="str">
        <f aca="false">IF(OR($C212="",NOT(OR($G212="À migrer",$G212="Migré")),NOT(ISNUMBER($K212))),"",ROUNDUP($K212*(1+IF($AC212="",p_margeCPU,$AC212)),0))</f>
        <v/>
      </c>
      <c r="U212" s="21" t="str">
        <f aca="false">IF(OR($C212="",NOT(OR($G212="À migrer",$G212="Migré")),NOT(ISNUMBER($L212))),"",ROUNDUP($L212*(1+IF($AD212="",p_margeRAM,$AD212)),0))</f>
        <v/>
      </c>
      <c r="V212" s="39" t="str">
        <f aca="false">IF(OR(NOT($G212="À migrer"),$P212=""),"",IFERROR(DATE(YEAR($P212),MONTH($P212),1),""))</f>
        <v/>
      </c>
      <c r="W212" s="39" t="str">
        <f aca="false">IF(OR(NOT(OR($G212="À migrer",$G212="À décommissionner")),$R212=""),"",IFERROR(DATE(YEAR($R212),MONTH($R212),1),""))</f>
        <v/>
      </c>
      <c r="X212" s="21" t="str">
        <f aca="false">IF(OR($V212="",$W212=""),"",MAX(0,(YEAR($W212)-YEAR($V212))*12+MONTH($W212)-MONTH($V212)))</f>
        <v/>
      </c>
      <c r="Y212" s="21" t="str">
        <f aca="false">IF($C212="","",COUNTIF(TblApplications[ID],$C212))</f>
        <v/>
      </c>
      <c r="Z212" s="39" t="str">
        <f aca="false">IF($C212="","",IFERROR(1/(1/_xlfn.MINIFS(TblApplications[Mois prov (calc)],TblApplications[ID],$C212)),""))</f>
        <v/>
      </c>
      <c r="AA212" s="39" t="str">
        <f aca="false">IF($C212="","",IFERROR(1/(1/_xlfn.MAXIFS(TblApplications[Mois lib (calc)],TblApplications[ID],$C212)),""))</f>
        <v/>
      </c>
      <c r="AB212" s="21" t="str">
        <f aca="false">IF($C212="","",IF(OR(OR($A212="",$B212="",$D212="",$E212="",$F212="",$G212=""),AND($G212="À migrer",OR($H212="",$I212="",$J212="",$K212="",$L212="",$N212="",$O212="",$P212="",$Q212="",$R212="")),AND($G212="Migré",OR($J212="",$K212="",$L212="")),AND($G212="À décommissionner",OR($I212="",$N212="",$O212="",$R212=""))),"Données manquantes (selon l’action)",IF(AND($G212&lt;&gt;"Migré",$G212&lt;&gt;"À migrer",$G212&lt;&gt;"À décommissionner",$G212&lt;&gt;"Décommissionné"),"Action invalide",IF(COUNTIF(TblDomaines[Domaine],$A212)=0,"Domaine inconnu (référentiel)",IF(COUNTIFS(TblTribes[Tribe],$B212,TblTribes[Domaine de la tribe],$A212)=0,"Tribe inconnue ou hors domaine",IF(AND($G212="À migrer",$H212&lt;&gt;"Oui",$H212&lt;&gt;"Non"),"Valeur Oui/Non invalide (Déjà incluse ROKS)",IF(AND($E212&lt;&gt;"PRD",$E212&lt;&gt;"NPRD"),"Environnement invalide",IF(COUNTIFS(TblApplications[ID],$C212,TblApplications[Environnement],$E212,TblApplications[Couloir],$F212)&gt;1,"Déploiement en doublon (ID + env + couloir)",IF(OR(AND($K212&lt;&gt;"",NOT(ISNUMBER($K212))),AND($L212&lt;&gt;"",NOT(ISNUMBER($L212))),AND($N212&lt;&gt;"",NOT(ISNUMBER($N212))),AND($O212&lt;&gt;"",NOT(ISNUMBER($O212)))),"Ressource non numérique",IF(MIN(N($K212),N($L212),N($N212),N($O212))&lt;0,"Ressource négative",IF(OR(AND($AC212&lt;&gt;"",OR(NOT(ISNUMBER($AC212)),$AC212&lt;0,$AC212&gt;1)),AND($AD212&lt;&gt;"",OR(NOT(ISNUMBER($AD212)),$AD212&lt;0,$AD212&gt;1))),"Marge spécifique invalide (0–100 %)",IF(OR(AND($P212&lt;&gt;"",NOT(ISNUMBER($P212))),AND($Q212&lt;&gt;"",NOT(ISNUMBER($Q212))),AND($R212&lt;&gt;"",NOT(ISNUMBER($R212)))),"Mois invalide",IF(AND(OR($G212="À migrer",$G212="À décommissionner"),COUNTIFS(TblClusters[Cluster],$I212,TblClusters[Plateforme],"IKS")=0),"Cluster IKS inconnu",IF(AND(OR($G212="À migrer",$G212="Migré"),COUNTIFS(TblClusters[Cluster],$J212,TblClusters[Plateforme],"ROKS")=0),"Cluster ROKS inconnu",IF(AND(OR($G212="À migrer",$G212="À décommissionner"),COUNTIFS(TblClusters[Cluster],$I212,TblClusters[Environnement],$E212)=0),"Environnement ≠ cluster IKS",IF(AND(OR($G212="À migrer",$G212="Migré"),COUNTIFS(TblClusters[Cluster],$J212,TblClusters[Environnement],$E212)=0),"Environnement ≠ cluster ROKS",IF(AND($G212="À migrer",OR($P212&gt;$Q212,$Q212&gt;$R212)),"Dates incohérentes (prov ≤ bascule ≤ libération)",IF(AND(OR($G212="À migrer",$G212="À décommissionner"),OR(N($N212)&gt;SUMIFS(TblClusters[CPU initial (vCPU)],TblClusters[Cluster],$I212),N($O212)&gt;SUMIFS(TblClusters[RAM initiale (Go)],TblClusters[Cluster],$I212))),"Libération &gt; capacité du cluster source",IF(OR(AND($V212&lt;&gt;"",$V212&lt;p_debut),AND($W212&lt;&gt;"",$W212&gt;p_fin)),"Hors horizon (info)",IF(AND($G212="À migrer",$E212="PRD",COUNTIFS(TblApplications[ID],$C212,TblApplications[Environnement],"NPRD",TblApplications[Action],"À migrer")&gt;0,$V212&lt;_xlfn.MINIFS(TblApplications[Mois prov (calc)],TblApplications[ID],$C212,TblApplications[Environnement],"NPRD")),"PRD avant NPRD (info)","OK"))))))))))))))))))))</f>
        <v/>
      </c>
      <c r="AC212" s="76"/>
      <c r="AD212" s="76"/>
      <c r="AE212" s="22" t="str">
        <f aca="false">IF(OR($C212="",NOT(OR($G212="À migrer",$G212="À décommissionner")),NOT(ISNUMBER($N212)),NOT(ISNUMBER($O212)),$W212=""),"",($N212+p_poidsram*$O212)*SUMIFS(TblCalculs[Coût par unité],TblCalculs[Cluster],$I212,TblCalculs[Mois],"&lt;"&amp;$W212))</f>
        <v/>
      </c>
      <c r="AF212" s="22" t="str">
        <f aca="false">IF($C212="","",IF(AND($G212="À migrer",$H212="Non",$T212&lt;&gt;"",$V212&lt;&gt;""),($T212+p_poidsram*$U212)*SUMIFS(TblCalculs[Coût par unité],TblCalculs[Cluster],$J212,TblCalculs[Mois],"&gt;="&amp;$V212),IF(AND($G212="Migré",$T212&lt;&gt;""),($T212+p_poidsram*$U212)*SUMIFS(TblCalculs[Coût par unité],TblCalculs[Cluster],$J212),"")))</f>
        <v/>
      </c>
      <c r="AG212" s="22" t="str">
        <f aca="false">IF($C212="","",N($AE212)+N($AF212))</f>
        <v/>
      </c>
      <c r="AH212" s="21" t="str">
        <f aca="false">IF(OR($C212="",$G212="Décommissionné",COUNTIFS($E212,av_envc,$A212,av_domc,$B212,av_tric)=0),"",COUNTIFS($C$6:$C212,"&lt;&gt;",$G$6:$G212,"&lt;&gt;Décommissionné",$E$6:$E212,av_envc,$A$6:$A212,av_domc,$B$6:$B212,av_tric))</f>
        <v/>
      </c>
      <c r="AI212" s="21" t="str">
        <f aca="false">IF($C212="","",IF(AND(OR($G212="À migrer",$G212="À décommissionner"),$W212&lt;&gt;"",$W212&gt;ex_mois),1,0))</f>
        <v/>
      </c>
      <c r="AJ212" s="21" t="str">
        <f aca="false">IF(OR($C212="",$AI212&lt;&gt;1,COUNTIFS($E212,ex_envc,$A212,ex_domc,$B212,ex_tric)=0),"",COUNTIFS($AI$6:$AI212,1,$E$6:$E212,ex_envc,$A$6:$A212,ex_domc,$B$6:$B212,ex_tric))</f>
        <v/>
      </c>
    </row>
    <row r="213" customFormat="false" ht="15" hidden="false" customHeight="false" outlineLevel="0" collapsed="false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5"/>
      <c r="Q213" s="75"/>
      <c r="R213" s="75"/>
      <c r="S213" s="74"/>
      <c r="T213" s="21" t="str">
        <f aca="false">IF(OR($C213="",NOT(OR($G213="À migrer",$G213="Migré")),NOT(ISNUMBER($K213))),"",ROUNDUP($K213*(1+IF($AC213="",p_margeCPU,$AC213)),0))</f>
        <v/>
      </c>
      <c r="U213" s="21" t="str">
        <f aca="false">IF(OR($C213="",NOT(OR($G213="À migrer",$G213="Migré")),NOT(ISNUMBER($L213))),"",ROUNDUP($L213*(1+IF($AD213="",p_margeRAM,$AD213)),0))</f>
        <v/>
      </c>
      <c r="V213" s="39" t="str">
        <f aca="false">IF(OR(NOT($G213="À migrer"),$P213=""),"",IFERROR(DATE(YEAR($P213),MONTH($P213),1),""))</f>
        <v/>
      </c>
      <c r="W213" s="39" t="str">
        <f aca="false">IF(OR(NOT(OR($G213="À migrer",$G213="À décommissionner")),$R213=""),"",IFERROR(DATE(YEAR($R213),MONTH($R213),1),""))</f>
        <v/>
      </c>
      <c r="X213" s="21" t="str">
        <f aca="false">IF(OR($V213="",$W213=""),"",MAX(0,(YEAR($W213)-YEAR($V213))*12+MONTH($W213)-MONTH($V213)))</f>
        <v/>
      </c>
      <c r="Y213" s="21" t="str">
        <f aca="false">IF($C213="","",COUNTIF(TblApplications[ID],$C213))</f>
        <v/>
      </c>
      <c r="Z213" s="39" t="str">
        <f aca="false">IF($C213="","",IFERROR(1/(1/_xlfn.MINIFS(TblApplications[Mois prov (calc)],TblApplications[ID],$C213)),""))</f>
        <v/>
      </c>
      <c r="AA213" s="39" t="str">
        <f aca="false">IF($C213="","",IFERROR(1/(1/_xlfn.MAXIFS(TblApplications[Mois lib (calc)],TblApplications[ID],$C213)),""))</f>
        <v/>
      </c>
      <c r="AB213" s="21" t="str">
        <f aca="false">IF($C213="","",IF(OR(OR($A213="",$B213="",$D213="",$E213="",$F213="",$G213=""),AND($G213="À migrer",OR($H213="",$I213="",$J213="",$K213="",$L213="",$N213="",$O213="",$P213="",$Q213="",$R213="")),AND($G213="Migré",OR($J213="",$K213="",$L213="")),AND($G213="À décommissionner",OR($I213="",$N213="",$O213="",$R213=""))),"Données manquantes (selon l’action)",IF(AND($G213&lt;&gt;"Migré",$G213&lt;&gt;"À migrer",$G213&lt;&gt;"À décommissionner",$G213&lt;&gt;"Décommissionné"),"Action invalide",IF(COUNTIF(TblDomaines[Domaine],$A213)=0,"Domaine inconnu (référentiel)",IF(COUNTIFS(TblTribes[Tribe],$B213,TblTribes[Domaine de la tribe],$A213)=0,"Tribe inconnue ou hors domaine",IF(AND($G213="À migrer",$H213&lt;&gt;"Oui",$H213&lt;&gt;"Non"),"Valeur Oui/Non invalide (Déjà incluse ROKS)",IF(AND($E213&lt;&gt;"PRD",$E213&lt;&gt;"NPRD"),"Environnement invalide",IF(COUNTIFS(TblApplications[ID],$C213,TblApplications[Environnement],$E213,TblApplications[Couloir],$F213)&gt;1,"Déploiement en doublon (ID + env + couloir)",IF(OR(AND($K213&lt;&gt;"",NOT(ISNUMBER($K213))),AND($L213&lt;&gt;"",NOT(ISNUMBER($L213))),AND($N213&lt;&gt;"",NOT(ISNUMBER($N213))),AND($O213&lt;&gt;"",NOT(ISNUMBER($O213)))),"Ressource non numérique",IF(MIN(N($K213),N($L213),N($N213),N($O213))&lt;0,"Ressource négative",IF(OR(AND($AC213&lt;&gt;"",OR(NOT(ISNUMBER($AC213)),$AC213&lt;0,$AC213&gt;1)),AND($AD213&lt;&gt;"",OR(NOT(ISNUMBER($AD213)),$AD213&lt;0,$AD213&gt;1))),"Marge spécifique invalide (0–100 %)",IF(OR(AND($P213&lt;&gt;"",NOT(ISNUMBER($P213))),AND($Q213&lt;&gt;"",NOT(ISNUMBER($Q213))),AND($R213&lt;&gt;"",NOT(ISNUMBER($R213)))),"Mois invalide",IF(AND(OR($G213="À migrer",$G213="À décommissionner"),COUNTIFS(TblClusters[Cluster],$I213,TblClusters[Plateforme],"IKS")=0),"Cluster IKS inconnu",IF(AND(OR($G213="À migrer",$G213="Migré"),COUNTIFS(TblClusters[Cluster],$J213,TblClusters[Plateforme],"ROKS")=0),"Cluster ROKS inconnu",IF(AND(OR($G213="À migrer",$G213="À décommissionner"),COUNTIFS(TblClusters[Cluster],$I213,TblClusters[Environnement],$E213)=0),"Environnement ≠ cluster IKS",IF(AND(OR($G213="À migrer",$G213="Migré"),COUNTIFS(TblClusters[Cluster],$J213,TblClusters[Environnement],$E213)=0),"Environnement ≠ cluster ROKS",IF(AND($G213="À migrer",OR($P213&gt;$Q213,$Q213&gt;$R213)),"Dates incohérentes (prov ≤ bascule ≤ libération)",IF(AND(OR($G213="À migrer",$G213="À décommissionner"),OR(N($N213)&gt;SUMIFS(TblClusters[CPU initial (vCPU)],TblClusters[Cluster],$I213),N($O213)&gt;SUMIFS(TblClusters[RAM initiale (Go)],TblClusters[Cluster],$I213))),"Libération &gt; capacité du cluster source",IF(OR(AND($V213&lt;&gt;"",$V213&lt;p_debut),AND($W213&lt;&gt;"",$W213&gt;p_fin)),"Hors horizon (info)",IF(AND($G213="À migrer",$E213="PRD",COUNTIFS(TblApplications[ID],$C213,TblApplications[Environnement],"NPRD",TblApplications[Action],"À migrer")&gt;0,$V213&lt;_xlfn.MINIFS(TblApplications[Mois prov (calc)],TblApplications[ID],$C213,TblApplications[Environnement],"NPRD")),"PRD avant NPRD (info)","OK"))))))))))))))))))))</f>
        <v/>
      </c>
      <c r="AC213" s="76"/>
      <c r="AD213" s="76"/>
      <c r="AE213" s="22" t="str">
        <f aca="false">IF(OR($C213="",NOT(OR($G213="À migrer",$G213="À décommissionner")),NOT(ISNUMBER($N213)),NOT(ISNUMBER($O213)),$W213=""),"",($N213+p_poidsram*$O213)*SUMIFS(TblCalculs[Coût par unité],TblCalculs[Cluster],$I213,TblCalculs[Mois],"&lt;"&amp;$W213))</f>
        <v/>
      </c>
      <c r="AF213" s="22" t="str">
        <f aca="false">IF($C213="","",IF(AND($G213="À migrer",$H213="Non",$T213&lt;&gt;"",$V213&lt;&gt;""),($T213+p_poidsram*$U213)*SUMIFS(TblCalculs[Coût par unité],TblCalculs[Cluster],$J213,TblCalculs[Mois],"&gt;="&amp;$V213),IF(AND($G213="Migré",$T213&lt;&gt;""),($T213+p_poidsram*$U213)*SUMIFS(TblCalculs[Coût par unité],TblCalculs[Cluster],$J213),"")))</f>
        <v/>
      </c>
      <c r="AG213" s="22" t="str">
        <f aca="false">IF($C213="","",N($AE213)+N($AF213))</f>
        <v/>
      </c>
      <c r="AH213" s="21" t="str">
        <f aca="false">IF(OR($C213="",$G213="Décommissionné",COUNTIFS($E213,av_envc,$A213,av_domc,$B213,av_tric)=0),"",COUNTIFS($C$6:$C213,"&lt;&gt;",$G$6:$G213,"&lt;&gt;Décommissionné",$E$6:$E213,av_envc,$A$6:$A213,av_domc,$B$6:$B213,av_tric))</f>
        <v/>
      </c>
      <c r="AI213" s="21" t="str">
        <f aca="false">IF($C213="","",IF(AND(OR($G213="À migrer",$G213="À décommissionner"),$W213&lt;&gt;"",$W213&gt;ex_mois),1,0))</f>
        <v/>
      </c>
      <c r="AJ213" s="21" t="str">
        <f aca="false">IF(OR($C213="",$AI213&lt;&gt;1,COUNTIFS($E213,ex_envc,$A213,ex_domc,$B213,ex_tric)=0),"",COUNTIFS($AI$6:$AI213,1,$E$6:$E213,ex_envc,$A$6:$A213,ex_domc,$B$6:$B213,ex_tric))</f>
        <v/>
      </c>
    </row>
    <row r="214" customFormat="false" ht="15" hidden="false" customHeight="false" outlineLevel="0" collapsed="false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5"/>
      <c r="Q214" s="75"/>
      <c r="R214" s="75"/>
      <c r="S214" s="74"/>
      <c r="T214" s="21" t="str">
        <f aca="false">IF(OR($C214="",NOT(OR($G214="À migrer",$G214="Migré")),NOT(ISNUMBER($K214))),"",ROUNDUP($K214*(1+IF($AC214="",p_margeCPU,$AC214)),0))</f>
        <v/>
      </c>
      <c r="U214" s="21" t="str">
        <f aca="false">IF(OR($C214="",NOT(OR($G214="À migrer",$G214="Migré")),NOT(ISNUMBER($L214))),"",ROUNDUP($L214*(1+IF($AD214="",p_margeRAM,$AD214)),0))</f>
        <v/>
      </c>
      <c r="V214" s="39" t="str">
        <f aca="false">IF(OR(NOT($G214="À migrer"),$P214=""),"",IFERROR(DATE(YEAR($P214),MONTH($P214),1),""))</f>
        <v/>
      </c>
      <c r="W214" s="39" t="str">
        <f aca="false">IF(OR(NOT(OR($G214="À migrer",$G214="À décommissionner")),$R214=""),"",IFERROR(DATE(YEAR($R214),MONTH($R214),1),""))</f>
        <v/>
      </c>
      <c r="X214" s="21" t="str">
        <f aca="false">IF(OR($V214="",$W214=""),"",MAX(0,(YEAR($W214)-YEAR($V214))*12+MONTH($W214)-MONTH($V214)))</f>
        <v/>
      </c>
      <c r="Y214" s="21" t="str">
        <f aca="false">IF($C214="","",COUNTIF(TblApplications[ID],$C214))</f>
        <v/>
      </c>
      <c r="Z214" s="39" t="str">
        <f aca="false">IF($C214="","",IFERROR(1/(1/_xlfn.MINIFS(TblApplications[Mois prov (calc)],TblApplications[ID],$C214)),""))</f>
        <v/>
      </c>
      <c r="AA214" s="39" t="str">
        <f aca="false">IF($C214="","",IFERROR(1/(1/_xlfn.MAXIFS(TblApplications[Mois lib (calc)],TblApplications[ID],$C214)),""))</f>
        <v/>
      </c>
      <c r="AB214" s="21" t="str">
        <f aca="false">IF($C214="","",IF(OR(OR($A214="",$B214="",$D214="",$E214="",$F214="",$G214=""),AND($G214="À migrer",OR($H214="",$I214="",$J214="",$K214="",$L214="",$N214="",$O214="",$P214="",$Q214="",$R214="")),AND($G214="Migré",OR($J214="",$K214="",$L214="")),AND($G214="À décommissionner",OR($I214="",$N214="",$O214="",$R214=""))),"Données manquantes (selon l’action)",IF(AND($G214&lt;&gt;"Migré",$G214&lt;&gt;"À migrer",$G214&lt;&gt;"À décommissionner",$G214&lt;&gt;"Décommissionné"),"Action invalide",IF(COUNTIF(TblDomaines[Domaine],$A214)=0,"Domaine inconnu (référentiel)",IF(COUNTIFS(TblTribes[Tribe],$B214,TblTribes[Domaine de la tribe],$A214)=0,"Tribe inconnue ou hors domaine",IF(AND($G214="À migrer",$H214&lt;&gt;"Oui",$H214&lt;&gt;"Non"),"Valeur Oui/Non invalide (Déjà incluse ROKS)",IF(AND($E214&lt;&gt;"PRD",$E214&lt;&gt;"NPRD"),"Environnement invalide",IF(COUNTIFS(TblApplications[ID],$C214,TblApplications[Environnement],$E214,TblApplications[Couloir],$F214)&gt;1,"Déploiement en doublon (ID + env + couloir)",IF(OR(AND($K214&lt;&gt;"",NOT(ISNUMBER($K214))),AND($L214&lt;&gt;"",NOT(ISNUMBER($L214))),AND($N214&lt;&gt;"",NOT(ISNUMBER($N214))),AND($O214&lt;&gt;"",NOT(ISNUMBER($O214)))),"Ressource non numérique",IF(MIN(N($K214),N($L214),N($N214),N($O214))&lt;0,"Ressource négative",IF(OR(AND($AC214&lt;&gt;"",OR(NOT(ISNUMBER($AC214)),$AC214&lt;0,$AC214&gt;1)),AND($AD214&lt;&gt;"",OR(NOT(ISNUMBER($AD214)),$AD214&lt;0,$AD214&gt;1))),"Marge spécifique invalide (0–100 %)",IF(OR(AND($P214&lt;&gt;"",NOT(ISNUMBER($P214))),AND($Q214&lt;&gt;"",NOT(ISNUMBER($Q214))),AND($R214&lt;&gt;"",NOT(ISNUMBER($R214)))),"Mois invalide",IF(AND(OR($G214="À migrer",$G214="À décommissionner"),COUNTIFS(TblClusters[Cluster],$I214,TblClusters[Plateforme],"IKS")=0),"Cluster IKS inconnu",IF(AND(OR($G214="À migrer",$G214="Migré"),COUNTIFS(TblClusters[Cluster],$J214,TblClusters[Plateforme],"ROKS")=0),"Cluster ROKS inconnu",IF(AND(OR($G214="À migrer",$G214="À décommissionner"),COUNTIFS(TblClusters[Cluster],$I214,TblClusters[Environnement],$E214)=0),"Environnement ≠ cluster IKS",IF(AND(OR($G214="À migrer",$G214="Migré"),COUNTIFS(TblClusters[Cluster],$J214,TblClusters[Environnement],$E214)=0),"Environnement ≠ cluster ROKS",IF(AND($G214="À migrer",OR($P214&gt;$Q214,$Q214&gt;$R214)),"Dates incohérentes (prov ≤ bascule ≤ libération)",IF(AND(OR($G214="À migrer",$G214="À décommissionner"),OR(N($N214)&gt;SUMIFS(TblClusters[CPU initial (vCPU)],TblClusters[Cluster],$I214),N($O214)&gt;SUMIFS(TblClusters[RAM initiale (Go)],TblClusters[Cluster],$I214))),"Libération &gt; capacité du cluster source",IF(OR(AND($V214&lt;&gt;"",$V214&lt;p_debut),AND($W214&lt;&gt;"",$W214&gt;p_fin)),"Hors horizon (info)",IF(AND($G214="À migrer",$E214="PRD",COUNTIFS(TblApplications[ID],$C214,TblApplications[Environnement],"NPRD",TblApplications[Action],"À migrer")&gt;0,$V214&lt;_xlfn.MINIFS(TblApplications[Mois prov (calc)],TblApplications[ID],$C214,TblApplications[Environnement],"NPRD")),"PRD avant NPRD (info)","OK"))))))))))))))))))))</f>
        <v/>
      </c>
      <c r="AC214" s="76"/>
      <c r="AD214" s="76"/>
      <c r="AE214" s="22" t="str">
        <f aca="false">IF(OR($C214="",NOT(OR($G214="À migrer",$G214="À décommissionner")),NOT(ISNUMBER($N214)),NOT(ISNUMBER($O214)),$W214=""),"",($N214+p_poidsram*$O214)*SUMIFS(TblCalculs[Coût par unité],TblCalculs[Cluster],$I214,TblCalculs[Mois],"&lt;"&amp;$W214))</f>
        <v/>
      </c>
      <c r="AF214" s="22" t="str">
        <f aca="false">IF($C214="","",IF(AND($G214="À migrer",$H214="Non",$T214&lt;&gt;"",$V214&lt;&gt;""),($T214+p_poidsram*$U214)*SUMIFS(TblCalculs[Coût par unité],TblCalculs[Cluster],$J214,TblCalculs[Mois],"&gt;="&amp;$V214),IF(AND($G214="Migré",$T214&lt;&gt;""),($T214+p_poidsram*$U214)*SUMIFS(TblCalculs[Coût par unité],TblCalculs[Cluster],$J214),"")))</f>
        <v/>
      </c>
      <c r="AG214" s="22" t="str">
        <f aca="false">IF($C214="","",N($AE214)+N($AF214))</f>
        <v/>
      </c>
      <c r="AH214" s="21" t="str">
        <f aca="false">IF(OR($C214="",$G214="Décommissionné",COUNTIFS($E214,av_envc,$A214,av_domc,$B214,av_tric)=0),"",COUNTIFS($C$6:$C214,"&lt;&gt;",$G$6:$G214,"&lt;&gt;Décommissionné",$E$6:$E214,av_envc,$A$6:$A214,av_domc,$B$6:$B214,av_tric))</f>
        <v/>
      </c>
      <c r="AI214" s="21" t="str">
        <f aca="false">IF($C214="","",IF(AND(OR($G214="À migrer",$G214="À décommissionner"),$W214&lt;&gt;"",$W214&gt;ex_mois),1,0))</f>
        <v/>
      </c>
      <c r="AJ214" s="21" t="str">
        <f aca="false">IF(OR($C214="",$AI214&lt;&gt;1,COUNTIFS($E214,ex_envc,$A214,ex_domc,$B214,ex_tric)=0),"",COUNTIFS($AI$6:$AI214,1,$E$6:$E214,ex_envc,$A$6:$A214,ex_domc,$B$6:$B214,ex_tric))</f>
        <v/>
      </c>
    </row>
    <row r="215" customFormat="false" ht="15" hidden="false" customHeight="false" outlineLevel="0" collapsed="false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5"/>
      <c r="Q215" s="75"/>
      <c r="R215" s="75"/>
      <c r="S215" s="74"/>
      <c r="T215" s="21" t="str">
        <f aca="false">IF(OR($C215="",NOT(OR($G215="À migrer",$G215="Migré")),NOT(ISNUMBER($K215))),"",ROUNDUP($K215*(1+IF($AC215="",p_margeCPU,$AC215)),0))</f>
        <v/>
      </c>
      <c r="U215" s="21" t="str">
        <f aca="false">IF(OR($C215="",NOT(OR($G215="À migrer",$G215="Migré")),NOT(ISNUMBER($L215))),"",ROUNDUP($L215*(1+IF($AD215="",p_margeRAM,$AD215)),0))</f>
        <v/>
      </c>
      <c r="V215" s="39" t="str">
        <f aca="false">IF(OR(NOT($G215="À migrer"),$P215=""),"",IFERROR(DATE(YEAR($P215),MONTH($P215),1),""))</f>
        <v/>
      </c>
      <c r="W215" s="39" t="str">
        <f aca="false">IF(OR(NOT(OR($G215="À migrer",$G215="À décommissionner")),$R215=""),"",IFERROR(DATE(YEAR($R215),MONTH($R215),1),""))</f>
        <v/>
      </c>
      <c r="X215" s="21" t="str">
        <f aca="false">IF(OR($V215="",$W215=""),"",MAX(0,(YEAR($W215)-YEAR($V215))*12+MONTH($W215)-MONTH($V215)))</f>
        <v/>
      </c>
      <c r="Y215" s="21" t="str">
        <f aca="false">IF($C215="","",COUNTIF(TblApplications[ID],$C215))</f>
        <v/>
      </c>
      <c r="Z215" s="39" t="str">
        <f aca="false">IF($C215="","",IFERROR(1/(1/_xlfn.MINIFS(TblApplications[Mois prov (calc)],TblApplications[ID],$C215)),""))</f>
        <v/>
      </c>
      <c r="AA215" s="39" t="str">
        <f aca="false">IF($C215="","",IFERROR(1/(1/_xlfn.MAXIFS(TblApplications[Mois lib (calc)],TblApplications[ID],$C215)),""))</f>
        <v/>
      </c>
      <c r="AB215" s="21" t="str">
        <f aca="false">IF($C215="","",IF(OR(OR($A215="",$B215="",$D215="",$E215="",$F215="",$G215=""),AND($G215="À migrer",OR($H215="",$I215="",$J215="",$K215="",$L215="",$N215="",$O215="",$P215="",$Q215="",$R215="")),AND($G215="Migré",OR($J215="",$K215="",$L215="")),AND($G215="À décommissionner",OR($I215="",$N215="",$O215="",$R215=""))),"Données manquantes (selon l’action)",IF(AND($G215&lt;&gt;"Migré",$G215&lt;&gt;"À migrer",$G215&lt;&gt;"À décommissionner",$G215&lt;&gt;"Décommissionné"),"Action invalide",IF(COUNTIF(TblDomaines[Domaine],$A215)=0,"Domaine inconnu (référentiel)",IF(COUNTIFS(TblTribes[Tribe],$B215,TblTribes[Domaine de la tribe],$A215)=0,"Tribe inconnue ou hors domaine",IF(AND($G215="À migrer",$H215&lt;&gt;"Oui",$H215&lt;&gt;"Non"),"Valeur Oui/Non invalide (Déjà incluse ROKS)",IF(AND($E215&lt;&gt;"PRD",$E215&lt;&gt;"NPRD"),"Environnement invalide",IF(COUNTIFS(TblApplications[ID],$C215,TblApplications[Environnement],$E215,TblApplications[Couloir],$F215)&gt;1,"Déploiement en doublon (ID + env + couloir)",IF(OR(AND($K215&lt;&gt;"",NOT(ISNUMBER($K215))),AND($L215&lt;&gt;"",NOT(ISNUMBER($L215))),AND($N215&lt;&gt;"",NOT(ISNUMBER($N215))),AND($O215&lt;&gt;"",NOT(ISNUMBER($O215)))),"Ressource non numérique",IF(MIN(N($K215),N($L215),N($N215),N($O215))&lt;0,"Ressource négative",IF(OR(AND($AC215&lt;&gt;"",OR(NOT(ISNUMBER($AC215)),$AC215&lt;0,$AC215&gt;1)),AND($AD215&lt;&gt;"",OR(NOT(ISNUMBER($AD215)),$AD215&lt;0,$AD215&gt;1))),"Marge spécifique invalide (0–100 %)",IF(OR(AND($P215&lt;&gt;"",NOT(ISNUMBER($P215))),AND($Q215&lt;&gt;"",NOT(ISNUMBER($Q215))),AND($R215&lt;&gt;"",NOT(ISNUMBER($R215)))),"Mois invalide",IF(AND(OR($G215="À migrer",$G215="À décommissionner"),COUNTIFS(TblClusters[Cluster],$I215,TblClusters[Plateforme],"IKS")=0),"Cluster IKS inconnu",IF(AND(OR($G215="À migrer",$G215="Migré"),COUNTIFS(TblClusters[Cluster],$J215,TblClusters[Plateforme],"ROKS")=0),"Cluster ROKS inconnu",IF(AND(OR($G215="À migrer",$G215="À décommissionner"),COUNTIFS(TblClusters[Cluster],$I215,TblClusters[Environnement],$E215)=0),"Environnement ≠ cluster IKS",IF(AND(OR($G215="À migrer",$G215="Migré"),COUNTIFS(TblClusters[Cluster],$J215,TblClusters[Environnement],$E215)=0),"Environnement ≠ cluster ROKS",IF(AND($G215="À migrer",OR($P215&gt;$Q215,$Q215&gt;$R215)),"Dates incohérentes (prov ≤ bascule ≤ libération)",IF(AND(OR($G215="À migrer",$G215="À décommissionner"),OR(N($N215)&gt;SUMIFS(TblClusters[CPU initial (vCPU)],TblClusters[Cluster],$I215),N($O215)&gt;SUMIFS(TblClusters[RAM initiale (Go)],TblClusters[Cluster],$I215))),"Libération &gt; capacité du cluster source",IF(OR(AND($V215&lt;&gt;"",$V215&lt;p_debut),AND($W215&lt;&gt;"",$W215&gt;p_fin)),"Hors horizon (info)",IF(AND($G215="À migrer",$E215="PRD",COUNTIFS(TblApplications[ID],$C215,TblApplications[Environnement],"NPRD",TblApplications[Action],"À migrer")&gt;0,$V215&lt;_xlfn.MINIFS(TblApplications[Mois prov (calc)],TblApplications[ID],$C215,TblApplications[Environnement],"NPRD")),"PRD avant NPRD (info)","OK"))))))))))))))))))))</f>
        <v/>
      </c>
      <c r="AC215" s="76"/>
      <c r="AD215" s="76"/>
      <c r="AE215" s="22" t="str">
        <f aca="false">IF(OR($C215="",NOT(OR($G215="À migrer",$G215="À décommissionner")),NOT(ISNUMBER($N215)),NOT(ISNUMBER($O215)),$W215=""),"",($N215+p_poidsram*$O215)*SUMIFS(TblCalculs[Coût par unité],TblCalculs[Cluster],$I215,TblCalculs[Mois],"&lt;"&amp;$W215))</f>
        <v/>
      </c>
      <c r="AF215" s="22" t="str">
        <f aca="false">IF($C215="","",IF(AND($G215="À migrer",$H215="Non",$T215&lt;&gt;"",$V215&lt;&gt;""),($T215+p_poidsram*$U215)*SUMIFS(TblCalculs[Coût par unité],TblCalculs[Cluster],$J215,TblCalculs[Mois],"&gt;="&amp;$V215),IF(AND($G215="Migré",$T215&lt;&gt;""),($T215+p_poidsram*$U215)*SUMIFS(TblCalculs[Coût par unité],TblCalculs[Cluster],$J215),"")))</f>
        <v/>
      </c>
      <c r="AG215" s="22" t="str">
        <f aca="false">IF($C215="","",N($AE215)+N($AF215))</f>
        <v/>
      </c>
      <c r="AH215" s="21" t="str">
        <f aca="false">IF(OR($C215="",$G215="Décommissionné",COUNTIFS($E215,av_envc,$A215,av_domc,$B215,av_tric)=0),"",COUNTIFS($C$6:$C215,"&lt;&gt;",$G$6:$G215,"&lt;&gt;Décommissionné",$E$6:$E215,av_envc,$A$6:$A215,av_domc,$B$6:$B215,av_tric))</f>
        <v/>
      </c>
      <c r="AI215" s="21" t="str">
        <f aca="false">IF($C215="","",IF(AND(OR($G215="À migrer",$G215="À décommissionner"),$W215&lt;&gt;"",$W215&gt;ex_mois),1,0))</f>
        <v/>
      </c>
      <c r="AJ215" s="21" t="str">
        <f aca="false">IF(OR($C215="",$AI215&lt;&gt;1,COUNTIFS($E215,ex_envc,$A215,ex_domc,$B215,ex_tric)=0),"",COUNTIFS($AI$6:$AI215,1,$E$6:$E215,ex_envc,$A$6:$A215,ex_domc,$B$6:$B215,ex_tric))</f>
        <v/>
      </c>
    </row>
    <row r="216" customFormat="false" ht="15" hidden="false" customHeight="false" outlineLevel="0" collapsed="false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5"/>
      <c r="Q216" s="75"/>
      <c r="R216" s="75"/>
      <c r="S216" s="74"/>
      <c r="T216" s="21" t="str">
        <f aca="false">IF(OR($C216="",NOT(OR($G216="À migrer",$G216="Migré")),NOT(ISNUMBER($K216))),"",ROUNDUP($K216*(1+IF($AC216="",p_margeCPU,$AC216)),0))</f>
        <v/>
      </c>
      <c r="U216" s="21" t="str">
        <f aca="false">IF(OR($C216="",NOT(OR($G216="À migrer",$G216="Migré")),NOT(ISNUMBER($L216))),"",ROUNDUP($L216*(1+IF($AD216="",p_margeRAM,$AD216)),0))</f>
        <v/>
      </c>
      <c r="V216" s="39" t="str">
        <f aca="false">IF(OR(NOT($G216="À migrer"),$P216=""),"",IFERROR(DATE(YEAR($P216),MONTH($P216),1),""))</f>
        <v/>
      </c>
      <c r="W216" s="39" t="str">
        <f aca="false">IF(OR(NOT(OR($G216="À migrer",$G216="À décommissionner")),$R216=""),"",IFERROR(DATE(YEAR($R216),MONTH($R216),1),""))</f>
        <v/>
      </c>
      <c r="X216" s="21" t="str">
        <f aca="false">IF(OR($V216="",$W216=""),"",MAX(0,(YEAR($W216)-YEAR($V216))*12+MONTH($W216)-MONTH($V216)))</f>
        <v/>
      </c>
      <c r="Y216" s="21" t="str">
        <f aca="false">IF($C216="","",COUNTIF(TblApplications[ID],$C216))</f>
        <v/>
      </c>
      <c r="Z216" s="39" t="str">
        <f aca="false">IF($C216="","",IFERROR(1/(1/_xlfn.MINIFS(TblApplications[Mois prov (calc)],TblApplications[ID],$C216)),""))</f>
        <v/>
      </c>
      <c r="AA216" s="39" t="str">
        <f aca="false">IF($C216="","",IFERROR(1/(1/_xlfn.MAXIFS(TblApplications[Mois lib (calc)],TblApplications[ID],$C216)),""))</f>
        <v/>
      </c>
      <c r="AB216" s="21" t="str">
        <f aca="false">IF($C216="","",IF(OR(OR($A216="",$B216="",$D216="",$E216="",$F216="",$G216=""),AND($G216="À migrer",OR($H216="",$I216="",$J216="",$K216="",$L216="",$N216="",$O216="",$P216="",$Q216="",$R216="")),AND($G216="Migré",OR($J216="",$K216="",$L216="")),AND($G216="À décommissionner",OR($I216="",$N216="",$O216="",$R216=""))),"Données manquantes (selon l’action)",IF(AND($G216&lt;&gt;"Migré",$G216&lt;&gt;"À migrer",$G216&lt;&gt;"À décommissionner",$G216&lt;&gt;"Décommissionné"),"Action invalide",IF(COUNTIF(TblDomaines[Domaine],$A216)=0,"Domaine inconnu (référentiel)",IF(COUNTIFS(TblTribes[Tribe],$B216,TblTribes[Domaine de la tribe],$A216)=0,"Tribe inconnue ou hors domaine",IF(AND($G216="À migrer",$H216&lt;&gt;"Oui",$H216&lt;&gt;"Non"),"Valeur Oui/Non invalide (Déjà incluse ROKS)",IF(AND($E216&lt;&gt;"PRD",$E216&lt;&gt;"NPRD"),"Environnement invalide",IF(COUNTIFS(TblApplications[ID],$C216,TblApplications[Environnement],$E216,TblApplications[Couloir],$F216)&gt;1,"Déploiement en doublon (ID + env + couloir)",IF(OR(AND($K216&lt;&gt;"",NOT(ISNUMBER($K216))),AND($L216&lt;&gt;"",NOT(ISNUMBER($L216))),AND($N216&lt;&gt;"",NOT(ISNUMBER($N216))),AND($O216&lt;&gt;"",NOT(ISNUMBER($O216)))),"Ressource non numérique",IF(MIN(N($K216),N($L216),N($N216),N($O216))&lt;0,"Ressource négative",IF(OR(AND($AC216&lt;&gt;"",OR(NOT(ISNUMBER($AC216)),$AC216&lt;0,$AC216&gt;1)),AND($AD216&lt;&gt;"",OR(NOT(ISNUMBER($AD216)),$AD216&lt;0,$AD216&gt;1))),"Marge spécifique invalide (0–100 %)",IF(OR(AND($P216&lt;&gt;"",NOT(ISNUMBER($P216))),AND($Q216&lt;&gt;"",NOT(ISNUMBER($Q216))),AND($R216&lt;&gt;"",NOT(ISNUMBER($R216)))),"Mois invalide",IF(AND(OR($G216="À migrer",$G216="À décommissionner"),COUNTIFS(TblClusters[Cluster],$I216,TblClusters[Plateforme],"IKS")=0),"Cluster IKS inconnu",IF(AND(OR($G216="À migrer",$G216="Migré"),COUNTIFS(TblClusters[Cluster],$J216,TblClusters[Plateforme],"ROKS")=0),"Cluster ROKS inconnu",IF(AND(OR($G216="À migrer",$G216="À décommissionner"),COUNTIFS(TblClusters[Cluster],$I216,TblClusters[Environnement],$E216)=0),"Environnement ≠ cluster IKS",IF(AND(OR($G216="À migrer",$G216="Migré"),COUNTIFS(TblClusters[Cluster],$J216,TblClusters[Environnement],$E216)=0),"Environnement ≠ cluster ROKS",IF(AND($G216="À migrer",OR($P216&gt;$Q216,$Q216&gt;$R216)),"Dates incohérentes (prov ≤ bascule ≤ libération)",IF(AND(OR($G216="À migrer",$G216="À décommissionner"),OR(N($N216)&gt;SUMIFS(TblClusters[CPU initial (vCPU)],TblClusters[Cluster],$I216),N($O216)&gt;SUMIFS(TblClusters[RAM initiale (Go)],TblClusters[Cluster],$I216))),"Libération &gt; capacité du cluster source",IF(OR(AND($V216&lt;&gt;"",$V216&lt;p_debut),AND($W216&lt;&gt;"",$W216&gt;p_fin)),"Hors horizon (info)",IF(AND($G216="À migrer",$E216="PRD",COUNTIFS(TblApplications[ID],$C216,TblApplications[Environnement],"NPRD",TblApplications[Action],"À migrer")&gt;0,$V216&lt;_xlfn.MINIFS(TblApplications[Mois prov (calc)],TblApplications[ID],$C216,TblApplications[Environnement],"NPRD")),"PRD avant NPRD (info)","OK"))))))))))))))))))))</f>
        <v/>
      </c>
      <c r="AC216" s="76"/>
      <c r="AD216" s="76"/>
      <c r="AE216" s="22" t="str">
        <f aca="false">IF(OR($C216="",NOT(OR($G216="À migrer",$G216="À décommissionner")),NOT(ISNUMBER($N216)),NOT(ISNUMBER($O216)),$W216=""),"",($N216+p_poidsram*$O216)*SUMIFS(TblCalculs[Coût par unité],TblCalculs[Cluster],$I216,TblCalculs[Mois],"&lt;"&amp;$W216))</f>
        <v/>
      </c>
      <c r="AF216" s="22" t="str">
        <f aca="false">IF($C216="","",IF(AND($G216="À migrer",$H216="Non",$T216&lt;&gt;"",$V216&lt;&gt;""),($T216+p_poidsram*$U216)*SUMIFS(TblCalculs[Coût par unité],TblCalculs[Cluster],$J216,TblCalculs[Mois],"&gt;="&amp;$V216),IF(AND($G216="Migré",$T216&lt;&gt;""),($T216+p_poidsram*$U216)*SUMIFS(TblCalculs[Coût par unité],TblCalculs[Cluster],$J216),"")))</f>
        <v/>
      </c>
      <c r="AG216" s="22" t="str">
        <f aca="false">IF($C216="","",N($AE216)+N($AF216))</f>
        <v/>
      </c>
      <c r="AH216" s="21" t="str">
        <f aca="false">IF(OR($C216="",$G216="Décommissionné",COUNTIFS($E216,av_envc,$A216,av_domc,$B216,av_tric)=0),"",COUNTIFS($C$6:$C216,"&lt;&gt;",$G$6:$G216,"&lt;&gt;Décommissionné",$E$6:$E216,av_envc,$A$6:$A216,av_domc,$B$6:$B216,av_tric))</f>
        <v/>
      </c>
      <c r="AI216" s="21" t="str">
        <f aca="false">IF($C216="","",IF(AND(OR($G216="À migrer",$G216="À décommissionner"),$W216&lt;&gt;"",$W216&gt;ex_mois),1,0))</f>
        <v/>
      </c>
      <c r="AJ216" s="21" t="str">
        <f aca="false">IF(OR($C216="",$AI216&lt;&gt;1,COUNTIFS($E216,ex_envc,$A216,ex_domc,$B216,ex_tric)=0),"",COUNTIFS($AI$6:$AI216,1,$E$6:$E216,ex_envc,$A$6:$A216,ex_domc,$B$6:$B216,ex_tric))</f>
        <v/>
      </c>
    </row>
    <row r="217" customFormat="false" ht="15" hidden="false" customHeight="false" outlineLevel="0" collapsed="false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5"/>
      <c r="Q217" s="75"/>
      <c r="R217" s="75"/>
      <c r="S217" s="74"/>
      <c r="T217" s="21" t="str">
        <f aca="false">IF(OR($C217="",NOT(OR($G217="À migrer",$G217="Migré")),NOT(ISNUMBER($K217))),"",ROUNDUP($K217*(1+IF($AC217="",p_margeCPU,$AC217)),0))</f>
        <v/>
      </c>
      <c r="U217" s="21" t="str">
        <f aca="false">IF(OR($C217="",NOT(OR($G217="À migrer",$G217="Migré")),NOT(ISNUMBER($L217))),"",ROUNDUP($L217*(1+IF($AD217="",p_margeRAM,$AD217)),0))</f>
        <v/>
      </c>
      <c r="V217" s="39" t="str">
        <f aca="false">IF(OR(NOT($G217="À migrer"),$P217=""),"",IFERROR(DATE(YEAR($P217),MONTH($P217),1),""))</f>
        <v/>
      </c>
      <c r="W217" s="39" t="str">
        <f aca="false">IF(OR(NOT(OR($G217="À migrer",$G217="À décommissionner")),$R217=""),"",IFERROR(DATE(YEAR($R217),MONTH($R217),1),""))</f>
        <v/>
      </c>
      <c r="X217" s="21" t="str">
        <f aca="false">IF(OR($V217="",$W217=""),"",MAX(0,(YEAR($W217)-YEAR($V217))*12+MONTH($W217)-MONTH($V217)))</f>
        <v/>
      </c>
      <c r="Y217" s="21" t="str">
        <f aca="false">IF($C217="","",COUNTIF(TblApplications[ID],$C217))</f>
        <v/>
      </c>
      <c r="Z217" s="39" t="str">
        <f aca="false">IF($C217="","",IFERROR(1/(1/_xlfn.MINIFS(TblApplications[Mois prov (calc)],TblApplications[ID],$C217)),""))</f>
        <v/>
      </c>
      <c r="AA217" s="39" t="str">
        <f aca="false">IF($C217="","",IFERROR(1/(1/_xlfn.MAXIFS(TblApplications[Mois lib (calc)],TblApplications[ID],$C217)),""))</f>
        <v/>
      </c>
      <c r="AB217" s="21" t="str">
        <f aca="false">IF($C217="","",IF(OR(OR($A217="",$B217="",$D217="",$E217="",$F217="",$G217=""),AND($G217="À migrer",OR($H217="",$I217="",$J217="",$K217="",$L217="",$N217="",$O217="",$P217="",$Q217="",$R217="")),AND($G217="Migré",OR($J217="",$K217="",$L217="")),AND($G217="À décommissionner",OR($I217="",$N217="",$O217="",$R217=""))),"Données manquantes (selon l’action)",IF(AND($G217&lt;&gt;"Migré",$G217&lt;&gt;"À migrer",$G217&lt;&gt;"À décommissionner",$G217&lt;&gt;"Décommissionné"),"Action invalide",IF(COUNTIF(TblDomaines[Domaine],$A217)=0,"Domaine inconnu (référentiel)",IF(COUNTIFS(TblTribes[Tribe],$B217,TblTribes[Domaine de la tribe],$A217)=0,"Tribe inconnue ou hors domaine",IF(AND($G217="À migrer",$H217&lt;&gt;"Oui",$H217&lt;&gt;"Non"),"Valeur Oui/Non invalide (Déjà incluse ROKS)",IF(AND($E217&lt;&gt;"PRD",$E217&lt;&gt;"NPRD"),"Environnement invalide",IF(COUNTIFS(TblApplications[ID],$C217,TblApplications[Environnement],$E217,TblApplications[Couloir],$F217)&gt;1,"Déploiement en doublon (ID + env + couloir)",IF(OR(AND($K217&lt;&gt;"",NOT(ISNUMBER($K217))),AND($L217&lt;&gt;"",NOT(ISNUMBER($L217))),AND($N217&lt;&gt;"",NOT(ISNUMBER($N217))),AND($O217&lt;&gt;"",NOT(ISNUMBER($O217)))),"Ressource non numérique",IF(MIN(N($K217),N($L217),N($N217),N($O217))&lt;0,"Ressource négative",IF(OR(AND($AC217&lt;&gt;"",OR(NOT(ISNUMBER($AC217)),$AC217&lt;0,$AC217&gt;1)),AND($AD217&lt;&gt;"",OR(NOT(ISNUMBER($AD217)),$AD217&lt;0,$AD217&gt;1))),"Marge spécifique invalide (0–100 %)",IF(OR(AND($P217&lt;&gt;"",NOT(ISNUMBER($P217))),AND($Q217&lt;&gt;"",NOT(ISNUMBER($Q217))),AND($R217&lt;&gt;"",NOT(ISNUMBER($R217)))),"Mois invalide",IF(AND(OR($G217="À migrer",$G217="À décommissionner"),COUNTIFS(TblClusters[Cluster],$I217,TblClusters[Plateforme],"IKS")=0),"Cluster IKS inconnu",IF(AND(OR($G217="À migrer",$G217="Migré"),COUNTIFS(TblClusters[Cluster],$J217,TblClusters[Plateforme],"ROKS")=0),"Cluster ROKS inconnu",IF(AND(OR($G217="À migrer",$G217="À décommissionner"),COUNTIFS(TblClusters[Cluster],$I217,TblClusters[Environnement],$E217)=0),"Environnement ≠ cluster IKS",IF(AND(OR($G217="À migrer",$G217="Migré"),COUNTIFS(TblClusters[Cluster],$J217,TblClusters[Environnement],$E217)=0),"Environnement ≠ cluster ROKS",IF(AND($G217="À migrer",OR($P217&gt;$Q217,$Q217&gt;$R217)),"Dates incohérentes (prov ≤ bascule ≤ libération)",IF(AND(OR($G217="À migrer",$G217="À décommissionner"),OR(N($N217)&gt;SUMIFS(TblClusters[CPU initial (vCPU)],TblClusters[Cluster],$I217),N($O217)&gt;SUMIFS(TblClusters[RAM initiale (Go)],TblClusters[Cluster],$I217))),"Libération &gt; capacité du cluster source",IF(OR(AND($V217&lt;&gt;"",$V217&lt;p_debut),AND($W217&lt;&gt;"",$W217&gt;p_fin)),"Hors horizon (info)",IF(AND($G217="À migrer",$E217="PRD",COUNTIFS(TblApplications[ID],$C217,TblApplications[Environnement],"NPRD",TblApplications[Action],"À migrer")&gt;0,$V217&lt;_xlfn.MINIFS(TblApplications[Mois prov (calc)],TblApplications[ID],$C217,TblApplications[Environnement],"NPRD")),"PRD avant NPRD (info)","OK"))))))))))))))))))))</f>
        <v/>
      </c>
      <c r="AC217" s="76"/>
      <c r="AD217" s="76"/>
      <c r="AE217" s="22" t="str">
        <f aca="false">IF(OR($C217="",NOT(OR($G217="À migrer",$G217="À décommissionner")),NOT(ISNUMBER($N217)),NOT(ISNUMBER($O217)),$W217=""),"",($N217+p_poidsram*$O217)*SUMIFS(TblCalculs[Coût par unité],TblCalculs[Cluster],$I217,TblCalculs[Mois],"&lt;"&amp;$W217))</f>
        <v/>
      </c>
      <c r="AF217" s="22" t="str">
        <f aca="false">IF($C217="","",IF(AND($G217="À migrer",$H217="Non",$T217&lt;&gt;"",$V217&lt;&gt;""),($T217+p_poidsram*$U217)*SUMIFS(TblCalculs[Coût par unité],TblCalculs[Cluster],$J217,TblCalculs[Mois],"&gt;="&amp;$V217),IF(AND($G217="Migré",$T217&lt;&gt;""),($T217+p_poidsram*$U217)*SUMIFS(TblCalculs[Coût par unité],TblCalculs[Cluster],$J217),"")))</f>
        <v/>
      </c>
      <c r="AG217" s="22" t="str">
        <f aca="false">IF($C217="","",N($AE217)+N($AF217))</f>
        <v/>
      </c>
      <c r="AH217" s="21" t="str">
        <f aca="false">IF(OR($C217="",$G217="Décommissionné",COUNTIFS($E217,av_envc,$A217,av_domc,$B217,av_tric)=0),"",COUNTIFS($C$6:$C217,"&lt;&gt;",$G$6:$G217,"&lt;&gt;Décommissionné",$E$6:$E217,av_envc,$A$6:$A217,av_domc,$B$6:$B217,av_tric))</f>
        <v/>
      </c>
      <c r="AI217" s="21" t="str">
        <f aca="false">IF($C217="","",IF(AND(OR($G217="À migrer",$G217="À décommissionner"),$W217&lt;&gt;"",$W217&gt;ex_mois),1,0))</f>
        <v/>
      </c>
      <c r="AJ217" s="21" t="str">
        <f aca="false">IF(OR($C217="",$AI217&lt;&gt;1,COUNTIFS($E217,ex_envc,$A217,ex_domc,$B217,ex_tric)=0),"",COUNTIFS($AI$6:$AI217,1,$E$6:$E217,ex_envc,$A$6:$A217,ex_domc,$B$6:$B217,ex_tric))</f>
        <v/>
      </c>
    </row>
    <row r="218" customFormat="false" ht="15" hidden="false" customHeight="false" outlineLevel="0" collapsed="false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5"/>
      <c r="Q218" s="75"/>
      <c r="R218" s="75"/>
      <c r="S218" s="74"/>
      <c r="T218" s="21" t="str">
        <f aca="false">IF(OR($C218="",NOT(OR($G218="À migrer",$G218="Migré")),NOT(ISNUMBER($K218))),"",ROUNDUP($K218*(1+IF($AC218="",p_margeCPU,$AC218)),0))</f>
        <v/>
      </c>
      <c r="U218" s="21" t="str">
        <f aca="false">IF(OR($C218="",NOT(OR($G218="À migrer",$G218="Migré")),NOT(ISNUMBER($L218))),"",ROUNDUP($L218*(1+IF($AD218="",p_margeRAM,$AD218)),0))</f>
        <v/>
      </c>
      <c r="V218" s="39" t="str">
        <f aca="false">IF(OR(NOT($G218="À migrer"),$P218=""),"",IFERROR(DATE(YEAR($P218),MONTH($P218),1),""))</f>
        <v/>
      </c>
      <c r="W218" s="39" t="str">
        <f aca="false">IF(OR(NOT(OR($G218="À migrer",$G218="À décommissionner")),$R218=""),"",IFERROR(DATE(YEAR($R218),MONTH($R218),1),""))</f>
        <v/>
      </c>
      <c r="X218" s="21" t="str">
        <f aca="false">IF(OR($V218="",$W218=""),"",MAX(0,(YEAR($W218)-YEAR($V218))*12+MONTH($W218)-MONTH($V218)))</f>
        <v/>
      </c>
      <c r="Y218" s="21" t="str">
        <f aca="false">IF($C218="","",COUNTIF(TblApplications[ID],$C218))</f>
        <v/>
      </c>
      <c r="Z218" s="39" t="str">
        <f aca="false">IF($C218="","",IFERROR(1/(1/_xlfn.MINIFS(TblApplications[Mois prov (calc)],TblApplications[ID],$C218)),""))</f>
        <v/>
      </c>
      <c r="AA218" s="39" t="str">
        <f aca="false">IF($C218="","",IFERROR(1/(1/_xlfn.MAXIFS(TblApplications[Mois lib (calc)],TblApplications[ID],$C218)),""))</f>
        <v/>
      </c>
      <c r="AB218" s="21" t="str">
        <f aca="false">IF($C218="","",IF(OR(OR($A218="",$B218="",$D218="",$E218="",$F218="",$G218=""),AND($G218="À migrer",OR($H218="",$I218="",$J218="",$K218="",$L218="",$N218="",$O218="",$P218="",$Q218="",$R218="")),AND($G218="Migré",OR($J218="",$K218="",$L218="")),AND($G218="À décommissionner",OR($I218="",$N218="",$O218="",$R218=""))),"Données manquantes (selon l’action)",IF(AND($G218&lt;&gt;"Migré",$G218&lt;&gt;"À migrer",$G218&lt;&gt;"À décommissionner",$G218&lt;&gt;"Décommissionné"),"Action invalide",IF(COUNTIF(TblDomaines[Domaine],$A218)=0,"Domaine inconnu (référentiel)",IF(COUNTIFS(TblTribes[Tribe],$B218,TblTribes[Domaine de la tribe],$A218)=0,"Tribe inconnue ou hors domaine",IF(AND($G218="À migrer",$H218&lt;&gt;"Oui",$H218&lt;&gt;"Non"),"Valeur Oui/Non invalide (Déjà incluse ROKS)",IF(AND($E218&lt;&gt;"PRD",$E218&lt;&gt;"NPRD"),"Environnement invalide",IF(COUNTIFS(TblApplications[ID],$C218,TblApplications[Environnement],$E218,TblApplications[Couloir],$F218)&gt;1,"Déploiement en doublon (ID + env + couloir)",IF(OR(AND($K218&lt;&gt;"",NOT(ISNUMBER($K218))),AND($L218&lt;&gt;"",NOT(ISNUMBER($L218))),AND($N218&lt;&gt;"",NOT(ISNUMBER($N218))),AND($O218&lt;&gt;"",NOT(ISNUMBER($O218)))),"Ressource non numérique",IF(MIN(N($K218),N($L218),N($N218),N($O218))&lt;0,"Ressource négative",IF(OR(AND($AC218&lt;&gt;"",OR(NOT(ISNUMBER($AC218)),$AC218&lt;0,$AC218&gt;1)),AND($AD218&lt;&gt;"",OR(NOT(ISNUMBER($AD218)),$AD218&lt;0,$AD218&gt;1))),"Marge spécifique invalide (0–100 %)",IF(OR(AND($P218&lt;&gt;"",NOT(ISNUMBER($P218))),AND($Q218&lt;&gt;"",NOT(ISNUMBER($Q218))),AND($R218&lt;&gt;"",NOT(ISNUMBER($R218)))),"Mois invalide",IF(AND(OR($G218="À migrer",$G218="À décommissionner"),COUNTIFS(TblClusters[Cluster],$I218,TblClusters[Plateforme],"IKS")=0),"Cluster IKS inconnu",IF(AND(OR($G218="À migrer",$G218="Migré"),COUNTIFS(TblClusters[Cluster],$J218,TblClusters[Plateforme],"ROKS")=0),"Cluster ROKS inconnu",IF(AND(OR($G218="À migrer",$G218="À décommissionner"),COUNTIFS(TblClusters[Cluster],$I218,TblClusters[Environnement],$E218)=0),"Environnement ≠ cluster IKS",IF(AND(OR($G218="À migrer",$G218="Migré"),COUNTIFS(TblClusters[Cluster],$J218,TblClusters[Environnement],$E218)=0),"Environnement ≠ cluster ROKS",IF(AND($G218="À migrer",OR($P218&gt;$Q218,$Q218&gt;$R218)),"Dates incohérentes (prov ≤ bascule ≤ libération)",IF(AND(OR($G218="À migrer",$G218="À décommissionner"),OR(N($N218)&gt;SUMIFS(TblClusters[CPU initial (vCPU)],TblClusters[Cluster],$I218),N($O218)&gt;SUMIFS(TblClusters[RAM initiale (Go)],TblClusters[Cluster],$I218))),"Libération &gt; capacité du cluster source",IF(OR(AND($V218&lt;&gt;"",$V218&lt;p_debut),AND($W218&lt;&gt;"",$W218&gt;p_fin)),"Hors horizon (info)",IF(AND($G218="À migrer",$E218="PRD",COUNTIFS(TblApplications[ID],$C218,TblApplications[Environnement],"NPRD",TblApplications[Action],"À migrer")&gt;0,$V218&lt;_xlfn.MINIFS(TblApplications[Mois prov (calc)],TblApplications[ID],$C218,TblApplications[Environnement],"NPRD")),"PRD avant NPRD (info)","OK"))))))))))))))))))))</f>
        <v/>
      </c>
      <c r="AC218" s="76"/>
      <c r="AD218" s="76"/>
      <c r="AE218" s="22" t="str">
        <f aca="false">IF(OR($C218="",NOT(OR($G218="À migrer",$G218="À décommissionner")),NOT(ISNUMBER($N218)),NOT(ISNUMBER($O218)),$W218=""),"",($N218+p_poidsram*$O218)*SUMIFS(TblCalculs[Coût par unité],TblCalculs[Cluster],$I218,TblCalculs[Mois],"&lt;"&amp;$W218))</f>
        <v/>
      </c>
      <c r="AF218" s="22" t="str">
        <f aca="false">IF($C218="","",IF(AND($G218="À migrer",$H218="Non",$T218&lt;&gt;"",$V218&lt;&gt;""),($T218+p_poidsram*$U218)*SUMIFS(TblCalculs[Coût par unité],TblCalculs[Cluster],$J218,TblCalculs[Mois],"&gt;="&amp;$V218),IF(AND($G218="Migré",$T218&lt;&gt;""),($T218+p_poidsram*$U218)*SUMIFS(TblCalculs[Coût par unité],TblCalculs[Cluster],$J218),"")))</f>
        <v/>
      </c>
      <c r="AG218" s="22" t="str">
        <f aca="false">IF($C218="","",N($AE218)+N($AF218))</f>
        <v/>
      </c>
      <c r="AH218" s="21" t="str">
        <f aca="false">IF(OR($C218="",$G218="Décommissionné",COUNTIFS($E218,av_envc,$A218,av_domc,$B218,av_tric)=0),"",COUNTIFS($C$6:$C218,"&lt;&gt;",$G$6:$G218,"&lt;&gt;Décommissionné",$E$6:$E218,av_envc,$A$6:$A218,av_domc,$B$6:$B218,av_tric))</f>
        <v/>
      </c>
      <c r="AI218" s="21" t="str">
        <f aca="false">IF($C218="","",IF(AND(OR($G218="À migrer",$G218="À décommissionner"),$W218&lt;&gt;"",$W218&gt;ex_mois),1,0))</f>
        <v/>
      </c>
      <c r="AJ218" s="21" t="str">
        <f aca="false">IF(OR($C218="",$AI218&lt;&gt;1,COUNTIFS($E218,ex_envc,$A218,ex_domc,$B218,ex_tric)=0),"",COUNTIFS($AI$6:$AI218,1,$E$6:$E218,ex_envc,$A$6:$A218,ex_domc,$B$6:$B218,ex_tric))</f>
        <v/>
      </c>
    </row>
    <row r="219" customFormat="false" ht="15" hidden="false" customHeight="false" outlineLevel="0" collapsed="false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5"/>
      <c r="Q219" s="75"/>
      <c r="R219" s="75"/>
      <c r="S219" s="74"/>
      <c r="T219" s="21" t="str">
        <f aca="false">IF(OR($C219="",NOT(OR($G219="À migrer",$G219="Migré")),NOT(ISNUMBER($K219))),"",ROUNDUP($K219*(1+IF($AC219="",p_margeCPU,$AC219)),0))</f>
        <v/>
      </c>
      <c r="U219" s="21" t="str">
        <f aca="false">IF(OR($C219="",NOT(OR($G219="À migrer",$G219="Migré")),NOT(ISNUMBER($L219))),"",ROUNDUP($L219*(1+IF($AD219="",p_margeRAM,$AD219)),0))</f>
        <v/>
      </c>
      <c r="V219" s="39" t="str">
        <f aca="false">IF(OR(NOT($G219="À migrer"),$P219=""),"",IFERROR(DATE(YEAR($P219),MONTH($P219),1),""))</f>
        <v/>
      </c>
      <c r="W219" s="39" t="str">
        <f aca="false">IF(OR(NOT(OR($G219="À migrer",$G219="À décommissionner")),$R219=""),"",IFERROR(DATE(YEAR($R219),MONTH($R219),1),""))</f>
        <v/>
      </c>
      <c r="X219" s="21" t="str">
        <f aca="false">IF(OR($V219="",$W219=""),"",MAX(0,(YEAR($W219)-YEAR($V219))*12+MONTH($W219)-MONTH($V219)))</f>
        <v/>
      </c>
      <c r="Y219" s="21" t="str">
        <f aca="false">IF($C219="","",COUNTIF(TblApplications[ID],$C219))</f>
        <v/>
      </c>
      <c r="Z219" s="39" t="str">
        <f aca="false">IF($C219="","",IFERROR(1/(1/_xlfn.MINIFS(TblApplications[Mois prov (calc)],TblApplications[ID],$C219)),""))</f>
        <v/>
      </c>
      <c r="AA219" s="39" t="str">
        <f aca="false">IF($C219="","",IFERROR(1/(1/_xlfn.MAXIFS(TblApplications[Mois lib (calc)],TblApplications[ID],$C219)),""))</f>
        <v/>
      </c>
      <c r="AB219" s="21" t="str">
        <f aca="false">IF($C219="","",IF(OR(OR($A219="",$B219="",$D219="",$E219="",$F219="",$G219=""),AND($G219="À migrer",OR($H219="",$I219="",$J219="",$K219="",$L219="",$N219="",$O219="",$P219="",$Q219="",$R219="")),AND($G219="Migré",OR($J219="",$K219="",$L219="")),AND($G219="À décommissionner",OR($I219="",$N219="",$O219="",$R219=""))),"Données manquantes (selon l’action)",IF(AND($G219&lt;&gt;"Migré",$G219&lt;&gt;"À migrer",$G219&lt;&gt;"À décommissionner",$G219&lt;&gt;"Décommissionné"),"Action invalide",IF(COUNTIF(TblDomaines[Domaine],$A219)=0,"Domaine inconnu (référentiel)",IF(COUNTIFS(TblTribes[Tribe],$B219,TblTribes[Domaine de la tribe],$A219)=0,"Tribe inconnue ou hors domaine",IF(AND($G219="À migrer",$H219&lt;&gt;"Oui",$H219&lt;&gt;"Non"),"Valeur Oui/Non invalide (Déjà incluse ROKS)",IF(AND($E219&lt;&gt;"PRD",$E219&lt;&gt;"NPRD"),"Environnement invalide",IF(COUNTIFS(TblApplications[ID],$C219,TblApplications[Environnement],$E219,TblApplications[Couloir],$F219)&gt;1,"Déploiement en doublon (ID + env + couloir)",IF(OR(AND($K219&lt;&gt;"",NOT(ISNUMBER($K219))),AND($L219&lt;&gt;"",NOT(ISNUMBER($L219))),AND($N219&lt;&gt;"",NOT(ISNUMBER($N219))),AND($O219&lt;&gt;"",NOT(ISNUMBER($O219)))),"Ressource non numérique",IF(MIN(N($K219),N($L219),N($N219),N($O219))&lt;0,"Ressource négative",IF(OR(AND($AC219&lt;&gt;"",OR(NOT(ISNUMBER($AC219)),$AC219&lt;0,$AC219&gt;1)),AND($AD219&lt;&gt;"",OR(NOT(ISNUMBER($AD219)),$AD219&lt;0,$AD219&gt;1))),"Marge spécifique invalide (0–100 %)",IF(OR(AND($P219&lt;&gt;"",NOT(ISNUMBER($P219))),AND($Q219&lt;&gt;"",NOT(ISNUMBER($Q219))),AND($R219&lt;&gt;"",NOT(ISNUMBER($R219)))),"Mois invalide",IF(AND(OR($G219="À migrer",$G219="À décommissionner"),COUNTIFS(TblClusters[Cluster],$I219,TblClusters[Plateforme],"IKS")=0),"Cluster IKS inconnu",IF(AND(OR($G219="À migrer",$G219="Migré"),COUNTIFS(TblClusters[Cluster],$J219,TblClusters[Plateforme],"ROKS")=0),"Cluster ROKS inconnu",IF(AND(OR($G219="À migrer",$G219="À décommissionner"),COUNTIFS(TblClusters[Cluster],$I219,TblClusters[Environnement],$E219)=0),"Environnement ≠ cluster IKS",IF(AND(OR($G219="À migrer",$G219="Migré"),COUNTIFS(TblClusters[Cluster],$J219,TblClusters[Environnement],$E219)=0),"Environnement ≠ cluster ROKS",IF(AND($G219="À migrer",OR($P219&gt;$Q219,$Q219&gt;$R219)),"Dates incohérentes (prov ≤ bascule ≤ libération)",IF(AND(OR($G219="À migrer",$G219="À décommissionner"),OR(N($N219)&gt;SUMIFS(TblClusters[CPU initial (vCPU)],TblClusters[Cluster],$I219),N($O219)&gt;SUMIFS(TblClusters[RAM initiale (Go)],TblClusters[Cluster],$I219))),"Libération &gt; capacité du cluster source",IF(OR(AND($V219&lt;&gt;"",$V219&lt;p_debut),AND($W219&lt;&gt;"",$W219&gt;p_fin)),"Hors horizon (info)",IF(AND($G219="À migrer",$E219="PRD",COUNTIFS(TblApplications[ID],$C219,TblApplications[Environnement],"NPRD",TblApplications[Action],"À migrer")&gt;0,$V219&lt;_xlfn.MINIFS(TblApplications[Mois prov (calc)],TblApplications[ID],$C219,TblApplications[Environnement],"NPRD")),"PRD avant NPRD (info)","OK"))))))))))))))))))))</f>
        <v/>
      </c>
      <c r="AC219" s="76"/>
      <c r="AD219" s="76"/>
      <c r="AE219" s="22" t="str">
        <f aca="false">IF(OR($C219="",NOT(OR($G219="À migrer",$G219="À décommissionner")),NOT(ISNUMBER($N219)),NOT(ISNUMBER($O219)),$W219=""),"",($N219+p_poidsram*$O219)*SUMIFS(TblCalculs[Coût par unité],TblCalculs[Cluster],$I219,TblCalculs[Mois],"&lt;"&amp;$W219))</f>
        <v/>
      </c>
      <c r="AF219" s="22" t="str">
        <f aca="false">IF($C219="","",IF(AND($G219="À migrer",$H219="Non",$T219&lt;&gt;"",$V219&lt;&gt;""),($T219+p_poidsram*$U219)*SUMIFS(TblCalculs[Coût par unité],TblCalculs[Cluster],$J219,TblCalculs[Mois],"&gt;="&amp;$V219),IF(AND($G219="Migré",$T219&lt;&gt;""),($T219+p_poidsram*$U219)*SUMIFS(TblCalculs[Coût par unité],TblCalculs[Cluster],$J219),"")))</f>
        <v/>
      </c>
      <c r="AG219" s="22" t="str">
        <f aca="false">IF($C219="","",N($AE219)+N($AF219))</f>
        <v/>
      </c>
      <c r="AH219" s="21" t="str">
        <f aca="false">IF(OR($C219="",$G219="Décommissionné",COUNTIFS($E219,av_envc,$A219,av_domc,$B219,av_tric)=0),"",COUNTIFS($C$6:$C219,"&lt;&gt;",$G$6:$G219,"&lt;&gt;Décommissionné",$E$6:$E219,av_envc,$A$6:$A219,av_domc,$B$6:$B219,av_tric))</f>
        <v/>
      </c>
      <c r="AI219" s="21" t="str">
        <f aca="false">IF($C219="","",IF(AND(OR($G219="À migrer",$G219="À décommissionner"),$W219&lt;&gt;"",$W219&gt;ex_mois),1,0))</f>
        <v/>
      </c>
      <c r="AJ219" s="21" t="str">
        <f aca="false">IF(OR($C219="",$AI219&lt;&gt;1,COUNTIFS($E219,ex_envc,$A219,ex_domc,$B219,ex_tric)=0),"",COUNTIFS($AI$6:$AI219,1,$E$6:$E219,ex_envc,$A$6:$A219,ex_domc,$B$6:$B219,ex_tric))</f>
        <v/>
      </c>
    </row>
    <row r="220" customFormat="false" ht="15" hidden="false" customHeight="false" outlineLevel="0" collapsed="false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5"/>
      <c r="Q220" s="75"/>
      <c r="R220" s="75"/>
      <c r="S220" s="74"/>
      <c r="T220" s="21" t="str">
        <f aca="false">IF(OR($C220="",NOT(OR($G220="À migrer",$G220="Migré")),NOT(ISNUMBER($K220))),"",ROUNDUP($K220*(1+IF($AC220="",p_margeCPU,$AC220)),0))</f>
        <v/>
      </c>
      <c r="U220" s="21" t="str">
        <f aca="false">IF(OR($C220="",NOT(OR($G220="À migrer",$G220="Migré")),NOT(ISNUMBER($L220))),"",ROUNDUP($L220*(1+IF($AD220="",p_margeRAM,$AD220)),0))</f>
        <v/>
      </c>
      <c r="V220" s="39" t="str">
        <f aca="false">IF(OR(NOT($G220="À migrer"),$P220=""),"",IFERROR(DATE(YEAR($P220),MONTH($P220),1),""))</f>
        <v/>
      </c>
      <c r="W220" s="39" t="str">
        <f aca="false">IF(OR(NOT(OR($G220="À migrer",$G220="À décommissionner")),$R220=""),"",IFERROR(DATE(YEAR($R220),MONTH($R220),1),""))</f>
        <v/>
      </c>
      <c r="X220" s="21" t="str">
        <f aca="false">IF(OR($V220="",$W220=""),"",MAX(0,(YEAR($W220)-YEAR($V220))*12+MONTH($W220)-MONTH($V220)))</f>
        <v/>
      </c>
      <c r="Y220" s="21" t="str">
        <f aca="false">IF($C220="","",COUNTIF(TblApplications[ID],$C220))</f>
        <v/>
      </c>
      <c r="Z220" s="39" t="str">
        <f aca="false">IF($C220="","",IFERROR(1/(1/_xlfn.MINIFS(TblApplications[Mois prov (calc)],TblApplications[ID],$C220)),""))</f>
        <v/>
      </c>
      <c r="AA220" s="39" t="str">
        <f aca="false">IF($C220="","",IFERROR(1/(1/_xlfn.MAXIFS(TblApplications[Mois lib (calc)],TblApplications[ID],$C220)),""))</f>
        <v/>
      </c>
      <c r="AB220" s="21" t="str">
        <f aca="false">IF($C220="","",IF(OR(OR($A220="",$B220="",$D220="",$E220="",$F220="",$G220=""),AND($G220="À migrer",OR($H220="",$I220="",$J220="",$K220="",$L220="",$N220="",$O220="",$P220="",$Q220="",$R220="")),AND($G220="Migré",OR($J220="",$K220="",$L220="")),AND($G220="À décommissionner",OR($I220="",$N220="",$O220="",$R220=""))),"Données manquantes (selon l’action)",IF(AND($G220&lt;&gt;"Migré",$G220&lt;&gt;"À migrer",$G220&lt;&gt;"À décommissionner",$G220&lt;&gt;"Décommissionné"),"Action invalide",IF(COUNTIF(TblDomaines[Domaine],$A220)=0,"Domaine inconnu (référentiel)",IF(COUNTIFS(TblTribes[Tribe],$B220,TblTribes[Domaine de la tribe],$A220)=0,"Tribe inconnue ou hors domaine",IF(AND($G220="À migrer",$H220&lt;&gt;"Oui",$H220&lt;&gt;"Non"),"Valeur Oui/Non invalide (Déjà incluse ROKS)",IF(AND($E220&lt;&gt;"PRD",$E220&lt;&gt;"NPRD"),"Environnement invalide",IF(COUNTIFS(TblApplications[ID],$C220,TblApplications[Environnement],$E220,TblApplications[Couloir],$F220)&gt;1,"Déploiement en doublon (ID + env + couloir)",IF(OR(AND($K220&lt;&gt;"",NOT(ISNUMBER($K220))),AND($L220&lt;&gt;"",NOT(ISNUMBER($L220))),AND($N220&lt;&gt;"",NOT(ISNUMBER($N220))),AND($O220&lt;&gt;"",NOT(ISNUMBER($O220)))),"Ressource non numérique",IF(MIN(N($K220),N($L220),N($N220),N($O220))&lt;0,"Ressource négative",IF(OR(AND($AC220&lt;&gt;"",OR(NOT(ISNUMBER($AC220)),$AC220&lt;0,$AC220&gt;1)),AND($AD220&lt;&gt;"",OR(NOT(ISNUMBER($AD220)),$AD220&lt;0,$AD220&gt;1))),"Marge spécifique invalide (0–100 %)",IF(OR(AND($P220&lt;&gt;"",NOT(ISNUMBER($P220))),AND($Q220&lt;&gt;"",NOT(ISNUMBER($Q220))),AND($R220&lt;&gt;"",NOT(ISNUMBER($R220)))),"Mois invalide",IF(AND(OR($G220="À migrer",$G220="À décommissionner"),COUNTIFS(TblClusters[Cluster],$I220,TblClusters[Plateforme],"IKS")=0),"Cluster IKS inconnu",IF(AND(OR($G220="À migrer",$G220="Migré"),COUNTIFS(TblClusters[Cluster],$J220,TblClusters[Plateforme],"ROKS")=0),"Cluster ROKS inconnu",IF(AND(OR($G220="À migrer",$G220="À décommissionner"),COUNTIFS(TblClusters[Cluster],$I220,TblClusters[Environnement],$E220)=0),"Environnement ≠ cluster IKS",IF(AND(OR($G220="À migrer",$G220="Migré"),COUNTIFS(TblClusters[Cluster],$J220,TblClusters[Environnement],$E220)=0),"Environnement ≠ cluster ROKS",IF(AND($G220="À migrer",OR($P220&gt;$Q220,$Q220&gt;$R220)),"Dates incohérentes (prov ≤ bascule ≤ libération)",IF(AND(OR($G220="À migrer",$G220="À décommissionner"),OR(N($N220)&gt;SUMIFS(TblClusters[CPU initial (vCPU)],TblClusters[Cluster],$I220),N($O220)&gt;SUMIFS(TblClusters[RAM initiale (Go)],TblClusters[Cluster],$I220))),"Libération &gt; capacité du cluster source",IF(OR(AND($V220&lt;&gt;"",$V220&lt;p_debut),AND($W220&lt;&gt;"",$W220&gt;p_fin)),"Hors horizon (info)",IF(AND($G220="À migrer",$E220="PRD",COUNTIFS(TblApplications[ID],$C220,TblApplications[Environnement],"NPRD",TblApplications[Action],"À migrer")&gt;0,$V220&lt;_xlfn.MINIFS(TblApplications[Mois prov (calc)],TblApplications[ID],$C220,TblApplications[Environnement],"NPRD")),"PRD avant NPRD (info)","OK"))))))))))))))))))))</f>
        <v/>
      </c>
      <c r="AC220" s="76"/>
      <c r="AD220" s="76"/>
      <c r="AE220" s="22" t="str">
        <f aca="false">IF(OR($C220="",NOT(OR($G220="À migrer",$G220="À décommissionner")),NOT(ISNUMBER($N220)),NOT(ISNUMBER($O220)),$W220=""),"",($N220+p_poidsram*$O220)*SUMIFS(TblCalculs[Coût par unité],TblCalculs[Cluster],$I220,TblCalculs[Mois],"&lt;"&amp;$W220))</f>
        <v/>
      </c>
      <c r="AF220" s="22" t="str">
        <f aca="false">IF($C220="","",IF(AND($G220="À migrer",$H220="Non",$T220&lt;&gt;"",$V220&lt;&gt;""),($T220+p_poidsram*$U220)*SUMIFS(TblCalculs[Coût par unité],TblCalculs[Cluster],$J220,TblCalculs[Mois],"&gt;="&amp;$V220),IF(AND($G220="Migré",$T220&lt;&gt;""),($T220+p_poidsram*$U220)*SUMIFS(TblCalculs[Coût par unité],TblCalculs[Cluster],$J220),"")))</f>
        <v/>
      </c>
      <c r="AG220" s="22" t="str">
        <f aca="false">IF($C220="","",N($AE220)+N($AF220))</f>
        <v/>
      </c>
      <c r="AH220" s="21" t="str">
        <f aca="false">IF(OR($C220="",$G220="Décommissionné",COUNTIFS($E220,av_envc,$A220,av_domc,$B220,av_tric)=0),"",COUNTIFS($C$6:$C220,"&lt;&gt;",$G$6:$G220,"&lt;&gt;Décommissionné",$E$6:$E220,av_envc,$A$6:$A220,av_domc,$B$6:$B220,av_tric))</f>
        <v/>
      </c>
      <c r="AI220" s="21" t="str">
        <f aca="false">IF($C220="","",IF(AND(OR($G220="À migrer",$G220="À décommissionner"),$W220&lt;&gt;"",$W220&gt;ex_mois),1,0))</f>
        <v/>
      </c>
      <c r="AJ220" s="21" t="str">
        <f aca="false">IF(OR($C220="",$AI220&lt;&gt;1,COUNTIFS($E220,ex_envc,$A220,ex_domc,$B220,ex_tric)=0),"",COUNTIFS($AI$6:$AI220,1,$E$6:$E220,ex_envc,$A$6:$A220,ex_domc,$B$6:$B220,ex_tric))</f>
        <v/>
      </c>
    </row>
    <row r="221" customFormat="false" ht="15" hidden="false" customHeight="false" outlineLevel="0" collapsed="false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5"/>
      <c r="Q221" s="75"/>
      <c r="R221" s="75"/>
      <c r="S221" s="74"/>
      <c r="T221" s="21" t="str">
        <f aca="false">IF(OR($C221="",NOT(OR($G221="À migrer",$G221="Migré")),NOT(ISNUMBER($K221))),"",ROUNDUP($K221*(1+IF($AC221="",p_margeCPU,$AC221)),0))</f>
        <v/>
      </c>
      <c r="U221" s="21" t="str">
        <f aca="false">IF(OR($C221="",NOT(OR($G221="À migrer",$G221="Migré")),NOT(ISNUMBER($L221))),"",ROUNDUP($L221*(1+IF($AD221="",p_margeRAM,$AD221)),0))</f>
        <v/>
      </c>
      <c r="V221" s="39" t="str">
        <f aca="false">IF(OR(NOT($G221="À migrer"),$P221=""),"",IFERROR(DATE(YEAR($P221),MONTH($P221),1),""))</f>
        <v/>
      </c>
      <c r="W221" s="39" t="str">
        <f aca="false">IF(OR(NOT(OR($G221="À migrer",$G221="À décommissionner")),$R221=""),"",IFERROR(DATE(YEAR($R221),MONTH($R221),1),""))</f>
        <v/>
      </c>
      <c r="X221" s="21" t="str">
        <f aca="false">IF(OR($V221="",$W221=""),"",MAX(0,(YEAR($W221)-YEAR($V221))*12+MONTH($W221)-MONTH($V221)))</f>
        <v/>
      </c>
      <c r="Y221" s="21" t="str">
        <f aca="false">IF($C221="","",COUNTIF(TblApplications[ID],$C221))</f>
        <v/>
      </c>
      <c r="Z221" s="39" t="str">
        <f aca="false">IF($C221="","",IFERROR(1/(1/_xlfn.MINIFS(TblApplications[Mois prov (calc)],TblApplications[ID],$C221)),""))</f>
        <v/>
      </c>
      <c r="AA221" s="39" t="str">
        <f aca="false">IF($C221="","",IFERROR(1/(1/_xlfn.MAXIFS(TblApplications[Mois lib (calc)],TblApplications[ID],$C221)),""))</f>
        <v/>
      </c>
      <c r="AB221" s="21" t="str">
        <f aca="false">IF($C221="","",IF(OR(OR($A221="",$B221="",$D221="",$E221="",$F221="",$G221=""),AND($G221="À migrer",OR($H221="",$I221="",$J221="",$K221="",$L221="",$N221="",$O221="",$P221="",$Q221="",$R221="")),AND($G221="Migré",OR($J221="",$K221="",$L221="")),AND($G221="À décommissionner",OR($I221="",$N221="",$O221="",$R221=""))),"Données manquantes (selon l’action)",IF(AND($G221&lt;&gt;"Migré",$G221&lt;&gt;"À migrer",$G221&lt;&gt;"À décommissionner",$G221&lt;&gt;"Décommissionné"),"Action invalide",IF(COUNTIF(TblDomaines[Domaine],$A221)=0,"Domaine inconnu (référentiel)",IF(COUNTIFS(TblTribes[Tribe],$B221,TblTribes[Domaine de la tribe],$A221)=0,"Tribe inconnue ou hors domaine",IF(AND($G221="À migrer",$H221&lt;&gt;"Oui",$H221&lt;&gt;"Non"),"Valeur Oui/Non invalide (Déjà incluse ROKS)",IF(AND($E221&lt;&gt;"PRD",$E221&lt;&gt;"NPRD"),"Environnement invalide",IF(COUNTIFS(TblApplications[ID],$C221,TblApplications[Environnement],$E221,TblApplications[Couloir],$F221)&gt;1,"Déploiement en doublon (ID + env + couloir)",IF(OR(AND($K221&lt;&gt;"",NOT(ISNUMBER($K221))),AND($L221&lt;&gt;"",NOT(ISNUMBER($L221))),AND($N221&lt;&gt;"",NOT(ISNUMBER($N221))),AND($O221&lt;&gt;"",NOT(ISNUMBER($O221)))),"Ressource non numérique",IF(MIN(N($K221),N($L221),N($N221),N($O221))&lt;0,"Ressource négative",IF(OR(AND($AC221&lt;&gt;"",OR(NOT(ISNUMBER($AC221)),$AC221&lt;0,$AC221&gt;1)),AND($AD221&lt;&gt;"",OR(NOT(ISNUMBER($AD221)),$AD221&lt;0,$AD221&gt;1))),"Marge spécifique invalide (0–100 %)",IF(OR(AND($P221&lt;&gt;"",NOT(ISNUMBER($P221))),AND($Q221&lt;&gt;"",NOT(ISNUMBER($Q221))),AND($R221&lt;&gt;"",NOT(ISNUMBER($R221)))),"Mois invalide",IF(AND(OR($G221="À migrer",$G221="À décommissionner"),COUNTIFS(TblClusters[Cluster],$I221,TblClusters[Plateforme],"IKS")=0),"Cluster IKS inconnu",IF(AND(OR($G221="À migrer",$G221="Migré"),COUNTIFS(TblClusters[Cluster],$J221,TblClusters[Plateforme],"ROKS")=0),"Cluster ROKS inconnu",IF(AND(OR($G221="À migrer",$G221="À décommissionner"),COUNTIFS(TblClusters[Cluster],$I221,TblClusters[Environnement],$E221)=0),"Environnement ≠ cluster IKS",IF(AND(OR($G221="À migrer",$G221="Migré"),COUNTIFS(TblClusters[Cluster],$J221,TblClusters[Environnement],$E221)=0),"Environnement ≠ cluster ROKS",IF(AND($G221="À migrer",OR($P221&gt;$Q221,$Q221&gt;$R221)),"Dates incohérentes (prov ≤ bascule ≤ libération)",IF(AND(OR($G221="À migrer",$G221="À décommissionner"),OR(N($N221)&gt;SUMIFS(TblClusters[CPU initial (vCPU)],TblClusters[Cluster],$I221),N($O221)&gt;SUMIFS(TblClusters[RAM initiale (Go)],TblClusters[Cluster],$I221))),"Libération &gt; capacité du cluster source",IF(OR(AND($V221&lt;&gt;"",$V221&lt;p_debut),AND($W221&lt;&gt;"",$W221&gt;p_fin)),"Hors horizon (info)",IF(AND($G221="À migrer",$E221="PRD",COUNTIFS(TblApplications[ID],$C221,TblApplications[Environnement],"NPRD",TblApplications[Action],"À migrer")&gt;0,$V221&lt;_xlfn.MINIFS(TblApplications[Mois prov (calc)],TblApplications[ID],$C221,TblApplications[Environnement],"NPRD")),"PRD avant NPRD (info)","OK"))))))))))))))))))))</f>
        <v/>
      </c>
      <c r="AC221" s="76"/>
      <c r="AD221" s="76"/>
      <c r="AE221" s="22" t="str">
        <f aca="false">IF(OR($C221="",NOT(OR($G221="À migrer",$G221="À décommissionner")),NOT(ISNUMBER($N221)),NOT(ISNUMBER($O221)),$W221=""),"",($N221+p_poidsram*$O221)*SUMIFS(TblCalculs[Coût par unité],TblCalculs[Cluster],$I221,TblCalculs[Mois],"&lt;"&amp;$W221))</f>
        <v/>
      </c>
      <c r="AF221" s="22" t="str">
        <f aca="false">IF($C221="","",IF(AND($G221="À migrer",$H221="Non",$T221&lt;&gt;"",$V221&lt;&gt;""),($T221+p_poidsram*$U221)*SUMIFS(TblCalculs[Coût par unité],TblCalculs[Cluster],$J221,TblCalculs[Mois],"&gt;="&amp;$V221),IF(AND($G221="Migré",$T221&lt;&gt;""),($T221+p_poidsram*$U221)*SUMIFS(TblCalculs[Coût par unité],TblCalculs[Cluster],$J221),"")))</f>
        <v/>
      </c>
      <c r="AG221" s="22" t="str">
        <f aca="false">IF($C221="","",N($AE221)+N($AF221))</f>
        <v/>
      </c>
      <c r="AH221" s="21" t="str">
        <f aca="false">IF(OR($C221="",$G221="Décommissionné",COUNTIFS($E221,av_envc,$A221,av_domc,$B221,av_tric)=0),"",COUNTIFS($C$6:$C221,"&lt;&gt;",$G$6:$G221,"&lt;&gt;Décommissionné",$E$6:$E221,av_envc,$A$6:$A221,av_domc,$B$6:$B221,av_tric))</f>
        <v/>
      </c>
      <c r="AI221" s="21" t="str">
        <f aca="false">IF($C221="","",IF(AND(OR($G221="À migrer",$G221="À décommissionner"),$W221&lt;&gt;"",$W221&gt;ex_mois),1,0))</f>
        <v/>
      </c>
      <c r="AJ221" s="21" t="str">
        <f aca="false">IF(OR($C221="",$AI221&lt;&gt;1,COUNTIFS($E221,ex_envc,$A221,ex_domc,$B221,ex_tric)=0),"",COUNTIFS($AI$6:$AI221,1,$E$6:$E221,ex_envc,$A$6:$A221,ex_domc,$B$6:$B221,ex_tric))</f>
        <v/>
      </c>
    </row>
    <row r="222" customFormat="false" ht="15" hidden="false" customHeight="false" outlineLevel="0" collapsed="false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5"/>
      <c r="Q222" s="75"/>
      <c r="R222" s="75"/>
      <c r="S222" s="74"/>
      <c r="T222" s="21" t="str">
        <f aca="false">IF(OR($C222="",NOT(OR($G222="À migrer",$G222="Migré")),NOT(ISNUMBER($K222))),"",ROUNDUP($K222*(1+IF($AC222="",p_margeCPU,$AC222)),0))</f>
        <v/>
      </c>
      <c r="U222" s="21" t="str">
        <f aca="false">IF(OR($C222="",NOT(OR($G222="À migrer",$G222="Migré")),NOT(ISNUMBER($L222))),"",ROUNDUP($L222*(1+IF($AD222="",p_margeRAM,$AD222)),0))</f>
        <v/>
      </c>
      <c r="V222" s="39" t="str">
        <f aca="false">IF(OR(NOT($G222="À migrer"),$P222=""),"",IFERROR(DATE(YEAR($P222),MONTH($P222),1),""))</f>
        <v/>
      </c>
      <c r="W222" s="39" t="str">
        <f aca="false">IF(OR(NOT(OR($G222="À migrer",$G222="À décommissionner")),$R222=""),"",IFERROR(DATE(YEAR($R222),MONTH($R222),1),""))</f>
        <v/>
      </c>
      <c r="X222" s="21" t="str">
        <f aca="false">IF(OR($V222="",$W222=""),"",MAX(0,(YEAR($W222)-YEAR($V222))*12+MONTH($W222)-MONTH($V222)))</f>
        <v/>
      </c>
      <c r="Y222" s="21" t="str">
        <f aca="false">IF($C222="","",COUNTIF(TblApplications[ID],$C222))</f>
        <v/>
      </c>
      <c r="Z222" s="39" t="str">
        <f aca="false">IF($C222="","",IFERROR(1/(1/_xlfn.MINIFS(TblApplications[Mois prov (calc)],TblApplications[ID],$C222)),""))</f>
        <v/>
      </c>
      <c r="AA222" s="39" t="str">
        <f aca="false">IF($C222="","",IFERROR(1/(1/_xlfn.MAXIFS(TblApplications[Mois lib (calc)],TblApplications[ID],$C222)),""))</f>
        <v/>
      </c>
      <c r="AB222" s="21" t="str">
        <f aca="false">IF($C222="","",IF(OR(OR($A222="",$B222="",$D222="",$E222="",$F222="",$G222=""),AND($G222="À migrer",OR($H222="",$I222="",$J222="",$K222="",$L222="",$N222="",$O222="",$P222="",$Q222="",$R222="")),AND($G222="Migré",OR($J222="",$K222="",$L222="")),AND($G222="À décommissionner",OR($I222="",$N222="",$O222="",$R222=""))),"Données manquantes (selon l’action)",IF(AND($G222&lt;&gt;"Migré",$G222&lt;&gt;"À migrer",$G222&lt;&gt;"À décommissionner",$G222&lt;&gt;"Décommissionné"),"Action invalide",IF(COUNTIF(TblDomaines[Domaine],$A222)=0,"Domaine inconnu (référentiel)",IF(COUNTIFS(TblTribes[Tribe],$B222,TblTribes[Domaine de la tribe],$A222)=0,"Tribe inconnue ou hors domaine",IF(AND($G222="À migrer",$H222&lt;&gt;"Oui",$H222&lt;&gt;"Non"),"Valeur Oui/Non invalide (Déjà incluse ROKS)",IF(AND($E222&lt;&gt;"PRD",$E222&lt;&gt;"NPRD"),"Environnement invalide",IF(COUNTIFS(TblApplications[ID],$C222,TblApplications[Environnement],$E222,TblApplications[Couloir],$F222)&gt;1,"Déploiement en doublon (ID + env + couloir)",IF(OR(AND($K222&lt;&gt;"",NOT(ISNUMBER($K222))),AND($L222&lt;&gt;"",NOT(ISNUMBER($L222))),AND($N222&lt;&gt;"",NOT(ISNUMBER($N222))),AND($O222&lt;&gt;"",NOT(ISNUMBER($O222)))),"Ressource non numérique",IF(MIN(N($K222),N($L222),N($N222),N($O222))&lt;0,"Ressource négative",IF(OR(AND($AC222&lt;&gt;"",OR(NOT(ISNUMBER($AC222)),$AC222&lt;0,$AC222&gt;1)),AND($AD222&lt;&gt;"",OR(NOT(ISNUMBER($AD222)),$AD222&lt;0,$AD222&gt;1))),"Marge spécifique invalide (0–100 %)",IF(OR(AND($P222&lt;&gt;"",NOT(ISNUMBER($P222))),AND($Q222&lt;&gt;"",NOT(ISNUMBER($Q222))),AND($R222&lt;&gt;"",NOT(ISNUMBER($R222)))),"Mois invalide",IF(AND(OR($G222="À migrer",$G222="À décommissionner"),COUNTIFS(TblClusters[Cluster],$I222,TblClusters[Plateforme],"IKS")=0),"Cluster IKS inconnu",IF(AND(OR($G222="À migrer",$G222="Migré"),COUNTIFS(TblClusters[Cluster],$J222,TblClusters[Plateforme],"ROKS")=0),"Cluster ROKS inconnu",IF(AND(OR($G222="À migrer",$G222="À décommissionner"),COUNTIFS(TblClusters[Cluster],$I222,TblClusters[Environnement],$E222)=0),"Environnement ≠ cluster IKS",IF(AND(OR($G222="À migrer",$G222="Migré"),COUNTIFS(TblClusters[Cluster],$J222,TblClusters[Environnement],$E222)=0),"Environnement ≠ cluster ROKS",IF(AND($G222="À migrer",OR($P222&gt;$Q222,$Q222&gt;$R222)),"Dates incohérentes (prov ≤ bascule ≤ libération)",IF(AND(OR($G222="À migrer",$G222="À décommissionner"),OR(N($N222)&gt;SUMIFS(TblClusters[CPU initial (vCPU)],TblClusters[Cluster],$I222),N($O222)&gt;SUMIFS(TblClusters[RAM initiale (Go)],TblClusters[Cluster],$I222))),"Libération &gt; capacité du cluster source",IF(OR(AND($V222&lt;&gt;"",$V222&lt;p_debut),AND($W222&lt;&gt;"",$W222&gt;p_fin)),"Hors horizon (info)",IF(AND($G222="À migrer",$E222="PRD",COUNTIFS(TblApplications[ID],$C222,TblApplications[Environnement],"NPRD",TblApplications[Action],"À migrer")&gt;0,$V222&lt;_xlfn.MINIFS(TblApplications[Mois prov (calc)],TblApplications[ID],$C222,TblApplications[Environnement],"NPRD")),"PRD avant NPRD (info)","OK"))))))))))))))))))))</f>
        <v/>
      </c>
      <c r="AC222" s="76"/>
      <c r="AD222" s="76"/>
      <c r="AE222" s="22" t="str">
        <f aca="false">IF(OR($C222="",NOT(OR($G222="À migrer",$G222="À décommissionner")),NOT(ISNUMBER($N222)),NOT(ISNUMBER($O222)),$W222=""),"",($N222+p_poidsram*$O222)*SUMIFS(TblCalculs[Coût par unité],TblCalculs[Cluster],$I222,TblCalculs[Mois],"&lt;"&amp;$W222))</f>
        <v/>
      </c>
      <c r="AF222" s="22" t="str">
        <f aca="false">IF($C222="","",IF(AND($G222="À migrer",$H222="Non",$T222&lt;&gt;"",$V222&lt;&gt;""),($T222+p_poidsram*$U222)*SUMIFS(TblCalculs[Coût par unité],TblCalculs[Cluster],$J222,TblCalculs[Mois],"&gt;="&amp;$V222),IF(AND($G222="Migré",$T222&lt;&gt;""),($T222+p_poidsram*$U222)*SUMIFS(TblCalculs[Coût par unité],TblCalculs[Cluster],$J222),"")))</f>
        <v/>
      </c>
      <c r="AG222" s="22" t="str">
        <f aca="false">IF($C222="","",N($AE222)+N($AF222))</f>
        <v/>
      </c>
      <c r="AH222" s="21" t="str">
        <f aca="false">IF(OR($C222="",$G222="Décommissionné",COUNTIFS($E222,av_envc,$A222,av_domc,$B222,av_tric)=0),"",COUNTIFS($C$6:$C222,"&lt;&gt;",$G$6:$G222,"&lt;&gt;Décommissionné",$E$6:$E222,av_envc,$A$6:$A222,av_domc,$B$6:$B222,av_tric))</f>
        <v/>
      </c>
      <c r="AI222" s="21" t="str">
        <f aca="false">IF($C222="","",IF(AND(OR($G222="À migrer",$G222="À décommissionner"),$W222&lt;&gt;"",$W222&gt;ex_mois),1,0))</f>
        <v/>
      </c>
      <c r="AJ222" s="21" t="str">
        <f aca="false">IF(OR($C222="",$AI222&lt;&gt;1,COUNTIFS($E222,ex_envc,$A222,ex_domc,$B222,ex_tric)=0),"",COUNTIFS($AI$6:$AI222,1,$E$6:$E222,ex_envc,$A$6:$A222,ex_domc,$B$6:$B222,ex_tric))</f>
        <v/>
      </c>
    </row>
    <row r="223" customFormat="false" ht="15" hidden="false" customHeight="false" outlineLevel="0" collapsed="false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5"/>
      <c r="Q223" s="75"/>
      <c r="R223" s="75"/>
      <c r="S223" s="74"/>
      <c r="T223" s="21" t="str">
        <f aca="false">IF(OR($C223="",NOT(OR($G223="À migrer",$G223="Migré")),NOT(ISNUMBER($K223))),"",ROUNDUP($K223*(1+IF($AC223="",p_margeCPU,$AC223)),0))</f>
        <v/>
      </c>
      <c r="U223" s="21" t="str">
        <f aca="false">IF(OR($C223="",NOT(OR($G223="À migrer",$G223="Migré")),NOT(ISNUMBER($L223))),"",ROUNDUP($L223*(1+IF($AD223="",p_margeRAM,$AD223)),0))</f>
        <v/>
      </c>
      <c r="V223" s="39" t="str">
        <f aca="false">IF(OR(NOT($G223="À migrer"),$P223=""),"",IFERROR(DATE(YEAR($P223),MONTH($P223),1),""))</f>
        <v/>
      </c>
      <c r="W223" s="39" t="str">
        <f aca="false">IF(OR(NOT(OR($G223="À migrer",$G223="À décommissionner")),$R223=""),"",IFERROR(DATE(YEAR($R223),MONTH($R223),1),""))</f>
        <v/>
      </c>
      <c r="X223" s="21" t="str">
        <f aca="false">IF(OR($V223="",$W223=""),"",MAX(0,(YEAR($W223)-YEAR($V223))*12+MONTH($W223)-MONTH($V223)))</f>
        <v/>
      </c>
      <c r="Y223" s="21" t="str">
        <f aca="false">IF($C223="","",COUNTIF(TblApplications[ID],$C223))</f>
        <v/>
      </c>
      <c r="Z223" s="39" t="str">
        <f aca="false">IF($C223="","",IFERROR(1/(1/_xlfn.MINIFS(TblApplications[Mois prov (calc)],TblApplications[ID],$C223)),""))</f>
        <v/>
      </c>
      <c r="AA223" s="39" t="str">
        <f aca="false">IF($C223="","",IFERROR(1/(1/_xlfn.MAXIFS(TblApplications[Mois lib (calc)],TblApplications[ID],$C223)),""))</f>
        <v/>
      </c>
      <c r="AB223" s="21" t="str">
        <f aca="false">IF($C223="","",IF(OR(OR($A223="",$B223="",$D223="",$E223="",$F223="",$G223=""),AND($G223="À migrer",OR($H223="",$I223="",$J223="",$K223="",$L223="",$N223="",$O223="",$P223="",$Q223="",$R223="")),AND($G223="Migré",OR($J223="",$K223="",$L223="")),AND($G223="À décommissionner",OR($I223="",$N223="",$O223="",$R223=""))),"Données manquantes (selon l’action)",IF(AND($G223&lt;&gt;"Migré",$G223&lt;&gt;"À migrer",$G223&lt;&gt;"À décommissionner",$G223&lt;&gt;"Décommissionné"),"Action invalide",IF(COUNTIF(TblDomaines[Domaine],$A223)=0,"Domaine inconnu (référentiel)",IF(COUNTIFS(TblTribes[Tribe],$B223,TblTribes[Domaine de la tribe],$A223)=0,"Tribe inconnue ou hors domaine",IF(AND($G223="À migrer",$H223&lt;&gt;"Oui",$H223&lt;&gt;"Non"),"Valeur Oui/Non invalide (Déjà incluse ROKS)",IF(AND($E223&lt;&gt;"PRD",$E223&lt;&gt;"NPRD"),"Environnement invalide",IF(COUNTIFS(TblApplications[ID],$C223,TblApplications[Environnement],$E223,TblApplications[Couloir],$F223)&gt;1,"Déploiement en doublon (ID + env + couloir)",IF(OR(AND($K223&lt;&gt;"",NOT(ISNUMBER($K223))),AND($L223&lt;&gt;"",NOT(ISNUMBER($L223))),AND($N223&lt;&gt;"",NOT(ISNUMBER($N223))),AND($O223&lt;&gt;"",NOT(ISNUMBER($O223)))),"Ressource non numérique",IF(MIN(N($K223),N($L223),N($N223),N($O223))&lt;0,"Ressource négative",IF(OR(AND($AC223&lt;&gt;"",OR(NOT(ISNUMBER($AC223)),$AC223&lt;0,$AC223&gt;1)),AND($AD223&lt;&gt;"",OR(NOT(ISNUMBER($AD223)),$AD223&lt;0,$AD223&gt;1))),"Marge spécifique invalide (0–100 %)",IF(OR(AND($P223&lt;&gt;"",NOT(ISNUMBER($P223))),AND($Q223&lt;&gt;"",NOT(ISNUMBER($Q223))),AND($R223&lt;&gt;"",NOT(ISNUMBER($R223)))),"Mois invalide",IF(AND(OR($G223="À migrer",$G223="À décommissionner"),COUNTIFS(TblClusters[Cluster],$I223,TblClusters[Plateforme],"IKS")=0),"Cluster IKS inconnu",IF(AND(OR($G223="À migrer",$G223="Migré"),COUNTIFS(TblClusters[Cluster],$J223,TblClusters[Plateforme],"ROKS")=0),"Cluster ROKS inconnu",IF(AND(OR($G223="À migrer",$G223="À décommissionner"),COUNTIFS(TblClusters[Cluster],$I223,TblClusters[Environnement],$E223)=0),"Environnement ≠ cluster IKS",IF(AND(OR($G223="À migrer",$G223="Migré"),COUNTIFS(TblClusters[Cluster],$J223,TblClusters[Environnement],$E223)=0),"Environnement ≠ cluster ROKS",IF(AND($G223="À migrer",OR($P223&gt;$Q223,$Q223&gt;$R223)),"Dates incohérentes (prov ≤ bascule ≤ libération)",IF(AND(OR($G223="À migrer",$G223="À décommissionner"),OR(N($N223)&gt;SUMIFS(TblClusters[CPU initial (vCPU)],TblClusters[Cluster],$I223),N($O223)&gt;SUMIFS(TblClusters[RAM initiale (Go)],TblClusters[Cluster],$I223))),"Libération &gt; capacité du cluster source",IF(OR(AND($V223&lt;&gt;"",$V223&lt;p_debut),AND($W223&lt;&gt;"",$W223&gt;p_fin)),"Hors horizon (info)",IF(AND($G223="À migrer",$E223="PRD",COUNTIFS(TblApplications[ID],$C223,TblApplications[Environnement],"NPRD",TblApplications[Action],"À migrer")&gt;0,$V223&lt;_xlfn.MINIFS(TblApplications[Mois prov (calc)],TblApplications[ID],$C223,TblApplications[Environnement],"NPRD")),"PRD avant NPRD (info)","OK"))))))))))))))))))))</f>
        <v/>
      </c>
      <c r="AC223" s="76"/>
      <c r="AD223" s="76"/>
      <c r="AE223" s="22" t="str">
        <f aca="false">IF(OR($C223="",NOT(OR($G223="À migrer",$G223="À décommissionner")),NOT(ISNUMBER($N223)),NOT(ISNUMBER($O223)),$W223=""),"",($N223+p_poidsram*$O223)*SUMIFS(TblCalculs[Coût par unité],TblCalculs[Cluster],$I223,TblCalculs[Mois],"&lt;"&amp;$W223))</f>
        <v/>
      </c>
      <c r="AF223" s="22" t="str">
        <f aca="false">IF($C223="","",IF(AND($G223="À migrer",$H223="Non",$T223&lt;&gt;"",$V223&lt;&gt;""),($T223+p_poidsram*$U223)*SUMIFS(TblCalculs[Coût par unité],TblCalculs[Cluster],$J223,TblCalculs[Mois],"&gt;="&amp;$V223),IF(AND($G223="Migré",$T223&lt;&gt;""),($T223+p_poidsram*$U223)*SUMIFS(TblCalculs[Coût par unité],TblCalculs[Cluster],$J223),"")))</f>
        <v/>
      </c>
      <c r="AG223" s="22" t="str">
        <f aca="false">IF($C223="","",N($AE223)+N($AF223))</f>
        <v/>
      </c>
      <c r="AH223" s="21" t="str">
        <f aca="false">IF(OR($C223="",$G223="Décommissionné",COUNTIFS($E223,av_envc,$A223,av_domc,$B223,av_tric)=0),"",COUNTIFS($C$6:$C223,"&lt;&gt;",$G$6:$G223,"&lt;&gt;Décommissionné",$E$6:$E223,av_envc,$A$6:$A223,av_domc,$B$6:$B223,av_tric))</f>
        <v/>
      </c>
      <c r="AI223" s="21" t="str">
        <f aca="false">IF($C223="","",IF(AND(OR($G223="À migrer",$G223="À décommissionner"),$W223&lt;&gt;"",$W223&gt;ex_mois),1,0))</f>
        <v/>
      </c>
      <c r="AJ223" s="21" t="str">
        <f aca="false">IF(OR($C223="",$AI223&lt;&gt;1,COUNTIFS($E223,ex_envc,$A223,ex_domc,$B223,ex_tric)=0),"",COUNTIFS($AI$6:$AI223,1,$E$6:$E223,ex_envc,$A$6:$A223,ex_domc,$B$6:$B223,ex_tric))</f>
        <v/>
      </c>
    </row>
    <row r="224" customFormat="false" ht="15" hidden="false" customHeight="false" outlineLevel="0" collapsed="false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5"/>
      <c r="Q224" s="75"/>
      <c r="R224" s="75"/>
      <c r="S224" s="74"/>
      <c r="T224" s="21" t="str">
        <f aca="false">IF(OR($C224="",NOT(OR($G224="À migrer",$G224="Migré")),NOT(ISNUMBER($K224))),"",ROUNDUP($K224*(1+IF($AC224="",p_margeCPU,$AC224)),0))</f>
        <v/>
      </c>
      <c r="U224" s="21" t="str">
        <f aca="false">IF(OR($C224="",NOT(OR($G224="À migrer",$G224="Migré")),NOT(ISNUMBER($L224))),"",ROUNDUP($L224*(1+IF($AD224="",p_margeRAM,$AD224)),0))</f>
        <v/>
      </c>
      <c r="V224" s="39" t="str">
        <f aca="false">IF(OR(NOT($G224="À migrer"),$P224=""),"",IFERROR(DATE(YEAR($P224),MONTH($P224),1),""))</f>
        <v/>
      </c>
      <c r="W224" s="39" t="str">
        <f aca="false">IF(OR(NOT(OR($G224="À migrer",$G224="À décommissionner")),$R224=""),"",IFERROR(DATE(YEAR($R224),MONTH($R224),1),""))</f>
        <v/>
      </c>
      <c r="X224" s="21" t="str">
        <f aca="false">IF(OR($V224="",$W224=""),"",MAX(0,(YEAR($W224)-YEAR($V224))*12+MONTH($W224)-MONTH($V224)))</f>
        <v/>
      </c>
      <c r="Y224" s="21" t="str">
        <f aca="false">IF($C224="","",COUNTIF(TblApplications[ID],$C224))</f>
        <v/>
      </c>
      <c r="Z224" s="39" t="str">
        <f aca="false">IF($C224="","",IFERROR(1/(1/_xlfn.MINIFS(TblApplications[Mois prov (calc)],TblApplications[ID],$C224)),""))</f>
        <v/>
      </c>
      <c r="AA224" s="39" t="str">
        <f aca="false">IF($C224="","",IFERROR(1/(1/_xlfn.MAXIFS(TblApplications[Mois lib (calc)],TblApplications[ID],$C224)),""))</f>
        <v/>
      </c>
      <c r="AB224" s="21" t="str">
        <f aca="false">IF($C224="","",IF(OR(OR($A224="",$B224="",$D224="",$E224="",$F224="",$G224=""),AND($G224="À migrer",OR($H224="",$I224="",$J224="",$K224="",$L224="",$N224="",$O224="",$P224="",$Q224="",$R224="")),AND($G224="Migré",OR($J224="",$K224="",$L224="")),AND($G224="À décommissionner",OR($I224="",$N224="",$O224="",$R224=""))),"Données manquantes (selon l’action)",IF(AND($G224&lt;&gt;"Migré",$G224&lt;&gt;"À migrer",$G224&lt;&gt;"À décommissionner",$G224&lt;&gt;"Décommissionné"),"Action invalide",IF(COUNTIF(TblDomaines[Domaine],$A224)=0,"Domaine inconnu (référentiel)",IF(COUNTIFS(TblTribes[Tribe],$B224,TblTribes[Domaine de la tribe],$A224)=0,"Tribe inconnue ou hors domaine",IF(AND($G224="À migrer",$H224&lt;&gt;"Oui",$H224&lt;&gt;"Non"),"Valeur Oui/Non invalide (Déjà incluse ROKS)",IF(AND($E224&lt;&gt;"PRD",$E224&lt;&gt;"NPRD"),"Environnement invalide",IF(COUNTIFS(TblApplications[ID],$C224,TblApplications[Environnement],$E224,TblApplications[Couloir],$F224)&gt;1,"Déploiement en doublon (ID + env + couloir)",IF(OR(AND($K224&lt;&gt;"",NOT(ISNUMBER($K224))),AND($L224&lt;&gt;"",NOT(ISNUMBER($L224))),AND($N224&lt;&gt;"",NOT(ISNUMBER($N224))),AND($O224&lt;&gt;"",NOT(ISNUMBER($O224)))),"Ressource non numérique",IF(MIN(N($K224),N($L224),N($N224),N($O224))&lt;0,"Ressource négative",IF(OR(AND($AC224&lt;&gt;"",OR(NOT(ISNUMBER($AC224)),$AC224&lt;0,$AC224&gt;1)),AND($AD224&lt;&gt;"",OR(NOT(ISNUMBER($AD224)),$AD224&lt;0,$AD224&gt;1))),"Marge spécifique invalide (0–100 %)",IF(OR(AND($P224&lt;&gt;"",NOT(ISNUMBER($P224))),AND($Q224&lt;&gt;"",NOT(ISNUMBER($Q224))),AND($R224&lt;&gt;"",NOT(ISNUMBER($R224)))),"Mois invalide",IF(AND(OR($G224="À migrer",$G224="À décommissionner"),COUNTIFS(TblClusters[Cluster],$I224,TblClusters[Plateforme],"IKS")=0),"Cluster IKS inconnu",IF(AND(OR($G224="À migrer",$G224="Migré"),COUNTIFS(TblClusters[Cluster],$J224,TblClusters[Plateforme],"ROKS")=0),"Cluster ROKS inconnu",IF(AND(OR($G224="À migrer",$G224="À décommissionner"),COUNTIFS(TblClusters[Cluster],$I224,TblClusters[Environnement],$E224)=0),"Environnement ≠ cluster IKS",IF(AND(OR($G224="À migrer",$G224="Migré"),COUNTIFS(TblClusters[Cluster],$J224,TblClusters[Environnement],$E224)=0),"Environnement ≠ cluster ROKS",IF(AND($G224="À migrer",OR($P224&gt;$Q224,$Q224&gt;$R224)),"Dates incohérentes (prov ≤ bascule ≤ libération)",IF(AND(OR($G224="À migrer",$G224="À décommissionner"),OR(N($N224)&gt;SUMIFS(TblClusters[CPU initial (vCPU)],TblClusters[Cluster],$I224),N($O224)&gt;SUMIFS(TblClusters[RAM initiale (Go)],TblClusters[Cluster],$I224))),"Libération &gt; capacité du cluster source",IF(OR(AND($V224&lt;&gt;"",$V224&lt;p_debut),AND($W224&lt;&gt;"",$W224&gt;p_fin)),"Hors horizon (info)",IF(AND($G224="À migrer",$E224="PRD",COUNTIFS(TblApplications[ID],$C224,TblApplications[Environnement],"NPRD",TblApplications[Action],"À migrer")&gt;0,$V224&lt;_xlfn.MINIFS(TblApplications[Mois prov (calc)],TblApplications[ID],$C224,TblApplications[Environnement],"NPRD")),"PRD avant NPRD (info)","OK"))))))))))))))))))))</f>
        <v/>
      </c>
      <c r="AC224" s="76"/>
      <c r="AD224" s="76"/>
      <c r="AE224" s="22" t="str">
        <f aca="false">IF(OR($C224="",NOT(OR($G224="À migrer",$G224="À décommissionner")),NOT(ISNUMBER($N224)),NOT(ISNUMBER($O224)),$W224=""),"",($N224+p_poidsram*$O224)*SUMIFS(TblCalculs[Coût par unité],TblCalculs[Cluster],$I224,TblCalculs[Mois],"&lt;"&amp;$W224))</f>
        <v/>
      </c>
      <c r="AF224" s="22" t="str">
        <f aca="false">IF($C224="","",IF(AND($G224="À migrer",$H224="Non",$T224&lt;&gt;"",$V224&lt;&gt;""),($T224+p_poidsram*$U224)*SUMIFS(TblCalculs[Coût par unité],TblCalculs[Cluster],$J224,TblCalculs[Mois],"&gt;="&amp;$V224),IF(AND($G224="Migré",$T224&lt;&gt;""),($T224+p_poidsram*$U224)*SUMIFS(TblCalculs[Coût par unité],TblCalculs[Cluster],$J224),"")))</f>
        <v/>
      </c>
      <c r="AG224" s="22" t="str">
        <f aca="false">IF($C224="","",N($AE224)+N($AF224))</f>
        <v/>
      </c>
      <c r="AH224" s="21" t="str">
        <f aca="false">IF(OR($C224="",$G224="Décommissionné",COUNTIFS($E224,av_envc,$A224,av_domc,$B224,av_tric)=0),"",COUNTIFS($C$6:$C224,"&lt;&gt;",$G$6:$G224,"&lt;&gt;Décommissionné",$E$6:$E224,av_envc,$A$6:$A224,av_domc,$B$6:$B224,av_tric))</f>
        <v/>
      </c>
      <c r="AI224" s="21" t="str">
        <f aca="false">IF($C224="","",IF(AND(OR($G224="À migrer",$G224="À décommissionner"),$W224&lt;&gt;"",$W224&gt;ex_mois),1,0))</f>
        <v/>
      </c>
      <c r="AJ224" s="21" t="str">
        <f aca="false">IF(OR($C224="",$AI224&lt;&gt;1,COUNTIFS($E224,ex_envc,$A224,ex_domc,$B224,ex_tric)=0),"",COUNTIFS($AI$6:$AI224,1,$E$6:$E224,ex_envc,$A$6:$A224,ex_domc,$B$6:$B224,ex_tric))</f>
        <v/>
      </c>
    </row>
    <row r="225" customFormat="false" ht="15" hidden="false" customHeight="false" outlineLevel="0" collapsed="false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5"/>
      <c r="Q225" s="75"/>
      <c r="R225" s="75"/>
      <c r="S225" s="74"/>
      <c r="T225" s="21" t="str">
        <f aca="false">IF(OR($C225="",NOT(OR($G225="À migrer",$G225="Migré")),NOT(ISNUMBER($K225))),"",ROUNDUP($K225*(1+IF($AC225="",p_margeCPU,$AC225)),0))</f>
        <v/>
      </c>
      <c r="U225" s="21" t="str">
        <f aca="false">IF(OR($C225="",NOT(OR($G225="À migrer",$G225="Migré")),NOT(ISNUMBER($L225))),"",ROUNDUP($L225*(1+IF($AD225="",p_margeRAM,$AD225)),0))</f>
        <v/>
      </c>
      <c r="V225" s="39" t="str">
        <f aca="false">IF(OR(NOT($G225="À migrer"),$P225=""),"",IFERROR(DATE(YEAR($P225),MONTH($P225),1),""))</f>
        <v/>
      </c>
      <c r="W225" s="39" t="str">
        <f aca="false">IF(OR(NOT(OR($G225="À migrer",$G225="À décommissionner")),$R225=""),"",IFERROR(DATE(YEAR($R225),MONTH($R225),1),""))</f>
        <v/>
      </c>
      <c r="X225" s="21" t="str">
        <f aca="false">IF(OR($V225="",$W225=""),"",MAX(0,(YEAR($W225)-YEAR($V225))*12+MONTH($W225)-MONTH($V225)))</f>
        <v/>
      </c>
      <c r="Y225" s="21" t="str">
        <f aca="false">IF($C225="","",COUNTIF(TblApplications[ID],$C225))</f>
        <v/>
      </c>
      <c r="Z225" s="39" t="str">
        <f aca="false">IF($C225="","",IFERROR(1/(1/_xlfn.MINIFS(TblApplications[Mois prov (calc)],TblApplications[ID],$C225)),""))</f>
        <v/>
      </c>
      <c r="AA225" s="39" t="str">
        <f aca="false">IF($C225="","",IFERROR(1/(1/_xlfn.MAXIFS(TblApplications[Mois lib (calc)],TblApplications[ID],$C225)),""))</f>
        <v/>
      </c>
      <c r="AB225" s="21" t="str">
        <f aca="false">IF($C225="","",IF(OR(OR($A225="",$B225="",$D225="",$E225="",$F225="",$G225=""),AND($G225="À migrer",OR($H225="",$I225="",$J225="",$K225="",$L225="",$N225="",$O225="",$P225="",$Q225="",$R225="")),AND($G225="Migré",OR($J225="",$K225="",$L225="")),AND($G225="À décommissionner",OR($I225="",$N225="",$O225="",$R225=""))),"Données manquantes (selon l’action)",IF(AND($G225&lt;&gt;"Migré",$G225&lt;&gt;"À migrer",$G225&lt;&gt;"À décommissionner",$G225&lt;&gt;"Décommissionné"),"Action invalide",IF(COUNTIF(TblDomaines[Domaine],$A225)=0,"Domaine inconnu (référentiel)",IF(COUNTIFS(TblTribes[Tribe],$B225,TblTribes[Domaine de la tribe],$A225)=0,"Tribe inconnue ou hors domaine",IF(AND($G225="À migrer",$H225&lt;&gt;"Oui",$H225&lt;&gt;"Non"),"Valeur Oui/Non invalide (Déjà incluse ROKS)",IF(AND($E225&lt;&gt;"PRD",$E225&lt;&gt;"NPRD"),"Environnement invalide",IF(COUNTIFS(TblApplications[ID],$C225,TblApplications[Environnement],$E225,TblApplications[Couloir],$F225)&gt;1,"Déploiement en doublon (ID + env + couloir)",IF(OR(AND($K225&lt;&gt;"",NOT(ISNUMBER($K225))),AND($L225&lt;&gt;"",NOT(ISNUMBER($L225))),AND($N225&lt;&gt;"",NOT(ISNUMBER($N225))),AND($O225&lt;&gt;"",NOT(ISNUMBER($O225)))),"Ressource non numérique",IF(MIN(N($K225),N($L225),N($N225),N($O225))&lt;0,"Ressource négative",IF(OR(AND($AC225&lt;&gt;"",OR(NOT(ISNUMBER($AC225)),$AC225&lt;0,$AC225&gt;1)),AND($AD225&lt;&gt;"",OR(NOT(ISNUMBER($AD225)),$AD225&lt;0,$AD225&gt;1))),"Marge spécifique invalide (0–100 %)",IF(OR(AND($P225&lt;&gt;"",NOT(ISNUMBER($P225))),AND($Q225&lt;&gt;"",NOT(ISNUMBER($Q225))),AND($R225&lt;&gt;"",NOT(ISNUMBER($R225)))),"Mois invalide",IF(AND(OR($G225="À migrer",$G225="À décommissionner"),COUNTIFS(TblClusters[Cluster],$I225,TblClusters[Plateforme],"IKS")=0),"Cluster IKS inconnu",IF(AND(OR($G225="À migrer",$G225="Migré"),COUNTIFS(TblClusters[Cluster],$J225,TblClusters[Plateforme],"ROKS")=0),"Cluster ROKS inconnu",IF(AND(OR($G225="À migrer",$G225="À décommissionner"),COUNTIFS(TblClusters[Cluster],$I225,TblClusters[Environnement],$E225)=0),"Environnement ≠ cluster IKS",IF(AND(OR($G225="À migrer",$G225="Migré"),COUNTIFS(TblClusters[Cluster],$J225,TblClusters[Environnement],$E225)=0),"Environnement ≠ cluster ROKS",IF(AND($G225="À migrer",OR($P225&gt;$Q225,$Q225&gt;$R225)),"Dates incohérentes (prov ≤ bascule ≤ libération)",IF(AND(OR($G225="À migrer",$G225="À décommissionner"),OR(N($N225)&gt;SUMIFS(TblClusters[CPU initial (vCPU)],TblClusters[Cluster],$I225),N($O225)&gt;SUMIFS(TblClusters[RAM initiale (Go)],TblClusters[Cluster],$I225))),"Libération &gt; capacité du cluster source",IF(OR(AND($V225&lt;&gt;"",$V225&lt;p_debut),AND($W225&lt;&gt;"",$W225&gt;p_fin)),"Hors horizon (info)",IF(AND($G225="À migrer",$E225="PRD",COUNTIFS(TblApplications[ID],$C225,TblApplications[Environnement],"NPRD",TblApplications[Action],"À migrer")&gt;0,$V225&lt;_xlfn.MINIFS(TblApplications[Mois prov (calc)],TblApplications[ID],$C225,TblApplications[Environnement],"NPRD")),"PRD avant NPRD (info)","OK"))))))))))))))))))))</f>
        <v/>
      </c>
      <c r="AC225" s="76"/>
      <c r="AD225" s="76"/>
      <c r="AE225" s="22" t="str">
        <f aca="false">IF(OR($C225="",NOT(OR($G225="À migrer",$G225="À décommissionner")),NOT(ISNUMBER($N225)),NOT(ISNUMBER($O225)),$W225=""),"",($N225+p_poidsram*$O225)*SUMIFS(TblCalculs[Coût par unité],TblCalculs[Cluster],$I225,TblCalculs[Mois],"&lt;"&amp;$W225))</f>
        <v/>
      </c>
      <c r="AF225" s="22" t="str">
        <f aca="false">IF($C225="","",IF(AND($G225="À migrer",$H225="Non",$T225&lt;&gt;"",$V225&lt;&gt;""),($T225+p_poidsram*$U225)*SUMIFS(TblCalculs[Coût par unité],TblCalculs[Cluster],$J225,TblCalculs[Mois],"&gt;="&amp;$V225),IF(AND($G225="Migré",$T225&lt;&gt;""),($T225+p_poidsram*$U225)*SUMIFS(TblCalculs[Coût par unité],TblCalculs[Cluster],$J225),"")))</f>
        <v/>
      </c>
      <c r="AG225" s="22" t="str">
        <f aca="false">IF($C225="","",N($AE225)+N($AF225))</f>
        <v/>
      </c>
      <c r="AH225" s="21" t="str">
        <f aca="false">IF(OR($C225="",$G225="Décommissionné",COUNTIFS($E225,av_envc,$A225,av_domc,$B225,av_tric)=0),"",COUNTIFS($C$6:$C225,"&lt;&gt;",$G$6:$G225,"&lt;&gt;Décommissionné",$E$6:$E225,av_envc,$A$6:$A225,av_domc,$B$6:$B225,av_tric))</f>
        <v/>
      </c>
      <c r="AI225" s="21" t="str">
        <f aca="false">IF($C225="","",IF(AND(OR($G225="À migrer",$G225="À décommissionner"),$W225&lt;&gt;"",$W225&gt;ex_mois),1,0))</f>
        <v/>
      </c>
      <c r="AJ225" s="21" t="str">
        <f aca="false">IF(OR($C225="",$AI225&lt;&gt;1,COUNTIFS($E225,ex_envc,$A225,ex_domc,$B225,ex_tric)=0),"",COUNTIFS($AI$6:$AI225,1,$E$6:$E225,ex_envc,$A$6:$A225,ex_domc,$B$6:$B225,ex_tric))</f>
        <v/>
      </c>
    </row>
    <row r="226" customFormat="false" ht="15" hidden="false" customHeight="false" outlineLevel="0" collapsed="false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5"/>
      <c r="Q226" s="75"/>
      <c r="R226" s="75"/>
      <c r="S226" s="74"/>
      <c r="T226" s="21" t="str">
        <f aca="false">IF(OR($C226="",NOT(OR($G226="À migrer",$G226="Migré")),NOT(ISNUMBER($K226))),"",ROUNDUP($K226*(1+IF($AC226="",p_margeCPU,$AC226)),0))</f>
        <v/>
      </c>
      <c r="U226" s="21" t="str">
        <f aca="false">IF(OR($C226="",NOT(OR($G226="À migrer",$G226="Migré")),NOT(ISNUMBER($L226))),"",ROUNDUP($L226*(1+IF($AD226="",p_margeRAM,$AD226)),0))</f>
        <v/>
      </c>
      <c r="V226" s="39" t="str">
        <f aca="false">IF(OR(NOT($G226="À migrer"),$P226=""),"",IFERROR(DATE(YEAR($P226),MONTH($P226),1),""))</f>
        <v/>
      </c>
      <c r="W226" s="39" t="str">
        <f aca="false">IF(OR(NOT(OR($G226="À migrer",$G226="À décommissionner")),$R226=""),"",IFERROR(DATE(YEAR($R226),MONTH($R226),1),""))</f>
        <v/>
      </c>
      <c r="X226" s="21" t="str">
        <f aca="false">IF(OR($V226="",$W226=""),"",MAX(0,(YEAR($W226)-YEAR($V226))*12+MONTH($W226)-MONTH($V226)))</f>
        <v/>
      </c>
      <c r="Y226" s="21" t="str">
        <f aca="false">IF($C226="","",COUNTIF(TblApplications[ID],$C226))</f>
        <v/>
      </c>
      <c r="Z226" s="39" t="str">
        <f aca="false">IF($C226="","",IFERROR(1/(1/_xlfn.MINIFS(TblApplications[Mois prov (calc)],TblApplications[ID],$C226)),""))</f>
        <v/>
      </c>
      <c r="AA226" s="39" t="str">
        <f aca="false">IF($C226="","",IFERROR(1/(1/_xlfn.MAXIFS(TblApplications[Mois lib (calc)],TblApplications[ID],$C226)),""))</f>
        <v/>
      </c>
      <c r="AB226" s="21" t="str">
        <f aca="false">IF($C226="","",IF(OR(OR($A226="",$B226="",$D226="",$E226="",$F226="",$G226=""),AND($G226="À migrer",OR($H226="",$I226="",$J226="",$K226="",$L226="",$N226="",$O226="",$P226="",$Q226="",$R226="")),AND($G226="Migré",OR($J226="",$K226="",$L226="")),AND($G226="À décommissionner",OR($I226="",$N226="",$O226="",$R226=""))),"Données manquantes (selon l’action)",IF(AND($G226&lt;&gt;"Migré",$G226&lt;&gt;"À migrer",$G226&lt;&gt;"À décommissionner",$G226&lt;&gt;"Décommissionné"),"Action invalide",IF(COUNTIF(TblDomaines[Domaine],$A226)=0,"Domaine inconnu (référentiel)",IF(COUNTIFS(TblTribes[Tribe],$B226,TblTribes[Domaine de la tribe],$A226)=0,"Tribe inconnue ou hors domaine",IF(AND($G226="À migrer",$H226&lt;&gt;"Oui",$H226&lt;&gt;"Non"),"Valeur Oui/Non invalide (Déjà incluse ROKS)",IF(AND($E226&lt;&gt;"PRD",$E226&lt;&gt;"NPRD"),"Environnement invalide",IF(COUNTIFS(TblApplications[ID],$C226,TblApplications[Environnement],$E226,TblApplications[Couloir],$F226)&gt;1,"Déploiement en doublon (ID + env + couloir)",IF(OR(AND($K226&lt;&gt;"",NOT(ISNUMBER($K226))),AND($L226&lt;&gt;"",NOT(ISNUMBER($L226))),AND($N226&lt;&gt;"",NOT(ISNUMBER($N226))),AND($O226&lt;&gt;"",NOT(ISNUMBER($O226)))),"Ressource non numérique",IF(MIN(N($K226),N($L226),N($N226),N($O226))&lt;0,"Ressource négative",IF(OR(AND($AC226&lt;&gt;"",OR(NOT(ISNUMBER($AC226)),$AC226&lt;0,$AC226&gt;1)),AND($AD226&lt;&gt;"",OR(NOT(ISNUMBER($AD226)),$AD226&lt;0,$AD226&gt;1))),"Marge spécifique invalide (0–100 %)",IF(OR(AND($P226&lt;&gt;"",NOT(ISNUMBER($P226))),AND($Q226&lt;&gt;"",NOT(ISNUMBER($Q226))),AND($R226&lt;&gt;"",NOT(ISNUMBER($R226)))),"Mois invalide",IF(AND(OR($G226="À migrer",$G226="À décommissionner"),COUNTIFS(TblClusters[Cluster],$I226,TblClusters[Plateforme],"IKS")=0),"Cluster IKS inconnu",IF(AND(OR($G226="À migrer",$G226="Migré"),COUNTIFS(TblClusters[Cluster],$J226,TblClusters[Plateforme],"ROKS")=0),"Cluster ROKS inconnu",IF(AND(OR($G226="À migrer",$G226="À décommissionner"),COUNTIFS(TblClusters[Cluster],$I226,TblClusters[Environnement],$E226)=0),"Environnement ≠ cluster IKS",IF(AND(OR($G226="À migrer",$G226="Migré"),COUNTIFS(TblClusters[Cluster],$J226,TblClusters[Environnement],$E226)=0),"Environnement ≠ cluster ROKS",IF(AND($G226="À migrer",OR($P226&gt;$Q226,$Q226&gt;$R226)),"Dates incohérentes (prov ≤ bascule ≤ libération)",IF(AND(OR($G226="À migrer",$G226="À décommissionner"),OR(N($N226)&gt;SUMIFS(TblClusters[CPU initial (vCPU)],TblClusters[Cluster],$I226),N($O226)&gt;SUMIFS(TblClusters[RAM initiale (Go)],TblClusters[Cluster],$I226))),"Libération &gt; capacité du cluster source",IF(OR(AND($V226&lt;&gt;"",$V226&lt;p_debut),AND($W226&lt;&gt;"",$W226&gt;p_fin)),"Hors horizon (info)",IF(AND($G226="À migrer",$E226="PRD",COUNTIFS(TblApplications[ID],$C226,TblApplications[Environnement],"NPRD",TblApplications[Action],"À migrer")&gt;0,$V226&lt;_xlfn.MINIFS(TblApplications[Mois prov (calc)],TblApplications[ID],$C226,TblApplications[Environnement],"NPRD")),"PRD avant NPRD (info)","OK"))))))))))))))))))))</f>
        <v/>
      </c>
      <c r="AC226" s="76"/>
      <c r="AD226" s="76"/>
      <c r="AE226" s="22" t="str">
        <f aca="false">IF(OR($C226="",NOT(OR($G226="À migrer",$G226="À décommissionner")),NOT(ISNUMBER($N226)),NOT(ISNUMBER($O226)),$W226=""),"",($N226+p_poidsram*$O226)*SUMIFS(TblCalculs[Coût par unité],TblCalculs[Cluster],$I226,TblCalculs[Mois],"&lt;"&amp;$W226))</f>
        <v/>
      </c>
      <c r="AF226" s="22" t="str">
        <f aca="false">IF($C226="","",IF(AND($G226="À migrer",$H226="Non",$T226&lt;&gt;"",$V226&lt;&gt;""),($T226+p_poidsram*$U226)*SUMIFS(TblCalculs[Coût par unité],TblCalculs[Cluster],$J226,TblCalculs[Mois],"&gt;="&amp;$V226),IF(AND($G226="Migré",$T226&lt;&gt;""),($T226+p_poidsram*$U226)*SUMIFS(TblCalculs[Coût par unité],TblCalculs[Cluster],$J226),"")))</f>
        <v/>
      </c>
      <c r="AG226" s="22" t="str">
        <f aca="false">IF($C226="","",N($AE226)+N($AF226))</f>
        <v/>
      </c>
      <c r="AH226" s="21" t="str">
        <f aca="false">IF(OR($C226="",$G226="Décommissionné",COUNTIFS($E226,av_envc,$A226,av_domc,$B226,av_tric)=0),"",COUNTIFS($C$6:$C226,"&lt;&gt;",$G$6:$G226,"&lt;&gt;Décommissionné",$E$6:$E226,av_envc,$A$6:$A226,av_domc,$B$6:$B226,av_tric))</f>
        <v/>
      </c>
      <c r="AI226" s="21" t="str">
        <f aca="false">IF($C226="","",IF(AND(OR($G226="À migrer",$G226="À décommissionner"),$W226&lt;&gt;"",$W226&gt;ex_mois),1,0))</f>
        <v/>
      </c>
      <c r="AJ226" s="21" t="str">
        <f aca="false">IF(OR($C226="",$AI226&lt;&gt;1,COUNTIFS($E226,ex_envc,$A226,ex_domc,$B226,ex_tric)=0),"",COUNTIFS($AI$6:$AI226,1,$E$6:$E226,ex_envc,$A$6:$A226,ex_domc,$B$6:$B226,ex_tric))</f>
        <v/>
      </c>
    </row>
    <row r="227" customFormat="false" ht="15" hidden="false" customHeight="false" outlineLevel="0" collapsed="false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5"/>
      <c r="Q227" s="75"/>
      <c r="R227" s="75"/>
      <c r="S227" s="74"/>
      <c r="T227" s="21" t="str">
        <f aca="false">IF(OR($C227="",NOT(OR($G227="À migrer",$G227="Migré")),NOT(ISNUMBER($K227))),"",ROUNDUP($K227*(1+IF($AC227="",p_margeCPU,$AC227)),0))</f>
        <v/>
      </c>
      <c r="U227" s="21" t="str">
        <f aca="false">IF(OR($C227="",NOT(OR($G227="À migrer",$G227="Migré")),NOT(ISNUMBER($L227))),"",ROUNDUP($L227*(1+IF($AD227="",p_margeRAM,$AD227)),0))</f>
        <v/>
      </c>
      <c r="V227" s="39" t="str">
        <f aca="false">IF(OR(NOT($G227="À migrer"),$P227=""),"",IFERROR(DATE(YEAR($P227),MONTH($P227),1),""))</f>
        <v/>
      </c>
      <c r="W227" s="39" t="str">
        <f aca="false">IF(OR(NOT(OR($G227="À migrer",$G227="À décommissionner")),$R227=""),"",IFERROR(DATE(YEAR($R227),MONTH($R227),1),""))</f>
        <v/>
      </c>
      <c r="X227" s="21" t="str">
        <f aca="false">IF(OR($V227="",$W227=""),"",MAX(0,(YEAR($W227)-YEAR($V227))*12+MONTH($W227)-MONTH($V227)))</f>
        <v/>
      </c>
      <c r="Y227" s="21" t="str">
        <f aca="false">IF($C227="","",COUNTIF(TblApplications[ID],$C227))</f>
        <v/>
      </c>
      <c r="Z227" s="39" t="str">
        <f aca="false">IF($C227="","",IFERROR(1/(1/_xlfn.MINIFS(TblApplications[Mois prov (calc)],TblApplications[ID],$C227)),""))</f>
        <v/>
      </c>
      <c r="AA227" s="39" t="str">
        <f aca="false">IF($C227="","",IFERROR(1/(1/_xlfn.MAXIFS(TblApplications[Mois lib (calc)],TblApplications[ID],$C227)),""))</f>
        <v/>
      </c>
      <c r="AB227" s="21" t="str">
        <f aca="false">IF($C227="","",IF(OR(OR($A227="",$B227="",$D227="",$E227="",$F227="",$G227=""),AND($G227="À migrer",OR($H227="",$I227="",$J227="",$K227="",$L227="",$N227="",$O227="",$P227="",$Q227="",$R227="")),AND($G227="Migré",OR($J227="",$K227="",$L227="")),AND($G227="À décommissionner",OR($I227="",$N227="",$O227="",$R227=""))),"Données manquantes (selon l’action)",IF(AND($G227&lt;&gt;"Migré",$G227&lt;&gt;"À migrer",$G227&lt;&gt;"À décommissionner",$G227&lt;&gt;"Décommissionné"),"Action invalide",IF(COUNTIF(TblDomaines[Domaine],$A227)=0,"Domaine inconnu (référentiel)",IF(COUNTIFS(TblTribes[Tribe],$B227,TblTribes[Domaine de la tribe],$A227)=0,"Tribe inconnue ou hors domaine",IF(AND($G227="À migrer",$H227&lt;&gt;"Oui",$H227&lt;&gt;"Non"),"Valeur Oui/Non invalide (Déjà incluse ROKS)",IF(AND($E227&lt;&gt;"PRD",$E227&lt;&gt;"NPRD"),"Environnement invalide",IF(COUNTIFS(TblApplications[ID],$C227,TblApplications[Environnement],$E227,TblApplications[Couloir],$F227)&gt;1,"Déploiement en doublon (ID + env + couloir)",IF(OR(AND($K227&lt;&gt;"",NOT(ISNUMBER($K227))),AND($L227&lt;&gt;"",NOT(ISNUMBER($L227))),AND($N227&lt;&gt;"",NOT(ISNUMBER($N227))),AND($O227&lt;&gt;"",NOT(ISNUMBER($O227)))),"Ressource non numérique",IF(MIN(N($K227),N($L227),N($N227),N($O227))&lt;0,"Ressource négative",IF(OR(AND($AC227&lt;&gt;"",OR(NOT(ISNUMBER($AC227)),$AC227&lt;0,$AC227&gt;1)),AND($AD227&lt;&gt;"",OR(NOT(ISNUMBER($AD227)),$AD227&lt;0,$AD227&gt;1))),"Marge spécifique invalide (0–100 %)",IF(OR(AND($P227&lt;&gt;"",NOT(ISNUMBER($P227))),AND($Q227&lt;&gt;"",NOT(ISNUMBER($Q227))),AND($R227&lt;&gt;"",NOT(ISNUMBER($R227)))),"Mois invalide",IF(AND(OR($G227="À migrer",$G227="À décommissionner"),COUNTIFS(TblClusters[Cluster],$I227,TblClusters[Plateforme],"IKS")=0),"Cluster IKS inconnu",IF(AND(OR($G227="À migrer",$G227="Migré"),COUNTIFS(TblClusters[Cluster],$J227,TblClusters[Plateforme],"ROKS")=0),"Cluster ROKS inconnu",IF(AND(OR($G227="À migrer",$G227="À décommissionner"),COUNTIFS(TblClusters[Cluster],$I227,TblClusters[Environnement],$E227)=0),"Environnement ≠ cluster IKS",IF(AND(OR($G227="À migrer",$G227="Migré"),COUNTIFS(TblClusters[Cluster],$J227,TblClusters[Environnement],$E227)=0),"Environnement ≠ cluster ROKS",IF(AND($G227="À migrer",OR($P227&gt;$Q227,$Q227&gt;$R227)),"Dates incohérentes (prov ≤ bascule ≤ libération)",IF(AND(OR($G227="À migrer",$G227="À décommissionner"),OR(N($N227)&gt;SUMIFS(TblClusters[CPU initial (vCPU)],TblClusters[Cluster],$I227),N($O227)&gt;SUMIFS(TblClusters[RAM initiale (Go)],TblClusters[Cluster],$I227))),"Libération &gt; capacité du cluster source",IF(OR(AND($V227&lt;&gt;"",$V227&lt;p_debut),AND($W227&lt;&gt;"",$W227&gt;p_fin)),"Hors horizon (info)",IF(AND($G227="À migrer",$E227="PRD",COUNTIFS(TblApplications[ID],$C227,TblApplications[Environnement],"NPRD",TblApplications[Action],"À migrer")&gt;0,$V227&lt;_xlfn.MINIFS(TblApplications[Mois prov (calc)],TblApplications[ID],$C227,TblApplications[Environnement],"NPRD")),"PRD avant NPRD (info)","OK"))))))))))))))))))))</f>
        <v/>
      </c>
      <c r="AC227" s="76"/>
      <c r="AD227" s="76"/>
      <c r="AE227" s="22" t="str">
        <f aca="false">IF(OR($C227="",NOT(OR($G227="À migrer",$G227="À décommissionner")),NOT(ISNUMBER($N227)),NOT(ISNUMBER($O227)),$W227=""),"",($N227+p_poidsram*$O227)*SUMIFS(TblCalculs[Coût par unité],TblCalculs[Cluster],$I227,TblCalculs[Mois],"&lt;"&amp;$W227))</f>
        <v/>
      </c>
      <c r="AF227" s="22" t="str">
        <f aca="false">IF($C227="","",IF(AND($G227="À migrer",$H227="Non",$T227&lt;&gt;"",$V227&lt;&gt;""),($T227+p_poidsram*$U227)*SUMIFS(TblCalculs[Coût par unité],TblCalculs[Cluster],$J227,TblCalculs[Mois],"&gt;="&amp;$V227),IF(AND($G227="Migré",$T227&lt;&gt;""),($T227+p_poidsram*$U227)*SUMIFS(TblCalculs[Coût par unité],TblCalculs[Cluster],$J227),"")))</f>
        <v/>
      </c>
      <c r="AG227" s="22" t="str">
        <f aca="false">IF($C227="","",N($AE227)+N($AF227))</f>
        <v/>
      </c>
      <c r="AH227" s="21" t="str">
        <f aca="false">IF(OR($C227="",$G227="Décommissionné",COUNTIFS($E227,av_envc,$A227,av_domc,$B227,av_tric)=0),"",COUNTIFS($C$6:$C227,"&lt;&gt;",$G$6:$G227,"&lt;&gt;Décommissionné",$E$6:$E227,av_envc,$A$6:$A227,av_domc,$B$6:$B227,av_tric))</f>
        <v/>
      </c>
      <c r="AI227" s="21" t="str">
        <f aca="false">IF($C227="","",IF(AND(OR($G227="À migrer",$G227="À décommissionner"),$W227&lt;&gt;"",$W227&gt;ex_mois),1,0))</f>
        <v/>
      </c>
      <c r="AJ227" s="21" t="str">
        <f aca="false">IF(OR($C227="",$AI227&lt;&gt;1,COUNTIFS($E227,ex_envc,$A227,ex_domc,$B227,ex_tric)=0),"",COUNTIFS($AI$6:$AI227,1,$E$6:$E227,ex_envc,$A$6:$A227,ex_domc,$B$6:$B227,ex_tric))</f>
        <v/>
      </c>
    </row>
    <row r="228" customFormat="false" ht="15" hidden="false" customHeight="false" outlineLevel="0" collapsed="false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5"/>
      <c r="Q228" s="75"/>
      <c r="R228" s="75"/>
      <c r="S228" s="74"/>
      <c r="T228" s="21" t="str">
        <f aca="false">IF(OR($C228="",NOT(OR($G228="À migrer",$G228="Migré")),NOT(ISNUMBER($K228))),"",ROUNDUP($K228*(1+IF($AC228="",p_margeCPU,$AC228)),0))</f>
        <v/>
      </c>
      <c r="U228" s="21" t="str">
        <f aca="false">IF(OR($C228="",NOT(OR($G228="À migrer",$G228="Migré")),NOT(ISNUMBER($L228))),"",ROUNDUP($L228*(1+IF($AD228="",p_margeRAM,$AD228)),0))</f>
        <v/>
      </c>
      <c r="V228" s="39" t="str">
        <f aca="false">IF(OR(NOT($G228="À migrer"),$P228=""),"",IFERROR(DATE(YEAR($P228),MONTH($P228),1),""))</f>
        <v/>
      </c>
      <c r="W228" s="39" t="str">
        <f aca="false">IF(OR(NOT(OR($G228="À migrer",$G228="À décommissionner")),$R228=""),"",IFERROR(DATE(YEAR($R228),MONTH($R228),1),""))</f>
        <v/>
      </c>
      <c r="X228" s="21" t="str">
        <f aca="false">IF(OR($V228="",$W228=""),"",MAX(0,(YEAR($W228)-YEAR($V228))*12+MONTH($W228)-MONTH($V228)))</f>
        <v/>
      </c>
      <c r="Y228" s="21" t="str">
        <f aca="false">IF($C228="","",COUNTIF(TblApplications[ID],$C228))</f>
        <v/>
      </c>
      <c r="Z228" s="39" t="str">
        <f aca="false">IF($C228="","",IFERROR(1/(1/_xlfn.MINIFS(TblApplications[Mois prov (calc)],TblApplications[ID],$C228)),""))</f>
        <v/>
      </c>
      <c r="AA228" s="39" t="str">
        <f aca="false">IF($C228="","",IFERROR(1/(1/_xlfn.MAXIFS(TblApplications[Mois lib (calc)],TblApplications[ID],$C228)),""))</f>
        <v/>
      </c>
      <c r="AB228" s="21" t="str">
        <f aca="false">IF($C228="","",IF(OR(OR($A228="",$B228="",$D228="",$E228="",$F228="",$G228=""),AND($G228="À migrer",OR($H228="",$I228="",$J228="",$K228="",$L228="",$N228="",$O228="",$P228="",$Q228="",$R228="")),AND($G228="Migré",OR($J228="",$K228="",$L228="")),AND($G228="À décommissionner",OR($I228="",$N228="",$O228="",$R228=""))),"Données manquantes (selon l’action)",IF(AND($G228&lt;&gt;"Migré",$G228&lt;&gt;"À migrer",$G228&lt;&gt;"À décommissionner",$G228&lt;&gt;"Décommissionné"),"Action invalide",IF(COUNTIF(TblDomaines[Domaine],$A228)=0,"Domaine inconnu (référentiel)",IF(COUNTIFS(TblTribes[Tribe],$B228,TblTribes[Domaine de la tribe],$A228)=0,"Tribe inconnue ou hors domaine",IF(AND($G228="À migrer",$H228&lt;&gt;"Oui",$H228&lt;&gt;"Non"),"Valeur Oui/Non invalide (Déjà incluse ROKS)",IF(AND($E228&lt;&gt;"PRD",$E228&lt;&gt;"NPRD"),"Environnement invalide",IF(COUNTIFS(TblApplications[ID],$C228,TblApplications[Environnement],$E228,TblApplications[Couloir],$F228)&gt;1,"Déploiement en doublon (ID + env + couloir)",IF(OR(AND($K228&lt;&gt;"",NOT(ISNUMBER($K228))),AND($L228&lt;&gt;"",NOT(ISNUMBER($L228))),AND($N228&lt;&gt;"",NOT(ISNUMBER($N228))),AND($O228&lt;&gt;"",NOT(ISNUMBER($O228)))),"Ressource non numérique",IF(MIN(N($K228),N($L228),N($N228),N($O228))&lt;0,"Ressource négative",IF(OR(AND($AC228&lt;&gt;"",OR(NOT(ISNUMBER($AC228)),$AC228&lt;0,$AC228&gt;1)),AND($AD228&lt;&gt;"",OR(NOT(ISNUMBER($AD228)),$AD228&lt;0,$AD228&gt;1))),"Marge spécifique invalide (0–100 %)",IF(OR(AND($P228&lt;&gt;"",NOT(ISNUMBER($P228))),AND($Q228&lt;&gt;"",NOT(ISNUMBER($Q228))),AND($R228&lt;&gt;"",NOT(ISNUMBER($R228)))),"Mois invalide",IF(AND(OR($G228="À migrer",$G228="À décommissionner"),COUNTIFS(TblClusters[Cluster],$I228,TblClusters[Plateforme],"IKS")=0),"Cluster IKS inconnu",IF(AND(OR($G228="À migrer",$G228="Migré"),COUNTIFS(TblClusters[Cluster],$J228,TblClusters[Plateforme],"ROKS")=0),"Cluster ROKS inconnu",IF(AND(OR($G228="À migrer",$G228="À décommissionner"),COUNTIFS(TblClusters[Cluster],$I228,TblClusters[Environnement],$E228)=0),"Environnement ≠ cluster IKS",IF(AND(OR($G228="À migrer",$G228="Migré"),COUNTIFS(TblClusters[Cluster],$J228,TblClusters[Environnement],$E228)=0),"Environnement ≠ cluster ROKS",IF(AND($G228="À migrer",OR($P228&gt;$Q228,$Q228&gt;$R228)),"Dates incohérentes (prov ≤ bascule ≤ libération)",IF(AND(OR($G228="À migrer",$G228="À décommissionner"),OR(N($N228)&gt;SUMIFS(TblClusters[CPU initial (vCPU)],TblClusters[Cluster],$I228),N($O228)&gt;SUMIFS(TblClusters[RAM initiale (Go)],TblClusters[Cluster],$I228))),"Libération &gt; capacité du cluster source",IF(OR(AND($V228&lt;&gt;"",$V228&lt;p_debut),AND($W228&lt;&gt;"",$W228&gt;p_fin)),"Hors horizon (info)",IF(AND($G228="À migrer",$E228="PRD",COUNTIFS(TblApplications[ID],$C228,TblApplications[Environnement],"NPRD",TblApplications[Action],"À migrer")&gt;0,$V228&lt;_xlfn.MINIFS(TblApplications[Mois prov (calc)],TblApplications[ID],$C228,TblApplications[Environnement],"NPRD")),"PRD avant NPRD (info)","OK"))))))))))))))))))))</f>
        <v/>
      </c>
      <c r="AC228" s="76"/>
      <c r="AD228" s="76"/>
      <c r="AE228" s="22" t="str">
        <f aca="false">IF(OR($C228="",NOT(OR($G228="À migrer",$G228="À décommissionner")),NOT(ISNUMBER($N228)),NOT(ISNUMBER($O228)),$W228=""),"",($N228+p_poidsram*$O228)*SUMIFS(TblCalculs[Coût par unité],TblCalculs[Cluster],$I228,TblCalculs[Mois],"&lt;"&amp;$W228))</f>
        <v/>
      </c>
      <c r="AF228" s="22" t="str">
        <f aca="false">IF($C228="","",IF(AND($G228="À migrer",$H228="Non",$T228&lt;&gt;"",$V228&lt;&gt;""),($T228+p_poidsram*$U228)*SUMIFS(TblCalculs[Coût par unité],TblCalculs[Cluster],$J228,TblCalculs[Mois],"&gt;="&amp;$V228),IF(AND($G228="Migré",$T228&lt;&gt;""),($T228+p_poidsram*$U228)*SUMIFS(TblCalculs[Coût par unité],TblCalculs[Cluster],$J228),"")))</f>
        <v/>
      </c>
      <c r="AG228" s="22" t="str">
        <f aca="false">IF($C228="","",N($AE228)+N($AF228))</f>
        <v/>
      </c>
      <c r="AH228" s="21" t="str">
        <f aca="false">IF(OR($C228="",$G228="Décommissionné",COUNTIFS($E228,av_envc,$A228,av_domc,$B228,av_tric)=0),"",COUNTIFS($C$6:$C228,"&lt;&gt;",$G$6:$G228,"&lt;&gt;Décommissionné",$E$6:$E228,av_envc,$A$6:$A228,av_domc,$B$6:$B228,av_tric))</f>
        <v/>
      </c>
      <c r="AI228" s="21" t="str">
        <f aca="false">IF($C228="","",IF(AND(OR($G228="À migrer",$G228="À décommissionner"),$W228&lt;&gt;"",$W228&gt;ex_mois),1,0))</f>
        <v/>
      </c>
      <c r="AJ228" s="21" t="str">
        <f aca="false">IF(OR($C228="",$AI228&lt;&gt;1,COUNTIFS($E228,ex_envc,$A228,ex_domc,$B228,ex_tric)=0),"",COUNTIFS($AI$6:$AI228,1,$E$6:$E228,ex_envc,$A$6:$A228,ex_domc,$B$6:$B228,ex_tric))</f>
        <v/>
      </c>
    </row>
    <row r="229" customFormat="false" ht="15" hidden="false" customHeight="false" outlineLevel="0" collapsed="false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5"/>
      <c r="Q229" s="75"/>
      <c r="R229" s="75"/>
      <c r="S229" s="74"/>
      <c r="T229" s="21" t="str">
        <f aca="false">IF(OR($C229="",NOT(OR($G229="À migrer",$G229="Migré")),NOT(ISNUMBER($K229))),"",ROUNDUP($K229*(1+IF($AC229="",p_margeCPU,$AC229)),0))</f>
        <v/>
      </c>
      <c r="U229" s="21" t="str">
        <f aca="false">IF(OR($C229="",NOT(OR($G229="À migrer",$G229="Migré")),NOT(ISNUMBER($L229))),"",ROUNDUP($L229*(1+IF($AD229="",p_margeRAM,$AD229)),0))</f>
        <v/>
      </c>
      <c r="V229" s="39" t="str">
        <f aca="false">IF(OR(NOT($G229="À migrer"),$P229=""),"",IFERROR(DATE(YEAR($P229),MONTH($P229),1),""))</f>
        <v/>
      </c>
      <c r="W229" s="39" t="str">
        <f aca="false">IF(OR(NOT(OR($G229="À migrer",$G229="À décommissionner")),$R229=""),"",IFERROR(DATE(YEAR($R229),MONTH($R229),1),""))</f>
        <v/>
      </c>
      <c r="X229" s="21" t="str">
        <f aca="false">IF(OR($V229="",$W229=""),"",MAX(0,(YEAR($W229)-YEAR($V229))*12+MONTH($W229)-MONTH($V229)))</f>
        <v/>
      </c>
      <c r="Y229" s="21" t="str">
        <f aca="false">IF($C229="","",COUNTIF(TblApplications[ID],$C229))</f>
        <v/>
      </c>
      <c r="Z229" s="39" t="str">
        <f aca="false">IF($C229="","",IFERROR(1/(1/_xlfn.MINIFS(TblApplications[Mois prov (calc)],TblApplications[ID],$C229)),""))</f>
        <v/>
      </c>
      <c r="AA229" s="39" t="str">
        <f aca="false">IF($C229="","",IFERROR(1/(1/_xlfn.MAXIFS(TblApplications[Mois lib (calc)],TblApplications[ID],$C229)),""))</f>
        <v/>
      </c>
      <c r="AB229" s="21" t="str">
        <f aca="false">IF($C229="","",IF(OR(OR($A229="",$B229="",$D229="",$E229="",$F229="",$G229=""),AND($G229="À migrer",OR($H229="",$I229="",$J229="",$K229="",$L229="",$N229="",$O229="",$P229="",$Q229="",$R229="")),AND($G229="Migré",OR($J229="",$K229="",$L229="")),AND($G229="À décommissionner",OR($I229="",$N229="",$O229="",$R229=""))),"Données manquantes (selon l’action)",IF(AND($G229&lt;&gt;"Migré",$G229&lt;&gt;"À migrer",$G229&lt;&gt;"À décommissionner",$G229&lt;&gt;"Décommissionné"),"Action invalide",IF(COUNTIF(TblDomaines[Domaine],$A229)=0,"Domaine inconnu (référentiel)",IF(COUNTIFS(TblTribes[Tribe],$B229,TblTribes[Domaine de la tribe],$A229)=0,"Tribe inconnue ou hors domaine",IF(AND($G229="À migrer",$H229&lt;&gt;"Oui",$H229&lt;&gt;"Non"),"Valeur Oui/Non invalide (Déjà incluse ROKS)",IF(AND($E229&lt;&gt;"PRD",$E229&lt;&gt;"NPRD"),"Environnement invalide",IF(COUNTIFS(TblApplications[ID],$C229,TblApplications[Environnement],$E229,TblApplications[Couloir],$F229)&gt;1,"Déploiement en doublon (ID + env + couloir)",IF(OR(AND($K229&lt;&gt;"",NOT(ISNUMBER($K229))),AND($L229&lt;&gt;"",NOT(ISNUMBER($L229))),AND($N229&lt;&gt;"",NOT(ISNUMBER($N229))),AND($O229&lt;&gt;"",NOT(ISNUMBER($O229)))),"Ressource non numérique",IF(MIN(N($K229),N($L229),N($N229),N($O229))&lt;0,"Ressource négative",IF(OR(AND($AC229&lt;&gt;"",OR(NOT(ISNUMBER($AC229)),$AC229&lt;0,$AC229&gt;1)),AND($AD229&lt;&gt;"",OR(NOT(ISNUMBER($AD229)),$AD229&lt;0,$AD229&gt;1))),"Marge spécifique invalide (0–100 %)",IF(OR(AND($P229&lt;&gt;"",NOT(ISNUMBER($P229))),AND($Q229&lt;&gt;"",NOT(ISNUMBER($Q229))),AND($R229&lt;&gt;"",NOT(ISNUMBER($R229)))),"Mois invalide",IF(AND(OR($G229="À migrer",$G229="À décommissionner"),COUNTIFS(TblClusters[Cluster],$I229,TblClusters[Plateforme],"IKS")=0),"Cluster IKS inconnu",IF(AND(OR($G229="À migrer",$G229="Migré"),COUNTIFS(TblClusters[Cluster],$J229,TblClusters[Plateforme],"ROKS")=0),"Cluster ROKS inconnu",IF(AND(OR($G229="À migrer",$G229="À décommissionner"),COUNTIFS(TblClusters[Cluster],$I229,TblClusters[Environnement],$E229)=0),"Environnement ≠ cluster IKS",IF(AND(OR($G229="À migrer",$G229="Migré"),COUNTIFS(TblClusters[Cluster],$J229,TblClusters[Environnement],$E229)=0),"Environnement ≠ cluster ROKS",IF(AND($G229="À migrer",OR($P229&gt;$Q229,$Q229&gt;$R229)),"Dates incohérentes (prov ≤ bascule ≤ libération)",IF(AND(OR($G229="À migrer",$G229="À décommissionner"),OR(N($N229)&gt;SUMIFS(TblClusters[CPU initial (vCPU)],TblClusters[Cluster],$I229),N($O229)&gt;SUMIFS(TblClusters[RAM initiale (Go)],TblClusters[Cluster],$I229))),"Libération &gt; capacité du cluster source",IF(OR(AND($V229&lt;&gt;"",$V229&lt;p_debut),AND($W229&lt;&gt;"",$W229&gt;p_fin)),"Hors horizon (info)",IF(AND($G229="À migrer",$E229="PRD",COUNTIFS(TblApplications[ID],$C229,TblApplications[Environnement],"NPRD",TblApplications[Action],"À migrer")&gt;0,$V229&lt;_xlfn.MINIFS(TblApplications[Mois prov (calc)],TblApplications[ID],$C229,TblApplications[Environnement],"NPRD")),"PRD avant NPRD (info)","OK"))))))))))))))))))))</f>
        <v/>
      </c>
      <c r="AC229" s="76"/>
      <c r="AD229" s="76"/>
      <c r="AE229" s="22" t="str">
        <f aca="false">IF(OR($C229="",NOT(OR($G229="À migrer",$G229="À décommissionner")),NOT(ISNUMBER($N229)),NOT(ISNUMBER($O229)),$W229=""),"",($N229+p_poidsram*$O229)*SUMIFS(TblCalculs[Coût par unité],TblCalculs[Cluster],$I229,TblCalculs[Mois],"&lt;"&amp;$W229))</f>
        <v/>
      </c>
      <c r="AF229" s="22" t="str">
        <f aca="false">IF($C229="","",IF(AND($G229="À migrer",$H229="Non",$T229&lt;&gt;"",$V229&lt;&gt;""),($T229+p_poidsram*$U229)*SUMIFS(TblCalculs[Coût par unité],TblCalculs[Cluster],$J229,TblCalculs[Mois],"&gt;="&amp;$V229),IF(AND($G229="Migré",$T229&lt;&gt;""),($T229+p_poidsram*$U229)*SUMIFS(TblCalculs[Coût par unité],TblCalculs[Cluster],$J229),"")))</f>
        <v/>
      </c>
      <c r="AG229" s="22" t="str">
        <f aca="false">IF($C229="","",N($AE229)+N($AF229))</f>
        <v/>
      </c>
      <c r="AH229" s="21" t="str">
        <f aca="false">IF(OR($C229="",$G229="Décommissionné",COUNTIFS($E229,av_envc,$A229,av_domc,$B229,av_tric)=0),"",COUNTIFS($C$6:$C229,"&lt;&gt;",$G$6:$G229,"&lt;&gt;Décommissionné",$E$6:$E229,av_envc,$A$6:$A229,av_domc,$B$6:$B229,av_tric))</f>
        <v/>
      </c>
      <c r="AI229" s="21" t="str">
        <f aca="false">IF($C229="","",IF(AND(OR($G229="À migrer",$G229="À décommissionner"),$W229&lt;&gt;"",$W229&gt;ex_mois),1,0))</f>
        <v/>
      </c>
      <c r="AJ229" s="21" t="str">
        <f aca="false">IF(OR($C229="",$AI229&lt;&gt;1,COUNTIFS($E229,ex_envc,$A229,ex_domc,$B229,ex_tric)=0),"",COUNTIFS($AI$6:$AI229,1,$E$6:$E229,ex_envc,$A$6:$A229,ex_domc,$B$6:$B229,ex_tric))</f>
        <v/>
      </c>
    </row>
    <row r="230" customFormat="false" ht="15" hidden="false" customHeight="false" outlineLevel="0" collapsed="false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5"/>
      <c r="Q230" s="75"/>
      <c r="R230" s="75"/>
      <c r="S230" s="74"/>
      <c r="T230" s="21" t="str">
        <f aca="false">IF(OR($C230="",NOT(OR($G230="À migrer",$G230="Migré")),NOT(ISNUMBER($K230))),"",ROUNDUP($K230*(1+IF($AC230="",p_margeCPU,$AC230)),0))</f>
        <v/>
      </c>
      <c r="U230" s="21" t="str">
        <f aca="false">IF(OR($C230="",NOT(OR($G230="À migrer",$G230="Migré")),NOT(ISNUMBER($L230))),"",ROUNDUP($L230*(1+IF($AD230="",p_margeRAM,$AD230)),0))</f>
        <v/>
      </c>
      <c r="V230" s="39" t="str">
        <f aca="false">IF(OR(NOT($G230="À migrer"),$P230=""),"",IFERROR(DATE(YEAR($P230),MONTH($P230),1),""))</f>
        <v/>
      </c>
      <c r="W230" s="39" t="str">
        <f aca="false">IF(OR(NOT(OR($G230="À migrer",$G230="À décommissionner")),$R230=""),"",IFERROR(DATE(YEAR($R230),MONTH($R230),1),""))</f>
        <v/>
      </c>
      <c r="X230" s="21" t="str">
        <f aca="false">IF(OR($V230="",$W230=""),"",MAX(0,(YEAR($W230)-YEAR($V230))*12+MONTH($W230)-MONTH($V230)))</f>
        <v/>
      </c>
      <c r="Y230" s="21" t="str">
        <f aca="false">IF($C230="","",COUNTIF(TblApplications[ID],$C230))</f>
        <v/>
      </c>
      <c r="Z230" s="39" t="str">
        <f aca="false">IF($C230="","",IFERROR(1/(1/_xlfn.MINIFS(TblApplications[Mois prov (calc)],TblApplications[ID],$C230)),""))</f>
        <v/>
      </c>
      <c r="AA230" s="39" t="str">
        <f aca="false">IF($C230="","",IFERROR(1/(1/_xlfn.MAXIFS(TblApplications[Mois lib (calc)],TblApplications[ID],$C230)),""))</f>
        <v/>
      </c>
      <c r="AB230" s="21" t="str">
        <f aca="false">IF($C230="","",IF(OR(OR($A230="",$B230="",$D230="",$E230="",$F230="",$G230=""),AND($G230="À migrer",OR($H230="",$I230="",$J230="",$K230="",$L230="",$N230="",$O230="",$P230="",$Q230="",$R230="")),AND($G230="Migré",OR($J230="",$K230="",$L230="")),AND($G230="À décommissionner",OR($I230="",$N230="",$O230="",$R230=""))),"Données manquantes (selon l’action)",IF(AND($G230&lt;&gt;"Migré",$G230&lt;&gt;"À migrer",$G230&lt;&gt;"À décommissionner",$G230&lt;&gt;"Décommissionné"),"Action invalide",IF(COUNTIF(TblDomaines[Domaine],$A230)=0,"Domaine inconnu (référentiel)",IF(COUNTIFS(TblTribes[Tribe],$B230,TblTribes[Domaine de la tribe],$A230)=0,"Tribe inconnue ou hors domaine",IF(AND($G230="À migrer",$H230&lt;&gt;"Oui",$H230&lt;&gt;"Non"),"Valeur Oui/Non invalide (Déjà incluse ROKS)",IF(AND($E230&lt;&gt;"PRD",$E230&lt;&gt;"NPRD"),"Environnement invalide",IF(COUNTIFS(TblApplications[ID],$C230,TblApplications[Environnement],$E230,TblApplications[Couloir],$F230)&gt;1,"Déploiement en doublon (ID + env + couloir)",IF(OR(AND($K230&lt;&gt;"",NOT(ISNUMBER($K230))),AND($L230&lt;&gt;"",NOT(ISNUMBER($L230))),AND($N230&lt;&gt;"",NOT(ISNUMBER($N230))),AND($O230&lt;&gt;"",NOT(ISNUMBER($O230)))),"Ressource non numérique",IF(MIN(N($K230),N($L230),N($N230),N($O230))&lt;0,"Ressource négative",IF(OR(AND($AC230&lt;&gt;"",OR(NOT(ISNUMBER($AC230)),$AC230&lt;0,$AC230&gt;1)),AND($AD230&lt;&gt;"",OR(NOT(ISNUMBER($AD230)),$AD230&lt;0,$AD230&gt;1))),"Marge spécifique invalide (0–100 %)",IF(OR(AND($P230&lt;&gt;"",NOT(ISNUMBER($P230))),AND($Q230&lt;&gt;"",NOT(ISNUMBER($Q230))),AND($R230&lt;&gt;"",NOT(ISNUMBER($R230)))),"Mois invalide",IF(AND(OR($G230="À migrer",$G230="À décommissionner"),COUNTIFS(TblClusters[Cluster],$I230,TblClusters[Plateforme],"IKS")=0),"Cluster IKS inconnu",IF(AND(OR($G230="À migrer",$G230="Migré"),COUNTIFS(TblClusters[Cluster],$J230,TblClusters[Plateforme],"ROKS")=0),"Cluster ROKS inconnu",IF(AND(OR($G230="À migrer",$G230="À décommissionner"),COUNTIFS(TblClusters[Cluster],$I230,TblClusters[Environnement],$E230)=0),"Environnement ≠ cluster IKS",IF(AND(OR($G230="À migrer",$G230="Migré"),COUNTIFS(TblClusters[Cluster],$J230,TblClusters[Environnement],$E230)=0),"Environnement ≠ cluster ROKS",IF(AND($G230="À migrer",OR($P230&gt;$Q230,$Q230&gt;$R230)),"Dates incohérentes (prov ≤ bascule ≤ libération)",IF(AND(OR($G230="À migrer",$G230="À décommissionner"),OR(N($N230)&gt;SUMIFS(TblClusters[CPU initial (vCPU)],TblClusters[Cluster],$I230),N($O230)&gt;SUMIFS(TblClusters[RAM initiale (Go)],TblClusters[Cluster],$I230))),"Libération &gt; capacité du cluster source",IF(OR(AND($V230&lt;&gt;"",$V230&lt;p_debut),AND($W230&lt;&gt;"",$W230&gt;p_fin)),"Hors horizon (info)",IF(AND($G230="À migrer",$E230="PRD",COUNTIFS(TblApplications[ID],$C230,TblApplications[Environnement],"NPRD",TblApplications[Action],"À migrer")&gt;0,$V230&lt;_xlfn.MINIFS(TblApplications[Mois prov (calc)],TblApplications[ID],$C230,TblApplications[Environnement],"NPRD")),"PRD avant NPRD (info)","OK"))))))))))))))))))))</f>
        <v/>
      </c>
      <c r="AC230" s="76"/>
      <c r="AD230" s="76"/>
      <c r="AE230" s="22" t="str">
        <f aca="false">IF(OR($C230="",NOT(OR($G230="À migrer",$G230="À décommissionner")),NOT(ISNUMBER($N230)),NOT(ISNUMBER($O230)),$W230=""),"",($N230+p_poidsram*$O230)*SUMIFS(TblCalculs[Coût par unité],TblCalculs[Cluster],$I230,TblCalculs[Mois],"&lt;"&amp;$W230))</f>
        <v/>
      </c>
      <c r="AF230" s="22" t="str">
        <f aca="false">IF($C230="","",IF(AND($G230="À migrer",$H230="Non",$T230&lt;&gt;"",$V230&lt;&gt;""),($T230+p_poidsram*$U230)*SUMIFS(TblCalculs[Coût par unité],TblCalculs[Cluster],$J230,TblCalculs[Mois],"&gt;="&amp;$V230),IF(AND($G230="Migré",$T230&lt;&gt;""),($T230+p_poidsram*$U230)*SUMIFS(TblCalculs[Coût par unité],TblCalculs[Cluster],$J230),"")))</f>
        <v/>
      </c>
      <c r="AG230" s="22" t="str">
        <f aca="false">IF($C230="","",N($AE230)+N($AF230))</f>
        <v/>
      </c>
      <c r="AH230" s="21" t="str">
        <f aca="false">IF(OR($C230="",$G230="Décommissionné",COUNTIFS($E230,av_envc,$A230,av_domc,$B230,av_tric)=0),"",COUNTIFS($C$6:$C230,"&lt;&gt;",$G$6:$G230,"&lt;&gt;Décommissionné",$E$6:$E230,av_envc,$A$6:$A230,av_domc,$B$6:$B230,av_tric))</f>
        <v/>
      </c>
      <c r="AI230" s="21" t="str">
        <f aca="false">IF($C230="","",IF(AND(OR($G230="À migrer",$G230="À décommissionner"),$W230&lt;&gt;"",$W230&gt;ex_mois),1,0))</f>
        <v/>
      </c>
      <c r="AJ230" s="21" t="str">
        <f aca="false">IF(OR($C230="",$AI230&lt;&gt;1,COUNTIFS($E230,ex_envc,$A230,ex_domc,$B230,ex_tric)=0),"",COUNTIFS($AI$6:$AI230,1,$E$6:$E230,ex_envc,$A$6:$A230,ex_domc,$B$6:$B230,ex_tric))</f>
        <v/>
      </c>
    </row>
    <row r="231" customFormat="false" ht="15" hidden="false" customHeight="false" outlineLevel="0" collapsed="false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5"/>
      <c r="Q231" s="75"/>
      <c r="R231" s="75"/>
      <c r="S231" s="74"/>
      <c r="T231" s="21" t="str">
        <f aca="false">IF(OR($C231="",NOT(OR($G231="À migrer",$G231="Migré")),NOT(ISNUMBER($K231))),"",ROUNDUP($K231*(1+IF($AC231="",p_margeCPU,$AC231)),0))</f>
        <v/>
      </c>
      <c r="U231" s="21" t="str">
        <f aca="false">IF(OR($C231="",NOT(OR($G231="À migrer",$G231="Migré")),NOT(ISNUMBER($L231))),"",ROUNDUP($L231*(1+IF($AD231="",p_margeRAM,$AD231)),0))</f>
        <v/>
      </c>
      <c r="V231" s="39" t="str">
        <f aca="false">IF(OR(NOT($G231="À migrer"),$P231=""),"",IFERROR(DATE(YEAR($P231),MONTH($P231),1),""))</f>
        <v/>
      </c>
      <c r="W231" s="39" t="str">
        <f aca="false">IF(OR(NOT(OR($G231="À migrer",$G231="À décommissionner")),$R231=""),"",IFERROR(DATE(YEAR($R231),MONTH($R231),1),""))</f>
        <v/>
      </c>
      <c r="X231" s="21" t="str">
        <f aca="false">IF(OR($V231="",$W231=""),"",MAX(0,(YEAR($W231)-YEAR($V231))*12+MONTH($W231)-MONTH($V231)))</f>
        <v/>
      </c>
      <c r="Y231" s="21" t="str">
        <f aca="false">IF($C231="","",COUNTIF(TblApplications[ID],$C231))</f>
        <v/>
      </c>
      <c r="Z231" s="39" t="str">
        <f aca="false">IF($C231="","",IFERROR(1/(1/_xlfn.MINIFS(TblApplications[Mois prov (calc)],TblApplications[ID],$C231)),""))</f>
        <v/>
      </c>
      <c r="AA231" s="39" t="str">
        <f aca="false">IF($C231="","",IFERROR(1/(1/_xlfn.MAXIFS(TblApplications[Mois lib (calc)],TblApplications[ID],$C231)),""))</f>
        <v/>
      </c>
      <c r="AB231" s="21" t="str">
        <f aca="false">IF($C231="","",IF(OR(OR($A231="",$B231="",$D231="",$E231="",$F231="",$G231=""),AND($G231="À migrer",OR($H231="",$I231="",$J231="",$K231="",$L231="",$N231="",$O231="",$P231="",$Q231="",$R231="")),AND($G231="Migré",OR($J231="",$K231="",$L231="")),AND($G231="À décommissionner",OR($I231="",$N231="",$O231="",$R231=""))),"Données manquantes (selon l’action)",IF(AND($G231&lt;&gt;"Migré",$G231&lt;&gt;"À migrer",$G231&lt;&gt;"À décommissionner",$G231&lt;&gt;"Décommissionné"),"Action invalide",IF(COUNTIF(TblDomaines[Domaine],$A231)=0,"Domaine inconnu (référentiel)",IF(COUNTIFS(TblTribes[Tribe],$B231,TblTribes[Domaine de la tribe],$A231)=0,"Tribe inconnue ou hors domaine",IF(AND($G231="À migrer",$H231&lt;&gt;"Oui",$H231&lt;&gt;"Non"),"Valeur Oui/Non invalide (Déjà incluse ROKS)",IF(AND($E231&lt;&gt;"PRD",$E231&lt;&gt;"NPRD"),"Environnement invalide",IF(COUNTIFS(TblApplications[ID],$C231,TblApplications[Environnement],$E231,TblApplications[Couloir],$F231)&gt;1,"Déploiement en doublon (ID + env + couloir)",IF(OR(AND($K231&lt;&gt;"",NOT(ISNUMBER($K231))),AND($L231&lt;&gt;"",NOT(ISNUMBER($L231))),AND($N231&lt;&gt;"",NOT(ISNUMBER($N231))),AND($O231&lt;&gt;"",NOT(ISNUMBER($O231)))),"Ressource non numérique",IF(MIN(N($K231),N($L231),N($N231),N($O231))&lt;0,"Ressource négative",IF(OR(AND($AC231&lt;&gt;"",OR(NOT(ISNUMBER($AC231)),$AC231&lt;0,$AC231&gt;1)),AND($AD231&lt;&gt;"",OR(NOT(ISNUMBER($AD231)),$AD231&lt;0,$AD231&gt;1))),"Marge spécifique invalide (0–100 %)",IF(OR(AND($P231&lt;&gt;"",NOT(ISNUMBER($P231))),AND($Q231&lt;&gt;"",NOT(ISNUMBER($Q231))),AND($R231&lt;&gt;"",NOT(ISNUMBER($R231)))),"Mois invalide",IF(AND(OR($G231="À migrer",$G231="À décommissionner"),COUNTIFS(TblClusters[Cluster],$I231,TblClusters[Plateforme],"IKS")=0),"Cluster IKS inconnu",IF(AND(OR($G231="À migrer",$G231="Migré"),COUNTIFS(TblClusters[Cluster],$J231,TblClusters[Plateforme],"ROKS")=0),"Cluster ROKS inconnu",IF(AND(OR($G231="À migrer",$G231="À décommissionner"),COUNTIFS(TblClusters[Cluster],$I231,TblClusters[Environnement],$E231)=0),"Environnement ≠ cluster IKS",IF(AND(OR($G231="À migrer",$G231="Migré"),COUNTIFS(TblClusters[Cluster],$J231,TblClusters[Environnement],$E231)=0),"Environnement ≠ cluster ROKS",IF(AND($G231="À migrer",OR($P231&gt;$Q231,$Q231&gt;$R231)),"Dates incohérentes (prov ≤ bascule ≤ libération)",IF(AND(OR($G231="À migrer",$G231="À décommissionner"),OR(N($N231)&gt;SUMIFS(TblClusters[CPU initial (vCPU)],TblClusters[Cluster],$I231),N($O231)&gt;SUMIFS(TblClusters[RAM initiale (Go)],TblClusters[Cluster],$I231))),"Libération &gt; capacité du cluster source",IF(OR(AND($V231&lt;&gt;"",$V231&lt;p_debut),AND($W231&lt;&gt;"",$W231&gt;p_fin)),"Hors horizon (info)",IF(AND($G231="À migrer",$E231="PRD",COUNTIFS(TblApplications[ID],$C231,TblApplications[Environnement],"NPRD",TblApplications[Action],"À migrer")&gt;0,$V231&lt;_xlfn.MINIFS(TblApplications[Mois prov (calc)],TblApplications[ID],$C231,TblApplications[Environnement],"NPRD")),"PRD avant NPRD (info)","OK"))))))))))))))))))))</f>
        <v/>
      </c>
      <c r="AC231" s="76"/>
      <c r="AD231" s="76"/>
      <c r="AE231" s="22" t="str">
        <f aca="false">IF(OR($C231="",NOT(OR($G231="À migrer",$G231="À décommissionner")),NOT(ISNUMBER($N231)),NOT(ISNUMBER($O231)),$W231=""),"",($N231+p_poidsram*$O231)*SUMIFS(TblCalculs[Coût par unité],TblCalculs[Cluster],$I231,TblCalculs[Mois],"&lt;"&amp;$W231))</f>
        <v/>
      </c>
      <c r="AF231" s="22" t="str">
        <f aca="false">IF($C231="","",IF(AND($G231="À migrer",$H231="Non",$T231&lt;&gt;"",$V231&lt;&gt;""),($T231+p_poidsram*$U231)*SUMIFS(TblCalculs[Coût par unité],TblCalculs[Cluster],$J231,TblCalculs[Mois],"&gt;="&amp;$V231),IF(AND($G231="Migré",$T231&lt;&gt;""),($T231+p_poidsram*$U231)*SUMIFS(TblCalculs[Coût par unité],TblCalculs[Cluster],$J231),"")))</f>
        <v/>
      </c>
      <c r="AG231" s="22" t="str">
        <f aca="false">IF($C231="","",N($AE231)+N($AF231))</f>
        <v/>
      </c>
      <c r="AH231" s="21" t="str">
        <f aca="false">IF(OR($C231="",$G231="Décommissionné",COUNTIFS($E231,av_envc,$A231,av_domc,$B231,av_tric)=0),"",COUNTIFS($C$6:$C231,"&lt;&gt;",$G$6:$G231,"&lt;&gt;Décommissionné",$E$6:$E231,av_envc,$A$6:$A231,av_domc,$B$6:$B231,av_tric))</f>
        <v/>
      </c>
      <c r="AI231" s="21" t="str">
        <f aca="false">IF($C231="","",IF(AND(OR($G231="À migrer",$G231="À décommissionner"),$W231&lt;&gt;"",$W231&gt;ex_mois),1,0))</f>
        <v/>
      </c>
      <c r="AJ231" s="21" t="str">
        <f aca="false">IF(OR($C231="",$AI231&lt;&gt;1,COUNTIFS($E231,ex_envc,$A231,ex_domc,$B231,ex_tric)=0),"",COUNTIFS($AI$6:$AI231,1,$E$6:$E231,ex_envc,$A$6:$A231,ex_domc,$B$6:$B231,ex_tric))</f>
        <v/>
      </c>
    </row>
    <row r="232" customFormat="false" ht="15" hidden="false" customHeight="false" outlineLevel="0" collapsed="false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5"/>
      <c r="Q232" s="75"/>
      <c r="R232" s="75"/>
      <c r="S232" s="74"/>
      <c r="T232" s="21" t="str">
        <f aca="false">IF(OR($C232="",NOT(OR($G232="À migrer",$G232="Migré")),NOT(ISNUMBER($K232))),"",ROUNDUP($K232*(1+IF($AC232="",p_margeCPU,$AC232)),0))</f>
        <v/>
      </c>
      <c r="U232" s="21" t="str">
        <f aca="false">IF(OR($C232="",NOT(OR($G232="À migrer",$G232="Migré")),NOT(ISNUMBER($L232))),"",ROUNDUP($L232*(1+IF($AD232="",p_margeRAM,$AD232)),0))</f>
        <v/>
      </c>
      <c r="V232" s="39" t="str">
        <f aca="false">IF(OR(NOT($G232="À migrer"),$P232=""),"",IFERROR(DATE(YEAR($P232),MONTH($P232),1),""))</f>
        <v/>
      </c>
      <c r="W232" s="39" t="str">
        <f aca="false">IF(OR(NOT(OR($G232="À migrer",$G232="À décommissionner")),$R232=""),"",IFERROR(DATE(YEAR($R232),MONTH($R232),1),""))</f>
        <v/>
      </c>
      <c r="X232" s="21" t="str">
        <f aca="false">IF(OR($V232="",$W232=""),"",MAX(0,(YEAR($W232)-YEAR($V232))*12+MONTH($W232)-MONTH($V232)))</f>
        <v/>
      </c>
      <c r="Y232" s="21" t="str">
        <f aca="false">IF($C232="","",COUNTIF(TblApplications[ID],$C232))</f>
        <v/>
      </c>
      <c r="Z232" s="39" t="str">
        <f aca="false">IF($C232="","",IFERROR(1/(1/_xlfn.MINIFS(TblApplications[Mois prov (calc)],TblApplications[ID],$C232)),""))</f>
        <v/>
      </c>
      <c r="AA232" s="39" t="str">
        <f aca="false">IF($C232="","",IFERROR(1/(1/_xlfn.MAXIFS(TblApplications[Mois lib (calc)],TblApplications[ID],$C232)),""))</f>
        <v/>
      </c>
      <c r="AB232" s="21" t="str">
        <f aca="false">IF($C232="","",IF(OR(OR($A232="",$B232="",$D232="",$E232="",$F232="",$G232=""),AND($G232="À migrer",OR($H232="",$I232="",$J232="",$K232="",$L232="",$N232="",$O232="",$P232="",$Q232="",$R232="")),AND($G232="Migré",OR($J232="",$K232="",$L232="")),AND($G232="À décommissionner",OR($I232="",$N232="",$O232="",$R232=""))),"Données manquantes (selon l’action)",IF(AND($G232&lt;&gt;"Migré",$G232&lt;&gt;"À migrer",$G232&lt;&gt;"À décommissionner",$G232&lt;&gt;"Décommissionné"),"Action invalide",IF(COUNTIF(TblDomaines[Domaine],$A232)=0,"Domaine inconnu (référentiel)",IF(COUNTIFS(TblTribes[Tribe],$B232,TblTribes[Domaine de la tribe],$A232)=0,"Tribe inconnue ou hors domaine",IF(AND($G232="À migrer",$H232&lt;&gt;"Oui",$H232&lt;&gt;"Non"),"Valeur Oui/Non invalide (Déjà incluse ROKS)",IF(AND($E232&lt;&gt;"PRD",$E232&lt;&gt;"NPRD"),"Environnement invalide",IF(COUNTIFS(TblApplications[ID],$C232,TblApplications[Environnement],$E232,TblApplications[Couloir],$F232)&gt;1,"Déploiement en doublon (ID + env + couloir)",IF(OR(AND($K232&lt;&gt;"",NOT(ISNUMBER($K232))),AND($L232&lt;&gt;"",NOT(ISNUMBER($L232))),AND($N232&lt;&gt;"",NOT(ISNUMBER($N232))),AND($O232&lt;&gt;"",NOT(ISNUMBER($O232)))),"Ressource non numérique",IF(MIN(N($K232),N($L232),N($N232),N($O232))&lt;0,"Ressource négative",IF(OR(AND($AC232&lt;&gt;"",OR(NOT(ISNUMBER($AC232)),$AC232&lt;0,$AC232&gt;1)),AND($AD232&lt;&gt;"",OR(NOT(ISNUMBER($AD232)),$AD232&lt;0,$AD232&gt;1))),"Marge spécifique invalide (0–100 %)",IF(OR(AND($P232&lt;&gt;"",NOT(ISNUMBER($P232))),AND($Q232&lt;&gt;"",NOT(ISNUMBER($Q232))),AND($R232&lt;&gt;"",NOT(ISNUMBER($R232)))),"Mois invalide",IF(AND(OR($G232="À migrer",$G232="À décommissionner"),COUNTIFS(TblClusters[Cluster],$I232,TblClusters[Plateforme],"IKS")=0),"Cluster IKS inconnu",IF(AND(OR($G232="À migrer",$G232="Migré"),COUNTIFS(TblClusters[Cluster],$J232,TblClusters[Plateforme],"ROKS")=0),"Cluster ROKS inconnu",IF(AND(OR($G232="À migrer",$G232="À décommissionner"),COUNTIFS(TblClusters[Cluster],$I232,TblClusters[Environnement],$E232)=0),"Environnement ≠ cluster IKS",IF(AND(OR($G232="À migrer",$G232="Migré"),COUNTIFS(TblClusters[Cluster],$J232,TblClusters[Environnement],$E232)=0),"Environnement ≠ cluster ROKS",IF(AND($G232="À migrer",OR($P232&gt;$Q232,$Q232&gt;$R232)),"Dates incohérentes (prov ≤ bascule ≤ libération)",IF(AND(OR($G232="À migrer",$G232="À décommissionner"),OR(N($N232)&gt;SUMIFS(TblClusters[CPU initial (vCPU)],TblClusters[Cluster],$I232),N($O232)&gt;SUMIFS(TblClusters[RAM initiale (Go)],TblClusters[Cluster],$I232))),"Libération &gt; capacité du cluster source",IF(OR(AND($V232&lt;&gt;"",$V232&lt;p_debut),AND($W232&lt;&gt;"",$W232&gt;p_fin)),"Hors horizon (info)",IF(AND($G232="À migrer",$E232="PRD",COUNTIFS(TblApplications[ID],$C232,TblApplications[Environnement],"NPRD",TblApplications[Action],"À migrer")&gt;0,$V232&lt;_xlfn.MINIFS(TblApplications[Mois prov (calc)],TblApplications[ID],$C232,TblApplications[Environnement],"NPRD")),"PRD avant NPRD (info)","OK"))))))))))))))))))))</f>
        <v/>
      </c>
      <c r="AC232" s="76"/>
      <c r="AD232" s="76"/>
      <c r="AE232" s="22" t="str">
        <f aca="false">IF(OR($C232="",NOT(OR($G232="À migrer",$G232="À décommissionner")),NOT(ISNUMBER($N232)),NOT(ISNUMBER($O232)),$W232=""),"",($N232+p_poidsram*$O232)*SUMIFS(TblCalculs[Coût par unité],TblCalculs[Cluster],$I232,TblCalculs[Mois],"&lt;"&amp;$W232))</f>
        <v/>
      </c>
      <c r="AF232" s="22" t="str">
        <f aca="false">IF($C232="","",IF(AND($G232="À migrer",$H232="Non",$T232&lt;&gt;"",$V232&lt;&gt;""),($T232+p_poidsram*$U232)*SUMIFS(TblCalculs[Coût par unité],TblCalculs[Cluster],$J232,TblCalculs[Mois],"&gt;="&amp;$V232),IF(AND($G232="Migré",$T232&lt;&gt;""),($T232+p_poidsram*$U232)*SUMIFS(TblCalculs[Coût par unité],TblCalculs[Cluster],$J232),"")))</f>
        <v/>
      </c>
      <c r="AG232" s="22" t="str">
        <f aca="false">IF($C232="","",N($AE232)+N($AF232))</f>
        <v/>
      </c>
      <c r="AH232" s="21" t="str">
        <f aca="false">IF(OR($C232="",$G232="Décommissionné",COUNTIFS($E232,av_envc,$A232,av_domc,$B232,av_tric)=0),"",COUNTIFS($C$6:$C232,"&lt;&gt;",$G$6:$G232,"&lt;&gt;Décommissionné",$E$6:$E232,av_envc,$A$6:$A232,av_domc,$B$6:$B232,av_tric))</f>
        <v/>
      </c>
      <c r="AI232" s="21" t="str">
        <f aca="false">IF($C232="","",IF(AND(OR($G232="À migrer",$G232="À décommissionner"),$W232&lt;&gt;"",$W232&gt;ex_mois),1,0))</f>
        <v/>
      </c>
      <c r="AJ232" s="21" t="str">
        <f aca="false">IF(OR($C232="",$AI232&lt;&gt;1,COUNTIFS($E232,ex_envc,$A232,ex_domc,$B232,ex_tric)=0),"",COUNTIFS($AI$6:$AI232,1,$E$6:$E232,ex_envc,$A$6:$A232,ex_domc,$B$6:$B232,ex_tric))</f>
        <v/>
      </c>
    </row>
    <row r="233" customFormat="false" ht="15" hidden="false" customHeight="false" outlineLevel="0" collapsed="false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5"/>
      <c r="Q233" s="75"/>
      <c r="R233" s="75"/>
      <c r="S233" s="74"/>
      <c r="T233" s="21" t="str">
        <f aca="false">IF(OR($C233="",NOT(OR($G233="À migrer",$G233="Migré")),NOT(ISNUMBER($K233))),"",ROUNDUP($K233*(1+IF($AC233="",p_margeCPU,$AC233)),0))</f>
        <v/>
      </c>
      <c r="U233" s="21" t="str">
        <f aca="false">IF(OR($C233="",NOT(OR($G233="À migrer",$G233="Migré")),NOT(ISNUMBER($L233))),"",ROUNDUP($L233*(1+IF($AD233="",p_margeRAM,$AD233)),0))</f>
        <v/>
      </c>
      <c r="V233" s="39" t="str">
        <f aca="false">IF(OR(NOT($G233="À migrer"),$P233=""),"",IFERROR(DATE(YEAR($P233),MONTH($P233),1),""))</f>
        <v/>
      </c>
      <c r="W233" s="39" t="str">
        <f aca="false">IF(OR(NOT(OR($G233="À migrer",$G233="À décommissionner")),$R233=""),"",IFERROR(DATE(YEAR($R233),MONTH($R233),1),""))</f>
        <v/>
      </c>
      <c r="X233" s="21" t="str">
        <f aca="false">IF(OR($V233="",$W233=""),"",MAX(0,(YEAR($W233)-YEAR($V233))*12+MONTH($W233)-MONTH($V233)))</f>
        <v/>
      </c>
      <c r="Y233" s="21" t="str">
        <f aca="false">IF($C233="","",COUNTIF(TblApplications[ID],$C233))</f>
        <v/>
      </c>
      <c r="Z233" s="39" t="str">
        <f aca="false">IF($C233="","",IFERROR(1/(1/_xlfn.MINIFS(TblApplications[Mois prov (calc)],TblApplications[ID],$C233)),""))</f>
        <v/>
      </c>
      <c r="AA233" s="39" t="str">
        <f aca="false">IF($C233="","",IFERROR(1/(1/_xlfn.MAXIFS(TblApplications[Mois lib (calc)],TblApplications[ID],$C233)),""))</f>
        <v/>
      </c>
      <c r="AB233" s="21" t="str">
        <f aca="false">IF($C233="","",IF(OR(OR($A233="",$B233="",$D233="",$E233="",$F233="",$G233=""),AND($G233="À migrer",OR($H233="",$I233="",$J233="",$K233="",$L233="",$N233="",$O233="",$P233="",$Q233="",$R233="")),AND($G233="Migré",OR($J233="",$K233="",$L233="")),AND($G233="À décommissionner",OR($I233="",$N233="",$O233="",$R233=""))),"Données manquantes (selon l’action)",IF(AND($G233&lt;&gt;"Migré",$G233&lt;&gt;"À migrer",$G233&lt;&gt;"À décommissionner",$G233&lt;&gt;"Décommissionné"),"Action invalide",IF(COUNTIF(TblDomaines[Domaine],$A233)=0,"Domaine inconnu (référentiel)",IF(COUNTIFS(TblTribes[Tribe],$B233,TblTribes[Domaine de la tribe],$A233)=0,"Tribe inconnue ou hors domaine",IF(AND($G233="À migrer",$H233&lt;&gt;"Oui",$H233&lt;&gt;"Non"),"Valeur Oui/Non invalide (Déjà incluse ROKS)",IF(AND($E233&lt;&gt;"PRD",$E233&lt;&gt;"NPRD"),"Environnement invalide",IF(COUNTIFS(TblApplications[ID],$C233,TblApplications[Environnement],$E233,TblApplications[Couloir],$F233)&gt;1,"Déploiement en doublon (ID + env + couloir)",IF(OR(AND($K233&lt;&gt;"",NOT(ISNUMBER($K233))),AND($L233&lt;&gt;"",NOT(ISNUMBER($L233))),AND($N233&lt;&gt;"",NOT(ISNUMBER($N233))),AND($O233&lt;&gt;"",NOT(ISNUMBER($O233)))),"Ressource non numérique",IF(MIN(N($K233),N($L233),N($N233),N($O233))&lt;0,"Ressource négative",IF(OR(AND($AC233&lt;&gt;"",OR(NOT(ISNUMBER($AC233)),$AC233&lt;0,$AC233&gt;1)),AND($AD233&lt;&gt;"",OR(NOT(ISNUMBER($AD233)),$AD233&lt;0,$AD233&gt;1))),"Marge spécifique invalide (0–100 %)",IF(OR(AND($P233&lt;&gt;"",NOT(ISNUMBER($P233))),AND($Q233&lt;&gt;"",NOT(ISNUMBER($Q233))),AND($R233&lt;&gt;"",NOT(ISNUMBER($R233)))),"Mois invalide",IF(AND(OR($G233="À migrer",$G233="À décommissionner"),COUNTIFS(TblClusters[Cluster],$I233,TblClusters[Plateforme],"IKS")=0),"Cluster IKS inconnu",IF(AND(OR($G233="À migrer",$G233="Migré"),COUNTIFS(TblClusters[Cluster],$J233,TblClusters[Plateforme],"ROKS")=0),"Cluster ROKS inconnu",IF(AND(OR($G233="À migrer",$G233="À décommissionner"),COUNTIFS(TblClusters[Cluster],$I233,TblClusters[Environnement],$E233)=0),"Environnement ≠ cluster IKS",IF(AND(OR($G233="À migrer",$G233="Migré"),COUNTIFS(TblClusters[Cluster],$J233,TblClusters[Environnement],$E233)=0),"Environnement ≠ cluster ROKS",IF(AND($G233="À migrer",OR($P233&gt;$Q233,$Q233&gt;$R233)),"Dates incohérentes (prov ≤ bascule ≤ libération)",IF(AND(OR($G233="À migrer",$G233="À décommissionner"),OR(N($N233)&gt;SUMIFS(TblClusters[CPU initial (vCPU)],TblClusters[Cluster],$I233),N($O233)&gt;SUMIFS(TblClusters[RAM initiale (Go)],TblClusters[Cluster],$I233))),"Libération &gt; capacité du cluster source",IF(OR(AND($V233&lt;&gt;"",$V233&lt;p_debut),AND($W233&lt;&gt;"",$W233&gt;p_fin)),"Hors horizon (info)",IF(AND($G233="À migrer",$E233="PRD",COUNTIFS(TblApplications[ID],$C233,TblApplications[Environnement],"NPRD",TblApplications[Action],"À migrer")&gt;0,$V233&lt;_xlfn.MINIFS(TblApplications[Mois prov (calc)],TblApplications[ID],$C233,TblApplications[Environnement],"NPRD")),"PRD avant NPRD (info)","OK"))))))))))))))))))))</f>
        <v/>
      </c>
      <c r="AC233" s="76"/>
      <c r="AD233" s="76"/>
      <c r="AE233" s="22" t="str">
        <f aca="false">IF(OR($C233="",NOT(OR($G233="À migrer",$G233="À décommissionner")),NOT(ISNUMBER($N233)),NOT(ISNUMBER($O233)),$W233=""),"",($N233+p_poidsram*$O233)*SUMIFS(TblCalculs[Coût par unité],TblCalculs[Cluster],$I233,TblCalculs[Mois],"&lt;"&amp;$W233))</f>
        <v/>
      </c>
      <c r="AF233" s="22" t="str">
        <f aca="false">IF($C233="","",IF(AND($G233="À migrer",$H233="Non",$T233&lt;&gt;"",$V233&lt;&gt;""),($T233+p_poidsram*$U233)*SUMIFS(TblCalculs[Coût par unité],TblCalculs[Cluster],$J233,TblCalculs[Mois],"&gt;="&amp;$V233),IF(AND($G233="Migré",$T233&lt;&gt;""),($T233+p_poidsram*$U233)*SUMIFS(TblCalculs[Coût par unité],TblCalculs[Cluster],$J233),"")))</f>
        <v/>
      </c>
      <c r="AG233" s="22" t="str">
        <f aca="false">IF($C233="","",N($AE233)+N($AF233))</f>
        <v/>
      </c>
      <c r="AH233" s="21" t="str">
        <f aca="false">IF(OR($C233="",$G233="Décommissionné",COUNTIFS($E233,av_envc,$A233,av_domc,$B233,av_tric)=0),"",COUNTIFS($C$6:$C233,"&lt;&gt;",$G$6:$G233,"&lt;&gt;Décommissionné",$E$6:$E233,av_envc,$A$6:$A233,av_domc,$B$6:$B233,av_tric))</f>
        <v/>
      </c>
      <c r="AI233" s="21" t="str">
        <f aca="false">IF($C233="","",IF(AND(OR($G233="À migrer",$G233="À décommissionner"),$W233&lt;&gt;"",$W233&gt;ex_mois),1,0))</f>
        <v/>
      </c>
      <c r="AJ233" s="21" t="str">
        <f aca="false">IF(OR($C233="",$AI233&lt;&gt;1,COUNTIFS($E233,ex_envc,$A233,ex_domc,$B233,ex_tric)=0),"",COUNTIFS($AI$6:$AI233,1,$E$6:$E233,ex_envc,$A$6:$A233,ex_domc,$B$6:$B233,ex_tric))</f>
        <v/>
      </c>
    </row>
    <row r="234" customFormat="false" ht="15" hidden="false" customHeight="false" outlineLevel="0" collapsed="false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5"/>
      <c r="Q234" s="75"/>
      <c r="R234" s="75"/>
      <c r="S234" s="74"/>
      <c r="T234" s="21" t="str">
        <f aca="false">IF(OR($C234="",NOT(OR($G234="À migrer",$G234="Migré")),NOT(ISNUMBER($K234))),"",ROUNDUP($K234*(1+IF($AC234="",p_margeCPU,$AC234)),0))</f>
        <v/>
      </c>
      <c r="U234" s="21" t="str">
        <f aca="false">IF(OR($C234="",NOT(OR($G234="À migrer",$G234="Migré")),NOT(ISNUMBER($L234))),"",ROUNDUP($L234*(1+IF($AD234="",p_margeRAM,$AD234)),0))</f>
        <v/>
      </c>
      <c r="V234" s="39" t="str">
        <f aca="false">IF(OR(NOT($G234="À migrer"),$P234=""),"",IFERROR(DATE(YEAR($P234),MONTH($P234),1),""))</f>
        <v/>
      </c>
      <c r="W234" s="39" t="str">
        <f aca="false">IF(OR(NOT(OR($G234="À migrer",$G234="À décommissionner")),$R234=""),"",IFERROR(DATE(YEAR($R234),MONTH($R234),1),""))</f>
        <v/>
      </c>
      <c r="X234" s="21" t="str">
        <f aca="false">IF(OR($V234="",$W234=""),"",MAX(0,(YEAR($W234)-YEAR($V234))*12+MONTH($W234)-MONTH($V234)))</f>
        <v/>
      </c>
      <c r="Y234" s="21" t="str">
        <f aca="false">IF($C234="","",COUNTIF(TblApplications[ID],$C234))</f>
        <v/>
      </c>
      <c r="Z234" s="39" t="str">
        <f aca="false">IF($C234="","",IFERROR(1/(1/_xlfn.MINIFS(TblApplications[Mois prov (calc)],TblApplications[ID],$C234)),""))</f>
        <v/>
      </c>
      <c r="AA234" s="39" t="str">
        <f aca="false">IF($C234="","",IFERROR(1/(1/_xlfn.MAXIFS(TblApplications[Mois lib (calc)],TblApplications[ID],$C234)),""))</f>
        <v/>
      </c>
      <c r="AB234" s="21" t="str">
        <f aca="false">IF($C234="","",IF(OR(OR($A234="",$B234="",$D234="",$E234="",$F234="",$G234=""),AND($G234="À migrer",OR($H234="",$I234="",$J234="",$K234="",$L234="",$N234="",$O234="",$P234="",$Q234="",$R234="")),AND($G234="Migré",OR($J234="",$K234="",$L234="")),AND($G234="À décommissionner",OR($I234="",$N234="",$O234="",$R234=""))),"Données manquantes (selon l’action)",IF(AND($G234&lt;&gt;"Migré",$G234&lt;&gt;"À migrer",$G234&lt;&gt;"À décommissionner",$G234&lt;&gt;"Décommissionné"),"Action invalide",IF(COUNTIF(TblDomaines[Domaine],$A234)=0,"Domaine inconnu (référentiel)",IF(COUNTIFS(TblTribes[Tribe],$B234,TblTribes[Domaine de la tribe],$A234)=0,"Tribe inconnue ou hors domaine",IF(AND($G234="À migrer",$H234&lt;&gt;"Oui",$H234&lt;&gt;"Non"),"Valeur Oui/Non invalide (Déjà incluse ROKS)",IF(AND($E234&lt;&gt;"PRD",$E234&lt;&gt;"NPRD"),"Environnement invalide",IF(COUNTIFS(TblApplications[ID],$C234,TblApplications[Environnement],$E234,TblApplications[Couloir],$F234)&gt;1,"Déploiement en doublon (ID + env + couloir)",IF(OR(AND($K234&lt;&gt;"",NOT(ISNUMBER($K234))),AND($L234&lt;&gt;"",NOT(ISNUMBER($L234))),AND($N234&lt;&gt;"",NOT(ISNUMBER($N234))),AND($O234&lt;&gt;"",NOT(ISNUMBER($O234)))),"Ressource non numérique",IF(MIN(N($K234),N($L234),N($N234),N($O234))&lt;0,"Ressource négative",IF(OR(AND($AC234&lt;&gt;"",OR(NOT(ISNUMBER($AC234)),$AC234&lt;0,$AC234&gt;1)),AND($AD234&lt;&gt;"",OR(NOT(ISNUMBER($AD234)),$AD234&lt;0,$AD234&gt;1))),"Marge spécifique invalide (0–100 %)",IF(OR(AND($P234&lt;&gt;"",NOT(ISNUMBER($P234))),AND($Q234&lt;&gt;"",NOT(ISNUMBER($Q234))),AND($R234&lt;&gt;"",NOT(ISNUMBER($R234)))),"Mois invalide",IF(AND(OR($G234="À migrer",$G234="À décommissionner"),COUNTIFS(TblClusters[Cluster],$I234,TblClusters[Plateforme],"IKS")=0),"Cluster IKS inconnu",IF(AND(OR($G234="À migrer",$G234="Migré"),COUNTIFS(TblClusters[Cluster],$J234,TblClusters[Plateforme],"ROKS")=0),"Cluster ROKS inconnu",IF(AND(OR($G234="À migrer",$G234="À décommissionner"),COUNTIFS(TblClusters[Cluster],$I234,TblClusters[Environnement],$E234)=0),"Environnement ≠ cluster IKS",IF(AND(OR($G234="À migrer",$G234="Migré"),COUNTIFS(TblClusters[Cluster],$J234,TblClusters[Environnement],$E234)=0),"Environnement ≠ cluster ROKS",IF(AND($G234="À migrer",OR($P234&gt;$Q234,$Q234&gt;$R234)),"Dates incohérentes (prov ≤ bascule ≤ libération)",IF(AND(OR($G234="À migrer",$G234="À décommissionner"),OR(N($N234)&gt;SUMIFS(TblClusters[CPU initial (vCPU)],TblClusters[Cluster],$I234),N($O234)&gt;SUMIFS(TblClusters[RAM initiale (Go)],TblClusters[Cluster],$I234))),"Libération &gt; capacité du cluster source",IF(OR(AND($V234&lt;&gt;"",$V234&lt;p_debut),AND($W234&lt;&gt;"",$W234&gt;p_fin)),"Hors horizon (info)",IF(AND($G234="À migrer",$E234="PRD",COUNTIFS(TblApplications[ID],$C234,TblApplications[Environnement],"NPRD",TblApplications[Action],"À migrer")&gt;0,$V234&lt;_xlfn.MINIFS(TblApplications[Mois prov (calc)],TblApplications[ID],$C234,TblApplications[Environnement],"NPRD")),"PRD avant NPRD (info)","OK"))))))))))))))))))))</f>
        <v/>
      </c>
      <c r="AC234" s="76"/>
      <c r="AD234" s="76"/>
      <c r="AE234" s="22" t="str">
        <f aca="false">IF(OR($C234="",NOT(OR($G234="À migrer",$G234="À décommissionner")),NOT(ISNUMBER($N234)),NOT(ISNUMBER($O234)),$W234=""),"",($N234+p_poidsram*$O234)*SUMIFS(TblCalculs[Coût par unité],TblCalculs[Cluster],$I234,TblCalculs[Mois],"&lt;"&amp;$W234))</f>
        <v/>
      </c>
      <c r="AF234" s="22" t="str">
        <f aca="false">IF($C234="","",IF(AND($G234="À migrer",$H234="Non",$T234&lt;&gt;"",$V234&lt;&gt;""),($T234+p_poidsram*$U234)*SUMIFS(TblCalculs[Coût par unité],TblCalculs[Cluster],$J234,TblCalculs[Mois],"&gt;="&amp;$V234),IF(AND($G234="Migré",$T234&lt;&gt;""),($T234+p_poidsram*$U234)*SUMIFS(TblCalculs[Coût par unité],TblCalculs[Cluster],$J234),"")))</f>
        <v/>
      </c>
      <c r="AG234" s="22" t="str">
        <f aca="false">IF($C234="","",N($AE234)+N($AF234))</f>
        <v/>
      </c>
      <c r="AH234" s="21" t="str">
        <f aca="false">IF(OR($C234="",$G234="Décommissionné",COUNTIFS($E234,av_envc,$A234,av_domc,$B234,av_tric)=0),"",COUNTIFS($C$6:$C234,"&lt;&gt;",$G$6:$G234,"&lt;&gt;Décommissionné",$E$6:$E234,av_envc,$A$6:$A234,av_domc,$B$6:$B234,av_tric))</f>
        <v/>
      </c>
      <c r="AI234" s="21" t="str">
        <f aca="false">IF($C234="","",IF(AND(OR($G234="À migrer",$G234="À décommissionner"),$W234&lt;&gt;"",$W234&gt;ex_mois),1,0))</f>
        <v/>
      </c>
      <c r="AJ234" s="21" t="str">
        <f aca="false">IF(OR($C234="",$AI234&lt;&gt;1,COUNTIFS($E234,ex_envc,$A234,ex_domc,$B234,ex_tric)=0),"",COUNTIFS($AI$6:$AI234,1,$E$6:$E234,ex_envc,$A$6:$A234,ex_domc,$B$6:$B234,ex_tric))</f>
        <v/>
      </c>
    </row>
    <row r="235" customFormat="false" ht="15" hidden="false" customHeight="false" outlineLevel="0" collapsed="false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5"/>
      <c r="Q235" s="75"/>
      <c r="R235" s="75"/>
      <c r="S235" s="74"/>
      <c r="T235" s="21" t="str">
        <f aca="false">IF(OR($C235="",NOT(OR($G235="À migrer",$G235="Migré")),NOT(ISNUMBER($K235))),"",ROUNDUP($K235*(1+IF($AC235="",p_margeCPU,$AC235)),0))</f>
        <v/>
      </c>
      <c r="U235" s="21" t="str">
        <f aca="false">IF(OR($C235="",NOT(OR($G235="À migrer",$G235="Migré")),NOT(ISNUMBER($L235))),"",ROUNDUP($L235*(1+IF($AD235="",p_margeRAM,$AD235)),0))</f>
        <v/>
      </c>
      <c r="V235" s="39" t="str">
        <f aca="false">IF(OR(NOT($G235="À migrer"),$P235=""),"",IFERROR(DATE(YEAR($P235),MONTH($P235),1),""))</f>
        <v/>
      </c>
      <c r="W235" s="39" t="str">
        <f aca="false">IF(OR(NOT(OR($G235="À migrer",$G235="À décommissionner")),$R235=""),"",IFERROR(DATE(YEAR($R235),MONTH($R235),1),""))</f>
        <v/>
      </c>
      <c r="X235" s="21" t="str">
        <f aca="false">IF(OR($V235="",$W235=""),"",MAX(0,(YEAR($W235)-YEAR($V235))*12+MONTH($W235)-MONTH($V235)))</f>
        <v/>
      </c>
      <c r="Y235" s="21" t="str">
        <f aca="false">IF($C235="","",COUNTIF(TblApplications[ID],$C235))</f>
        <v/>
      </c>
      <c r="Z235" s="39" t="str">
        <f aca="false">IF($C235="","",IFERROR(1/(1/_xlfn.MINIFS(TblApplications[Mois prov (calc)],TblApplications[ID],$C235)),""))</f>
        <v/>
      </c>
      <c r="AA235" s="39" t="str">
        <f aca="false">IF($C235="","",IFERROR(1/(1/_xlfn.MAXIFS(TblApplications[Mois lib (calc)],TblApplications[ID],$C235)),""))</f>
        <v/>
      </c>
      <c r="AB235" s="21" t="str">
        <f aca="false">IF($C235="","",IF(OR(OR($A235="",$B235="",$D235="",$E235="",$F235="",$G235=""),AND($G235="À migrer",OR($H235="",$I235="",$J235="",$K235="",$L235="",$N235="",$O235="",$P235="",$Q235="",$R235="")),AND($G235="Migré",OR($J235="",$K235="",$L235="")),AND($G235="À décommissionner",OR($I235="",$N235="",$O235="",$R235=""))),"Données manquantes (selon l’action)",IF(AND($G235&lt;&gt;"Migré",$G235&lt;&gt;"À migrer",$G235&lt;&gt;"À décommissionner",$G235&lt;&gt;"Décommissionné"),"Action invalide",IF(COUNTIF(TblDomaines[Domaine],$A235)=0,"Domaine inconnu (référentiel)",IF(COUNTIFS(TblTribes[Tribe],$B235,TblTribes[Domaine de la tribe],$A235)=0,"Tribe inconnue ou hors domaine",IF(AND($G235="À migrer",$H235&lt;&gt;"Oui",$H235&lt;&gt;"Non"),"Valeur Oui/Non invalide (Déjà incluse ROKS)",IF(AND($E235&lt;&gt;"PRD",$E235&lt;&gt;"NPRD"),"Environnement invalide",IF(COUNTIFS(TblApplications[ID],$C235,TblApplications[Environnement],$E235,TblApplications[Couloir],$F235)&gt;1,"Déploiement en doublon (ID + env + couloir)",IF(OR(AND($K235&lt;&gt;"",NOT(ISNUMBER($K235))),AND($L235&lt;&gt;"",NOT(ISNUMBER($L235))),AND($N235&lt;&gt;"",NOT(ISNUMBER($N235))),AND($O235&lt;&gt;"",NOT(ISNUMBER($O235)))),"Ressource non numérique",IF(MIN(N($K235),N($L235),N($N235),N($O235))&lt;0,"Ressource négative",IF(OR(AND($AC235&lt;&gt;"",OR(NOT(ISNUMBER($AC235)),$AC235&lt;0,$AC235&gt;1)),AND($AD235&lt;&gt;"",OR(NOT(ISNUMBER($AD235)),$AD235&lt;0,$AD235&gt;1))),"Marge spécifique invalide (0–100 %)",IF(OR(AND($P235&lt;&gt;"",NOT(ISNUMBER($P235))),AND($Q235&lt;&gt;"",NOT(ISNUMBER($Q235))),AND($R235&lt;&gt;"",NOT(ISNUMBER($R235)))),"Mois invalide",IF(AND(OR($G235="À migrer",$G235="À décommissionner"),COUNTIFS(TblClusters[Cluster],$I235,TblClusters[Plateforme],"IKS")=0),"Cluster IKS inconnu",IF(AND(OR($G235="À migrer",$G235="Migré"),COUNTIFS(TblClusters[Cluster],$J235,TblClusters[Plateforme],"ROKS")=0),"Cluster ROKS inconnu",IF(AND(OR($G235="À migrer",$G235="À décommissionner"),COUNTIFS(TblClusters[Cluster],$I235,TblClusters[Environnement],$E235)=0),"Environnement ≠ cluster IKS",IF(AND(OR($G235="À migrer",$G235="Migré"),COUNTIFS(TblClusters[Cluster],$J235,TblClusters[Environnement],$E235)=0),"Environnement ≠ cluster ROKS",IF(AND($G235="À migrer",OR($P235&gt;$Q235,$Q235&gt;$R235)),"Dates incohérentes (prov ≤ bascule ≤ libération)",IF(AND(OR($G235="À migrer",$G235="À décommissionner"),OR(N($N235)&gt;SUMIFS(TblClusters[CPU initial (vCPU)],TblClusters[Cluster],$I235),N($O235)&gt;SUMIFS(TblClusters[RAM initiale (Go)],TblClusters[Cluster],$I235))),"Libération &gt; capacité du cluster source",IF(OR(AND($V235&lt;&gt;"",$V235&lt;p_debut),AND($W235&lt;&gt;"",$W235&gt;p_fin)),"Hors horizon (info)",IF(AND($G235="À migrer",$E235="PRD",COUNTIFS(TblApplications[ID],$C235,TblApplications[Environnement],"NPRD",TblApplications[Action],"À migrer")&gt;0,$V235&lt;_xlfn.MINIFS(TblApplications[Mois prov (calc)],TblApplications[ID],$C235,TblApplications[Environnement],"NPRD")),"PRD avant NPRD (info)","OK"))))))))))))))))))))</f>
        <v/>
      </c>
      <c r="AC235" s="76"/>
      <c r="AD235" s="76"/>
      <c r="AE235" s="22" t="str">
        <f aca="false">IF(OR($C235="",NOT(OR($G235="À migrer",$G235="À décommissionner")),NOT(ISNUMBER($N235)),NOT(ISNUMBER($O235)),$W235=""),"",($N235+p_poidsram*$O235)*SUMIFS(TblCalculs[Coût par unité],TblCalculs[Cluster],$I235,TblCalculs[Mois],"&lt;"&amp;$W235))</f>
        <v/>
      </c>
      <c r="AF235" s="22" t="str">
        <f aca="false">IF($C235="","",IF(AND($G235="À migrer",$H235="Non",$T235&lt;&gt;"",$V235&lt;&gt;""),($T235+p_poidsram*$U235)*SUMIFS(TblCalculs[Coût par unité],TblCalculs[Cluster],$J235,TblCalculs[Mois],"&gt;="&amp;$V235),IF(AND($G235="Migré",$T235&lt;&gt;""),($T235+p_poidsram*$U235)*SUMIFS(TblCalculs[Coût par unité],TblCalculs[Cluster],$J235),"")))</f>
        <v/>
      </c>
      <c r="AG235" s="22" t="str">
        <f aca="false">IF($C235="","",N($AE235)+N($AF235))</f>
        <v/>
      </c>
      <c r="AH235" s="21" t="str">
        <f aca="false">IF(OR($C235="",$G235="Décommissionné",COUNTIFS($E235,av_envc,$A235,av_domc,$B235,av_tric)=0),"",COUNTIFS($C$6:$C235,"&lt;&gt;",$G$6:$G235,"&lt;&gt;Décommissionné",$E$6:$E235,av_envc,$A$6:$A235,av_domc,$B$6:$B235,av_tric))</f>
        <v/>
      </c>
      <c r="AI235" s="21" t="str">
        <f aca="false">IF($C235="","",IF(AND(OR($G235="À migrer",$G235="À décommissionner"),$W235&lt;&gt;"",$W235&gt;ex_mois),1,0))</f>
        <v/>
      </c>
      <c r="AJ235" s="21" t="str">
        <f aca="false">IF(OR($C235="",$AI235&lt;&gt;1,COUNTIFS($E235,ex_envc,$A235,ex_domc,$B235,ex_tric)=0),"",COUNTIFS($AI$6:$AI235,1,$E$6:$E235,ex_envc,$A$6:$A235,ex_domc,$B$6:$B235,ex_tric))</f>
        <v/>
      </c>
    </row>
    <row r="236" customFormat="false" ht="15" hidden="false" customHeight="false" outlineLevel="0" collapsed="false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5"/>
      <c r="Q236" s="75"/>
      <c r="R236" s="75"/>
      <c r="S236" s="74"/>
      <c r="T236" s="21" t="str">
        <f aca="false">IF(OR($C236="",NOT(OR($G236="À migrer",$G236="Migré")),NOT(ISNUMBER($K236))),"",ROUNDUP($K236*(1+IF($AC236="",p_margeCPU,$AC236)),0))</f>
        <v/>
      </c>
      <c r="U236" s="21" t="str">
        <f aca="false">IF(OR($C236="",NOT(OR($G236="À migrer",$G236="Migré")),NOT(ISNUMBER($L236))),"",ROUNDUP($L236*(1+IF($AD236="",p_margeRAM,$AD236)),0))</f>
        <v/>
      </c>
      <c r="V236" s="39" t="str">
        <f aca="false">IF(OR(NOT($G236="À migrer"),$P236=""),"",IFERROR(DATE(YEAR($P236),MONTH($P236),1),""))</f>
        <v/>
      </c>
      <c r="W236" s="39" t="str">
        <f aca="false">IF(OR(NOT(OR($G236="À migrer",$G236="À décommissionner")),$R236=""),"",IFERROR(DATE(YEAR($R236),MONTH($R236),1),""))</f>
        <v/>
      </c>
      <c r="X236" s="21" t="str">
        <f aca="false">IF(OR($V236="",$W236=""),"",MAX(0,(YEAR($W236)-YEAR($V236))*12+MONTH($W236)-MONTH($V236)))</f>
        <v/>
      </c>
      <c r="Y236" s="21" t="str">
        <f aca="false">IF($C236="","",COUNTIF(TblApplications[ID],$C236))</f>
        <v/>
      </c>
      <c r="Z236" s="39" t="str">
        <f aca="false">IF($C236="","",IFERROR(1/(1/_xlfn.MINIFS(TblApplications[Mois prov (calc)],TblApplications[ID],$C236)),""))</f>
        <v/>
      </c>
      <c r="AA236" s="39" t="str">
        <f aca="false">IF($C236="","",IFERROR(1/(1/_xlfn.MAXIFS(TblApplications[Mois lib (calc)],TblApplications[ID],$C236)),""))</f>
        <v/>
      </c>
      <c r="AB236" s="21" t="str">
        <f aca="false">IF($C236="","",IF(OR(OR($A236="",$B236="",$D236="",$E236="",$F236="",$G236=""),AND($G236="À migrer",OR($H236="",$I236="",$J236="",$K236="",$L236="",$N236="",$O236="",$P236="",$Q236="",$R236="")),AND($G236="Migré",OR($J236="",$K236="",$L236="")),AND($G236="À décommissionner",OR($I236="",$N236="",$O236="",$R236=""))),"Données manquantes (selon l’action)",IF(AND($G236&lt;&gt;"Migré",$G236&lt;&gt;"À migrer",$G236&lt;&gt;"À décommissionner",$G236&lt;&gt;"Décommissionné"),"Action invalide",IF(COUNTIF(TblDomaines[Domaine],$A236)=0,"Domaine inconnu (référentiel)",IF(COUNTIFS(TblTribes[Tribe],$B236,TblTribes[Domaine de la tribe],$A236)=0,"Tribe inconnue ou hors domaine",IF(AND($G236="À migrer",$H236&lt;&gt;"Oui",$H236&lt;&gt;"Non"),"Valeur Oui/Non invalide (Déjà incluse ROKS)",IF(AND($E236&lt;&gt;"PRD",$E236&lt;&gt;"NPRD"),"Environnement invalide",IF(COUNTIFS(TblApplications[ID],$C236,TblApplications[Environnement],$E236,TblApplications[Couloir],$F236)&gt;1,"Déploiement en doublon (ID + env + couloir)",IF(OR(AND($K236&lt;&gt;"",NOT(ISNUMBER($K236))),AND($L236&lt;&gt;"",NOT(ISNUMBER($L236))),AND($N236&lt;&gt;"",NOT(ISNUMBER($N236))),AND($O236&lt;&gt;"",NOT(ISNUMBER($O236)))),"Ressource non numérique",IF(MIN(N($K236),N($L236),N($N236),N($O236))&lt;0,"Ressource négative",IF(OR(AND($AC236&lt;&gt;"",OR(NOT(ISNUMBER($AC236)),$AC236&lt;0,$AC236&gt;1)),AND($AD236&lt;&gt;"",OR(NOT(ISNUMBER($AD236)),$AD236&lt;0,$AD236&gt;1))),"Marge spécifique invalide (0–100 %)",IF(OR(AND($P236&lt;&gt;"",NOT(ISNUMBER($P236))),AND($Q236&lt;&gt;"",NOT(ISNUMBER($Q236))),AND($R236&lt;&gt;"",NOT(ISNUMBER($R236)))),"Mois invalide",IF(AND(OR($G236="À migrer",$G236="À décommissionner"),COUNTIFS(TblClusters[Cluster],$I236,TblClusters[Plateforme],"IKS")=0),"Cluster IKS inconnu",IF(AND(OR($G236="À migrer",$G236="Migré"),COUNTIFS(TblClusters[Cluster],$J236,TblClusters[Plateforme],"ROKS")=0),"Cluster ROKS inconnu",IF(AND(OR($G236="À migrer",$G236="À décommissionner"),COUNTIFS(TblClusters[Cluster],$I236,TblClusters[Environnement],$E236)=0),"Environnement ≠ cluster IKS",IF(AND(OR($G236="À migrer",$G236="Migré"),COUNTIFS(TblClusters[Cluster],$J236,TblClusters[Environnement],$E236)=0),"Environnement ≠ cluster ROKS",IF(AND($G236="À migrer",OR($P236&gt;$Q236,$Q236&gt;$R236)),"Dates incohérentes (prov ≤ bascule ≤ libération)",IF(AND(OR($G236="À migrer",$G236="À décommissionner"),OR(N($N236)&gt;SUMIFS(TblClusters[CPU initial (vCPU)],TblClusters[Cluster],$I236),N($O236)&gt;SUMIFS(TblClusters[RAM initiale (Go)],TblClusters[Cluster],$I236))),"Libération &gt; capacité du cluster source",IF(OR(AND($V236&lt;&gt;"",$V236&lt;p_debut),AND($W236&lt;&gt;"",$W236&gt;p_fin)),"Hors horizon (info)",IF(AND($G236="À migrer",$E236="PRD",COUNTIFS(TblApplications[ID],$C236,TblApplications[Environnement],"NPRD",TblApplications[Action],"À migrer")&gt;0,$V236&lt;_xlfn.MINIFS(TblApplications[Mois prov (calc)],TblApplications[ID],$C236,TblApplications[Environnement],"NPRD")),"PRD avant NPRD (info)","OK"))))))))))))))))))))</f>
        <v/>
      </c>
      <c r="AC236" s="76"/>
      <c r="AD236" s="76"/>
      <c r="AE236" s="22" t="str">
        <f aca="false">IF(OR($C236="",NOT(OR($G236="À migrer",$G236="À décommissionner")),NOT(ISNUMBER($N236)),NOT(ISNUMBER($O236)),$W236=""),"",($N236+p_poidsram*$O236)*SUMIFS(TblCalculs[Coût par unité],TblCalculs[Cluster],$I236,TblCalculs[Mois],"&lt;"&amp;$W236))</f>
        <v/>
      </c>
      <c r="AF236" s="22" t="str">
        <f aca="false">IF($C236="","",IF(AND($G236="À migrer",$H236="Non",$T236&lt;&gt;"",$V236&lt;&gt;""),($T236+p_poidsram*$U236)*SUMIFS(TblCalculs[Coût par unité],TblCalculs[Cluster],$J236,TblCalculs[Mois],"&gt;="&amp;$V236),IF(AND($G236="Migré",$T236&lt;&gt;""),($T236+p_poidsram*$U236)*SUMIFS(TblCalculs[Coût par unité],TblCalculs[Cluster],$J236),"")))</f>
        <v/>
      </c>
      <c r="AG236" s="22" t="str">
        <f aca="false">IF($C236="","",N($AE236)+N($AF236))</f>
        <v/>
      </c>
      <c r="AH236" s="21" t="str">
        <f aca="false">IF(OR($C236="",$G236="Décommissionné",COUNTIFS($E236,av_envc,$A236,av_domc,$B236,av_tric)=0),"",COUNTIFS($C$6:$C236,"&lt;&gt;",$G$6:$G236,"&lt;&gt;Décommissionné",$E$6:$E236,av_envc,$A$6:$A236,av_domc,$B$6:$B236,av_tric))</f>
        <v/>
      </c>
      <c r="AI236" s="21" t="str">
        <f aca="false">IF($C236="","",IF(AND(OR($G236="À migrer",$G236="À décommissionner"),$W236&lt;&gt;"",$W236&gt;ex_mois),1,0))</f>
        <v/>
      </c>
      <c r="AJ236" s="21" t="str">
        <f aca="false">IF(OR($C236="",$AI236&lt;&gt;1,COUNTIFS($E236,ex_envc,$A236,ex_domc,$B236,ex_tric)=0),"",COUNTIFS($AI$6:$AI236,1,$E$6:$E236,ex_envc,$A$6:$A236,ex_domc,$B$6:$B236,ex_tric))</f>
        <v/>
      </c>
    </row>
    <row r="237" customFormat="false" ht="15" hidden="false" customHeight="false" outlineLevel="0" collapsed="false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5"/>
      <c r="Q237" s="75"/>
      <c r="R237" s="75"/>
      <c r="S237" s="74"/>
      <c r="T237" s="21" t="str">
        <f aca="false">IF(OR($C237="",NOT(OR($G237="À migrer",$G237="Migré")),NOT(ISNUMBER($K237))),"",ROUNDUP($K237*(1+IF($AC237="",p_margeCPU,$AC237)),0))</f>
        <v/>
      </c>
      <c r="U237" s="21" t="str">
        <f aca="false">IF(OR($C237="",NOT(OR($G237="À migrer",$G237="Migré")),NOT(ISNUMBER($L237))),"",ROUNDUP($L237*(1+IF($AD237="",p_margeRAM,$AD237)),0))</f>
        <v/>
      </c>
      <c r="V237" s="39" t="str">
        <f aca="false">IF(OR(NOT($G237="À migrer"),$P237=""),"",IFERROR(DATE(YEAR($P237),MONTH($P237),1),""))</f>
        <v/>
      </c>
      <c r="W237" s="39" t="str">
        <f aca="false">IF(OR(NOT(OR($G237="À migrer",$G237="À décommissionner")),$R237=""),"",IFERROR(DATE(YEAR($R237),MONTH($R237),1),""))</f>
        <v/>
      </c>
      <c r="X237" s="21" t="str">
        <f aca="false">IF(OR($V237="",$W237=""),"",MAX(0,(YEAR($W237)-YEAR($V237))*12+MONTH($W237)-MONTH($V237)))</f>
        <v/>
      </c>
      <c r="Y237" s="21" t="str">
        <f aca="false">IF($C237="","",COUNTIF(TblApplications[ID],$C237))</f>
        <v/>
      </c>
      <c r="Z237" s="39" t="str">
        <f aca="false">IF($C237="","",IFERROR(1/(1/_xlfn.MINIFS(TblApplications[Mois prov (calc)],TblApplications[ID],$C237)),""))</f>
        <v/>
      </c>
      <c r="AA237" s="39" t="str">
        <f aca="false">IF($C237="","",IFERROR(1/(1/_xlfn.MAXIFS(TblApplications[Mois lib (calc)],TblApplications[ID],$C237)),""))</f>
        <v/>
      </c>
      <c r="AB237" s="21" t="str">
        <f aca="false">IF($C237="","",IF(OR(OR($A237="",$B237="",$D237="",$E237="",$F237="",$G237=""),AND($G237="À migrer",OR($H237="",$I237="",$J237="",$K237="",$L237="",$N237="",$O237="",$P237="",$Q237="",$R237="")),AND($G237="Migré",OR($J237="",$K237="",$L237="")),AND($G237="À décommissionner",OR($I237="",$N237="",$O237="",$R237=""))),"Données manquantes (selon l’action)",IF(AND($G237&lt;&gt;"Migré",$G237&lt;&gt;"À migrer",$G237&lt;&gt;"À décommissionner",$G237&lt;&gt;"Décommissionné"),"Action invalide",IF(COUNTIF(TblDomaines[Domaine],$A237)=0,"Domaine inconnu (référentiel)",IF(COUNTIFS(TblTribes[Tribe],$B237,TblTribes[Domaine de la tribe],$A237)=0,"Tribe inconnue ou hors domaine",IF(AND($G237="À migrer",$H237&lt;&gt;"Oui",$H237&lt;&gt;"Non"),"Valeur Oui/Non invalide (Déjà incluse ROKS)",IF(AND($E237&lt;&gt;"PRD",$E237&lt;&gt;"NPRD"),"Environnement invalide",IF(COUNTIFS(TblApplications[ID],$C237,TblApplications[Environnement],$E237,TblApplications[Couloir],$F237)&gt;1,"Déploiement en doublon (ID + env + couloir)",IF(OR(AND($K237&lt;&gt;"",NOT(ISNUMBER($K237))),AND($L237&lt;&gt;"",NOT(ISNUMBER($L237))),AND($N237&lt;&gt;"",NOT(ISNUMBER($N237))),AND($O237&lt;&gt;"",NOT(ISNUMBER($O237)))),"Ressource non numérique",IF(MIN(N($K237),N($L237),N($N237),N($O237))&lt;0,"Ressource négative",IF(OR(AND($AC237&lt;&gt;"",OR(NOT(ISNUMBER($AC237)),$AC237&lt;0,$AC237&gt;1)),AND($AD237&lt;&gt;"",OR(NOT(ISNUMBER($AD237)),$AD237&lt;0,$AD237&gt;1))),"Marge spécifique invalide (0–100 %)",IF(OR(AND($P237&lt;&gt;"",NOT(ISNUMBER($P237))),AND($Q237&lt;&gt;"",NOT(ISNUMBER($Q237))),AND($R237&lt;&gt;"",NOT(ISNUMBER($R237)))),"Mois invalide",IF(AND(OR($G237="À migrer",$G237="À décommissionner"),COUNTIFS(TblClusters[Cluster],$I237,TblClusters[Plateforme],"IKS")=0),"Cluster IKS inconnu",IF(AND(OR($G237="À migrer",$G237="Migré"),COUNTIFS(TblClusters[Cluster],$J237,TblClusters[Plateforme],"ROKS")=0),"Cluster ROKS inconnu",IF(AND(OR($G237="À migrer",$G237="À décommissionner"),COUNTIFS(TblClusters[Cluster],$I237,TblClusters[Environnement],$E237)=0),"Environnement ≠ cluster IKS",IF(AND(OR($G237="À migrer",$G237="Migré"),COUNTIFS(TblClusters[Cluster],$J237,TblClusters[Environnement],$E237)=0),"Environnement ≠ cluster ROKS",IF(AND($G237="À migrer",OR($P237&gt;$Q237,$Q237&gt;$R237)),"Dates incohérentes (prov ≤ bascule ≤ libération)",IF(AND(OR($G237="À migrer",$G237="À décommissionner"),OR(N($N237)&gt;SUMIFS(TblClusters[CPU initial (vCPU)],TblClusters[Cluster],$I237),N($O237)&gt;SUMIFS(TblClusters[RAM initiale (Go)],TblClusters[Cluster],$I237))),"Libération &gt; capacité du cluster source",IF(OR(AND($V237&lt;&gt;"",$V237&lt;p_debut),AND($W237&lt;&gt;"",$W237&gt;p_fin)),"Hors horizon (info)",IF(AND($G237="À migrer",$E237="PRD",COUNTIFS(TblApplications[ID],$C237,TblApplications[Environnement],"NPRD",TblApplications[Action],"À migrer")&gt;0,$V237&lt;_xlfn.MINIFS(TblApplications[Mois prov (calc)],TblApplications[ID],$C237,TblApplications[Environnement],"NPRD")),"PRD avant NPRD (info)","OK"))))))))))))))))))))</f>
        <v/>
      </c>
      <c r="AC237" s="76"/>
      <c r="AD237" s="76"/>
      <c r="AE237" s="22" t="str">
        <f aca="false">IF(OR($C237="",NOT(OR($G237="À migrer",$G237="À décommissionner")),NOT(ISNUMBER($N237)),NOT(ISNUMBER($O237)),$W237=""),"",($N237+p_poidsram*$O237)*SUMIFS(TblCalculs[Coût par unité],TblCalculs[Cluster],$I237,TblCalculs[Mois],"&lt;"&amp;$W237))</f>
        <v/>
      </c>
      <c r="AF237" s="22" t="str">
        <f aca="false">IF($C237="","",IF(AND($G237="À migrer",$H237="Non",$T237&lt;&gt;"",$V237&lt;&gt;""),($T237+p_poidsram*$U237)*SUMIFS(TblCalculs[Coût par unité],TblCalculs[Cluster],$J237,TblCalculs[Mois],"&gt;="&amp;$V237),IF(AND($G237="Migré",$T237&lt;&gt;""),($T237+p_poidsram*$U237)*SUMIFS(TblCalculs[Coût par unité],TblCalculs[Cluster],$J237),"")))</f>
        <v/>
      </c>
      <c r="AG237" s="22" t="str">
        <f aca="false">IF($C237="","",N($AE237)+N($AF237))</f>
        <v/>
      </c>
      <c r="AH237" s="21" t="str">
        <f aca="false">IF(OR($C237="",$G237="Décommissionné",COUNTIFS($E237,av_envc,$A237,av_domc,$B237,av_tric)=0),"",COUNTIFS($C$6:$C237,"&lt;&gt;",$G$6:$G237,"&lt;&gt;Décommissionné",$E$6:$E237,av_envc,$A$6:$A237,av_domc,$B$6:$B237,av_tric))</f>
        <v/>
      </c>
      <c r="AI237" s="21" t="str">
        <f aca="false">IF($C237="","",IF(AND(OR($G237="À migrer",$G237="À décommissionner"),$W237&lt;&gt;"",$W237&gt;ex_mois),1,0))</f>
        <v/>
      </c>
      <c r="AJ237" s="21" t="str">
        <f aca="false">IF(OR($C237="",$AI237&lt;&gt;1,COUNTIFS($E237,ex_envc,$A237,ex_domc,$B237,ex_tric)=0),"",COUNTIFS($AI$6:$AI237,1,$E$6:$E237,ex_envc,$A$6:$A237,ex_domc,$B$6:$B237,ex_tric))</f>
        <v/>
      </c>
    </row>
    <row r="238" customFormat="false" ht="15" hidden="false" customHeight="false" outlineLevel="0" collapsed="false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5"/>
      <c r="Q238" s="75"/>
      <c r="R238" s="75"/>
      <c r="S238" s="74"/>
      <c r="T238" s="21" t="str">
        <f aca="false">IF(OR($C238="",NOT(OR($G238="À migrer",$G238="Migré")),NOT(ISNUMBER($K238))),"",ROUNDUP($K238*(1+IF($AC238="",p_margeCPU,$AC238)),0))</f>
        <v/>
      </c>
      <c r="U238" s="21" t="str">
        <f aca="false">IF(OR($C238="",NOT(OR($G238="À migrer",$G238="Migré")),NOT(ISNUMBER($L238))),"",ROUNDUP($L238*(1+IF($AD238="",p_margeRAM,$AD238)),0))</f>
        <v/>
      </c>
      <c r="V238" s="39" t="str">
        <f aca="false">IF(OR(NOT($G238="À migrer"),$P238=""),"",IFERROR(DATE(YEAR($P238),MONTH($P238),1),""))</f>
        <v/>
      </c>
      <c r="W238" s="39" t="str">
        <f aca="false">IF(OR(NOT(OR($G238="À migrer",$G238="À décommissionner")),$R238=""),"",IFERROR(DATE(YEAR($R238),MONTH($R238),1),""))</f>
        <v/>
      </c>
      <c r="X238" s="21" t="str">
        <f aca="false">IF(OR($V238="",$W238=""),"",MAX(0,(YEAR($W238)-YEAR($V238))*12+MONTH($W238)-MONTH($V238)))</f>
        <v/>
      </c>
      <c r="Y238" s="21" t="str">
        <f aca="false">IF($C238="","",COUNTIF(TblApplications[ID],$C238))</f>
        <v/>
      </c>
      <c r="Z238" s="39" t="str">
        <f aca="false">IF($C238="","",IFERROR(1/(1/_xlfn.MINIFS(TblApplications[Mois prov (calc)],TblApplications[ID],$C238)),""))</f>
        <v/>
      </c>
      <c r="AA238" s="39" t="str">
        <f aca="false">IF($C238="","",IFERROR(1/(1/_xlfn.MAXIFS(TblApplications[Mois lib (calc)],TblApplications[ID],$C238)),""))</f>
        <v/>
      </c>
      <c r="AB238" s="21" t="str">
        <f aca="false">IF($C238="","",IF(OR(OR($A238="",$B238="",$D238="",$E238="",$F238="",$G238=""),AND($G238="À migrer",OR($H238="",$I238="",$J238="",$K238="",$L238="",$N238="",$O238="",$P238="",$Q238="",$R238="")),AND($G238="Migré",OR($J238="",$K238="",$L238="")),AND($G238="À décommissionner",OR($I238="",$N238="",$O238="",$R238=""))),"Données manquantes (selon l’action)",IF(AND($G238&lt;&gt;"Migré",$G238&lt;&gt;"À migrer",$G238&lt;&gt;"À décommissionner",$G238&lt;&gt;"Décommissionné"),"Action invalide",IF(COUNTIF(TblDomaines[Domaine],$A238)=0,"Domaine inconnu (référentiel)",IF(COUNTIFS(TblTribes[Tribe],$B238,TblTribes[Domaine de la tribe],$A238)=0,"Tribe inconnue ou hors domaine",IF(AND($G238="À migrer",$H238&lt;&gt;"Oui",$H238&lt;&gt;"Non"),"Valeur Oui/Non invalide (Déjà incluse ROKS)",IF(AND($E238&lt;&gt;"PRD",$E238&lt;&gt;"NPRD"),"Environnement invalide",IF(COUNTIFS(TblApplications[ID],$C238,TblApplications[Environnement],$E238,TblApplications[Couloir],$F238)&gt;1,"Déploiement en doublon (ID + env + couloir)",IF(OR(AND($K238&lt;&gt;"",NOT(ISNUMBER($K238))),AND($L238&lt;&gt;"",NOT(ISNUMBER($L238))),AND($N238&lt;&gt;"",NOT(ISNUMBER($N238))),AND($O238&lt;&gt;"",NOT(ISNUMBER($O238)))),"Ressource non numérique",IF(MIN(N($K238),N($L238),N($N238),N($O238))&lt;0,"Ressource négative",IF(OR(AND($AC238&lt;&gt;"",OR(NOT(ISNUMBER($AC238)),$AC238&lt;0,$AC238&gt;1)),AND($AD238&lt;&gt;"",OR(NOT(ISNUMBER($AD238)),$AD238&lt;0,$AD238&gt;1))),"Marge spécifique invalide (0–100 %)",IF(OR(AND($P238&lt;&gt;"",NOT(ISNUMBER($P238))),AND($Q238&lt;&gt;"",NOT(ISNUMBER($Q238))),AND($R238&lt;&gt;"",NOT(ISNUMBER($R238)))),"Mois invalide",IF(AND(OR($G238="À migrer",$G238="À décommissionner"),COUNTIFS(TblClusters[Cluster],$I238,TblClusters[Plateforme],"IKS")=0),"Cluster IKS inconnu",IF(AND(OR($G238="À migrer",$G238="Migré"),COUNTIFS(TblClusters[Cluster],$J238,TblClusters[Plateforme],"ROKS")=0),"Cluster ROKS inconnu",IF(AND(OR($G238="À migrer",$G238="À décommissionner"),COUNTIFS(TblClusters[Cluster],$I238,TblClusters[Environnement],$E238)=0),"Environnement ≠ cluster IKS",IF(AND(OR($G238="À migrer",$G238="Migré"),COUNTIFS(TblClusters[Cluster],$J238,TblClusters[Environnement],$E238)=0),"Environnement ≠ cluster ROKS",IF(AND($G238="À migrer",OR($P238&gt;$Q238,$Q238&gt;$R238)),"Dates incohérentes (prov ≤ bascule ≤ libération)",IF(AND(OR($G238="À migrer",$G238="À décommissionner"),OR(N($N238)&gt;SUMIFS(TblClusters[CPU initial (vCPU)],TblClusters[Cluster],$I238),N($O238)&gt;SUMIFS(TblClusters[RAM initiale (Go)],TblClusters[Cluster],$I238))),"Libération &gt; capacité du cluster source",IF(OR(AND($V238&lt;&gt;"",$V238&lt;p_debut),AND($W238&lt;&gt;"",$W238&gt;p_fin)),"Hors horizon (info)",IF(AND($G238="À migrer",$E238="PRD",COUNTIFS(TblApplications[ID],$C238,TblApplications[Environnement],"NPRD",TblApplications[Action],"À migrer")&gt;0,$V238&lt;_xlfn.MINIFS(TblApplications[Mois prov (calc)],TblApplications[ID],$C238,TblApplications[Environnement],"NPRD")),"PRD avant NPRD (info)","OK"))))))))))))))))))))</f>
        <v/>
      </c>
      <c r="AC238" s="76"/>
      <c r="AD238" s="76"/>
      <c r="AE238" s="22" t="str">
        <f aca="false">IF(OR($C238="",NOT(OR($G238="À migrer",$G238="À décommissionner")),NOT(ISNUMBER($N238)),NOT(ISNUMBER($O238)),$W238=""),"",($N238+p_poidsram*$O238)*SUMIFS(TblCalculs[Coût par unité],TblCalculs[Cluster],$I238,TblCalculs[Mois],"&lt;"&amp;$W238))</f>
        <v/>
      </c>
      <c r="AF238" s="22" t="str">
        <f aca="false">IF($C238="","",IF(AND($G238="À migrer",$H238="Non",$T238&lt;&gt;"",$V238&lt;&gt;""),($T238+p_poidsram*$U238)*SUMIFS(TblCalculs[Coût par unité],TblCalculs[Cluster],$J238,TblCalculs[Mois],"&gt;="&amp;$V238),IF(AND($G238="Migré",$T238&lt;&gt;""),($T238+p_poidsram*$U238)*SUMIFS(TblCalculs[Coût par unité],TblCalculs[Cluster],$J238),"")))</f>
        <v/>
      </c>
      <c r="AG238" s="22" t="str">
        <f aca="false">IF($C238="","",N($AE238)+N($AF238))</f>
        <v/>
      </c>
      <c r="AH238" s="21" t="str">
        <f aca="false">IF(OR($C238="",$G238="Décommissionné",COUNTIFS($E238,av_envc,$A238,av_domc,$B238,av_tric)=0),"",COUNTIFS($C$6:$C238,"&lt;&gt;",$G$6:$G238,"&lt;&gt;Décommissionné",$E$6:$E238,av_envc,$A$6:$A238,av_domc,$B$6:$B238,av_tric))</f>
        <v/>
      </c>
      <c r="AI238" s="21" t="str">
        <f aca="false">IF($C238="","",IF(AND(OR($G238="À migrer",$G238="À décommissionner"),$W238&lt;&gt;"",$W238&gt;ex_mois),1,0))</f>
        <v/>
      </c>
      <c r="AJ238" s="21" t="str">
        <f aca="false">IF(OR($C238="",$AI238&lt;&gt;1,COUNTIFS($E238,ex_envc,$A238,ex_domc,$B238,ex_tric)=0),"",COUNTIFS($AI$6:$AI238,1,$E$6:$E238,ex_envc,$A$6:$A238,ex_domc,$B$6:$B238,ex_tric))</f>
        <v/>
      </c>
    </row>
    <row r="239" customFormat="false" ht="15" hidden="false" customHeight="false" outlineLevel="0" collapsed="false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5"/>
      <c r="Q239" s="75"/>
      <c r="R239" s="75"/>
      <c r="S239" s="74"/>
      <c r="T239" s="21" t="str">
        <f aca="false">IF(OR($C239="",NOT(OR($G239="À migrer",$G239="Migré")),NOT(ISNUMBER($K239))),"",ROUNDUP($K239*(1+IF($AC239="",p_margeCPU,$AC239)),0))</f>
        <v/>
      </c>
      <c r="U239" s="21" t="str">
        <f aca="false">IF(OR($C239="",NOT(OR($G239="À migrer",$G239="Migré")),NOT(ISNUMBER($L239))),"",ROUNDUP($L239*(1+IF($AD239="",p_margeRAM,$AD239)),0))</f>
        <v/>
      </c>
      <c r="V239" s="39" t="str">
        <f aca="false">IF(OR(NOT($G239="À migrer"),$P239=""),"",IFERROR(DATE(YEAR($P239),MONTH($P239),1),""))</f>
        <v/>
      </c>
      <c r="W239" s="39" t="str">
        <f aca="false">IF(OR(NOT(OR($G239="À migrer",$G239="À décommissionner")),$R239=""),"",IFERROR(DATE(YEAR($R239),MONTH($R239),1),""))</f>
        <v/>
      </c>
      <c r="X239" s="21" t="str">
        <f aca="false">IF(OR($V239="",$W239=""),"",MAX(0,(YEAR($W239)-YEAR($V239))*12+MONTH($W239)-MONTH($V239)))</f>
        <v/>
      </c>
      <c r="Y239" s="21" t="str">
        <f aca="false">IF($C239="","",COUNTIF(TblApplications[ID],$C239))</f>
        <v/>
      </c>
      <c r="Z239" s="39" t="str">
        <f aca="false">IF($C239="","",IFERROR(1/(1/_xlfn.MINIFS(TblApplications[Mois prov (calc)],TblApplications[ID],$C239)),""))</f>
        <v/>
      </c>
      <c r="AA239" s="39" t="str">
        <f aca="false">IF($C239="","",IFERROR(1/(1/_xlfn.MAXIFS(TblApplications[Mois lib (calc)],TblApplications[ID],$C239)),""))</f>
        <v/>
      </c>
      <c r="AB239" s="21" t="str">
        <f aca="false">IF($C239="","",IF(OR(OR($A239="",$B239="",$D239="",$E239="",$F239="",$G239=""),AND($G239="À migrer",OR($H239="",$I239="",$J239="",$K239="",$L239="",$N239="",$O239="",$P239="",$Q239="",$R239="")),AND($G239="Migré",OR($J239="",$K239="",$L239="")),AND($G239="À décommissionner",OR($I239="",$N239="",$O239="",$R239=""))),"Données manquantes (selon l’action)",IF(AND($G239&lt;&gt;"Migré",$G239&lt;&gt;"À migrer",$G239&lt;&gt;"À décommissionner",$G239&lt;&gt;"Décommissionné"),"Action invalide",IF(COUNTIF(TblDomaines[Domaine],$A239)=0,"Domaine inconnu (référentiel)",IF(COUNTIFS(TblTribes[Tribe],$B239,TblTribes[Domaine de la tribe],$A239)=0,"Tribe inconnue ou hors domaine",IF(AND($G239="À migrer",$H239&lt;&gt;"Oui",$H239&lt;&gt;"Non"),"Valeur Oui/Non invalide (Déjà incluse ROKS)",IF(AND($E239&lt;&gt;"PRD",$E239&lt;&gt;"NPRD"),"Environnement invalide",IF(COUNTIFS(TblApplications[ID],$C239,TblApplications[Environnement],$E239,TblApplications[Couloir],$F239)&gt;1,"Déploiement en doublon (ID + env + couloir)",IF(OR(AND($K239&lt;&gt;"",NOT(ISNUMBER($K239))),AND($L239&lt;&gt;"",NOT(ISNUMBER($L239))),AND($N239&lt;&gt;"",NOT(ISNUMBER($N239))),AND($O239&lt;&gt;"",NOT(ISNUMBER($O239)))),"Ressource non numérique",IF(MIN(N($K239),N($L239),N($N239),N($O239))&lt;0,"Ressource négative",IF(OR(AND($AC239&lt;&gt;"",OR(NOT(ISNUMBER($AC239)),$AC239&lt;0,$AC239&gt;1)),AND($AD239&lt;&gt;"",OR(NOT(ISNUMBER($AD239)),$AD239&lt;0,$AD239&gt;1))),"Marge spécifique invalide (0–100 %)",IF(OR(AND($P239&lt;&gt;"",NOT(ISNUMBER($P239))),AND($Q239&lt;&gt;"",NOT(ISNUMBER($Q239))),AND($R239&lt;&gt;"",NOT(ISNUMBER($R239)))),"Mois invalide",IF(AND(OR($G239="À migrer",$G239="À décommissionner"),COUNTIFS(TblClusters[Cluster],$I239,TblClusters[Plateforme],"IKS")=0),"Cluster IKS inconnu",IF(AND(OR($G239="À migrer",$G239="Migré"),COUNTIFS(TblClusters[Cluster],$J239,TblClusters[Plateforme],"ROKS")=0),"Cluster ROKS inconnu",IF(AND(OR($G239="À migrer",$G239="À décommissionner"),COUNTIFS(TblClusters[Cluster],$I239,TblClusters[Environnement],$E239)=0),"Environnement ≠ cluster IKS",IF(AND(OR($G239="À migrer",$G239="Migré"),COUNTIFS(TblClusters[Cluster],$J239,TblClusters[Environnement],$E239)=0),"Environnement ≠ cluster ROKS",IF(AND($G239="À migrer",OR($P239&gt;$Q239,$Q239&gt;$R239)),"Dates incohérentes (prov ≤ bascule ≤ libération)",IF(AND(OR($G239="À migrer",$G239="À décommissionner"),OR(N($N239)&gt;SUMIFS(TblClusters[CPU initial (vCPU)],TblClusters[Cluster],$I239),N($O239)&gt;SUMIFS(TblClusters[RAM initiale (Go)],TblClusters[Cluster],$I239))),"Libération &gt; capacité du cluster source",IF(OR(AND($V239&lt;&gt;"",$V239&lt;p_debut),AND($W239&lt;&gt;"",$W239&gt;p_fin)),"Hors horizon (info)",IF(AND($G239="À migrer",$E239="PRD",COUNTIFS(TblApplications[ID],$C239,TblApplications[Environnement],"NPRD",TblApplications[Action],"À migrer")&gt;0,$V239&lt;_xlfn.MINIFS(TblApplications[Mois prov (calc)],TblApplications[ID],$C239,TblApplications[Environnement],"NPRD")),"PRD avant NPRD (info)","OK"))))))))))))))))))))</f>
        <v/>
      </c>
      <c r="AC239" s="76"/>
      <c r="AD239" s="76"/>
      <c r="AE239" s="22" t="str">
        <f aca="false">IF(OR($C239="",NOT(OR($G239="À migrer",$G239="À décommissionner")),NOT(ISNUMBER($N239)),NOT(ISNUMBER($O239)),$W239=""),"",($N239+p_poidsram*$O239)*SUMIFS(TblCalculs[Coût par unité],TblCalculs[Cluster],$I239,TblCalculs[Mois],"&lt;"&amp;$W239))</f>
        <v/>
      </c>
      <c r="AF239" s="22" t="str">
        <f aca="false">IF($C239="","",IF(AND($G239="À migrer",$H239="Non",$T239&lt;&gt;"",$V239&lt;&gt;""),($T239+p_poidsram*$U239)*SUMIFS(TblCalculs[Coût par unité],TblCalculs[Cluster],$J239,TblCalculs[Mois],"&gt;="&amp;$V239),IF(AND($G239="Migré",$T239&lt;&gt;""),($T239+p_poidsram*$U239)*SUMIFS(TblCalculs[Coût par unité],TblCalculs[Cluster],$J239),"")))</f>
        <v/>
      </c>
      <c r="AG239" s="22" t="str">
        <f aca="false">IF($C239="","",N($AE239)+N($AF239))</f>
        <v/>
      </c>
      <c r="AH239" s="21" t="str">
        <f aca="false">IF(OR($C239="",$G239="Décommissionné",COUNTIFS($E239,av_envc,$A239,av_domc,$B239,av_tric)=0),"",COUNTIFS($C$6:$C239,"&lt;&gt;",$G$6:$G239,"&lt;&gt;Décommissionné",$E$6:$E239,av_envc,$A$6:$A239,av_domc,$B$6:$B239,av_tric))</f>
        <v/>
      </c>
      <c r="AI239" s="21" t="str">
        <f aca="false">IF($C239="","",IF(AND(OR($G239="À migrer",$G239="À décommissionner"),$W239&lt;&gt;"",$W239&gt;ex_mois),1,0))</f>
        <v/>
      </c>
      <c r="AJ239" s="21" t="str">
        <f aca="false">IF(OR($C239="",$AI239&lt;&gt;1,COUNTIFS($E239,ex_envc,$A239,ex_domc,$B239,ex_tric)=0),"",COUNTIFS($AI$6:$AI239,1,$E$6:$E239,ex_envc,$A$6:$A239,ex_domc,$B$6:$B239,ex_tric))</f>
        <v/>
      </c>
    </row>
    <row r="240" customFormat="false" ht="15" hidden="false" customHeight="false" outlineLevel="0" collapsed="false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5"/>
      <c r="Q240" s="75"/>
      <c r="R240" s="75"/>
      <c r="S240" s="74"/>
      <c r="T240" s="21" t="str">
        <f aca="false">IF(OR($C240="",NOT(OR($G240="À migrer",$G240="Migré")),NOT(ISNUMBER($K240))),"",ROUNDUP($K240*(1+IF($AC240="",p_margeCPU,$AC240)),0))</f>
        <v/>
      </c>
      <c r="U240" s="21" t="str">
        <f aca="false">IF(OR($C240="",NOT(OR($G240="À migrer",$G240="Migré")),NOT(ISNUMBER($L240))),"",ROUNDUP($L240*(1+IF($AD240="",p_margeRAM,$AD240)),0))</f>
        <v/>
      </c>
      <c r="V240" s="39" t="str">
        <f aca="false">IF(OR(NOT($G240="À migrer"),$P240=""),"",IFERROR(DATE(YEAR($P240),MONTH($P240),1),""))</f>
        <v/>
      </c>
      <c r="W240" s="39" t="str">
        <f aca="false">IF(OR(NOT(OR($G240="À migrer",$G240="À décommissionner")),$R240=""),"",IFERROR(DATE(YEAR($R240),MONTH($R240),1),""))</f>
        <v/>
      </c>
      <c r="X240" s="21" t="str">
        <f aca="false">IF(OR($V240="",$W240=""),"",MAX(0,(YEAR($W240)-YEAR($V240))*12+MONTH($W240)-MONTH($V240)))</f>
        <v/>
      </c>
      <c r="Y240" s="21" t="str">
        <f aca="false">IF($C240="","",COUNTIF(TblApplications[ID],$C240))</f>
        <v/>
      </c>
      <c r="Z240" s="39" t="str">
        <f aca="false">IF($C240="","",IFERROR(1/(1/_xlfn.MINIFS(TblApplications[Mois prov (calc)],TblApplications[ID],$C240)),""))</f>
        <v/>
      </c>
      <c r="AA240" s="39" t="str">
        <f aca="false">IF($C240="","",IFERROR(1/(1/_xlfn.MAXIFS(TblApplications[Mois lib (calc)],TblApplications[ID],$C240)),""))</f>
        <v/>
      </c>
      <c r="AB240" s="21" t="str">
        <f aca="false">IF($C240="","",IF(OR(OR($A240="",$B240="",$D240="",$E240="",$F240="",$G240=""),AND($G240="À migrer",OR($H240="",$I240="",$J240="",$K240="",$L240="",$N240="",$O240="",$P240="",$Q240="",$R240="")),AND($G240="Migré",OR($J240="",$K240="",$L240="")),AND($G240="À décommissionner",OR($I240="",$N240="",$O240="",$R240=""))),"Données manquantes (selon l’action)",IF(AND($G240&lt;&gt;"Migré",$G240&lt;&gt;"À migrer",$G240&lt;&gt;"À décommissionner",$G240&lt;&gt;"Décommissionné"),"Action invalide",IF(COUNTIF(TblDomaines[Domaine],$A240)=0,"Domaine inconnu (référentiel)",IF(COUNTIFS(TblTribes[Tribe],$B240,TblTribes[Domaine de la tribe],$A240)=0,"Tribe inconnue ou hors domaine",IF(AND($G240="À migrer",$H240&lt;&gt;"Oui",$H240&lt;&gt;"Non"),"Valeur Oui/Non invalide (Déjà incluse ROKS)",IF(AND($E240&lt;&gt;"PRD",$E240&lt;&gt;"NPRD"),"Environnement invalide",IF(COUNTIFS(TblApplications[ID],$C240,TblApplications[Environnement],$E240,TblApplications[Couloir],$F240)&gt;1,"Déploiement en doublon (ID + env + couloir)",IF(OR(AND($K240&lt;&gt;"",NOT(ISNUMBER($K240))),AND($L240&lt;&gt;"",NOT(ISNUMBER($L240))),AND($N240&lt;&gt;"",NOT(ISNUMBER($N240))),AND($O240&lt;&gt;"",NOT(ISNUMBER($O240)))),"Ressource non numérique",IF(MIN(N($K240),N($L240),N($N240),N($O240))&lt;0,"Ressource négative",IF(OR(AND($AC240&lt;&gt;"",OR(NOT(ISNUMBER($AC240)),$AC240&lt;0,$AC240&gt;1)),AND($AD240&lt;&gt;"",OR(NOT(ISNUMBER($AD240)),$AD240&lt;0,$AD240&gt;1))),"Marge spécifique invalide (0–100 %)",IF(OR(AND($P240&lt;&gt;"",NOT(ISNUMBER($P240))),AND($Q240&lt;&gt;"",NOT(ISNUMBER($Q240))),AND($R240&lt;&gt;"",NOT(ISNUMBER($R240)))),"Mois invalide",IF(AND(OR($G240="À migrer",$G240="À décommissionner"),COUNTIFS(TblClusters[Cluster],$I240,TblClusters[Plateforme],"IKS")=0),"Cluster IKS inconnu",IF(AND(OR($G240="À migrer",$G240="Migré"),COUNTIFS(TblClusters[Cluster],$J240,TblClusters[Plateforme],"ROKS")=0),"Cluster ROKS inconnu",IF(AND(OR($G240="À migrer",$G240="À décommissionner"),COUNTIFS(TblClusters[Cluster],$I240,TblClusters[Environnement],$E240)=0),"Environnement ≠ cluster IKS",IF(AND(OR($G240="À migrer",$G240="Migré"),COUNTIFS(TblClusters[Cluster],$J240,TblClusters[Environnement],$E240)=0),"Environnement ≠ cluster ROKS",IF(AND($G240="À migrer",OR($P240&gt;$Q240,$Q240&gt;$R240)),"Dates incohérentes (prov ≤ bascule ≤ libération)",IF(AND(OR($G240="À migrer",$G240="À décommissionner"),OR(N($N240)&gt;SUMIFS(TblClusters[CPU initial (vCPU)],TblClusters[Cluster],$I240),N($O240)&gt;SUMIFS(TblClusters[RAM initiale (Go)],TblClusters[Cluster],$I240))),"Libération &gt; capacité du cluster source",IF(OR(AND($V240&lt;&gt;"",$V240&lt;p_debut),AND($W240&lt;&gt;"",$W240&gt;p_fin)),"Hors horizon (info)",IF(AND($G240="À migrer",$E240="PRD",COUNTIFS(TblApplications[ID],$C240,TblApplications[Environnement],"NPRD",TblApplications[Action],"À migrer")&gt;0,$V240&lt;_xlfn.MINIFS(TblApplications[Mois prov (calc)],TblApplications[ID],$C240,TblApplications[Environnement],"NPRD")),"PRD avant NPRD (info)","OK"))))))))))))))))))))</f>
        <v/>
      </c>
      <c r="AC240" s="76"/>
      <c r="AD240" s="76"/>
      <c r="AE240" s="22" t="str">
        <f aca="false">IF(OR($C240="",NOT(OR($G240="À migrer",$G240="À décommissionner")),NOT(ISNUMBER($N240)),NOT(ISNUMBER($O240)),$W240=""),"",($N240+p_poidsram*$O240)*SUMIFS(TblCalculs[Coût par unité],TblCalculs[Cluster],$I240,TblCalculs[Mois],"&lt;"&amp;$W240))</f>
        <v/>
      </c>
      <c r="AF240" s="22" t="str">
        <f aca="false">IF($C240="","",IF(AND($G240="À migrer",$H240="Non",$T240&lt;&gt;"",$V240&lt;&gt;""),($T240+p_poidsram*$U240)*SUMIFS(TblCalculs[Coût par unité],TblCalculs[Cluster],$J240,TblCalculs[Mois],"&gt;="&amp;$V240),IF(AND($G240="Migré",$T240&lt;&gt;""),($T240+p_poidsram*$U240)*SUMIFS(TblCalculs[Coût par unité],TblCalculs[Cluster],$J240),"")))</f>
        <v/>
      </c>
      <c r="AG240" s="22" t="str">
        <f aca="false">IF($C240="","",N($AE240)+N($AF240))</f>
        <v/>
      </c>
      <c r="AH240" s="21" t="str">
        <f aca="false">IF(OR($C240="",$G240="Décommissionné",COUNTIFS($E240,av_envc,$A240,av_domc,$B240,av_tric)=0),"",COUNTIFS($C$6:$C240,"&lt;&gt;",$G$6:$G240,"&lt;&gt;Décommissionné",$E$6:$E240,av_envc,$A$6:$A240,av_domc,$B$6:$B240,av_tric))</f>
        <v/>
      </c>
      <c r="AI240" s="21" t="str">
        <f aca="false">IF($C240="","",IF(AND(OR($G240="À migrer",$G240="À décommissionner"),$W240&lt;&gt;"",$W240&gt;ex_mois),1,0))</f>
        <v/>
      </c>
      <c r="AJ240" s="21" t="str">
        <f aca="false">IF(OR($C240="",$AI240&lt;&gt;1,COUNTIFS($E240,ex_envc,$A240,ex_domc,$B240,ex_tric)=0),"",COUNTIFS($AI$6:$AI240,1,$E$6:$E240,ex_envc,$A$6:$A240,ex_domc,$B$6:$B240,ex_tric))</f>
        <v/>
      </c>
    </row>
    <row r="241" customFormat="false" ht="15" hidden="false" customHeight="false" outlineLevel="0" collapsed="false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5"/>
      <c r="Q241" s="75"/>
      <c r="R241" s="75"/>
      <c r="S241" s="74"/>
      <c r="T241" s="21" t="str">
        <f aca="false">IF(OR($C241="",NOT(OR($G241="À migrer",$G241="Migré")),NOT(ISNUMBER($K241))),"",ROUNDUP($K241*(1+IF($AC241="",p_margeCPU,$AC241)),0))</f>
        <v/>
      </c>
      <c r="U241" s="21" t="str">
        <f aca="false">IF(OR($C241="",NOT(OR($G241="À migrer",$G241="Migré")),NOT(ISNUMBER($L241))),"",ROUNDUP($L241*(1+IF($AD241="",p_margeRAM,$AD241)),0))</f>
        <v/>
      </c>
      <c r="V241" s="39" t="str">
        <f aca="false">IF(OR(NOT($G241="À migrer"),$P241=""),"",IFERROR(DATE(YEAR($P241),MONTH($P241),1),""))</f>
        <v/>
      </c>
      <c r="W241" s="39" t="str">
        <f aca="false">IF(OR(NOT(OR($G241="À migrer",$G241="À décommissionner")),$R241=""),"",IFERROR(DATE(YEAR($R241),MONTH($R241),1),""))</f>
        <v/>
      </c>
      <c r="X241" s="21" t="str">
        <f aca="false">IF(OR($V241="",$W241=""),"",MAX(0,(YEAR($W241)-YEAR($V241))*12+MONTH($W241)-MONTH($V241)))</f>
        <v/>
      </c>
      <c r="Y241" s="21" t="str">
        <f aca="false">IF($C241="","",COUNTIF(TblApplications[ID],$C241))</f>
        <v/>
      </c>
      <c r="Z241" s="39" t="str">
        <f aca="false">IF($C241="","",IFERROR(1/(1/_xlfn.MINIFS(TblApplications[Mois prov (calc)],TblApplications[ID],$C241)),""))</f>
        <v/>
      </c>
      <c r="AA241" s="39" t="str">
        <f aca="false">IF($C241="","",IFERROR(1/(1/_xlfn.MAXIFS(TblApplications[Mois lib (calc)],TblApplications[ID],$C241)),""))</f>
        <v/>
      </c>
      <c r="AB241" s="21" t="str">
        <f aca="false">IF($C241="","",IF(OR(OR($A241="",$B241="",$D241="",$E241="",$F241="",$G241=""),AND($G241="À migrer",OR($H241="",$I241="",$J241="",$K241="",$L241="",$N241="",$O241="",$P241="",$Q241="",$R241="")),AND($G241="Migré",OR($J241="",$K241="",$L241="")),AND($G241="À décommissionner",OR($I241="",$N241="",$O241="",$R241=""))),"Données manquantes (selon l’action)",IF(AND($G241&lt;&gt;"Migré",$G241&lt;&gt;"À migrer",$G241&lt;&gt;"À décommissionner",$G241&lt;&gt;"Décommissionné"),"Action invalide",IF(COUNTIF(TblDomaines[Domaine],$A241)=0,"Domaine inconnu (référentiel)",IF(COUNTIFS(TblTribes[Tribe],$B241,TblTribes[Domaine de la tribe],$A241)=0,"Tribe inconnue ou hors domaine",IF(AND($G241="À migrer",$H241&lt;&gt;"Oui",$H241&lt;&gt;"Non"),"Valeur Oui/Non invalide (Déjà incluse ROKS)",IF(AND($E241&lt;&gt;"PRD",$E241&lt;&gt;"NPRD"),"Environnement invalide",IF(COUNTIFS(TblApplications[ID],$C241,TblApplications[Environnement],$E241,TblApplications[Couloir],$F241)&gt;1,"Déploiement en doublon (ID + env + couloir)",IF(OR(AND($K241&lt;&gt;"",NOT(ISNUMBER($K241))),AND($L241&lt;&gt;"",NOT(ISNUMBER($L241))),AND($N241&lt;&gt;"",NOT(ISNUMBER($N241))),AND($O241&lt;&gt;"",NOT(ISNUMBER($O241)))),"Ressource non numérique",IF(MIN(N($K241),N($L241),N($N241),N($O241))&lt;0,"Ressource négative",IF(OR(AND($AC241&lt;&gt;"",OR(NOT(ISNUMBER($AC241)),$AC241&lt;0,$AC241&gt;1)),AND($AD241&lt;&gt;"",OR(NOT(ISNUMBER($AD241)),$AD241&lt;0,$AD241&gt;1))),"Marge spécifique invalide (0–100 %)",IF(OR(AND($P241&lt;&gt;"",NOT(ISNUMBER($P241))),AND($Q241&lt;&gt;"",NOT(ISNUMBER($Q241))),AND($R241&lt;&gt;"",NOT(ISNUMBER($R241)))),"Mois invalide",IF(AND(OR($G241="À migrer",$G241="À décommissionner"),COUNTIFS(TblClusters[Cluster],$I241,TblClusters[Plateforme],"IKS")=0),"Cluster IKS inconnu",IF(AND(OR($G241="À migrer",$G241="Migré"),COUNTIFS(TblClusters[Cluster],$J241,TblClusters[Plateforme],"ROKS")=0),"Cluster ROKS inconnu",IF(AND(OR($G241="À migrer",$G241="À décommissionner"),COUNTIFS(TblClusters[Cluster],$I241,TblClusters[Environnement],$E241)=0),"Environnement ≠ cluster IKS",IF(AND(OR($G241="À migrer",$G241="Migré"),COUNTIFS(TblClusters[Cluster],$J241,TblClusters[Environnement],$E241)=0),"Environnement ≠ cluster ROKS",IF(AND($G241="À migrer",OR($P241&gt;$Q241,$Q241&gt;$R241)),"Dates incohérentes (prov ≤ bascule ≤ libération)",IF(AND(OR($G241="À migrer",$G241="À décommissionner"),OR(N($N241)&gt;SUMIFS(TblClusters[CPU initial (vCPU)],TblClusters[Cluster],$I241),N($O241)&gt;SUMIFS(TblClusters[RAM initiale (Go)],TblClusters[Cluster],$I241))),"Libération &gt; capacité du cluster source",IF(OR(AND($V241&lt;&gt;"",$V241&lt;p_debut),AND($W241&lt;&gt;"",$W241&gt;p_fin)),"Hors horizon (info)",IF(AND($G241="À migrer",$E241="PRD",COUNTIFS(TblApplications[ID],$C241,TblApplications[Environnement],"NPRD",TblApplications[Action],"À migrer")&gt;0,$V241&lt;_xlfn.MINIFS(TblApplications[Mois prov (calc)],TblApplications[ID],$C241,TblApplications[Environnement],"NPRD")),"PRD avant NPRD (info)","OK"))))))))))))))))))))</f>
        <v/>
      </c>
      <c r="AC241" s="76"/>
      <c r="AD241" s="76"/>
      <c r="AE241" s="22" t="str">
        <f aca="false">IF(OR($C241="",NOT(OR($G241="À migrer",$G241="À décommissionner")),NOT(ISNUMBER($N241)),NOT(ISNUMBER($O241)),$W241=""),"",($N241+p_poidsram*$O241)*SUMIFS(TblCalculs[Coût par unité],TblCalculs[Cluster],$I241,TblCalculs[Mois],"&lt;"&amp;$W241))</f>
        <v/>
      </c>
      <c r="AF241" s="22" t="str">
        <f aca="false">IF($C241="","",IF(AND($G241="À migrer",$H241="Non",$T241&lt;&gt;"",$V241&lt;&gt;""),($T241+p_poidsram*$U241)*SUMIFS(TblCalculs[Coût par unité],TblCalculs[Cluster],$J241,TblCalculs[Mois],"&gt;="&amp;$V241),IF(AND($G241="Migré",$T241&lt;&gt;""),($T241+p_poidsram*$U241)*SUMIFS(TblCalculs[Coût par unité],TblCalculs[Cluster],$J241),"")))</f>
        <v/>
      </c>
      <c r="AG241" s="22" t="str">
        <f aca="false">IF($C241="","",N($AE241)+N($AF241))</f>
        <v/>
      </c>
      <c r="AH241" s="21" t="str">
        <f aca="false">IF(OR($C241="",$G241="Décommissionné",COUNTIFS($E241,av_envc,$A241,av_domc,$B241,av_tric)=0),"",COUNTIFS($C$6:$C241,"&lt;&gt;",$G$6:$G241,"&lt;&gt;Décommissionné",$E$6:$E241,av_envc,$A$6:$A241,av_domc,$B$6:$B241,av_tric))</f>
        <v/>
      </c>
      <c r="AI241" s="21" t="str">
        <f aca="false">IF($C241="","",IF(AND(OR($G241="À migrer",$G241="À décommissionner"),$W241&lt;&gt;"",$W241&gt;ex_mois),1,0))</f>
        <v/>
      </c>
      <c r="AJ241" s="21" t="str">
        <f aca="false">IF(OR($C241="",$AI241&lt;&gt;1,COUNTIFS($E241,ex_envc,$A241,ex_domc,$B241,ex_tric)=0),"",COUNTIFS($AI$6:$AI241,1,$E$6:$E241,ex_envc,$A$6:$A241,ex_domc,$B$6:$B241,ex_tric))</f>
        <v/>
      </c>
    </row>
    <row r="242" customFormat="false" ht="15" hidden="false" customHeight="false" outlineLevel="0" collapsed="false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5"/>
      <c r="Q242" s="75"/>
      <c r="R242" s="75"/>
      <c r="S242" s="74"/>
      <c r="T242" s="21" t="str">
        <f aca="false">IF(OR($C242="",NOT(OR($G242="À migrer",$G242="Migré")),NOT(ISNUMBER($K242))),"",ROUNDUP($K242*(1+IF($AC242="",p_margeCPU,$AC242)),0))</f>
        <v/>
      </c>
      <c r="U242" s="21" t="str">
        <f aca="false">IF(OR($C242="",NOT(OR($G242="À migrer",$G242="Migré")),NOT(ISNUMBER($L242))),"",ROUNDUP($L242*(1+IF($AD242="",p_margeRAM,$AD242)),0))</f>
        <v/>
      </c>
      <c r="V242" s="39" t="str">
        <f aca="false">IF(OR(NOT($G242="À migrer"),$P242=""),"",IFERROR(DATE(YEAR($P242),MONTH($P242),1),""))</f>
        <v/>
      </c>
      <c r="W242" s="39" t="str">
        <f aca="false">IF(OR(NOT(OR($G242="À migrer",$G242="À décommissionner")),$R242=""),"",IFERROR(DATE(YEAR($R242),MONTH($R242),1),""))</f>
        <v/>
      </c>
      <c r="X242" s="21" t="str">
        <f aca="false">IF(OR($V242="",$W242=""),"",MAX(0,(YEAR($W242)-YEAR($V242))*12+MONTH($W242)-MONTH($V242)))</f>
        <v/>
      </c>
      <c r="Y242" s="21" t="str">
        <f aca="false">IF($C242="","",COUNTIF(TblApplications[ID],$C242))</f>
        <v/>
      </c>
      <c r="Z242" s="39" t="str">
        <f aca="false">IF($C242="","",IFERROR(1/(1/_xlfn.MINIFS(TblApplications[Mois prov (calc)],TblApplications[ID],$C242)),""))</f>
        <v/>
      </c>
      <c r="AA242" s="39" t="str">
        <f aca="false">IF($C242="","",IFERROR(1/(1/_xlfn.MAXIFS(TblApplications[Mois lib (calc)],TblApplications[ID],$C242)),""))</f>
        <v/>
      </c>
      <c r="AB242" s="21" t="str">
        <f aca="false">IF($C242="","",IF(OR(OR($A242="",$B242="",$D242="",$E242="",$F242="",$G242=""),AND($G242="À migrer",OR($H242="",$I242="",$J242="",$K242="",$L242="",$N242="",$O242="",$P242="",$Q242="",$R242="")),AND($G242="Migré",OR($J242="",$K242="",$L242="")),AND($G242="À décommissionner",OR($I242="",$N242="",$O242="",$R242=""))),"Données manquantes (selon l’action)",IF(AND($G242&lt;&gt;"Migré",$G242&lt;&gt;"À migrer",$G242&lt;&gt;"À décommissionner",$G242&lt;&gt;"Décommissionné"),"Action invalide",IF(COUNTIF(TblDomaines[Domaine],$A242)=0,"Domaine inconnu (référentiel)",IF(COUNTIFS(TblTribes[Tribe],$B242,TblTribes[Domaine de la tribe],$A242)=0,"Tribe inconnue ou hors domaine",IF(AND($G242="À migrer",$H242&lt;&gt;"Oui",$H242&lt;&gt;"Non"),"Valeur Oui/Non invalide (Déjà incluse ROKS)",IF(AND($E242&lt;&gt;"PRD",$E242&lt;&gt;"NPRD"),"Environnement invalide",IF(COUNTIFS(TblApplications[ID],$C242,TblApplications[Environnement],$E242,TblApplications[Couloir],$F242)&gt;1,"Déploiement en doublon (ID + env + couloir)",IF(OR(AND($K242&lt;&gt;"",NOT(ISNUMBER($K242))),AND($L242&lt;&gt;"",NOT(ISNUMBER($L242))),AND($N242&lt;&gt;"",NOT(ISNUMBER($N242))),AND($O242&lt;&gt;"",NOT(ISNUMBER($O242)))),"Ressource non numérique",IF(MIN(N($K242),N($L242),N($N242),N($O242))&lt;0,"Ressource négative",IF(OR(AND($AC242&lt;&gt;"",OR(NOT(ISNUMBER($AC242)),$AC242&lt;0,$AC242&gt;1)),AND($AD242&lt;&gt;"",OR(NOT(ISNUMBER($AD242)),$AD242&lt;0,$AD242&gt;1))),"Marge spécifique invalide (0–100 %)",IF(OR(AND($P242&lt;&gt;"",NOT(ISNUMBER($P242))),AND($Q242&lt;&gt;"",NOT(ISNUMBER($Q242))),AND($R242&lt;&gt;"",NOT(ISNUMBER($R242)))),"Mois invalide",IF(AND(OR($G242="À migrer",$G242="À décommissionner"),COUNTIFS(TblClusters[Cluster],$I242,TblClusters[Plateforme],"IKS")=0),"Cluster IKS inconnu",IF(AND(OR($G242="À migrer",$G242="Migré"),COUNTIFS(TblClusters[Cluster],$J242,TblClusters[Plateforme],"ROKS")=0),"Cluster ROKS inconnu",IF(AND(OR($G242="À migrer",$G242="À décommissionner"),COUNTIFS(TblClusters[Cluster],$I242,TblClusters[Environnement],$E242)=0),"Environnement ≠ cluster IKS",IF(AND(OR($G242="À migrer",$G242="Migré"),COUNTIFS(TblClusters[Cluster],$J242,TblClusters[Environnement],$E242)=0),"Environnement ≠ cluster ROKS",IF(AND($G242="À migrer",OR($P242&gt;$Q242,$Q242&gt;$R242)),"Dates incohérentes (prov ≤ bascule ≤ libération)",IF(AND(OR($G242="À migrer",$G242="À décommissionner"),OR(N($N242)&gt;SUMIFS(TblClusters[CPU initial (vCPU)],TblClusters[Cluster],$I242),N($O242)&gt;SUMIFS(TblClusters[RAM initiale (Go)],TblClusters[Cluster],$I242))),"Libération &gt; capacité du cluster source",IF(OR(AND($V242&lt;&gt;"",$V242&lt;p_debut),AND($W242&lt;&gt;"",$W242&gt;p_fin)),"Hors horizon (info)",IF(AND($G242="À migrer",$E242="PRD",COUNTIFS(TblApplications[ID],$C242,TblApplications[Environnement],"NPRD",TblApplications[Action],"À migrer")&gt;0,$V242&lt;_xlfn.MINIFS(TblApplications[Mois prov (calc)],TblApplications[ID],$C242,TblApplications[Environnement],"NPRD")),"PRD avant NPRD (info)","OK"))))))))))))))))))))</f>
        <v/>
      </c>
      <c r="AC242" s="76"/>
      <c r="AD242" s="76"/>
      <c r="AE242" s="22" t="str">
        <f aca="false">IF(OR($C242="",NOT(OR($G242="À migrer",$G242="À décommissionner")),NOT(ISNUMBER($N242)),NOT(ISNUMBER($O242)),$W242=""),"",($N242+p_poidsram*$O242)*SUMIFS(TblCalculs[Coût par unité],TblCalculs[Cluster],$I242,TblCalculs[Mois],"&lt;"&amp;$W242))</f>
        <v/>
      </c>
      <c r="AF242" s="22" t="str">
        <f aca="false">IF($C242="","",IF(AND($G242="À migrer",$H242="Non",$T242&lt;&gt;"",$V242&lt;&gt;""),($T242+p_poidsram*$U242)*SUMIFS(TblCalculs[Coût par unité],TblCalculs[Cluster],$J242,TblCalculs[Mois],"&gt;="&amp;$V242),IF(AND($G242="Migré",$T242&lt;&gt;""),($T242+p_poidsram*$U242)*SUMIFS(TblCalculs[Coût par unité],TblCalculs[Cluster],$J242),"")))</f>
        <v/>
      </c>
      <c r="AG242" s="22" t="str">
        <f aca="false">IF($C242="","",N($AE242)+N($AF242))</f>
        <v/>
      </c>
      <c r="AH242" s="21" t="str">
        <f aca="false">IF(OR($C242="",$G242="Décommissionné",COUNTIFS($E242,av_envc,$A242,av_domc,$B242,av_tric)=0),"",COUNTIFS($C$6:$C242,"&lt;&gt;",$G$6:$G242,"&lt;&gt;Décommissionné",$E$6:$E242,av_envc,$A$6:$A242,av_domc,$B$6:$B242,av_tric))</f>
        <v/>
      </c>
      <c r="AI242" s="21" t="str">
        <f aca="false">IF($C242="","",IF(AND(OR($G242="À migrer",$G242="À décommissionner"),$W242&lt;&gt;"",$W242&gt;ex_mois),1,0))</f>
        <v/>
      </c>
      <c r="AJ242" s="21" t="str">
        <f aca="false">IF(OR($C242="",$AI242&lt;&gt;1,COUNTIFS($E242,ex_envc,$A242,ex_domc,$B242,ex_tric)=0),"",COUNTIFS($AI$6:$AI242,1,$E$6:$E242,ex_envc,$A$6:$A242,ex_domc,$B$6:$B242,ex_tric))</f>
        <v/>
      </c>
    </row>
    <row r="243" customFormat="false" ht="15" hidden="false" customHeight="false" outlineLevel="0" collapsed="false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5"/>
      <c r="Q243" s="75"/>
      <c r="R243" s="75"/>
      <c r="S243" s="74"/>
      <c r="T243" s="21" t="str">
        <f aca="false">IF(OR($C243="",NOT(OR($G243="À migrer",$G243="Migré")),NOT(ISNUMBER($K243))),"",ROUNDUP($K243*(1+IF($AC243="",p_margeCPU,$AC243)),0))</f>
        <v/>
      </c>
      <c r="U243" s="21" t="str">
        <f aca="false">IF(OR($C243="",NOT(OR($G243="À migrer",$G243="Migré")),NOT(ISNUMBER($L243))),"",ROUNDUP($L243*(1+IF($AD243="",p_margeRAM,$AD243)),0))</f>
        <v/>
      </c>
      <c r="V243" s="39" t="str">
        <f aca="false">IF(OR(NOT($G243="À migrer"),$P243=""),"",IFERROR(DATE(YEAR($P243),MONTH($P243),1),""))</f>
        <v/>
      </c>
      <c r="W243" s="39" t="str">
        <f aca="false">IF(OR(NOT(OR($G243="À migrer",$G243="À décommissionner")),$R243=""),"",IFERROR(DATE(YEAR($R243),MONTH($R243),1),""))</f>
        <v/>
      </c>
      <c r="X243" s="21" t="str">
        <f aca="false">IF(OR($V243="",$W243=""),"",MAX(0,(YEAR($W243)-YEAR($V243))*12+MONTH($W243)-MONTH($V243)))</f>
        <v/>
      </c>
      <c r="Y243" s="21" t="str">
        <f aca="false">IF($C243="","",COUNTIF(TblApplications[ID],$C243))</f>
        <v/>
      </c>
      <c r="Z243" s="39" t="str">
        <f aca="false">IF($C243="","",IFERROR(1/(1/_xlfn.MINIFS(TblApplications[Mois prov (calc)],TblApplications[ID],$C243)),""))</f>
        <v/>
      </c>
      <c r="AA243" s="39" t="str">
        <f aca="false">IF($C243="","",IFERROR(1/(1/_xlfn.MAXIFS(TblApplications[Mois lib (calc)],TblApplications[ID],$C243)),""))</f>
        <v/>
      </c>
      <c r="AB243" s="21" t="str">
        <f aca="false">IF($C243="","",IF(OR(OR($A243="",$B243="",$D243="",$E243="",$F243="",$G243=""),AND($G243="À migrer",OR($H243="",$I243="",$J243="",$K243="",$L243="",$N243="",$O243="",$P243="",$Q243="",$R243="")),AND($G243="Migré",OR($J243="",$K243="",$L243="")),AND($G243="À décommissionner",OR($I243="",$N243="",$O243="",$R243=""))),"Données manquantes (selon l’action)",IF(AND($G243&lt;&gt;"Migré",$G243&lt;&gt;"À migrer",$G243&lt;&gt;"À décommissionner",$G243&lt;&gt;"Décommissionné"),"Action invalide",IF(COUNTIF(TblDomaines[Domaine],$A243)=0,"Domaine inconnu (référentiel)",IF(COUNTIFS(TblTribes[Tribe],$B243,TblTribes[Domaine de la tribe],$A243)=0,"Tribe inconnue ou hors domaine",IF(AND($G243="À migrer",$H243&lt;&gt;"Oui",$H243&lt;&gt;"Non"),"Valeur Oui/Non invalide (Déjà incluse ROKS)",IF(AND($E243&lt;&gt;"PRD",$E243&lt;&gt;"NPRD"),"Environnement invalide",IF(COUNTIFS(TblApplications[ID],$C243,TblApplications[Environnement],$E243,TblApplications[Couloir],$F243)&gt;1,"Déploiement en doublon (ID + env + couloir)",IF(OR(AND($K243&lt;&gt;"",NOT(ISNUMBER($K243))),AND($L243&lt;&gt;"",NOT(ISNUMBER($L243))),AND($N243&lt;&gt;"",NOT(ISNUMBER($N243))),AND($O243&lt;&gt;"",NOT(ISNUMBER($O243)))),"Ressource non numérique",IF(MIN(N($K243),N($L243),N($N243),N($O243))&lt;0,"Ressource négative",IF(OR(AND($AC243&lt;&gt;"",OR(NOT(ISNUMBER($AC243)),$AC243&lt;0,$AC243&gt;1)),AND($AD243&lt;&gt;"",OR(NOT(ISNUMBER($AD243)),$AD243&lt;0,$AD243&gt;1))),"Marge spécifique invalide (0–100 %)",IF(OR(AND($P243&lt;&gt;"",NOT(ISNUMBER($P243))),AND($Q243&lt;&gt;"",NOT(ISNUMBER($Q243))),AND($R243&lt;&gt;"",NOT(ISNUMBER($R243)))),"Mois invalide",IF(AND(OR($G243="À migrer",$G243="À décommissionner"),COUNTIFS(TblClusters[Cluster],$I243,TblClusters[Plateforme],"IKS")=0),"Cluster IKS inconnu",IF(AND(OR($G243="À migrer",$G243="Migré"),COUNTIFS(TblClusters[Cluster],$J243,TblClusters[Plateforme],"ROKS")=0),"Cluster ROKS inconnu",IF(AND(OR($G243="À migrer",$G243="À décommissionner"),COUNTIFS(TblClusters[Cluster],$I243,TblClusters[Environnement],$E243)=0),"Environnement ≠ cluster IKS",IF(AND(OR($G243="À migrer",$G243="Migré"),COUNTIFS(TblClusters[Cluster],$J243,TblClusters[Environnement],$E243)=0),"Environnement ≠ cluster ROKS",IF(AND($G243="À migrer",OR($P243&gt;$Q243,$Q243&gt;$R243)),"Dates incohérentes (prov ≤ bascule ≤ libération)",IF(AND(OR($G243="À migrer",$G243="À décommissionner"),OR(N($N243)&gt;SUMIFS(TblClusters[CPU initial (vCPU)],TblClusters[Cluster],$I243),N($O243)&gt;SUMIFS(TblClusters[RAM initiale (Go)],TblClusters[Cluster],$I243))),"Libération &gt; capacité du cluster source",IF(OR(AND($V243&lt;&gt;"",$V243&lt;p_debut),AND($W243&lt;&gt;"",$W243&gt;p_fin)),"Hors horizon (info)",IF(AND($G243="À migrer",$E243="PRD",COUNTIFS(TblApplications[ID],$C243,TblApplications[Environnement],"NPRD",TblApplications[Action],"À migrer")&gt;0,$V243&lt;_xlfn.MINIFS(TblApplications[Mois prov (calc)],TblApplications[ID],$C243,TblApplications[Environnement],"NPRD")),"PRD avant NPRD (info)","OK"))))))))))))))))))))</f>
        <v/>
      </c>
      <c r="AC243" s="76"/>
      <c r="AD243" s="76"/>
      <c r="AE243" s="22" t="str">
        <f aca="false">IF(OR($C243="",NOT(OR($G243="À migrer",$G243="À décommissionner")),NOT(ISNUMBER($N243)),NOT(ISNUMBER($O243)),$W243=""),"",($N243+p_poidsram*$O243)*SUMIFS(TblCalculs[Coût par unité],TblCalculs[Cluster],$I243,TblCalculs[Mois],"&lt;"&amp;$W243))</f>
        <v/>
      </c>
      <c r="AF243" s="22" t="str">
        <f aca="false">IF($C243="","",IF(AND($G243="À migrer",$H243="Non",$T243&lt;&gt;"",$V243&lt;&gt;""),($T243+p_poidsram*$U243)*SUMIFS(TblCalculs[Coût par unité],TblCalculs[Cluster],$J243,TblCalculs[Mois],"&gt;="&amp;$V243),IF(AND($G243="Migré",$T243&lt;&gt;""),($T243+p_poidsram*$U243)*SUMIFS(TblCalculs[Coût par unité],TblCalculs[Cluster],$J243),"")))</f>
        <v/>
      </c>
      <c r="AG243" s="22" t="str">
        <f aca="false">IF($C243="","",N($AE243)+N($AF243))</f>
        <v/>
      </c>
      <c r="AH243" s="21" t="str">
        <f aca="false">IF(OR($C243="",$G243="Décommissionné",COUNTIFS($E243,av_envc,$A243,av_domc,$B243,av_tric)=0),"",COUNTIFS($C$6:$C243,"&lt;&gt;",$G$6:$G243,"&lt;&gt;Décommissionné",$E$6:$E243,av_envc,$A$6:$A243,av_domc,$B$6:$B243,av_tric))</f>
        <v/>
      </c>
      <c r="AI243" s="21" t="str">
        <f aca="false">IF($C243="","",IF(AND(OR($G243="À migrer",$G243="À décommissionner"),$W243&lt;&gt;"",$W243&gt;ex_mois),1,0))</f>
        <v/>
      </c>
      <c r="AJ243" s="21" t="str">
        <f aca="false">IF(OR($C243="",$AI243&lt;&gt;1,COUNTIFS($E243,ex_envc,$A243,ex_domc,$B243,ex_tric)=0),"",COUNTIFS($AI$6:$AI243,1,$E$6:$E243,ex_envc,$A$6:$A243,ex_domc,$B$6:$B243,ex_tric))</f>
        <v/>
      </c>
    </row>
    <row r="244" customFormat="false" ht="15" hidden="false" customHeight="false" outlineLevel="0" collapsed="false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5"/>
      <c r="Q244" s="75"/>
      <c r="R244" s="75"/>
      <c r="S244" s="74"/>
      <c r="T244" s="21" t="str">
        <f aca="false">IF(OR($C244="",NOT(OR($G244="À migrer",$G244="Migré")),NOT(ISNUMBER($K244))),"",ROUNDUP($K244*(1+IF($AC244="",p_margeCPU,$AC244)),0))</f>
        <v/>
      </c>
      <c r="U244" s="21" t="str">
        <f aca="false">IF(OR($C244="",NOT(OR($G244="À migrer",$G244="Migré")),NOT(ISNUMBER($L244))),"",ROUNDUP($L244*(1+IF($AD244="",p_margeRAM,$AD244)),0))</f>
        <v/>
      </c>
      <c r="V244" s="39" t="str">
        <f aca="false">IF(OR(NOT($G244="À migrer"),$P244=""),"",IFERROR(DATE(YEAR($P244),MONTH($P244),1),""))</f>
        <v/>
      </c>
      <c r="W244" s="39" t="str">
        <f aca="false">IF(OR(NOT(OR($G244="À migrer",$G244="À décommissionner")),$R244=""),"",IFERROR(DATE(YEAR($R244),MONTH($R244),1),""))</f>
        <v/>
      </c>
      <c r="X244" s="21" t="str">
        <f aca="false">IF(OR($V244="",$W244=""),"",MAX(0,(YEAR($W244)-YEAR($V244))*12+MONTH($W244)-MONTH($V244)))</f>
        <v/>
      </c>
      <c r="Y244" s="21" t="str">
        <f aca="false">IF($C244="","",COUNTIF(TblApplications[ID],$C244))</f>
        <v/>
      </c>
      <c r="Z244" s="39" t="str">
        <f aca="false">IF($C244="","",IFERROR(1/(1/_xlfn.MINIFS(TblApplications[Mois prov (calc)],TblApplications[ID],$C244)),""))</f>
        <v/>
      </c>
      <c r="AA244" s="39" t="str">
        <f aca="false">IF($C244="","",IFERROR(1/(1/_xlfn.MAXIFS(TblApplications[Mois lib (calc)],TblApplications[ID],$C244)),""))</f>
        <v/>
      </c>
      <c r="AB244" s="21" t="str">
        <f aca="false">IF($C244="","",IF(OR(OR($A244="",$B244="",$D244="",$E244="",$F244="",$G244=""),AND($G244="À migrer",OR($H244="",$I244="",$J244="",$K244="",$L244="",$N244="",$O244="",$P244="",$Q244="",$R244="")),AND($G244="Migré",OR($J244="",$K244="",$L244="")),AND($G244="À décommissionner",OR($I244="",$N244="",$O244="",$R244=""))),"Données manquantes (selon l’action)",IF(AND($G244&lt;&gt;"Migré",$G244&lt;&gt;"À migrer",$G244&lt;&gt;"À décommissionner",$G244&lt;&gt;"Décommissionné"),"Action invalide",IF(COUNTIF(TblDomaines[Domaine],$A244)=0,"Domaine inconnu (référentiel)",IF(COUNTIFS(TblTribes[Tribe],$B244,TblTribes[Domaine de la tribe],$A244)=0,"Tribe inconnue ou hors domaine",IF(AND($G244="À migrer",$H244&lt;&gt;"Oui",$H244&lt;&gt;"Non"),"Valeur Oui/Non invalide (Déjà incluse ROKS)",IF(AND($E244&lt;&gt;"PRD",$E244&lt;&gt;"NPRD"),"Environnement invalide",IF(COUNTIFS(TblApplications[ID],$C244,TblApplications[Environnement],$E244,TblApplications[Couloir],$F244)&gt;1,"Déploiement en doublon (ID + env + couloir)",IF(OR(AND($K244&lt;&gt;"",NOT(ISNUMBER($K244))),AND($L244&lt;&gt;"",NOT(ISNUMBER($L244))),AND($N244&lt;&gt;"",NOT(ISNUMBER($N244))),AND($O244&lt;&gt;"",NOT(ISNUMBER($O244)))),"Ressource non numérique",IF(MIN(N($K244),N($L244),N($N244),N($O244))&lt;0,"Ressource négative",IF(OR(AND($AC244&lt;&gt;"",OR(NOT(ISNUMBER($AC244)),$AC244&lt;0,$AC244&gt;1)),AND($AD244&lt;&gt;"",OR(NOT(ISNUMBER($AD244)),$AD244&lt;0,$AD244&gt;1))),"Marge spécifique invalide (0–100 %)",IF(OR(AND($P244&lt;&gt;"",NOT(ISNUMBER($P244))),AND($Q244&lt;&gt;"",NOT(ISNUMBER($Q244))),AND($R244&lt;&gt;"",NOT(ISNUMBER($R244)))),"Mois invalide",IF(AND(OR($G244="À migrer",$G244="À décommissionner"),COUNTIFS(TblClusters[Cluster],$I244,TblClusters[Plateforme],"IKS")=0),"Cluster IKS inconnu",IF(AND(OR($G244="À migrer",$G244="Migré"),COUNTIFS(TblClusters[Cluster],$J244,TblClusters[Plateforme],"ROKS")=0),"Cluster ROKS inconnu",IF(AND(OR($G244="À migrer",$G244="À décommissionner"),COUNTIFS(TblClusters[Cluster],$I244,TblClusters[Environnement],$E244)=0),"Environnement ≠ cluster IKS",IF(AND(OR($G244="À migrer",$G244="Migré"),COUNTIFS(TblClusters[Cluster],$J244,TblClusters[Environnement],$E244)=0),"Environnement ≠ cluster ROKS",IF(AND($G244="À migrer",OR($P244&gt;$Q244,$Q244&gt;$R244)),"Dates incohérentes (prov ≤ bascule ≤ libération)",IF(AND(OR($G244="À migrer",$G244="À décommissionner"),OR(N($N244)&gt;SUMIFS(TblClusters[CPU initial (vCPU)],TblClusters[Cluster],$I244),N($O244)&gt;SUMIFS(TblClusters[RAM initiale (Go)],TblClusters[Cluster],$I244))),"Libération &gt; capacité du cluster source",IF(OR(AND($V244&lt;&gt;"",$V244&lt;p_debut),AND($W244&lt;&gt;"",$W244&gt;p_fin)),"Hors horizon (info)",IF(AND($G244="À migrer",$E244="PRD",COUNTIFS(TblApplications[ID],$C244,TblApplications[Environnement],"NPRD",TblApplications[Action],"À migrer")&gt;0,$V244&lt;_xlfn.MINIFS(TblApplications[Mois prov (calc)],TblApplications[ID],$C244,TblApplications[Environnement],"NPRD")),"PRD avant NPRD (info)","OK"))))))))))))))))))))</f>
        <v/>
      </c>
      <c r="AC244" s="76"/>
      <c r="AD244" s="76"/>
      <c r="AE244" s="22" t="str">
        <f aca="false">IF(OR($C244="",NOT(OR($G244="À migrer",$G244="À décommissionner")),NOT(ISNUMBER($N244)),NOT(ISNUMBER($O244)),$W244=""),"",($N244+p_poidsram*$O244)*SUMIFS(TblCalculs[Coût par unité],TblCalculs[Cluster],$I244,TblCalculs[Mois],"&lt;"&amp;$W244))</f>
        <v/>
      </c>
      <c r="AF244" s="22" t="str">
        <f aca="false">IF($C244="","",IF(AND($G244="À migrer",$H244="Non",$T244&lt;&gt;"",$V244&lt;&gt;""),($T244+p_poidsram*$U244)*SUMIFS(TblCalculs[Coût par unité],TblCalculs[Cluster],$J244,TblCalculs[Mois],"&gt;="&amp;$V244),IF(AND($G244="Migré",$T244&lt;&gt;""),($T244+p_poidsram*$U244)*SUMIFS(TblCalculs[Coût par unité],TblCalculs[Cluster],$J244),"")))</f>
        <v/>
      </c>
      <c r="AG244" s="22" t="str">
        <f aca="false">IF($C244="","",N($AE244)+N($AF244))</f>
        <v/>
      </c>
      <c r="AH244" s="21" t="str">
        <f aca="false">IF(OR($C244="",$G244="Décommissionné",COUNTIFS($E244,av_envc,$A244,av_domc,$B244,av_tric)=0),"",COUNTIFS($C$6:$C244,"&lt;&gt;",$G$6:$G244,"&lt;&gt;Décommissionné",$E$6:$E244,av_envc,$A$6:$A244,av_domc,$B$6:$B244,av_tric))</f>
        <v/>
      </c>
      <c r="AI244" s="21" t="str">
        <f aca="false">IF($C244="","",IF(AND(OR($G244="À migrer",$G244="À décommissionner"),$W244&lt;&gt;"",$W244&gt;ex_mois),1,0))</f>
        <v/>
      </c>
      <c r="AJ244" s="21" t="str">
        <f aca="false">IF(OR($C244="",$AI244&lt;&gt;1,COUNTIFS($E244,ex_envc,$A244,ex_domc,$B244,ex_tric)=0),"",COUNTIFS($AI$6:$AI244,1,$E$6:$E244,ex_envc,$A$6:$A244,ex_domc,$B$6:$B244,ex_tric))</f>
        <v/>
      </c>
    </row>
    <row r="245" customFormat="false" ht="15" hidden="false" customHeight="false" outlineLevel="0" collapsed="false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5"/>
      <c r="Q245" s="75"/>
      <c r="R245" s="75"/>
      <c r="S245" s="74"/>
      <c r="T245" s="21" t="str">
        <f aca="false">IF(OR($C245="",NOT(OR($G245="À migrer",$G245="Migré")),NOT(ISNUMBER($K245))),"",ROUNDUP($K245*(1+IF($AC245="",p_margeCPU,$AC245)),0))</f>
        <v/>
      </c>
      <c r="U245" s="21" t="str">
        <f aca="false">IF(OR($C245="",NOT(OR($G245="À migrer",$G245="Migré")),NOT(ISNUMBER($L245))),"",ROUNDUP($L245*(1+IF($AD245="",p_margeRAM,$AD245)),0))</f>
        <v/>
      </c>
      <c r="V245" s="39" t="str">
        <f aca="false">IF(OR(NOT($G245="À migrer"),$P245=""),"",IFERROR(DATE(YEAR($P245),MONTH($P245),1),""))</f>
        <v/>
      </c>
      <c r="W245" s="39" t="str">
        <f aca="false">IF(OR(NOT(OR($G245="À migrer",$G245="À décommissionner")),$R245=""),"",IFERROR(DATE(YEAR($R245),MONTH($R245),1),""))</f>
        <v/>
      </c>
      <c r="X245" s="21" t="str">
        <f aca="false">IF(OR($V245="",$W245=""),"",MAX(0,(YEAR($W245)-YEAR($V245))*12+MONTH($W245)-MONTH($V245)))</f>
        <v/>
      </c>
      <c r="Y245" s="21" t="str">
        <f aca="false">IF($C245="","",COUNTIF(TblApplications[ID],$C245))</f>
        <v/>
      </c>
      <c r="Z245" s="39" t="str">
        <f aca="false">IF($C245="","",IFERROR(1/(1/_xlfn.MINIFS(TblApplications[Mois prov (calc)],TblApplications[ID],$C245)),""))</f>
        <v/>
      </c>
      <c r="AA245" s="39" t="str">
        <f aca="false">IF($C245="","",IFERROR(1/(1/_xlfn.MAXIFS(TblApplications[Mois lib (calc)],TblApplications[ID],$C245)),""))</f>
        <v/>
      </c>
      <c r="AB245" s="21" t="str">
        <f aca="false">IF($C245="","",IF(OR(OR($A245="",$B245="",$D245="",$E245="",$F245="",$G245=""),AND($G245="À migrer",OR($H245="",$I245="",$J245="",$K245="",$L245="",$N245="",$O245="",$P245="",$Q245="",$R245="")),AND($G245="Migré",OR($J245="",$K245="",$L245="")),AND($G245="À décommissionner",OR($I245="",$N245="",$O245="",$R245=""))),"Données manquantes (selon l’action)",IF(AND($G245&lt;&gt;"Migré",$G245&lt;&gt;"À migrer",$G245&lt;&gt;"À décommissionner",$G245&lt;&gt;"Décommissionné"),"Action invalide",IF(COUNTIF(TblDomaines[Domaine],$A245)=0,"Domaine inconnu (référentiel)",IF(COUNTIFS(TblTribes[Tribe],$B245,TblTribes[Domaine de la tribe],$A245)=0,"Tribe inconnue ou hors domaine",IF(AND($G245="À migrer",$H245&lt;&gt;"Oui",$H245&lt;&gt;"Non"),"Valeur Oui/Non invalide (Déjà incluse ROKS)",IF(AND($E245&lt;&gt;"PRD",$E245&lt;&gt;"NPRD"),"Environnement invalide",IF(COUNTIFS(TblApplications[ID],$C245,TblApplications[Environnement],$E245,TblApplications[Couloir],$F245)&gt;1,"Déploiement en doublon (ID + env + couloir)",IF(OR(AND($K245&lt;&gt;"",NOT(ISNUMBER($K245))),AND($L245&lt;&gt;"",NOT(ISNUMBER($L245))),AND($N245&lt;&gt;"",NOT(ISNUMBER($N245))),AND($O245&lt;&gt;"",NOT(ISNUMBER($O245)))),"Ressource non numérique",IF(MIN(N($K245),N($L245),N($N245),N($O245))&lt;0,"Ressource négative",IF(OR(AND($AC245&lt;&gt;"",OR(NOT(ISNUMBER($AC245)),$AC245&lt;0,$AC245&gt;1)),AND($AD245&lt;&gt;"",OR(NOT(ISNUMBER($AD245)),$AD245&lt;0,$AD245&gt;1))),"Marge spécifique invalide (0–100 %)",IF(OR(AND($P245&lt;&gt;"",NOT(ISNUMBER($P245))),AND($Q245&lt;&gt;"",NOT(ISNUMBER($Q245))),AND($R245&lt;&gt;"",NOT(ISNUMBER($R245)))),"Mois invalide",IF(AND(OR($G245="À migrer",$G245="À décommissionner"),COUNTIFS(TblClusters[Cluster],$I245,TblClusters[Plateforme],"IKS")=0),"Cluster IKS inconnu",IF(AND(OR($G245="À migrer",$G245="Migré"),COUNTIFS(TblClusters[Cluster],$J245,TblClusters[Plateforme],"ROKS")=0),"Cluster ROKS inconnu",IF(AND(OR($G245="À migrer",$G245="À décommissionner"),COUNTIFS(TblClusters[Cluster],$I245,TblClusters[Environnement],$E245)=0),"Environnement ≠ cluster IKS",IF(AND(OR($G245="À migrer",$G245="Migré"),COUNTIFS(TblClusters[Cluster],$J245,TblClusters[Environnement],$E245)=0),"Environnement ≠ cluster ROKS",IF(AND($G245="À migrer",OR($P245&gt;$Q245,$Q245&gt;$R245)),"Dates incohérentes (prov ≤ bascule ≤ libération)",IF(AND(OR($G245="À migrer",$G245="À décommissionner"),OR(N($N245)&gt;SUMIFS(TblClusters[CPU initial (vCPU)],TblClusters[Cluster],$I245),N($O245)&gt;SUMIFS(TblClusters[RAM initiale (Go)],TblClusters[Cluster],$I245))),"Libération &gt; capacité du cluster source",IF(OR(AND($V245&lt;&gt;"",$V245&lt;p_debut),AND($W245&lt;&gt;"",$W245&gt;p_fin)),"Hors horizon (info)",IF(AND($G245="À migrer",$E245="PRD",COUNTIFS(TblApplications[ID],$C245,TblApplications[Environnement],"NPRD",TblApplications[Action],"À migrer")&gt;0,$V245&lt;_xlfn.MINIFS(TblApplications[Mois prov (calc)],TblApplications[ID],$C245,TblApplications[Environnement],"NPRD")),"PRD avant NPRD (info)","OK"))))))))))))))))))))</f>
        <v/>
      </c>
      <c r="AC245" s="76"/>
      <c r="AD245" s="76"/>
      <c r="AE245" s="22" t="str">
        <f aca="false">IF(OR($C245="",NOT(OR($G245="À migrer",$G245="À décommissionner")),NOT(ISNUMBER($N245)),NOT(ISNUMBER($O245)),$W245=""),"",($N245+p_poidsram*$O245)*SUMIFS(TblCalculs[Coût par unité],TblCalculs[Cluster],$I245,TblCalculs[Mois],"&lt;"&amp;$W245))</f>
        <v/>
      </c>
      <c r="AF245" s="22" t="str">
        <f aca="false">IF($C245="","",IF(AND($G245="À migrer",$H245="Non",$T245&lt;&gt;"",$V245&lt;&gt;""),($T245+p_poidsram*$U245)*SUMIFS(TblCalculs[Coût par unité],TblCalculs[Cluster],$J245,TblCalculs[Mois],"&gt;="&amp;$V245),IF(AND($G245="Migré",$T245&lt;&gt;""),($T245+p_poidsram*$U245)*SUMIFS(TblCalculs[Coût par unité],TblCalculs[Cluster],$J245),"")))</f>
        <v/>
      </c>
      <c r="AG245" s="22" t="str">
        <f aca="false">IF($C245="","",N($AE245)+N($AF245))</f>
        <v/>
      </c>
      <c r="AH245" s="21" t="str">
        <f aca="false">IF(OR($C245="",$G245="Décommissionné",COUNTIFS($E245,av_envc,$A245,av_domc,$B245,av_tric)=0),"",COUNTIFS($C$6:$C245,"&lt;&gt;",$G$6:$G245,"&lt;&gt;Décommissionné",$E$6:$E245,av_envc,$A$6:$A245,av_domc,$B$6:$B245,av_tric))</f>
        <v/>
      </c>
      <c r="AI245" s="21" t="str">
        <f aca="false">IF($C245="","",IF(AND(OR($G245="À migrer",$G245="À décommissionner"),$W245&lt;&gt;"",$W245&gt;ex_mois),1,0))</f>
        <v/>
      </c>
      <c r="AJ245" s="21" t="str">
        <f aca="false">IF(OR($C245="",$AI245&lt;&gt;1,COUNTIFS($E245,ex_envc,$A245,ex_domc,$B245,ex_tric)=0),"",COUNTIFS($AI$6:$AI245,1,$E$6:$E245,ex_envc,$A$6:$A245,ex_domc,$B$6:$B245,ex_tric))</f>
        <v/>
      </c>
    </row>
    <row r="246" customFormat="false" ht="15" hidden="false" customHeight="false" outlineLevel="0" collapsed="false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5"/>
      <c r="Q246" s="75"/>
      <c r="R246" s="75"/>
      <c r="S246" s="74"/>
      <c r="T246" s="21" t="str">
        <f aca="false">IF(OR($C246="",NOT(OR($G246="À migrer",$G246="Migré")),NOT(ISNUMBER($K246))),"",ROUNDUP($K246*(1+IF($AC246="",p_margeCPU,$AC246)),0))</f>
        <v/>
      </c>
      <c r="U246" s="21" t="str">
        <f aca="false">IF(OR($C246="",NOT(OR($G246="À migrer",$G246="Migré")),NOT(ISNUMBER($L246))),"",ROUNDUP($L246*(1+IF($AD246="",p_margeRAM,$AD246)),0))</f>
        <v/>
      </c>
      <c r="V246" s="39" t="str">
        <f aca="false">IF(OR(NOT($G246="À migrer"),$P246=""),"",IFERROR(DATE(YEAR($P246),MONTH($P246),1),""))</f>
        <v/>
      </c>
      <c r="W246" s="39" t="str">
        <f aca="false">IF(OR(NOT(OR($G246="À migrer",$G246="À décommissionner")),$R246=""),"",IFERROR(DATE(YEAR($R246),MONTH($R246),1),""))</f>
        <v/>
      </c>
      <c r="X246" s="21" t="str">
        <f aca="false">IF(OR($V246="",$W246=""),"",MAX(0,(YEAR($W246)-YEAR($V246))*12+MONTH($W246)-MONTH($V246)))</f>
        <v/>
      </c>
      <c r="Y246" s="21" t="str">
        <f aca="false">IF($C246="","",COUNTIF(TblApplications[ID],$C246))</f>
        <v/>
      </c>
      <c r="Z246" s="39" t="str">
        <f aca="false">IF($C246="","",IFERROR(1/(1/_xlfn.MINIFS(TblApplications[Mois prov (calc)],TblApplications[ID],$C246)),""))</f>
        <v/>
      </c>
      <c r="AA246" s="39" t="str">
        <f aca="false">IF($C246="","",IFERROR(1/(1/_xlfn.MAXIFS(TblApplications[Mois lib (calc)],TblApplications[ID],$C246)),""))</f>
        <v/>
      </c>
      <c r="AB246" s="21" t="str">
        <f aca="false">IF($C246="","",IF(OR(OR($A246="",$B246="",$D246="",$E246="",$F246="",$G246=""),AND($G246="À migrer",OR($H246="",$I246="",$J246="",$K246="",$L246="",$N246="",$O246="",$P246="",$Q246="",$R246="")),AND($G246="Migré",OR($J246="",$K246="",$L246="")),AND($G246="À décommissionner",OR($I246="",$N246="",$O246="",$R246=""))),"Données manquantes (selon l’action)",IF(AND($G246&lt;&gt;"Migré",$G246&lt;&gt;"À migrer",$G246&lt;&gt;"À décommissionner",$G246&lt;&gt;"Décommissionné"),"Action invalide",IF(COUNTIF(TblDomaines[Domaine],$A246)=0,"Domaine inconnu (référentiel)",IF(COUNTIFS(TblTribes[Tribe],$B246,TblTribes[Domaine de la tribe],$A246)=0,"Tribe inconnue ou hors domaine",IF(AND($G246="À migrer",$H246&lt;&gt;"Oui",$H246&lt;&gt;"Non"),"Valeur Oui/Non invalide (Déjà incluse ROKS)",IF(AND($E246&lt;&gt;"PRD",$E246&lt;&gt;"NPRD"),"Environnement invalide",IF(COUNTIFS(TblApplications[ID],$C246,TblApplications[Environnement],$E246,TblApplications[Couloir],$F246)&gt;1,"Déploiement en doublon (ID + env + couloir)",IF(OR(AND($K246&lt;&gt;"",NOT(ISNUMBER($K246))),AND($L246&lt;&gt;"",NOT(ISNUMBER($L246))),AND($N246&lt;&gt;"",NOT(ISNUMBER($N246))),AND($O246&lt;&gt;"",NOT(ISNUMBER($O246)))),"Ressource non numérique",IF(MIN(N($K246),N($L246),N($N246),N($O246))&lt;0,"Ressource négative",IF(OR(AND($AC246&lt;&gt;"",OR(NOT(ISNUMBER($AC246)),$AC246&lt;0,$AC246&gt;1)),AND($AD246&lt;&gt;"",OR(NOT(ISNUMBER($AD246)),$AD246&lt;0,$AD246&gt;1))),"Marge spécifique invalide (0–100 %)",IF(OR(AND($P246&lt;&gt;"",NOT(ISNUMBER($P246))),AND($Q246&lt;&gt;"",NOT(ISNUMBER($Q246))),AND($R246&lt;&gt;"",NOT(ISNUMBER($R246)))),"Mois invalide",IF(AND(OR($G246="À migrer",$G246="À décommissionner"),COUNTIFS(TblClusters[Cluster],$I246,TblClusters[Plateforme],"IKS")=0),"Cluster IKS inconnu",IF(AND(OR($G246="À migrer",$G246="Migré"),COUNTIFS(TblClusters[Cluster],$J246,TblClusters[Plateforme],"ROKS")=0),"Cluster ROKS inconnu",IF(AND(OR($G246="À migrer",$G246="À décommissionner"),COUNTIFS(TblClusters[Cluster],$I246,TblClusters[Environnement],$E246)=0),"Environnement ≠ cluster IKS",IF(AND(OR($G246="À migrer",$G246="Migré"),COUNTIFS(TblClusters[Cluster],$J246,TblClusters[Environnement],$E246)=0),"Environnement ≠ cluster ROKS",IF(AND($G246="À migrer",OR($P246&gt;$Q246,$Q246&gt;$R246)),"Dates incohérentes (prov ≤ bascule ≤ libération)",IF(AND(OR($G246="À migrer",$G246="À décommissionner"),OR(N($N246)&gt;SUMIFS(TblClusters[CPU initial (vCPU)],TblClusters[Cluster],$I246),N($O246)&gt;SUMIFS(TblClusters[RAM initiale (Go)],TblClusters[Cluster],$I246))),"Libération &gt; capacité du cluster source",IF(OR(AND($V246&lt;&gt;"",$V246&lt;p_debut),AND($W246&lt;&gt;"",$W246&gt;p_fin)),"Hors horizon (info)",IF(AND($G246="À migrer",$E246="PRD",COUNTIFS(TblApplications[ID],$C246,TblApplications[Environnement],"NPRD",TblApplications[Action],"À migrer")&gt;0,$V246&lt;_xlfn.MINIFS(TblApplications[Mois prov (calc)],TblApplications[ID],$C246,TblApplications[Environnement],"NPRD")),"PRD avant NPRD (info)","OK"))))))))))))))))))))</f>
        <v/>
      </c>
      <c r="AC246" s="76"/>
      <c r="AD246" s="76"/>
      <c r="AE246" s="22" t="str">
        <f aca="false">IF(OR($C246="",NOT(OR($G246="À migrer",$G246="À décommissionner")),NOT(ISNUMBER($N246)),NOT(ISNUMBER($O246)),$W246=""),"",($N246+p_poidsram*$O246)*SUMIFS(TblCalculs[Coût par unité],TblCalculs[Cluster],$I246,TblCalculs[Mois],"&lt;"&amp;$W246))</f>
        <v/>
      </c>
      <c r="AF246" s="22" t="str">
        <f aca="false">IF($C246="","",IF(AND($G246="À migrer",$H246="Non",$T246&lt;&gt;"",$V246&lt;&gt;""),($T246+p_poidsram*$U246)*SUMIFS(TblCalculs[Coût par unité],TblCalculs[Cluster],$J246,TblCalculs[Mois],"&gt;="&amp;$V246),IF(AND($G246="Migré",$T246&lt;&gt;""),($T246+p_poidsram*$U246)*SUMIFS(TblCalculs[Coût par unité],TblCalculs[Cluster],$J246),"")))</f>
        <v/>
      </c>
      <c r="AG246" s="22" t="str">
        <f aca="false">IF($C246="","",N($AE246)+N($AF246))</f>
        <v/>
      </c>
      <c r="AH246" s="21" t="str">
        <f aca="false">IF(OR($C246="",$G246="Décommissionné",COUNTIFS($E246,av_envc,$A246,av_domc,$B246,av_tric)=0),"",COUNTIFS($C$6:$C246,"&lt;&gt;",$G$6:$G246,"&lt;&gt;Décommissionné",$E$6:$E246,av_envc,$A$6:$A246,av_domc,$B$6:$B246,av_tric))</f>
        <v/>
      </c>
      <c r="AI246" s="21" t="str">
        <f aca="false">IF($C246="","",IF(AND(OR($G246="À migrer",$G246="À décommissionner"),$W246&lt;&gt;"",$W246&gt;ex_mois),1,0))</f>
        <v/>
      </c>
      <c r="AJ246" s="21" t="str">
        <f aca="false">IF(OR($C246="",$AI246&lt;&gt;1,COUNTIFS($E246,ex_envc,$A246,ex_domc,$B246,ex_tric)=0),"",COUNTIFS($AI$6:$AI246,1,$E$6:$E246,ex_envc,$A$6:$A246,ex_domc,$B$6:$B246,ex_tric))</f>
        <v/>
      </c>
    </row>
    <row r="247" customFormat="false" ht="15" hidden="false" customHeight="false" outlineLevel="0" collapsed="false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5"/>
      <c r="Q247" s="75"/>
      <c r="R247" s="75"/>
      <c r="S247" s="74"/>
      <c r="T247" s="21" t="str">
        <f aca="false">IF(OR($C247="",NOT(OR($G247="À migrer",$G247="Migré")),NOT(ISNUMBER($K247))),"",ROUNDUP($K247*(1+IF($AC247="",p_margeCPU,$AC247)),0))</f>
        <v/>
      </c>
      <c r="U247" s="21" t="str">
        <f aca="false">IF(OR($C247="",NOT(OR($G247="À migrer",$G247="Migré")),NOT(ISNUMBER($L247))),"",ROUNDUP($L247*(1+IF($AD247="",p_margeRAM,$AD247)),0))</f>
        <v/>
      </c>
      <c r="V247" s="39" t="str">
        <f aca="false">IF(OR(NOT($G247="À migrer"),$P247=""),"",IFERROR(DATE(YEAR($P247),MONTH($P247),1),""))</f>
        <v/>
      </c>
      <c r="W247" s="39" t="str">
        <f aca="false">IF(OR(NOT(OR($G247="À migrer",$G247="À décommissionner")),$R247=""),"",IFERROR(DATE(YEAR($R247),MONTH($R247),1),""))</f>
        <v/>
      </c>
      <c r="X247" s="21" t="str">
        <f aca="false">IF(OR($V247="",$W247=""),"",MAX(0,(YEAR($W247)-YEAR($V247))*12+MONTH($W247)-MONTH($V247)))</f>
        <v/>
      </c>
      <c r="Y247" s="21" t="str">
        <f aca="false">IF($C247="","",COUNTIF(TblApplications[ID],$C247))</f>
        <v/>
      </c>
      <c r="Z247" s="39" t="str">
        <f aca="false">IF($C247="","",IFERROR(1/(1/_xlfn.MINIFS(TblApplications[Mois prov (calc)],TblApplications[ID],$C247)),""))</f>
        <v/>
      </c>
      <c r="AA247" s="39" t="str">
        <f aca="false">IF($C247="","",IFERROR(1/(1/_xlfn.MAXIFS(TblApplications[Mois lib (calc)],TblApplications[ID],$C247)),""))</f>
        <v/>
      </c>
      <c r="AB247" s="21" t="str">
        <f aca="false">IF($C247="","",IF(OR(OR($A247="",$B247="",$D247="",$E247="",$F247="",$G247=""),AND($G247="À migrer",OR($H247="",$I247="",$J247="",$K247="",$L247="",$N247="",$O247="",$P247="",$Q247="",$R247="")),AND($G247="Migré",OR($J247="",$K247="",$L247="")),AND($G247="À décommissionner",OR($I247="",$N247="",$O247="",$R247=""))),"Données manquantes (selon l’action)",IF(AND($G247&lt;&gt;"Migré",$G247&lt;&gt;"À migrer",$G247&lt;&gt;"À décommissionner",$G247&lt;&gt;"Décommissionné"),"Action invalide",IF(COUNTIF(TblDomaines[Domaine],$A247)=0,"Domaine inconnu (référentiel)",IF(COUNTIFS(TblTribes[Tribe],$B247,TblTribes[Domaine de la tribe],$A247)=0,"Tribe inconnue ou hors domaine",IF(AND($G247="À migrer",$H247&lt;&gt;"Oui",$H247&lt;&gt;"Non"),"Valeur Oui/Non invalide (Déjà incluse ROKS)",IF(AND($E247&lt;&gt;"PRD",$E247&lt;&gt;"NPRD"),"Environnement invalide",IF(COUNTIFS(TblApplications[ID],$C247,TblApplications[Environnement],$E247,TblApplications[Couloir],$F247)&gt;1,"Déploiement en doublon (ID + env + couloir)",IF(OR(AND($K247&lt;&gt;"",NOT(ISNUMBER($K247))),AND($L247&lt;&gt;"",NOT(ISNUMBER($L247))),AND($N247&lt;&gt;"",NOT(ISNUMBER($N247))),AND($O247&lt;&gt;"",NOT(ISNUMBER($O247)))),"Ressource non numérique",IF(MIN(N($K247),N($L247),N($N247),N($O247))&lt;0,"Ressource négative",IF(OR(AND($AC247&lt;&gt;"",OR(NOT(ISNUMBER($AC247)),$AC247&lt;0,$AC247&gt;1)),AND($AD247&lt;&gt;"",OR(NOT(ISNUMBER($AD247)),$AD247&lt;0,$AD247&gt;1))),"Marge spécifique invalide (0–100 %)",IF(OR(AND($P247&lt;&gt;"",NOT(ISNUMBER($P247))),AND($Q247&lt;&gt;"",NOT(ISNUMBER($Q247))),AND($R247&lt;&gt;"",NOT(ISNUMBER($R247)))),"Mois invalide",IF(AND(OR($G247="À migrer",$G247="À décommissionner"),COUNTIFS(TblClusters[Cluster],$I247,TblClusters[Plateforme],"IKS")=0),"Cluster IKS inconnu",IF(AND(OR($G247="À migrer",$G247="Migré"),COUNTIFS(TblClusters[Cluster],$J247,TblClusters[Plateforme],"ROKS")=0),"Cluster ROKS inconnu",IF(AND(OR($G247="À migrer",$G247="À décommissionner"),COUNTIFS(TblClusters[Cluster],$I247,TblClusters[Environnement],$E247)=0),"Environnement ≠ cluster IKS",IF(AND(OR($G247="À migrer",$G247="Migré"),COUNTIFS(TblClusters[Cluster],$J247,TblClusters[Environnement],$E247)=0),"Environnement ≠ cluster ROKS",IF(AND($G247="À migrer",OR($P247&gt;$Q247,$Q247&gt;$R247)),"Dates incohérentes (prov ≤ bascule ≤ libération)",IF(AND(OR($G247="À migrer",$G247="À décommissionner"),OR(N($N247)&gt;SUMIFS(TblClusters[CPU initial (vCPU)],TblClusters[Cluster],$I247),N($O247)&gt;SUMIFS(TblClusters[RAM initiale (Go)],TblClusters[Cluster],$I247))),"Libération &gt; capacité du cluster source",IF(OR(AND($V247&lt;&gt;"",$V247&lt;p_debut),AND($W247&lt;&gt;"",$W247&gt;p_fin)),"Hors horizon (info)",IF(AND($G247="À migrer",$E247="PRD",COUNTIFS(TblApplications[ID],$C247,TblApplications[Environnement],"NPRD",TblApplications[Action],"À migrer")&gt;0,$V247&lt;_xlfn.MINIFS(TblApplications[Mois prov (calc)],TblApplications[ID],$C247,TblApplications[Environnement],"NPRD")),"PRD avant NPRD (info)","OK"))))))))))))))))))))</f>
        <v/>
      </c>
      <c r="AC247" s="76"/>
      <c r="AD247" s="76"/>
      <c r="AE247" s="22" t="str">
        <f aca="false">IF(OR($C247="",NOT(OR($G247="À migrer",$G247="À décommissionner")),NOT(ISNUMBER($N247)),NOT(ISNUMBER($O247)),$W247=""),"",($N247+p_poidsram*$O247)*SUMIFS(TblCalculs[Coût par unité],TblCalculs[Cluster],$I247,TblCalculs[Mois],"&lt;"&amp;$W247))</f>
        <v/>
      </c>
      <c r="AF247" s="22" t="str">
        <f aca="false">IF($C247="","",IF(AND($G247="À migrer",$H247="Non",$T247&lt;&gt;"",$V247&lt;&gt;""),($T247+p_poidsram*$U247)*SUMIFS(TblCalculs[Coût par unité],TblCalculs[Cluster],$J247,TblCalculs[Mois],"&gt;="&amp;$V247),IF(AND($G247="Migré",$T247&lt;&gt;""),($T247+p_poidsram*$U247)*SUMIFS(TblCalculs[Coût par unité],TblCalculs[Cluster],$J247),"")))</f>
        <v/>
      </c>
      <c r="AG247" s="22" t="str">
        <f aca="false">IF($C247="","",N($AE247)+N($AF247))</f>
        <v/>
      </c>
      <c r="AH247" s="21" t="str">
        <f aca="false">IF(OR($C247="",$G247="Décommissionné",COUNTIFS($E247,av_envc,$A247,av_domc,$B247,av_tric)=0),"",COUNTIFS($C$6:$C247,"&lt;&gt;",$G$6:$G247,"&lt;&gt;Décommissionné",$E$6:$E247,av_envc,$A$6:$A247,av_domc,$B$6:$B247,av_tric))</f>
        <v/>
      </c>
      <c r="AI247" s="21" t="str">
        <f aca="false">IF($C247="","",IF(AND(OR($G247="À migrer",$G247="À décommissionner"),$W247&lt;&gt;"",$W247&gt;ex_mois),1,0))</f>
        <v/>
      </c>
      <c r="AJ247" s="21" t="str">
        <f aca="false">IF(OR($C247="",$AI247&lt;&gt;1,COUNTIFS($E247,ex_envc,$A247,ex_domc,$B247,ex_tric)=0),"",COUNTIFS($AI$6:$AI247,1,$E$6:$E247,ex_envc,$A$6:$A247,ex_domc,$B$6:$B247,ex_tric))</f>
        <v/>
      </c>
    </row>
    <row r="248" customFormat="false" ht="15" hidden="false" customHeight="false" outlineLevel="0" collapsed="false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5"/>
      <c r="Q248" s="75"/>
      <c r="R248" s="75"/>
      <c r="S248" s="74"/>
      <c r="T248" s="21" t="str">
        <f aca="false">IF(OR($C248="",NOT(OR($G248="À migrer",$G248="Migré")),NOT(ISNUMBER($K248))),"",ROUNDUP($K248*(1+IF($AC248="",p_margeCPU,$AC248)),0))</f>
        <v/>
      </c>
      <c r="U248" s="21" t="str">
        <f aca="false">IF(OR($C248="",NOT(OR($G248="À migrer",$G248="Migré")),NOT(ISNUMBER($L248))),"",ROUNDUP($L248*(1+IF($AD248="",p_margeRAM,$AD248)),0))</f>
        <v/>
      </c>
      <c r="V248" s="39" t="str">
        <f aca="false">IF(OR(NOT($G248="À migrer"),$P248=""),"",IFERROR(DATE(YEAR($P248),MONTH($P248),1),""))</f>
        <v/>
      </c>
      <c r="W248" s="39" t="str">
        <f aca="false">IF(OR(NOT(OR($G248="À migrer",$G248="À décommissionner")),$R248=""),"",IFERROR(DATE(YEAR($R248),MONTH($R248),1),""))</f>
        <v/>
      </c>
      <c r="X248" s="21" t="str">
        <f aca="false">IF(OR($V248="",$W248=""),"",MAX(0,(YEAR($W248)-YEAR($V248))*12+MONTH($W248)-MONTH($V248)))</f>
        <v/>
      </c>
      <c r="Y248" s="21" t="str">
        <f aca="false">IF($C248="","",COUNTIF(TblApplications[ID],$C248))</f>
        <v/>
      </c>
      <c r="Z248" s="39" t="str">
        <f aca="false">IF($C248="","",IFERROR(1/(1/_xlfn.MINIFS(TblApplications[Mois prov (calc)],TblApplications[ID],$C248)),""))</f>
        <v/>
      </c>
      <c r="AA248" s="39" t="str">
        <f aca="false">IF($C248="","",IFERROR(1/(1/_xlfn.MAXIFS(TblApplications[Mois lib (calc)],TblApplications[ID],$C248)),""))</f>
        <v/>
      </c>
      <c r="AB248" s="21" t="str">
        <f aca="false">IF($C248="","",IF(OR(OR($A248="",$B248="",$D248="",$E248="",$F248="",$G248=""),AND($G248="À migrer",OR($H248="",$I248="",$J248="",$K248="",$L248="",$N248="",$O248="",$P248="",$Q248="",$R248="")),AND($G248="Migré",OR($J248="",$K248="",$L248="")),AND($G248="À décommissionner",OR($I248="",$N248="",$O248="",$R248=""))),"Données manquantes (selon l’action)",IF(AND($G248&lt;&gt;"Migré",$G248&lt;&gt;"À migrer",$G248&lt;&gt;"À décommissionner",$G248&lt;&gt;"Décommissionné"),"Action invalide",IF(COUNTIF(TblDomaines[Domaine],$A248)=0,"Domaine inconnu (référentiel)",IF(COUNTIFS(TblTribes[Tribe],$B248,TblTribes[Domaine de la tribe],$A248)=0,"Tribe inconnue ou hors domaine",IF(AND($G248="À migrer",$H248&lt;&gt;"Oui",$H248&lt;&gt;"Non"),"Valeur Oui/Non invalide (Déjà incluse ROKS)",IF(AND($E248&lt;&gt;"PRD",$E248&lt;&gt;"NPRD"),"Environnement invalide",IF(COUNTIFS(TblApplications[ID],$C248,TblApplications[Environnement],$E248,TblApplications[Couloir],$F248)&gt;1,"Déploiement en doublon (ID + env + couloir)",IF(OR(AND($K248&lt;&gt;"",NOT(ISNUMBER($K248))),AND($L248&lt;&gt;"",NOT(ISNUMBER($L248))),AND($N248&lt;&gt;"",NOT(ISNUMBER($N248))),AND($O248&lt;&gt;"",NOT(ISNUMBER($O248)))),"Ressource non numérique",IF(MIN(N($K248),N($L248),N($N248),N($O248))&lt;0,"Ressource négative",IF(OR(AND($AC248&lt;&gt;"",OR(NOT(ISNUMBER($AC248)),$AC248&lt;0,$AC248&gt;1)),AND($AD248&lt;&gt;"",OR(NOT(ISNUMBER($AD248)),$AD248&lt;0,$AD248&gt;1))),"Marge spécifique invalide (0–100 %)",IF(OR(AND($P248&lt;&gt;"",NOT(ISNUMBER($P248))),AND($Q248&lt;&gt;"",NOT(ISNUMBER($Q248))),AND($R248&lt;&gt;"",NOT(ISNUMBER($R248)))),"Mois invalide",IF(AND(OR($G248="À migrer",$G248="À décommissionner"),COUNTIFS(TblClusters[Cluster],$I248,TblClusters[Plateforme],"IKS")=0),"Cluster IKS inconnu",IF(AND(OR($G248="À migrer",$G248="Migré"),COUNTIFS(TblClusters[Cluster],$J248,TblClusters[Plateforme],"ROKS")=0),"Cluster ROKS inconnu",IF(AND(OR($G248="À migrer",$G248="À décommissionner"),COUNTIFS(TblClusters[Cluster],$I248,TblClusters[Environnement],$E248)=0),"Environnement ≠ cluster IKS",IF(AND(OR($G248="À migrer",$G248="Migré"),COUNTIFS(TblClusters[Cluster],$J248,TblClusters[Environnement],$E248)=0),"Environnement ≠ cluster ROKS",IF(AND($G248="À migrer",OR($P248&gt;$Q248,$Q248&gt;$R248)),"Dates incohérentes (prov ≤ bascule ≤ libération)",IF(AND(OR($G248="À migrer",$G248="À décommissionner"),OR(N($N248)&gt;SUMIFS(TblClusters[CPU initial (vCPU)],TblClusters[Cluster],$I248),N($O248)&gt;SUMIFS(TblClusters[RAM initiale (Go)],TblClusters[Cluster],$I248))),"Libération &gt; capacité du cluster source",IF(OR(AND($V248&lt;&gt;"",$V248&lt;p_debut),AND($W248&lt;&gt;"",$W248&gt;p_fin)),"Hors horizon (info)",IF(AND($G248="À migrer",$E248="PRD",COUNTIFS(TblApplications[ID],$C248,TblApplications[Environnement],"NPRD",TblApplications[Action],"À migrer")&gt;0,$V248&lt;_xlfn.MINIFS(TblApplications[Mois prov (calc)],TblApplications[ID],$C248,TblApplications[Environnement],"NPRD")),"PRD avant NPRD (info)","OK"))))))))))))))))))))</f>
        <v/>
      </c>
      <c r="AC248" s="76"/>
      <c r="AD248" s="76"/>
      <c r="AE248" s="22" t="str">
        <f aca="false">IF(OR($C248="",NOT(OR($G248="À migrer",$G248="À décommissionner")),NOT(ISNUMBER($N248)),NOT(ISNUMBER($O248)),$W248=""),"",($N248+p_poidsram*$O248)*SUMIFS(TblCalculs[Coût par unité],TblCalculs[Cluster],$I248,TblCalculs[Mois],"&lt;"&amp;$W248))</f>
        <v/>
      </c>
      <c r="AF248" s="22" t="str">
        <f aca="false">IF($C248="","",IF(AND($G248="À migrer",$H248="Non",$T248&lt;&gt;"",$V248&lt;&gt;""),($T248+p_poidsram*$U248)*SUMIFS(TblCalculs[Coût par unité],TblCalculs[Cluster],$J248,TblCalculs[Mois],"&gt;="&amp;$V248),IF(AND($G248="Migré",$T248&lt;&gt;""),($T248+p_poidsram*$U248)*SUMIFS(TblCalculs[Coût par unité],TblCalculs[Cluster],$J248),"")))</f>
        <v/>
      </c>
      <c r="AG248" s="22" t="str">
        <f aca="false">IF($C248="","",N($AE248)+N($AF248))</f>
        <v/>
      </c>
      <c r="AH248" s="21" t="str">
        <f aca="false">IF(OR($C248="",$G248="Décommissionné",COUNTIFS($E248,av_envc,$A248,av_domc,$B248,av_tric)=0),"",COUNTIFS($C$6:$C248,"&lt;&gt;",$G$6:$G248,"&lt;&gt;Décommissionné",$E$6:$E248,av_envc,$A$6:$A248,av_domc,$B$6:$B248,av_tric))</f>
        <v/>
      </c>
      <c r="AI248" s="21" t="str">
        <f aca="false">IF($C248="","",IF(AND(OR($G248="À migrer",$G248="À décommissionner"),$W248&lt;&gt;"",$W248&gt;ex_mois),1,0))</f>
        <v/>
      </c>
      <c r="AJ248" s="21" t="str">
        <f aca="false">IF(OR($C248="",$AI248&lt;&gt;1,COUNTIFS($E248,ex_envc,$A248,ex_domc,$B248,ex_tric)=0),"",COUNTIFS($AI$6:$AI248,1,$E$6:$E248,ex_envc,$A$6:$A248,ex_domc,$B$6:$B248,ex_tric))</f>
        <v/>
      </c>
    </row>
    <row r="249" customFormat="false" ht="15" hidden="false" customHeight="false" outlineLevel="0" collapsed="false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5"/>
      <c r="Q249" s="75"/>
      <c r="R249" s="75"/>
      <c r="S249" s="74"/>
      <c r="T249" s="21" t="str">
        <f aca="false">IF(OR($C249="",NOT(OR($G249="À migrer",$G249="Migré")),NOT(ISNUMBER($K249))),"",ROUNDUP($K249*(1+IF($AC249="",p_margeCPU,$AC249)),0))</f>
        <v/>
      </c>
      <c r="U249" s="21" t="str">
        <f aca="false">IF(OR($C249="",NOT(OR($G249="À migrer",$G249="Migré")),NOT(ISNUMBER($L249))),"",ROUNDUP($L249*(1+IF($AD249="",p_margeRAM,$AD249)),0))</f>
        <v/>
      </c>
      <c r="V249" s="39" t="str">
        <f aca="false">IF(OR(NOT($G249="À migrer"),$P249=""),"",IFERROR(DATE(YEAR($P249),MONTH($P249),1),""))</f>
        <v/>
      </c>
      <c r="W249" s="39" t="str">
        <f aca="false">IF(OR(NOT(OR($G249="À migrer",$G249="À décommissionner")),$R249=""),"",IFERROR(DATE(YEAR($R249),MONTH($R249),1),""))</f>
        <v/>
      </c>
      <c r="X249" s="21" t="str">
        <f aca="false">IF(OR($V249="",$W249=""),"",MAX(0,(YEAR($W249)-YEAR($V249))*12+MONTH($W249)-MONTH($V249)))</f>
        <v/>
      </c>
      <c r="Y249" s="21" t="str">
        <f aca="false">IF($C249="","",COUNTIF(TblApplications[ID],$C249))</f>
        <v/>
      </c>
      <c r="Z249" s="39" t="str">
        <f aca="false">IF($C249="","",IFERROR(1/(1/_xlfn.MINIFS(TblApplications[Mois prov (calc)],TblApplications[ID],$C249)),""))</f>
        <v/>
      </c>
      <c r="AA249" s="39" t="str">
        <f aca="false">IF($C249="","",IFERROR(1/(1/_xlfn.MAXIFS(TblApplications[Mois lib (calc)],TblApplications[ID],$C249)),""))</f>
        <v/>
      </c>
      <c r="AB249" s="21" t="str">
        <f aca="false">IF($C249="","",IF(OR(OR($A249="",$B249="",$D249="",$E249="",$F249="",$G249=""),AND($G249="À migrer",OR($H249="",$I249="",$J249="",$K249="",$L249="",$N249="",$O249="",$P249="",$Q249="",$R249="")),AND($G249="Migré",OR($J249="",$K249="",$L249="")),AND($G249="À décommissionner",OR($I249="",$N249="",$O249="",$R249=""))),"Données manquantes (selon l’action)",IF(AND($G249&lt;&gt;"Migré",$G249&lt;&gt;"À migrer",$G249&lt;&gt;"À décommissionner",$G249&lt;&gt;"Décommissionné"),"Action invalide",IF(COUNTIF(TblDomaines[Domaine],$A249)=0,"Domaine inconnu (référentiel)",IF(COUNTIFS(TblTribes[Tribe],$B249,TblTribes[Domaine de la tribe],$A249)=0,"Tribe inconnue ou hors domaine",IF(AND($G249="À migrer",$H249&lt;&gt;"Oui",$H249&lt;&gt;"Non"),"Valeur Oui/Non invalide (Déjà incluse ROKS)",IF(AND($E249&lt;&gt;"PRD",$E249&lt;&gt;"NPRD"),"Environnement invalide",IF(COUNTIFS(TblApplications[ID],$C249,TblApplications[Environnement],$E249,TblApplications[Couloir],$F249)&gt;1,"Déploiement en doublon (ID + env + couloir)",IF(OR(AND($K249&lt;&gt;"",NOT(ISNUMBER($K249))),AND($L249&lt;&gt;"",NOT(ISNUMBER($L249))),AND($N249&lt;&gt;"",NOT(ISNUMBER($N249))),AND($O249&lt;&gt;"",NOT(ISNUMBER($O249)))),"Ressource non numérique",IF(MIN(N($K249),N($L249),N($N249),N($O249))&lt;0,"Ressource négative",IF(OR(AND($AC249&lt;&gt;"",OR(NOT(ISNUMBER($AC249)),$AC249&lt;0,$AC249&gt;1)),AND($AD249&lt;&gt;"",OR(NOT(ISNUMBER($AD249)),$AD249&lt;0,$AD249&gt;1))),"Marge spécifique invalide (0–100 %)",IF(OR(AND($P249&lt;&gt;"",NOT(ISNUMBER($P249))),AND($Q249&lt;&gt;"",NOT(ISNUMBER($Q249))),AND($R249&lt;&gt;"",NOT(ISNUMBER($R249)))),"Mois invalide",IF(AND(OR($G249="À migrer",$G249="À décommissionner"),COUNTIFS(TblClusters[Cluster],$I249,TblClusters[Plateforme],"IKS")=0),"Cluster IKS inconnu",IF(AND(OR($G249="À migrer",$G249="Migré"),COUNTIFS(TblClusters[Cluster],$J249,TblClusters[Plateforme],"ROKS")=0),"Cluster ROKS inconnu",IF(AND(OR($G249="À migrer",$G249="À décommissionner"),COUNTIFS(TblClusters[Cluster],$I249,TblClusters[Environnement],$E249)=0),"Environnement ≠ cluster IKS",IF(AND(OR($G249="À migrer",$G249="Migré"),COUNTIFS(TblClusters[Cluster],$J249,TblClusters[Environnement],$E249)=0),"Environnement ≠ cluster ROKS",IF(AND($G249="À migrer",OR($P249&gt;$Q249,$Q249&gt;$R249)),"Dates incohérentes (prov ≤ bascule ≤ libération)",IF(AND(OR($G249="À migrer",$G249="À décommissionner"),OR(N($N249)&gt;SUMIFS(TblClusters[CPU initial (vCPU)],TblClusters[Cluster],$I249),N($O249)&gt;SUMIFS(TblClusters[RAM initiale (Go)],TblClusters[Cluster],$I249))),"Libération &gt; capacité du cluster source",IF(OR(AND($V249&lt;&gt;"",$V249&lt;p_debut),AND($W249&lt;&gt;"",$W249&gt;p_fin)),"Hors horizon (info)",IF(AND($G249="À migrer",$E249="PRD",COUNTIFS(TblApplications[ID],$C249,TblApplications[Environnement],"NPRD",TblApplications[Action],"À migrer")&gt;0,$V249&lt;_xlfn.MINIFS(TblApplications[Mois prov (calc)],TblApplications[ID],$C249,TblApplications[Environnement],"NPRD")),"PRD avant NPRD (info)","OK"))))))))))))))))))))</f>
        <v/>
      </c>
      <c r="AC249" s="76"/>
      <c r="AD249" s="76"/>
      <c r="AE249" s="22" t="str">
        <f aca="false">IF(OR($C249="",NOT(OR($G249="À migrer",$G249="À décommissionner")),NOT(ISNUMBER($N249)),NOT(ISNUMBER($O249)),$W249=""),"",($N249+p_poidsram*$O249)*SUMIFS(TblCalculs[Coût par unité],TblCalculs[Cluster],$I249,TblCalculs[Mois],"&lt;"&amp;$W249))</f>
        <v/>
      </c>
      <c r="AF249" s="22" t="str">
        <f aca="false">IF($C249="","",IF(AND($G249="À migrer",$H249="Non",$T249&lt;&gt;"",$V249&lt;&gt;""),($T249+p_poidsram*$U249)*SUMIFS(TblCalculs[Coût par unité],TblCalculs[Cluster],$J249,TblCalculs[Mois],"&gt;="&amp;$V249),IF(AND($G249="Migré",$T249&lt;&gt;""),($T249+p_poidsram*$U249)*SUMIFS(TblCalculs[Coût par unité],TblCalculs[Cluster],$J249),"")))</f>
        <v/>
      </c>
      <c r="AG249" s="22" t="str">
        <f aca="false">IF($C249="","",N($AE249)+N($AF249))</f>
        <v/>
      </c>
      <c r="AH249" s="21" t="str">
        <f aca="false">IF(OR($C249="",$G249="Décommissionné",COUNTIFS($E249,av_envc,$A249,av_domc,$B249,av_tric)=0),"",COUNTIFS($C$6:$C249,"&lt;&gt;",$G$6:$G249,"&lt;&gt;Décommissionné",$E$6:$E249,av_envc,$A$6:$A249,av_domc,$B$6:$B249,av_tric))</f>
        <v/>
      </c>
      <c r="AI249" s="21" t="str">
        <f aca="false">IF($C249="","",IF(AND(OR($G249="À migrer",$G249="À décommissionner"),$W249&lt;&gt;"",$W249&gt;ex_mois),1,0))</f>
        <v/>
      </c>
      <c r="AJ249" s="21" t="str">
        <f aca="false">IF(OR($C249="",$AI249&lt;&gt;1,COUNTIFS($E249,ex_envc,$A249,ex_domc,$B249,ex_tric)=0),"",COUNTIFS($AI$6:$AI249,1,$E$6:$E249,ex_envc,$A$6:$A249,ex_domc,$B$6:$B249,ex_tric))</f>
        <v/>
      </c>
    </row>
    <row r="250" customFormat="false" ht="15" hidden="false" customHeight="false" outlineLevel="0" collapsed="false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5"/>
      <c r="Q250" s="75"/>
      <c r="R250" s="75"/>
      <c r="S250" s="74"/>
      <c r="T250" s="21" t="str">
        <f aca="false">IF(OR($C250="",NOT(OR($G250="À migrer",$G250="Migré")),NOT(ISNUMBER($K250))),"",ROUNDUP($K250*(1+IF($AC250="",p_margeCPU,$AC250)),0))</f>
        <v/>
      </c>
      <c r="U250" s="21" t="str">
        <f aca="false">IF(OR($C250="",NOT(OR($G250="À migrer",$G250="Migré")),NOT(ISNUMBER($L250))),"",ROUNDUP($L250*(1+IF($AD250="",p_margeRAM,$AD250)),0))</f>
        <v/>
      </c>
      <c r="V250" s="39" t="str">
        <f aca="false">IF(OR(NOT($G250="À migrer"),$P250=""),"",IFERROR(DATE(YEAR($P250),MONTH($P250),1),""))</f>
        <v/>
      </c>
      <c r="W250" s="39" t="str">
        <f aca="false">IF(OR(NOT(OR($G250="À migrer",$G250="À décommissionner")),$R250=""),"",IFERROR(DATE(YEAR($R250),MONTH($R250),1),""))</f>
        <v/>
      </c>
      <c r="X250" s="21" t="str">
        <f aca="false">IF(OR($V250="",$W250=""),"",MAX(0,(YEAR($W250)-YEAR($V250))*12+MONTH($W250)-MONTH($V250)))</f>
        <v/>
      </c>
      <c r="Y250" s="21" t="str">
        <f aca="false">IF($C250="","",COUNTIF(TblApplications[ID],$C250))</f>
        <v/>
      </c>
      <c r="Z250" s="39" t="str">
        <f aca="false">IF($C250="","",IFERROR(1/(1/_xlfn.MINIFS(TblApplications[Mois prov (calc)],TblApplications[ID],$C250)),""))</f>
        <v/>
      </c>
      <c r="AA250" s="39" t="str">
        <f aca="false">IF($C250="","",IFERROR(1/(1/_xlfn.MAXIFS(TblApplications[Mois lib (calc)],TblApplications[ID],$C250)),""))</f>
        <v/>
      </c>
      <c r="AB250" s="21" t="str">
        <f aca="false">IF($C250="","",IF(OR(OR($A250="",$B250="",$D250="",$E250="",$F250="",$G250=""),AND($G250="À migrer",OR($H250="",$I250="",$J250="",$K250="",$L250="",$N250="",$O250="",$P250="",$Q250="",$R250="")),AND($G250="Migré",OR($J250="",$K250="",$L250="")),AND($G250="À décommissionner",OR($I250="",$N250="",$O250="",$R250=""))),"Données manquantes (selon l’action)",IF(AND($G250&lt;&gt;"Migré",$G250&lt;&gt;"À migrer",$G250&lt;&gt;"À décommissionner",$G250&lt;&gt;"Décommissionné"),"Action invalide",IF(COUNTIF(TblDomaines[Domaine],$A250)=0,"Domaine inconnu (référentiel)",IF(COUNTIFS(TblTribes[Tribe],$B250,TblTribes[Domaine de la tribe],$A250)=0,"Tribe inconnue ou hors domaine",IF(AND($G250="À migrer",$H250&lt;&gt;"Oui",$H250&lt;&gt;"Non"),"Valeur Oui/Non invalide (Déjà incluse ROKS)",IF(AND($E250&lt;&gt;"PRD",$E250&lt;&gt;"NPRD"),"Environnement invalide",IF(COUNTIFS(TblApplications[ID],$C250,TblApplications[Environnement],$E250,TblApplications[Couloir],$F250)&gt;1,"Déploiement en doublon (ID + env + couloir)",IF(OR(AND($K250&lt;&gt;"",NOT(ISNUMBER($K250))),AND($L250&lt;&gt;"",NOT(ISNUMBER($L250))),AND($N250&lt;&gt;"",NOT(ISNUMBER($N250))),AND($O250&lt;&gt;"",NOT(ISNUMBER($O250)))),"Ressource non numérique",IF(MIN(N($K250),N($L250),N($N250),N($O250))&lt;0,"Ressource négative",IF(OR(AND($AC250&lt;&gt;"",OR(NOT(ISNUMBER($AC250)),$AC250&lt;0,$AC250&gt;1)),AND($AD250&lt;&gt;"",OR(NOT(ISNUMBER($AD250)),$AD250&lt;0,$AD250&gt;1))),"Marge spécifique invalide (0–100 %)",IF(OR(AND($P250&lt;&gt;"",NOT(ISNUMBER($P250))),AND($Q250&lt;&gt;"",NOT(ISNUMBER($Q250))),AND($R250&lt;&gt;"",NOT(ISNUMBER($R250)))),"Mois invalide",IF(AND(OR($G250="À migrer",$G250="À décommissionner"),COUNTIFS(TblClusters[Cluster],$I250,TblClusters[Plateforme],"IKS")=0),"Cluster IKS inconnu",IF(AND(OR($G250="À migrer",$G250="Migré"),COUNTIFS(TblClusters[Cluster],$J250,TblClusters[Plateforme],"ROKS")=0),"Cluster ROKS inconnu",IF(AND(OR($G250="À migrer",$G250="À décommissionner"),COUNTIFS(TblClusters[Cluster],$I250,TblClusters[Environnement],$E250)=0),"Environnement ≠ cluster IKS",IF(AND(OR($G250="À migrer",$G250="Migré"),COUNTIFS(TblClusters[Cluster],$J250,TblClusters[Environnement],$E250)=0),"Environnement ≠ cluster ROKS",IF(AND($G250="À migrer",OR($P250&gt;$Q250,$Q250&gt;$R250)),"Dates incohérentes (prov ≤ bascule ≤ libération)",IF(AND(OR($G250="À migrer",$G250="À décommissionner"),OR(N($N250)&gt;SUMIFS(TblClusters[CPU initial (vCPU)],TblClusters[Cluster],$I250),N($O250)&gt;SUMIFS(TblClusters[RAM initiale (Go)],TblClusters[Cluster],$I250))),"Libération &gt; capacité du cluster source",IF(OR(AND($V250&lt;&gt;"",$V250&lt;p_debut),AND($W250&lt;&gt;"",$W250&gt;p_fin)),"Hors horizon (info)",IF(AND($G250="À migrer",$E250="PRD",COUNTIFS(TblApplications[ID],$C250,TblApplications[Environnement],"NPRD",TblApplications[Action],"À migrer")&gt;0,$V250&lt;_xlfn.MINIFS(TblApplications[Mois prov (calc)],TblApplications[ID],$C250,TblApplications[Environnement],"NPRD")),"PRD avant NPRD (info)","OK"))))))))))))))))))))</f>
        <v/>
      </c>
      <c r="AC250" s="76"/>
      <c r="AD250" s="76"/>
      <c r="AE250" s="22" t="str">
        <f aca="false">IF(OR($C250="",NOT(OR($G250="À migrer",$G250="À décommissionner")),NOT(ISNUMBER($N250)),NOT(ISNUMBER($O250)),$W250=""),"",($N250+p_poidsram*$O250)*SUMIFS(TblCalculs[Coût par unité],TblCalculs[Cluster],$I250,TblCalculs[Mois],"&lt;"&amp;$W250))</f>
        <v/>
      </c>
      <c r="AF250" s="22" t="str">
        <f aca="false">IF($C250="","",IF(AND($G250="À migrer",$H250="Non",$T250&lt;&gt;"",$V250&lt;&gt;""),($T250+p_poidsram*$U250)*SUMIFS(TblCalculs[Coût par unité],TblCalculs[Cluster],$J250,TblCalculs[Mois],"&gt;="&amp;$V250),IF(AND($G250="Migré",$T250&lt;&gt;""),($T250+p_poidsram*$U250)*SUMIFS(TblCalculs[Coût par unité],TblCalculs[Cluster],$J250),"")))</f>
        <v/>
      </c>
      <c r="AG250" s="22" t="str">
        <f aca="false">IF($C250="","",N($AE250)+N($AF250))</f>
        <v/>
      </c>
      <c r="AH250" s="21" t="str">
        <f aca="false">IF(OR($C250="",$G250="Décommissionné",COUNTIFS($E250,av_envc,$A250,av_domc,$B250,av_tric)=0),"",COUNTIFS($C$6:$C250,"&lt;&gt;",$G$6:$G250,"&lt;&gt;Décommissionné",$E$6:$E250,av_envc,$A$6:$A250,av_domc,$B$6:$B250,av_tric))</f>
        <v/>
      </c>
      <c r="AI250" s="21" t="str">
        <f aca="false">IF($C250="","",IF(AND(OR($G250="À migrer",$G250="À décommissionner"),$W250&lt;&gt;"",$W250&gt;ex_mois),1,0))</f>
        <v/>
      </c>
      <c r="AJ250" s="21" t="str">
        <f aca="false">IF(OR($C250="",$AI250&lt;&gt;1,COUNTIFS($E250,ex_envc,$A250,ex_domc,$B250,ex_tric)=0),"",COUNTIFS($AI$6:$AI250,1,$E$6:$E250,ex_envc,$A$6:$A250,ex_domc,$B$6:$B250,ex_tric))</f>
        <v/>
      </c>
    </row>
    <row r="251" customFormat="false" ht="15" hidden="false" customHeight="false" outlineLevel="0" collapsed="false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5"/>
      <c r="Q251" s="75"/>
      <c r="R251" s="75"/>
      <c r="S251" s="74"/>
      <c r="T251" s="21" t="str">
        <f aca="false">IF(OR($C251="",NOT(OR($G251="À migrer",$G251="Migré")),NOT(ISNUMBER($K251))),"",ROUNDUP($K251*(1+IF($AC251="",p_margeCPU,$AC251)),0))</f>
        <v/>
      </c>
      <c r="U251" s="21" t="str">
        <f aca="false">IF(OR($C251="",NOT(OR($G251="À migrer",$G251="Migré")),NOT(ISNUMBER($L251))),"",ROUNDUP($L251*(1+IF($AD251="",p_margeRAM,$AD251)),0))</f>
        <v/>
      </c>
      <c r="V251" s="39" t="str">
        <f aca="false">IF(OR(NOT($G251="À migrer"),$P251=""),"",IFERROR(DATE(YEAR($P251),MONTH($P251),1),""))</f>
        <v/>
      </c>
      <c r="W251" s="39" t="str">
        <f aca="false">IF(OR(NOT(OR($G251="À migrer",$G251="À décommissionner")),$R251=""),"",IFERROR(DATE(YEAR($R251),MONTH($R251),1),""))</f>
        <v/>
      </c>
      <c r="X251" s="21" t="str">
        <f aca="false">IF(OR($V251="",$W251=""),"",MAX(0,(YEAR($W251)-YEAR($V251))*12+MONTH($W251)-MONTH($V251)))</f>
        <v/>
      </c>
      <c r="Y251" s="21" t="str">
        <f aca="false">IF($C251="","",COUNTIF(TblApplications[ID],$C251))</f>
        <v/>
      </c>
      <c r="Z251" s="39" t="str">
        <f aca="false">IF($C251="","",IFERROR(1/(1/_xlfn.MINIFS(TblApplications[Mois prov (calc)],TblApplications[ID],$C251)),""))</f>
        <v/>
      </c>
      <c r="AA251" s="39" t="str">
        <f aca="false">IF($C251="","",IFERROR(1/(1/_xlfn.MAXIFS(TblApplications[Mois lib (calc)],TblApplications[ID],$C251)),""))</f>
        <v/>
      </c>
      <c r="AB251" s="21" t="str">
        <f aca="false">IF($C251="","",IF(OR(OR($A251="",$B251="",$D251="",$E251="",$F251="",$G251=""),AND($G251="À migrer",OR($H251="",$I251="",$J251="",$K251="",$L251="",$N251="",$O251="",$P251="",$Q251="",$R251="")),AND($G251="Migré",OR($J251="",$K251="",$L251="")),AND($G251="À décommissionner",OR($I251="",$N251="",$O251="",$R251=""))),"Données manquantes (selon l’action)",IF(AND($G251&lt;&gt;"Migré",$G251&lt;&gt;"À migrer",$G251&lt;&gt;"À décommissionner",$G251&lt;&gt;"Décommissionné"),"Action invalide",IF(COUNTIF(TblDomaines[Domaine],$A251)=0,"Domaine inconnu (référentiel)",IF(COUNTIFS(TblTribes[Tribe],$B251,TblTribes[Domaine de la tribe],$A251)=0,"Tribe inconnue ou hors domaine",IF(AND($G251="À migrer",$H251&lt;&gt;"Oui",$H251&lt;&gt;"Non"),"Valeur Oui/Non invalide (Déjà incluse ROKS)",IF(AND($E251&lt;&gt;"PRD",$E251&lt;&gt;"NPRD"),"Environnement invalide",IF(COUNTIFS(TblApplications[ID],$C251,TblApplications[Environnement],$E251,TblApplications[Couloir],$F251)&gt;1,"Déploiement en doublon (ID + env + couloir)",IF(OR(AND($K251&lt;&gt;"",NOT(ISNUMBER($K251))),AND($L251&lt;&gt;"",NOT(ISNUMBER($L251))),AND($N251&lt;&gt;"",NOT(ISNUMBER($N251))),AND($O251&lt;&gt;"",NOT(ISNUMBER($O251)))),"Ressource non numérique",IF(MIN(N($K251),N($L251),N($N251),N($O251))&lt;0,"Ressource négative",IF(OR(AND($AC251&lt;&gt;"",OR(NOT(ISNUMBER($AC251)),$AC251&lt;0,$AC251&gt;1)),AND($AD251&lt;&gt;"",OR(NOT(ISNUMBER($AD251)),$AD251&lt;0,$AD251&gt;1))),"Marge spécifique invalide (0–100 %)",IF(OR(AND($P251&lt;&gt;"",NOT(ISNUMBER($P251))),AND($Q251&lt;&gt;"",NOT(ISNUMBER($Q251))),AND($R251&lt;&gt;"",NOT(ISNUMBER($R251)))),"Mois invalide",IF(AND(OR($G251="À migrer",$G251="À décommissionner"),COUNTIFS(TblClusters[Cluster],$I251,TblClusters[Plateforme],"IKS")=0),"Cluster IKS inconnu",IF(AND(OR($G251="À migrer",$G251="Migré"),COUNTIFS(TblClusters[Cluster],$J251,TblClusters[Plateforme],"ROKS")=0),"Cluster ROKS inconnu",IF(AND(OR($G251="À migrer",$G251="À décommissionner"),COUNTIFS(TblClusters[Cluster],$I251,TblClusters[Environnement],$E251)=0),"Environnement ≠ cluster IKS",IF(AND(OR($G251="À migrer",$G251="Migré"),COUNTIFS(TblClusters[Cluster],$J251,TblClusters[Environnement],$E251)=0),"Environnement ≠ cluster ROKS",IF(AND($G251="À migrer",OR($P251&gt;$Q251,$Q251&gt;$R251)),"Dates incohérentes (prov ≤ bascule ≤ libération)",IF(AND(OR($G251="À migrer",$G251="À décommissionner"),OR(N($N251)&gt;SUMIFS(TblClusters[CPU initial (vCPU)],TblClusters[Cluster],$I251),N($O251)&gt;SUMIFS(TblClusters[RAM initiale (Go)],TblClusters[Cluster],$I251))),"Libération &gt; capacité du cluster source",IF(OR(AND($V251&lt;&gt;"",$V251&lt;p_debut),AND($W251&lt;&gt;"",$W251&gt;p_fin)),"Hors horizon (info)",IF(AND($G251="À migrer",$E251="PRD",COUNTIFS(TblApplications[ID],$C251,TblApplications[Environnement],"NPRD",TblApplications[Action],"À migrer")&gt;0,$V251&lt;_xlfn.MINIFS(TblApplications[Mois prov (calc)],TblApplications[ID],$C251,TblApplications[Environnement],"NPRD")),"PRD avant NPRD (info)","OK"))))))))))))))))))))</f>
        <v/>
      </c>
      <c r="AC251" s="76"/>
      <c r="AD251" s="76"/>
      <c r="AE251" s="22" t="str">
        <f aca="false">IF(OR($C251="",NOT(OR($G251="À migrer",$G251="À décommissionner")),NOT(ISNUMBER($N251)),NOT(ISNUMBER($O251)),$W251=""),"",($N251+p_poidsram*$O251)*SUMIFS(TblCalculs[Coût par unité],TblCalculs[Cluster],$I251,TblCalculs[Mois],"&lt;"&amp;$W251))</f>
        <v/>
      </c>
      <c r="AF251" s="22" t="str">
        <f aca="false">IF($C251="","",IF(AND($G251="À migrer",$H251="Non",$T251&lt;&gt;"",$V251&lt;&gt;""),($T251+p_poidsram*$U251)*SUMIFS(TblCalculs[Coût par unité],TblCalculs[Cluster],$J251,TblCalculs[Mois],"&gt;="&amp;$V251),IF(AND($G251="Migré",$T251&lt;&gt;""),($T251+p_poidsram*$U251)*SUMIFS(TblCalculs[Coût par unité],TblCalculs[Cluster],$J251),"")))</f>
        <v/>
      </c>
      <c r="AG251" s="22" t="str">
        <f aca="false">IF($C251="","",N($AE251)+N($AF251))</f>
        <v/>
      </c>
      <c r="AH251" s="21" t="str">
        <f aca="false">IF(OR($C251="",$G251="Décommissionné",COUNTIFS($E251,av_envc,$A251,av_domc,$B251,av_tric)=0),"",COUNTIFS($C$6:$C251,"&lt;&gt;",$G$6:$G251,"&lt;&gt;Décommissionné",$E$6:$E251,av_envc,$A$6:$A251,av_domc,$B$6:$B251,av_tric))</f>
        <v/>
      </c>
      <c r="AI251" s="21" t="str">
        <f aca="false">IF($C251="","",IF(AND(OR($G251="À migrer",$G251="À décommissionner"),$W251&lt;&gt;"",$W251&gt;ex_mois),1,0))</f>
        <v/>
      </c>
      <c r="AJ251" s="21" t="str">
        <f aca="false">IF(OR($C251="",$AI251&lt;&gt;1,COUNTIFS($E251,ex_envc,$A251,ex_domc,$B251,ex_tric)=0),"",COUNTIFS($AI$6:$AI251,1,$E$6:$E251,ex_envc,$A$6:$A251,ex_domc,$B$6:$B251,ex_tric))</f>
        <v/>
      </c>
    </row>
    <row r="252" customFormat="false" ht="15" hidden="false" customHeight="false" outlineLevel="0" collapsed="false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5"/>
      <c r="Q252" s="75"/>
      <c r="R252" s="75"/>
      <c r="S252" s="74"/>
      <c r="T252" s="21" t="str">
        <f aca="false">IF(OR($C252="",NOT(OR($G252="À migrer",$G252="Migré")),NOT(ISNUMBER($K252))),"",ROUNDUP($K252*(1+IF($AC252="",p_margeCPU,$AC252)),0))</f>
        <v/>
      </c>
      <c r="U252" s="21" t="str">
        <f aca="false">IF(OR($C252="",NOT(OR($G252="À migrer",$G252="Migré")),NOT(ISNUMBER($L252))),"",ROUNDUP($L252*(1+IF($AD252="",p_margeRAM,$AD252)),0))</f>
        <v/>
      </c>
      <c r="V252" s="39" t="str">
        <f aca="false">IF(OR(NOT($G252="À migrer"),$P252=""),"",IFERROR(DATE(YEAR($P252),MONTH($P252),1),""))</f>
        <v/>
      </c>
      <c r="W252" s="39" t="str">
        <f aca="false">IF(OR(NOT(OR($G252="À migrer",$G252="À décommissionner")),$R252=""),"",IFERROR(DATE(YEAR($R252),MONTH($R252),1),""))</f>
        <v/>
      </c>
      <c r="X252" s="21" t="str">
        <f aca="false">IF(OR($V252="",$W252=""),"",MAX(0,(YEAR($W252)-YEAR($V252))*12+MONTH($W252)-MONTH($V252)))</f>
        <v/>
      </c>
      <c r="Y252" s="21" t="str">
        <f aca="false">IF($C252="","",COUNTIF(TblApplications[ID],$C252))</f>
        <v/>
      </c>
      <c r="Z252" s="39" t="str">
        <f aca="false">IF($C252="","",IFERROR(1/(1/_xlfn.MINIFS(TblApplications[Mois prov (calc)],TblApplications[ID],$C252)),""))</f>
        <v/>
      </c>
      <c r="AA252" s="39" t="str">
        <f aca="false">IF($C252="","",IFERROR(1/(1/_xlfn.MAXIFS(TblApplications[Mois lib (calc)],TblApplications[ID],$C252)),""))</f>
        <v/>
      </c>
      <c r="AB252" s="21" t="str">
        <f aca="false">IF($C252="","",IF(OR(OR($A252="",$B252="",$D252="",$E252="",$F252="",$G252=""),AND($G252="À migrer",OR($H252="",$I252="",$J252="",$K252="",$L252="",$N252="",$O252="",$P252="",$Q252="",$R252="")),AND($G252="Migré",OR($J252="",$K252="",$L252="")),AND($G252="À décommissionner",OR($I252="",$N252="",$O252="",$R252=""))),"Données manquantes (selon l’action)",IF(AND($G252&lt;&gt;"Migré",$G252&lt;&gt;"À migrer",$G252&lt;&gt;"À décommissionner",$G252&lt;&gt;"Décommissionné"),"Action invalide",IF(COUNTIF(TblDomaines[Domaine],$A252)=0,"Domaine inconnu (référentiel)",IF(COUNTIFS(TblTribes[Tribe],$B252,TblTribes[Domaine de la tribe],$A252)=0,"Tribe inconnue ou hors domaine",IF(AND($G252="À migrer",$H252&lt;&gt;"Oui",$H252&lt;&gt;"Non"),"Valeur Oui/Non invalide (Déjà incluse ROKS)",IF(AND($E252&lt;&gt;"PRD",$E252&lt;&gt;"NPRD"),"Environnement invalide",IF(COUNTIFS(TblApplications[ID],$C252,TblApplications[Environnement],$E252,TblApplications[Couloir],$F252)&gt;1,"Déploiement en doublon (ID + env + couloir)",IF(OR(AND($K252&lt;&gt;"",NOT(ISNUMBER($K252))),AND($L252&lt;&gt;"",NOT(ISNUMBER($L252))),AND($N252&lt;&gt;"",NOT(ISNUMBER($N252))),AND($O252&lt;&gt;"",NOT(ISNUMBER($O252)))),"Ressource non numérique",IF(MIN(N($K252),N($L252),N($N252),N($O252))&lt;0,"Ressource négative",IF(OR(AND($AC252&lt;&gt;"",OR(NOT(ISNUMBER($AC252)),$AC252&lt;0,$AC252&gt;1)),AND($AD252&lt;&gt;"",OR(NOT(ISNUMBER($AD252)),$AD252&lt;0,$AD252&gt;1))),"Marge spécifique invalide (0–100 %)",IF(OR(AND($P252&lt;&gt;"",NOT(ISNUMBER($P252))),AND($Q252&lt;&gt;"",NOT(ISNUMBER($Q252))),AND($R252&lt;&gt;"",NOT(ISNUMBER($R252)))),"Mois invalide",IF(AND(OR($G252="À migrer",$G252="À décommissionner"),COUNTIFS(TblClusters[Cluster],$I252,TblClusters[Plateforme],"IKS")=0),"Cluster IKS inconnu",IF(AND(OR($G252="À migrer",$G252="Migré"),COUNTIFS(TblClusters[Cluster],$J252,TblClusters[Plateforme],"ROKS")=0),"Cluster ROKS inconnu",IF(AND(OR($G252="À migrer",$G252="À décommissionner"),COUNTIFS(TblClusters[Cluster],$I252,TblClusters[Environnement],$E252)=0),"Environnement ≠ cluster IKS",IF(AND(OR($G252="À migrer",$G252="Migré"),COUNTIFS(TblClusters[Cluster],$J252,TblClusters[Environnement],$E252)=0),"Environnement ≠ cluster ROKS",IF(AND($G252="À migrer",OR($P252&gt;$Q252,$Q252&gt;$R252)),"Dates incohérentes (prov ≤ bascule ≤ libération)",IF(AND(OR($G252="À migrer",$G252="À décommissionner"),OR(N($N252)&gt;SUMIFS(TblClusters[CPU initial (vCPU)],TblClusters[Cluster],$I252),N($O252)&gt;SUMIFS(TblClusters[RAM initiale (Go)],TblClusters[Cluster],$I252))),"Libération &gt; capacité du cluster source",IF(OR(AND($V252&lt;&gt;"",$V252&lt;p_debut),AND($W252&lt;&gt;"",$W252&gt;p_fin)),"Hors horizon (info)",IF(AND($G252="À migrer",$E252="PRD",COUNTIFS(TblApplications[ID],$C252,TblApplications[Environnement],"NPRD",TblApplications[Action],"À migrer")&gt;0,$V252&lt;_xlfn.MINIFS(TblApplications[Mois prov (calc)],TblApplications[ID],$C252,TblApplications[Environnement],"NPRD")),"PRD avant NPRD (info)","OK"))))))))))))))))))))</f>
        <v/>
      </c>
      <c r="AC252" s="76"/>
      <c r="AD252" s="76"/>
      <c r="AE252" s="22" t="str">
        <f aca="false">IF(OR($C252="",NOT(OR($G252="À migrer",$G252="À décommissionner")),NOT(ISNUMBER($N252)),NOT(ISNUMBER($O252)),$W252=""),"",($N252+p_poidsram*$O252)*SUMIFS(TblCalculs[Coût par unité],TblCalculs[Cluster],$I252,TblCalculs[Mois],"&lt;"&amp;$W252))</f>
        <v/>
      </c>
      <c r="AF252" s="22" t="str">
        <f aca="false">IF($C252="","",IF(AND($G252="À migrer",$H252="Non",$T252&lt;&gt;"",$V252&lt;&gt;""),($T252+p_poidsram*$U252)*SUMIFS(TblCalculs[Coût par unité],TblCalculs[Cluster],$J252,TblCalculs[Mois],"&gt;="&amp;$V252),IF(AND($G252="Migré",$T252&lt;&gt;""),($T252+p_poidsram*$U252)*SUMIFS(TblCalculs[Coût par unité],TblCalculs[Cluster],$J252),"")))</f>
        <v/>
      </c>
      <c r="AG252" s="22" t="str">
        <f aca="false">IF($C252="","",N($AE252)+N($AF252))</f>
        <v/>
      </c>
      <c r="AH252" s="21" t="str">
        <f aca="false">IF(OR($C252="",$G252="Décommissionné",COUNTIFS($E252,av_envc,$A252,av_domc,$B252,av_tric)=0),"",COUNTIFS($C$6:$C252,"&lt;&gt;",$G$6:$G252,"&lt;&gt;Décommissionné",$E$6:$E252,av_envc,$A$6:$A252,av_domc,$B$6:$B252,av_tric))</f>
        <v/>
      </c>
      <c r="AI252" s="21" t="str">
        <f aca="false">IF($C252="","",IF(AND(OR($G252="À migrer",$G252="À décommissionner"),$W252&lt;&gt;"",$W252&gt;ex_mois),1,0))</f>
        <v/>
      </c>
      <c r="AJ252" s="21" t="str">
        <f aca="false">IF(OR($C252="",$AI252&lt;&gt;1,COUNTIFS($E252,ex_envc,$A252,ex_domc,$B252,ex_tric)=0),"",COUNTIFS($AI$6:$AI252,1,$E$6:$E252,ex_envc,$A$6:$A252,ex_domc,$B$6:$B252,ex_tric))</f>
        <v/>
      </c>
    </row>
    <row r="253" customFormat="false" ht="15" hidden="false" customHeight="false" outlineLevel="0" collapsed="false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5"/>
      <c r="Q253" s="75"/>
      <c r="R253" s="75"/>
      <c r="S253" s="74"/>
      <c r="T253" s="21" t="str">
        <f aca="false">IF(OR($C253="",NOT(OR($G253="À migrer",$G253="Migré")),NOT(ISNUMBER($K253))),"",ROUNDUP($K253*(1+IF($AC253="",p_margeCPU,$AC253)),0))</f>
        <v/>
      </c>
      <c r="U253" s="21" t="str">
        <f aca="false">IF(OR($C253="",NOT(OR($G253="À migrer",$G253="Migré")),NOT(ISNUMBER($L253))),"",ROUNDUP($L253*(1+IF($AD253="",p_margeRAM,$AD253)),0))</f>
        <v/>
      </c>
      <c r="V253" s="39" t="str">
        <f aca="false">IF(OR(NOT($G253="À migrer"),$P253=""),"",IFERROR(DATE(YEAR($P253),MONTH($P253),1),""))</f>
        <v/>
      </c>
      <c r="W253" s="39" t="str">
        <f aca="false">IF(OR(NOT(OR($G253="À migrer",$G253="À décommissionner")),$R253=""),"",IFERROR(DATE(YEAR($R253),MONTH($R253),1),""))</f>
        <v/>
      </c>
      <c r="X253" s="21" t="str">
        <f aca="false">IF(OR($V253="",$W253=""),"",MAX(0,(YEAR($W253)-YEAR($V253))*12+MONTH($W253)-MONTH($V253)))</f>
        <v/>
      </c>
      <c r="Y253" s="21" t="str">
        <f aca="false">IF($C253="","",COUNTIF(TblApplications[ID],$C253))</f>
        <v/>
      </c>
      <c r="Z253" s="39" t="str">
        <f aca="false">IF($C253="","",IFERROR(1/(1/_xlfn.MINIFS(TblApplications[Mois prov (calc)],TblApplications[ID],$C253)),""))</f>
        <v/>
      </c>
      <c r="AA253" s="39" t="str">
        <f aca="false">IF($C253="","",IFERROR(1/(1/_xlfn.MAXIFS(TblApplications[Mois lib (calc)],TblApplications[ID],$C253)),""))</f>
        <v/>
      </c>
      <c r="AB253" s="21" t="str">
        <f aca="false">IF($C253="","",IF(OR(OR($A253="",$B253="",$D253="",$E253="",$F253="",$G253=""),AND($G253="À migrer",OR($H253="",$I253="",$J253="",$K253="",$L253="",$N253="",$O253="",$P253="",$Q253="",$R253="")),AND($G253="Migré",OR($J253="",$K253="",$L253="")),AND($G253="À décommissionner",OR($I253="",$N253="",$O253="",$R253=""))),"Données manquantes (selon l’action)",IF(AND($G253&lt;&gt;"Migré",$G253&lt;&gt;"À migrer",$G253&lt;&gt;"À décommissionner",$G253&lt;&gt;"Décommissionné"),"Action invalide",IF(COUNTIF(TblDomaines[Domaine],$A253)=0,"Domaine inconnu (référentiel)",IF(COUNTIFS(TblTribes[Tribe],$B253,TblTribes[Domaine de la tribe],$A253)=0,"Tribe inconnue ou hors domaine",IF(AND($G253="À migrer",$H253&lt;&gt;"Oui",$H253&lt;&gt;"Non"),"Valeur Oui/Non invalide (Déjà incluse ROKS)",IF(AND($E253&lt;&gt;"PRD",$E253&lt;&gt;"NPRD"),"Environnement invalide",IF(COUNTIFS(TblApplications[ID],$C253,TblApplications[Environnement],$E253,TblApplications[Couloir],$F253)&gt;1,"Déploiement en doublon (ID + env + couloir)",IF(OR(AND($K253&lt;&gt;"",NOT(ISNUMBER($K253))),AND($L253&lt;&gt;"",NOT(ISNUMBER($L253))),AND($N253&lt;&gt;"",NOT(ISNUMBER($N253))),AND($O253&lt;&gt;"",NOT(ISNUMBER($O253)))),"Ressource non numérique",IF(MIN(N($K253),N($L253),N($N253),N($O253))&lt;0,"Ressource négative",IF(OR(AND($AC253&lt;&gt;"",OR(NOT(ISNUMBER($AC253)),$AC253&lt;0,$AC253&gt;1)),AND($AD253&lt;&gt;"",OR(NOT(ISNUMBER($AD253)),$AD253&lt;0,$AD253&gt;1))),"Marge spécifique invalide (0–100 %)",IF(OR(AND($P253&lt;&gt;"",NOT(ISNUMBER($P253))),AND($Q253&lt;&gt;"",NOT(ISNUMBER($Q253))),AND($R253&lt;&gt;"",NOT(ISNUMBER($R253)))),"Mois invalide",IF(AND(OR($G253="À migrer",$G253="À décommissionner"),COUNTIFS(TblClusters[Cluster],$I253,TblClusters[Plateforme],"IKS")=0),"Cluster IKS inconnu",IF(AND(OR($G253="À migrer",$G253="Migré"),COUNTIFS(TblClusters[Cluster],$J253,TblClusters[Plateforme],"ROKS")=0),"Cluster ROKS inconnu",IF(AND(OR($G253="À migrer",$G253="À décommissionner"),COUNTIFS(TblClusters[Cluster],$I253,TblClusters[Environnement],$E253)=0),"Environnement ≠ cluster IKS",IF(AND(OR($G253="À migrer",$G253="Migré"),COUNTIFS(TblClusters[Cluster],$J253,TblClusters[Environnement],$E253)=0),"Environnement ≠ cluster ROKS",IF(AND($G253="À migrer",OR($P253&gt;$Q253,$Q253&gt;$R253)),"Dates incohérentes (prov ≤ bascule ≤ libération)",IF(AND(OR($G253="À migrer",$G253="À décommissionner"),OR(N($N253)&gt;SUMIFS(TblClusters[CPU initial (vCPU)],TblClusters[Cluster],$I253),N($O253)&gt;SUMIFS(TblClusters[RAM initiale (Go)],TblClusters[Cluster],$I253))),"Libération &gt; capacité du cluster source",IF(OR(AND($V253&lt;&gt;"",$V253&lt;p_debut),AND($W253&lt;&gt;"",$W253&gt;p_fin)),"Hors horizon (info)",IF(AND($G253="À migrer",$E253="PRD",COUNTIFS(TblApplications[ID],$C253,TblApplications[Environnement],"NPRD",TblApplications[Action],"À migrer")&gt;0,$V253&lt;_xlfn.MINIFS(TblApplications[Mois prov (calc)],TblApplications[ID],$C253,TblApplications[Environnement],"NPRD")),"PRD avant NPRD (info)","OK"))))))))))))))))))))</f>
        <v/>
      </c>
      <c r="AC253" s="76"/>
      <c r="AD253" s="76"/>
      <c r="AE253" s="22" t="str">
        <f aca="false">IF(OR($C253="",NOT(OR($G253="À migrer",$G253="À décommissionner")),NOT(ISNUMBER($N253)),NOT(ISNUMBER($O253)),$W253=""),"",($N253+p_poidsram*$O253)*SUMIFS(TblCalculs[Coût par unité],TblCalculs[Cluster],$I253,TblCalculs[Mois],"&lt;"&amp;$W253))</f>
        <v/>
      </c>
      <c r="AF253" s="22" t="str">
        <f aca="false">IF($C253="","",IF(AND($G253="À migrer",$H253="Non",$T253&lt;&gt;"",$V253&lt;&gt;""),($T253+p_poidsram*$U253)*SUMIFS(TblCalculs[Coût par unité],TblCalculs[Cluster],$J253,TblCalculs[Mois],"&gt;="&amp;$V253),IF(AND($G253="Migré",$T253&lt;&gt;""),($T253+p_poidsram*$U253)*SUMIFS(TblCalculs[Coût par unité],TblCalculs[Cluster],$J253),"")))</f>
        <v/>
      </c>
      <c r="AG253" s="22" t="str">
        <f aca="false">IF($C253="","",N($AE253)+N($AF253))</f>
        <v/>
      </c>
      <c r="AH253" s="21" t="str">
        <f aca="false">IF(OR($C253="",$G253="Décommissionné",COUNTIFS($E253,av_envc,$A253,av_domc,$B253,av_tric)=0),"",COUNTIFS($C$6:$C253,"&lt;&gt;",$G$6:$G253,"&lt;&gt;Décommissionné",$E$6:$E253,av_envc,$A$6:$A253,av_domc,$B$6:$B253,av_tric))</f>
        <v/>
      </c>
      <c r="AI253" s="21" t="str">
        <f aca="false">IF($C253="","",IF(AND(OR($G253="À migrer",$G253="À décommissionner"),$W253&lt;&gt;"",$W253&gt;ex_mois),1,0))</f>
        <v/>
      </c>
      <c r="AJ253" s="21" t="str">
        <f aca="false">IF(OR($C253="",$AI253&lt;&gt;1,COUNTIFS($E253,ex_envc,$A253,ex_domc,$B253,ex_tric)=0),"",COUNTIFS($AI$6:$AI253,1,$E$6:$E253,ex_envc,$A$6:$A253,ex_domc,$B$6:$B253,ex_tric))</f>
        <v/>
      </c>
    </row>
    <row r="254" customFormat="false" ht="15" hidden="false" customHeight="false" outlineLevel="0" collapsed="false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5"/>
      <c r="Q254" s="75"/>
      <c r="R254" s="75"/>
      <c r="S254" s="74"/>
      <c r="T254" s="21" t="str">
        <f aca="false">IF(OR($C254="",NOT(OR($G254="À migrer",$G254="Migré")),NOT(ISNUMBER($K254))),"",ROUNDUP($K254*(1+IF($AC254="",p_margeCPU,$AC254)),0))</f>
        <v/>
      </c>
      <c r="U254" s="21" t="str">
        <f aca="false">IF(OR($C254="",NOT(OR($G254="À migrer",$G254="Migré")),NOT(ISNUMBER($L254))),"",ROUNDUP($L254*(1+IF($AD254="",p_margeRAM,$AD254)),0))</f>
        <v/>
      </c>
      <c r="V254" s="39" t="str">
        <f aca="false">IF(OR(NOT($G254="À migrer"),$P254=""),"",IFERROR(DATE(YEAR($P254),MONTH($P254),1),""))</f>
        <v/>
      </c>
      <c r="W254" s="39" t="str">
        <f aca="false">IF(OR(NOT(OR($G254="À migrer",$G254="À décommissionner")),$R254=""),"",IFERROR(DATE(YEAR($R254),MONTH($R254),1),""))</f>
        <v/>
      </c>
      <c r="X254" s="21" t="str">
        <f aca="false">IF(OR($V254="",$W254=""),"",MAX(0,(YEAR($W254)-YEAR($V254))*12+MONTH($W254)-MONTH($V254)))</f>
        <v/>
      </c>
      <c r="Y254" s="21" t="str">
        <f aca="false">IF($C254="","",COUNTIF(TblApplications[ID],$C254))</f>
        <v/>
      </c>
      <c r="Z254" s="39" t="str">
        <f aca="false">IF($C254="","",IFERROR(1/(1/_xlfn.MINIFS(TblApplications[Mois prov (calc)],TblApplications[ID],$C254)),""))</f>
        <v/>
      </c>
      <c r="AA254" s="39" t="str">
        <f aca="false">IF($C254="","",IFERROR(1/(1/_xlfn.MAXIFS(TblApplications[Mois lib (calc)],TblApplications[ID],$C254)),""))</f>
        <v/>
      </c>
      <c r="AB254" s="21" t="str">
        <f aca="false">IF($C254="","",IF(OR(OR($A254="",$B254="",$D254="",$E254="",$F254="",$G254=""),AND($G254="À migrer",OR($H254="",$I254="",$J254="",$K254="",$L254="",$N254="",$O254="",$P254="",$Q254="",$R254="")),AND($G254="Migré",OR($J254="",$K254="",$L254="")),AND($G254="À décommissionner",OR($I254="",$N254="",$O254="",$R254=""))),"Données manquantes (selon l’action)",IF(AND($G254&lt;&gt;"Migré",$G254&lt;&gt;"À migrer",$G254&lt;&gt;"À décommissionner",$G254&lt;&gt;"Décommissionné"),"Action invalide",IF(COUNTIF(TblDomaines[Domaine],$A254)=0,"Domaine inconnu (référentiel)",IF(COUNTIFS(TblTribes[Tribe],$B254,TblTribes[Domaine de la tribe],$A254)=0,"Tribe inconnue ou hors domaine",IF(AND($G254="À migrer",$H254&lt;&gt;"Oui",$H254&lt;&gt;"Non"),"Valeur Oui/Non invalide (Déjà incluse ROKS)",IF(AND($E254&lt;&gt;"PRD",$E254&lt;&gt;"NPRD"),"Environnement invalide",IF(COUNTIFS(TblApplications[ID],$C254,TblApplications[Environnement],$E254,TblApplications[Couloir],$F254)&gt;1,"Déploiement en doublon (ID + env + couloir)",IF(OR(AND($K254&lt;&gt;"",NOT(ISNUMBER($K254))),AND($L254&lt;&gt;"",NOT(ISNUMBER($L254))),AND($N254&lt;&gt;"",NOT(ISNUMBER($N254))),AND($O254&lt;&gt;"",NOT(ISNUMBER($O254)))),"Ressource non numérique",IF(MIN(N($K254),N($L254),N($N254),N($O254))&lt;0,"Ressource négative",IF(OR(AND($AC254&lt;&gt;"",OR(NOT(ISNUMBER($AC254)),$AC254&lt;0,$AC254&gt;1)),AND($AD254&lt;&gt;"",OR(NOT(ISNUMBER($AD254)),$AD254&lt;0,$AD254&gt;1))),"Marge spécifique invalide (0–100 %)",IF(OR(AND($P254&lt;&gt;"",NOT(ISNUMBER($P254))),AND($Q254&lt;&gt;"",NOT(ISNUMBER($Q254))),AND($R254&lt;&gt;"",NOT(ISNUMBER($R254)))),"Mois invalide",IF(AND(OR($G254="À migrer",$G254="À décommissionner"),COUNTIFS(TblClusters[Cluster],$I254,TblClusters[Plateforme],"IKS")=0),"Cluster IKS inconnu",IF(AND(OR($G254="À migrer",$G254="Migré"),COUNTIFS(TblClusters[Cluster],$J254,TblClusters[Plateforme],"ROKS")=0),"Cluster ROKS inconnu",IF(AND(OR($G254="À migrer",$G254="À décommissionner"),COUNTIFS(TblClusters[Cluster],$I254,TblClusters[Environnement],$E254)=0),"Environnement ≠ cluster IKS",IF(AND(OR($G254="À migrer",$G254="Migré"),COUNTIFS(TblClusters[Cluster],$J254,TblClusters[Environnement],$E254)=0),"Environnement ≠ cluster ROKS",IF(AND($G254="À migrer",OR($P254&gt;$Q254,$Q254&gt;$R254)),"Dates incohérentes (prov ≤ bascule ≤ libération)",IF(AND(OR($G254="À migrer",$G254="À décommissionner"),OR(N($N254)&gt;SUMIFS(TblClusters[CPU initial (vCPU)],TblClusters[Cluster],$I254),N($O254)&gt;SUMIFS(TblClusters[RAM initiale (Go)],TblClusters[Cluster],$I254))),"Libération &gt; capacité du cluster source",IF(OR(AND($V254&lt;&gt;"",$V254&lt;p_debut),AND($W254&lt;&gt;"",$W254&gt;p_fin)),"Hors horizon (info)",IF(AND($G254="À migrer",$E254="PRD",COUNTIFS(TblApplications[ID],$C254,TblApplications[Environnement],"NPRD",TblApplications[Action],"À migrer")&gt;0,$V254&lt;_xlfn.MINIFS(TblApplications[Mois prov (calc)],TblApplications[ID],$C254,TblApplications[Environnement],"NPRD")),"PRD avant NPRD (info)","OK"))))))))))))))))))))</f>
        <v/>
      </c>
      <c r="AC254" s="76"/>
      <c r="AD254" s="76"/>
      <c r="AE254" s="22" t="str">
        <f aca="false">IF(OR($C254="",NOT(OR($G254="À migrer",$G254="À décommissionner")),NOT(ISNUMBER($N254)),NOT(ISNUMBER($O254)),$W254=""),"",($N254+p_poidsram*$O254)*SUMIFS(TblCalculs[Coût par unité],TblCalculs[Cluster],$I254,TblCalculs[Mois],"&lt;"&amp;$W254))</f>
        <v/>
      </c>
      <c r="AF254" s="22" t="str">
        <f aca="false">IF($C254="","",IF(AND($G254="À migrer",$H254="Non",$T254&lt;&gt;"",$V254&lt;&gt;""),($T254+p_poidsram*$U254)*SUMIFS(TblCalculs[Coût par unité],TblCalculs[Cluster],$J254,TblCalculs[Mois],"&gt;="&amp;$V254),IF(AND($G254="Migré",$T254&lt;&gt;""),($T254+p_poidsram*$U254)*SUMIFS(TblCalculs[Coût par unité],TblCalculs[Cluster],$J254),"")))</f>
        <v/>
      </c>
      <c r="AG254" s="22" t="str">
        <f aca="false">IF($C254="","",N($AE254)+N($AF254))</f>
        <v/>
      </c>
      <c r="AH254" s="21" t="str">
        <f aca="false">IF(OR($C254="",$G254="Décommissionné",COUNTIFS($E254,av_envc,$A254,av_domc,$B254,av_tric)=0),"",COUNTIFS($C$6:$C254,"&lt;&gt;",$G$6:$G254,"&lt;&gt;Décommissionné",$E$6:$E254,av_envc,$A$6:$A254,av_domc,$B$6:$B254,av_tric))</f>
        <v/>
      </c>
      <c r="AI254" s="21" t="str">
        <f aca="false">IF($C254="","",IF(AND(OR($G254="À migrer",$G254="À décommissionner"),$W254&lt;&gt;"",$W254&gt;ex_mois),1,0))</f>
        <v/>
      </c>
      <c r="AJ254" s="21" t="str">
        <f aca="false">IF(OR($C254="",$AI254&lt;&gt;1,COUNTIFS($E254,ex_envc,$A254,ex_domc,$B254,ex_tric)=0),"",COUNTIFS($AI$6:$AI254,1,$E$6:$E254,ex_envc,$A$6:$A254,ex_domc,$B$6:$B254,ex_tric))</f>
        <v/>
      </c>
    </row>
    <row r="255" customFormat="false" ht="15" hidden="false" customHeight="false" outlineLevel="0" collapsed="false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5"/>
      <c r="Q255" s="75"/>
      <c r="R255" s="75"/>
      <c r="S255" s="74"/>
      <c r="T255" s="21" t="str">
        <f aca="false">IF(OR($C255="",NOT(OR($G255="À migrer",$G255="Migré")),NOT(ISNUMBER($K255))),"",ROUNDUP($K255*(1+IF($AC255="",p_margeCPU,$AC255)),0))</f>
        <v/>
      </c>
      <c r="U255" s="21" t="str">
        <f aca="false">IF(OR($C255="",NOT(OR($G255="À migrer",$G255="Migré")),NOT(ISNUMBER($L255))),"",ROUNDUP($L255*(1+IF($AD255="",p_margeRAM,$AD255)),0))</f>
        <v/>
      </c>
      <c r="V255" s="39" t="str">
        <f aca="false">IF(OR(NOT($G255="À migrer"),$P255=""),"",IFERROR(DATE(YEAR($P255),MONTH($P255),1),""))</f>
        <v/>
      </c>
      <c r="W255" s="39" t="str">
        <f aca="false">IF(OR(NOT(OR($G255="À migrer",$G255="À décommissionner")),$R255=""),"",IFERROR(DATE(YEAR($R255),MONTH($R255),1),""))</f>
        <v/>
      </c>
      <c r="X255" s="21" t="str">
        <f aca="false">IF(OR($V255="",$W255=""),"",MAX(0,(YEAR($W255)-YEAR($V255))*12+MONTH($W255)-MONTH($V255)))</f>
        <v/>
      </c>
      <c r="Y255" s="21" t="str">
        <f aca="false">IF($C255="","",COUNTIF(TblApplications[ID],$C255))</f>
        <v/>
      </c>
      <c r="Z255" s="39" t="str">
        <f aca="false">IF($C255="","",IFERROR(1/(1/_xlfn.MINIFS(TblApplications[Mois prov (calc)],TblApplications[ID],$C255)),""))</f>
        <v/>
      </c>
      <c r="AA255" s="39" t="str">
        <f aca="false">IF($C255="","",IFERROR(1/(1/_xlfn.MAXIFS(TblApplications[Mois lib (calc)],TblApplications[ID],$C255)),""))</f>
        <v/>
      </c>
      <c r="AB255" s="21" t="str">
        <f aca="false">IF($C255="","",IF(OR(OR($A255="",$B255="",$D255="",$E255="",$F255="",$G255=""),AND($G255="À migrer",OR($H255="",$I255="",$J255="",$K255="",$L255="",$N255="",$O255="",$P255="",$Q255="",$R255="")),AND($G255="Migré",OR($J255="",$K255="",$L255="")),AND($G255="À décommissionner",OR($I255="",$N255="",$O255="",$R255=""))),"Données manquantes (selon l’action)",IF(AND($G255&lt;&gt;"Migré",$G255&lt;&gt;"À migrer",$G255&lt;&gt;"À décommissionner",$G255&lt;&gt;"Décommissionné"),"Action invalide",IF(COUNTIF(TblDomaines[Domaine],$A255)=0,"Domaine inconnu (référentiel)",IF(COUNTIFS(TblTribes[Tribe],$B255,TblTribes[Domaine de la tribe],$A255)=0,"Tribe inconnue ou hors domaine",IF(AND($G255="À migrer",$H255&lt;&gt;"Oui",$H255&lt;&gt;"Non"),"Valeur Oui/Non invalide (Déjà incluse ROKS)",IF(AND($E255&lt;&gt;"PRD",$E255&lt;&gt;"NPRD"),"Environnement invalide",IF(COUNTIFS(TblApplications[ID],$C255,TblApplications[Environnement],$E255,TblApplications[Couloir],$F255)&gt;1,"Déploiement en doublon (ID + env + couloir)",IF(OR(AND($K255&lt;&gt;"",NOT(ISNUMBER($K255))),AND($L255&lt;&gt;"",NOT(ISNUMBER($L255))),AND($N255&lt;&gt;"",NOT(ISNUMBER($N255))),AND($O255&lt;&gt;"",NOT(ISNUMBER($O255)))),"Ressource non numérique",IF(MIN(N($K255),N($L255),N($N255),N($O255))&lt;0,"Ressource négative",IF(OR(AND($AC255&lt;&gt;"",OR(NOT(ISNUMBER($AC255)),$AC255&lt;0,$AC255&gt;1)),AND($AD255&lt;&gt;"",OR(NOT(ISNUMBER($AD255)),$AD255&lt;0,$AD255&gt;1))),"Marge spécifique invalide (0–100 %)",IF(OR(AND($P255&lt;&gt;"",NOT(ISNUMBER($P255))),AND($Q255&lt;&gt;"",NOT(ISNUMBER($Q255))),AND($R255&lt;&gt;"",NOT(ISNUMBER($R255)))),"Mois invalide",IF(AND(OR($G255="À migrer",$G255="À décommissionner"),COUNTIFS(TblClusters[Cluster],$I255,TblClusters[Plateforme],"IKS")=0),"Cluster IKS inconnu",IF(AND(OR($G255="À migrer",$G255="Migré"),COUNTIFS(TblClusters[Cluster],$J255,TblClusters[Plateforme],"ROKS")=0),"Cluster ROKS inconnu",IF(AND(OR($G255="À migrer",$G255="À décommissionner"),COUNTIFS(TblClusters[Cluster],$I255,TblClusters[Environnement],$E255)=0),"Environnement ≠ cluster IKS",IF(AND(OR($G255="À migrer",$G255="Migré"),COUNTIFS(TblClusters[Cluster],$J255,TblClusters[Environnement],$E255)=0),"Environnement ≠ cluster ROKS",IF(AND($G255="À migrer",OR($P255&gt;$Q255,$Q255&gt;$R255)),"Dates incohérentes (prov ≤ bascule ≤ libération)",IF(AND(OR($G255="À migrer",$G255="À décommissionner"),OR(N($N255)&gt;SUMIFS(TblClusters[CPU initial (vCPU)],TblClusters[Cluster],$I255),N($O255)&gt;SUMIFS(TblClusters[RAM initiale (Go)],TblClusters[Cluster],$I255))),"Libération &gt; capacité du cluster source",IF(OR(AND($V255&lt;&gt;"",$V255&lt;p_debut),AND($W255&lt;&gt;"",$W255&gt;p_fin)),"Hors horizon (info)",IF(AND($G255="À migrer",$E255="PRD",COUNTIFS(TblApplications[ID],$C255,TblApplications[Environnement],"NPRD",TblApplications[Action],"À migrer")&gt;0,$V255&lt;_xlfn.MINIFS(TblApplications[Mois prov (calc)],TblApplications[ID],$C255,TblApplications[Environnement],"NPRD")),"PRD avant NPRD (info)","OK"))))))))))))))))))))</f>
        <v/>
      </c>
      <c r="AC255" s="76"/>
      <c r="AD255" s="76"/>
      <c r="AE255" s="22" t="str">
        <f aca="false">IF(OR($C255="",NOT(OR($G255="À migrer",$G255="À décommissionner")),NOT(ISNUMBER($N255)),NOT(ISNUMBER($O255)),$W255=""),"",($N255+p_poidsram*$O255)*SUMIFS(TblCalculs[Coût par unité],TblCalculs[Cluster],$I255,TblCalculs[Mois],"&lt;"&amp;$W255))</f>
        <v/>
      </c>
      <c r="AF255" s="22" t="str">
        <f aca="false">IF($C255="","",IF(AND($G255="À migrer",$H255="Non",$T255&lt;&gt;"",$V255&lt;&gt;""),($T255+p_poidsram*$U255)*SUMIFS(TblCalculs[Coût par unité],TblCalculs[Cluster],$J255,TblCalculs[Mois],"&gt;="&amp;$V255),IF(AND($G255="Migré",$T255&lt;&gt;""),($T255+p_poidsram*$U255)*SUMIFS(TblCalculs[Coût par unité],TblCalculs[Cluster],$J255),"")))</f>
        <v/>
      </c>
      <c r="AG255" s="22" t="str">
        <f aca="false">IF($C255="","",N($AE255)+N($AF255))</f>
        <v/>
      </c>
      <c r="AH255" s="21" t="str">
        <f aca="false">IF(OR($C255="",$G255="Décommissionné",COUNTIFS($E255,av_envc,$A255,av_domc,$B255,av_tric)=0),"",COUNTIFS($C$6:$C255,"&lt;&gt;",$G$6:$G255,"&lt;&gt;Décommissionné",$E$6:$E255,av_envc,$A$6:$A255,av_domc,$B$6:$B255,av_tric))</f>
        <v/>
      </c>
      <c r="AI255" s="21" t="str">
        <f aca="false">IF($C255="","",IF(AND(OR($G255="À migrer",$G255="À décommissionner"),$W255&lt;&gt;"",$W255&gt;ex_mois),1,0))</f>
        <v/>
      </c>
      <c r="AJ255" s="21" t="str">
        <f aca="false">IF(OR($C255="",$AI255&lt;&gt;1,COUNTIFS($E255,ex_envc,$A255,ex_domc,$B255,ex_tric)=0),"",COUNTIFS($AI$6:$AI255,1,$E$6:$E255,ex_envc,$A$6:$A255,ex_domc,$B$6:$B255,ex_tric))</f>
        <v/>
      </c>
    </row>
    <row r="256" customFormat="false" ht="15" hidden="false" customHeight="false" outlineLevel="0" collapsed="false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5"/>
      <c r="Q256" s="75"/>
      <c r="R256" s="75"/>
      <c r="S256" s="74"/>
      <c r="T256" s="21" t="str">
        <f aca="false">IF(OR($C256="",NOT(OR($G256="À migrer",$G256="Migré")),NOT(ISNUMBER($K256))),"",ROUNDUP($K256*(1+IF($AC256="",p_margeCPU,$AC256)),0))</f>
        <v/>
      </c>
      <c r="U256" s="21" t="str">
        <f aca="false">IF(OR($C256="",NOT(OR($G256="À migrer",$G256="Migré")),NOT(ISNUMBER($L256))),"",ROUNDUP($L256*(1+IF($AD256="",p_margeRAM,$AD256)),0))</f>
        <v/>
      </c>
      <c r="V256" s="39" t="str">
        <f aca="false">IF(OR(NOT($G256="À migrer"),$P256=""),"",IFERROR(DATE(YEAR($P256),MONTH($P256),1),""))</f>
        <v/>
      </c>
      <c r="W256" s="39" t="str">
        <f aca="false">IF(OR(NOT(OR($G256="À migrer",$G256="À décommissionner")),$R256=""),"",IFERROR(DATE(YEAR($R256),MONTH($R256),1),""))</f>
        <v/>
      </c>
      <c r="X256" s="21" t="str">
        <f aca="false">IF(OR($V256="",$W256=""),"",MAX(0,(YEAR($W256)-YEAR($V256))*12+MONTH($W256)-MONTH($V256)))</f>
        <v/>
      </c>
      <c r="Y256" s="21" t="str">
        <f aca="false">IF($C256="","",COUNTIF(TblApplications[ID],$C256))</f>
        <v/>
      </c>
      <c r="Z256" s="39" t="str">
        <f aca="false">IF($C256="","",IFERROR(1/(1/_xlfn.MINIFS(TblApplications[Mois prov (calc)],TblApplications[ID],$C256)),""))</f>
        <v/>
      </c>
      <c r="AA256" s="39" t="str">
        <f aca="false">IF($C256="","",IFERROR(1/(1/_xlfn.MAXIFS(TblApplications[Mois lib (calc)],TblApplications[ID],$C256)),""))</f>
        <v/>
      </c>
      <c r="AB256" s="21" t="str">
        <f aca="false">IF($C256="","",IF(OR(OR($A256="",$B256="",$D256="",$E256="",$F256="",$G256=""),AND($G256="À migrer",OR($H256="",$I256="",$J256="",$K256="",$L256="",$N256="",$O256="",$P256="",$Q256="",$R256="")),AND($G256="Migré",OR($J256="",$K256="",$L256="")),AND($G256="À décommissionner",OR($I256="",$N256="",$O256="",$R256=""))),"Données manquantes (selon l’action)",IF(AND($G256&lt;&gt;"Migré",$G256&lt;&gt;"À migrer",$G256&lt;&gt;"À décommissionner",$G256&lt;&gt;"Décommissionné"),"Action invalide",IF(COUNTIF(TblDomaines[Domaine],$A256)=0,"Domaine inconnu (référentiel)",IF(COUNTIFS(TblTribes[Tribe],$B256,TblTribes[Domaine de la tribe],$A256)=0,"Tribe inconnue ou hors domaine",IF(AND($G256="À migrer",$H256&lt;&gt;"Oui",$H256&lt;&gt;"Non"),"Valeur Oui/Non invalide (Déjà incluse ROKS)",IF(AND($E256&lt;&gt;"PRD",$E256&lt;&gt;"NPRD"),"Environnement invalide",IF(COUNTIFS(TblApplications[ID],$C256,TblApplications[Environnement],$E256,TblApplications[Couloir],$F256)&gt;1,"Déploiement en doublon (ID + env + couloir)",IF(OR(AND($K256&lt;&gt;"",NOT(ISNUMBER($K256))),AND($L256&lt;&gt;"",NOT(ISNUMBER($L256))),AND($N256&lt;&gt;"",NOT(ISNUMBER($N256))),AND($O256&lt;&gt;"",NOT(ISNUMBER($O256)))),"Ressource non numérique",IF(MIN(N($K256),N($L256),N($N256),N($O256))&lt;0,"Ressource négative",IF(OR(AND($AC256&lt;&gt;"",OR(NOT(ISNUMBER($AC256)),$AC256&lt;0,$AC256&gt;1)),AND($AD256&lt;&gt;"",OR(NOT(ISNUMBER($AD256)),$AD256&lt;0,$AD256&gt;1))),"Marge spécifique invalide (0–100 %)",IF(OR(AND($P256&lt;&gt;"",NOT(ISNUMBER($P256))),AND($Q256&lt;&gt;"",NOT(ISNUMBER($Q256))),AND($R256&lt;&gt;"",NOT(ISNUMBER($R256)))),"Mois invalide",IF(AND(OR($G256="À migrer",$G256="À décommissionner"),COUNTIFS(TblClusters[Cluster],$I256,TblClusters[Plateforme],"IKS")=0),"Cluster IKS inconnu",IF(AND(OR($G256="À migrer",$G256="Migré"),COUNTIFS(TblClusters[Cluster],$J256,TblClusters[Plateforme],"ROKS")=0),"Cluster ROKS inconnu",IF(AND(OR($G256="À migrer",$G256="À décommissionner"),COUNTIFS(TblClusters[Cluster],$I256,TblClusters[Environnement],$E256)=0),"Environnement ≠ cluster IKS",IF(AND(OR($G256="À migrer",$G256="Migré"),COUNTIFS(TblClusters[Cluster],$J256,TblClusters[Environnement],$E256)=0),"Environnement ≠ cluster ROKS",IF(AND($G256="À migrer",OR($P256&gt;$Q256,$Q256&gt;$R256)),"Dates incohérentes (prov ≤ bascule ≤ libération)",IF(AND(OR($G256="À migrer",$G256="À décommissionner"),OR(N($N256)&gt;SUMIFS(TblClusters[CPU initial (vCPU)],TblClusters[Cluster],$I256),N($O256)&gt;SUMIFS(TblClusters[RAM initiale (Go)],TblClusters[Cluster],$I256))),"Libération &gt; capacité du cluster source",IF(OR(AND($V256&lt;&gt;"",$V256&lt;p_debut),AND($W256&lt;&gt;"",$W256&gt;p_fin)),"Hors horizon (info)",IF(AND($G256="À migrer",$E256="PRD",COUNTIFS(TblApplications[ID],$C256,TblApplications[Environnement],"NPRD",TblApplications[Action],"À migrer")&gt;0,$V256&lt;_xlfn.MINIFS(TblApplications[Mois prov (calc)],TblApplications[ID],$C256,TblApplications[Environnement],"NPRD")),"PRD avant NPRD (info)","OK"))))))))))))))))))))</f>
        <v/>
      </c>
      <c r="AC256" s="76"/>
      <c r="AD256" s="76"/>
      <c r="AE256" s="22" t="str">
        <f aca="false">IF(OR($C256="",NOT(OR($G256="À migrer",$G256="À décommissionner")),NOT(ISNUMBER($N256)),NOT(ISNUMBER($O256)),$W256=""),"",($N256+p_poidsram*$O256)*SUMIFS(TblCalculs[Coût par unité],TblCalculs[Cluster],$I256,TblCalculs[Mois],"&lt;"&amp;$W256))</f>
        <v/>
      </c>
      <c r="AF256" s="22" t="str">
        <f aca="false">IF($C256="","",IF(AND($G256="À migrer",$H256="Non",$T256&lt;&gt;"",$V256&lt;&gt;""),($T256+p_poidsram*$U256)*SUMIFS(TblCalculs[Coût par unité],TblCalculs[Cluster],$J256,TblCalculs[Mois],"&gt;="&amp;$V256),IF(AND($G256="Migré",$T256&lt;&gt;""),($T256+p_poidsram*$U256)*SUMIFS(TblCalculs[Coût par unité],TblCalculs[Cluster],$J256),"")))</f>
        <v/>
      </c>
      <c r="AG256" s="22" t="str">
        <f aca="false">IF($C256="","",N($AE256)+N($AF256))</f>
        <v/>
      </c>
      <c r="AH256" s="21" t="str">
        <f aca="false">IF(OR($C256="",$G256="Décommissionné",COUNTIFS($E256,av_envc,$A256,av_domc,$B256,av_tric)=0),"",COUNTIFS($C$6:$C256,"&lt;&gt;",$G$6:$G256,"&lt;&gt;Décommissionné",$E$6:$E256,av_envc,$A$6:$A256,av_domc,$B$6:$B256,av_tric))</f>
        <v/>
      </c>
      <c r="AI256" s="21" t="str">
        <f aca="false">IF($C256="","",IF(AND(OR($G256="À migrer",$G256="À décommissionner"),$W256&lt;&gt;"",$W256&gt;ex_mois),1,0))</f>
        <v/>
      </c>
      <c r="AJ256" s="21" t="str">
        <f aca="false">IF(OR($C256="",$AI256&lt;&gt;1,COUNTIFS($E256,ex_envc,$A256,ex_domc,$B256,ex_tric)=0),"",COUNTIFS($AI$6:$AI256,1,$E$6:$E256,ex_envc,$A$6:$A256,ex_domc,$B$6:$B256,ex_tric))</f>
        <v/>
      </c>
    </row>
    <row r="257" customFormat="false" ht="15" hidden="false" customHeight="false" outlineLevel="0" collapsed="false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5"/>
      <c r="Q257" s="75"/>
      <c r="R257" s="75"/>
      <c r="S257" s="74"/>
      <c r="T257" s="21" t="str">
        <f aca="false">IF(OR($C257="",NOT(OR($G257="À migrer",$G257="Migré")),NOT(ISNUMBER($K257))),"",ROUNDUP($K257*(1+IF($AC257="",p_margeCPU,$AC257)),0))</f>
        <v/>
      </c>
      <c r="U257" s="21" t="str">
        <f aca="false">IF(OR($C257="",NOT(OR($G257="À migrer",$G257="Migré")),NOT(ISNUMBER($L257))),"",ROUNDUP($L257*(1+IF($AD257="",p_margeRAM,$AD257)),0))</f>
        <v/>
      </c>
      <c r="V257" s="39" t="str">
        <f aca="false">IF(OR(NOT($G257="À migrer"),$P257=""),"",IFERROR(DATE(YEAR($P257),MONTH($P257),1),""))</f>
        <v/>
      </c>
      <c r="W257" s="39" t="str">
        <f aca="false">IF(OR(NOT(OR($G257="À migrer",$G257="À décommissionner")),$R257=""),"",IFERROR(DATE(YEAR($R257),MONTH($R257),1),""))</f>
        <v/>
      </c>
      <c r="X257" s="21" t="str">
        <f aca="false">IF(OR($V257="",$W257=""),"",MAX(0,(YEAR($W257)-YEAR($V257))*12+MONTH($W257)-MONTH($V257)))</f>
        <v/>
      </c>
      <c r="Y257" s="21" t="str">
        <f aca="false">IF($C257="","",COUNTIF(TblApplications[ID],$C257))</f>
        <v/>
      </c>
      <c r="Z257" s="39" t="str">
        <f aca="false">IF($C257="","",IFERROR(1/(1/_xlfn.MINIFS(TblApplications[Mois prov (calc)],TblApplications[ID],$C257)),""))</f>
        <v/>
      </c>
      <c r="AA257" s="39" t="str">
        <f aca="false">IF($C257="","",IFERROR(1/(1/_xlfn.MAXIFS(TblApplications[Mois lib (calc)],TblApplications[ID],$C257)),""))</f>
        <v/>
      </c>
      <c r="AB257" s="21" t="str">
        <f aca="false">IF($C257="","",IF(OR(OR($A257="",$B257="",$D257="",$E257="",$F257="",$G257=""),AND($G257="À migrer",OR($H257="",$I257="",$J257="",$K257="",$L257="",$N257="",$O257="",$P257="",$Q257="",$R257="")),AND($G257="Migré",OR($J257="",$K257="",$L257="")),AND($G257="À décommissionner",OR($I257="",$N257="",$O257="",$R257=""))),"Données manquantes (selon l’action)",IF(AND($G257&lt;&gt;"Migré",$G257&lt;&gt;"À migrer",$G257&lt;&gt;"À décommissionner",$G257&lt;&gt;"Décommissionné"),"Action invalide",IF(COUNTIF(TblDomaines[Domaine],$A257)=0,"Domaine inconnu (référentiel)",IF(COUNTIFS(TblTribes[Tribe],$B257,TblTribes[Domaine de la tribe],$A257)=0,"Tribe inconnue ou hors domaine",IF(AND($G257="À migrer",$H257&lt;&gt;"Oui",$H257&lt;&gt;"Non"),"Valeur Oui/Non invalide (Déjà incluse ROKS)",IF(AND($E257&lt;&gt;"PRD",$E257&lt;&gt;"NPRD"),"Environnement invalide",IF(COUNTIFS(TblApplications[ID],$C257,TblApplications[Environnement],$E257,TblApplications[Couloir],$F257)&gt;1,"Déploiement en doublon (ID + env + couloir)",IF(OR(AND($K257&lt;&gt;"",NOT(ISNUMBER($K257))),AND($L257&lt;&gt;"",NOT(ISNUMBER($L257))),AND($N257&lt;&gt;"",NOT(ISNUMBER($N257))),AND($O257&lt;&gt;"",NOT(ISNUMBER($O257)))),"Ressource non numérique",IF(MIN(N($K257),N($L257),N($N257),N($O257))&lt;0,"Ressource négative",IF(OR(AND($AC257&lt;&gt;"",OR(NOT(ISNUMBER($AC257)),$AC257&lt;0,$AC257&gt;1)),AND($AD257&lt;&gt;"",OR(NOT(ISNUMBER($AD257)),$AD257&lt;0,$AD257&gt;1))),"Marge spécifique invalide (0–100 %)",IF(OR(AND($P257&lt;&gt;"",NOT(ISNUMBER($P257))),AND($Q257&lt;&gt;"",NOT(ISNUMBER($Q257))),AND($R257&lt;&gt;"",NOT(ISNUMBER($R257)))),"Mois invalide",IF(AND(OR($G257="À migrer",$G257="À décommissionner"),COUNTIFS(TblClusters[Cluster],$I257,TblClusters[Plateforme],"IKS")=0),"Cluster IKS inconnu",IF(AND(OR($G257="À migrer",$G257="Migré"),COUNTIFS(TblClusters[Cluster],$J257,TblClusters[Plateforme],"ROKS")=0),"Cluster ROKS inconnu",IF(AND(OR($G257="À migrer",$G257="À décommissionner"),COUNTIFS(TblClusters[Cluster],$I257,TblClusters[Environnement],$E257)=0),"Environnement ≠ cluster IKS",IF(AND(OR($G257="À migrer",$G257="Migré"),COUNTIFS(TblClusters[Cluster],$J257,TblClusters[Environnement],$E257)=0),"Environnement ≠ cluster ROKS",IF(AND($G257="À migrer",OR($P257&gt;$Q257,$Q257&gt;$R257)),"Dates incohérentes (prov ≤ bascule ≤ libération)",IF(AND(OR($G257="À migrer",$G257="À décommissionner"),OR(N($N257)&gt;SUMIFS(TblClusters[CPU initial (vCPU)],TblClusters[Cluster],$I257),N($O257)&gt;SUMIFS(TblClusters[RAM initiale (Go)],TblClusters[Cluster],$I257))),"Libération &gt; capacité du cluster source",IF(OR(AND($V257&lt;&gt;"",$V257&lt;p_debut),AND($W257&lt;&gt;"",$W257&gt;p_fin)),"Hors horizon (info)",IF(AND($G257="À migrer",$E257="PRD",COUNTIFS(TblApplications[ID],$C257,TblApplications[Environnement],"NPRD",TblApplications[Action],"À migrer")&gt;0,$V257&lt;_xlfn.MINIFS(TblApplications[Mois prov (calc)],TblApplications[ID],$C257,TblApplications[Environnement],"NPRD")),"PRD avant NPRD (info)","OK"))))))))))))))))))))</f>
        <v/>
      </c>
      <c r="AC257" s="76"/>
      <c r="AD257" s="76"/>
      <c r="AE257" s="22" t="str">
        <f aca="false">IF(OR($C257="",NOT(OR($G257="À migrer",$G257="À décommissionner")),NOT(ISNUMBER($N257)),NOT(ISNUMBER($O257)),$W257=""),"",($N257+p_poidsram*$O257)*SUMIFS(TblCalculs[Coût par unité],TblCalculs[Cluster],$I257,TblCalculs[Mois],"&lt;"&amp;$W257))</f>
        <v/>
      </c>
      <c r="AF257" s="22" t="str">
        <f aca="false">IF($C257="","",IF(AND($G257="À migrer",$H257="Non",$T257&lt;&gt;"",$V257&lt;&gt;""),($T257+p_poidsram*$U257)*SUMIFS(TblCalculs[Coût par unité],TblCalculs[Cluster],$J257,TblCalculs[Mois],"&gt;="&amp;$V257),IF(AND($G257="Migré",$T257&lt;&gt;""),($T257+p_poidsram*$U257)*SUMIFS(TblCalculs[Coût par unité],TblCalculs[Cluster],$J257),"")))</f>
        <v/>
      </c>
      <c r="AG257" s="22" t="str">
        <f aca="false">IF($C257="","",N($AE257)+N($AF257))</f>
        <v/>
      </c>
      <c r="AH257" s="21" t="str">
        <f aca="false">IF(OR($C257="",$G257="Décommissionné",COUNTIFS($E257,av_envc,$A257,av_domc,$B257,av_tric)=0),"",COUNTIFS($C$6:$C257,"&lt;&gt;",$G$6:$G257,"&lt;&gt;Décommissionné",$E$6:$E257,av_envc,$A$6:$A257,av_domc,$B$6:$B257,av_tric))</f>
        <v/>
      </c>
      <c r="AI257" s="21" t="str">
        <f aca="false">IF($C257="","",IF(AND(OR($G257="À migrer",$G257="À décommissionner"),$W257&lt;&gt;"",$W257&gt;ex_mois),1,0))</f>
        <v/>
      </c>
      <c r="AJ257" s="21" t="str">
        <f aca="false">IF(OR($C257="",$AI257&lt;&gt;1,COUNTIFS($E257,ex_envc,$A257,ex_domc,$B257,ex_tric)=0),"",COUNTIFS($AI$6:$AI257,1,$E$6:$E257,ex_envc,$A$6:$A257,ex_domc,$B$6:$B257,ex_tric))</f>
        <v/>
      </c>
    </row>
    <row r="258" customFormat="false" ht="15" hidden="false" customHeight="false" outlineLevel="0" collapsed="false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5"/>
      <c r="Q258" s="75"/>
      <c r="R258" s="75"/>
      <c r="S258" s="74"/>
      <c r="T258" s="21" t="str">
        <f aca="false">IF(OR($C258="",NOT(OR($G258="À migrer",$G258="Migré")),NOT(ISNUMBER($K258))),"",ROUNDUP($K258*(1+IF($AC258="",p_margeCPU,$AC258)),0))</f>
        <v/>
      </c>
      <c r="U258" s="21" t="str">
        <f aca="false">IF(OR($C258="",NOT(OR($G258="À migrer",$G258="Migré")),NOT(ISNUMBER($L258))),"",ROUNDUP($L258*(1+IF($AD258="",p_margeRAM,$AD258)),0))</f>
        <v/>
      </c>
      <c r="V258" s="39" t="str">
        <f aca="false">IF(OR(NOT($G258="À migrer"),$P258=""),"",IFERROR(DATE(YEAR($P258),MONTH($P258),1),""))</f>
        <v/>
      </c>
      <c r="W258" s="39" t="str">
        <f aca="false">IF(OR(NOT(OR($G258="À migrer",$G258="À décommissionner")),$R258=""),"",IFERROR(DATE(YEAR($R258),MONTH($R258),1),""))</f>
        <v/>
      </c>
      <c r="X258" s="21" t="str">
        <f aca="false">IF(OR($V258="",$W258=""),"",MAX(0,(YEAR($W258)-YEAR($V258))*12+MONTH($W258)-MONTH($V258)))</f>
        <v/>
      </c>
      <c r="Y258" s="21" t="str">
        <f aca="false">IF($C258="","",COUNTIF(TblApplications[ID],$C258))</f>
        <v/>
      </c>
      <c r="Z258" s="39" t="str">
        <f aca="false">IF($C258="","",IFERROR(1/(1/_xlfn.MINIFS(TblApplications[Mois prov (calc)],TblApplications[ID],$C258)),""))</f>
        <v/>
      </c>
      <c r="AA258" s="39" t="str">
        <f aca="false">IF($C258="","",IFERROR(1/(1/_xlfn.MAXIFS(TblApplications[Mois lib (calc)],TblApplications[ID],$C258)),""))</f>
        <v/>
      </c>
      <c r="AB258" s="21" t="str">
        <f aca="false">IF($C258="","",IF(OR(OR($A258="",$B258="",$D258="",$E258="",$F258="",$G258=""),AND($G258="À migrer",OR($H258="",$I258="",$J258="",$K258="",$L258="",$N258="",$O258="",$P258="",$Q258="",$R258="")),AND($G258="Migré",OR($J258="",$K258="",$L258="")),AND($G258="À décommissionner",OR($I258="",$N258="",$O258="",$R258=""))),"Données manquantes (selon l’action)",IF(AND($G258&lt;&gt;"Migré",$G258&lt;&gt;"À migrer",$G258&lt;&gt;"À décommissionner",$G258&lt;&gt;"Décommissionné"),"Action invalide",IF(COUNTIF(TblDomaines[Domaine],$A258)=0,"Domaine inconnu (référentiel)",IF(COUNTIFS(TblTribes[Tribe],$B258,TblTribes[Domaine de la tribe],$A258)=0,"Tribe inconnue ou hors domaine",IF(AND($G258="À migrer",$H258&lt;&gt;"Oui",$H258&lt;&gt;"Non"),"Valeur Oui/Non invalide (Déjà incluse ROKS)",IF(AND($E258&lt;&gt;"PRD",$E258&lt;&gt;"NPRD"),"Environnement invalide",IF(COUNTIFS(TblApplications[ID],$C258,TblApplications[Environnement],$E258,TblApplications[Couloir],$F258)&gt;1,"Déploiement en doublon (ID + env + couloir)",IF(OR(AND($K258&lt;&gt;"",NOT(ISNUMBER($K258))),AND($L258&lt;&gt;"",NOT(ISNUMBER($L258))),AND($N258&lt;&gt;"",NOT(ISNUMBER($N258))),AND($O258&lt;&gt;"",NOT(ISNUMBER($O258)))),"Ressource non numérique",IF(MIN(N($K258),N($L258),N($N258),N($O258))&lt;0,"Ressource négative",IF(OR(AND($AC258&lt;&gt;"",OR(NOT(ISNUMBER($AC258)),$AC258&lt;0,$AC258&gt;1)),AND($AD258&lt;&gt;"",OR(NOT(ISNUMBER($AD258)),$AD258&lt;0,$AD258&gt;1))),"Marge spécifique invalide (0–100 %)",IF(OR(AND($P258&lt;&gt;"",NOT(ISNUMBER($P258))),AND($Q258&lt;&gt;"",NOT(ISNUMBER($Q258))),AND($R258&lt;&gt;"",NOT(ISNUMBER($R258)))),"Mois invalide",IF(AND(OR($G258="À migrer",$G258="À décommissionner"),COUNTIFS(TblClusters[Cluster],$I258,TblClusters[Plateforme],"IKS")=0),"Cluster IKS inconnu",IF(AND(OR($G258="À migrer",$G258="Migré"),COUNTIFS(TblClusters[Cluster],$J258,TblClusters[Plateforme],"ROKS")=0),"Cluster ROKS inconnu",IF(AND(OR($G258="À migrer",$G258="À décommissionner"),COUNTIFS(TblClusters[Cluster],$I258,TblClusters[Environnement],$E258)=0),"Environnement ≠ cluster IKS",IF(AND(OR($G258="À migrer",$G258="Migré"),COUNTIFS(TblClusters[Cluster],$J258,TblClusters[Environnement],$E258)=0),"Environnement ≠ cluster ROKS",IF(AND($G258="À migrer",OR($P258&gt;$Q258,$Q258&gt;$R258)),"Dates incohérentes (prov ≤ bascule ≤ libération)",IF(AND(OR($G258="À migrer",$G258="À décommissionner"),OR(N($N258)&gt;SUMIFS(TblClusters[CPU initial (vCPU)],TblClusters[Cluster],$I258),N($O258)&gt;SUMIFS(TblClusters[RAM initiale (Go)],TblClusters[Cluster],$I258))),"Libération &gt; capacité du cluster source",IF(OR(AND($V258&lt;&gt;"",$V258&lt;p_debut),AND($W258&lt;&gt;"",$W258&gt;p_fin)),"Hors horizon (info)",IF(AND($G258="À migrer",$E258="PRD",COUNTIFS(TblApplications[ID],$C258,TblApplications[Environnement],"NPRD",TblApplications[Action],"À migrer")&gt;0,$V258&lt;_xlfn.MINIFS(TblApplications[Mois prov (calc)],TblApplications[ID],$C258,TblApplications[Environnement],"NPRD")),"PRD avant NPRD (info)","OK"))))))))))))))))))))</f>
        <v/>
      </c>
      <c r="AC258" s="76"/>
      <c r="AD258" s="76"/>
      <c r="AE258" s="22" t="str">
        <f aca="false">IF(OR($C258="",NOT(OR($G258="À migrer",$G258="À décommissionner")),NOT(ISNUMBER($N258)),NOT(ISNUMBER($O258)),$W258=""),"",($N258+p_poidsram*$O258)*SUMIFS(TblCalculs[Coût par unité],TblCalculs[Cluster],$I258,TblCalculs[Mois],"&lt;"&amp;$W258))</f>
        <v/>
      </c>
      <c r="AF258" s="22" t="str">
        <f aca="false">IF($C258="","",IF(AND($G258="À migrer",$H258="Non",$T258&lt;&gt;"",$V258&lt;&gt;""),($T258+p_poidsram*$U258)*SUMIFS(TblCalculs[Coût par unité],TblCalculs[Cluster],$J258,TblCalculs[Mois],"&gt;="&amp;$V258),IF(AND($G258="Migré",$T258&lt;&gt;""),($T258+p_poidsram*$U258)*SUMIFS(TblCalculs[Coût par unité],TblCalculs[Cluster],$J258),"")))</f>
        <v/>
      </c>
      <c r="AG258" s="22" t="str">
        <f aca="false">IF($C258="","",N($AE258)+N($AF258))</f>
        <v/>
      </c>
      <c r="AH258" s="21" t="str">
        <f aca="false">IF(OR($C258="",$G258="Décommissionné",COUNTIFS($E258,av_envc,$A258,av_domc,$B258,av_tric)=0),"",COUNTIFS($C$6:$C258,"&lt;&gt;",$G$6:$G258,"&lt;&gt;Décommissionné",$E$6:$E258,av_envc,$A$6:$A258,av_domc,$B$6:$B258,av_tric))</f>
        <v/>
      </c>
      <c r="AI258" s="21" t="str">
        <f aca="false">IF($C258="","",IF(AND(OR($G258="À migrer",$G258="À décommissionner"),$W258&lt;&gt;"",$W258&gt;ex_mois),1,0))</f>
        <v/>
      </c>
      <c r="AJ258" s="21" t="str">
        <f aca="false">IF(OR($C258="",$AI258&lt;&gt;1,COUNTIFS($E258,ex_envc,$A258,ex_domc,$B258,ex_tric)=0),"",COUNTIFS($AI$6:$AI258,1,$E$6:$E258,ex_envc,$A$6:$A258,ex_domc,$B$6:$B258,ex_tric))</f>
        <v/>
      </c>
    </row>
    <row r="259" customFormat="false" ht="15" hidden="false" customHeight="false" outlineLevel="0" collapsed="false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5"/>
      <c r="Q259" s="75"/>
      <c r="R259" s="75"/>
      <c r="S259" s="74"/>
      <c r="T259" s="21" t="str">
        <f aca="false">IF(OR($C259="",NOT(OR($G259="À migrer",$G259="Migré")),NOT(ISNUMBER($K259))),"",ROUNDUP($K259*(1+IF($AC259="",p_margeCPU,$AC259)),0))</f>
        <v/>
      </c>
      <c r="U259" s="21" t="str">
        <f aca="false">IF(OR($C259="",NOT(OR($G259="À migrer",$G259="Migré")),NOT(ISNUMBER($L259))),"",ROUNDUP($L259*(1+IF($AD259="",p_margeRAM,$AD259)),0))</f>
        <v/>
      </c>
      <c r="V259" s="39" t="str">
        <f aca="false">IF(OR(NOT($G259="À migrer"),$P259=""),"",IFERROR(DATE(YEAR($P259),MONTH($P259),1),""))</f>
        <v/>
      </c>
      <c r="W259" s="39" t="str">
        <f aca="false">IF(OR(NOT(OR($G259="À migrer",$G259="À décommissionner")),$R259=""),"",IFERROR(DATE(YEAR($R259),MONTH($R259),1),""))</f>
        <v/>
      </c>
      <c r="X259" s="21" t="str">
        <f aca="false">IF(OR($V259="",$W259=""),"",MAX(0,(YEAR($W259)-YEAR($V259))*12+MONTH($W259)-MONTH($V259)))</f>
        <v/>
      </c>
      <c r="Y259" s="21" t="str">
        <f aca="false">IF($C259="","",COUNTIF(TblApplications[ID],$C259))</f>
        <v/>
      </c>
      <c r="Z259" s="39" t="str">
        <f aca="false">IF($C259="","",IFERROR(1/(1/_xlfn.MINIFS(TblApplications[Mois prov (calc)],TblApplications[ID],$C259)),""))</f>
        <v/>
      </c>
      <c r="AA259" s="39" t="str">
        <f aca="false">IF($C259="","",IFERROR(1/(1/_xlfn.MAXIFS(TblApplications[Mois lib (calc)],TblApplications[ID],$C259)),""))</f>
        <v/>
      </c>
      <c r="AB259" s="21" t="str">
        <f aca="false">IF($C259="","",IF(OR(OR($A259="",$B259="",$D259="",$E259="",$F259="",$G259=""),AND($G259="À migrer",OR($H259="",$I259="",$J259="",$K259="",$L259="",$N259="",$O259="",$P259="",$Q259="",$R259="")),AND($G259="Migré",OR($J259="",$K259="",$L259="")),AND($G259="À décommissionner",OR($I259="",$N259="",$O259="",$R259=""))),"Données manquantes (selon l’action)",IF(AND($G259&lt;&gt;"Migré",$G259&lt;&gt;"À migrer",$G259&lt;&gt;"À décommissionner",$G259&lt;&gt;"Décommissionné"),"Action invalide",IF(COUNTIF(TblDomaines[Domaine],$A259)=0,"Domaine inconnu (référentiel)",IF(COUNTIFS(TblTribes[Tribe],$B259,TblTribes[Domaine de la tribe],$A259)=0,"Tribe inconnue ou hors domaine",IF(AND($G259="À migrer",$H259&lt;&gt;"Oui",$H259&lt;&gt;"Non"),"Valeur Oui/Non invalide (Déjà incluse ROKS)",IF(AND($E259&lt;&gt;"PRD",$E259&lt;&gt;"NPRD"),"Environnement invalide",IF(COUNTIFS(TblApplications[ID],$C259,TblApplications[Environnement],$E259,TblApplications[Couloir],$F259)&gt;1,"Déploiement en doublon (ID + env + couloir)",IF(OR(AND($K259&lt;&gt;"",NOT(ISNUMBER($K259))),AND($L259&lt;&gt;"",NOT(ISNUMBER($L259))),AND($N259&lt;&gt;"",NOT(ISNUMBER($N259))),AND($O259&lt;&gt;"",NOT(ISNUMBER($O259)))),"Ressource non numérique",IF(MIN(N($K259),N($L259),N($N259),N($O259))&lt;0,"Ressource négative",IF(OR(AND($AC259&lt;&gt;"",OR(NOT(ISNUMBER($AC259)),$AC259&lt;0,$AC259&gt;1)),AND($AD259&lt;&gt;"",OR(NOT(ISNUMBER($AD259)),$AD259&lt;0,$AD259&gt;1))),"Marge spécifique invalide (0–100 %)",IF(OR(AND($P259&lt;&gt;"",NOT(ISNUMBER($P259))),AND($Q259&lt;&gt;"",NOT(ISNUMBER($Q259))),AND($R259&lt;&gt;"",NOT(ISNUMBER($R259)))),"Mois invalide",IF(AND(OR($G259="À migrer",$G259="À décommissionner"),COUNTIFS(TblClusters[Cluster],$I259,TblClusters[Plateforme],"IKS")=0),"Cluster IKS inconnu",IF(AND(OR($G259="À migrer",$G259="Migré"),COUNTIFS(TblClusters[Cluster],$J259,TblClusters[Plateforme],"ROKS")=0),"Cluster ROKS inconnu",IF(AND(OR($G259="À migrer",$G259="À décommissionner"),COUNTIFS(TblClusters[Cluster],$I259,TblClusters[Environnement],$E259)=0),"Environnement ≠ cluster IKS",IF(AND(OR($G259="À migrer",$G259="Migré"),COUNTIFS(TblClusters[Cluster],$J259,TblClusters[Environnement],$E259)=0),"Environnement ≠ cluster ROKS",IF(AND($G259="À migrer",OR($P259&gt;$Q259,$Q259&gt;$R259)),"Dates incohérentes (prov ≤ bascule ≤ libération)",IF(AND(OR($G259="À migrer",$G259="À décommissionner"),OR(N($N259)&gt;SUMIFS(TblClusters[CPU initial (vCPU)],TblClusters[Cluster],$I259),N($O259)&gt;SUMIFS(TblClusters[RAM initiale (Go)],TblClusters[Cluster],$I259))),"Libération &gt; capacité du cluster source",IF(OR(AND($V259&lt;&gt;"",$V259&lt;p_debut),AND($W259&lt;&gt;"",$W259&gt;p_fin)),"Hors horizon (info)",IF(AND($G259="À migrer",$E259="PRD",COUNTIFS(TblApplications[ID],$C259,TblApplications[Environnement],"NPRD",TblApplications[Action],"À migrer")&gt;0,$V259&lt;_xlfn.MINIFS(TblApplications[Mois prov (calc)],TblApplications[ID],$C259,TblApplications[Environnement],"NPRD")),"PRD avant NPRD (info)","OK"))))))))))))))))))))</f>
        <v/>
      </c>
      <c r="AC259" s="76"/>
      <c r="AD259" s="76"/>
      <c r="AE259" s="22" t="str">
        <f aca="false">IF(OR($C259="",NOT(OR($G259="À migrer",$G259="À décommissionner")),NOT(ISNUMBER($N259)),NOT(ISNUMBER($O259)),$W259=""),"",($N259+p_poidsram*$O259)*SUMIFS(TblCalculs[Coût par unité],TblCalculs[Cluster],$I259,TblCalculs[Mois],"&lt;"&amp;$W259))</f>
        <v/>
      </c>
      <c r="AF259" s="22" t="str">
        <f aca="false">IF($C259="","",IF(AND($G259="À migrer",$H259="Non",$T259&lt;&gt;"",$V259&lt;&gt;""),($T259+p_poidsram*$U259)*SUMIFS(TblCalculs[Coût par unité],TblCalculs[Cluster],$J259,TblCalculs[Mois],"&gt;="&amp;$V259),IF(AND($G259="Migré",$T259&lt;&gt;""),($T259+p_poidsram*$U259)*SUMIFS(TblCalculs[Coût par unité],TblCalculs[Cluster],$J259),"")))</f>
        <v/>
      </c>
      <c r="AG259" s="22" t="str">
        <f aca="false">IF($C259="","",N($AE259)+N($AF259))</f>
        <v/>
      </c>
      <c r="AH259" s="21" t="str">
        <f aca="false">IF(OR($C259="",$G259="Décommissionné",COUNTIFS($E259,av_envc,$A259,av_domc,$B259,av_tric)=0),"",COUNTIFS($C$6:$C259,"&lt;&gt;",$G$6:$G259,"&lt;&gt;Décommissionné",$E$6:$E259,av_envc,$A$6:$A259,av_domc,$B$6:$B259,av_tric))</f>
        <v/>
      </c>
      <c r="AI259" s="21" t="str">
        <f aca="false">IF($C259="","",IF(AND(OR($G259="À migrer",$G259="À décommissionner"),$W259&lt;&gt;"",$W259&gt;ex_mois),1,0))</f>
        <v/>
      </c>
      <c r="AJ259" s="21" t="str">
        <f aca="false">IF(OR($C259="",$AI259&lt;&gt;1,COUNTIFS($E259,ex_envc,$A259,ex_domc,$B259,ex_tric)=0),"",COUNTIFS($AI$6:$AI259,1,$E$6:$E259,ex_envc,$A$6:$A259,ex_domc,$B$6:$B259,ex_tric))</f>
        <v/>
      </c>
    </row>
    <row r="260" customFormat="false" ht="15" hidden="false" customHeight="false" outlineLevel="0" collapsed="false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5"/>
      <c r="Q260" s="75"/>
      <c r="R260" s="75"/>
      <c r="S260" s="74"/>
      <c r="T260" s="21" t="str">
        <f aca="false">IF(OR($C260="",NOT(OR($G260="À migrer",$G260="Migré")),NOT(ISNUMBER($K260))),"",ROUNDUP($K260*(1+IF($AC260="",p_margeCPU,$AC260)),0))</f>
        <v/>
      </c>
      <c r="U260" s="21" t="str">
        <f aca="false">IF(OR($C260="",NOT(OR($G260="À migrer",$G260="Migré")),NOT(ISNUMBER($L260))),"",ROUNDUP($L260*(1+IF($AD260="",p_margeRAM,$AD260)),0))</f>
        <v/>
      </c>
      <c r="V260" s="39" t="str">
        <f aca="false">IF(OR(NOT($G260="À migrer"),$P260=""),"",IFERROR(DATE(YEAR($P260),MONTH($P260),1),""))</f>
        <v/>
      </c>
      <c r="W260" s="39" t="str">
        <f aca="false">IF(OR(NOT(OR($G260="À migrer",$G260="À décommissionner")),$R260=""),"",IFERROR(DATE(YEAR($R260),MONTH($R260),1),""))</f>
        <v/>
      </c>
      <c r="X260" s="21" t="str">
        <f aca="false">IF(OR($V260="",$W260=""),"",MAX(0,(YEAR($W260)-YEAR($V260))*12+MONTH($W260)-MONTH($V260)))</f>
        <v/>
      </c>
      <c r="Y260" s="21" t="str">
        <f aca="false">IF($C260="","",COUNTIF(TblApplications[ID],$C260))</f>
        <v/>
      </c>
      <c r="Z260" s="39" t="str">
        <f aca="false">IF($C260="","",IFERROR(1/(1/_xlfn.MINIFS(TblApplications[Mois prov (calc)],TblApplications[ID],$C260)),""))</f>
        <v/>
      </c>
      <c r="AA260" s="39" t="str">
        <f aca="false">IF($C260="","",IFERROR(1/(1/_xlfn.MAXIFS(TblApplications[Mois lib (calc)],TblApplications[ID],$C260)),""))</f>
        <v/>
      </c>
      <c r="AB260" s="21" t="str">
        <f aca="false">IF($C260="","",IF(OR(OR($A260="",$B260="",$D260="",$E260="",$F260="",$G260=""),AND($G260="À migrer",OR($H260="",$I260="",$J260="",$K260="",$L260="",$N260="",$O260="",$P260="",$Q260="",$R260="")),AND($G260="Migré",OR($J260="",$K260="",$L260="")),AND($G260="À décommissionner",OR($I260="",$N260="",$O260="",$R260=""))),"Données manquantes (selon l’action)",IF(AND($G260&lt;&gt;"Migré",$G260&lt;&gt;"À migrer",$G260&lt;&gt;"À décommissionner",$G260&lt;&gt;"Décommissionné"),"Action invalide",IF(COUNTIF(TblDomaines[Domaine],$A260)=0,"Domaine inconnu (référentiel)",IF(COUNTIFS(TblTribes[Tribe],$B260,TblTribes[Domaine de la tribe],$A260)=0,"Tribe inconnue ou hors domaine",IF(AND($G260="À migrer",$H260&lt;&gt;"Oui",$H260&lt;&gt;"Non"),"Valeur Oui/Non invalide (Déjà incluse ROKS)",IF(AND($E260&lt;&gt;"PRD",$E260&lt;&gt;"NPRD"),"Environnement invalide",IF(COUNTIFS(TblApplications[ID],$C260,TblApplications[Environnement],$E260,TblApplications[Couloir],$F260)&gt;1,"Déploiement en doublon (ID + env + couloir)",IF(OR(AND($K260&lt;&gt;"",NOT(ISNUMBER($K260))),AND($L260&lt;&gt;"",NOT(ISNUMBER($L260))),AND($N260&lt;&gt;"",NOT(ISNUMBER($N260))),AND($O260&lt;&gt;"",NOT(ISNUMBER($O260)))),"Ressource non numérique",IF(MIN(N($K260),N($L260),N($N260),N($O260))&lt;0,"Ressource négative",IF(OR(AND($AC260&lt;&gt;"",OR(NOT(ISNUMBER($AC260)),$AC260&lt;0,$AC260&gt;1)),AND($AD260&lt;&gt;"",OR(NOT(ISNUMBER($AD260)),$AD260&lt;0,$AD260&gt;1))),"Marge spécifique invalide (0–100 %)",IF(OR(AND($P260&lt;&gt;"",NOT(ISNUMBER($P260))),AND($Q260&lt;&gt;"",NOT(ISNUMBER($Q260))),AND($R260&lt;&gt;"",NOT(ISNUMBER($R260)))),"Mois invalide",IF(AND(OR($G260="À migrer",$G260="À décommissionner"),COUNTIFS(TblClusters[Cluster],$I260,TblClusters[Plateforme],"IKS")=0),"Cluster IKS inconnu",IF(AND(OR($G260="À migrer",$G260="Migré"),COUNTIFS(TblClusters[Cluster],$J260,TblClusters[Plateforme],"ROKS")=0),"Cluster ROKS inconnu",IF(AND(OR($G260="À migrer",$G260="À décommissionner"),COUNTIFS(TblClusters[Cluster],$I260,TblClusters[Environnement],$E260)=0),"Environnement ≠ cluster IKS",IF(AND(OR($G260="À migrer",$G260="Migré"),COUNTIFS(TblClusters[Cluster],$J260,TblClusters[Environnement],$E260)=0),"Environnement ≠ cluster ROKS",IF(AND($G260="À migrer",OR($P260&gt;$Q260,$Q260&gt;$R260)),"Dates incohérentes (prov ≤ bascule ≤ libération)",IF(AND(OR($G260="À migrer",$G260="À décommissionner"),OR(N($N260)&gt;SUMIFS(TblClusters[CPU initial (vCPU)],TblClusters[Cluster],$I260),N($O260)&gt;SUMIFS(TblClusters[RAM initiale (Go)],TblClusters[Cluster],$I260))),"Libération &gt; capacité du cluster source",IF(OR(AND($V260&lt;&gt;"",$V260&lt;p_debut),AND($W260&lt;&gt;"",$W260&gt;p_fin)),"Hors horizon (info)",IF(AND($G260="À migrer",$E260="PRD",COUNTIFS(TblApplications[ID],$C260,TblApplications[Environnement],"NPRD",TblApplications[Action],"À migrer")&gt;0,$V260&lt;_xlfn.MINIFS(TblApplications[Mois prov (calc)],TblApplications[ID],$C260,TblApplications[Environnement],"NPRD")),"PRD avant NPRD (info)","OK"))))))))))))))))))))</f>
        <v/>
      </c>
      <c r="AC260" s="76"/>
      <c r="AD260" s="76"/>
      <c r="AE260" s="22" t="str">
        <f aca="false">IF(OR($C260="",NOT(OR($G260="À migrer",$G260="À décommissionner")),NOT(ISNUMBER($N260)),NOT(ISNUMBER($O260)),$W260=""),"",($N260+p_poidsram*$O260)*SUMIFS(TblCalculs[Coût par unité],TblCalculs[Cluster],$I260,TblCalculs[Mois],"&lt;"&amp;$W260))</f>
        <v/>
      </c>
      <c r="AF260" s="22" t="str">
        <f aca="false">IF($C260="","",IF(AND($G260="À migrer",$H260="Non",$T260&lt;&gt;"",$V260&lt;&gt;""),($T260+p_poidsram*$U260)*SUMIFS(TblCalculs[Coût par unité],TblCalculs[Cluster],$J260,TblCalculs[Mois],"&gt;="&amp;$V260),IF(AND($G260="Migré",$T260&lt;&gt;""),($T260+p_poidsram*$U260)*SUMIFS(TblCalculs[Coût par unité],TblCalculs[Cluster],$J260),"")))</f>
        <v/>
      </c>
      <c r="AG260" s="22" t="str">
        <f aca="false">IF($C260="","",N($AE260)+N($AF260))</f>
        <v/>
      </c>
      <c r="AH260" s="21" t="str">
        <f aca="false">IF(OR($C260="",$G260="Décommissionné",COUNTIFS($E260,av_envc,$A260,av_domc,$B260,av_tric)=0),"",COUNTIFS($C$6:$C260,"&lt;&gt;",$G$6:$G260,"&lt;&gt;Décommissionné",$E$6:$E260,av_envc,$A$6:$A260,av_domc,$B$6:$B260,av_tric))</f>
        <v/>
      </c>
      <c r="AI260" s="21" t="str">
        <f aca="false">IF($C260="","",IF(AND(OR($G260="À migrer",$G260="À décommissionner"),$W260&lt;&gt;"",$W260&gt;ex_mois),1,0))</f>
        <v/>
      </c>
      <c r="AJ260" s="21" t="str">
        <f aca="false">IF(OR($C260="",$AI260&lt;&gt;1,COUNTIFS($E260,ex_envc,$A260,ex_domc,$B260,ex_tric)=0),"",COUNTIFS($AI$6:$AI260,1,$E$6:$E260,ex_envc,$A$6:$A260,ex_domc,$B$6:$B260,ex_tric))</f>
        <v/>
      </c>
    </row>
    <row r="261" customFormat="false" ht="15" hidden="false" customHeight="false" outlineLevel="0" collapsed="false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5"/>
      <c r="Q261" s="75"/>
      <c r="R261" s="75"/>
      <c r="S261" s="74"/>
      <c r="T261" s="21" t="str">
        <f aca="false">IF(OR($C261="",NOT(OR($G261="À migrer",$G261="Migré")),NOT(ISNUMBER($K261))),"",ROUNDUP($K261*(1+IF($AC261="",p_margeCPU,$AC261)),0))</f>
        <v/>
      </c>
      <c r="U261" s="21" t="str">
        <f aca="false">IF(OR($C261="",NOT(OR($G261="À migrer",$G261="Migré")),NOT(ISNUMBER($L261))),"",ROUNDUP($L261*(1+IF($AD261="",p_margeRAM,$AD261)),0))</f>
        <v/>
      </c>
      <c r="V261" s="39" t="str">
        <f aca="false">IF(OR(NOT($G261="À migrer"),$P261=""),"",IFERROR(DATE(YEAR($P261),MONTH($P261),1),""))</f>
        <v/>
      </c>
      <c r="W261" s="39" t="str">
        <f aca="false">IF(OR(NOT(OR($G261="À migrer",$G261="À décommissionner")),$R261=""),"",IFERROR(DATE(YEAR($R261),MONTH($R261),1),""))</f>
        <v/>
      </c>
      <c r="X261" s="21" t="str">
        <f aca="false">IF(OR($V261="",$W261=""),"",MAX(0,(YEAR($W261)-YEAR($V261))*12+MONTH($W261)-MONTH($V261)))</f>
        <v/>
      </c>
      <c r="Y261" s="21" t="str">
        <f aca="false">IF($C261="","",COUNTIF(TblApplications[ID],$C261))</f>
        <v/>
      </c>
      <c r="Z261" s="39" t="str">
        <f aca="false">IF($C261="","",IFERROR(1/(1/_xlfn.MINIFS(TblApplications[Mois prov (calc)],TblApplications[ID],$C261)),""))</f>
        <v/>
      </c>
      <c r="AA261" s="39" t="str">
        <f aca="false">IF($C261="","",IFERROR(1/(1/_xlfn.MAXIFS(TblApplications[Mois lib (calc)],TblApplications[ID],$C261)),""))</f>
        <v/>
      </c>
      <c r="AB261" s="21" t="str">
        <f aca="false">IF($C261="","",IF(OR(OR($A261="",$B261="",$D261="",$E261="",$F261="",$G261=""),AND($G261="À migrer",OR($H261="",$I261="",$J261="",$K261="",$L261="",$N261="",$O261="",$P261="",$Q261="",$R261="")),AND($G261="Migré",OR($J261="",$K261="",$L261="")),AND($G261="À décommissionner",OR($I261="",$N261="",$O261="",$R261=""))),"Données manquantes (selon l’action)",IF(AND($G261&lt;&gt;"Migré",$G261&lt;&gt;"À migrer",$G261&lt;&gt;"À décommissionner",$G261&lt;&gt;"Décommissionné"),"Action invalide",IF(COUNTIF(TblDomaines[Domaine],$A261)=0,"Domaine inconnu (référentiel)",IF(COUNTIFS(TblTribes[Tribe],$B261,TblTribes[Domaine de la tribe],$A261)=0,"Tribe inconnue ou hors domaine",IF(AND($G261="À migrer",$H261&lt;&gt;"Oui",$H261&lt;&gt;"Non"),"Valeur Oui/Non invalide (Déjà incluse ROKS)",IF(AND($E261&lt;&gt;"PRD",$E261&lt;&gt;"NPRD"),"Environnement invalide",IF(COUNTIFS(TblApplications[ID],$C261,TblApplications[Environnement],$E261,TblApplications[Couloir],$F261)&gt;1,"Déploiement en doublon (ID + env + couloir)",IF(OR(AND($K261&lt;&gt;"",NOT(ISNUMBER($K261))),AND($L261&lt;&gt;"",NOT(ISNUMBER($L261))),AND($N261&lt;&gt;"",NOT(ISNUMBER($N261))),AND($O261&lt;&gt;"",NOT(ISNUMBER($O261)))),"Ressource non numérique",IF(MIN(N($K261),N($L261),N($N261),N($O261))&lt;0,"Ressource négative",IF(OR(AND($AC261&lt;&gt;"",OR(NOT(ISNUMBER($AC261)),$AC261&lt;0,$AC261&gt;1)),AND($AD261&lt;&gt;"",OR(NOT(ISNUMBER($AD261)),$AD261&lt;0,$AD261&gt;1))),"Marge spécifique invalide (0–100 %)",IF(OR(AND($P261&lt;&gt;"",NOT(ISNUMBER($P261))),AND($Q261&lt;&gt;"",NOT(ISNUMBER($Q261))),AND($R261&lt;&gt;"",NOT(ISNUMBER($R261)))),"Mois invalide",IF(AND(OR($G261="À migrer",$G261="À décommissionner"),COUNTIFS(TblClusters[Cluster],$I261,TblClusters[Plateforme],"IKS")=0),"Cluster IKS inconnu",IF(AND(OR($G261="À migrer",$G261="Migré"),COUNTIFS(TblClusters[Cluster],$J261,TblClusters[Plateforme],"ROKS")=0),"Cluster ROKS inconnu",IF(AND(OR($G261="À migrer",$G261="À décommissionner"),COUNTIFS(TblClusters[Cluster],$I261,TblClusters[Environnement],$E261)=0),"Environnement ≠ cluster IKS",IF(AND(OR($G261="À migrer",$G261="Migré"),COUNTIFS(TblClusters[Cluster],$J261,TblClusters[Environnement],$E261)=0),"Environnement ≠ cluster ROKS",IF(AND($G261="À migrer",OR($P261&gt;$Q261,$Q261&gt;$R261)),"Dates incohérentes (prov ≤ bascule ≤ libération)",IF(AND(OR($G261="À migrer",$G261="À décommissionner"),OR(N($N261)&gt;SUMIFS(TblClusters[CPU initial (vCPU)],TblClusters[Cluster],$I261),N($O261)&gt;SUMIFS(TblClusters[RAM initiale (Go)],TblClusters[Cluster],$I261))),"Libération &gt; capacité du cluster source",IF(OR(AND($V261&lt;&gt;"",$V261&lt;p_debut),AND($W261&lt;&gt;"",$W261&gt;p_fin)),"Hors horizon (info)",IF(AND($G261="À migrer",$E261="PRD",COUNTIFS(TblApplications[ID],$C261,TblApplications[Environnement],"NPRD",TblApplications[Action],"À migrer")&gt;0,$V261&lt;_xlfn.MINIFS(TblApplications[Mois prov (calc)],TblApplications[ID],$C261,TblApplications[Environnement],"NPRD")),"PRD avant NPRD (info)","OK"))))))))))))))))))))</f>
        <v/>
      </c>
      <c r="AC261" s="76"/>
      <c r="AD261" s="76"/>
      <c r="AE261" s="22" t="str">
        <f aca="false">IF(OR($C261="",NOT(OR($G261="À migrer",$G261="À décommissionner")),NOT(ISNUMBER($N261)),NOT(ISNUMBER($O261)),$W261=""),"",($N261+p_poidsram*$O261)*SUMIFS(TblCalculs[Coût par unité],TblCalculs[Cluster],$I261,TblCalculs[Mois],"&lt;"&amp;$W261))</f>
        <v/>
      </c>
      <c r="AF261" s="22" t="str">
        <f aca="false">IF($C261="","",IF(AND($G261="À migrer",$H261="Non",$T261&lt;&gt;"",$V261&lt;&gt;""),($T261+p_poidsram*$U261)*SUMIFS(TblCalculs[Coût par unité],TblCalculs[Cluster],$J261,TblCalculs[Mois],"&gt;="&amp;$V261),IF(AND($G261="Migré",$T261&lt;&gt;""),($T261+p_poidsram*$U261)*SUMIFS(TblCalculs[Coût par unité],TblCalculs[Cluster],$J261),"")))</f>
        <v/>
      </c>
      <c r="AG261" s="22" t="str">
        <f aca="false">IF($C261="","",N($AE261)+N($AF261))</f>
        <v/>
      </c>
      <c r="AH261" s="21" t="str">
        <f aca="false">IF(OR($C261="",$G261="Décommissionné",COUNTIFS($E261,av_envc,$A261,av_domc,$B261,av_tric)=0),"",COUNTIFS($C$6:$C261,"&lt;&gt;",$G$6:$G261,"&lt;&gt;Décommissionné",$E$6:$E261,av_envc,$A$6:$A261,av_domc,$B$6:$B261,av_tric))</f>
        <v/>
      </c>
      <c r="AI261" s="21" t="str">
        <f aca="false">IF($C261="","",IF(AND(OR($G261="À migrer",$G261="À décommissionner"),$W261&lt;&gt;"",$W261&gt;ex_mois),1,0))</f>
        <v/>
      </c>
      <c r="AJ261" s="21" t="str">
        <f aca="false">IF(OR($C261="",$AI261&lt;&gt;1,COUNTIFS($E261,ex_envc,$A261,ex_domc,$B261,ex_tric)=0),"",COUNTIFS($AI$6:$AI261,1,$E$6:$E261,ex_envc,$A$6:$A261,ex_domc,$B$6:$B261,ex_tric))</f>
        <v/>
      </c>
    </row>
    <row r="262" customFormat="false" ht="15" hidden="false" customHeight="false" outlineLevel="0" collapsed="false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5"/>
      <c r="Q262" s="75"/>
      <c r="R262" s="75"/>
      <c r="S262" s="74"/>
      <c r="T262" s="21" t="str">
        <f aca="false">IF(OR($C262="",NOT(OR($G262="À migrer",$G262="Migré")),NOT(ISNUMBER($K262))),"",ROUNDUP($K262*(1+IF($AC262="",p_margeCPU,$AC262)),0))</f>
        <v/>
      </c>
      <c r="U262" s="21" t="str">
        <f aca="false">IF(OR($C262="",NOT(OR($G262="À migrer",$G262="Migré")),NOT(ISNUMBER($L262))),"",ROUNDUP($L262*(1+IF($AD262="",p_margeRAM,$AD262)),0))</f>
        <v/>
      </c>
      <c r="V262" s="39" t="str">
        <f aca="false">IF(OR(NOT($G262="À migrer"),$P262=""),"",IFERROR(DATE(YEAR($P262),MONTH($P262),1),""))</f>
        <v/>
      </c>
      <c r="W262" s="39" t="str">
        <f aca="false">IF(OR(NOT(OR($G262="À migrer",$G262="À décommissionner")),$R262=""),"",IFERROR(DATE(YEAR($R262),MONTH($R262),1),""))</f>
        <v/>
      </c>
      <c r="X262" s="21" t="str">
        <f aca="false">IF(OR($V262="",$W262=""),"",MAX(0,(YEAR($W262)-YEAR($V262))*12+MONTH($W262)-MONTH($V262)))</f>
        <v/>
      </c>
      <c r="Y262" s="21" t="str">
        <f aca="false">IF($C262="","",COUNTIF(TblApplications[ID],$C262))</f>
        <v/>
      </c>
      <c r="Z262" s="39" t="str">
        <f aca="false">IF($C262="","",IFERROR(1/(1/_xlfn.MINIFS(TblApplications[Mois prov (calc)],TblApplications[ID],$C262)),""))</f>
        <v/>
      </c>
      <c r="AA262" s="39" t="str">
        <f aca="false">IF($C262="","",IFERROR(1/(1/_xlfn.MAXIFS(TblApplications[Mois lib (calc)],TblApplications[ID],$C262)),""))</f>
        <v/>
      </c>
      <c r="AB262" s="21" t="str">
        <f aca="false">IF($C262="","",IF(OR(OR($A262="",$B262="",$D262="",$E262="",$F262="",$G262=""),AND($G262="À migrer",OR($H262="",$I262="",$J262="",$K262="",$L262="",$N262="",$O262="",$P262="",$Q262="",$R262="")),AND($G262="Migré",OR($J262="",$K262="",$L262="")),AND($G262="À décommissionner",OR($I262="",$N262="",$O262="",$R262=""))),"Données manquantes (selon l’action)",IF(AND($G262&lt;&gt;"Migré",$G262&lt;&gt;"À migrer",$G262&lt;&gt;"À décommissionner",$G262&lt;&gt;"Décommissionné"),"Action invalide",IF(COUNTIF(TblDomaines[Domaine],$A262)=0,"Domaine inconnu (référentiel)",IF(COUNTIFS(TblTribes[Tribe],$B262,TblTribes[Domaine de la tribe],$A262)=0,"Tribe inconnue ou hors domaine",IF(AND($G262="À migrer",$H262&lt;&gt;"Oui",$H262&lt;&gt;"Non"),"Valeur Oui/Non invalide (Déjà incluse ROKS)",IF(AND($E262&lt;&gt;"PRD",$E262&lt;&gt;"NPRD"),"Environnement invalide",IF(COUNTIFS(TblApplications[ID],$C262,TblApplications[Environnement],$E262,TblApplications[Couloir],$F262)&gt;1,"Déploiement en doublon (ID + env + couloir)",IF(OR(AND($K262&lt;&gt;"",NOT(ISNUMBER($K262))),AND($L262&lt;&gt;"",NOT(ISNUMBER($L262))),AND($N262&lt;&gt;"",NOT(ISNUMBER($N262))),AND($O262&lt;&gt;"",NOT(ISNUMBER($O262)))),"Ressource non numérique",IF(MIN(N($K262),N($L262),N($N262),N($O262))&lt;0,"Ressource négative",IF(OR(AND($AC262&lt;&gt;"",OR(NOT(ISNUMBER($AC262)),$AC262&lt;0,$AC262&gt;1)),AND($AD262&lt;&gt;"",OR(NOT(ISNUMBER($AD262)),$AD262&lt;0,$AD262&gt;1))),"Marge spécifique invalide (0–100 %)",IF(OR(AND($P262&lt;&gt;"",NOT(ISNUMBER($P262))),AND($Q262&lt;&gt;"",NOT(ISNUMBER($Q262))),AND($R262&lt;&gt;"",NOT(ISNUMBER($R262)))),"Mois invalide",IF(AND(OR($G262="À migrer",$G262="À décommissionner"),COUNTIFS(TblClusters[Cluster],$I262,TblClusters[Plateforme],"IKS")=0),"Cluster IKS inconnu",IF(AND(OR($G262="À migrer",$G262="Migré"),COUNTIFS(TblClusters[Cluster],$J262,TblClusters[Plateforme],"ROKS")=0),"Cluster ROKS inconnu",IF(AND(OR($G262="À migrer",$G262="À décommissionner"),COUNTIFS(TblClusters[Cluster],$I262,TblClusters[Environnement],$E262)=0),"Environnement ≠ cluster IKS",IF(AND(OR($G262="À migrer",$G262="Migré"),COUNTIFS(TblClusters[Cluster],$J262,TblClusters[Environnement],$E262)=0),"Environnement ≠ cluster ROKS",IF(AND($G262="À migrer",OR($P262&gt;$Q262,$Q262&gt;$R262)),"Dates incohérentes (prov ≤ bascule ≤ libération)",IF(AND(OR($G262="À migrer",$G262="À décommissionner"),OR(N($N262)&gt;SUMIFS(TblClusters[CPU initial (vCPU)],TblClusters[Cluster],$I262),N($O262)&gt;SUMIFS(TblClusters[RAM initiale (Go)],TblClusters[Cluster],$I262))),"Libération &gt; capacité du cluster source",IF(OR(AND($V262&lt;&gt;"",$V262&lt;p_debut),AND($W262&lt;&gt;"",$W262&gt;p_fin)),"Hors horizon (info)",IF(AND($G262="À migrer",$E262="PRD",COUNTIFS(TblApplications[ID],$C262,TblApplications[Environnement],"NPRD",TblApplications[Action],"À migrer")&gt;0,$V262&lt;_xlfn.MINIFS(TblApplications[Mois prov (calc)],TblApplications[ID],$C262,TblApplications[Environnement],"NPRD")),"PRD avant NPRD (info)","OK"))))))))))))))))))))</f>
        <v/>
      </c>
      <c r="AC262" s="76"/>
      <c r="AD262" s="76"/>
      <c r="AE262" s="22" t="str">
        <f aca="false">IF(OR($C262="",NOT(OR($G262="À migrer",$G262="À décommissionner")),NOT(ISNUMBER($N262)),NOT(ISNUMBER($O262)),$W262=""),"",($N262+p_poidsram*$O262)*SUMIFS(TblCalculs[Coût par unité],TblCalculs[Cluster],$I262,TblCalculs[Mois],"&lt;"&amp;$W262))</f>
        <v/>
      </c>
      <c r="AF262" s="22" t="str">
        <f aca="false">IF($C262="","",IF(AND($G262="À migrer",$H262="Non",$T262&lt;&gt;"",$V262&lt;&gt;""),($T262+p_poidsram*$U262)*SUMIFS(TblCalculs[Coût par unité],TblCalculs[Cluster],$J262,TblCalculs[Mois],"&gt;="&amp;$V262),IF(AND($G262="Migré",$T262&lt;&gt;""),($T262+p_poidsram*$U262)*SUMIFS(TblCalculs[Coût par unité],TblCalculs[Cluster],$J262),"")))</f>
        <v/>
      </c>
      <c r="AG262" s="22" t="str">
        <f aca="false">IF($C262="","",N($AE262)+N($AF262))</f>
        <v/>
      </c>
      <c r="AH262" s="21" t="str">
        <f aca="false">IF(OR($C262="",$G262="Décommissionné",COUNTIFS($E262,av_envc,$A262,av_domc,$B262,av_tric)=0),"",COUNTIFS($C$6:$C262,"&lt;&gt;",$G$6:$G262,"&lt;&gt;Décommissionné",$E$6:$E262,av_envc,$A$6:$A262,av_domc,$B$6:$B262,av_tric))</f>
        <v/>
      </c>
      <c r="AI262" s="21" t="str">
        <f aca="false">IF($C262="","",IF(AND(OR($G262="À migrer",$G262="À décommissionner"),$W262&lt;&gt;"",$W262&gt;ex_mois),1,0))</f>
        <v/>
      </c>
      <c r="AJ262" s="21" t="str">
        <f aca="false">IF(OR($C262="",$AI262&lt;&gt;1,COUNTIFS($E262,ex_envc,$A262,ex_domc,$B262,ex_tric)=0),"",COUNTIFS($AI$6:$AI262,1,$E$6:$E262,ex_envc,$A$6:$A262,ex_domc,$B$6:$B262,ex_tric))</f>
        <v/>
      </c>
    </row>
    <row r="263" customFormat="false" ht="15" hidden="false" customHeight="false" outlineLevel="0" collapsed="false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5"/>
      <c r="Q263" s="75"/>
      <c r="R263" s="75"/>
      <c r="S263" s="74"/>
      <c r="T263" s="21" t="str">
        <f aca="false">IF(OR($C263="",NOT(OR($G263="À migrer",$G263="Migré")),NOT(ISNUMBER($K263))),"",ROUNDUP($K263*(1+IF($AC263="",p_margeCPU,$AC263)),0))</f>
        <v/>
      </c>
      <c r="U263" s="21" t="str">
        <f aca="false">IF(OR($C263="",NOT(OR($G263="À migrer",$G263="Migré")),NOT(ISNUMBER($L263))),"",ROUNDUP($L263*(1+IF($AD263="",p_margeRAM,$AD263)),0))</f>
        <v/>
      </c>
      <c r="V263" s="39" t="str">
        <f aca="false">IF(OR(NOT($G263="À migrer"),$P263=""),"",IFERROR(DATE(YEAR($P263),MONTH($P263),1),""))</f>
        <v/>
      </c>
      <c r="W263" s="39" t="str">
        <f aca="false">IF(OR(NOT(OR($G263="À migrer",$G263="À décommissionner")),$R263=""),"",IFERROR(DATE(YEAR($R263),MONTH($R263),1),""))</f>
        <v/>
      </c>
      <c r="X263" s="21" t="str">
        <f aca="false">IF(OR($V263="",$W263=""),"",MAX(0,(YEAR($W263)-YEAR($V263))*12+MONTH($W263)-MONTH($V263)))</f>
        <v/>
      </c>
      <c r="Y263" s="21" t="str">
        <f aca="false">IF($C263="","",COUNTIF(TblApplications[ID],$C263))</f>
        <v/>
      </c>
      <c r="Z263" s="39" t="str">
        <f aca="false">IF($C263="","",IFERROR(1/(1/_xlfn.MINIFS(TblApplications[Mois prov (calc)],TblApplications[ID],$C263)),""))</f>
        <v/>
      </c>
      <c r="AA263" s="39" t="str">
        <f aca="false">IF($C263="","",IFERROR(1/(1/_xlfn.MAXIFS(TblApplications[Mois lib (calc)],TblApplications[ID],$C263)),""))</f>
        <v/>
      </c>
      <c r="AB263" s="21" t="str">
        <f aca="false">IF($C263="","",IF(OR(OR($A263="",$B263="",$D263="",$E263="",$F263="",$G263=""),AND($G263="À migrer",OR($H263="",$I263="",$J263="",$K263="",$L263="",$N263="",$O263="",$P263="",$Q263="",$R263="")),AND($G263="Migré",OR($J263="",$K263="",$L263="")),AND($G263="À décommissionner",OR($I263="",$N263="",$O263="",$R263=""))),"Données manquantes (selon l’action)",IF(AND($G263&lt;&gt;"Migré",$G263&lt;&gt;"À migrer",$G263&lt;&gt;"À décommissionner",$G263&lt;&gt;"Décommissionné"),"Action invalide",IF(COUNTIF(TblDomaines[Domaine],$A263)=0,"Domaine inconnu (référentiel)",IF(COUNTIFS(TblTribes[Tribe],$B263,TblTribes[Domaine de la tribe],$A263)=0,"Tribe inconnue ou hors domaine",IF(AND($G263="À migrer",$H263&lt;&gt;"Oui",$H263&lt;&gt;"Non"),"Valeur Oui/Non invalide (Déjà incluse ROKS)",IF(AND($E263&lt;&gt;"PRD",$E263&lt;&gt;"NPRD"),"Environnement invalide",IF(COUNTIFS(TblApplications[ID],$C263,TblApplications[Environnement],$E263,TblApplications[Couloir],$F263)&gt;1,"Déploiement en doublon (ID + env + couloir)",IF(OR(AND($K263&lt;&gt;"",NOT(ISNUMBER($K263))),AND($L263&lt;&gt;"",NOT(ISNUMBER($L263))),AND($N263&lt;&gt;"",NOT(ISNUMBER($N263))),AND($O263&lt;&gt;"",NOT(ISNUMBER($O263)))),"Ressource non numérique",IF(MIN(N($K263),N($L263),N($N263),N($O263))&lt;0,"Ressource négative",IF(OR(AND($AC263&lt;&gt;"",OR(NOT(ISNUMBER($AC263)),$AC263&lt;0,$AC263&gt;1)),AND($AD263&lt;&gt;"",OR(NOT(ISNUMBER($AD263)),$AD263&lt;0,$AD263&gt;1))),"Marge spécifique invalide (0–100 %)",IF(OR(AND($P263&lt;&gt;"",NOT(ISNUMBER($P263))),AND($Q263&lt;&gt;"",NOT(ISNUMBER($Q263))),AND($R263&lt;&gt;"",NOT(ISNUMBER($R263)))),"Mois invalide",IF(AND(OR($G263="À migrer",$G263="À décommissionner"),COUNTIFS(TblClusters[Cluster],$I263,TblClusters[Plateforme],"IKS")=0),"Cluster IKS inconnu",IF(AND(OR($G263="À migrer",$G263="Migré"),COUNTIFS(TblClusters[Cluster],$J263,TblClusters[Plateforme],"ROKS")=0),"Cluster ROKS inconnu",IF(AND(OR($G263="À migrer",$G263="À décommissionner"),COUNTIFS(TblClusters[Cluster],$I263,TblClusters[Environnement],$E263)=0),"Environnement ≠ cluster IKS",IF(AND(OR($G263="À migrer",$G263="Migré"),COUNTIFS(TblClusters[Cluster],$J263,TblClusters[Environnement],$E263)=0),"Environnement ≠ cluster ROKS",IF(AND($G263="À migrer",OR($P263&gt;$Q263,$Q263&gt;$R263)),"Dates incohérentes (prov ≤ bascule ≤ libération)",IF(AND(OR($G263="À migrer",$G263="À décommissionner"),OR(N($N263)&gt;SUMIFS(TblClusters[CPU initial (vCPU)],TblClusters[Cluster],$I263),N($O263)&gt;SUMIFS(TblClusters[RAM initiale (Go)],TblClusters[Cluster],$I263))),"Libération &gt; capacité du cluster source",IF(OR(AND($V263&lt;&gt;"",$V263&lt;p_debut),AND($W263&lt;&gt;"",$W263&gt;p_fin)),"Hors horizon (info)",IF(AND($G263="À migrer",$E263="PRD",COUNTIFS(TblApplications[ID],$C263,TblApplications[Environnement],"NPRD",TblApplications[Action],"À migrer")&gt;0,$V263&lt;_xlfn.MINIFS(TblApplications[Mois prov (calc)],TblApplications[ID],$C263,TblApplications[Environnement],"NPRD")),"PRD avant NPRD (info)","OK"))))))))))))))))))))</f>
        <v/>
      </c>
      <c r="AC263" s="76"/>
      <c r="AD263" s="76"/>
      <c r="AE263" s="22" t="str">
        <f aca="false">IF(OR($C263="",NOT(OR($G263="À migrer",$G263="À décommissionner")),NOT(ISNUMBER($N263)),NOT(ISNUMBER($O263)),$W263=""),"",($N263+p_poidsram*$O263)*SUMIFS(TblCalculs[Coût par unité],TblCalculs[Cluster],$I263,TblCalculs[Mois],"&lt;"&amp;$W263))</f>
        <v/>
      </c>
      <c r="AF263" s="22" t="str">
        <f aca="false">IF($C263="","",IF(AND($G263="À migrer",$H263="Non",$T263&lt;&gt;"",$V263&lt;&gt;""),($T263+p_poidsram*$U263)*SUMIFS(TblCalculs[Coût par unité],TblCalculs[Cluster],$J263,TblCalculs[Mois],"&gt;="&amp;$V263),IF(AND($G263="Migré",$T263&lt;&gt;""),($T263+p_poidsram*$U263)*SUMIFS(TblCalculs[Coût par unité],TblCalculs[Cluster],$J263),"")))</f>
        <v/>
      </c>
      <c r="AG263" s="22" t="str">
        <f aca="false">IF($C263="","",N($AE263)+N($AF263))</f>
        <v/>
      </c>
      <c r="AH263" s="21" t="str">
        <f aca="false">IF(OR($C263="",$G263="Décommissionné",COUNTIFS($E263,av_envc,$A263,av_domc,$B263,av_tric)=0),"",COUNTIFS($C$6:$C263,"&lt;&gt;",$G$6:$G263,"&lt;&gt;Décommissionné",$E$6:$E263,av_envc,$A$6:$A263,av_domc,$B$6:$B263,av_tric))</f>
        <v/>
      </c>
      <c r="AI263" s="21" t="str">
        <f aca="false">IF($C263="","",IF(AND(OR($G263="À migrer",$G263="À décommissionner"),$W263&lt;&gt;"",$W263&gt;ex_mois),1,0))</f>
        <v/>
      </c>
      <c r="AJ263" s="21" t="str">
        <f aca="false">IF(OR($C263="",$AI263&lt;&gt;1,COUNTIFS($E263,ex_envc,$A263,ex_domc,$B263,ex_tric)=0),"",COUNTIFS($AI$6:$AI263,1,$E$6:$E263,ex_envc,$A$6:$A263,ex_domc,$B$6:$B263,ex_tric))</f>
        <v/>
      </c>
    </row>
    <row r="264" customFormat="false" ht="15" hidden="false" customHeight="false" outlineLevel="0" collapsed="false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5"/>
      <c r="Q264" s="75"/>
      <c r="R264" s="75"/>
      <c r="S264" s="74"/>
      <c r="T264" s="21" t="str">
        <f aca="false">IF(OR($C264="",NOT(OR($G264="À migrer",$G264="Migré")),NOT(ISNUMBER($K264))),"",ROUNDUP($K264*(1+IF($AC264="",p_margeCPU,$AC264)),0))</f>
        <v/>
      </c>
      <c r="U264" s="21" t="str">
        <f aca="false">IF(OR($C264="",NOT(OR($G264="À migrer",$G264="Migré")),NOT(ISNUMBER($L264))),"",ROUNDUP($L264*(1+IF($AD264="",p_margeRAM,$AD264)),0))</f>
        <v/>
      </c>
      <c r="V264" s="39" t="str">
        <f aca="false">IF(OR(NOT($G264="À migrer"),$P264=""),"",IFERROR(DATE(YEAR($P264),MONTH($P264),1),""))</f>
        <v/>
      </c>
      <c r="W264" s="39" t="str">
        <f aca="false">IF(OR(NOT(OR($G264="À migrer",$G264="À décommissionner")),$R264=""),"",IFERROR(DATE(YEAR($R264),MONTH($R264),1),""))</f>
        <v/>
      </c>
      <c r="X264" s="21" t="str">
        <f aca="false">IF(OR($V264="",$W264=""),"",MAX(0,(YEAR($W264)-YEAR($V264))*12+MONTH($W264)-MONTH($V264)))</f>
        <v/>
      </c>
      <c r="Y264" s="21" t="str">
        <f aca="false">IF($C264="","",COUNTIF(TblApplications[ID],$C264))</f>
        <v/>
      </c>
      <c r="Z264" s="39" t="str">
        <f aca="false">IF($C264="","",IFERROR(1/(1/_xlfn.MINIFS(TblApplications[Mois prov (calc)],TblApplications[ID],$C264)),""))</f>
        <v/>
      </c>
      <c r="AA264" s="39" t="str">
        <f aca="false">IF($C264="","",IFERROR(1/(1/_xlfn.MAXIFS(TblApplications[Mois lib (calc)],TblApplications[ID],$C264)),""))</f>
        <v/>
      </c>
      <c r="AB264" s="21" t="str">
        <f aca="false">IF($C264="","",IF(OR(OR($A264="",$B264="",$D264="",$E264="",$F264="",$G264=""),AND($G264="À migrer",OR($H264="",$I264="",$J264="",$K264="",$L264="",$N264="",$O264="",$P264="",$Q264="",$R264="")),AND($G264="Migré",OR($J264="",$K264="",$L264="")),AND($G264="À décommissionner",OR($I264="",$N264="",$O264="",$R264=""))),"Données manquantes (selon l’action)",IF(AND($G264&lt;&gt;"Migré",$G264&lt;&gt;"À migrer",$G264&lt;&gt;"À décommissionner",$G264&lt;&gt;"Décommissionné"),"Action invalide",IF(COUNTIF(TblDomaines[Domaine],$A264)=0,"Domaine inconnu (référentiel)",IF(COUNTIFS(TblTribes[Tribe],$B264,TblTribes[Domaine de la tribe],$A264)=0,"Tribe inconnue ou hors domaine",IF(AND($G264="À migrer",$H264&lt;&gt;"Oui",$H264&lt;&gt;"Non"),"Valeur Oui/Non invalide (Déjà incluse ROKS)",IF(AND($E264&lt;&gt;"PRD",$E264&lt;&gt;"NPRD"),"Environnement invalide",IF(COUNTIFS(TblApplications[ID],$C264,TblApplications[Environnement],$E264,TblApplications[Couloir],$F264)&gt;1,"Déploiement en doublon (ID + env + couloir)",IF(OR(AND($K264&lt;&gt;"",NOT(ISNUMBER($K264))),AND($L264&lt;&gt;"",NOT(ISNUMBER($L264))),AND($N264&lt;&gt;"",NOT(ISNUMBER($N264))),AND($O264&lt;&gt;"",NOT(ISNUMBER($O264)))),"Ressource non numérique",IF(MIN(N($K264),N($L264),N($N264),N($O264))&lt;0,"Ressource négative",IF(OR(AND($AC264&lt;&gt;"",OR(NOT(ISNUMBER($AC264)),$AC264&lt;0,$AC264&gt;1)),AND($AD264&lt;&gt;"",OR(NOT(ISNUMBER($AD264)),$AD264&lt;0,$AD264&gt;1))),"Marge spécifique invalide (0–100 %)",IF(OR(AND($P264&lt;&gt;"",NOT(ISNUMBER($P264))),AND($Q264&lt;&gt;"",NOT(ISNUMBER($Q264))),AND($R264&lt;&gt;"",NOT(ISNUMBER($R264)))),"Mois invalide",IF(AND(OR($G264="À migrer",$G264="À décommissionner"),COUNTIFS(TblClusters[Cluster],$I264,TblClusters[Plateforme],"IKS")=0),"Cluster IKS inconnu",IF(AND(OR($G264="À migrer",$G264="Migré"),COUNTIFS(TblClusters[Cluster],$J264,TblClusters[Plateforme],"ROKS")=0),"Cluster ROKS inconnu",IF(AND(OR($G264="À migrer",$G264="À décommissionner"),COUNTIFS(TblClusters[Cluster],$I264,TblClusters[Environnement],$E264)=0),"Environnement ≠ cluster IKS",IF(AND(OR($G264="À migrer",$G264="Migré"),COUNTIFS(TblClusters[Cluster],$J264,TblClusters[Environnement],$E264)=0),"Environnement ≠ cluster ROKS",IF(AND($G264="À migrer",OR($P264&gt;$Q264,$Q264&gt;$R264)),"Dates incohérentes (prov ≤ bascule ≤ libération)",IF(AND(OR($G264="À migrer",$G264="À décommissionner"),OR(N($N264)&gt;SUMIFS(TblClusters[CPU initial (vCPU)],TblClusters[Cluster],$I264),N($O264)&gt;SUMIFS(TblClusters[RAM initiale (Go)],TblClusters[Cluster],$I264))),"Libération &gt; capacité du cluster source",IF(OR(AND($V264&lt;&gt;"",$V264&lt;p_debut),AND($W264&lt;&gt;"",$W264&gt;p_fin)),"Hors horizon (info)",IF(AND($G264="À migrer",$E264="PRD",COUNTIFS(TblApplications[ID],$C264,TblApplications[Environnement],"NPRD",TblApplications[Action],"À migrer")&gt;0,$V264&lt;_xlfn.MINIFS(TblApplications[Mois prov (calc)],TblApplications[ID],$C264,TblApplications[Environnement],"NPRD")),"PRD avant NPRD (info)","OK"))))))))))))))))))))</f>
        <v/>
      </c>
      <c r="AC264" s="76"/>
      <c r="AD264" s="76"/>
      <c r="AE264" s="22" t="str">
        <f aca="false">IF(OR($C264="",NOT(OR($G264="À migrer",$G264="À décommissionner")),NOT(ISNUMBER($N264)),NOT(ISNUMBER($O264)),$W264=""),"",($N264+p_poidsram*$O264)*SUMIFS(TblCalculs[Coût par unité],TblCalculs[Cluster],$I264,TblCalculs[Mois],"&lt;"&amp;$W264))</f>
        <v/>
      </c>
      <c r="AF264" s="22" t="str">
        <f aca="false">IF($C264="","",IF(AND($G264="À migrer",$H264="Non",$T264&lt;&gt;"",$V264&lt;&gt;""),($T264+p_poidsram*$U264)*SUMIFS(TblCalculs[Coût par unité],TblCalculs[Cluster],$J264,TblCalculs[Mois],"&gt;="&amp;$V264),IF(AND($G264="Migré",$T264&lt;&gt;""),($T264+p_poidsram*$U264)*SUMIFS(TblCalculs[Coût par unité],TblCalculs[Cluster],$J264),"")))</f>
        <v/>
      </c>
      <c r="AG264" s="22" t="str">
        <f aca="false">IF($C264="","",N($AE264)+N($AF264))</f>
        <v/>
      </c>
      <c r="AH264" s="21" t="str">
        <f aca="false">IF(OR($C264="",$G264="Décommissionné",COUNTIFS($E264,av_envc,$A264,av_domc,$B264,av_tric)=0),"",COUNTIFS($C$6:$C264,"&lt;&gt;",$G$6:$G264,"&lt;&gt;Décommissionné",$E$6:$E264,av_envc,$A$6:$A264,av_domc,$B$6:$B264,av_tric))</f>
        <v/>
      </c>
      <c r="AI264" s="21" t="str">
        <f aca="false">IF($C264="","",IF(AND(OR($G264="À migrer",$G264="À décommissionner"),$W264&lt;&gt;"",$W264&gt;ex_mois),1,0))</f>
        <v/>
      </c>
      <c r="AJ264" s="21" t="str">
        <f aca="false">IF(OR($C264="",$AI264&lt;&gt;1,COUNTIFS($E264,ex_envc,$A264,ex_domc,$B264,ex_tric)=0),"",COUNTIFS($AI$6:$AI264,1,$E$6:$E264,ex_envc,$A$6:$A264,ex_domc,$B$6:$B264,ex_tric))</f>
        <v/>
      </c>
    </row>
    <row r="265" customFormat="false" ht="15" hidden="false" customHeight="false" outlineLevel="0" collapsed="false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5"/>
      <c r="Q265" s="75"/>
      <c r="R265" s="75"/>
      <c r="S265" s="74"/>
      <c r="T265" s="21" t="str">
        <f aca="false">IF(OR($C265="",NOT(OR($G265="À migrer",$G265="Migré")),NOT(ISNUMBER($K265))),"",ROUNDUP($K265*(1+IF($AC265="",p_margeCPU,$AC265)),0))</f>
        <v/>
      </c>
      <c r="U265" s="21" t="str">
        <f aca="false">IF(OR($C265="",NOT(OR($G265="À migrer",$G265="Migré")),NOT(ISNUMBER($L265))),"",ROUNDUP($L265*(1+IF($AD265="",p_margeRAM,$AD265)),0))</f>
        <v/>
      </c>
      <c r="V265" s="39" t="str">
        <f aca="false">IF(OR(NOT($G265="À migrer"),$P265=""),"",IFERROR(DATE(YEAR($P265),MONTH($P265),1),""))</f>
        <v/>
      </c>
      <c r="W265" s="39" t="str">
        <f aca="false">IF(OR(NOT(OR($G265="À migrer",$G265="À décommissionner")),$R265=""),"",IFERROR(DATE(YEAR($R265),MONTH($R265),1),""))</f>
        <v/>
      </c>
      <c r="X265" s="21" t="str">
        <f aca="false">IF(OR($V265="",$W265=""),"",MAX(0,(YEAR($W265)-YEAR($V265))*12+MONTH($W265)-MONTH($V265)))</f>
        <v/>
      </c>
      <c r="Y265" s="21" t="str">
        <f aca="false">IF($C265="","",COUNTIF(TblApplications[ID],$C265))</f>
        <v/>
      </c>
      <c r="Z265" s="39" t="str">
        <f aca="false">IF($C265="","",IFERROR(1/(1/_xlfn.MINIFS(TblApplications[Mois prov (calc)],TblApplications[ID],$C265)),""))</f>
        <v/>
      </c>
      <c r="AA265" s="39" t="str">
        <f aca="false">IF($C265="","",IFERROR(1/(1/_xlfn.MAXIFS(TblApplications[Mois lib (calc)],TblApplications[ID],$C265)),""))</f>
        <v/>
      </c>
      <c r="AB265" s="21" t="str">
        <f aca="false">IF($C265="","",IF(OR(OR($A265="",$B265="",$D265="",$E265="",$F265="",$G265=""),AND($G265="À migrer",OR($H265="",$I265="",$J265="",$K265="",$L265="",$N265="",$O265="",$P265="",$Q265="",$R265="")),AND($G265="Migré",OR($J265="",$K265="",$L265="")),AND($G265="À décommissionner",OR($I265="",$N265="",$O265="",$R265=""))),"Données manquantes (selon l’action)",IF(AND($G265&lt;&gt;"Migré",$G265&lt;&gt;"À migrer",$G265&lt;&gt;"À décommissionner",$G265&lt;&gt;"Décommissionné"),"Action invalide",IF(COUNTIF(TblDomaines[Domaine],$A265)=0,"Domaine inconnu (référentiel)",IF(COUNTIFS(TblTribes[Tribe],$B265,TblTribes[Domaine de la tribe],$A265)=0,"Tribe inconnue ou hors domaine",IF(AND($G265="À migrer",$H265&lt;&gt;"Oui",$H265&lt;&gt;"Non"),"Valeur Oui/Non invalide (Déjà incluse ROKS)",IF(AND($E265&lt;&gt;"PRD",$E265&lt;&gt;"NPRD"),"Environnement invalide",IF(COUNTIFS(TblApplications[ID],$C265,TblApplications[Environnement],$E265,TblApplications[Couloir],$F265)&gt;1,"Déploiement en doublon (ID + env + couloir)",IF(OR(AND($K265&lt;&gt;"",NOT(ISNUMBER($K265))),AND($L265&lt;&gt;"",NOT(ISNUMBER($L265))),AND($N265&lt;&gt;"",NOT(ISNUMBER($N265))),AND($O265&lt;&gt;"",NOT(ISNUMBER($O265)))),"Ressource non numérique",IF(MIN(N($K265),N($L265),N($N265),N($O265))&lt;0,"Ressource négative",IF(OR(AND($AC265&lt;&gt;"",OR(NOT(ISNUMBER($AC265)),$AC265&lt;0,$AC265&gt;1)),AND($AD265&lt;&gt;"",OR(NOT(ISNUMBER($AD265)),$AD265&lt;0,$AD265&gt;1))),"Marge spécifique invalide (0–100 %)",IF(OR(AND($P265&lt;&gt;"",NOT(ISNUMBER($P265))),AND($Q265&lt;&gt;"",NOT(ISNUMBER($Q265))),AND($R265&lt;&gt;"",NOT(ISNUMBER($R265)))),"Mois invalide",IF(AND(OR($G265="À migrer",$G265="À décommissionner"),COUNTIFS(TblClusters[Cluster],$I265,TblClusters[Plateforme],"IKS")=0),"Cluster IKS inconnu",IF(AND(OR($G265="À migrer",$G265="Migré"),COUNTIFS(TblClusters[Cluster],$J265,TblClusters[Plateforme],"ROKS")=0),"Cluster ROKS inconnu",IF(AND(OR($G265="À migrer",$G265="À décommissionner"),COUNTIFS(TblClusters[Cluster],$I265,TblClusters[Environnement],$E265)=0),"Environnement ≠ cluster IKS",IF(AND(OR($G265="À migrer",$G265="Migré"),COUNTIFS(TblClusters[Cluster],$J265,TblClusters[Environnement],$E265)=0),"Environnement ≠ cluster ROKS",IF(AND($G265="À migrer",OR($P265&gt;$Q265,$Q265&gt;$R265)),"Dates incohérentes (prov ≤ bascule ≤ libération)",IF(AND(OR($G265="À migrer",$G265="À décommissionner"),OR(N($N265)&gt;SUMIFS(TblClusters[CPU initial (vCPU)],TblClusters[Cluster],$I265),N($O265)&gt;SUMIFS(TblClusters[RAM initiale (Go)],TblClusters[Cluster],$I265))),"Libération &gt; capacité du cluster source",IF(OR(AND($V265&lt;&gt;"",$V265&lt;p_debut),AND($W265&lt;&gt;"",$W265&gt;p_fin)),"Hors horizon (info)",IF(AND($G265="À migrer",$E265="PRD",COUNTIFS(TblApplications[ID],$C265,TblApplications[Environnement],"NPRD",TblApplications[Action],"À migrer")&gt;0,$V265&lt;_xlfn.MINIFS(TblApplications[Mois prov (calc)],TblApplications[ID],$C265,TblApplications[Environnement],"NPRD")),"PRD avant NPRD (info)","OK"))))))))))))))))))))</f>
        <v/>
      </c>
      <c r="AC265" s="76"/>
      <c r="AD265" s="76"/>
      <c r="AE265" s="22" t="str">
        <f aca="false">IF(OR($C265="",NOT(OR($G265="À migrer",$G265="À décommissionner")),NOT(ISNUMBER($N265)),NOT(ISNUMBER($O265)),$W265=""),"",($N265+p_poidsram*$O265)*SUMIFS(TblCalculs[Coût par unité],TblCalculs[Cluster],$I265,TblCalculs[Mois],"&lt;"&amp;$W265))</f>
        <v/>
      </c>
      <c r="AF265" s="22" t="str">
        <f aca="false">IF($C265="","",IF(AND($G265="À migrer",$H265="Non",$T265&lt;&gt;"",$V265&lt;&gt;""),($T265+p_poidsram*$U265)*SUMIFS(TblCalculs[Coût par unité],TblCalculs[Cluster],$J265,TblCalculs[Mois],"&gt;="&amp;$V265),IF(AND($G265="Migré",$T265&lt;&gt;""),($T265+p_poidsram*$U265)*SUMIFS(TblCalculs[Coût par unité],TblCalculs[Cluster],$J265),"")))</f>
        <v/>
      </c>
      <c r="AG265" s="22" t="str">
        <f aca="false">IF($C265="","",N($AE265)+N($AF265))</f>
        <v/>
      </c>
      <c r="AH265" s="21" t="str">
        <f aca="false">IF(OR($C265="",$G265="Décommissionné",COUNTIFS($E265,av_envc,$A265,av_domc,$B265,av_tric)=0),"",COUNTIFS($C$6:$C265,"&lt;&gt;",$G$6:$G265,"&lt;&gt;Décommissionné",$E$6:$E265,av_envc,$A$6:$A265,av_domc,$B$6:$B265,av_tric))</f>
        <v/>
      </c>
      <c r="AI265" s="21" t="str">
        <f aca="false">IF($C265="","",IF(AND(OR($G265="À migrer",$G265="À décommissionner"),$W265&lt;&gt;"",$W265&gt;ex_mois),1,0))</f>
        <v/>
      </c>
      <c r="AJ265" s="21" t="str">
        <f aca="false">IF(OR($C265="",$AI265&lt;&gt;1,COUNTIFS($E265,ex_envc,$A265,ex_domc,$B265,ex_tric)=0),"",COUNTIFS($AI$6:$AI265,1,$E$6:$E265,ex_envc,$A$6:$A265,ex_domc,$B$6:$B265,ex_tric))</f>
        <v/>
      </c>
    </row>
    <row r="266" customFormat="false" ht="15" hidden="false" customHeight="false" outlineLevel="0" collapsed="false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5"/>
      <c r="Q266" s="75"/>
      <c r="R266" s="75"/>
      <c r="S266" s="74"/>
      <c r="T266" s="21" t="str">
        <f aca="false">IF(OR($C266="",NOT(OR($G266="À migrer",$G266="Migré")),NOT(ISNUMBER($K266))),"",ROUNDUP($K266*(1+IF($AC266="",p_margeCPU,$AC266)),0))</f>
        <v/>
      </c>
      <c r="U266" s="21" t="str">
        <f aca="false">IF(OR($C266="",NOT(OR($G266="À migrer",$G266="Migré")),NOT(ISNUMBER($L266))),"",ROUNDUP($L266*(1+IF($AD266="",p_margeRAM,$AD266)),0))</f>
        <v/>
      </c>
      <c r="V266" s="39" t="str">
        <f aca="false">IF(OR(NOT($G266="À migrer"),$P266=""),"",IFERROR(DATE(YEAR($P266),MONTH($P266),1),""))</f>
        <v/>
      </c>
      <c r="W266" s="39" t="str">
        <f aca="false">IF(OR(NOT(OR($G266="À migrer",$G266="À décommissionner")),$R266=""),"",IFERROR(DATE(YEAR($R266),MONTH($R266),1),""))</f>
        <v/>
      </c>
      <c r="X266" s="21" t="str">
        <f aca="false">IF(OR($V266="",$W266=""),"",MAX(0,(YEAR($W266)-YEAR($V266))*12+MONTH($W266)-MONTH($V266)))</f>
        <v/>
      </c>
      <c r="Y266" s="21" t="str">
        <f aca="false">IF($C266="","",COUNTIF(TblApplications[ID],$C266))</f>
        <v/>
      </c>
      <c r="Z266" s="39" t="str">
        <f aca="false">IF($C266="","",IFERROR(1/(1/_xlfn.MINIFS(TblApplications[Mois prov (calc)],TblApplications[ID],$C266)),""))</f>
        <v/>
      </c>
      <c r="AA266" s="39" t="str">
        <f aca="false">IF($C266="","",IFERROR(1/(1/_xlfn.MAXIFS(TblApplications[Mois lib (calc)],TblApplications[ID],$C266)),""))</f>
        <v/>
      </c>
      <c r="AB266" s="21" t="str">
        <f aca="false">IF($C266="","",IF(OR(OR($A266="",$B266="",$D266="",$E266="",$F266="",$G266=""),AND($G266="À migrer",OR($H266="",$I266="",$J266="",$K266="",$L266="",$N266="",$O266="",$P266="",$Q266="",$R266="")),AND($G266="Migré",OR($J266="",$K266="",$L266="")),AND($G266="À décommissionner",OR($I266="",$N266="",$O266="",$R266=""))),"Données manquantes (selon l’action)",IF(AND($G266&lt;&gt;"Migré",$G266&lt;&gt;"À migrer",$G266&lt;&gt;"À décommissionner",$G266&lt;&gt;"Décommissionné"),"Action invalide",IF(COUNTIF(TblDomaines[Domaine],$A266)=0,"Domaine inconnu (référentiel)",IF(COUNTIFS(TblTribes[Tribe],$B266,TblTribes[Domaine de la tribe],$A266)=0,"Tribe inconnue ou hors domaine",IF(AND($G266="À migrer",$H266&lt;&gt;"Oui",$H266&lt;&gt;"Non"),"Valeur Oui/Non invalide (Déjà incluse ROKS)",IF(AND($E266&lt;&gt;"PRD",$E266&lt;&gt;"NPRD"),"Environnement invalide",IF(COUNTIFS(TblApplications[ID],$C266,TblApplications[Environnement],$E266,TblApplications[Couloir],$F266)&gt;1,"Déploiement en doublon (ID + env + couloir)",IF(OR(AND($K266&lt;&gt;"",NOT(ISNUMBER($K266))),AND($L266&lt;&gt;"",NOT(ISNUMBER($L266))),AND($N266&lt;&gt;"",NOT(ISNUMBER($N266))),AND($O266&lt;&gt;"",NOT(ISNUMBER($O266)))),"Ressource non numérique",IF(MIN(N($K266),N($L266),N($N266),N($O266))&lt;0,"Ressource négative",IF(OR(AND($AC266&lt;&gt;"",OR(NOT(ISNUMBER($AC266)),$AC266&lt;0,$AC266&gt;1)),AND($AD266&lt;&gt;"",OR(NOT(ISNUMBER($AD266)),$AD266&lt;0,$AD266&gt;1))),"Marge spécifique invalide (0–100 %)",IF(OR(AND($P266&lt;&gt;"",NOT(ISNUMBER($P266))),AND($Q266&lt;&gt;"",NOT(ISNUMBER($Q266))),AND($R266&lt;&gt;"",NOT(ISNUMBER($R266)))),"Mois invalide",IF(AND(OR($G266="À migrer",$G266="À décommissionner"),COUNTIFS(TblClusters[Cluster],$I266,TblClusters[Plateforme],"IKS")=0),"Cluster IKS inconnu",IF(AND(OR($G266="À migrer",$G266="Migré"),COUNTIFS(TblClusters[Cluster],$J266,TblClusters[Plateforme],"ROKS")=0),"Cluster ROKS inconnu",IF(AND(OR($G266="À migrer",$G266="À décommissionner"),COUNTIFS(TblClusters[Cluster],$I266,TblClusters[Environnement],$E266)=0),"Environnement ≠ cluster IKS",IF(AND(OR($G266="À migrer",$G266="Migré"),COUNTIFS(TblClusters[Cluster],$J266,TblClusters[Environnement],$E266)=0),"Environnement ≠ cluster ROKS",IF(AND($G266="À migrer",OR($P266&gt;$Q266,$Q266&gt;$R266)),"Dates incohérentes (prov ≤ bascule ≤ libération)",IF(AND(OR($G266="À migrer",$G266="À décommissionner"),OR(N($N266)&gt;SUMIFS(TblClusters[CPU initial (vCPU)],TblClusters[Cluster],$I266),N($O266)&gt;SUMIFS(TblClusters[RAM initiale (Go)],TblClusters[Cluster],$I266))),"Libération &gt; capacité du cluster source",IF(OR(AND($V266&lt;&gt;"",$V266&lt;p_debut),AND($W266&lt;&gt;"",$W266&gt;p_fin)),"Hors horizon (info)",IF(AND($G266="À migrer",$E266="PRD",COUNTIFS(TblApplications[ID],$C266,TblApplications[Environnement],"NPRD",TblApplications[Action],"À migrer")&gt;0,$V266&lt;_xlfn.MINIFS(TblApplications[Mois prov (calc)],TblApplications[ID],$C266,TblApplications[Environnement],"NPRD")),"PRD avant NPRD (info)","OK"))))))))))))))))))))</f>
        <v/>
      </c>
      <c r="AC266" s="76"/>
      <c r="AD266" s="76"/>
      <c r="AE266" s="22" t="str">
        <f aca="false">IF(OR($C266="",NOT(OR($G266="À migrer",$G266="À décommissionner")),NOT(ISNUMBER($N266)),NOT(ISNUMBER($O266)),$W266=""),"",($N266+p_poidsram*$O266)*SUMIFS(TblCalculs[Coût par unité],TblCalculs[Cluster],$I266,TblCalculs[Mois],"&lt;"&amp;$W266))</f>
        <v/>
      </c>
      <c r="AF266" s="22" t="str">
        <f aca="false">IF($C266="","",IF(AND($G266="À migrer",$H266="Non",$T266&lt;&gt;"",$V266&lt;&gt;""),($T266+p_poidsram*$U266)*SUMIFS(TblCalculs[Coût par unité],TblCalculs[Cluster],$J266,TblCalculs[Mois],"&gt;="&amp;$V266),IF(AND($G266="Migré",$T266&lt;&gt;""),($T266+p_poidsram*$U266)*SUMIFS(TblCalculs[Coût par unité],TblCalculs[Cluster],$J266),"")))</f>
        <v/>
      </c>
      <c r="AG266" s="22" t="str">
        <f aca="false">IF($C266="","",N($AE266)+N($AF266))</f>
        <v/>
      </c>
      <c r="AH266" s="21" t="str">
        <f aca="false">IF(OR($C266="",$G266="Décommissionné",COUNTIFS($E266,av_envc,$A266,av_domc,$B266,av_tric)=0),"",COUNTIFS($C$6:$C266,"&lt;&gt;",$G$6:$G266,"&lt;&gt;Décommissionné",$E$6:$E266,av_envc,$A$6:$A266,av_domc,$B$6:$B266,av_tric))</f>
        <v/>
      </c>
      <c r="AI266" s="21" t="str">
        <f aca="false">IF($C266="","",IF(AND(OR($G266="À migrer",$G266="À décommissionner"),$W266&lt;&gt;"",$W266&gt;ex_mois),1,0))</f>
        <v/>
      </c>
      <c r="AJ266" s="21" t="str">
        <f aca="false">IF(OR($C266="",$AI266&lt;&gt;1,COUNTIFS($E266,ex_envc,$A266,ex_domc,$B266,ex_tric)=0),"",COUNTIFS($AI$6:$AI266,1,$E$6:$E266,ex_envc,$A$6:$A266,ex_domc,$B$6:$B266,ex_tric))</f>
        <v/>
      </c>
    </row>
    <row r="267" customFormat="false" ht="15" hidden="false" customHeight="false" outlineLevel="0" collapsed="false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5"/>
      <c r="Q267" s="75"/>
      <c r="R267" s="75"/>
      <c r="S267" s="74"/>
      <c r="T267" s="21" t="str">
        <f aca="false">IF(OR($C267="",NOT(OR($G267="À migrer",$G267="Migré")),NOT(ISNUMBER($K267))),"",ROUNDUP($K267*(1+IF($AC267="",p_margeCPU,$AC267)),0))</f>
        <v/>
      </c>
      <c r="U267" s="21" t="str">
        <f aca="false">IF(OR($C267="",NOT(OR($G267="À migrer",$G267="Migré")),NOT(ISNUMBER($L267))),"",ROUNDUP($L267*(1+IF($AD267="",p_margeRAM,$AD267)),0))</f>
        <v/>
      </c>
      <c r="V267" s="39" t="str">
        <f aca="false">IF(OR(NOT($G267="À migrer"),$P267=""),"",IFERROR(DATE(YEAR($P267),MONTH($P267),1),""))</f>
        <v/>
      </c>
      <c r="W267" s="39" t="str">
        <f aca="false">IF(OR(NOT(OR($G267="À migrer",$G267="À décommissionner")),$R267=""),"",IFERROR(DATE(YEAR($R267),MONTH($R267),1),""))</f>
        <v/>
      </c>
      <c r="X267" s="21" t="str">
        <f aca="false">IF(OR($V267="",$W267=""),"",MAX(0,(YEAR($W267)-YEAR($V267))*12+MONTH($W267)-MONTH($V267)))</f>
        <v/>
      </c>
      <c r="Y267" s="21" t="str">
        <f aca="false">IF($C267="","",COUNTIF(TblApplications[ID],$C267))</f>
        <v/>
      </c>
      <c r="Z267" s="39" t="str">
        <f aca="false">IF($C267="","",IFERROR(1/(1/_xlfn.MINIFS(TblApplications[Mois prov (calc)],TblApplications[ID],$C267)),""))</f>
        <v/>
      </c>
      <c r="AA267" s="39" t="str">
        <f aca="false">IF($C267="","",IFERROR(1/(1/_xlfn.MAXIFS(TblApplications[Mois lib (calc)],TblApplications[ID],$C267)),""))</f>
        <v/>
      </c>
      <c r="AB267" s="21" t="str">
        <f aca="false">IF($C267="","",IF(OR(OR($A267="",$B267="",$D267="",$E267="",$F267="",$G267=""),AND($G267="À migrer",OR($H267="",$I267="",$J267="",$K267="",$L267="",$N267="",$O267="",$P267="",$Q267="",$R267="")),AND($G267="Migré",OR($J267="",$K267="",$L267="")),AND($G267="À décommissionner",OR($I267="",$N267="",$O267="",$R267=""))),"Données manquantes (selon l’action)",IF(AND($G267&lt;&gt;"Migré",$G267&lt;&gt;"À migrer",$G267&lt;&gt;"À décommissionner",$G267&lt;&gt;"Décommissionné"),"Action invalide",IF(COUNTIF(TblDomaines[Domaine],$A267)=0,"Domaine inconnu (référentiel)",IF(COUNTIFS(TblTribes[Tribe],$B267,TblTribes[Domaine de la tribe],$A267)=0,"Tribe inconnue ou hors domaine",IF(AND($G267="À migrer",$H267&lt;&gt;"Oui",$H267&lt;&gt;"Non"),"Valeur Oui/Non invalide (Déjà incluse ROKS)",IF(AND($E267&lt;&gt;"PRD",$E267&lt;&gt;"NPRD"),"Environnement invalide",IF(COUNTIFS(TblApplications[ID],$C267,TblApplications[Environnement],$E267,TblApplications[Couloir],$F267)&gt;1,"Déploiement en doublon (ID + env + couloir)",IF(OR(AND($K267&lt;&gt;"",NOT(ISNUMBER($K267))),AND($L267&lt;&gt;"",NOT(ISNUMBER($L267))),AND($N267&lt;&gt;"",NOT(ISNUMBER($N267))),AND($O267&lt;&gt;"",NOT(ISNUMBER($O267)))),"Ressource non numérique",IF(MIN(N($K267),N($L267),N($N267),N($O267))&lt;0,"Ressource négative",IF(OR(AND($AC267&lt;&gt;"",OR(NOT(ISNUMBER($AC267)),$AC267&lt;0,$AC267&gt;1)),AND($AD267&lt;&gt;"",OR(NOT(ISNUMBER($AD267)),$AD267&lt;0,$AD267&gt;1))),"Marge spécifique invalide (0–100 %)",IF(OR(AND($P267&lt;&gt;"",NOT(ISNUMBER($P267))),AND($Q267&lt;&gt;"",NOT(ISNUMBER($Q267))),AND($R267&lt;&gt;"",NOT(ISNUMBER($R267)))),"Mois invalide",IF(AND(OR($G267="À migrer",$G267="À décommissionner"),COUNTIFS(TblClusters[Cluster],$I267,TblClusters[Plateforme],"IKS")=0),"Cluster IKS inconnu",IF(AND(OR($G267="À migrer",$G267="Migré"),COUNTIFS(TblClusters[Cluster],$J267,TblClusters[Plateforme],"ROKS")=0),"Cluster ROKS inconnu",IF(AND(OR($G267="À migrer",$G267="À décommissionner"),COUNTIFS(TblClusters[Cluster],$I267,TblClusters[Environnement],$E267)=0),"Environnement ≠ cluster IKS",IF(AND(OR($G267="À migrer",$G267="Migré"),COUNTIFS(TblClusters[Cluster],$J267,TblClusters[Environnement],$E267)=0),"Environnement ≠ cluster ROKS",IF(AND($G267="À migrer",OR($P267&gt;$Q267,$Q267&gt;$R267)),"Dates incohérentes (prov ≤ bascule ≤ libération)",IF(AND(OR($G267="À migrer",$G267="À décommissionner"),OR(N($N267)&gt;SUMIFS(TblClusters[CPU initial (vCPU)],TblClusters[Cluster],$I267),N($O267)&gt;SUMIFS(TblClusters[RAM initiale (Go)],TblClusters[Cluster],$I267))),"Libération &gt; capacité du cluster source",IF(OR(AND($V267&lt;&gt;"",$V267&lt;p_debut),AND($W267&lt;&gt;"",$W267&gt;p_fin)),"Hors horizon (info)",IF(AND($G267="À migrer",$E267="PRD",COUNTIFS(TblApplications[ID],$C267,TblApplications[Environnement],"NPRD",TblApplications[Action],"À migrer")&gt;0,$V267&lt;_xlfn.MINIFS(TblApplications[Mois prov (calc)],TblApplications[ID],$C267,TblApplications[Environnement],"NPRD")),"PRD avant NPRD (info)","OK"))))))))))))))))))))</f>
        <v/>
      </c>
      <c r="AC267" s="76"/>
      <c r="AD267" s="76"/>
      <c r="AE267" s="22" t="str">
        <f aca="false">IF(OR($C267="",NOT(OR($G267="À migrer",$G267="À décommissionner")),NOT(ISNUMBER($N267)),NOT(ISNUMBER($O267)),$W267=""),"",($N267+p_poidsram*$O267)*SUMIFS(TblCalculs[Coût par unité],TblCalculs[Cluster],$I267,TblCalculs[Mois],"&lt;"&amp;$W267))</f>
        <v/>
      </c>
      <c r="AF267" s="22" t="str">
        <f aca="false">IF($C267="","",IF(AND($G267="À migrer",$H267="Non",$T267&lt;&gt;"",$V267&lt;&gt;""),($T267+p_poidsram*$U267)*SUMIFS(TblCalculs[Coût par unité],TblCalculs[Cluster],$J267,TblCalculs[Mois],"&gt;="&amp;$V267),IF(AND($G267="Migré",$T267&lt;&gt;""),($T267+p_poidsram*$U267)*SUMIFS(TblCalculs[Coût par unité],TblCalculs[Cluster],$J267),"")))</f>
        <v/>
      </c>
      <c r="AG267" s="22" t="str">
        <f aca="false">IF($C267="","",N($AE267)+N($AF267))</f>
        <v/>
      </c>
      <c r="AH267" s="21" t="str">
        <f aca="false">IF(OR($C267="",$G267="Décommissionné",COUNTIFS($E267,av_envc,$A267,av_domc,$B267,av_tric)=0),"",COUNTIFS($C$6:$C267,"&lt;&gt;",$G$6:$G267,"&lt;&gt;Décommissionné",$E$6:$E267,av_envc,$A$6:$A267,av_domc,$B$6:$B267,av_tric))</f>
        <v/>
      </c>
      <c r="AI267" s="21" t="str">
        <f aca="false">IF($C267="","",IF(AND(OR($G267="À migrer",$G267="À décommissionner"),$W267&lt;&gt;"",$W267&gt;ex_mois),1,0))</f>
        <v/>
      </c>
      <c r="AJ267" s="21" t="str">
        <f aca="false">IF(OR($C267="",$AI267&lt;&gt;1,COUNTIFS($E267,ex_envc,$A267,ex_domc,$B267,ex_tric)=0),"",COUNTIFS($AI$6:$AI267,1,$E$6:$E267,ex_envc,$A$6:$A267,ex_domc,$B$6:$B267,ex_tric))</f>
        <v/>
      </c>
    </row>
    <row r="268" customFormat="false" ht="15" hidden="false" customHeight="false" outlineLevel="0" collapsed="false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5"/>
      <c r="Q268" s="75"/>
      <c r="R268" s="75"/>
      <c r="S268" s="74"/>
      <c r="T268" s="21" t="str">
        <f aca="false">IF(OR($C268="",NOT(OR($G268="À migrer",$G268="Migré")),NOT(ISNUMBER($K268))),"",ROUNDUP($K268*(1+IF($AC268="",p_margeCPU,$AC268)),0))</f>
        <v/>
      </c>
      <c r="U268" s="21" t="str">
        <f aca="false">IF(OR($C268="",NOT(OR($G268="À migrer",$G268="Migré")),NOT(ISNUMBER($L268))),"",ROUNDUP($L268*(1+IF($AD268="",p_margeRAM,$AD268)),0))</f>
        <v/>
      </c>
      <c r="V268" s="39" t="str">
        <f aca="false">IF(OR(NOT($G268="À migrer"),$P268=""),"",IFERROR(DATE(YEAR($P268),MONTH($P268),1),""))</f>
        <v/>
      </c>
      <c r="W268" s="39" t="str">
        <f aca="false">IF(OR(NOT(OR($G268="À migrer",$G268="À décommissionner")),$R268=""),"",IFERROR(DATE(YEAR($R268),MONTH($R268),1),""))</f>
        <v/>
      </c>
      <c r="X268" s="21" t="str">
        <f aca="false">IF(OR($V268="",$W268=""),"",MAX(0,(YEAR($W268)-YEAR($V268))*12+MONTH($W268)-MONTH($V268)))</f>
        <v/>
      </c>
      <c r="Y268" s="21" t="str">
        <f aca="false">IF($C268="","",COUNTIF(TblApplications[ID],$C268))</f>
        <v/>
      </c>
      <c r="Z268" s="39" t="str">
        <f aca="false">IF($C268="","",IFERROR(1/(1/_xlfn.MINIFS(TblApplications[Mois prov (calc)],TblApplications[ID],$C268)),""))</f>
        <v/>
      </c>
      <c r="AA268" s="39" t="str">
        <f aca="false">IF($C268="","",IFERROR(1/(1/_xlfn.MAXIFS(TblApplications[Mois lib (calc)],TblApplications[ID],$C268)),""))</f>
        <v/>
      </c>
      <c r="AB268" s="21" t="str">
        <f aca="false">IF($C268="","",IF(OR(OR($A268="",$B268="",$D268="",$E268="",$F268="",$G268=""),AND($G268="À migrer",OR($H268="",$I268="",$J268="",$K268="",$L268="",$N268="",$O268="",$P268="",$Q268="",$R268="")),AND($G268="Migré",OR($J268="",$K268="",$L268="")),AND($G268="À décommissionner",OR($I268="",$N268="",$O268="",$R268=""))),"Données manquantes (selon l’action)",IF(AND($G268&lt;&gt;"Migré",$G268&lt;&gt;"À migrer",$G268&lt;&gt;"À décommissionner",$G268&lt;&gt;"Décommissionné"),"Action invalide",IF(COUNTIF(TblDomaines[Domaine],$A268)=0,"Domaine inconnu (référentiel)",IF(COUNTIFS(TblTribes[Tribe],$B268,TblTribes[Domaine de la tribe],$A268)=0,"Tribe inconnue ou hors domaine",IF(AND($G268="À migrer",$H268&lt;&gt;"Oui",$H268&lt;&gt;"Non"),"Valeur Oui/Non invalide (Déjà incluse ROKS)",IF(AND($E268&lt;&gt;"PRD",$E268&lt;&gt;"NPRD"),"Environnement invalide",IF(COUNTIFS(TblApplications[ID],$C268,TblApplications[Environnement],$E268,TblApplications[Couloir],$F268)&gt;1,"Déploiement en doublon (ID + env + couloir)",IF(OR(AND($K268&lt;&gt;"",NOT(ISNUMBER($K268))),AND($L268&lt;&gt;"",NOT(ISNUMBER($L268))),AND($N268&lt;&gt;"",NOT(ISNUMBER($N268))),AND($O268&lt;&gt;"",NOT(ISNUMBER($O268)))),"Ressource non numérique",IF(MIN(N($K268),N($L268),N($N268),N($O268))&lt;0,"Ressource négative",IF(OR(AND($AC268&lt;&gt;"",OR(NOT(ISNUMBER($AC268)),$AC268&lt;0,$AC268&gt;1)),AND($AD268&lt;&gt;"",OR(NOT(ISNUMBER($AD268)),$AD268&lt;0,$AD268&gt;1))),"Marge spécifique invalide (0–100 %)",IF(OR(AND($P268&lt;&gt;"",NOT(ISNUMBER($P268))),AND($Q268&lt;&gt;"",NOT(ISNUMBER($Q268))),AND($R268&lt;&gt;"",NOT(ISNUMBER($R268)))),"Mois invalide",IF(AND(OR($G268="À migrer",$G268="À décommissionner"),COUNTIFS(TblClusters[Cluster],$I268,TblClusters[Plateforme],"IKS")=0),"Cluster IKS inconnu",IF(AND(OR($G268="À migrer",$G268="Migré"),COUNTIFS(TblClusters[Cluster],$J268,TblClusters[Plateforme],"ROKS")=0),"Cluster ROKS inconnu",IF(AND(OR($G268="À migrer",$G268="À décommissionner"),COUNTIFS(TblClusters[Cluster],$I268,TblClusters[Environnement],$E268)=0),"Environnement ≠ cluster IKS",IF(AND(OR($G268="À migrer",$G268="Migré"),COUNTIFS(TblClusters[Cluster],$J268,TblClusters[Environnement],$E268)=0),"Environnement ≠ cluster ROKS",IF(AND($G268="À migrer",OR($P268&gt;$Q268,$Q268&gt;$R268)),"Dates incohérentes (prov ≤ bascule ≤ libération)",IF(AND(OR($G268="À migrer",$G268="À décommissionner"),OR(N($N268)&gt;SUMIFS(TblClusters[CPU initial (vCPU)],TblClusters[Cluster],$I268),N($O268)&gt;SUMIFS(TblClusters[RAM initiale (Go)],TblClusters[Cluster],$I268))),"Libération &gt; capacité du cluster source",IF(OR(AND($V268&lt;&gt;"",$V268&lt;p_debut),AND($W268&lt;&gt;"",$W268&gt;p_fin)),"Hors horizon (info)",IF(AND($G268="À migrer",$E268="PRD",COUNTIFS(TblApplications[ID],$C268,TblApplications[Environnement],"NPRD",TblApplications[Action],"À migrer")&gt;0,$V268&lt;_xlfn.MINIFS(TblApplications[Mois prov (calc)],TblApplications[ID],$C268,TblApplications[Environnement],"NPRD")),"PRD avant NPRD (info)","OK"))))))))))))))))))))</f>
        <v/>
      </c>
      <c r="AC268" s="76"/>
      <c r="AD268" s="76"/>
      <c r="AE268" s="22" t="str">
        <f aca="false">IF(OR($C268="",NOT(OR($G268="À migrer",$G268="À décommissionner")),NOT(ISNUMBER($N268)),NOT(ISNUMBER($O268)),$W268=""),"",($N268+p_poidsram*$O268)*SUMIFS(TblCalculs[Coût par unité],TblCalculs[Cluster],$I268,TblCalculs[Mois],"&lt;"&amp;$W268))</f>
        <v/>
      </c>
      <c r="AF268" s="22" t="str">
        <f aca="false">IF($C268="","",IF(AND($G268="À migrer",$H268="Non",$T268&lt;&gt;"",$V268&lt;&gt;""),($T268+p_poidsram*$U268)*SUMIFS(TblCalculs[Coût par unité],TblCalculs[Cluster],$J268,TblCalculs[Mois],"&gt;="&amp;$V268),IF(AND($G268="Migré",$T268&lt;&gt;""),($T268+p_poidsram*$U268)*SUMIFS(TblCalculs[Coût par unité],TblCalculs[Cluster],$J268),"")))</f>
        <v/>
      </c>
      <c r="AG268" s="22" t="str">
        <f aca="false">IF($C268="","",N($AE268)+N($AF268))</f>
        <v/>
      </c>
      <c r="AH268" s="21" t="str">
        <f aca="false">IF(OR($C268="",$G268="Décommissionné",COUNTIFS($E268,av_envc,$A268,av_domc,$B268,av_tric)=0),"",COUNTIFS($C$6:$C268,"&lt;&gt;",$G$6:$G268,"&lt;&gt;Décommissionné",$E$6:$E268,av_envc,$A$6:$A268,av_domc,$B$6:$B268,av_tric))</f>
        <v/>
      </c>
      <c r="AI268" s="21" t="str">
        <f aca="false">IF($C268="","",IF(AND(OR($G268="À migrer",$G268="À décommissionner"),$W268&lt;&gt;"",$W268&gt;ex_mois),1,0))</f>
        <v/>
      </c>
      <c r="AJ268" s="21" t="str">
        <f aca="false">IF(OR($C268="",$AI268&lt;&gt;1,COUNTIFS($E268,ex_envc,$A268,ex_domc,$B268,ex_tric)=0),"",COUNTIFS($AI$6:$AI268,1,$E$6:$E268,ex_envc,$A$6:$A268,ex_domc,$B$6:$B268,ex_tric))</f>
        <v/>
      </c>
    </row>
    <row r="269" customFormat="false" ht="15" hidden="false" customHeight="false" outlineLevel="0" collapsed="false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5"/>
      <c r="Q269" s="75"/>
      <c r="R269" s="75"/>
      <c r="S269" s="74"/>
      <c r="T269" s="21" t="str">
        <f aca="false">IF(OR($C269="",NOT(OR($G269="À migrer",$G269="Migré")),NOT(ISNUMBER($K269))),"",ROUNDUP($K269*(1+IF($AC269="",p_margeCPU,$AC269)),0))</f>
        <v/>
      </c>
      <c r="U269" s="21" t="str">
        <f aca="false">IF(OR($C269="",NOT(OR($G269="À migrer",$G269="Migré")),NOT(ISNUMBER($L269))),"",ROUNDUP($L269*(1+IF($AD269="",p_margeRAM,$AD269)),0))</f>
        <v/>
      </c>
      <c r="V269" s="39" t="str">
        <f aca="false">IF(OR(NOT($G269="À migrer"),$P269=""),"",IFERROR(DATE(YEAR($P269),MONTH($P269),1),""))</f>
        <v/>
      </c>
      <c r="W269" s="39" t="str">
        <f aca="false">IF(OR(NOT(OR($G269="À migrer",$G269="À décommissionner")),$R269=""),"",IFERROR(DATE(YEAR($R269),MONTH($R269),1),""))</f>
        <v/>
      </c>
      <c r="X269" s="21" t="str">
        <f aca="false">IF(OR($V269="",$W269=""),"",MAX(0,(YEAR($W269)-YEAR($V269))*12+MONTH($W269)-MONTH($V269)))</f>
        <v/>
      </c>
      <c r="Y269" s="21" t="str">
        <f aca="false">IF($C269="","",COUNTIF(TblApplications[ID],$C269))</f>
        <v/>
      </c>
      <c r="Z269" s="39" t="str">
        <f aca="false">IF($C269="","",IFERROR(1/(1/_xlfn.MINIFS(TblApplications[Mois prov (calc)],TblApplications[ID],$C269)),""))</f>
        <v/>
      </c>
      <c r="AA269" s="39" t="str">
        <f aca="false">IF($C269="","",IFERROR(1/(1/_xlfn.MAXIFS(TblApplications[Mois lib (calc)],TblApplications[ID],$C269)),""))</f>
        <v/>
      </c>
      <c r="AB269" s="21" t="str">
        <f aca="false">IF($C269="","",IF(OR(OR($A269="",$B269="",$D269="",$E269="",$F269="",$G269=""),AND($G269="À migrer",OR($H269="",$I269="",$J269="",$K269="",$L269="",$N269="",$O269="",$P269="",$Q269="",$R269="")),AND($G269="Migré",OR($J269="",$K269="",$L269="")),AND($G269="À décommissionner",OR($I269="",$N269="",$O269="",$R269=""))),"Données manquantes (selon l’action)",IF(AND($G269&lt;&gt;"Migré",$G269&lt;&gt;"À migrer",$G269&lt;&gt;"À décommissionner",$G269&lt;&gt;"Décommissionné"),"Action invalide",IF(COUNTIF(TblDomaines[Domaine],$A269)=0,"Domaine inconnu (référentiel)",IF(COUNTIFS(TblTribes[Tribe],$B269,TblTribes[Domaine de la tribe],$A269)=0,"Tribe inconnue ou hors domaine",IF(AND($G269="À migrer",$H269&lt;&gt;"Oui",$H269&lt;&gt;"Non"),"Valeur Oui/Non invalide (Déjà incluse ROKS)",IF(AND($E269&lt;&gt;"PRD",$E269&lt;&gt;"NPRD"),"Environnement invalide",IF(COUNTIFS(TblApplications[ID],$C269,TblApplications[Environnement],$E269,TblApplications[Couloir],$F269)&gt;1,"Déploiement en doublon (ID + env + couloir)",IF(OR(AND($K269&lt;&gt;"",NOT(ISNUMBER($K269))),AND($L269&lt;&gt;"",NOT(ISNUMBER($L269))),AND($N269&lt;&gt;"",NOT(ISNUMBER($N269))),AND($O269&lt;&gt;"",NOT(ISNUMBER($O269)))),"Ressource non numérique",IF(MIN(N($K269),N($L269),N($N269),N($O269))&lt;0,"Ressource négative",IF(OR(AND($AC269&lt;&gt;"",OR(NOT(ISNUMBER($AC269)),$AC269&lt;0,$AC269&gt;1)),AND($AD269&lt;&gt;"",OR(NOT(ISNUMBER($AD269)),$AD269&lt;0,$AD269&gt;1))),"Marge spécifique invalide (0–100 %)",IF(OR(AND($P269&lt;&gt;"",NOT(ISNUMBER($P269))),AND($Q269&lt;&gt;"",NOT(ISNUMBER($Q269))),AND($R269&lt;&gt;"",NOT(ISNUMBER($R269)))),"Mois invalide",IF(AND(OR($G269="À migrer",$G269="À décommissionner"),COUNTIFS(TblClusters[Cluster],$I269,TblClusters[Plateforme],"IKS")=0),"Cluster IKS inconnu",IF(AND(OR($G269="À migrer",$G269="Migré"),COUNTIFS(TblClusters[Cluster],$J269,TblClusters[Plateforme],"ROKS")=0),"Cluster ROKS inconnu",IF(AND(OR($G269="À migrer",$G269="À décommissionner"),COUNTIFS(TblClusters[Cluster],$I269,TblClusters[Environnement],$E269)=0),"Environnement ≠ cluster IKS",IF(AND(OR($G269="À migrer",$G269="Migré"),COUNTIFS(TblClusters[Cluster],$J269,TblClusters[Environnement],$E269)=0),"Environnement ≠ cluster ROKS",IF(AND($G269="À migrer",OR($P269&gt;$Q269,$Q269&gt;$R269)),"Dates incohérentes (prov ≤ bascule ≤ libération)",IF(AND(OR($G269="À migrer",$G269="À décommissionner"),OR(N($N269)&gt;SUMIFS(TblClusters[CPU initial (vCPU)],TblClusters[Cluster],$I269),N($O269)&gt;SUMIFS(TblClusters[RAM initiale (Go)],TblClusters[Cluster],$I269))),"Libération &gt; capacité du cluster source",IF(OR(AND($V269&lt;&gt;"",$V269&lt;p_debut),AND($W269&lt;&gt;"",$W269&gt;p_fin)),"Hors horizon (info)",IF(AND($G269="À migrer",$E269="PRD",COUNTIFS(TblApplications[ID],$C269,TblApplications[Environnement],"NPRD",TblApplications[Action],"À migrer")&gt;0,$V269&lt;_xlfn.MINIFS(TblApplications[Mois prov (calc)],TblApplications[ID],$C269,TblApplications[Environnement],"NPRD")),"PRD avant NPRD (info)","OK"))))))))))))))))))))</f>
        <v/>
      </c>
      <c r="AC269" s="76"/>
      <c r="AD269" s="76"/>
      <c r="AE269" s="22" t="str">
        <f aca="false">IF(OR($C269="",NOT(OR($G269="À migrer",$G269="À décommissionner")),NOT(ISNUMBER($N269)),NOT(ISNUMBER($O269)),$W269=""),"",($N269+p_poidsram*$O269)*SUMIFS(TblCalculs[Coût par unité],TblCalculs[Cluster],$I269,TblCalculs[Mois],"&lt;"&amp;$W269))</f>
        <v/>
      </c>
      <c r="AF269" s="22" t="str">
        <f aca="false">IF($C269="","",IF(AND($G269="À migrer",$H269="Non",$T269&lt;&gt;"",$V269&lt;&gt;""),($T269+p_poidsram*$U269)*SUMIFS(TblCalculs[Coût par unité],TblCalculs[Cluster],$J269,TblCalculs[Mois],"&gt;="&amp;$V269),IF(AND($G269="Migré",$T269&lt;&gt;""),($T269+p_poidsram*$U269)*SUMIFS(TblCalculs[Coût par unité],TblCalculs[Cluster],$J269),"")))</f>
        <v/>
      </c>
      <c r="AG269" s="22" t="str">
        <f aca="false">IF($C269="","",N($AE269)+N($AF269))</f>
        <v/>
      </c>
      <c r="AH269" s="21" t="str">
        <f aca="false">IF(OR($C269="",$G269="Décommissionné",COUNTIFS($E269,av_envc,$A269,av_domc,$B269,av_tric)=0),"",COUNTIFS($C$6:$C269,"&lt;&gt;",$G$6:$G269,"&lt;&gt;Décommissionné",$E$6:$E269,av_envc,$A$6:$A269,av_domc,$B$6:$B269,av_tric))</f>
        <v/>
      </c>
      <c r="AI269" s="21" t="str">
        <f aca="false">IF($C269="","",IF(AND(OR($G269="À migrer",$G269="À décommissionner"),$W269&lt;&gt;"",$W269&gt;ex_mois),1,0))</f>
        <v/>
      </c>
      <c r="AJ269" s="21" t="str">
        <f aca="false">IF(OR($C269="",$AI269&lt;&gt;1,COUNTIFS($E269,ex_envc,$A269,ex_domc,$B269,ex_tric)=0),"",COUNTIFS($AI$6:$AI269,1,$E$6:$E269,ex_envc,$A$6:$A269,ex_domc,$B$6:$B269,ex_tric))</f>
        <v/>
      </c>
    </row>
    <row r="270" customFormat="false" ht="15" hidden="false" customHeight="false" outlineLevel="0" collapsed="false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5"/>
      <c r="Q270" s="75"/>
      <c r="R270" s="75"/>
      <c r="S270" s="74"/>
      <c r="T270" s="21" t="str">
        <f aca="false">IF(OR($C270="",NOT(OR($G270="À migrer",$G270="Migré")),NOT(ISNUMBER($K270))),"",ROUNDUP($K270*(1+IF($AC270="",p_margeCPU,$AC270)),0))</f>
        <v/>
      </c>
      <c r="U270" s="21" t="str">
        <f aca="false">IF(OR($C270="",NOT(OR($G270="À migrer",$G270="Migré")),NOT(ISNUMBER($L270))),"",ROUNDUP($L270*(1+IF($AD270="",p_margeRAM,$AD270)),0))</f>
        <v/>
      </c>
      <c r="V270" s="39" t="str">
        <f aca="false">IF(OR(NOT($G270="À migrer"),$P270=""),"",IFERROR(DATE(YEAR($P270),MONTH($P270),1),""))</f>
        <v/>
      </c>
      <c r="W270" s="39" t="str">
        <f aca="false">IF(OR(NOT(OR($G270="À migrer",$G270="À décommissionner")),$R270=""),"",IFERROR(DATE(YEAR($R270),MONTH($R270),1),""))</f>
        <v/>
      </c>
      <c r="X270" s="21" t="str">
        <f aca="false">IF(OR($V270="",$W270=""),"",MAX(0,(YEAR($W270)-YEAR($V270))*12+MONTH($W270)-MONTH($V270)))</f>
        <v/>
      </c>
      <c r="Y270" s="21" t="str">
        <f aca="false">IF($C270="","",COUNTIF(TblApplications[ID],$C270))</f>
        <v/>
      </c>
      <c r="Z270" s="39" t="str">
        <f aca="false">IF($C270="","",IFERROR(1/(1/_xlfn.MINIFS(TblApplications[Mois prov (calc)],TblApplications[ID],$C270)),""))</f>
        <v/>
      </c>
      <c r="AA270" s="39" t="str">
        <f aca="false">IF($C270="","",IFERROR(1/(1/_xlfn.MAXIFS(TblApplications[Mois lib (calc)],TblApplications[ID],$C270)),""))</f>
        <v/>
      </c>
      <c r="AB270" s="21" t="str">
        <f aca="false">IF($C270="","",IF(OR(OR($A270="",$B270="",$D270="",$E270="",$F270="",$G270=""),AND($G270="À migrer",OR($H270="",$I270="",$J270="",$K270="",$L270="",$N270="",$O270="",$P270="",$Q270="",$R270="")),AND($G270="Migré",OR($J270="",$K270="",$L270="")),AND($G270="À décommissionner",OR($I270="",$N270="",$O270="",$R270=""))),"Données manquantes (selon l’action)",IF(AND($G270&lt;&gt;"Migré",$G270&lt;&gt;"À migrer",$G270&lt;&gt;"À décommissionner",$G270&lt;&gt;"Décommissionné"),"Action invalide",IF(COUNTIF(TblDomaines[Domaine],$A270)=0,"Domaine inconnu (référentiel)",IF(COUNTIFS(TblTribes[Tribe],$B270,TblTribes[Domaine de la tribe],$A270)=0,"Tribe inconnue ou hors domaine",IF(AND($G270="À migrer",$H270&lt;&gt;"Oui",$H270&lt;&gt;"Non"),"Valeur Oui/Non invalide (Déjà incluse ROKS)",IF(AND($E270&lt;&gt;"PRD",$E270&lt;&gt;"NPRD"),"Environnement invalide",IF(COUNTIFS(TblApplications[ID],$C270,TblApplications[Environnement],$E270,TblApplications[Couloir],$F270)&gt;1,"Déploiement en doublon (ID + env + couloir)",IF(OR(AND($K270&lt;&gt;"",NOT(ISNUMBER($K270))),AND($L270&lt;&gt;"",NOT(ISNUMBER($L270))),AND($N270&lt;&gt;"",NOT(ISNUMBER($N270))),AND($O270&lt;&gt;"",NOT(ISNUMBER($O270)))),"Ressource non numérique",IF(MIN(N($K270),N($L270),N($N270),N($O270))&lt;0,"Ressource négative",IF(OR(AND($AC270&lt;&gt;"",OR(NOT(ISNUMBER($AC270)),$AC270&lt;0,$AC270&gt;1)),AND($AD270&lt;&gt;"",OR(NOT(ISNUMBER($AD270)),$AD270&lt;0,$AD270&gt;1))),"Marge spécifique invalide (0–100 %)",IF(OR(AND($P270&lt;&gt;"",NOT(ISNUMBER($P270))),AND($Q270&lt;&gt;"",NOT(ISNUMBER($Q270))),AND($R270&lt;&gt;"",NOT(ISNUMBER($R270)))),"Mois invalide",IF(AND(OR($G270="À migrer",$G270="À décommissionner"),COUNTIFS(TblClusters[Cluster],$I270,TblClusters[Plateforme],"IKS")=0),"Cluster IKS inconnu",IF(AND(OR($G270="À migrer",$G270="Migré"),COUNTIFS(TblClusters[Cluster],$J270,TblClusters[Plateforme],"ROKS")=0),"Cluster ROKS inconnu",IF(AND(OR($G270="À migrer",$G270="À décommissionner"),COUNTIFS(TblClusters[Cluster],$I270,TblClusters[Environnement],$E270)=0),"Environnement ≠ cluster IKS",IF(AND(OR($G270="À migrer",$G270="Migré"),COUNTIFS(TblClusters[Cluster],$J270,TblClusters[Environnement],$E270)=0),"Environnement ≠ cluster ROKS",IF(AND($G270="À migrer",OR($P270&gt;$Q270,$Q270&gt;$R270)),"Dates incohérentes (prov ≤ bascule ≤ libération)",IF(AND(OR($G270="À migrer",$G270="À décommissionner"),OR(N($N270)&gt;SUMIFS(TblClusters[CPU initial (vCPU)],TblClusters[Cluster],$I270),N($O270)&gt;SUMIFS(TblClusters[RAM initiale (Go)],TblClusters[Cluster],$I270))),"Libération &gt; capacité du cluster source",IF(OR(AND($V270&lt;&gt;"",$V270&lt;p_debut),AND($W270&lt;&gt;"",$W270&gt;p_fin)),"Hors horizon (info)",IF(AND($G270="À migrer",$E270="PRD",COUNTIFS(TblApplications[ID],$C270,TblApplications[Environnement],"NPRD",TblApplications[Action],"À migrer")&gt;0,$V270&lt;_xlfn.MINIFS(TblApplications[Mois prov (calc)],TblApplications[ID],$C270,TblApplications[Environnement],"NPRD")),"PRD avant NPRD (info)","OK"))))))))))))))))))))</f>
        <v/>
      </c>
      <c r="AC270" s="76"/>
      <c r="AD270" s="76"/>
      <c r="AE270" s="22" t="str">
        <f aca="false">IF(OR($C270="",NOT(OR($G270="À migrer",$G270="À décommissionner")),NOT(ISNUMBER($N270)),NOT(ISNUMBER($O270)),$W270=""),"",($N270+p_poidsram*$O270)*SUMIFS(TblCalculs[Coût par unité],TblCalculs[Cluster],$I270,TblCalculs[Mois],"&lt;"&amp;$W270))</f>
        <v/>
      </c>
      <c r="AF270" s="22" t="str">
        <f aca="false">IF($C270="","",IF(AND($G270="À migrer",$H270="Non",$T270&lt;&gt;"",$V270&lt;&gt;""),($T270+p_poidsram*$U270)*SUMIFS(TblCalculs[Coût par unité],TblCalculs[Cluster],$J270,TblCalculs[Mois],"&gt;="&amp;$V270),IF(AND($G270="Migré",$T270&lt;&gt;""),($T270+p_poidsram*$U270)*SUMIFS(TblCalculs[Coût par unité],TblCalculs[Cluster],$J270),"")))</f>
        <v/>
      </c>
      <c r="AG270" s="22" t="str">
        <f aca="false">IF($C270="","",N($AE270)+N($AF270))</f>
        <v/>
      </c>
      <c r="AH270" s="21" t="str">
        <f aca="false">IF(OR($C270="",$G270="Décommissionné",COUNTIFS($E270,av_envc,$A270,av_domc,$B270,av_tric)=0),"",COUNTIFS($C$6:$C270,"&lt;&gt;",$G$6:$G270,"&lt;&gt;Décommissionné",$E$6:$E270,av_envc,$A$6:$A270,av_domc,$B$6:$B270,av_tric))</f>
        <v/>
      </c>
      <c r="AI270" s="21" t="str">
        <f aca="false">IF($C270="","",IF(AND(OR($G270="À migrer",$G270="À décommissionner"),$W270&lt;&gt;"",$W270&gt;ex_mois),1,0))</f>
        <v/>
      </c>
      <c r="AJ270" s="21" t="str">
        <f aca="false">IF(OR($C270="",$AI270&lt;&gt;1,COUNTIFS($E270,ex_envc,$A270,ex_domc,$B270,ex_tric)=0),"",COUNTIFS($AI$6:$AI270,1,$E$6:$E270,ex_envc,$A$6:$A270,ex_domc,$B$6:$B270,ex_tric))</f>
        <v/>
      </c>
    </row>
    <row r="271" customFormat="false" ht="15" hidden="false" customHeight="false" outlineLevel="0" collapsed="false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5"/>
      <c r="Q271" s="75"/>
      <c r="R271" s="75"/>
      <c r="S271" s="74"/>
      <c r="T271" s="21" t="str">
        <f aca="false">IF(OR($C271="",NOT(OR($G271="À migrer",$G271="Migré")),NOT(ISNUMBER($K271))),"",ROUNDUP($K271*(1+IF($AC271="",p_margeCPU,$AC271)),0))</f>
        <v/>
      </c>
      <c r="U271" s="21" t="str">
        <f aca="false">IF(OR($C271="",NOT(OR($G271="À migrer",$G271="Migré")),NOT(ISNUMBER($L271))),"",ROUNDUP($L271*(1+IF($AD271="",p_margeRAM,$AD271)),0))</f>
        <v/>
      </c>
      <c r="V271" s="39" t="str">
        <f aca="false">IF(OR(NOT($G271="À migrer"),$P271=""),"",IFERROR(DATE(YEAR($P271),MONTH($P271),1),""))</f>
        <v/>
      </c>
      <c r="W271" s="39" t="str">
        <f aca="false">IF(OR(NOT(OR($G271="À migrer",$G271="À décommissionner")),$R271=""),"",IFERROR(DATE(YEAR($R271),MONTH($R271),1),""))</f>
        <v/>
      </c>
      <c r="X271" s="21" t="str">
        <f aca="false">IF(OR($V271="",$W271=""),"",MAX(0,(YEAR($W271)-YEAR($V271))*12+MONTH($W271)-MONTH($V271)))</f>
        <v/>
      </c>
      <c r="Y271" s="21" t="str">
        <f aca="false">IF($C271="","",COUNTIF(TblApplications[ID],$C271))</f>
        <v/>
      </c>
      <c r="Z271" s="39" t="str">
        <f aca="false">IF($C271="","",IFERROR(1/(1/_xlfn.MINIFS(TblApplications[Mois prov (calc)],TblApplications[ID],$C271)),""))</f>
        <v/>
      </c>
      <c r="AA271" s="39" t="str">
        <f aca="false">IF($C271="","",IFERROR(1/(1/_xlfn.MAXIFS(TblApplications[Mois lib (calc)],TblApplications[ID],$C271)),""))</f>
        <v/>
      </c>
      <c r="AB271" s="21" t="str">
        <f aca="false">IF($C271="","",IF(OR(OR($A271="",$B271="",$D271="",$E271="",$F271="",$G271=""),AND($G271="À migrer",OR($H271="",$I271="",$J271="",$K271="",$L271="",$N271="",$O271="",$P271="",$Q271="",$R271="")),AND($G271="Migré",OR($J271="",$K271="",$L271="")),AND($G271="À décommissionner",OR($I271="",$N271="",$O271="",$R271=""))),"Données manquantes (selon l’action)",IF(AND($G271&lt;&gt;"Migré",$G271&lt;&gt;"À migrer",$G271&lt;&gt;"À décommissionner",$G271&lt;&gt;"Décommissionné"),"Action invalide",IF(COUNTIF(TblDomaines[Domaine],$A271)=0,"Domaine inconnu (référentiel)",IF(COUNTIFS(TblTribes[Tribe],$B271,TblTribes[Domaine de la tribe],$A271)=0,"Tribe inconnue ou hors domaine",IF(AND($G271="À migrer",$H271&lt;&gt;"Oui",$H271&lt;&gt;"Non"),"Valeur Oui/Non invalide (Déjà incluse ROKS)",IF(AND($E271&lt;&gt;"PRD",$E271&lt;&gt;"NPRD"),"Environnement invalide",IF(COUNTIFS(TblApplications[ID],$C271,TblApplications[Environnement],$E271,TblApplications[Couloir],$F271)&gt;1,"Déploiement en doublon (ID + env + couloir)",IF(OR(AND($K271&lt;&gt;"",NOT(ISNUMBER($K271))),AND($L271&lt;&gt;"",NOT(ISNUMBER($L271))),AND($N271&lt;&gt;"",NOT(ISNUMBER($N271))),AND($O271&lt;&gt;"",NOT(ISNUMBER($O271)))),"Ressource non numérique",IF(MIN(N($K271),N($L271),N($N271),N($O271))&lt;0,"Ressource négative",IF(OR(AND($AC271&lt;&gt;"",OR(NOT(ISNUMBER($AC271)),$AC271&lt;0,$AC271&gt;1)),AND($AD271&lt;&gt;"",OR(NOT(ISNUMBER($AD271)),$AD271&lt;0,$AD271&gt;1))),"Marge spécifique invalide (0–100 %)",IF(OR(AND($P271&lt;&gt;"",NOT(ISNUMBER($P271))),AND($Q271&lt;&gt;"",NOT(ISNUMBER($Q271))),AND($R271&lt;&gt;"",NOT(ISNUMBER($R271)))),"Mois invalide",IF(AND(OR($G271="À migrer",$G271="À décommissionner"),COUNTIFS(TblClusters[Cluster],$I271,TblClusters[Plateforme],"IKS")=0),"Cluster IKS inconnu",IF(AND(OR($G271="À migrer",$G271="Migré"),COUNTIFS(TblClusters[Cluster],$J271,TblClusters[Plateforme],"ROKS")=0),"Cluster ROKS inconnu",IF(AND(OR($G271="À migrer",$G271="À décommissionner"),COUNTIFS(TblClusters[Cluster],$I271,TblClusters[Environnement],$E271)=0),"Environnement ≠ cluster IKS",IF(AND(OR($G271="À migrer",$G271="Migré"),COUNTIFS(TblClusters[Cluster],$J271,TblClusters[Environnement],$E271)=0),"Environnement ≠ cluster ROKS",IF(AND($G271="À migrer",OR($P271&gt;$Q271,$Q271&gt;$R271)),"Dates incohérentes (prov ≤ bascule ≤ libération)",IF(AND(OR($G271="À migrer",$G271="À décommissionner"),OR(N($N271)&gt;SUMIFS(TblClusters[CPU initial (vCPU)],TblClusters[Cluster],$I271),N($O271)&gt;SUMIFS(TblClusters[RAM initiale (Go)],TblClusters[Cluster],$I271))),"Libération &gt; capacité du cluster source",IF(OR(AND($V271&lt;&gt;"",$V271&lt;p_debut),AND($W271&lt;&gt;"",$W271&gt;p_fin)),"Hors horizon (info)",IF(AND($G271="À migrer",$E271="PRD",COUNTIFS(TblApplications[ID],$C271,TblApplications[Environnement],"NPRD",TblApplications[Action],"À migrer")&gt;0,$V271&lt;_xlfn.MINIFS(TblApplications[Mois prov (calc)],TblApplications[ID],$C271,TblApplications[Environnement],"NPRD")),"PRD avant NPRD (info)","OK"))))))))))))))))))))</f>
        <v/>
      </c>
      <c r="AC271" s="76"/>
      <c r="AD271" s="76"/>
      <c r="AE271" s="22" t="str">
        <f aca="false">IF(OR($C271="",NOT(OR($G271="À migrer",$G271="À décommissionner")),NOT(ISNUMBER($N271)),NOT(ISNUMBER($O271)),$W271=""),"",($N271+p_poidsram*$O271)*SUMIFS(TblCalculs[Coût par unité],TblCalculs[Cluster],$I271,TblCalculs[Mois],"&lt;"&amp;$W271))</f>
        <v/>
      </c>
      <c r="AF271" s="22" t="str">
        <f aca="false">IF($C271="","",IF(AND($G271="À migrer",$H271="Non",$T271&lt;&gt;"",$V271&lt;&gt;""),($T271+p_poidsram*$U271)*SUMIFS(TblCalculs[Coût par unité],TblCalculs[Cluster],$J271,TblCalculs[Mois],"&gt;="&amp;$V271),IF(AND($G271="Migré",$T271&lt;&gt;""),($T271+p_poidsram*$U271)*SUMIFS(TblCalculs[Coût par unité],TblCalculs[Cluster],$J271),"")))</f>
        <v/>
      </c>
      <c r="AG271" s="22" t="str">
        <f aca="false">IF($C271="","",N($AE271)+N($AF271))</f>
        <v/>
      </c>
      <c r="AH271" s="21" t="str">
        <f aca="false">IF(OR($C271="",$G271="Décommissionné",COUNTIFS($E271,av_envc,$A271,av_domc,$B271,av_tric)=0),"",COUNTIFS($C$6:$C271,"&lt;&gt;",$G$6:$G271,"&lt;&gt;Décommissionné",$E$6:$E271,av_envc,$A$6:$A271,av_domc,$B$6:$B271,av_tric))</f>
        <v/>
      </c>
      <c r="AI271" s="21" t="str">
        <f aca="false">IF($C271="","",IF(AND(OR($G271="À migrer",$G271="À décommissionner"),$W271&lt;&gt;"",$W271&gt;ex_mois),1,0))</f>
        <v/>
      </c>
      <c r="AJ271" s="21" t="str">
        <f aca="false">IF(OR($C271="",$AI271&lt;&gt;1,COUNTIFS($E271,ex_envc,$A271,ex_domc,$B271,ex_tric)=0),"",COUNTIFS($AI$6:$AI271,1,$E$6:$E271,ex_envc,$A$6:$A271,ex_domc,$B$6:$B271,ex_tric))</f>
        <v/>
      </c>
    </row>
    <row r="272" customFormat="false" ht="15" hidden="false" customHeight="false" outlineLevel="0" collapsed="false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5"/>
      <c r="Q272" s="75"/>
      <c r="R272" s="75"/>
      <c r="S272" s="74"/>
      <c r="T272" s="21" t="str">
        <f aca="false">IF(OR($C272="",NOT(OR($G272="À migrer",$G272="Migré")),NOT(ISNUMBER($K272))),"",ROUNDUP($K272*(1+IF($AC272="",p_margeCPU,$AC272)),0))</f>
        <v/>
      </c>
      <c r="U272" s="21" t="str">
        <f aca="false">IF(OR($C272="",NOT(OR($G272="À migrer",$G272="Migré")),NOT(ISNUMBER($L272))),"",ROUNDUP($L272*(1+IF($AD272="",p_margeRAM,$AD272)),0))</f>
        <v/>
      </c>
      <c r="V272" s="39" t="str">
        <f aca="false">IF(OR(NOT($G272="À migrer"),$P272=""),"",IFERROR(DATE(YEAR($P272),MONTH($P272),1),""))</f>
        <v/>
      </c>
      <c r="W272" s="39" t="str">
        <f aca="false">IF(OR(NOT(OR($G272="À migrer",$G272="À décommissionner")),$R272=""),"",IFERROR(DATE(YEAR($R272),MONTH($R272),1),""))</f>
        <v/>
      </c>
      <c r="X272" s="21" t="str">
        <f aca="false">IF(OR($V272="",$W272=""),"",MAX(0,(YEAR($W272)-YEAR($V272))*12+MONTH($W272)-MONTH($V272)))</f>
        <v/>
      </c>
      <c r="Y272" s="21" t="str">
        <f aca="false">IF($C272="","",COUNTIF(TblApplications[ID],$C272))</f>
        <v/>
      </c>
      <c r="Z272" s="39" t="str">
        <f aca="false">IF($C272="","",IFERROR(1/(1/_xlfn.MINIFS(TblApplications[Mois prov (calc)],TblApplications[ID],$C272)),""))</f>
        <v/>
      </c>
      <c r="AA272" s="39" t="str">
        <f aca="false">IF($C272="","",IFERROR(1/(1/_xlfn.MAXIFS(TblApplications[Mois lib (calc)],TblApplications[ID],$C272)),""))</f>
        <v/>
      </c>
      <c r="AB272" s="21" t="str">
        <f aca="false">IF($C272="","",IF(OR(OR($A272="",$B272="",$D272="",$E272="",$F272="",$G272=""),AND($G272="À migrer",OR($H272="",$I272="",$J272="",$K272="",$L272="",$N272="",$O272="",$P272="",$Q272="",$R272="")),AND($G272="Migré",OR($J272="",$K272="",$L272="")),AND($G272="À décommissionner",OR($I272="",$N272="",$O272="",$R272=""))),"Données manquantes (selon l’action)",IF(AND($G272&lt;&gt;"Migré",$G272&lt;&gt;"À migrer",$G272&lt;&gt;"À décommissionner",$G272&lt;&gt;"Décommissionné"),"Action invalide",IF(COUNTIF(TblDomaines[Domaine],$A272)=0,"Domaine inconnu (référentiel)",IF(COUNTIFS(TblTribes[Tribe],$B272,TblTribes[Domaine de la tribe],$A272)=0,"Tribe inconnue ou hors domaine",IF(AND($G272="À migrer",$H272&lt;&gt;"Oui",$H272&lt;&gt;"Non"),"Valeur Oui/Non invalide (Déjà incluse ROKS)",IF(AND($E272&lt;&gt;"PRD",$E272&lt;&gt;"NPRD"),"Environnement invalide",IF(COUNTIFS(TblApplications[ID],$C272,TblApplications[Environnement],$E272,TblApplications[Couloir],$F272)&gt;1,"Déploiement en doublon (ID + env + couloir)",IF(OR(AND($K272&lt;&gt;"",NOT(ISNUMBER($K272))),AND($L272&lt;&gt;"",NOT(ISNUMBER($L272))),AND($N272&lt;&gt;"",NOT(ISNUMBER($N272))),AND($O272&lt;&gt;"",NOT(ISNUMBER($O272)))),"Ressource non numérique",IF(MIN(N($K272),N($L272),N($N272),N($O272))&lt;0,"Ressource négative",IF(OR(AND($AC272&lt;&gt;"",OR(NOT(ISNUMBER($AC272)),$AC272&lt;0,$AC272&gt;1)),AND($AD272&lt;&gt;"",OR(NOT(ISNUMBER($AD272)),$AD272&lt;0,$AD272&gt;1))),"Marge spécifique invalide (0–100 %)",IF(OR(AND($P272&lt;&gt;"",NOT(ISNUMBER($P272))),AND($Q272&lt;&gt;"",NOT(ISNUMBER($Q272))),AND($R272&lt;&gt;"",NOT(ISNUMBER($R272)))),"Mois invalide",IF(AND(OR($G272="À migrer",$G272="À décommissionner"),COUNTIFS(TblClusters[Cluster],$I272,TblClusters[Plateforme],"IKS")=0),"Cluster IKS inconnu",IF(AND(OR($G272="À migrer",$G272="Migré"),COUNTIFS(TblClusters[Cluster],$J272,TblClusters[Plateforme],"ROKS")=0),"Cluster ROKS inconnu",IF(AND(OR($G272="À migrer",$G272="À décommissionner"),COUNTIFS(TblClusters[Cluster],$I272,TblClusters[Environnement],$E272)=0),"Environnement ≠ cluster IKS",IF(AND(OR($G272="À migrer",$G272="Migré"),COUNTIFS(TblClusters[Cluster],$J272,TblClusters[Environnement],$E272)=0),"Environnement ≠ cluster ROKS",IF(AND($G272="À migrer",OR($P272&gt;$Q272,$Q272&gt;$R272)),"Dates incohérentes (prov ≤ bascule ≤ libération)",IF(AND(OR($G272="À migrer",$G272="À décommissionner"),OR(N($N272)&gt;SUMIFS(TblClusters[CPU initial (vCPU)],TblClusters[Cluster],$I272),N($O272)&gt;SUMIFS(TblClusters[RAM initiale (Go)],TblClusters[Cluster],$I272))),"Libération &gt; capacité du cluster source",IF(OR(AND($V272&lt;&gt;"",$V272&lt;p_debut),AND($W272&lt;&gt;"",$W272&gt;p_fin)),"Hors horizon (info)",IF(AND($G272="À migrer",$E272="PRD",COUNTIFS(TblApplications[ID],$C272,TblApplications[Environnement],"NPRD",TblApplications[Action],"À migrer")&gt;0,$V272&lt;_xlfn.MINIFS(TblApplications[Mois prov (calc)],TblApplications[ID],$C272,TblApplications[Environnement],"NPRD")),"PRD avant NPRD (info)","OK"))))))))))))))))))))</f>
        <v/>
      </c>
      <c r="AC272" s="76"/>
      <c r="AD272" s="76"/>
      <c r="AE272" s="22" t="str">
        <f aca="false">IF(OR($C272="",NOT(OR($G272="À migrer",$G272="À décommissionner")),NOT(ISNUMBER($N272)),NOT(ISNUMBER($O272)),$W272=""),"",($N272+p_poidsram*$O272)*SUMIFS(TblCalculs[Coût par unité],TblCalculs[Cluster],$I272,TblCalculs[Mois],"&lt;"&amp;$W272))</f>
        <v/>
      </c>
      <c r="AF272" s="22" t="str">
        <f aca="false">IF($C272="","",IF(AND($G272="À migrer",$H272="Non",$T272&lt;&gt;"",$V272&lt;&gt;""),($T272+p_poidsram*$U272)*SUMIFS(TblCalculs[Coût par unité],TblCalculs[Cluster],$J272,TblCalculs[Mois],"&gt;="&amp;$V272),IF(AND($G272="Migré",$T272&lt;&gt;""),($T272+p_poidsram*$U272)*SUMIFS(TblCalculs[Coût par unité],TblCalculs[Cluster],$J272),"")))</f>
        <v/>
      </c>
      <c r="AG272" s="22" t="str">
        <f aca="false">IF($C272="","",N($AE272)+N($AF272))</f>
        <v/>
      </c>
      <c r="AH272" s="21" t="str">
        <f aca="false">IF(OR($C272="",$G272="Décommissionné",COUNTIFS($E272,av_envc,$A272,av_domc,$B272,av_tric)=0),"",COUNTIFS($C$6:$C272,"&lt;&gt;",$G$6:$G272,"&lt;&gt;Décommissionné",$E$6:$E272,av_envc,$A$6:$A272,av_domc,$B$6:$B272,av_tric))</f>
        <v/>
      </c>
      <c r="AI272" s="21" t="str">
        <f aca="false">IF($C272="","",IF(AND(OR($G272="À migrer",$G272="À décommissionner"),$W272&lt;&gt;"",$W272&gt;ex_mois),1,0))</f>
        <v/>
      </c>
      <c r="AJ272" s="21" t="str">
        <f aca="false">IF(OR($C272="",$AI272&lt;&gt;1,COUNTIFS($E272,ex_envc,$A272,ex_domc,$B272,ex_tric)=0),"",COUNTIFS($AI$6:$AI272,1,$E$6:$E272,ex_envc,$A$6:$A272,ex_domc,$B$6:$B272,ex_tric))</f>
        <v/>
      </c>
    </row>
    <row r="273" customFormat="false" ht="15" hidden="false" customHeight="false" outlineLevel="0" collapsed="false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5"/>
      <c r="Q273" s="75"/>
      <c r="R273" s="75"/>
      <c r="S273" s="74"/>
      <c r="T273" s="21" t="str">
        <f aca="false">IF(OR($C273="",NOT(OR($G273="À migrer",$G273="Migré")),NOT(ISNUMBER($K273))),"",ROUNDUP($K273*(1+IF($AC273="",p_margeCPU,$AC273)),0))</f>
        <v/>
      </c>
      <c r="U273" s="21" t="str">
        <f aca="false">IF(OR($C273="",NOT(OR($G273="À migrer",$G273="Migré")),NOT(ISNUMBER($L273))),"",ROUNDUP($L273*(1+IF($AD273="",p_margeRAM,$AD273)),0))</f>
        <v/>
      </c>
      <c r="V273" s="39" t="str">
        <f aca="false">IF(OR(NOT($G273="À migrer"),$P273=""),"",IFERROR(DATE(YEAR($P273),MONTH($P273),1),""))</f>
        <v/>
      </c>
      <c r="W273" s="39" t="str">
        <f aca="false">IF(OR(NOT(OR($G273="À migrer",$G273="À décommissionner")),$R273=""),"",IFERROR(DATE(YEAR($R273),MONTH($R273),1),""))</f>
        <v/>
      </c>
      <c r="X273" s="21" t="str">
        <f aca="false">IF(OR($V273="",$W273=""),"",MAX(0,(YEAR($W273)-YEAR($V273))*12+MONTH($W273)-MONTH($V273)))</f>
        <v/>
      </c>
      <c r="Y273" s="21" t="str">
        <f aca="false">IF($C273="","",COUNTIF(TblApplications[ID],$C273))</f>
        <v/>
      </c>
      <c r="Z273" s="39" t="str">
        <f aca="false">IF($C273="","",IFERROR(1/(1/_xlfn.MINIFS(TblApplications[Mois prov (calc)],TblApplications[ID],$C273)),""))</f>
        <v/>
      </c>
      <c r="AA273" s="39" t="str">
        <f aca="false">IF($C273="","",IFERROR(1/(1/_xlfn.MAXIFS(TblApplications[Mois lib (calc)],TblApplications[ID],$C273)),""))</f>
        <v/>
      </c>
      <c r="AB273" s="21" t="str">
        <f aca="false">IF($C273="","",IF(OR(OR($A273="",$B273="",$D273="",$E273="",$F273="",$G273=""),AND($G273="À migrer",OR($H273="",$I273="",$J273="",$K273="",$L273="",$N273="",$O273="",$P273="",$Q273="",$R273="")),AND($G273="Migré",OR($J273="",$K273="",$L273="")),AND($G273="À décommissionner",OR($I273="",$N273="",$O273="",$R273=""))),"Données manquantes (selon l’action)",IF(AND($G273&lt;&gt;"Migré",$G273&lt;&gt;"À migrer",$G273&lt;&gt;"À décommissionner",$G273&lt;&gt;"Décommissionné"),"Action invalide",IF(COUNTIF(TblDomaines[Domaine],$A273)=0,"Domaine inconnu (référentiel)",IF(COUNTIFS(TblTribes[Tribe],$B273,TblTribes[Domaine de la tribe],$A273)=0,"Tribe inconnue ou hors domaine",IF(AND($G273="À migrer",$H273&lt;&gt;"Oui",$H273&lt;&gt;"Non"),"Valeur Oui/Non invalide (Déjà incluse ROKS)",IF(AND($E273&lt;&gt;"PRD",$E273&lt;&gt;"NPRD"),"Environnement invalide",IF(COUNTIFS(TblApplications[ID],$C273,TblApplications[Environnement],$E273,TblApplications[Couloir],$F273)&gt;1,"Déploiement en doublon (ID + env + couloir)",IF(OR(AND($K273&lt;&gt;"",NOT(ISNUMBER($K273))),AND($L273&lt;&gt;"",NOT(ISNUMBER($L273))),AND($N273&lt;&gt;"",NOT(ISNUMBER($N273))),AND($O273&lt;&gt;"",NOT(ISNUMBER($O273)))),"Ressource non numérique",IF(MIN(N($K273),N($L273),N($N273),N($O273))&lt;0,"Ressource négative",IF(OR(AND($AC273&lt;&gt;"",OR(NOT(ISNUMBER($AC273)),$AC273&lt;0,$AC273&gt;1)),AND($AD273&lt;&gt;"",OR(NOT(ISNUMBER($AD273)),$AD273&lt;0,$AD273&gt;1))),"Marge spécifique invalide (0–100 %)",IF(OR(AND($P273&lt;&gt;"",NOT(ISNUMBER($P273))),AND($Q273&lt;&gt;"",NOT(ISNUMBER($Q273))),AND($R273&lt;&gt;"",NOT(ISNUMBER($R273)))),"Mois invalide",IF(AND(OR($G273="À migrer",$G273="À décommissionner"),COUNTIFS(TblClusters[Cluster],$I273,TblClusters[Plateforme],"IKS")=0),"Cluster IKS inconnu",IF(AND(OR($G273="À migrer",$G273="Migré"),COUNTIFS(TblClusters[Cluster],$J273,TblClusters[Plateforme],"ROKS")=0),"Cluster ROKS inconnu",IF(AND(OR($G273="À migrer",$G273="À décommissionner"),COUNTIFS(TblClusters[Cluster],$I273,TblClusters[Environnement],$E273)=0),"Environnement ≠ cluster IKS",IF(AND(OR($G273="À migrer",$G273="Migré"),COUNTIFS(TblClusters[Cluster],$J273,TblClusters[Environnement],$E273)=0),"Environnement ≠ cluster ROKS",IF(AND($G273="À migrer",OR($P273&gt;$Q273,$Q273&gt;$R273)),"Dates incohérentes (prov ≤ bascule ≤ libération)",IF(AND(OR($G273="À migrer",$G273="À décommissionner"),OR(N($N273)&gt;SUMIFS(TblClusters[CPU initial (vCPU)],TblClusters[Cluster],$I273),N($O273)&gt;SUMIFS(TblClusters[RAM initiale (Go)],TblClusters[Cluster],$I273))),"Libération &gt; capacité du cluster source",IF(OR(AND($V273&lt;&gt;"",$V273&lt;p_debut),AND($W273&lt;&gt;"",$W273&gt;p_fin)),"Hors horizon (info)",IF(AND($G273="À migrer",$E273="PRD",COUNTIFS(TblApplications[ID],$C273,TblApplications[Environnement],"NPRD",TblApplications[Action],"À migrer")&gt;0,$V273&lt;_xlfn.MINIFS(TblApplications[Mois prov (calc)],TblApplications[ID],$C273,TblApplications[Environnement],"NPRD")),"PRD avant NPRD (info)","OK"))))))))))))))))))))</f>
        <v/>
      </c>
      <c r="AC273" s="76"/>
      <c r="AD273" s="76"/>
      <c r="AE273" s="22" t="str">
        <f aca="false">IF(OR($C273="",NOT(OR($G273="À migrer",$G273="À décommissionner")),NOT(ISNUMBER($N273)),NOT(ISNUMBER($O273)),$W273=""),"",($N273+p_poidsram*$O273)*SUMIFS(TblCalculs[Coût par unité],TblCalculs[Cluster],$I273,TblCalculs[Mois],"&lt;"&amp;$W273))</f>
        <v/>
      </c>
      <c r="AF273" s="22" t="str">
        <f aca="false">IF($C273="","",IF(AND($G273="À migrer",$H273="Non",$T273&lt;&gt;"",$V273&lt;&gt;""),($T273+p_poidsram*$U273)*SUMIFS(TblCalculs[Coût par unité],TblCalculs[Cluster],$J273,TblCalculs[Mois],"&gt;="&amp;$V273),IF(AND($G273="Migré",$T273&lt;&gt;""),($T273+p_poidsram*$U273)*SUMIFS(TblCalculs[Coût par unité],TblCalculs[Cluster],$J273),"")))</f>
        <v/>
      </c>
      <c r="AG273" s="22" t="str">
        <f aca="false">IF($C273="","",N($AE273)+N($AF273))</f>
        <v/>
      </c>
      <c r="AH273" s="21" t="str">
        <f aca="false">IF(OR($C273="",$G273="Décommissionné",COUNTIFS($E273,av_envc,$A273,av_domc,$B273,av_tric)=0),"",COUNTIFS($C$6:$C273,"&lt;&gt;",$G$6:$G273,"&lt;&gt;Décommissionné",$E$6:$E273,av_envc,$A$6:$A273,av_domc,$B$6:$B273,av_tric))</f>
        <v/>
      </c>
      <c r="AI273" s="21" t="str">
        <f aca="false">IF($C273="","",IF(AND(OR($G273="À migrer",$G273="À décommissionner"),$W273&lt;&gt;"",$W273&gt;ex_mois),1,0))</f>
        <v/>
      </c>
      <c r="AJ273" s="21" t="str">
        <f aca="false">IF(OR($C273="",$AI273&lt;&gt;1,COUNTIFS($E273,ex_envc,$A273,ex_domc,$B273,ex_tric)=0),"",COUNTIFS($AI$6:$AI273,1,$E$6:$E273,ex_envc,$A$6:$A273,ex_domc,$B$6:$B273,ex_tric))</f>
        <v/>
      </c>
    </row>
    <row r="274" customFormat="false" ht="15" hidden="false" customHeight="false" outlineLevel="0" collapsed="false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5"/>
      <c r="Q274" s="75"/>
      <c r="R274" s="75"/>
      <c r="S274" s="74"/>
      <c r="T274" s="21" t="str">
        <f aca="false">IF(OR($C274="",NOT(OR($G274="À migrer",$G274="Migré")),NOT(ISNUMBER($K274))),"",ROUNDUP($K274*(1+IF($AC274="",p_margeCPU,$AC274)),0))</f>
        <v/>
      </c>
      <c r="U274" s="21" t="str">
        <f aca="false">IF(OR($C274="",NOT(OR($G274="À migrer",$G274="Migré")),NOT(ISNUMBER($L274))),"",ROUNDUP($L274*(1+IF($AD274="",p_margeRAM,$AD274)),0))</f>
        <v/>
      </c>
      <c r="V274" s="39" t="str">
        <f aca="false">IF(OR(NOT($G274="À migrer"),$P274=""),"",IFERROR(DATE(YEAR($P274),MONTH($P274),1),""))</f>
        <v/>
      </c>
      <c r="W274" s="39" t="str">
        <f aca="false">IF(OR(NOT(OR($G274="À migrer",$G274="À décommissionner")),$R274=""),"",IFERROR(DATE(YEAR($R274),MONTH($R274),1),""))</f>
        <v/>
      </c>
      <c r="X274" s="21" t="str">
        <f aca="false">IF(OR($V274="",$W274=""),"",MAX(0,(YEAR($W274)-YEAR($V274))*12+MONTH($W274)-MONTH($V274)))</f>
        <v/>
      </c>
      <c r="Y274" s="21" t="str">
        <f aca="false">IF($C274="","",COUNTIF(TblApplications[ID],$C274))</f>
        <v/>
      </c>
      <c r="Z274" s="39" t="str">
        <f aca="false">IF($C274="","",IFERROR(1/(1/_xlfn.MINIFS(TblApplications[Mois prov (calc)],TblApplications[ID],$C274)),""))</f>
        <v/>
      </c>
      <c r="AA274" s="39" t="str">
        <f aca="false">IF($C274="","",IFERROR(1/(1/_xlfn.MAXIFS(TblApplications[Mois lib (calc)],TblApplications[ID],$C274)),""))</f>
        <v/>
      </c>
      <c r="AB274" s="21" t="str">
        <f aca="false">IF($C274="","",IF(OR(OR($A274="",$B274="",$D274="",$E274="",$F274="",$G274=""),AND($G274="À migrer",OR($H274="",$I274="",$J274="",$K274="",$L274="",$N274="",$O274="",$P274="",$Q274="",$R274="")),AND($G274="Migré",OR($J274="",$K274="",$L274="")),AND($G274="À décommissionner",OR($I274="",$N274="",$O274="",$R274=""))),"Données manquantes (selon l’action)",IF(AND($G274&lt;&gt;"Migré",$G274&lt;&gt;"À migrer",$G274&lt;&gt;"À décommissionner",$G274&lt;&gt;"Décommissionné"),"Action invalide",IF(COUNTIF(TblDomaines[Domaine],$A274)=0,"Domaine inconnu (référentiel)",IF(COUNTIFS(TblTribes[Tribe],$B274,TblTribes[Domaine de la tribe],$A274)=0,"Tribe inconnue ou hors domaine",IF(AND($G274="À migrer",$H274&lt;&gt;"Oui",$H274&lt;&gt;"Non"),"Valeur Oui/Non invalide (Déjà incluse ROKS)",IF(AND($E274&lt;&gt;"PRD",$E274&lt;&gt;"NPRD"),"Environnement invalide",IF(COUNTIFS(TblApplications[ID],$C274,TblApplications[Environnement],$E274,TblApplications[Couloir],$F274)&gt;1,"Déploiement en doublon (ID + env + couloir)",IF(OR(AND($K274&lt;&gt;"",NOT(ISNUMBER($K274))),AND($L274&lt;&gt;"",NOT(ISNUMBER($L274))),AND($N274&lt;&gt;"",NOT(ISNUMBER($N274))),AND($O274&lt;&gt;"",NOT(ISNUMBER($O274)))),"Ressource non numérique",IF(MIN(N($K274),N($L274),N($N274),N($O274))&lt;0,"Ressource négative",IF(OR(AND($AC274&lt;&gt;"",OR(NOT(ISNUMBER($AC274)),$AC274&lt;0,$AC274&gt;1)),AND($AD274&lt;&gt;"",OR(NOT(ISNUMBER($AD274)),$AD274&lt;0,$AD274&gt;1))),"Marge spécifique invalide (0–100 %)",IF(OR(AND($P274&lt;&gt;"",NOT(ISNUMBER($P274))),AND($Q274&lt;&gt;"",NOT(ISNUMBER($Q274))),AND($R274&lt;&gt;"",NOT(ISNUMBER($R274)))),"Mois invalide",IF(AND(OR($G274="À migrer",$G274="À décommissionner"),COUNTIFS(TblClusters[Cluster],$I274,TblClusters[Plateforme],"IKS")=0),"Cluster IKS inconnu",IF(AND(OR($G274="À migrer",$G274="Migré"),COUNTIFS(TblClusters[Cluster],$J274,TblClusters[Plateforme],"ROKS")=0),"Cluster ROKS inconnu",IF(AND(OR($G274="À migrer",$G274="À décommissionner"),COUNTIFS(TblClusters[Cluster],$I274,TblClusters[Environnement],$E274)=0),"Environnement ≠ cluster IKS",IF(AND(OR($G274="À migrer",$G274="Migré"),COUNTIFS(TblClusters[Cluster],$J274,TblClusters[Environnement],$E274)=0),"Environnement ≠ cluster ROKS",IF(AND($G274="À migrer",OR($P274&gt;$Q274,$Q274&gt;$R274)),"Dates incohérentes (prov ≤ bascule ≤ libération)",IF(AND(OR($G274="À migrer",$G274="À décommissionner"),OR(N($N274)&gt;SUMIFS(TblClusters[CPU initial (vCPU)],TblClusters[Cluster],$I274),N($O274)&gt;SUMIFS(TblClusters[RAM initiale (Go)],TblClusters[Cluster],$I274))),"Libération &gt; capacité du cluster source",IF(OR(AND($V274&lt;&gt;"",$V274&lt;p_debut),AND($W274&lt;&gt;"",$W274&gt;p_fin)),"Hors horizon (info)",IF(AND($G274="À migrer",$E274="PRD",COUNTIFS(TblApplications[ID],$C274,TblApplications[Environnement],"NPRD",TblApplications[Action],"À migrer")&gt;0,$V274&lt;_xlfn.MINIFS(TblApplications[Mois prov (calc)],TblApplications[ID],$C274,TblApplications[Environnement],"NPRD")),"PRD avant NPRD (info)","OK"))))))))))))))))))))</f>
        <v/>
      </c>
      <c r="AC274" s="76"/>
      <c r="AD274" s="76"/>
      <c r="AE274" s="22" t="str">
        <f aca="false">IF(OR($C274="",NOT(OR($G274="À migrer",$G274="À décommissionner")),NOT(ISNUMBER($N274)),NOT(ISNUMBER($O274)),$W274=""),"",($N274+p_poidsram*$O274)*SUMIFS(TblCalculs[Coût par unité],TblCalculs[Cluster],$I274,TblCalculs[Mois],"&lt;"&amp;$W274))</f>
        <v/>
      </c>
      <c r="AF274" s="22" t="str">
        <f aca="false">IF($C274="","",IF(AND($G274="À migrer",$H274="Non",$T274&lt;&gt;"",$V274&lt;&gt;""),($T274+p_poidsram*$U274)*SUMIFS(TblCalculs[Coût par unité],TblCalculs[Cluster],$J274,TblCalculs[Mois],"&gt;="&amp;$V274),IF(AND($G274="Migré",$T274&lt;&gt;""),($T274+p_poidsram*$U274)*SUMIFS(TblCalculs[Coût par unité],TblCalculs[Cluster],$J274),"")))</f>
        <v/>
      </c>
      <c r="AG274" s="22" t="str">
        <f aca="false">IF($C274="","",N($AE274)+N($AF274))</f>
        <v/>
      </c>
      <c r="AH274" s="21" t="str">
        <f aca="false">IF(OR($C274="",$G274="Décommissionné",COUNTIFS($E274,av_envc,$A274,av_domc,$B274,av_tric)=0),"",COUNTIFS($C$6:$C274,"&lt;&gt;",$G$6:$G274,"&lt;&gt;Décommissionné",$E$6:$E274,av_envc,$A$6:$A274,av_domc,$B$6:$B274,av_tric))</f>
        <v/>
      </c>
      <c r="AI274" s="21" t="str">
        <f aca="false">IF($C274="","",IF(AND(OR($G274="À migrer",$G274="À décommissionner"),$W274&lt;&gt;"",$W274&gt;ex_mois),1,0))</f>
        <v/>
      </c>
      <c r="AJ274" s="21" t="str">
        <f aca="false">IF(OR($C274="",$AI274&lt;&gt;1,COUNTIFS($E274,ex_envc,$A274,ex_domc,$B274,ex_tric)=0),"",COUNTIFS($AI$6:$AI274,1,$E$6:$E274,ex_envc,$A$6:$A274,ex_domc,$B$6:$B274,ex_tric))</f>
        <v/>
      </c>
    </row>
    <row r="275" customFormat="false" ht="15" hidden="false" customHeight="false" outlineLevel="0" collapsed="false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5"/>
      <c r="Q275" s="75"/>
      <c r="R275" s="75"/>
      <c r="S275" s="74"/>
      <c r="T275" s="21" t="str">
        <f aca="false">IF(OR($C275="",NOT(OR($G275="À migrer",$G275="Migré")),NOT(ISNUMBER($K275))),"",ROUNDUP($K275*(1+IF($AC275="",p_margeCPU,$AC275)),0))</f>
        <v/>
      </c>
      <c r="U275" s="21" t="str">
        <f aca="false">IF(OR($C275="",NOT(OR($G275="À migrer",$G275="Migré")),NOT(ISNUMBER($L275))),"",ROUNDUP($L275*(1+IF($AD275="",p_margeRAM,$AD275)),0))</f>
        <v/>
      </c>
      <c r="V275" s="39" t="str">
        <f aca="false">IF(OR(NOT($G275="À migrer"),$P275=""),"",IFERROR(DATE(YEAR($P275),MONTH($P275),1),""))</f>
        <v/>
      </c>
      <c r="W275" s="39" t="str">
        <f aca="false">IF(OR(NOT(OR($G275="À migrer",$G275="À décommissionner")),$R275=""),"",IFERROR(DATE(YEAR($R275),MONTH($R275),1),""))</f>
        <v/>
      </c>
      <c r="X275" s="21" t="str">
        <f aca="false">IF(OR($V275="",$W275=""),"",MAX(0,(YEAR($W275)-YEAR($V275))*12+MONTH($W275)-MONTH($V275)))</f>
        <v/>
      </c>
      <c r="Y275" s="21" t="str">
        <f aca="false">IF($C275="","",COUNTIF(TblApplications[ID],$C275))</f>
        <v/>
      </c>
      <c r="Z275" s="39" t="str">
        <f aca="false">IF($C275="","",IFERROR(1/(1/_xlfn.MINIFS(TblApplications[Mois prov (calc)],TblApplications[ID],$C275)),""))</f>
        <v/>
      </c>
      <c r="AA275" s="39" t="str">
        <f aca="false">IF($C275="","",IFERROR(1/(1/_xlfn.MAXIFS(TblApplications[Mois lib (calc)],TblApplications[ID],$C275)),""))</f>
        <v/>
      </c>
      <c r="AB275" s="21" t="str">
        <f aca="false">IF($C275="","",IF(OR(OR($A275="",$B275="",$D275="",$E275="",$F275="",$G275=""),AND($G275="À migrer",OR($H275="",$I275="",$J275="",$K275="",$L275="",$N275="",$O275="",$P275="",$Q275="",$R275="")),AND($G275="Migré",OR($J275="",$K275="",$L275="")),AND($G275="À décommissionner",OR($I275="",$N275="",$O275="",$R275=""))),"Données manquantes (selon l’action)",IF(AND($G275&lt;&gt;"Migré",$G275&lt;&gt;"À migrer",$G275&lt;&gt;"À décommissionner",$G275&lt;&gt;"Décommissionné"),"Action invalide",IF(COUNTIF(TblDomaines[Domaine],$A275)=0,"Domaine inconnu (référentiel)",IF(COUNTIFS(TblTribes[Tribe],$B275,TblTribes[Domaine de la tribe],$A275)=0,"Tribe inconnue ou hors domaine",IF(AND($G275="À migrer",$H275&lt;&gt;"Oui",$H275&lt;&gt;"Non"),"Valeur Oui/Non invalide (Déjà incluse ROKS)",IF(AND($E275&lt;&gt;"PRD",$E275&lt;&gt;"NPRD"),"Environnement invalide",IF(COUNTIFS(TblApplications[ID],$C275,TblApplications[Environnement],$E275,TblApplications[Couloir],$F275)&gt;1,"Déploiement en doublon (ID + env + couloir)",IF(OR(AND($K275&lt;&gt;"",NOT(ISNUMBER($K275))),AND($L275&lt;&gt;"",NOT(ISNUMBER($L275))),AND($N275&lt;&gt;"",NOT(ISNUMBER($N275))),AND($O275&lt;&gt;"",NOT(ISNUMBER($O275)))),"Ressource non numérique",IF(MIN(N($K275),N($L275),N($N275),N($O275))&lt;0,"Ressource négative",IF(OR(AND($AC275&lt;&gt;"",OR(NOT(ISNUMBER($AC275)),$AC275&lt;0,$AC275&gt;1)),AND($AD275&lt;&gt;"",OR(NOT(ISNUMBER($AD275)),$AD275&lt;0,$AD275&gt;1))),"Marge spécifique invalide (0–100 %)",IF(OR(AND($P275&lt;&gt;"",NOT(ISNUMBER($P275))),AND($Q275&lt;&gt;"",NOT(ISNUMBER($Q275))),AND($R275&lt;&gt;"",NOT(ISNUMBER($R275)))),"Mois invalide",IF(AND(OR($G275="À migrer",$G275="À décommissionner"),COUNTIFS(TblClusters[Cluster],$I275,TblClusters[Plateforme],"IKS")=0),"Cluster IKS inconnu",IF(AND(OR($G275="À migrer",$G275="Migré"),COUNTIFS(TblClusters[Cluster],$J275,TblClusters[Plateforme],"ROKS")=0),"Cluster ROKS inconnu",IF(AND(OR($G275="À migrer",$G275="À décommissionner"),COUNTIFS(TblClusters[Cluster],$I275,TblClusters[Environnement],$E275)=0),"Environnement ≠ cluster IKS",IF(AND(OR($G275="À migrer",$G275="Migré"),COUNTIFS(TblClusters[Cluster],$J275,TblClusters[Environnement],$E275)=0),"Environnement ≠ cluster ROKS",IF(AND($G275="À migrer",OR($P275&gt;$Q275,$Q275&gt;$R275)),"Dates incohérentes (prov ≤ bascule ≤ libération)",IF(AND(OR($G275="À migrer",$G275="À décommissionner"),OR(N($N275)&gt;SUMIFS(TblClusters[CPU initial (vCPU)],TblClusters[Cluster],$I275),N($O275)&gt;SUMIFS(TblClusters[RAM initiale (Go)],TblClusters[Cluster],$I275))),"Libération &gt; capacité du cluster source",IF(OR(AND($V275&lt;&gt;"",$V275&lt;p_debut),AND($W275&lt;&gt;"",$W275&gt;p_fin)),"Hors horizon (info)",IF(AND($G275="À migrer",$E275="PRD",COUNTIFS(TblApplications[ID],$C275,TblApplications[Environnement],"NPRD",TblApplications[Action],"À migrer")&gt;0,$V275&lt;_xlfn.MINIFS(TblApplications[Mois prov (calc)],TblApplications[ID],$C275,TblApplications[Environnement],"NPRD")),"PRD avant NPRD (info)","OK"))))))))))))))))))))</f>
        <v/>
      </c>
      <c r="AC275" s="76"/>
      <c r="AD275" s="76"/>
      <c r="AE275" s="22" t="str">
        <f aca="false">IF(OR($C275="",NOT(OR($G275="À migrer",$G275="À décommissionner")),NOT(ISNUMBER($N275)),NOT(ISNUMBER($O275)),$W275=""),"",($N275+p_poidsram*$O275)*SUMIFS(TblCalculs[Coût par unité],TblCalculs[Cluster],$I275,TblCalculs[Mois],"&lt;"&amp;$W275))</f>
        <v/>
      </c>
      <c r="AF275" s="22" t="str">
        <f aca="false">IF($C275="","",IF(AND($G275="À migrer",$H275="Non",$T275&lt;&gt;"",$V275&lt;&gt;""),($T275+p_poidsram*$U275)*SUMIFS(TblCalculs[Coût par unité],TblCalculs[Cluster],$J275,TblCalculs[Mois],"&gt;="&amp;$V275),IF(AND($G275="Migré",$T275&lt;&gt;""),($T275+p_poidsram*$U275)*SUMIFS(TblCalculs[Coût par unité],TblCalculs[Cluster],$J275),"")))</f>
        <v/>
      </c>
      <c r="AG275" s="22" t="str">
        <f aca="false">IF($C275="","",N($AE275)+N($AF275))</f>
        <v/>
      </c>
      <c r="AH275" s="21" t="str">
        <f aca="false">IF(OR($C275="",$G275="Décommissionné",COUNTIFS($E275,av_envc,$A275,av_domc,$B275,av_tric)=0),"",COUNTIFS($C$6:$C275,"&lt;&gt;",$G$6:$G275,"&lt;&gt;Décommissionné",$E$6:$E275,av_envc,$A$6:$A275,av_domc,$B$6:$B275,av_tric))</f>
        <v/>
      </c>
      <c r="AI275" s="21" t="str">
        <f aca="false">IF($C275="","",IF(AND(OR($G275="À migrer",$G275="À décommissionner"),$W275&lt;&gt;"",$W275&gt;ex_mois),1,0))</f>
        <v/>
      </c>
      <c r="AJ275" s="21" t="str">
        <f aca="false">IF(OR($C275="",$AI275&lt;&gt;1,COUNTIFS($E275,ex_envc,$A275,ex_domc,$B275,ex_tric)=0),"",COUNTIFS($AI$6:$AI275,1,$E$6:$E275,ex_envc,$A$6:$A275,ex_domc,$B$6:$B275,ex_tric))</f>
        <v/>
      </c>
    </row>
    <row r="276" customFormat="false" ht="15" hidden="false" customHeight="false" outlineLevel="0" collapsed="false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5"/>
      <c r="Q276" s="75"/>
      <c r="R276" s="75"/>
      <c r="S276" s="74"/>
      <c r="T276" s="21" t="str">
        <f aca="false">IF(OR($C276="",NOT(OR($G276="À migrer",$G276="Migré")),NOT(ISNUMBER($K276))),"",ROUNDUP($K276*(1+IF($AC276="",p_margeCPU,$AC276)),0))</f>
        <v/>
      </c>
      <c r="U276" s="21" t="str">
        <f aca="false">IF(OR($C276="",NOT(OR($G276="À migrer",$G276="Migré")),NOT(ISNUMBER($L276))),"",ROUNDUP($L276*(1+IF($AD276="",p_margeRAM,$AD276)),0))</f>
        <v/>
      </c>
      <c r="V276" s="39" t="str">
        <f aca="false">IF(OR(NOT($G276="À migrer"),$P276=""),"",IFERROR(DATE(YEAR($P276),MONTH($P276),1),""))</f>
        <v/>
      </c>
      <c r="W276" s="39" t="str">
        <f aca="false">IF(OR(NOT(OR($G276="À migrer",$G276="À décommissionner")),$R276=""),"",IFERROR(DATE(YEAR($R276),MONTH($R276),1),""))</f>
        <v/>
      </c>
      <c r="X276" s="21" t="str">
        <f aca="false">IF(OR($V276="",$W276=""),"",MAX(0,(YEAR($W276)-YEAR($V276))*12+MONTH($W276)-MONTH($V276)))</f>
        <v/>
      </c>
      <c r="Y276" s="21" t="str">
        <f aca="false">IF($C276="","",COUNTIF(TblApplications[ID],$C276))</f>
        <v/>
      </c>
      <c r="Z276" s="39" t="str">
        <f aca="false">IF($C276="","",IFERROR(1/(1/_xlfn.MINIFS(TblApplications[Mois prov (calc)],TblApplications[ID],$C276)),""))</f>
        <v/>
      </c>
      <c r="AA276" s="39" t="str">
        <f aca="false">IF($C276="","",IFERROR(1/(1/_xlfn.MAXIFS(TblApplications[Mois lib (calc)],TblApplications[ID],$C276)),""))</f>
        <v/>
      </c>
      <c r="AB276" s="21" t="str">
        <f aca="false">IF($C276="","",IF(OR(OR($A276="",$B276="",$D276="",$E276="",$F276="",$G276=""),AND($G276="À migrer",OR($H276="",$I276="",$J276="",$K276="",$L276="",$N276="",$O276="",$P276="",$Q276="",$R276="")),AND($G276="Migré",OR($J276="",$K276="",$L276="")),AND($G276="À décommissionner",OR($I276="",$N276="",$O276="",$R276=""))),"Données manquantes (selon l’action)",IF(AND($G276&lt;&gt;"Migré",$G276&lt;&gt;"À migrer",$G276&lt;&gt;"À décommissionner",$G276&lt;&gt;"Décommissionné"),"Action invalide",IF(COUNTIF(TblDomaines[Domaine],$A276)=0,"Domaine inconnu (référentiel)",IF(COUNTIFS(TblTribes[Tribe],$B276,TblTribes[Domaine de la tribe],$A276)=0,"Tribe inconnue ou hors domaine",IF(AND($G276="À migrer",$H276&lt;&gt;"Oui",$H276&lt;&gt;"Non"),"Valeur Oui/Non invalide (Déjà incluse ROKS)",IF(AND($E276&lt;&gt;"PRD",$E276&lt;&gt;"NPRD"),"Environnement invalide",IF(COUNTIFS(TblApplications[ID],$C276,TblApplications[Environnement],$E276,TblApplications[Couloir],$F276)&gt;1,"Déploiement en doublon (ID + env + couloir)",IF(OR(AND($K276&lt;&gt;"",NOT(ISNUMBER($K276))),AND($L276&lt;&gt;"",NOT(ISNUMBER($L276))),AND($N276&lt;&gt;"",NOT(ISNUMBER($N276))),AND($O276&lt;&gt;"",NOT(ISNUMBER($O276)))),"Ressource non numérique",IF(MIN(N($K276),N($L276),N($N276),N($O276))&lt;0,"Ressource négative",IF(OR(AND($AC276&lt;&gt;"",OR(NOT(ISNUMBER($AC276)),$AC276&lt;0,$AC276&gt;1)),AND($AD276&lt;&gt;"",OR(NOT(ISNUMBER($AD276)),$AD276&lt;0,$AD276&gt;1))),"Marge spécifique invalide (0–100 %)",IF(OR(AND($P276&lt;&gt;"",NOT(ISNUMBER($P276))),AND($Q276&lt;&gt;"",NOT(ISNUMBER($Q276))),AND($R276&lt;&gt;"",NOT(ISNUMBER($R276)))),"Mois invalide",IF(AND(OR($G276="À migrer",$G276="À décommissionner"),COUNTIFS(TblClusters[Cluster],$I276,TblClusters[Plateforme],"IKS")=0),"Cluster IKS inconnu",IF(AND(OR($G276="À migrer",$G276="Migré"),COUNTIFS(TblClusters[Cluster],$J276,TblClusters[Plateforme],"ROKS")=0),"Cluster ROKS inconnu",IF(AND(OR($G276="À migrer",$G276="À décommissionner"),COUNTIFS(TblClusters[Cluster],$I276,TblClusters[Environnement],$E276)=0),"Environnement ≠ cluster IKS",IF(AND(OR($G276="À migrer",$G276="Migré"),COUNTIFS(TblClusters[Cluster],$J276,TblClusters[Environnement],$E276)=0),"Environnement ≠ cluster ROKS",IF(AND($G276="À migrer",OR($P276&gt;$Q276,$Q276&gt;$R276)),"Dates incohérentes (prov ≤ bascule ≤ libération)",IF(AND(OR($G276="À migrer",$G276="À décommissionner"),OR(N($N276)&gt;SUMIFS(TblClusters[CPU initial (vCPU)],TblClusters[Cluster],$I276),N($O276)&gt;SUMIFS(TblClusters[RAM initiale (Go)],TblClusters[Cluster],$I276))),"Libération &gt; capacité du cluster source",IF(OR(AND($V276&lt;&gt;"",$V276&lt;p_debut),AND($W276&lt;&gt;"",$W276&gt;p_fin)),"Hors horizon (info)",IF(AND($G276="À migrer",$E276="PRD",COUNTIFS(TblApplications[ID],$C276,TblApplications[Environnement],"NPRD",TblApplications[Action],"À migrer")&gt;0,$V276&lt;_xlfn.MINIFS(TblApplications[Mois prov (calc)],TblApplications[ID],$C276,TblApplications[Environnement],"NPRD")),"PRD avant NPRD (info)","OK"))))))))))))))))))))</f>
        <v/>
      </c>
      <c r="AC276" s="76"/>
      <c r="AD276" s="76"/>
      <c r="AE276" s="22" t="str">
        <f aca="false">IF(OR($C276="",NOT(OR($G276="À migrer",$G276="À décommissionner")),NOT(ISNUMBER($N276)),NOT(ISNUMBER($O276)),$W276=""),"",($N276+p_poidsram*$O276)*SUMIFS(TblCalculs[Coût par unité],TblCalculs[Cluster],$I276,TblCalculs[Mois],"&lt;"&amp;$W276))</f>
        <v/>
      </c>
      <c r="AF276" s="22" t="str">
        <f aca="false">IF($C276="","",IF(AND($G276="À migrer",$H276="Non",$T276&lt;&gt;"",$V276&lt;&gt;""),($T276+p_poidsram*$U276)*SUMIFS(TblCalculs[Coût par unité],TblCalculs[Cluster],$J276,TblCalculs[Mois],"&gt;="&amp;$V276),IF(AND($G276="Migré",$T276&lt;&gt;""),($T276+p_poidsram*$U276)*SUMIFS(TblCalculs[Coût par unité],TblCalculs[Cluster],$J276),"")))</f>
        <v/>
      </c>
      <c r="AG276" s="22" t="str">
        <f aca="false">IF($C276="","",N($AE276)+N($AF276))</f>
        <v/>
      </c>
      <c r="AH276" s="21" t="str">
        <f aca="false">IF(OR($C276="",$G276="Décommissionné",COUNTIFS($E276,av_envc,$A276,av_domc,$B276,av_tric)=0),"",COUNTIFS($C$6:$C276,"&lt;&gt;",$G$6:$G276,"&lt;&gt;Décommissionné",$E$6:$E276,av_envc,$A$6:$A276,av_domc,$B$6:$B276,av_tric))</f>
        <v/>
      </c>
      <c r="AI276" s="21" t="str">
        <f aca="false">IF($C276="","",IF(AND(OR($G276="À migrer",$G276="À décommissionner"),$W276&lt;&gt;"",$W276&gt;ex_mois),1,0))</f>
        <v/>
      </c>
      <c r="AJ276" s="21" t="str">
        <f aca="false">IF(OR($C276="",$AI276&lt;&gt;1,COUNTIFS($E276,ex_envc,$A276,ex_domc,$B276,ex_tric)=0),"",COUNTIFS($AI$6:$AI276,1,$E$6:$E276,ex_envc,$A$6:$A276,ex_domc,$B$6:$B276,ex_tric))</f>
        <v/>
      </c>
    </row>
    <row r="277" customFormat="false" ht="15" hidden="false" customHeight="false" outlineLevel="0" collapsed="false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5"/>
      <c r="Q277" s="75"/>
      <c r="R277" s="75"/>
      <c r="S277" s="74"/>
      <c r="T277" s="21" t="str">
        <f aca="false">IF(OR($C277="",NOT(OR($G277="À migrer",$G277="Migré")),NOT(ISNUMBER($K277))),"",ROUNDUP($K277*(1+IF($AC277="",p_margeCPU,$AC277)),0))</f>
        <v/>
      </c>
      <c r="U277" s="21" t="str">
        <f aca="false">IF(OR($C277="",NOT(OR($G277="À migrer",$G277="Migré")),NOT(ISNUMBER($L277))),"",ROUNDUP($L277*(1+IF($AD277="",p_margeRAM,$AD277)),0))</f>
        <v/>
      </c>
      <c r="V277" s="39" t="str">
        <f aca="false">IF(OR(NOT($G277="À migrer"),$P277=""),"",IFERROR(DATE(YEAR($P277),MONTH($P277),1),""))</f>
        <v/>
      </c>
      <c r="W277" s="39" t="str">
        <f aca="false">IF(OR(NOT(OR($G277="À migrer",$G277="À décommissionner")),$R277=""),"",IFERROR(DATE(YEAR($R277),MONTH($R277),1),""))</f>
        <v/>
      </c>
      <c r="X277" s="21" t="str">
        <f aca="false">IF(OR($V277="",$W277=""),"",MAX(0,(YEAR($W277)-YEAR($V277))*12+MONTH($W277)-MONTH($V277)))</f>
        <v/>
      </c>
      <c r="Y277" s="21" t="str">
        <f aca="false">IF($C277="","",COUNTIF(TblApplications[ID],$C277))</f>
        <v/>
      </c>
      <c r="Z277" s="39" t="str">
        <f aca="false">IF($C277="","",IFERROR(1/(1/_xlfn.MINIFS(TblApplications[Mois prov (calc)],TblApplications[ID],$C277)),""))</f>
        <v/>
      </c>
      <c r="AA277" s="39" t="str">
        <f aca="false">IF($C277="","",IFERROR(1/(1/_xlfn.MAXIFS(TblApplications[Mois lib (calc)],TblApplications[ID],$C277)),""))</f>
        <v/>
      </c>
      <c r="AB277" s="21" t="str">
        <f aca="false">IF($C277="","",IF(OR(OR($A277="",$B277="",$D277="",$E277="",$F277="",$G277=""),AND($G277="À migrer",OR($H277="",$I277="",$J277="",$K277="",$L277="",$N277="",$O277="",$P277="",$Q277="",$R277="")),AND($G277="Migré",OR($J277="",$K277="",$L277="")),AND($G277="À décommissionner",OR($I277="",$N277="",$O277="",$R277=""))),"Données manquantes (selon l’action)",IF(AND($G277&lt;&gt;"Migré",$G277&lt;&gt;"À migrer",$G277&lt;&gt;"À décommissionner",$G277&lt;&gt;"Décommissionné"),"Action invalide",IF(COUNTIF(TblDomaines[Domaine],$A277)=0,"Domaine inconnu (référentiel)",IF(COUNTIFS(TblTribes[Tribe],$B277,TblTribes[Domaine de la tribe],$A277)=0,"Tribe inconnue ou hors domaine",IF(AND($G277="À migrer",$H277&lt;&gt;"Oui",$H277&lt;&gt;"Non"),"Valeur Oui/Non invalide (Déjà incluse ROKS)",IF(AND($E277&lt;&gt;"PRD",$E277&lt;&gt;"NPRD"),"Environnement invalide",IF(COUNTIFS(TblApplications[ID],$C277,TblApplications[Environnement],$E277,TblApplications[Couloir],$F277)&gt;1,"Déploiement en doublon (ID + env + couloir)",IF(OR(AND($K277&lt;&gt;"",NOT(ISNUMBER($K277))),AND($L277&lt;&gt;"",NOT(ISNUMBER($L277))),AND($N277&lt;&gt;"",NOT(ISNUMBER($N277))),AND($O277&lt;&gt;"",NOT(ISNUMBER($O277)))),"Ressource non numérique",IF(MIN(N($K277),N($L277),N($N277),N($O277))&lt;0,"Ressource négative",IF(OR(AND($AC277&lt;&gt;"",OR(NOT(ISNUMBER($AC277)),$AC277&lt;0,$AC277&gt;1)),AND($AD277&lt;&gt;"",OR(NOT(ISNUMBER($AD277)),$AD277&lt;0,$AD277&gt;1))),"Marge spécifique invalide (0–100 %)",IF(OR(AND($P277&lt;&gt;"",NOT(ISNUMBER($P277))),AND($Q277&lt;&gt;"",NOT(ISNUMBER($Q277))),AND($R277&lt;&gt;"",NOT(ISNUMBER($R277)))),"Mois invalide",IF(AND(OR($G277="À migrer",$G277="À décommissionner"),COUNTIFS(TblClusters[Cluster],$I277,TblClusters[Plateforme],"IKS")=0),"Cluster IKS inconnu",IF(AND(OR($G277="À migrer",$G277="Migré"),COUNTIFS(TblClusters[Cluster],$J277,TblClusters[Plateforme],"ROKS")=0),"Cluster ROKS inconnu",IF(AND(OR($G277="À migrer",$G277="À décommissionner"),COUNTIFS(TblClusters[Cluster],$I277,TblClusters[Environnement],$E277)=0),"Environnement ≠ cluster IKS",IF(AND(OR($G277="À migrer",$G277="Migré"),COUNTIFS(TblClusters[Cluster],$J277,TblClusters[Environnement],$E277)=0),"Environnement ≠ cluster ROKS",IF(AND($G277="À migrer",OR($P277&gt;$Q277,$Q277&gt;$R277)),"Dates incohérentes (prov ≤ bascule ≤ libération)",IF(AND(OR($G277="À migrer",$G277="À décommissionner"),OR(N($N277)&gt;SUMIFS(TblClusters[CPU initial (vCPU)],TblClusters[Cluster],$I277),N($O277)&gt;SUMIFS(TblClusters[RAM initiale (Go)],TblClusters[Cluster],$I277))),"Libération &gt; capacité du cluster source",IF(OR(AND($V277&lt;&gt;"",$V277&lt;p_debut),AND($W277&lt;&gt;"",$W277&gt;p_fin)),"Hors horizon (info)",IF(AND($G277="À migrer",$E277="PRD",COUNTIFS(TblApplications[ID],$C277,TblApplications[Environnement],"NPRD",TblApplications[Action],"À migrer")&gt;0,$V277&lt;_xlfn.MINIFS(TblApplications[Mois prov (calc)],TblApplications[ID],$C277,TblApplications[Environnement],"NPRD")),"PRD avant NPRD (info)","OK"))))))))))))))))))))</f>
        <v/>
      </c>
      <c r="AC277" s="76"/>
      <c r="AD277" s="76"/>
      <c r="AE277" s="22" t="str">
        <f aca="false">IF(OR($C277="",NOT(OR($G277="À migrer",$G277="À décommissionner")),NOT(ISNUMBER($N277)),NOT(ISNUMBER($O277)),$W277=""),"",($N277+p_poidsram*$O277)*SUMIFS(TblCalculs[Coût par unité],TblCalculs[Cluster],$I277,TblCalculs[Mois],"&lt;"&amp;$W277))</f>
        <v/>
      </c>
      <c r="AF277" s="22" t="str">
        <f aca="false">IF($C277="","",IF(AND($G277="À migrer",$H277="Non",$T277&lt;&gt;"",$V277&lt;&gt;""),($T277+p_poidsram*$U277)*SUMIFS(TblCalculs[Coût par unité],TblCalculs[Cluster],$J277,TblCalculs[Mois],"&gt;="&amp;$V277),IF(AND($G277="Migré",$T277&lt;&gt;""),($T277+p_poidsram*$U277)*SUMIFS(TblCalculs[Coût par unité],TblCalculs[Cluster],$J277),"")))</f>
        <v/>
      </c>
      <c r="AG277" s="22" t="str">
        <f aca="false">IF($C277="","",N($AE277)+N($AF277))</f>
        <v/>
      </c>
      <c r="AH277" s="21" t="str">
        <f aca="false">IF(OR($C277="",$G277="Décommissionné",COUNTIFS($E277,av_envc,$A277,av_domc,$B277,av_tric)=0),"",COUNTIFS($C$6:$C277,"&lt;&gt;",$G$6:$G277,"&lt;&gt;Décommissionné",$E$6:$E277,av_envc,$A$6:$A277,av_domc,$B$6:$B277,av_tric))</f>
        <v/>
      </c>
      <c r="AI277" s="21" t="str">
        <f aca="false">IF($C277="","",IF(AND(OR($G277="À migrer",$G277="À décommissionner"),$W277&lt;&gt;"",$W277&gt;ex_mois),1,0))</f>
        <v/>
      </c>
      <c r="AJ277" s="21" t="str">
        <f aca="false">IF(OR($C277="",$AI277&lt;&gt;1,COUNTIFS($E277,ex_envc,$A277,ex_domc,$B277,ex_tric)=0),"",COUNTIFS($AI$6:$AI277,1,$E$6:$E277,ex_envc,$A$6:$A277,ex_domc,$B$6:$B277,ex_tric))</f>
        <v/>
      </c>
    </row>
    <row r="278" customFormat="false" ht="15" hidden="false" customHeight="false" outlineLevel="0" collapsed="false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5"/>
      <c r="Q278" s="75"/>
      <c r="R278" s="75"/>
      <c r="S278" s="74"/>
      <c r="T278" s="21" t="str">
        <f aca="false">IF(OR($C278="",NOT(OR($G278="À migrer",$G278="Migré")),NOT(ISNUMBER($K278))),"",ROUNDUP($K278*(1+IF($AC278="",p_margeCPU,$AC278)),0))</f>
        <v/>
      </c>
      <c r="U278" s="21" t="str">
        <f aca="false">IF(OR($C278="",NOT(OR($G278="À migrer",$G278="Migré")),NOT(ISNUMBER($L278))),"",ROUNDUP($L278*(1+IF($AD278="",p_margeRAM,$AD278)),0))</f>
        <v/>
      </c>
      <c r="V278" s="39" t="str">
        <f aca="false">IF(OR(NOT($G278="À migrer"),$P278=""),"",IFERROR(DATE(YEAR($P278),MONTH($P278),1),""))</f>
        <v/>
      </c>
      <c r="W278" s="39" t="str">
        <f aca="false">IF(OR(NOT(OR($G278="À migrer",$G278="À décommissionner")),$R278=""),"",IFERROR(DATE(YEAR($R278),MONTH($R278),1),""))</f>
        <v/>
      </c>
      <c r="X278" s="21" t="str">
        <f aca="false">IF(OR($V278="",$W278=""),"",MAX(0,(YEAR($W278)-YEAR($V278))*12+MONTH($W278)-MONTH($V278)))</f>
        <v/>
      </c>
      <c r="Y278" s="21" t="str">
        <f aca="false">IF($C278="","",COUNTIF(TblApplications[ID],$C278))</f>
        <v/>
      </c>
      <c r="Z278" s="39" t="str">
        <f aca="false">IF($C278="","",IFERROR(1/(1/_xlfn.MINIFS(TblApplications[Mois prov (calc)],TblApplications[ID],$C278)),""))</f>
        <v/>
      </c>
      <c r="AA278" s="39" t="str">
        <f aca="false">IF($C278="","",IFERROR(1/(1/_xlfn.MAXIFS(TblApplications[Mois lib (calc)],TblApplications[ID],$C278)),""))</f>
        <v/>
      </c>
      <c r="AB278" s="21" t="str">
        <f aca="false">IF($C278="","",IF(OR(OR($A278="",$B278="",$D278="",$E278="",$F278="",$G278=""),AND($G278="À migrer",OR($H278="",$I278="",$J278="",$K278="",$L278="",$N278="",$O278="",$P278="",$Q278="",$R278="")),AND($G278="Migré",OR($J278="",$K278="",$L278="")),AND($G278="À décommissionner",OR($I278="",$N278="",$O278="",$R278=""))),"Données manquantes (selon l’action)",IF(AND($G278&lt;&gt;"Migré",$G278&lt;&gt;"À migrer",$G278&lt;&gt;"À décommissionner",$G278&lt;&gt;"Décommissionné"),"Action invalide",IF(COUNTIF(TblDomaines[Domaine],$A278)=0,"Domaine inconnu (référentiel)",IF(COUNTIFS(TblTribes[Tribe],$B278,TblTribes[Domaine de la tribe],$A278)=0,"Tribe inconnue ou hors domaine",IF(AND($G278="À migrer",$H278&lt;&gt;"Oui",$H278&lt;&gt;"Non"),"Valeur Oui/Non invalide (Déjà incluse ROKS)",IF(AND($E278&lt;&gt;"PRD",$E278&lt;&gt;"NPRD"),"Environnement invalide",IF(COUNTIFS(TblApplications[ID],$C278,TblApplications[Environnement],$E278,TblApplications[Couloir],$F278)&gt;1,"Déploiement en doublon (ID + env + couloir)",IF(OR(AND($K278&lt;&gt;"",NOT(ISNUMBER($K278))),AND($L278&lt;&gt;"",NOT(ISNUMBER($L278))),AND($N278&lt;&gt;"",NOT(ISNUMBER($N278))),AND($O278&lt;&gt;"",NOT(ISNUMBER($O278)))),"Ressource non numérique",IF(MIN(N($K278),N($L278),N($N278),N($O278))&lt;0,"Ressource négative",IF(OR(AND($AC278&lt;&gt;"",OR(NOT(ISNUMBER($AC278)),$AC278&lt;0,$AC278&gt;1)),AND($AD278&lt;&gt;"",OR(NOT(ISNUMBER($AD278)),$AD278&lt;0,$AD278&gt;1))),"Marge spécifique invalide (0–100 %)",IF(OR(AND($P278&lt;&gt;"",NOT(ISNUMBER($P278))),AND($Q278&lt;&gt;"",NOT(ISNUMBER($Q278))),AND($R278&lt;&gt;"",NOT(ISNUMBER($R278)))),"Mois invalide",IF(AND(OR($G278="À migrer",$G278="À décommissionner"),COUNTIFS(TblClusters[Cluster],$I278,TblClusters[Plateforme],"IKS")=0),"Cluster IKS inconnu",IF(AND(OR($G278="À migrer",$G278="Migré"),COUNTIFS(TblClusters[Cluster],$J278,TblClusters[Plateforme],"ROKS")=0),"Cluster ROKS inconnu",IF(AND(OR($G278="À migrer",$G278="À décommissionner"),COUNTIFS(TblClusters[Cluster],$I278,TblClusters[Environnement],$E278)=0),"Environnement ≠ cluster IKS",IF(AND(OR($G278="À migrer",$G278="Migré"),COUNTIFS(TblClusters[Cluster],$J278,TblClusters[Environnement],$E278)=0),"Environnement ≠ cluster ROKS",IF(AND($G278="À migrer",OR($P278&gt;$Q278,$Q278&gt;$R278)),"Dates incohérentes (prov ≤ bascule ≤ libération)",IF(AND(OR($G278="À migrer",$G278="À décommissionner"),OR(N($N278)&gt;SUMIFS(TblClusters[CPU initial (vCPU)],TblClusters[Cluster],$I278),N($O278)&gt;SUMIFS(TblClusters[RAM initiale (Go)],TblClusters[Cluster],$I278))),"Libération &gt; capacité du cluster source",IF(OR(AND($V278&lt;&gt;"",$V278&lt;p_debut),AND($W278&lt;&gt;"",$W278&gt;p_fin)),"Hors horizon (info)",IF(AND($G278="À migrer",$E278="PRD",COUNTIFS(TblApplications[ID],$C278,TblApplications[Environnement],"NPRD",TblApplications[Action],"À migrer")&gt;0,$V278&lt;_xlfn.MINIFS(TblApplications[Mois prov (calc)],TblApplications[ID],$C278,TblApplications[Environnement],"NPRD")),"PRD avant NPRD (info)","OK"))))))))))))))))))))</f>
        <v/>
      </c>
      <c r="AC278" s="76"/>
      <c r="AD278" s="76"/>
      <c r="AE278" s="22" t="str">
        <f aca="false">IF(OR($C278="",NOT(OR($G278="À migrer",$G278="À décommissionner")),NOT(ISNUMBER($N278)),NOT(ISNUMBER($O278)),$W278=""),"",($N278+p_poidsram*$O278)*SUMIFS(TblCalculs[Coût par unité],TblCalculs[Cluster],$I278,TblCalculs[Mois],"&lt;"&amp;$W278))</f>
        <v/>
      </c>
      <c r="AF278" s="22" t="str">
        <f aca="false">IF($C278="","",IF(AND($G278="À migrer",$H278="Non",$T278&lt;&gt;"",$V278&lt;&gt;""),($T278+p_poidsram*$U278)*SUMIFS(TblCalculs[Coût par unité],TblCalculs[Cluster],$J278,TblCalculs[Mois],"&gt;="&amp;$V278),IF(AND($G278="Migré",$T278&lt;&gt;""),($T278+p_poidsram*$U278)*SUMIFS(TblCalculs[Coût par unité],TblCalculs[Cluster],$J278),"")))</f>
        <v/>
      </c>
      <c r="AG278" s="22" t="str">
        <f aca="false">IF($C278="","",N($AE278)+N($AF278))</f>
        <v/>
      </c>
      <c r="AH278" s="21" t="str">
        <f aca="false">IF(OR($C278="",$G278="Décommissionné",COUNTIFS($E278,av_envc,$A278,av_domc,$B278,av_tric)=0),"",COUNTIFS($C$6:$C278,"&lt;&gt;",$G$6:$G278,"&lt;&gt;Décommissionné",$E$6:$E278,av_envc,$A$6:$A278,av_domc,$B$6:$B278,av_tric))</f>
        <v/>
      </c>
      <c r="AI278" s="21" t="str">
        <f aca="false">IF($C278="","",IF(AND(OR($G278="À migrer",$G278="À décommissionner"),$W278&lt;&gt;"",$W278&gt;ex_mois),1,0))</f>
        <v/>
      </c>
      <c r="AJ278" s="21" t="str">
        <f aca="false">IF(OR($C278="",$AI278&lt;&gt;1,COUNTIFS($E278,ex_envc,$A278,ex_domc,$B278,ex_tric)=0),"",COUNTIFS($AI$6:$AI278,1,$E$6:$E278,ex_envc,$A$6:$A278,ex_domc,$B$6:$B278,ex_tric))</f>
        <v/>
      </c>
    </row>
    <row r="279" customFormat="false" ht="15" hidden="false" customHeight="false" outlineLevel="0" collapsed="false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5"/>
      <c r="Q279" s="75"/>
      <c r="R279" s="75"/>
      <c r="S279" s="74"/>
      <c r="T279" s="21" t="str">
        <f aca="false">IF(OR($C279="",NOT(OR($G279="À migrer",$G279="Migré")),NOT(ISNUMBER($K279))),"",ROUNDUP($K279*(1+IF($AC279="",p_margeCPU,$AC279)),0))</f>
        <v/>
      </c>
      <c r="U279" s="21" t="str">
        <f aca="false">IF(OR($C279="",NOT(OR($G279="À migrer",$G279="Migré")),NOT(ISNUMBER($L279))),"",ROUNDUP($L279*(1+IF($AD279="",p_margeRAM,$AD279)),0))</f>
        <v/>
      </c>
      <c r="V279" s="39" t="str">
        <f aca="false">IF(OR(NOT($G279="À migrer"),$P279=""),"",IFERROR(DATE(YEAR($P279),MONTH($P279),1),""))</f>
        <v/>
      </c>
      <c r="W279" s="39" t="str">
        <f aca="false">IF(OR(NOT(OR($G279="À migrer",$G279="À décommissionner")),$R279=""),"",IFERROR(DATE(YEAR($R279),MONTH($R279),1),""))</f>
        <v/>
      </c>
      <c r="X279" s="21" t="str">
        <f aca="false">IF(OR($V279="",$W279=""),"",MAX(0,(YEAR($W279)-YEAR($V279))*12+MONTH($W279)-MONTH($V279)))</f>
        <v/>
      </c>
      <c r="Y279" s="21" t="str">
        <f aca="false">IF($C279="","",COUNTIF(TblApplications[ID],$C279))</f>
        <v/>
      </c>
      <c r="Z279" s="39" t="str">
        <f aca="false">IF($C279="","",IFERROR(1/(1/_xlfn.MINIFS(TblApplications[Mois prov (calc)],TblApplications[ID],$C279)),""))</f>
        <v/>
      </c>
      <c r="AA279" s="39" t="str">
        <f aca="false">IF($C279="","",IFERROR(1/(1/_xlfn.MAXIFS(TblApplications[Mois lib (calc)],TblApplications[ID],$C279)),""))</f>
        <v/>
      </c>
      <c r="AB279" s="21" t="str">
        <f aca="false">IF($C279="","",IF(OR(OR($A279="",$B279="",$D279="",$E279="",$F279="",$G279=""),AND($G279="À migrer",OR($H279="",$I279="",$J279="",$K279="",$L279="",$N279="",$O279="",$P279="",$Q279="",$R279="")),AND($G279="Migré",OR($J279="",$K279="",$L279="")),AND($G279="À décommissionner",OR($I279="",$N279="",$O279="",$R279=""))),"Données manquantes (selon l’action)",IF(AND($G279&lt;&gt;"Migré",$G279&lt;&gt;"À migrer",$G279&lt;&gt;"À décommissionner",$G279&lt;&gt;"Décommissionné"),"Action invalide",IF(COUNTIF(TblDomaines[Domaine],$A279)=0,"Domaine inconnu (référentiel)",IF(COUNTIFS(TblTribes[Tribe],$B279,TblTribes[Domaine de la tribe],$A279)=0,"Tribe inconnue ou hors domaine",IF(AND($G279="À migrer",$H279&lt;&gt;"Oui",$H279&lt;&gt;"Non"),"Valeur Oui/Non invalide (Déjà incluse ROKS)",IF(AND($E279&lt;&gt;"PRD",$E279&lt;&gt;"NPRD"),"Environnement invalide",IF(COUNTIFS(TblApplications[ID],$C279,TblApplications[Environnement],$E279,TblApplications[Couloir],$F279)&gt;1,"Déploiement en doublon (ID + env + couloir)",IF(OR(AND($K279&lt;&gt;"",NOT(ISNUMBER($K279))),AND($L279&lt;&gt;"",NOT(ISNUMBER($L279))),AND($N279&lt;&gt;"",NOT(ISNUMBER($N279))),AND($O279&lt;&gt;"",NOT(ISNUMBER($O279)))),"Ressource non numérique",IF(MIN(N($K279),N($L279),N($N279),N($O279))&lt;0,"Ressource négative",IF(OR(AND($AC279&lt;&gt;"",OR(NOT(ISNUMBER($AC279)),$AC279&lt;0,$AC279&gt;1)),AND($AD279&lt;&gt;"",OR(NOT(ISNUMBER($AD279)),$AD279&lt;0,$AD279&gt;1))),"Marge spécifique invalide (0–100 %)",IF(OR(AND($P279&lt;&gt;"",NOT(ISNUMBER($P279))),AND($Q279&lt;&gt;"",NOT(ISNUMBER($Q279))),AND($R279&lt;&gt;"",NOT(ISNUMBER($R279)))),"Mois invalide",IF(AND(OR($G279="À migrer",$G279="À décommissionner"),COUNTIFS(TblClusters[Cluster],$I279,TblClusters[Plateforme],"IKS")=0),"Cluster IKS inconnu",IF(AND(OR($G279="À migrer",$G279="Migré"),COUNTIFS(TblClusters[Cluster],$J279,TblClusters[Plateforme],"ROKS")=0),"Cluster ROKS inconnu",IF(AND(OR($G279="À migrer",$G279="À décommissionner"),COUNTIFS(TblClusters[Cluster],$I279,TblClusters[Environnement],$E279)=0),"Environnement ≠ cluster IKS",IF(AND(OR($G279="À migrer",$G279="Migré"),COUNTIFS(TblClusters[Cluster],$J279,TblClusters[Environnement],$E279)=0),"Environnement ≠ cluster ROKS",IF(AND($G279="À migrer",OR($P279&gt;$Q279,$Q279&gt;$R279)),"Dates incohérentes (prov ≤ bascule ≤ libération)",IF(AND(OR($G279="À migrer",$G279="À décommissionner"),OR(N($N279)&gt;SUMIFS(TblClusters[CPU initial (vCPU)],TblClusters[Cluster],$I279),N($O279)&gt;SUMIFS(TblClusters[RAM initiale (Go)],TblClusters[Cluster],$I279))),"Libération &gt; capacité du cluster source",IF(OR(AND($V279&lt;&gt;"",$V279&lt;p_debut),AND($W279&lt;&gt;"",$W279&gt;p_fin)),"Hors horizon (info)",IF(AND($G279="À migrer",$E279="PRD",COUNTIFS(TblApplications[ID],$C279,TblApplications[Environnement],"NPRD",TblApplications[Action],"À migrer")&gt;0,$V279&lt;_xlfn.MINIFS(TblApplications[Mois prov (calc)],TblApplications[ID],$C279,TblApplications[Environnement],"NPRD")),"PRD avant NPRD (info)","OK"))))))))))))))))))))</f>
        <v/>
      </c>
      <c r="AC279" s="76"/>
      <c r="AD279" s="76"/>
      <c r="AE279" s="22" t="str">
        <f aca="false">IF(OR($C279="",NOT(OR($G279="À migrer",$G279="À décommissionner")),NOT(ISNUMBER($N279)),NOT(ISNUMBER($O279)),$W279=""),"",($N279+p_poidsram*$O279)*SUMIFS(TblCalculs[Coût par unité],TblCalculs[Cluster],$I279,TblCalculs[Mois],"&lt;"&amp;$W279))</f>
        <v/>
      </c>
      <c r="AF279" s="22" t="str">
        <f aca="false">IF($C279="","",IF(AND($G279="À migrer",$H279="Non",$T279&lt;&gt;"",$V279&lt;&gt;""),($T279+p_poidsram*$U279)*SUMIFS(TblCalculs[Coût par unité],TblCalculs[Cluster],$J279,TblCalculs[Mois],"&gt;="&amp;$V279),IF(AND($G279="Migré",$T279&lt;&gt;""),($T279+p_poidsram*$U279)*SUMIFS(TblCalculs[Coût par unité],TblCalculs[Cluster],$J279),"")))</f>
        <v/>
      </c>
      <c r="AG279" s="22" t="str">
        <f aca="false">IF($C279="","",N($AE279)+N($AF279))</f>
        <v/>
      </c>
      <c r="AH279" s="21" t="str">
        <f aca="false">IF(OR($C279="",$G279="Décommissionné",COUNTIFS($E279,av_envc,$A279,av_domc,$B279,av_tric)=0),"",COUNTIFS($C$6:$C279,"&lt;&gt;",$G$6:$G279,"&lt;&gt;Décommissionné",$E$6:$E279,av_envc,$A$6:$A279,av_domc,$B$6:$B279,av_tric))</f>
        <v/>
      </c>
      <c r="AI279" s="21" t="str">
        <f aca="false">IF($C279="","",IF(AND(OR($G279="À migrer",$G279="À décommissionner"),$W279&lt;&gt;"",$W279&gt;ex_mois),1,0))</f>
        <v/>
      </c>
      <c r="AJ279" s="21" t="str">
        <f aca="false">IF(OR($C279="",$AI279&lt;&gt;1,COUNTIFS($E279,ex_envc,$A279,ex_domc,$B279,ex_tric)=0),"",COUNTIFS($AI$6:$AI279,1,$E$6:$E279,ex_envc,$A$6:$A279,ex_domc,$B$6:$B279,ex_tric))</f>
        <v/>
      </c>
    </row>
    <row r="280" customFormat="false" ht="15" hidden="false" customHeight="false" outlineLevel="0" collapsed="false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5"/>
      <c r="Q280" s="75"/>
      <c r="R280" s="75"/>
      <c r="S280" s="74"/>
      <c r="T280" s="21" t="str">
        <f aca="false">IF(OR($C280="",NOT(OR($G280="À migrer",$G280="Migré")),NOT(ISNUMBER($K280))),"",ROUNDUP($K280*(1+IF($AC280="",p_margeCPU,$AC280)),0))</f>
        <v/>
      </c>
      <c r="U280" s="21" t="str">
        <f aca="false">IF(OR($C280="",NOT(OR($G280="À migrer",$G280="Migré")),NOT(ISNUMBER($L280))),"",ROUNDUP($L280*(1+IF($AD280="",p_margeRAM,$AD280)),0))</f>
        <v/>
      </c>
      <c r="V280" s="39" t="str">
        <f aca="false">IF(OR(NOT($G280="À migrer"),$P280=""),"",IFERROR(DATE(YEAR($P280),MONTH($P280),1),""))</f>
        <v/>
      </c>
      <c r="W280" s="39" t="str">
        <f aca="false">IF(OR(NOT(OR($G280="À migrer",$G280="À décommissionner")),$R280=""),"",IFERROR(DATE(YEAR($R280),MONTH($R280),1),""))</f>
        <v/>
      </c>
      <c r="X280" s="21" t="str">
        <f aca="false">IF(OR($V280="",$W280=""),"",MAX(0,(YEAR($W280)-YEAR($V280))*12+MONTH($W280)-MONTH($V280)))</f>
        <v/>
      </c>
      <c r="Y280" s="21" t="str">
        <f aca="false">IF($C280="","",COUNTIF(TblApplications[ID],$C280))</f>
        <v/>
      </c>
      <c r="Z280" s="39" t="str">
        <f aca="false">IF($C280="","",IFERROR(1/(1/_xlfn.MINIFS(TblApplications[Mois prov (calc)],TblApplications[ID],$C280)),""))</f>
        <v/>
      </c>
      <c r="AA280" s="39" t="str">
        <f aca="false">IF($C280="","",IFERROR(1/(1/_xlfn.MAXIFS(TblApplications[Mois lib (calc)],TblApplications[ID],$C280)),""))</f>
        <v/>
      </c>
      <c r="AB280" s="21" t="str">
        <f aca="false">IF($C280="","",IF(OR(OR($A280="",$B280="",$D280="",$E280="",$F280="",$G280=""),AND($G280="À migrer",OR($H280="",$I280="",$J280="",$K280="",$L280="",$N280="",$O280="",$P280="",$Q280="",$R280="")),AND($G280="Migré",OR($J280="",$K280="",$L280="")),AND($G280="À décommissionner",OR($I280="",$N280="",$O280="",$R280=""))),"Données manquantes (selon l’action)",IF(AND($G280&lt;&gt;"Migré",$G280&lt;&gt;"À migrer",$G280&lt;&gt;"À décommissionner",$G280&lt;&gt;"Décommissionné"),"Action invalide",IF(COUNTIF(TblDomaines[Domaine],$A280)=0,"Domaine inconnu (référentiel)",IF(COUNTIFS(TblTribes[Tribe],$B280,TblTribes[Domaine de la tribe],$A280)=0,"Tribe inconnue ou hors domaine",IF(AND($G280="À migrer",$H280&lt;&gt;"Oui",$H280&lt;&gt;"Non"),"Valeur Oui/Non invalide (Déjà incluse ROKS)",IF(AND($E280&lt;&gt;"PRD",$E280&lt;&gt;"NPRD"),"Environnement invalide",IF(COUNTIFS(TblApplications[ID],$C280,TblApplications[Environnement],$E280,TblApplications[Couloir],$F280)&gt;1,"Déploiement en doublon (ID + env + couloir)",IF(OR(AND($K280&lt;&gt;"",NOT(ISNUMBER($K280))),AND($L280&lt;&gt;"",NOT(ISNUMBER($L280))),AND($N280&lt;&gt;"",NOT(ISNUMBER($N280))),AND($O280&lt;&gt;"",NOT(ISNUMBER($O280)))),"Ressource non numérique",IF(MIN(N($K280),N($L280),N($N280),N($O280))&lt;0,"Ressource négative",IF(OR(AND($AC280&lt;&gt;"",OR(NOT(ISNUMBER($AC280)),$AC280&lt;0,$AC280&gt;1)),AND($AD280&lt;&gt;"",OR(NOT(ISNUMBER($AD280)),$AD280&lt;0,$AD280&gt;1))),"Marge spécifique invalide (0–100 %)",IF(OR(AND($P280&lt;&gt;"",NOT(ISNUMBER($P280))),AND($Q280&lt;&gt;"",NOT(ISNUMBER($Q280))),AND($R280&lt;&gt;"",NOT(ISNUMBER($R280)))),"Mois invalide",IF(AND(OR($G280="À migrer",$G280="À décommissionner"),COUNTIFS(TblClusters[Cluster],$I280,TblClusters[Plateforme],"IKS")=0),"Cluster IKS inconnu",IF(AND(OR($G280="À migrer",$G280="Migré"),COUNTIFS(TblClusters[Cluster],$J280,TblClusters[Plateforme],"ROKS")=0),"Cluster ROKS inconnu",IF(AND(OR($G280="À migrer",$G280="À décommissionner"),COUNTIFS(TblClusters[Cluster],$I280,TblClusters[Environnement],$E280)=0),"Environnement ≠ cluster IKS",IF(AND(OR($G280="À migrer",$G280="Migré"),COUNTIFS(TblClusters[Cluster],$J280,TblClusters[Environnement],$E280)=0),"Environnement ≠ cluster ROKS",IF(AND($G280="À migrer",OR($P280&gt;$Q280,$Q280&gt;$R280)),"Dates incohérentes (prov ≤ bascule ≤ libération)",IF(AND(OR($G280="À migrer",$G280="À décommissionner"),OR(N($N280)&gt;SUMIFS(TblClusters[CPU initial (vCPU)],TblClusters[Cluster],$I280),N($O280)&gt;SUMIFS(TblClusters[RAM initiale (Go)],TblClusters[Cluster],$I280))),"Libération &gt; capacité du cluster source",IF(OR(AND($V280&lt;&gt;"",$V280&lt;p_debut),AND($W280&lt;&gt;"",$W280&gt;p_fin)),"Hors horizon (info)",IF(AND($G280="À migrer",$E280="PRD",COUNTIFS(TblApplications[ID],$C280,TblApplications[Environnement],"NPRD",TblApplications[Action],"À migrer")&gt;0,$V280&lt;_xlfn.MINIFS(TblApplications[Mois prov (calc)],TblApplications[ID],$C280,TblApplications[Environnement],"NPRD")),"PRD avant NPRD (info)","OK"))))))))))))))))))))</f>
        <v/>
      </c>
      <c r="AC280" s="76"/>
      <c r="AD280" s="76"/>
      <c r="AE280" s="22" t="str">
        <f aca="false">IF(OR($C280="",NOT(OR($G280="À migrer",$G280="À décommissionner")),NOT(ISNUMBER($N280)),NOT(ISNUMBER($O280)),$W280=""),"",($N280+p_poidsram*$O280)*SUMIFS(TblCalculs[Coût par unité],TblCalculs[Cluster],$I280,TblCalculs[Mois],"&lt;"&amp;$W280))</f>
        <v/>
      </c>
      <c r="AF280" s="22" t="str">
        <f aca="false">IF($C280="","",IF(AND($G280="À migrer",$H280="Non",$T280&lt;&gt;"",$V280&lt;&gt;""),($T280+p_poidsram*$U280)*SUMIFS(TblCalculs[Coût par unité],TblCalculs[Cluster],$J280,TblCalculs[Mois],"&gt;="&amp;$V280),IF(AND($G280="Migré",$T280&lt;&gt;""),($T280+p_poidsram*$U280)*SUMIFS(TblCalculs[Coût par unité],TblCalculs[Cluster],$J280),"")))</f>
        <v/>
      </c>
      <c r="AG280" s="22" t="str">
        <f aca="false">IF($C280="","",N($AE280)+N($AF280))</f>
        <v/>
      </c>
      <c r="AH280" s="21" t="str">
        <f aca="false">IF(OR($C280="",$G280="Décommissionné",COUNTIFS($E280,av_envc,$A280,av_domc,$B280,av_tric)=0),"",COUNTIFS($C$6:$C280,"&lt;&gt;",$G$6:$G280,"&lt;&gt;Décommissionné",$E$6:$E280,av_envc,$A$6:$A280,av_domc,$B$6:$B280,av_tric))</f>
        <v/>
      </c>
      <c r="AI280" s="21" t="str">
        <f aca="false">IF($C280="","",IF(AND(OR($G280="À migrer",$G280="À décommissionner"),$W280&lt;&gt;"",$W280&gt;ex_mois),1,0))</f>
        <v/>
      </c>
      <c r="AJ280" s="21" t="str">
        <f aca="false">IF(OR($C280="",$AI280&lt;&gt;1,COUNTIFS($E280,ex_envc,$A280,ex_domc,$B280,ex_tric)=0),"",COUNTIFS($AI$6:$AI280,1,$E$6:$E280,ex_envc,$A$6:$A280,ex_domc,$B$6:$B280,ex_tric))</f>
        <v/>
      </c>
    </row>
    <row r="281" customFormat="false" ht="15" hidden="false" customHeight="false" outlineLevel="0" collapsed="false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5"/>
      <c r="Q281" s="75"/>
      <c r="R281" s="75"/>
      <c r="S281" s="74"/>
      <c r="T281" s="21" t="str">
        <f aca="false">IF(OR($C281="",NOT(OR($G281="À migrer",$G281="Migré")),NOT(ISNUMBER($K281))),"",ROUNDUP($K281*(1+IF($AC281="",p_margeCPU,$AC281)),0))</f>
        <v/>
      </c>
      <c r="U281" s="21" t="str">
        <f aca="false">IF(OR($C281="",NOT(OR($G281="À migrer",$G281="Migré")),NOT(ISNUMBER($L281))),"",ROUNDUP($L281*(1+IF($AD281="",p_margeRAM,$AD281)),0))</f>
        <v/>
      </c>
      <c r="V281" s="39" t="str">
        <f aca="false">IF(OR(NOT($G281="À migrer"),$P281=""),"",IFERROR(DATE(YEAR($P281),MONTH($P281),1),""))</f>
        <v/>
      </c>
      <c r="W281" s="39" t="str">
        <f aca="false">IF(OR(NOT(OR($G281="À migrer",$G281="À décommissionner")),$R281=""),"",IFERROR(DATE(YEAR($R281),MONTH($R281),1),""))</f>
        <v/>
      </c>
      <c r="X281" s="21" t="str">
        <f aca="false">IF(OR($V281="",$W281=""),"",MAX(0,(YEAR($W281)-YEAR($V281))*12+MONTH($W281)-MONTH($V281)))</f>
        <v/>
      </c>
      <c r="Y281" s="21" t="str">
        <f aca="false">IF($C281="","",COUNTIF(TblApplications[ID],$C281))</f>
        <v/>
      </c>
      <c r="Z281" s="39" t="str">
        <f aca="false">IF($C281="","",IFERROR(1/(1/_xlfn.MINIFS(TblApplications[Mois prov (calc)],TblApplications[ID],$C281)),""))</f>
        <v/>
      </c>
      <c r="AA281" s="39" t="str">
        <f aca="false">IF($C281="","",IFERROR(1/(1/_xlfn.MAXIFS(TblApplications[Mois lib (calc)],TblApplications[ID],$C281)),""))</f>
        <v/>
      </c>
      <c r="AB281" s="21" t="str">
        <f aca="false">IF($C281="","",IF(OR(OR($A281="",$B281="",$D281="",$E281="",$F281="",$G281=""),AND($G281="À migrer",OR($H281="",$I281="",$J281="",$K281="",$L281="",$N281="",$O281="",$P281="",$Q281="",$R281="")),AND($G281="Migré",OR($J281="",$K281="",$L281="")),AND($G281="À décommissionner",OR($I281="",$N281="",$O281="",$R281=""))),"Données manquantes (selon l’action)",IF(AND($G281&lt;&gt;"Migré",$G281&lt;&gt;"À migrer",$G281&lt;&gt;"À décommissionner",$G281&lt;&gt;"Décommissionné"),"Action invalide",IF(COUNTIF(TblDomaines[Domaine],$A281)=0,"Domaine inconnu (référentiel)",IF(COUNTIFS(TblTribes[Tribe],$B281,TblTribes[Domaine de la tribe],$A281)=0,"Tribe inconnue ou hors domaine",IF(AND($G281="À migrer",$H281&lt;&gt;"Oui",$H281&lt;&gt;"Non"),"Valeur Oui/Non invalide (Déjà incluse ROKS)",IF(AND($E281&lt;&gt;"PRD",$E281&lt;&gt;"NPRD"),"Environnement invalide",IF(COUNTIFS(TblApplications[ID],$C281,TblApplications[Environnement],$E281,TblApplications[Couloir],$F281)&gt;1,"Déploiement en doublon (ID + env + couloir)",IF(OR(AND($K281&lt;&gt;"",NOT(ISNUMBER($K281))),AND($L281&lt;&gt;"",NOT(ISNUMBER($L281))),AND($N281&lt;&gt;"",NOT(ISNUMBER($N281))),AND($O281&lt;&gt;"",NOT(ISNUMBER($O281)))),"Ressource non numérique",IF(MIN(N($K281),N($L281),N($N281),N($O281))&lt;0,"Ressource négative",IF(OR(AND($AC281&lt;&gt;"",OR(NOT(ISNUMBER($AC281)),$AC281&lt;0,$AC281&gt;1)),AND($AD281&lt;&gt;"",OR(NOT(ISNUMBER($AD281)),$AD281&lt;0,$AD281&gt;1))),"Marge spécifique invalide (0–100 %)",IF(OR(AND($P281&lt;&gt;"",NOT(ISNUMBER($P281))),AND($Q281&lt;&gt;"",NOT(ISNUMBER($Q281))),AND($R281&lt;&gt;"",NOT(ISNUMBER($R281)))),"Mois invalide",IF(AND(OR($G281="À migrer",$G281="À décommissionner"),COUNTIFS(TblClusters[Cluster],$I281,TblClusters[Plateforme],"IKS")=0),"Cluster IKS inconnu",IF(AND(OR($G281="À migrer",$G281="Migré"),COUNTIFS(TblClusters[Cluster],$J281,TblClusters[Plateforme],"ROKS")=0),"Cluster ROKS inconnu",IF(AND(OR($G281="À migrer",$G281="À décommissionner"),COUNTIFS(TblClusters[Cluster],$I281,TblClusters[Environnement],$E281)=0),"Environnement ≠ cluster IKS",IF(AND(OR($G281="À migrer",$G281="Migré"),COUNTIFS(TblClusters[Cluster],$J281,TblClusters[Environnement],$E281)=0),"Environnement ≠ cluster ROKS",IF(AND($G281="À migrer",OR($P281&gt;$Q281,$Q281&gt;$R281)),"Dates incohérentes (prov ≤ bascule ≤ libération)",IF(AND(OR($G281="À migrer",$G281="À décommissionner"),OR(N($N281)&gt;SUMIFS(TblClusters[CPU initial (vCPU)],TblClusters[Cluster],$I281),N($O281)&gt;SUMIFS(TblClusters[RAM initiale (Go)],TblClusters[Cluster],$I281))),"Libération &gt; capacité du cluster source",IF(OR(AND($V281&lt;&gt;"",$V281&lt;p_debut),AND($W281&lt;&gt;"",$W281&gt;p_fin)),"Hors horizon (info)",IF(AND($G281="À migrer",$E281="PRD",COUNTIFS(TblApplications[ID],$C281,TblApplications[Environnement],"NPRD",TblApplications[Action],"À migrer")&gt;0,$V281&lt;_xlfn.MINIFS(TblApplications[Mois prov (calc)],TblApplications[ID],$C281,TblApplications[Environnement],"NPRD")),"PRD avant NPRD (info)","OK"))))))))))))))))))))</f>
        <v/>
      </c>
      <c r="AC281" s="76"/>
      <c r="AD281" s="76"/>
      <c r="AE281" s="22" t="str">
        <f aca="false">IF(OR($C281="",NOT(OR($G281="À migrer",$G281="À décommissionner")),NOT(ISNUMBER($N281)),NOT(ISNUMBER($O281)),$W281=""),"",($N281+p_poidsram*$O281)*SUMIFS(TblCalculs[Coût par unité],TblCalculs[Cluster],$I281,TblCalculs[Mois],"&lt;"&amp;$W281))</f>
        <v/>
      </c>
      <c r="AF281" s="22" t="str">
        <f aca="false">IF($C281="","",IF(AND($G281="À migrer",$H281="Non",$T281&lt;&gt;"",$V281&lt;&gt;""),($T281+p_poidsram*$U281)*SUMIFS(TblCalculs[Coût par unité],TblCalculs[Cluster],$J281,TblCalculs[Mois],"&gt;="&amp;$V281),IF(AND($G281="Migré",$T281&lt;&gt;""),($T281+p_poidsram*$U281)*SUMIFS(TblCalculs[Coût par unité],TblCalculs[Cluster],$J281),"")))</f>
        <v/>
      </c>
      <c r="AG281" s="22" t="str">
        <f aca="false">IF($C281="","",N($AE281)+N($AF281))</f>
        <v/>
      </c>
      <c r="AH281" s="21" t="str">
        <f aca="false">IF(OR($C281="",$G281="Décommissionné",COUNTIFS($E281,av_envc,$A281,av_domc,$B281,av_tric)=0),"",COUNTIFS($C$6:$C281,"&lt;&gt;",$G$6:$G281,"&lt;&gt;Décommissionné",$E$6:$E281,av_envc,$A$6:$A281,av_domc,$B$6:$B281,av_tric))</f>
        <v/>
      </c>
      <c r="AI281" s="21" t="str">
        <f aca="false">IF($C281="","",IF(AND(OR($G281="À migrer",$G281="À décommissionner"),$W281&lt;&gt;"",$W281&gt;ex_mois),1,0))</f>
        <v/>
      </c>
      <c r="AJ281" s="21" t="str">
        <f aca="false">IF(OR($C281="",$AI281&lt;&gt;1,COUNTIFS($E281,ex_envc,$A281,ex_domc,$B281,ex_tric)=0),"",COUNTIFS($AI$6:$AI281,1,$E$6:$E281,ex_envc,$A$6:$A281,ex_domc,$B$6:$B281,ex_tric))</f>
        <v/>
      </c>
    </row>
    <row r="282" customFormat="false" ht="15" hidden="false" customHeight="false" outlineLevel="0" collapsed="false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5"/>
      <c r="Q282" s="75"/>
      <c r="R282" s="75"/>
      <c r="S282" s="74"/>
      <c r="T282" s="21" t="str">
        <f aca="false">IF(OR($C282="",NOT(OR($G282="À migrer",$G282="Migré")),NOT(ISNUMBER($K282))),"",ROUNDUP($K282*(1+IF($AC282="",p_margeCPU,$AC282)),0))</f>
        <v/>
      </c>
      <c r="U282" s="21" t="str">
        <f aca="false">IF(OR($C282="",NOT(OR($G282="À migrer",$G282="Migré")),NOT(ISNUMBER($L282))),"",ROUNDUP($L282*(1+IF($AD282="",p_margeRAM,$AD282)),0))</f>
        <v/>
      </c>
      <c r="V282" s="39" t="str">
        <f aca="false">IF(OR(NOT($G282="À migrer"),$P282=""),"",IFERROR(DATE(YEAR($P282),MONTH($P282),1),""))</f>
        <v/>
      </c>
      <c r="W282" s="39" t="str">
        <f aca="false">IF(OR(NOT(OR($G282="À migrer",$G282="À décommissionner")),$R282=""),"",IFERROR(DATE(YEAR($R282),MONTH($R282),1),""))</f>
        <v/>
      </c>
      <c r="X282" s="21" t="str">
        <f aca="false">IF(OR($V282="",$W282=""),"",MAX(0,(YEAR($W282)-YEAR($V282))*12+MONTH($W282)-MONTH($V282)))</f>
        <v/>
      </c>
      <c r="Y282" s="21" t="str">
        <f aca="false">IF($C282="","",COUNTIF(TblApplications[ID],$C282))</f>
        <v/>
      </c>
      <c r="Z282" s="39" t="str">
        <f aca="false">IF($C282="","",IFERROR(1/(1/_xlfn.MINIFS(TblApplications[Mois prov (calc)],TblApplications[ID],$C282)),""))</f>
        <v/>
      </c>
      <c r="AA282" s="39" t="str">
        <f aca="false">IF($C282="","",IFERROR(1/(1/_xlfn.MAXIFS(TblApplications[Mois lib (calc)],TblApplications[ID],$C282)),""))</f>
        <v/>
      </c>
      <c r="AB282" s="21" t="str">
        <f aca="false">IF($C282="","",IF(OR(OR($A282="",$B282="",$D282="",$E282="",$F282="",$G282=""),AND($G282="À migrer",OR($H282="",$I282="",$J282="",$K282="",$L282="",$N282="",$O282="",$P282="",$Q282="",$R282="")),AND($G282="Migré",OR($J282="",$K282="",$L282="")),AND($G282="À décommissionner",OR($I282="",$N282="",$O282="",$R282=""))),"Données manquantes (selon l’action)",IF(AND($G282&lt;&gt;"Migré",$G282&lt;&gt;"À migrer",$G282&lt;&gt;"À décommissionner",$G282&lt;&gt;"Décommissionné"),"Action invalide",IF(COUNTIF(TblDomaines[Domaine],$A282)=0,"Domaine inconnu (référentiel)",IF(COUNTIFS(TblTribes[Tribe],$B282,TblTribes[Domaine de la tribe],$A282)=0,"Tribe inconnue ou hors domaine",IF(AND($G282="À migrer",$H282&lt;&gt;"Oui",$H282&lt;&gt;"Non"),"Valeur Oui/Non invalide (Déjà incluse ROKS)",IF(AND($E282&lt;&gt;"PRD",$E282&lt;&gt;"NPRD"),"Environnement invalide",IF(COUNTIFS(TblApplications[ID],$C282,TblApplications[Environnement],$E282,TblApplications[Couloir],$F282)&gt;1,"Déploiement en doublon (ID + env + couloir)",IF(OR(AND($K282&lt;&gt;"",NOT(ISNUMBER($K282))),AND($L282&lt;&gt;"",NOT(ISNUMBER($L282))),AND($N282&lt;&gt;"",NOT(ISNUMBER($N282))),AND($O282&lt;&gt;"",NOT(ISNUMBER($O282)))),"Ressource non numérique",IF(MIN(N($K282),N($L282),N($N282),N($O282))&lt;0,"Ressource négative",IF(OR(AND($AC282&lt;&gt;"",OR(NOT(ISNUMBER($AC282)),$AC282&lt;0,$AC282&gt;1)),AND($AD282&lt;&gt;"",OR(NOT(ISNUMBER($AD282)),$AD282&lt;0,$AD282&gt;1))),"Marge spécifique invalide (0–100 %)",IF(OR(AND($P282&lt;&gt;"",NOT(ISNUMBER($P282))),AND($Q282&lt;&gt;"",NOT(ISNUMBER($Q282))),AND($R282&lt;&gt;"",NOT(ISNUMBER($R282)))),"Mois invalide",IF(AND(OR($G282="À migrer",$G282="À décommissionner"),COUNTIFS(TblClusters[Cluster],$I282,TblClusters[Plateforme],"IKS")=0),"Cluster IKS inconnu",IF(AND(OR($G282="À migrer",$G282="Migré"),COUNTIFS(TblClusters[Cluster],$J282,TblClusters[Plateforme],"ROKS")=0),"Cluster ROKS inconnu",IF(AND(OR($G282="À migrer",$G282="À décommissionner"),COUNTIFS(TblClusters[Cluster],$I282,TblClusters[Environnement],$E282)=0),"Environnement ≠ cluster IKS",IF(AND(OR($G282="À migrer",$G282="Migré"),COUNTIFS(TblClusters[Cluster],$J282,TblClusters[Environnement],$E282)=0),"Environnement ≠ cluster ROKS",IF(AND($G282="À migrer",OR($P282&gt;$Q282,$Q282&gt;$R282)),"Dates incohérentes (prov ≤ bascule ≤ libération)",IF(AND(OR($G282="À migrer",$G282="À décommissionner"),OR(N($N282)&gt;SUMIFS(TblClusters[CPU initial (vCPU)],TblClusters[Cluster],$I282),N($O282)&gt;SUMIFS(TblClusters[RAM initiale (Go)],TblClusters[Cluster],$I282))),"Libération &gt; capacité du cluster source",IF(OR(AND($V282&lt;&gt;"",$V282&lt;p_debut),AND($W282&lt;&gt;"",$W282&gt;p_fin)),"Hors horizon (info)",IF(AND($G282="À migrer",$E282="PRD",COUNTIFS(TblApplications[ID],$C282,TblApplications[Environnement],"NPRD",TblApplications[Action],"À migrer")&gt;0,$V282&lt;_xlfn.MINIFS(TblApplications[Mois prov (calc)],TblApplications[ID],$C282,TblApplications[Environnement],"NPRD")),"PRD avant NPRD (info)","OK"))))))))))))))))))))</f>
        <v/>
      </c>
      <c r="AC282" s="76"/>
      <c r="AD282" s="76"/>
      <c r="AE282" s="22" t="str">
        <f aca="false">IF(OR($C282="",NOT(OR($G282="À migrer",$G282="À décommissionner")),NOT(ISNUMBER($N282)),NOT(ISNUMBER($O282)),$W282=""),"",($N282+p_poidsram*$O282)*SUMIFS(TblCalculs[Coût par unité],TblCalculs[Cluster],$I282,TblCalculs[Mois],"&lt;"&amp;$W282))</f>
        <v/>
      </c>
      <c r="AF282" s="22" t="str">
        <f aca="false">IF($C282="","",IF(AND($G282="À migrer",$H282="Non",$T282&lt;&gt;"",$V282&lt;&gt;""),($T282+p_poidsram*$U282)*SUMIFS(TblCalculs[Coût par unité],TblCalculs[Cluster],$J282,TblCalculs[Mois],"&gt;="&amp;$V282),IF(AND($G282="Migré",$T282&lt;&gt;""),($T282+p_poidsram*$U282)*SUMIFS(TblCalculs[Coût par unité],TblCalculs[Cluster],$J282),"")))</f>
        <v/>
      </c>
      <c r="AG282" s="22" t="str">
        <f aca="false">IF($C282="","",N($AE282)+N($AF282))</f>
        <v/>
      </c>
      <c r="AH282" s="21" t="str">
        <f aca="false">IF(OR($C282="",$G282="Décommissionné",COUNTIFS($E282,av_envc,$A282,av_domc,$B282,av_tric)=0),"",COUNTIFS($C$6:$C282,"&lt;&gt;",$G$6:$G282,"&lt;&gt;Décommissionné",$E$6:$E282,av_envc,$A$6:$A282,av_domc,$B$6:$B282,av_tric))</f>
        <v/>
      </c>
      <c r="AI282" s="21" t="str">
        <f aca="false">IF($C282="","",IF(AND(OR($G282="À migrer",$G282="À décommissionner"),$W282&lt;&gt;"",$W282&gt;ex_mois),1,0))</f>
        <v/>
      </c>
      <c r="AJ282" s="21" t="str">
        <f aca="false">IF(OR($C282="",$AI282&lt;&gt;1,COUNTIFS($E282,ex_envc,$A282,ex_domc,$B282,ex_tric)=0),"",COUNTIFS($AI$6:$AI282,1,$E$6:$E282,ex_envc,$A$6:$A282,ex_domc,$B$6:$B282,ex_tric))</f>
        <v/>
      </c>
    </row>
    <row r="283" customFormat="false" ht="15" hidden="false" customHeight="false" outlineLevel="0" collapsed="false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5"/>
      <c r="Q283" s="75"/>
      <c r="R283" s="75"/>
      <c r="S283" s="74"/>
      <c r="T283" s="21" t="str">
        <f aca="false">IF(OR($C283="",NOT(OR($G283="À migrer",$G283="Migré")),NOT(ISNUMBER($K283))),"",ROUNDUP($K283*(1+IF($AC283="",p_margeCPU,$AC283)),0))</f>
        <v/>
      </c>
      <c r="U283" s="21" t="str">
        <f aca="false">IF(OR($C283="",NOT(OR($G283="À migrer",$G283="Migré")),NOT(ISNUMBER($L283))),"",ROUNDUP($L283*(1+IF($AD283="",p_margeRAM,$AD283)),0))</f>
        <v/>
      </c>
      <c r="V283" s="39" t="str">
        <f aca="false">IF(OR(NOT($G283="À migrer"),$P283=""),"",IFERROR(DATE(YEAR($P283),MONTH($P283),1),""))</f>
        <v/>
      </c>
      <c r="W283" s="39" t="str">
        <f aca="false">IF(OR(NOT(OR($G283="À migrer",$G283="À décommissionner")),$R283=""),"",IFERROR(DATE(YEAR($R283),MONTH($R283),1),""))</f>
        <v/>
      </c>
      <c r="X283" s="21" t="str">
        <f aca="false">IF(OR($V283="",$W283=""),"",MAX(0,(YEAR($W283)-YEAR($V283))*12+MONTH($W283)-MONTH($V283)))</f>
        <v/>
      </c>
      <c r="Y283" s="21" t="str">
        <f aca="false">IF($C283="","",COUNTIF(TblApplications[ID],$C283))</f>
        <v/>
      </c>
      <c r="Z283" s="39" t="str">
        <f aca="false">IF($C283="","",IFERROR(1/(1/_xlfn.MINIFS(TblApplications[Mois prov (calc)],TblApplications[ID],$C283)),""))</f>
        <v/>
      </c>
      <c r="AA283" s="39" t="str">
        <f aca="false">IF($C283="","",IFERROR(1/(1/_xlfn.MAXIFS(TblApplications[Mois lib (calc)],TblApplications[ID],$C283)),""))</f>
        <v/>
      </c>
      <c r="AB283" s="21" t="str">
        <f aca="false">IF($C283="","",IF(OR(OR($A283="",$B283="",$D283="",$E283="",$F283="",$G283=""),AND($G283="À migrer",OR($H283="",$I283="",$J283="",$K283="",$L283="",$N283="",$O283="",$P283="",$Q283="",$R283="")),AND($G283="Migré",OR($J283="",$K283="",$L283="")),AND($G283="À décommissionner",OR($I283="",$N283="",$O283="",$R283=""))),"Données manquantes (selon l’action)",IF(AND($G283&lt;&gt;"Migré",$G283&lt;&gt;"À migrer",$G283&lt;&gt;"À décommissionner",$G283&lt;&gt;"Décommissionné"),"Action invalide",IF(COUNTIF(TblDomaines[Domaine],$A283)=0,"Domaine inconnu (référentiel)",IF(COUNTIFS(TblTribes[Tribe],$B283,TblTribes[Domaine de la tribe],$A283)=0,"Tribe inconnue ou hors domaine",IF(AND($G283="À migrer",$H283&lt;&gt;"Oui",$H283&lt;&gt;"Non"),"Valeur Oui/Non invalide (Déjà incluse ROKS)",IF(AND($E283&lt;&gt;"PRD",$E283&lt;&gt;"NPRD"),"Environnement invalide",IF(COUNTIFS(TblApplications[ID],$C283,TblApplications[Environnement],$E283,TblApplications[Couloir],$F283)&gt;1,"Déploiement en doublon (ID + env + couloir)",IF(OR(AND($K283&lt;&gt;"",NOT(ISNUMBER($K283))),AND($L283&lt;&gt;"",NOT(ISNUMBER($L283))),AND($N283&lt;&gt;"",NOT(ISNUMBER($N283))),AND($O283&lt;&gt;"",NOT(ISNUMBER($O283)))),"Ressource non numérique",IF(MIN(N($K283),N($L283),N($N283),N($O283))&lt;0,"Ressource négative",IF(OR(AND($AC283&lt;&gt;"",OR(NOT(ISNUMBER($AC283)),$AC283&lt;0,$AC283&gt;1)),AND($AD283&lt;&gt;"",OR(NOT(ISNUMBER($AD283)),$AD283&lt;0,$AD283&gt;1))),"Marge spécifique invalide (0–100 %)",IF(OR(AND($P283&lt;&gt;"",NOT(ISNUMBER($P283))),AND($Q283&lt;&gt;"",NOT(ISNUMBER($Q283))),AND($R283&lt;&gt;"",NOT(ISNUMBER($R283)))),"Mois invalide",IF(AND(OR($G283="À migrer",$G283="À décommissionner"),COUNTIFS(TblClusters[Cluster],$I283,TblClusters[Plateforme],"IKS")=0),"Cluster IKS inconnu",IF(AND(OR($G283="À migrer",$G283="Migré"),COUNTIFS(TblClusters[Cluster],$J283,TblClusters[Plateforme],"ROKS")=0),"Cluster ROKS inconnu",IF(AND(OR($G283="À migrer",$G283="À décommissionner"),COUNTIFS(TblClusters[Cluster],$I283,TblClusters[Environnement],$E283)=0),"Environnement ≠ cluster IKS",IF(AND(OR($G283="À migrer",$G283="Migré"),COUNTIFS(TblClusters[Cluster],$J283,TblClusters[Environnement],$E283)=0),"Environnement ≠ cluster ROKS",IF(AND($G283="À migrer",OR($P283&gt;$Q283,$Q283&gt;$R283)),"Dates incohérentes (prov ≤ bascule ≤ libération)",IF(AND(OR($G283="À migrer",$G283="À décommissionner"),OR(N($N283)&gt;SUMIFS(TblClusters[CPU initial (vCPU)],TblClusters[Cluster],$I283),N($O283)&gt;SUMIFS(TblClusters[RAM initiale (Go)],TblClusters[Cluster],$I283))),"Libération &gt; capacité du cluster source",IF(OR(AND($V283&lt;&gt;"",$V283&lt;p_debut),AND($W283&lt;&gt;"",$W283&gt;p_fin)),"Hors horizon (info)",IF(AND($G283="À migrer",$E283="PRD",COUNTIFS(TblApplications[ID],$C283,TblApplications[Environnement],"NPRD",TblApplications[Action],"À migrer")&gt;0,$V283&lt;_xlfn.MINIFS(TblApplications[Mois prov (calc)],TblApplications[ID],$C283,TblApplications[Environnement],"NPRD")),"PRD avant NPRD (info)","OK"))))))))))))))))))))</f>
        <v/>
      </c>
      <c r="AC283" s="76"/>
      <c r="AD283" s="76"/>
      <c r="AE283" s="22" t="str">
        <f aca="false">IF(OR($C283="",NOT(OR($G283="À migrer",$G283="À décommissionner")),NOT(ISNUMBER($N283)),NOT(ISNUMBER($O283)),$W283=""),"",($N283+p_poidsram*$O283)*SUMIFS(TblCalculs[Coût par unité],TblCalculs[Cluster],$I283,TblCalculs[Mois],"&lt;"&amp;$W283))</f>
        <v/>
      </c>
      <c r="AF283" s="22" t="str">
        <f aca="false">IF($C283="","",IF(AND($G283="À migrer",$H283="Non",$T283&lt;&gt;"",$V283&lt;&gt;""),($T283+p_poidsram*$U283)*SUMIFS(TblCalculs[Coût par unité],TblCalculs[Cluster],$J283,TblCalculs[Mois],"&gt;="&amp;$V283),IF(AND($G283="Migré",$T283&lt;&gt;""),($T283+p_poidsram*$U283)*SUMIFS(TblCalculs[Coût par unité],TblCalculs[Cluster],$J283),"")))</f>
        <v/>
      </c>
      <c r="AG283" s="22" t="str">
        <f aca="false">IF($C283="","",N($AE283)+N($AF283))</f>
        <v/>
      </c>
      <c r="AH283" s="21" t="str">
        <f aca="false">IF(OR($C283="",$G283="Décommissionné",COUNTIFS($E283,av_envc,$A283,av_domc,$B283,av_tric)=0),"",COUNTIFS($C$6:$C283,"&lt;&gt;",$G$6:$G283,"&lt;&gt;Décommissionné",$E$6:$E283,av_envc,$A$6:$A283,av_domc,$B$6:$B283,av_tric))</f>
        <v/>
      </c>
      <c r="AI283" s="21" t="str">
        <f aca="false">IF($C283="","",IF(AND(OR($G283="À migrer",$G283="À décommissionner"),$W283&lt;&gt;"",$W283&gt;ex_mois),1,0))</f>
        <v/>
      </c>
      <c r="AJ283" s="21" t="str">
        <f aca="false">IF(OR($C283="",$AI283&lt;&gt;1,COUNTIFS($E283,ex_envc,$A283,ex_domc,$B283,ex_tric)=0),"",COUNTIFS($AI$6:$AI283,1,$E$6:$E283,ex_envc,$A$6:$A283,ex_domc,$B$6:$B283,ex_tric))</f>
        <v/>
      </c>
    </row>
    <row r="284" customFormat="false" ht="15" hidden="false" customHeight="false" outlineLevel="0" collapsed="false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5"/>
      <c r="Q284" s="75"/>
      <c r="R284" s="75"/>
      <c r="S284" s="74"/>
      <c r="T284" s="21" t="str">
        <f aca="false">IF(OR($C284="",NOT(OR($G284="À migrer",$G284="Migré")),NOT(ISNUMBER($K284))),"",ROUNDUP($K284*(1+IF($AC284="",p_margeCPU,$AC284)),0))</f>
        <v/>
      </c>
      <c r="U284" s="21" t="str">
        <f aca="false">IF(OR($C284="",NOT(OR($G284="À migrer",$G284="Migré")),NOT(ISNUMBER($L284))),"",ROUNDUP($L284*(1+IF($AD284="",p_margeRAM,$AD284)),0))</f>
        <v/>
      </c>
      <c r="V284" s="39" t="str">
        <f aca="false">IF(OR(NOT($G284="À migrer"),$P284=""),"",IFERROR(DATE(YEAR($P284),MONTH($P284),1),""))</f>
        <v/>
      </c>
      <c r="W284" s="39" t="str">
        <f aca="false">IF(OR(NOT(OR($G284="À migrer",$G284="À décommissionner")),$R284=""),"",IFERROR(DATE(YEAR($R284),MONTH($R284),1),""))</f>
        <v/>
      </c>
      <c r="X284" s="21" t="str">
        <f aca="false">IF(OR($V284="",$W284=""),"",MAX(0,(YEAR($W284)-YEAR($V284))*12+MONTH($W284)-MONTH($V284)))</f>
        <v/>
      </c>
      <c r="Y284" s="21" t="str">
        <f aca="false">IF($C284="","",COUNTIF(TblApplications[ID],$C284))</f>
        <v/>
      </c>
      <c r="Z284" s="39" t="str">
        <f aca="false">IF($C284="","",IFERROR(1/(1/_xlfn.MINIFS(TblApplications[Mois prov (calc)],TblApplications[ID],$C284)),""))</f>
        <v/>
      </c>
      <c r="AA284" s="39" t="str">
        <f aca="false">IF($C284="","",IFERROR(1/(1/_xlfn.MAXIFS(TblApplications[Mois lib (calc)],TblApplications[ID],$C284)),""))</f>
        <v/>
      </c>
      <c r="AB284" s="21" t="str">
        <f aca="false">IF($C284="","",IF(OR(OR($A284="",$B284="",$D284="",$E284="",$F284="",$G284=""),AND($G284="À migrer",OR($H284="",$I284="",$J284="",$K284="",$L284="",$N284="",$O284="",$P284="",$Q284="",$R284="")),AND($G284="Migré",OR($J284="",$K284="",$L284="")),AND($G284="À décommissionner",OR($I284="",$N284="",$O284="",$R284=""))),"Données manquantes (selon l’action)",IF(AND($G284&lt;&gt;"Migré",$G284&lt;&gt;"À migrer",$G284&lt;&gt;"À décommissionner",$G284&lt;&gt;"Décommissionné"),"Action invalide",IF(COUNTIF(TblDomaines[Domaine],$A284)=0,"Domaine inconnu (référentiel)",IF(COUNTIFS(TblTribes[Tribe],$B284,TblTribes[Domaine de la tribe],$A284)=0,"Tribe inconnue ou hors domaine",IF(AND($G284="À migrer",$H284&lt;&gt;"Oui",$H284&lt;&gt;"Non"),"Valeur Oui/Non invalide (Déjà incluse ROKS)",IF(AND($E284&lt;&gt;"PRD",$E284&lt;&gt;"NPRD"),"Environnement invalide",IF(COUNTIFS(TblApplications[ID],$C284,TblApplications[Environnement],$E284,TblApplications[Couloir],$F284)&gt;1,"Déploiement en doublon (ID + env + couloir)",IF(OR(AND($K284&lt;&gt;"",NOT(ISNUMBER($K284))),AND($L284&lt;&gt;"",NOT(ISNUMBER($L284))),AND($N284&lt;&gt;"",NOT(ISNUMBER($N284))),AND($O284&lt;&gt;"",NOT(ISNUMBER($O284)))),"Ressource non numérique",IF(MIN(N($K284),N($L284),N($N284),N($O284))&lt;0,"Ressource négative",IF(OR(AND($AC284&lt;&gt;"",OR(NOT(ISNUMBER($AC284)),$AC284&lt;0,$AC284&gt;1)),AND($AD284&lt;&gt;"",OR(NOT(ISNUMBER($AD284)),$AD284&lt;0,$AD284&gt;1))),"Marge spécifique invalide (0–100 %)",IF(OR(AND($P284&lt;&gt;"",NOT(ISNUMBER($P284))),AND($Q284&lt;&gt;"",NOT(ISNUMBER($Q284))),AND($R284&lt;&gt;"",NOT(ISNUMBER($R284)))),"Mois invalide",IF(AND(OR($G284="À migrer",$G284="À décommissionner"),COUNTIFS(TblClusters[Cluster],$I284,TblClusters[Plateforme],"IKS")=0),"Cluster IKS inconnu",IF(AND(OR($G284="À migrer",$G284="Migré"),COUNTIFS(TblClusters[Cluster],$J284,TblClusters[Plateforme],"ROKS")=0),"Cluster ROKS inconnu",IF(AND(OR($G284="À migrer",$G284="À décommissionner"),COUNTIFS(TblClusters[Cluster],$I284,TblClusters[Environnement],$E284)=0),"Environnement ≠ cluster IKS",IF(AND(OR($G284="À migrer",$G284="Migré"),COUNTIFS(TblClusters[Cluster],$J284,TblClusters[Environnement],$E284)=0),"Environnement ≠ cluster ROKS",IF(AND($G284="À migrer",OR($P284&gt;$Q284,$Q284&gt;$R284)),"Dates incohérentes (prov ≤ bascule ≤ libération)",IF(AND(OR($G284="À migrer",$G284="À décommissionner"),OR(N($N284)&gt;SUMIFS(TblClusters[CPU initial (vCPU)],TblClusters[Cluster],$I284),N($O284)&gt;SUMIFS(TblClusters[RAM initiale (Go)],TblClusters[Cluster],$I284))),"Libération &gt; capacité du cluster source",IF(OR(AND($V284&lt;&gt;"",$V284&lt;p_debut),AND($W284&lt;&gt;"",$W284&gt;p_fin)),"Hors horizon (info)",IF(AND($G284="À migrer",$E284="PRD",COUNTIFS(TblApplications[ID],$C284,TblApplications[Environnement],"NPRD",TblApplications[Action],"À migrer")&gt;0,$V284&lt;_xlfn.MINIFS(TblApplications[Mois prov (calc)],TblApplications[ID],$C284,TblApplications[Environnement],"NPRD")),"PRD avant NPRD (info)","OK"))))))))))))))))))))</f>
        <v/>
      </c>
      <c r="AC284" s="76"/>
      <c r="AD284" s="76"/>
      <c r="AE284" s="22" t="str">
        <f aca="false">IF(OR($C284="",NOT(OR($G284="À migrer",$G284="À décommissionner")),NOT(ISNUMBER($N284)),NOT(ISNUMBER($O284)),$W284=""),"",($N284+p_poidsram*$O284)*SUMIFS(TblCalculs[Coût par unité],TblCalculs[Cluster],$I284,TblCalculs[Mois],"&lt;"&amp;$W284))</f>
        <v/>
      </c>
      <c r="AF284" s="22" t="str">
        <f aca="false">IF($C284="","",IF(AND($G284="À migrer",$H284="Non",$T284&lt;&gt;"",$V284&lt;&gt;""),($T284+p_poidsram*$U284)*SUMIFS(TblCalculs[Coût par unité],TblCalculs[Cluster],$J284,TblCalculs[Mois],"&gt;="&amp;$V284),IF(AND($G284="Migré",$T284&lt;&gt;""),($T284+p_poidsram*$U284)*SUMIFS(TblCalculs[Coût par unité],TblCalculs[Cluster],$J284),"")))</f>
        <v/>
      </c>
      <c r="AG284" s="22" t="str">
        <f aca="false">IF($C284="","",N($AE284)+N($AF284))</f>
        <v/>
      </c>
      <c r="AH284" s="21" t="str">
        <f aca="false">IF(OR($C284="",$G284="Décommissionné",COUNTIFS($E284,av_envc,$A284,av_domc,$B284,av_tric)=0),"",COUNTIFS($C$6:$C284,"&lt;&gt;",$G$6:$G284,"&lt;&gt;Décommissionné",$E$6:$E284,av_envc,$A$6:$A284,av_domc,$B$6:$B284,av_tric))</f>
        <v/>
      </c>
      <c r="AI284" s="21" t="str">
        <f aca="false">IF($C284="","",IF(AND(OR($G284="À migrer",$G284="À décommissionner"),$W284&lt;&gt;"",$W284&gt;ex_mois),1,0))</f>
        <v/>
      </c>
      <c r="AJ284" s="21" t="str">
        <f aca="false">IF(OR($C284="",$AI284&lt;&gt;1,COUNTIFS($E284,ex_envc,$A284,ex_domc,$B284,ex_tric)=0),"",COUNTIFS($AI$6:$AI284,1,$E$6:$E284,ex_envc,$A$6:$A284,ex_domc,$B$6:$B284,ex_tric))</f>
        <v/>
      </c>
    </row>
    <row r="285" customFormat="false" ht="15" hidden="false" customHeight="false" outlineLevel="0" collapsed="false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5"/>
      <c r="Q285" s="75"/>
      <c r="R285" s="75"/>
      <c r="S285" s="74"/>
      <c r="T285" s="21" t="str">
        <f aca="false">IF(OR($C285="",NOT(OR($G285="À migrer",$G285="Migré")),NOT(ISNUMBER($K285))),"",ROUNDUP($K285*(1+IF($AC285="",p_margeCPU,$AC285)),0))</f>
        <v/>
      </c>
      <c r="U285" s="21" t="str">
        <f aca="false">IF(OR($C285="",NOT(OR($G285="À migrer",$G285="Migré")),NOT(ISNUMBER($L285))),"",ROUNDUP($L285*(1+IF($AD285="",p_margeRAM,$AD285)),0))</f>
        <v/>
      </c>
      <c r="V285" s="39" t="str">
        <f aca="false">IF(OR(NOT($G285="À migrer"),$P285=""),"",IFERROR(DATE(YEAR($P285),MONTH($P285),1),""))</f>
        <v/>
      </c>
      <c r="W285" s="39" t="str">
        <f aca="false">IF(OR(NOT(OR($G285="À migrer",$G285="À décommissionner")),$R285=""),"",IFERROR(DATE(YEAR($R285),MONTH($R285),1),""))</f>
        <v/>
      </c>
      <c r="X285" s="21" t="str">
        <f aca="false">IF(OR($V285="",$W285=""),"",MAX(0,(YEAR($W285)-YEAR($V285))*12+MONTH($W285)-MONTH($V285)))</f>
        <v/>
      </c>
      <c r="Y285" s="21" t="str">
        <f aca="false">IF($C285="","",COUNTIF(TblApplications[ID],$C285))</f>
        <v/>
      </c>
      <c r="Z285" s="39" t="str">
        <f aca="false">IF($C285="","",IFERROR(1/(1/_xlfn.MINIFS(TblApplications[Mois prov (calc)],TblApplications[ID],$C285)),""))</f>
        <v/>
      </c>
      <c r="AA285" s="39" t="str">
        <f aca="false">IF($C285="","",IFERROR(1/(1/_xlfn.MAXIFS(TblApplications[Mois lib (calc)],TblApplications[ID],$C285)),""))</f>
        <v/>
      </c>
      <c r="AB285" s="21" t="str">
        <f aca="false">IF($C285="","",IF(OR(OR($A285="",$B285="",$D285="",$E285="",$F285="",$G285=""),AND($G285="À migrer",OR($H285="",$I285="",$J285="",$K285="",$L285="",$N285="",$O285="",$P285="",$Q285="",$R285="")),AND($G285="Migré",OR($J285="",$K285="",$L285="")),AND($G285="À décommissionner",OR($I285="",$N285="",$O285="",$R285=""))),"Données manquantes (selon l’action)",IF(AND($G285&lt;&gt;"Migré",$G285&lt;&gt;"À migrer",$G285&lt;&gt;"À décommissionner",$G285&lt;&gt;"Décommissionné"),"Action invalide",IF(COUNTIF(TblDomaines[Domaine],$A285)=0,"Domaine inconnu (référentiel)",IF(COUNTIFS(TblTribes[Tribe],$B285,TblTribes[Domaine de la tribe],$A285)=0,"Tribe inconnue ou hors domaine",IF(AND($G285="À migrer",$H285&lt;&gt;"Oui",$H285&lt;&gt;"Non"),"Valeur Oui/Non invalide (Déjà incluse ROKS)",IF(AND($E285&lt;&gt;"PRD",$E285&lt;&gt;"NPRD"),"Environnement invalide",IF(COUNTIFS(TblApplications[ID],$C285,TblApplications[Environnement],$E285,TblApplications[Couloir],$F285)&gt;1,"Déploiement en doublon (ID + env + couloir)",IF(OR(AND($K285&lt;&gt;"",NOT(ISNUMBER($K285))),AND($L285&lt;&gt;"",NOT(ISNUMBER($L285))),AND($N285&lt;&gt;"",NOT(ISNUMBER($N285))),AND($O285&lt;&gt;"",NOT(ISNUMBER($O285)))),"Ressource non numérique",IF(MIN(N($K285),N($L285),N($N285),N($O285))&lt;0,"Ressource négative",IF(OR(AND($AC285&lt;&gt;"",OR(NOT(ISNUMBER($AC285)),$AC285&lt;0,$AC285&gt;1)),AND($AD285&lt;&gt;"",OR(NOT(ISNUMBER($AD285)),$AD285&lt;0,$AD285&gt;1))),"Marge spécifique invalide (0–100 %)",IF(OR(AND($P285&lt;&gt;"",NOT(ISNUMBER($P285))),AND($Q285&lt;&gt;"",NOT(ISNUMBER($Q285))),AND($R285&lt;&gt;"",NOT(ISNUMBER($R285)))),"Mois invalide",IF(AND(OR($G285="À migrer",$G285="À décommissionner"),COUNTIFS(TblClusters[Cluster],$I285,TblClusters[Plateforme],"IKS")=0),"Cluster IKS inconnu",IF(AND(OR($G285="À migrer",$G285="Migré"),COUNTIFS(TblClusters[Cluster],$J285,TblClusters[Plateforme],"ROKS")=0),"Cluster ROKS inconnu",IF(AND(OR($G285="À migrer",$G285="À décommissionner"),COUNTIFS(TblClusters[Cluster],$I285,TblClusters[Environnement],$E285)=0),"Environnement ≠ cluster IKS",IF(AND(OR($G285="À migrer",$G285="Migré"),COUNTIFS(TblClusters[Cluster],$J285,TblClusters[Environnement],$E285)=0),"Environnement ≠ cluster ROKS",IF(AND($G285="À migrer",OR($P285&gt;$Q285,$Q285&gt;$R285)),"Dates incohérentes (prov ≤ bascule ≤ libération)",IF(AND(OR($G285="À migrer",$G285="À décommissionner"),OR(N($N285)&gt;SUMIFS(TblClusters[CPU initial (vCPU)],TblClusters[Cluster],$I285),N($O285)&gt;SUMIFS(TblClusters[RAM initiale (Go)],TblClusters[Cluster],$I285))),"Libération &gt; capacité du cluster source",IF(OR(AND($V285&lt;&gt;"",$V285&lt;p_debut),AND($W285&lt;&gt;"",$W285&gt;p_fin)),"Hors horizon (info)",IF(AND($G285="À migrer",$E285="PRD",COUNTIFS(TblApplications[ID],$C285,TblApplications[Environnement],"NPRD",TblApplications[Action],"À migrer")&gt;0,$V285&lt;_xlfn.MINIFS(TblApplications[Mois prov (calc)],TblApplications[ID],$C285,TblApplications[Environnement],"NPRD")),"PRD avant NPRD (info)","OK"))))))))))))))))))))</f>
        <v/>
      </c>
      <c r="AC285" s="76"/>
      <c r="AD285" s="76"/>
      <c r="AE285" s="22" t="str">
        <f aca="false">IF(OR($C285="",NOT(OR($G285="À migrer",$G285="À décommissionner")),NOT(ISNUMBER($N285)),NOT(ISNUMBER($O285)),$W285=""),"",($N285+p_poidsram*$O285)*SUMIFS(TblCalculs[Coût par unité],TblCalculs[Cluster],$I285,TblCalculs[Mois],"&lt;"&amp;$W285))</f>
        <v/>
      </c>
      <c r="AF285" s="22" t="str">
        <f aca="false">IF($C285="","",IF(AND($G285="À migrer",$H285="Non",$T285&lt;&gt;"",$V285&lt;&gt;""),($T285+p_poidsram*$U285)*SUMIFS(TblCalculs[Coût par unité],TblCalculs[Cluster],$J285,TblCalculs[Mois],"&gt;="&amp;$V285),IF(AND($G285="Migré",$T285&lt;&gt;""),($T285+p_poidsram*$U285)*SUMIFS(TblCalculs[Coût par unité],TblCalculs[Cluster],$J285),"")))</f>
        <v/>
      </c>
      <c r="AG285" s="22" t="str">
        <f aca="false">IF($C285="","",N($AE285)+N($AF285))</f>
        <v/>
      </c>
      <c r="AH285" s="21" t="str">
        <f aca="false">IF(OR($C285="",$G285="Décommissionné",COUNTIFS($E285,av_envc,$A285,av_domc,$B285,av_tric)=0),"",COUNTIFS($C$6:$C285,"&lt;&gt;",$G$6:$G285,"&lt;&gt;Décommissionné",$E$6:$E285,av_envc,$A$6:$A285,av_domc,$B$6:$B285,av_tric))</f>
        <v/>
      </c>
      <c r="AI285" s="21" t="str">
        <f aca="false">IF($C285="","",IF(AND(OR($G285="À migrer",$G285="À décommissionner"),$W285&lt;&gt;"",$W285&gt;ex_mois),1,0))</f>
        <v/>
      </c>
      <c r="AJ285" s="21" t="str">
        <f aca="false">IF(OR($C285="",$AI285&lt;&gt;1,COUNTIFS($E285,ex_envc,$A285,ex_domc,$B285,ex_tric)=0),"",COUNTIFS($AI$6:$AI285,1,$E$6:$E285,ex_envc,$A$6:$A285,ex_domc,$B$6:$B285,ex_tric))</f>
        <v/>
      </c>
    </row>
    <row r="286" customFormat="false" ht="15" hidden="false" customHeight="false" outlineLevel="0" collapsed="false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5"/>
      <c r="Q286" s="75"/>
      <c r="R286" s="75"/>
      <c r="S286" s="74"/>
      <c r="T286" s="21" t="str">
        <f aca="false">IF(OR($C286="",NOT(OR($G286="À migrer",$G286="Migré")),NOT(ISNUMBER($K286))),"",ROUNDUP($K286*(1+IF($AC286="",p_margeCPU,$AC286)),0))</f>
        <v/>
      </c>
      <c r="U286" s="21" t="str">
        <f aca="false">IF(OR($C286="",NOT(OR($G286="À migrer",$G286="Migré")),NOT(ISNUMBER($L286))),"",ROUNDUP($L286*(1+IF($AD286="",p_margeRAM,$AD286)),0))</f>
        <v/>
      </c>
      <c r="V286" s="39" t="str">
        <f aca="false">IF(OR(NOT($G286="À migrer"),$P286=""),"",IFERROR(DATE(YEAR($P286),MONTH($P286),1),""))</f>
        <v/>
      </c>
      <c r="W286" s="39" t="str">
        <f aca="false">IF(OR(NOT(OR($G286="À migrer",$G286="À décommissionner")),$R286=""),"",IFERROR(DATE(YEAR($R286),MONTH($R286),1),""))</f>
        <v/>
      </c>
      <c r="X286" s="21" t="str">
        <f aca="false">IF(OR($V286="",$W286=""),"",MAX(0,(YEAR($W286)-YEAR($V286))*12+MONTH($W286)-MONTH($V286)))</f>
        <v/>
      </c>
      <c r="Y286" s="21" t="str">
        <f aca="false">IF($C286="","",COUNTIF(TblApplications[ID],$C286))</f>
        <v/>
      </c>
      <c r="Z286" s="39" t="str">
        <f aca="false">IF($C286="","",IFERROR(1/(1/_xlfn.MINIFS(TblApplications[Mois prov (calc)],TblApplications[ID],$C286)),""))</f>
        <v/>
      </c>
      <c r="AA286" s="39" t="str">
        <f aca="false">IF($C286="","",IFERROR(1/(1/_xlfn.MAXIFS(TblApplications[Mois lib (calc)],TblApplications[ID],$C286)),""))</f>
        <v/>
      </c>
      <c r="AB286" s="21" t="str">
        <f aca="false">IF($C286="","",IF(OR(OR($A286="",$B286="",$D286="",$E286="",$F286="",$G286=""),AND($G286="À migrer",OR($H286="",$I286="",$J286="",$K286="",$L286="",$N286="",$O286="",$P286="",$Q286="",$R286="")),AND($G286="Migré",OR($J286="",$K286="",$L286="")),AND($G286="À décommissionner",OR($I286="",$N286="",$O286="",$R286=""))),"Données manquantes (selon l’action)",IF(AND($G286&lt;&gt;"Migré",$G286&lt;&gt;"À migrer",$G286&lt;&gt;"À décommissionner",$G286&lt;&gt;"Décommissionné"),"Action invalide",IF(COUNTIF(TblDomaines[Domaine],$A286)=0,"Domaine inconnu (référentiel)",IF(COUNTIFS(TblTribes[Tribe],$B286,TblTribes[Domaine de la tribe],$A286)=0,"Tribe inconnue ou hors domaine",IF(AND($G286="À migrer",$H286&lt;&gt;"Oui",$H286&lt;&gt;"Non"),"Valeur Oui/Non invalide (Déjà incluse ROKS)",IF(AND($E286&lt;&gt;"PRD",$E286&lt;&gt;"NPRD"),"Environnement invalide",IF(COUNTIFS(TblApplications[ID],$C286,TblApplications[Environnement],$E286,TblApplications[Couloir],$F286)&gt;1,"Déploiement en doublon (ID + env + couloir)",IF(OR(AND($K286&lt;&gt;"",NOT(ISNUMBER($K286))),AND($L286&lt;&gt;"",NOT(ISNUMBER($L286))),AND($N286&lt;&gt;"",NOT(ISNUMBER($N286))),AND($O286&lt;&gt;"",NOT(ISNUMBER($O286)))),"Ressource non numérique",IF(MIN(N($K286),N($L286),N($N286),N($O286))&lt;0,"Ressource négative",IF(OR(AND($AC286&lt;&gt;"",OR(NOT(ISNUMBER($AC286)),$AC286&lt;0,$AC286&gt;1)),AND($AD286&lt;&gt;"",OR(NOT(ISNUMBER($AD286)),$AD286&lt;0,$AD286&gt;1))),"Marge spécifique invalide (0–100 %)",IF(OR(AND($P286&lt;&gt;"",NOT(ISNUMBER($P286))),AND($Q286&lt;&gt;"",NOT(ISNUMBER($Q286))),AND($R286&lt;&gt;"",NOT(ISNUMBER($R286)))),"Mois invalide",IF(AND(OR($G286="À migrer",$G286="À décommissionner"),COUNTIFS(TblClusters[Cluster],$I286,TblClusters[Plateforme],"IKS")=0),"Cluster IKS inconnu",IF(AND(OR($G286="À migrer",$G286="Migré"),COUNTIFS(TblClusters[Cluster],$J286,TblClusters[Plateforme],"ROKS")=0),"Cluster ROKS inconnu",IF(AND(OR($G286="À migrer",$G286="À décommissionner"),COUNTIFS(TblClusters[Cluster],$I286,TblClusters[Environnement],$E286)=0),"Environnement ≠ cluster IKS",IF(AND(OR($G286="À migrer",$G286="Migré"),COUNTIFS(TblClusters[Cluster],$J286,TblClusters[Environnement],$E286)=0),"Environnement ≠ cluster ROKS",IF(AND($G286="À migrer",OR($P286&gt;$Q286,$Q286&gt;$R286)),"Dates incohérentes (prov ≤ bascule ≤ libération)",IF(AND(OR($G286="À migrer",$G286="À décommissionner"),OR(N($N286)&gt;SUMIFS(TblClusters[CPU initial (vCPU)],TblClusters[Cluster],$I286),N($O286)&gt;SUMIFS(TblClusters[RAM initiale (Go)],TblClusters[Cluster],$I286))),"Libération &gt; capacité du cluster source",IF(OR(AND($V286&lt;&gt;"",$V286&lt;p_debut),AND($W286&lt;&gt;"",$W286&gt;p_fin)),"Hors horizon (info)",IF(AND($G286="À migrer",$E286="PRD",COUNTIFS(TblApplications[ID],$C286,TblApplications[Environnement],"NPRD",TblApplications[Action],"À migrer")&gt;0,$V286&lt;_xlfn.MINIFS(TblApplications[Mois prov (calc)],TblApplications[ID],$C286,TblApplications[Environnement],"NPRD")),"PRD avant NPRD (info)","OK"))))))))))))))))))))</f>
        <v/>
      </c>
      <c r="AC286" s="76"/>
      <c r="AD286" s="76"/>
      <c r="AE286" s="22" t="str">
        <f aca="false">IF(OR($C286="",NOT(OR($G286="À migrer",$G286="À décommissionner")),NOT(ISNUMBER($N286)),NOT(ISNUMBER($O286)),$W286=""),"",($N286+p_poidsram*$O286)*SUMIFS(TblCalculs[Coût par unité],TblCalculs[Cluster],$I286,TblCalculs[Mois],"&lt;"&amp;$W286))</f>
        <v/>
      </c>
      <c r="AF286" s="22" t="str">
        <f aca="false">IF($C286="","",IF(AND($G286="À migrer",$H286="Non",$T286&lt;&gt;"",$V286&lt;&gt;""),($T286+p_poidsram*$U286)*SUMIFS(TblCalculs[Coût par unité],TblCalculs[Cluster],$J286,TblCalculs[Mois],"&gt;="&amp;$V286),IF(AND($G286="Migré",$T286&lt;&gt;""),($T286+p_poidsram*$U286)*SUMIFS(TblCalculs[Coût par unité],TblCalculs[Cluster],$J286),"")))</f>
        <v/>
      </c>
      <c r="AG286" s="22" t="str">
        <f aca="false">IF($C286="","",N($AE286)+N($AF286))</f>
        <v/>
      </c>
      <c r="AH286" s="21" t="str">
        <f aca="false">IF(OR($C286="",$G286="Décommissionné",COUNTIFS($E286,av_envc,$A286,av_domc,$B286,av_tric)=0),"",COUNTIFS($C$6:$C286,"&lt;&gt;",$G$6:$G286,"&lt;&gt;Décommissionné",$E$6:$E286,av_envc,$A$6:$A286,av_domc,$B$6:$B286,av_tric))</f>
        <v/>
      </c>
      <c r="AI286" s="21" t="str">
        <f aca="false">IF($C286="","",IF(AND(OR($G286="À migrer",$G286="À décommissionner"),$W286&lt;&gt;"",$W286&gt;ex_mois),1,0))</f>
        <v/>
      </c>
      <c r="AJ286" s="21" t="str">
        <f aca="false">IF(OR($C286="",$AI286&lt;&gt;1,COUNTIFS($E286,ex_envc,$A286,ex_domc,$B286,ex_tric)=0),"",COUNTIFS($AI$6:$AI286,1,$E$6:$E286,ex_envc,$A$6:$A286,ex_domc,$B$6:$B286,ex_tric))</f>
        <v/>
      </c>
    </row>
    <row r="287" customFormat="false" ht="15" hidden="false" customHeight="false" outlineLevel="0" collapsed="false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5"/>
      <c r="Q287" s="75"/>
      <c r="R287" s="75"/>
      <c r="S287" s="74"/>
      <c r="T287" s="21" t="str">
        <f aca="false">IF(OR($C287="",NOT(OR($G287="À migrer",$G287="Migré")),NOT(ISNUMBER($K287))),"",ROUNDUP($K287*(1+IF($AC287="",p_margeCPU,$AC287)),0))</f>
        <v/>
      </c>
      <c r="U287" s="21" t="str">
        <f aca="false">IF(OR($C287="",NOT(OR($G287="À migrer",$G287="Migré")),NOT(ISNUMBER($L287))),"",ROUNDUP($L287*(1+IF($AD287="",p_margeRAM,$AD287)),0))</f>
        <v/>
      </c>
      <c r="V287" s="39" t="str">
        <f aca="false">IF(OR(NOT($G287="À migrer"),$P287=""),"",IFERROR(DATE(YEAR($P287),MONTH($P287),1),""))</f>
        <v/>
      </c>
      <c r="W287" s="39" t="str">
        <f aca="false">IF(OR(NOT(OR($G287="À migrer",$G287="À décommissionner")),$R287=""),"",IFERROR(DATE(YEAR($R287),MONTH($R287),1),""))</f>
        <v/>
      </c>
      <c r="X287" s="21" t="str">
        <f aca="false">IF(OR($V287="",$W287=""),"",MAX(0,(YEAR($W287)-YEAR($V287))*12+MONTH($W287)-MONTH($V287)))</f>
        <v/>
      </c>
      <c r="Y287" s="21" t="str">
        <f aca="false">IF($C287="","",COUNTIF(TblApplications[ID],$C287))</f>
        <v/>
      </c>
      <c r="Z287" s="39" t="str">
        <f aca="false">IF($C287="","",IFERROR(1/(1/_xlfn.MINIFS(TblApplications[Mois prov (calc)],TblApplications[ID],$C287)),""))</f>
        <v/>
      </c>
      <c r="AA287" s="39" t="str">
        <f aca="false">IF($C287="","",IFERROR(1/(1/_xlfn.MAXIFS(TblApplications[Mois lib (calc)],TblApplications[ID],$C287)),""))</f>
        <v/>
      </c>
      <c r="AB287" s="21" t="str">
        <f aca="false">IF($C287="","",IF(OR(OR($A287="",$B287="",$D287="",$E287="",$F287="",$G287=""),AND($G287="À migrer",OR($H287="",$I287="",$J287="",$K287="",$L287="",$N287="",$O287="",$P287="",$Q287="",$R287="")),AND($G287="Migré",OR($J287="",$K287="",$L287="")),AND($G287="À décommissionner",OR($I287="",$N287="",$O287="",$R287=""))),"Données manquantes (selon l’action)",IF(AND($G287&lt;&gt;"Migré",$G287&lt;&gt;"À migrer",$G287&lt;&gt;"À décommissionner",$G287&lt;&gt;"Décommissionné"),"Action invalide",IF(COUNTIF(TblDomaines[Domaine],$A287)=0,"Domaine inconnu (référentiel)",IF(COUNTIFS(TblTribes[Tribe],$B287,TblTribes[Domaine de la tribe],$A287)=0,"Tribe inconnue ou hors domaine",IF(AND($G287="À migrer",$H287&lt;&gt;"Oui",$H287&lt;&gt;"Non"),"Valeur Oui/Non invalide (Déjà incluse ROKS)",IF(AND($E287&lt;&gt;"PRD",$E287&lt;&gt;"NPRD"),"Environnement invalide",IF(COUNTIFS(TblApplications[ID],$C287,TblApplications[Environnement],$E287,TblApplications[Couloir],$F287)&gt;1,"Déploiement en doublon (ID + env + couloir)",IF(OR(AND($K287&lt;&gt;"",NOT(ISNUMBER($K287))),AND($L287&lt;&gt;"",NOT(ISNUMBER($L287))),AND($N287&lt;&gt;"",NOT(ISNUMBER($N287))),AND($O287&lt;&gt;"",NOT(ISNUMBER($O287)))),"Ressource non numérique",IF(MIN(N($K287),N($L287),N($N287),N($O287))&lt;0,"Ressource négative",IF(OR(AND($AC287&lt;&gt;"",OR(NOT(ISNUMBER($AC287)),$AC287&lt;0,$AC287&gt;1)),AND($AD287&lt;&gt;"",OR(NOT(ISNUMBER($AD287)),$AD287&lt;0,$AD287&gt;1))),"Marge spécifique invalide (0–100 %)",IF(OR(AND($P287&lt;&gt;"",NOT(ISNUMBER($P287))),AND($Q287&lt;&gt;"",NOT(ISNUMBER($Q287))),AND($R287&lt;&gt;"",NOT(ISNUMBER($R287)))),"Mois invalide",IF(AND(OR($G287="À migrer",$G287="À décommissionner"),COUNTIFS(TblClusters[Cluster],$I287,TblClusters[Plateforme],"IKS")=0),"Cluster IKS inconnu",IF(AND(OR($G287="À migrer",$G287="Migré"),COUNTIFS(TblClusters[Cluster],$J287,TblClusters[Plateforme],"ROKS")=0),"Cluster ROKS inconnu",IF(AND(OR($G287="À migrer",$G287="À décommissionner"),COUNTIFS(TblClusters[Cluster],$I287,TblClusters[Environnement],$E287)=0),"Environnement ≠ cluster IKS",IF(AND(OR($G287="À migrer",$G287="Migré"),COUNTIFS(TblClusters[Cluster],$J287,TblClusters[Environnement],$E287)=0),"Environnement ≠ cluster ROKS",IF(AND($G287="À migrer",OR($P287&gt;$Q287,$Q287&gt;$R287)),"Dates incohérentes (prov ≤ bascule ≤ libération)",IF(AND(OR($G287="À migrer",$G287="À décommissionner"),OR(N($N287)&gt;SUMIFS(TblClusters[CPU initial (vCPU)],TblClusters[Cluster],$I287),N($O287)&gt;SUMIFS(TblClusters[RAM initiale (Go)],TblClusters[Cluster],$I287))),"Libération &gt; capacité du cluster source",IF(OR(AND($V287&lt;&gt;"",$V287&lt;p_debut),AND($W287&lt;&gt;"",$W287&gt;p_fin)),"Hors horizon (info)",IF(AND($G287="À migrer",$E287="PRD",COUNTIFS(TblApplications[ID],$C287,TblApplications[Environnement],"NPRD",TblApplications[Action],"À migrer")&gt;0,$V287&lt;_xlfn.MINIFS(TblApplications[Mois prov (calc)],TblApplications[ID],$C287,TblApplications[Environnement],"NPRD")),"PRD avant NPRD (info)","OK"))))))))))))))))))))</f>
        <v/>
      </c>
      <c r="AC287" s="76"/>
      <c r="AD287" s="76"/>
      <c r="AE287" s="22" t="str">
        <f aca="false">IF(OR($C287="",NOT(OR($G287="À migrer",$G287="À décommissionner")),NOT(ISNUMBER($N287)),NOT(ISNUMBER($O287)),$W287=""),"",($N287+p_poidsram*$O287)*SUMIFS(TblCalculs[Coût par unité],TblCalculs[Cluster],$I287,TblCalculs[Mois],"&lt;"&amp;$W287))</f>
        <v/>
      </c>
      <c r="AF287" s="22" t="str">
        <f aca="false">IF($C287="","",IF(AND($G287="À migrer",$H287="Non",$T287&lt;&gt;"",$V287&lt;&gt;""),($T287+p_poidsram*$U287)*SUMIFS(TblCalculs[Coût par unité],TblCalculs[Cluster],$J287,TblCalculs[Mois],"&gt;="&amp;$V287),IF(AND($G287="Migré",$T287&lt;&gt;""),($T287+p_poidsram*$U287)*SUMIFS(TblCalculs[Coût par unité],TblCalculs[Cluster],$J287),"")))</f>
        <v/>
      </c>
      <c r="AG287" s="22" t="str">
        <f aca="false">IF($C287="","",N($AE287)+N($AF287))</f>
        <v/>
      </c>
      <c r="AH287" s="21" t="str">
        <f aca="false">IF(OR($C287="",$G287="Décommissionné",COUNTIFS($E287,av_envc,$A287,av_domc,$B287,av_tric)=0),"",COUNTIFS($C$6:$C287,"&lt;&gt;",$G$6:$G287,"&lt;&gt;Décommissionné",$E$6:$E287,av_envc,$A$6:$A287,av_domc,$B$6:$B287,av_tric))</f>
        <v/>
      </c>
      <c r="AI287" s="21" t="str">
        <f aca="false">IF($C287="","",IF(AND(OR($G287="À migrer",$G287="À décommissionner"),$W287&lt;&gt;"",$W287&gt;ex_mois),1,0))</f>
        <v/>
      </c>
      <c r="AJ287" s="21" t="str">
        <f aca="false">IF(OR($C287="",$AI287&lt;&gt;1,COUNTIFS($E287,ex_envc,$A287,ex_domc,$B287,ex_tric)=0),"",COUNTIFS($AI$6:$AI287,1,$E$6:$E287,ex_envc,$A$6:$A287,ex_domc,$B$6:$B287,ex_tric))</f>
        <v/>
      </c>
    </row>
    <row r="288" customFormat="false" ht="15" hidden="false" customHeight="false" outlineLevel="0" collapsed="false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5"/>
      <c r="Q288" s="75"/>
      <c r="R288" s="75"/>
      <c r="S288" s="74"/>
      <c r="T288" s="21" t="str">
        <f aca="false">IF(OR($C288="",NOT(OR($G288="À migrer",$G288="Migré")),NOT(ISNUMBER($K288))),"",ROUNDUP($K288*(1+IF($AC288="",p_margeCPU,$AC288)),0))</f>
        <v/>
      </c>
      <c r="U288" s="21" t="str">
        <f aca="false">IF(OR($C288="",NOT(OR($G288="À migrer",$G288="Migré")),NOT(ISNUMBER($L288))),"",ROUNDUP($L288*(1+IF($AD288="",p_margeRAM,$AD288)),0))</f>
        <v/>
      </c>
      <c r="V288" s="39" t="str">
        <f aca="false">IF(OR(NOT($G288="À migrer"),$P288=""),"",IFERROR(DATE(YEAR($P288),MONTH($P288),1),""))</f>
        <v/>
      </c>
      <c r="W288" s="39" t="str">
        <f aca="false">IF(OR(NOT(OR($G288="À migrer",$G288="À décommissionner")),$R288=""),"",IFERROR(DATE(YEAR($R288),MONTH($R288),1),""))</f>
        <v/>
      </c>
      <c r="X288" s="21" t="str">
        <f aca="false">IF(OR($V288="",$W288=""),"",MAX(0,(YEAR($W288)-YEAR($V288))*12+MONTH($W288)-MONTH($V288)))</f>
        <v/>
      </c>
      <c r="Y288" s="21" t="str">
        <f aca="false">IF($C288="","",COUNTIF(TblApplications[ID],$C288))</f>
        <v/>
      </c>
      <c r="Z288" s="39" t="str">
        <f aca="false">IF($C288="","",IFERROR(1/(1/_xlfn.MINIFS(TblApplications[Mois prov (calc)],TblApplications[ID],$C288)),""))</f>
        <v/>
      </c>
      <c r="AA288" s="39" t="str">
        <f aca="false">IF($C288="","",IFERROR(1/(1/_xlfn.MAXIFS(TblApplications[Mois lib (calc)],TblApplications[ID],$C288)),""))</f>
        <v/>
      </c>
      <c r="AB288" s="21" t="str">
        <f aca="false">IF($C288="","",IF(OR(OR($A288="",$B288="",$D288="",$E288="",$F288="",$G288=""),AND($G288="À migrer",OR($H288="",$I288="",$J288="",$K288="",$L288="",$N288="",$O288="",$P288="",$Q288="",$R288="")),AND($G288="Migré",OR($J288="",$K288="",$L288="")),AND($G288="À décommissionner",OR($I288="",$N288="",$O288="",$R288=""))),"Données manquantes (selon l’action)",IF(AND($G288&lt;&gt;"Migré",$G288&lt;&gt;"À migrer",$G288&lt;&gt;"À décommissionner",$G288&lt;&gt;"Décommissionné"),"Action invalide",IF(COUNTIF(TblDomaines[Domaine],$A288)=0,"Domaine inconnu (référentiel)",IF(COUNTIFS(TblTribes[Tribe],$B288,TblTribes[Domaine de la tribe],$A288)=0,"Tribe inconnue ou hors domaine",IF(AND($G288="À migrer",$H288&lt;&gt;"Oui",$H288&lt;&gt;"Non"),"Valeur Oui/Non invalide (Déjà incluse ROKS)",IF(AND($E288&lt;&gt;"PRD",$E288&lt;&gt;"NPRD"),"Environnement invalide",IF(COUNTIFS(TblApplications[ID],$C288,TblApplications[Environnement],$E288,TblApplications[Couloir],$F288)&gt;1,"Déploiement en doublon (ID + env + couloir)",IF(OR(AND($K288&lt;&gt;"",NOT(ISNUMBER($K288))),AND($L288&lt;&gt;"",NOT(ISNUMBER($L288))),AND($N288&lt;&gt;"",NOT(ISNUMBER($N288))),AND($O288&lt;&gt;"",NOT(ISNUMBER($O288)))),"Ressource non numérique",IF(MIN(N($K288),N($L288),N($N288),N($O288))&lt;0,"Ressource négative",IF(OR(AND($AC288&lt;&gt;"",OR(NOT(ISNUMBER($AC288)),$AC288&lt;0,$AC288&gt;1)),AND($AD288&lt;&gt;"",OR(NOT(ISNUMBER($AD288)),$AD288&lt;0,$AD288&gt;1))),"Marge spécifique invalide (0–100 %)",IF(OR(AND($P288&lt;&gt;"",NOT(ISNUMBER($P288))),AND($Q288&lt;&gt;"",NOT(ISNUMBER($Q288))),AND($R288&lt;&gt;"",NOT(ISNUMBER($R288)))),"Mois invalide",IF(AND(OR($G288="À migrer",$G288="À décommissionner"),COUNTIFS(TblClusters[Cluster],$I288,TblClusters[Plateforme],"IKS")=0),"Cluster IKS inconnu",IF(AND(OR($G288="À migrer",$G288="Migré"),COUNTIFS(TblClusters[Cluster],$J288,TblClusters[Plateforme],"ROKS")=0),"Cluster ROKS inconnu",IF(AND(OR($G288="À migrer",$G288="À décommissionner"),COUNTIFS(TblClusters[Cluster],$I288,TblClusters[Environnement],$E288)=0),"Environnement ≠ cluster IKS",IF(AND(OR($G288="À migrer",$G288="Migré"),COUNTIFS(TblClusters[Cluster],$J288,TblClusters[Environnement],$E288)=0),"Environnement ≠ cluster ROKS",IF(AND($G288="À migrer",OR($P288&gt;$Q288,$Q288&gt;$R288)),"Dates incohérentes (prov ≤ bascule ≤ libération)",IF(AND(OR($G288="À migrer",$G288="À décommissionner"),OR(N($N288)&gt;SUMIFS(TblClusters[CPU initial (vCPU)],TblClusters[Cluster],$I288),N($O288)&gt;SUMIFS(TblClusters[RAM initiale (Go)],TblClusters[Cluster],$I288))),"Libération &gt; capacité du cluster source",IF(OR(AND($V288&lt;&gt;"",$V288&lt;p_debut),AND($W288&lt;&gt;"",$W288&gt;p_fin)),"Hors horizon (info)",IF(AND($G288="À migrer",$E288="PRD",COUNTIFS(TblApplications[ID],$C288,TblApplications[Environnement],"NPRD",TblApplications[Action],"À migrer")&gt;0,$V288&lt;_xlfn.MINIFS(TblApplications[Mois prov (calc)],TblApplications[ID],$C288,TblApplications[Environnement],"NPRD")),"PRD avant NPRD (info)","OK"))))))))))))))))))))</f>
        <v/>
      </c>
      <c r="AC288" s="76"/>
      <c r="AD288" s="76"/>
      <c r="AE288" s="22" t="str">
        <f aca="false">IF(OR($C288="",NOT(OR($G288="À migrer",$G288="À décommissionner")),NOT(ISNUMBER($N288)),NOT(ISNUMBER($O288)),$W288=""),"",($N288+p_poidsram*$O288)*SUMIFS(TblCalculs[Coût par unité],TblCalculs[Cluster],$I288,TblCalculs[Mois],"&lt;"&amp;$W288))</f>
        <v/>
      </c>
      <c r="AF288" s="22" t="str">
        <f aca="false">IF($C288="","",IF(AND($G288="À migrer",$H288="Non",$T288&lt;&gt;"",$V288&lt;&gt;""),($T288+p_poidsram*$U288)*SUMIFS(TblCalculs[Coût par unité],TblCalculs[Cluster],$J288,TblCalculs[Mois],"&gt;="&amp;$V288),IF(AND($G288="Migré",$T288&lt;&gt;""),($T288+p_poidsram*$U288)*SUMIFS(TblCalculs[Coût par unité],TblCalculs[Cluster],$J288),"")))</f>
        <v/>
      </c>
      <c r="AG288" s="22" t="str">
        <f aca="false">IF($C288="","",N($AE288)+N($AF288))</f>
        <v/>
      </c>
      <c r="AH288" s="21" t="str">
        <f aca="false">IF(OR($C288="",$G288="Décommissionné",COUNTIFS($E288,av_envc,$A288,av_domc,$B288,av_tric)=0),"",COUNTIFS($C$6:$C288,"&lt;&gt;",$G$6:$G288,"&lt;&gt;Décommissionné",$E$6:$E288,av_envc,$A$6:$A288,av_domc,$B$6:$B288,av_tric))</f>
        <v/>
      </c>
      <c r="AI288" s="21" t="str">
        <f aca="false">IF($C288="","",IF(AND(OR($G288="À migrer",$G288="À décommissionner"),$W288&lt;&gt;"",$W288&gt;ex_mois),1,0))</f>
        <v/>
      </c>
      <c r="AJ288" s="21" t="str">
        <f aca="false">IF(OR($C288="",$AI288&lt;&gt;1,COUNTIFS($E288,ex_envc,$A288,ex_domc,$B288,ex_tric)=0),"",COUNTIFS($AI$6:$AI288,1,$E$6:$E288,ex_envc,$A$6:$A288,ex_domc,$B$6:$B288,ex_tric))</f>
        <v/>
      </c>
    </row>
    <row r="289" customFormat="false" ht="15" hidden="false" customHeight="false" outlineLevel="0" collapsed="false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5"/>
      <c r="Q289" s="75"/>
      <c r="R289" s="75"/>
      <c r="S289" s="74"/>
      <c r="T289" s="21" t="str">
        <f aca="false">IF(OR($C289="",NOT(OR($G289="À migrer",$G289="Migré")),NOT(ISNUMBER($K289))),"",ROUNDUP($K289*(1+IF($AC289="",p_margeCPU,$AC289)),0))</f>
        <v/>
      </c>
      <c r="U289" s="21" t="str">
        <f aca="false">IF(OR($C289="",NOT(OR($G289="À migrer",$G289="Migré")),NOT(ISNUMBER($L289))),"",ROUNDUP($L289*(1+IF($AD289="",p_margeRAM,$AD289)),0))</f>
        <v/>
      </c>
      <c r="V289" s="39" t="str">
        <f aca="false">IF(OR(NOT($G289="À migrer"),$P289=""),"",IFERROR(DATE(YEAR($P289),MONTH($P289),1),""))</f>
        <v/>
      </c>
      <c r="W289" s="39" t="str">
        <f aca="false">IF(OR(NOT(OR($G289="À migrer",$G289="À décommissionner")),$R289=""),"",IFERROR(DATE(YEAR($R289),MONTH($R289),1),""))</f>
        <v/>
      </c>
      <c r="X289" s="21" t="str">
        <f aca="false">IF(OR($V289="",$W289=""),"",MAX(0,(YEAR($W289)-YEAR($V289))*12+MONTH($W289)-MONTH($V289)))</f>
        <v/>
      </c>
      <c r="Y289" s="21" t="str">
        <f aca="false">IF($C289="","",COUNTIF(TblApplications[ID],$C289))</f>
        <v/>
      </c>
      <c r="Z289" s="39" t="str">
        <f aca="false">IF($C289="","",IFERROR(1/(1/_xlfn.MINIFS(TblApplications[Mois prov (calc)],TblApplications[ID],$C289)),""))</f>
        <v/>
      </c>
      <c r="AA289" s="39" t="str">
        <f aca="false">IF($C289="","",IFERROR(1/(1/_xlfn.MAXIFS(TblApplications[Mois lib (calc)],TblApplications[ID],$C289)),""))</f>
        <v/>
      </c>
      <c r="AB289" s="21" t="str">
        <f aca="false">IF($C289="","",IF(OR(OR($A289="",$B289="",$D289="",$E289="",$F289="",$G289=""),AND($G289="À migrer",OR($H289="",$I289="",$J289="",$K289="",$L289="",$N289="",$O289="",$P289="",$Q289="",$R289="")),AND($G289="Migré",OR($J289="",$K289="",$L289="")),AND($G289="À décommissionner",OR($I289="",$N289="",$O289="",$R289=""))),"Données manquantes (selon l’action)",IF(AND($G289&lt;&gt;"Migré",$G289&lt;&gt;"À migrer",$G289&lt;&gt;"À décommissionner",$G289&lt;&gt;"Décommissionné"),"Action invalide",IF(COUNTIF(TblDomaines[Domaine],$A289)=0,"Domaine inconnu (référentiel)",IF(COUNTIFS(TblTribes[Tribe],$B289,TblTribes[Domaine de la tribe],$A289)=0,"Tribe inconnue ou hors domaine",IF(AND($G289="À migrer",$H289&lt;&gt;"Oui",$H289&lt;&gt;"Non"),"Valeur Oui/Non invalide (Déjà incluse ROKS)",IF(AND($E289&lt;&gt;"PRD",$E289&lt;&gt;"NPRD"),"Environnement invalide",IF(COUNTIFS(TblApplications[ID],$C289,TblApplications[Environnement],$E289,TblApplications[Couloir],$F289)&gt;1,"Déploiement en doublon (ID + env + couloir)",IF(OR(AND($K289&lt;&gt;"",NOT(ISNUMBER($K289))),AND($L289&lt;&gt;"",NOT(ISNUMBER($L289))),AND($N289&lt;&gt;"",NOT(ISNUMBER($N289))),AND($O289&lt;&gt;"",NOT(ISNUMBER($O289)))),"Ressource non numérique",IF(MIN(N($K289),N($L289),N($N289),N($O289))&lt;0,"Ressource négative",IF(OR(AND($AC289&lt;&gt;"",OR(NOT(ISNUMBER($AC289)),$AC289&lt;0,$AC289&gt;1)),AND($AD289&lt;&gt;"",OR(NOT(ISNUMBER($AD289)),$AD289&lt;0,$AD289&gt;1))),"Marge spécifique invalide (0–100 %)",IF(OR(AND($P289&lt;&gt;"",NOT(ISNUMBER($P289))),AND($Q289&lt;&gt;"",NOT(ISNUMBER($Q289))),AND($R289&lt;&gt;"",NOT(ISNUMBER($R289)))),"Mois invalide",IF(AND(OR($G289="À migrer",$G289="À décommissionner"),COUNTIFS(TblClusters[Cluster],$I289,TblClusters[Plateforme],"IKS")=0),"Cluster IKS inconnu",IF(AND(OR($G289="À migrer",$G289="Migré"),COUNTIFS(TblClusters[Cluster],$J289,TblClusters[Plateforme],"ROKS")=0),"Cluster ROKS inconnu",IF(AND(OR($G289="À migrer",$G289="À décommissionner"),COUNTIFS(TblClusters[Cluster],$I289,TblClusters[Environnement],$E289)=0),"Environnement ≠ cluster IKS",IF(AND(OR($G289="À migrer",$G289="Migré"),COUNTIFS(TblClusters[Cluster],$J289,TblClusters[Environnement],$E289)=0),"Environnement ≠ cluster ROKS",IF(AND($G289="À migrer",OR($P289&gt;$Q289,$Q289&gt;$R289)),"Dates incohérentes (prov ≤ bascule ≤ libération)",IF(AND(OR($G289="À migrer",$G289="À décommissionner"),OR(N($N289)&gt;SUMIFS(TblClusters[CPU initial (vCPU)],TblClusters[Cluster],$I289),N($O289)&gt;SUMIFS(TblClusters[RAM initiale (Go)],TblClusters[Cluster],$I289))),"Libération &gt; capacité du cluster source",IF(OR(AND($V289&lt;&gt;"",$V289&lt;p_debut),AND($W289&lt;&gt;"",$W289&gt;p_fin)),"Hors horizon (info)",IF(AND($G289="À migrer",$E289="PRD",COUNTIFS(TblApplications[ID],$C289,TblApplications[Environnement],"NPRD",TblApplications[Action],"À migrer")&gt;0,$V289&lt;_xlfn.MINIFS(TblApplications[Mois prov (calc)],TblApplications[ID],$C289,TblApplications[Environnement],"NPRD")),"PRD avant NPRD (info)","OK"))))))))))))))))))))</f>
        <v/>
      </c>
      <c r="AC289" s="76"/>
      <c r="AD289" s="76"/>
      <c r="AE289" s="22" t="str">
        <f aca="false">IF(OR($C289="",NOT(OR($G289="À migrer",$G289="À décommissionner")),NOT(ISNUMBER($N289)),NOT(ISNUMBER($O289)),$W289=""),"",($N289+p_poidsram*$O289)*SUMIFS(TblCalculs[Coût par unité],TblCalculs[Cluster],$I289,TblCalculs[Mois],"&lt;"&amp;$W289))</f>
        <v/>
      </c>
      <c r="AF289" s="22" t="str">
        <f aca="false">IF($C289="","",IF(AND($G289="À migrer",$H289="Non",$T289&lt;&gt;"",$V289&lt;&gt;""),($T289+p_poidsram*$U289)*SUMIFS(TblCalculs[Coût par unité],TblCalculs[Cluster],$J289,TblCalculs[Mois],"&gt;="&amp;$V289),IF(AND($G289="Migré",$T289&lt;&gt;""),($T289+p_poidsram*$U289)*SUMIFS(TblCalculs[Coût par unité],TblCalculs[Cluster],$J289),"")))</f>
        <v/>
      </c>
      <c r="AG289" s="22" t="str">
        <f aca="false">IF($C289="","",N($AE289)+N($AF289))</f>
        <v/>
      </c>
      <c r="AH289" s="21" t="str">
        <f aca="false">IF(OR($C289="",$G289="Décommissionné",COUNTIFS($E289,av_envc,$A289,av_domc,$B289,av_tric)=0),"",COUNTIFS($C$6:$C289,"&lt;&gt;",$G$6:$G289,"&lt;&gt;Décommissionné",$E$6:$E289,av_envc,$A$6:$A289,av_domc,$B$6:$B289,av_tric))</f>
        <v/>
      </c>
      <c r="AI289" s="21" t="str">
        <f aca="false">IF($C289="","",IF(AND(OR($G289="À migrer",$G289="À décommissionner"),$W289&lt;&gt;"",$W289&gt;ex_mois),1,0))</f>
        <v/>
      </c>
      <c r="AJ289" s="21" t="str">
        <f aca="false">IF(OR($C289="",$AI289&lt;&gt;1,COUNTIFS($E289,ex_envc,$A289,ex_domc,$B289,ex_tric)=0),"",COUNTIFS($AI$6:$AI289,1,$E$6:$E289,ex_envc,$A$6:$A289,ex_domc,$B$6:$B289,ex_tric))</f>
        <v/>
      </c>
    </row>
    <row r="290" customFormat="false" ht="15" hidden="false" customHeight="false" outlineLevel="0" collapsed="false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5"/>
      <c r="Q290" s="75"/>
      <c r="R290" s="75"/>
      <c r="S290" s="74"/>
      <c r="T290" s="21" t="str">
        <f aca="false">IF(OR($C290="",NOT(OR($G290="À migrer",$G290="Migré")),NOT(ISNUMBER($K290))),"",ROUNDUP($K290*(1+IF($AC290="",p_margeCPU,$AC290)),0))</f>
        <v/>
      </c>
      <c r="U290" s="21" t="str">
        <f aca="false">IF(OR($C290="",NOT(OR($G290="À migrer",$G290="Migré")),NOT(ISNUMBER($L290))),"",ROUNDUP($L290*(1+IF($AD290="",p_margeRAM,$AD290)),0))</f>
        <v/>
      </c>
      <c r="V290" s="39" t="str">
        <f aca="false">IF(OR(NOT($G290="À migrer"),$P290=""),"",IFERROR(DATE(YEAR($P290),MONTH($P290),1),""))</f>
        <v/>
      </c>
      <c r="W290" s="39" t="str">
        <f aca="false">IF(OR(NOT(OR($G290="À migrer",$G290="À décommissionner")),$R290=""),"",IFERROR(DATE(YEAR($R290),MONTH($R290),1),""))</f>
        <v/>
      </c>
      <c r="X290" s="21" t="str">
        <f aca="false">IF(OR($V290="",$W290=""),"",MAX(0,(YEAR($W290)-YEAR($V290))*12+MONTH($W290)-MONTH($V290)))</f>
        <v/>
      </c>
      <c r="Y290" s="21" t="str">
        <f aca="false">IF($C290="","",COUNTIF(TblApplications[ID],$C290))</f>
        <v/>
      </c>
      <c r="Z290" s="39" t="str">
        <f aca="false">IF($C290="","",IFERROR(1/(1/_xlfn.MINIFS(TblApplications[Mois prov (calc)],TblApplications[ID],$C290)),""))</f>
        <v/>
      </c>
      <c r="AA290" s="39" t="str">
        <f aca="false">IF($C290="","",IFERROR(1/(1/_xlfn.MAXIFS(TblApplications[Mois lib (calc)],TblApplications[ID],$C290)),""))</f>
        <v/>
      </c>
      <c r="AB290" s="21" t="str">
        <f aca="false">IF($C290="","",IF(OR(OR($A290="",$B290="",$D290="",$E290="",$F290="",$G290=""),AND($G290="À migrer",OR($H290="",$I290="",$J290="",$K290="",$L290="",$N290="",$O290="",$P290="",$Q290="",$R290="")),AND($G290="Migré",OR($J290="",$K290="",$L290="")),AND($G290="À décommissionner",OR($I290="",$N290="",$O290="",$R290=""))),"Données manquantes (selon l’action)",IF(AND($G290&lt;&gt;"Migré",$G290&lt;&gt;"À migrer",$G290&lt;&gt;"À décommissionner",$G290&lt;&gt;"Décommissionné"),"Action invalide",IF(COUNTIF(TblDomaines[Domaine],$A290)=0,"Domaine inconnu (référentiel)",IF(COUNTIFS(TblTribes[Tribe],$B290,TblTribes[Domaine de la tribe],$A290)=0,"Tribe inconnue ou hors domaine",IF(AND($G290="À migrer",$H290&lt;&gt;"Oui",$H290&lt;&gt;"Non"),"Valeur Oui/Non invalide (Déjà incluse ROKS)",IF(AND($E290&lt;&gt;"PRD",$E290&lt;&gt;"NPRD"),"Environnement invalide",IF(COUNTIFS(TblApplications[ID],$C290,TblApplications[Environnement],$E290,TblApplications[Couloir],$F290)&gt;1,"Déploiement en doublon (ID + env + couloir)",IF(OR(AND($K290&lt;&gt;"",NOT(ISNUMBER($K290))),AND($L290&lt;&gt;"",NOT(ISNUMBER($L290))),AND($N290&lt;&gt;"",NOT(ISNUMBER($N290))),AND($O290&lt;&gt;"",NOT(ISNUMBER($O290)))),"Ressource non numérique",IF(MIN(N($K290),N($L290),N($N290),N($O290))&lt;0,"Ressource négative",IF(OR(AND($AC290&lt;&gt;"",OR(NOT(ISNUMBER($AC290)),$AC290&lt;0,$AC290&gt;1)),AND($AD290&lt;&gt;"",OR(NOT(ISNUMBER($AD290)),$AD290&lt;0,$AD290&gt;1))),"Marge spécifique invalide (0–100 %)",IF(OR(AND($P290&lt;&gt;"",NOT(ISNUMBER($P290))),AND($Q290&lt;&gt;"",NOT(ISNUMBER($Q290))),AND($R290&lt;&gt;"",NOT(ISNUMBER($R290)))),"Mois invalide",IF(AND(OR($G290="À migrer",$G290="À décommissionner"),COUNTIFS(TblClusters[Cluster],$I290,TblClusters[Plateforme],"IKS")=0),"Cluster IKS inconnu",IF(AND(OR($G290="À migrer",$G290="Migré"),COUNTIFS(TblClusters[Cluster],$J290,TblClusters[Plateforme],"ROKS")=0),"Cluster ROKS inconnu",IF(AND(OR($G290="À migrer",$G290="À décommissionner"),COUNTIFS(TblClusters[Cluster],$I290,TblClusters[Environnement],$E290)=0),"Environnement ≠ cluster IKS",IF(AND(OR($G290="À migrer",$G290="Migré"),COUNTIFS(TblClusters[Cluster],$J290,TblClusters[Environnement],$E290)=0),"Environnement ≠ cluster ROKS",IF(AND($G290="À migrer",OR($P290&gt;$Q290,$Q290&gt;$R290)),"Dates incohérentes (prov ≤ bascule ≤ libération)",IF(AND(OR($G290="À migrer",$G290="À décommissionner"),OR(N($N290)&gt;SUMIFS(TblClusters[CPU initial (vCPU)],TblClusters[Cluster],$I290),N($O290)&gt;SUMIFS(TblClusters[RAM initiale (Go)],TblClusters[Cluster],$I290))),"Libération &gt; capacité du cluster source",IF(OR(AND($V290&lt;&gt;"",$V290&lt;p_debut),AND($W290&lt;&gt;"",$W290&gt;p_fin)),"Hors horizon (info)",IF(AND($G290="À migrer",$E290="PRD",COUNTIFS(TblApplications[ID],$C290,TblApplications[Environnement],"NPRD",TblApplications[Action],"À migrer")&gt;0,$V290&lt;_xlfn.MINIFS(TblApplications[Mois prov (calc)],TblApplications[ID],$C290,TblApplications[Environnement],"NPRD")),"PRD avant NPRD (info)","OK"))))))))))))))))))))</f>
        <v/>
      </c>
      <c r="AC290" s="76"/>
      <c r="AD290" s="76"/>
      <c r="AE290" s="22" t="str">
        <f aca="false">IF(OR($C290="",NOT(OR($G290="À migrer",$G290="À décommissionner")),NOT(ISNUMBER($N290)),NOT(ISNUMBER($O290)),$W290=""),"",($N290+p_poidsram*$O290)*SUMIFS(TblCalculs[Coût par unité],TblCalculs[Cluster],$I290,TblCalculs[Mois],"&lt;"&amp;$W290))</f>
        <v/>
      </c>
      <c r="AF290" s="22" t="str">
        <f aca="false">IF($C290="","",IF(AND($G290="À migrer",$H290="Non",$T290&lt;&gt;"",$V290&lt;&gt;""),($T290+p_poidsram*$U290)*SUMIFS(TblCalculs[Coût par unité],TblCalculs[Cluster],$J290,TblCalculs[Mois],"&gt;="&amp;$V290),IF(AND($G290="Migré",$T290&lt;&gt;""),($T290+p_poidsram*$U290)*SUMIFS(TblCalculs[Coût par unité],TblCalculs[Cluster],$J290),"")))</f>
        <v/>
      </c>
      <c r="AG290" s="22" t="str">
        <f aca="false">IF($C290="","",N($AE290)+N($AF290))</f>
        <v/>
      </c>
      <c r="AH290" s="21" t="str">
        <f aca="false">IF(OR($C290="",$G290="Décommissionné",COUNTIFS($E290,av_envc,$A290,av_domc,$B290,av_tric)=0),"",COUNTIFS($C$6:$C290,"&lt;&gt;",$G$6:$G290,"&lt;&gt;Décommissionné",$E$6:$E290,av_envc,$A$6:$A290,av_domc,$B$6:$B290,av_tric))</f>
        <v/>
      </c>
      <c r="AI290" s="21" t="str">
        <f aca="false">IF($C290="","",IF(AND(OR($G290="À migrer",$G290="À décommissionner"),$W290&lt;&gt;"",$W290&gt;ex_mois),1,0))</f>
        <v/>
      </c>
      <c r="AJ290" s="21" t="str">
        <f aca="false">IF(OR($C290="",$AI290&lt;&gt;1,COUNTIFS($E290,ex_envc,$A290,ex_domc,$B290,ex_tric)=0),"",COUNTIFS($AI$6:$AI290,1,$E$6:$E290,ex_envc,$A$6:$A290,ex_domc,$B$6:$B290,ex_tric))</f>
        <v/>
      </c>
    </row>
    <row r="291" customFormat="false" ht="15" hidden="false" customHeight="false" outlineLevel="0" collapsed="false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5"/>
      <c r="Q291" s="75"/>
      <c r="R291" s="75"/>
      <c r="S291" s="74"/>
      <c r="T291" s="21" t="str">
        <f aca="false">IF(OR($C291="",NOT(OR($G291="À migrer",$G291="Migré")),NOT(ISNUMBER($K291))),"",ROUNDUP($K291*(1+IF($AC291="",p_margeCPU,$AC291)),0))</f>
        <v/>
      </c>
      <c r="U291" s="21" t="str">
        <f aca="false">IF(OR($C291="",NOT(OR($G291="À migrer",$G291="Migré")),NOT(ISNUMBER($L291))),"",ROUNDUP($L291*(1+IF($AD291="",p_margeRAM,$AD291)),0))</f>
        <v/>
      </c>
      <c r="V291" s="39" t="str">
        <f aca="false">IF(OR(NOT($G291="À migrer"),$P291=""),"",IFERROR(DATE(YEAR($P291),MONTH($P291),1),""))</f>
        <v/>
      </c>
      <c r="W291" s="39" t="str">
        <f aca="false">IF(OR(NOT(OR($G291="À migrer",$G291="À décommissionner")),$R291=""),"",IFERROR(DATE(YEAR($R291),MONTH($R291),1),""))</f>
        <v/>
      </c>
      <c r="X291" s="21" t="str">
        <f aca="false">IF(OR($V291="",$W291=""),"",MAX(0,(YEAR($W291)-YEAR($V291))*12+MONTH($W291)-MONTH($V291)))</f>
        <v/>
      </c>
      <c r="Y291" s="21" t="str">
        <f aca="false">IF($C291="","",COUNTIF(TblApplications[ID],$C291))</f>
        <v/>
      </c>
      <c r="Z291" s="39" t="str">
        <f aca="false">IF($C291="","",IFERROR(1/(1/_xlfn.MINIFS(TblApplications[Mois prov (calc)],TblApplications[ID],$C291)),""))</f>
        <v/>
      </c>
      <c r="AA291" s="39" t="str">
        <f aca="false">IF($C291="","",IFERROR(1/(1/_xlfn.MAXIFS(TblApplications[Mois lib (calc)],TblApplications[ID],$C291)),""))</f>
        <v/>
      </c>
      <c r="AB291" s="21" t="str">
        <f aca="false">IF($C291="","",IF(OR(OR($A291="",$B291="",$D291="",$E291="",$F291="",$G291=""),AND($G291="À migrer",OR($H291="",$I291="",$J291="",$K291="",$L291="",$N291="",$O291="",$P291="",$Q291="",$R291="")),AND($G291="Migré",OR($J291="",$K291="",$L291="")),AND($G291="À décommissionner",OR($I291="",$N291="",$O291="",$R291=""))),"Données manquantes (selon l’action)",IF(AND($G291&lt;&gt;"Migré",$G291&lt;&gt;"À migrer",$G291&lt;&gt;"À décommissionner",$G291&lt;&gt;"Décommissionné"),"Action invalide",IF(COUNTIF(TblDomaines[Domaine],$A291)=0,"Domaine inconnu (référentiel)",IF(COUNTIFS(TblTribes[Tribe],$B291,TblTribes[Domaine de la tribe],$A291)=0,"Tribe inconnue ou hors domaine",IF(AND($G291="À migrer",$H291&lt;&gt;"Oui",$H291&lt;&gt;"Non"),"Valeur Oui/Non invalide (Déjà incluse ROKS)",IF(AND($E291&lt;&gt;"PRD",$E291&lt;&gt;"NPRD"),"Environnement invalide",IF(COUNTIFS(TblApplications[ID],$C291,TblApplications[Environnement],$E291,TblApplications[Couloir],$F291)&gt;1,"Déploiement en doublon (ID + env + couloir)",IF(OR(AND($K291&lt;&gt;"",NOT(ISNUMBER($K291))),AND($L291&lt;&gt;"",NOT(ISNUMBER($L291))),AND($N291&lt;&gt;"",NOT(ISNUMBER($N291))),AND($O291&lt;&gt;"",NOT(ISNUMBER($O291)))),"Ressource non numérique",IF(MIN(N($K291),N($L291),N($N291),N($O291))&lt;0,"Ressource négative",IF(OR(AND($AC291&lt;&gt;"",OR(NOT(ISNUMBER($AC291)),$AC291&lt;0,$AC291&gt;1)),AND($AD291&lt;&gt;"",OR(NOT(ISNUMBER($AD291)),$AD291&lt;0,$AD291&gt;1))),"Marge spécifique invalide (0–100 %)",IF(OR(AND($P291&lt;&gt;"",NOT(ISNUMBER($P291))),AND($Q291&lt;&gt;"",NOT(ISNUMBER($Q291))),AND($R291&lt;&gt;"",NOT(ISNUMBER($R291)))),"Mois invalide",IF(AND(OR($G291="À migrer",$G291="À décommissionner"),COUNTIFS(TblClusters[Cluster],$I291,TblClusters[Plateforme],"IKS")=0),"Cluster IKS inconnu",IF(AND(OR($G291="À migrer",$G291="Migré"),COUNTIFS(TblClusters[Cluster],$J291,TblClusters[Plateforme],"ROKS")=0),"Cluster ROKS inconnu",IF(AND(OR($G291="À migrer",$G291="À décommissionner"),COUNTIFS(TblClusters[Cluster],$I291,TblClusters[Environnement],$E291)=0),"Environnement ≠ cluster IKS",IF(AND(OR($G291="À migrer",$G291="Migré"),COUNTIFS(TblClusters[Cluster],$J291,TblClusters[Environnement],$E291)=0),"Environnement ≠ cluster ROKS",IF(AND($G291="À migrer",OR($P291&gt;$Q291,$Q291&gt;$R291)),"Dates incohérentes (prov ≤ bascule ≤ libération)",IF(AND(OR($G291="À migrer",$G291="À décommissionner"),OR(N($N291)&gt;SUMIFS(TblClusters[CPU initial (vCPU)],TblClusters[Cluster],$I291),N($O291)&gt;SUMIFS(TblClusters[RAM initiale (Go)],TblClusters[Cluster],$I291))),"Libération &gt; capacité du cluster source",IF(OR(AND($V291&lt;&gt;"",$V291&lt;p_debut),AND($W291&lt;&gt;"",$W291&gt;p_fin)),"Hors horizon (info)",IF(AND($G291="À migrer",$E291="PRD",COUNTIFS(TblApplications[ID],$C291,TblApplications[Environnement],"NPRD",TblApplications[Action],"À migrer")&gt;0,$V291&lt;_xlfn.MINIFS(TblApplications[Mois prov (calc)],TblApplications[ID],$C291,TblApplications[Environnement],"NPRD")),"PRD avant NPRD (info)","OK"))))))))))))))))))))</f>
        <v/>
      </c>
      <c r="AC291" s="76"/>
      <c r="AD291" s="76"/>
      <c r="AE291" s="22" t="str">
        <f aca="false">IF(OR($C291="",NOT(OR($G291="À migrer",$G291="À décommissionner")),NOT(ISNUMBER($N291)),NOT(ISNUMBER($O291)),$W291=""),"",($N291+p_poidsram*$O291)*SUMIFS(TblCalculs[Coût par unité],TblCalculs[Cluster],$I291,TblCalculs[Mois],"&lt;"&amp;$W291))</f>
        <v/>
      </c>
      <c r="AF291" s="22" t="str">
        <f aca="false">IF($C291="","",IF(AND($G291="À migrer",$H291="Non",$T291&lt;&gt;"",$V291&lt;&gt;""),($T291+p_poidsram*$U291)*SUMIFS(TblCalculs[Coût par unité],TblCalculs[Cluster],$J291,TblCalculs[Mois],"&gt;="&amp;$V291),IF(AND($G291="Migré",$T291&lt;&gt;""),($T291+p_poidsram*$U291)*SUMIFS(TblCalculs[Coût par unité],TblCalculs[Cluster],$J291),"")))</f>
        <v/>
      </c>
      <c r="AG291" s="22" t="str">
        <f aca="false">IF($C291="","",N($AE291)+N($AF291))</f>
        <v/>
      </c>
      <c r="AH291" s="21" t="str">
        <f aca="false">IF(OR($C291="",$G291="Décommissionné",COUNTIFS($E291,av_envc,$A291,av_domc,$B291,av_tric)=0),"",COUNTIFS($C$6:$C291,"&lt;&gt;",$G$6:$G291,"&lt;&gt;Décommissionné",$E$6:$E291,av_envc,$A$6:$A291,av_domc,$B$6:$B291,av_tric))</f>
        <v/>
      </c>
      <c r="AI291" s="21" t="str">
        <f aca="false">IF($C291="","",IF(AND(OR($G291="À migrer",$G291="À décommissionner"),$W291&lt;&gt;"",$W291&gt;ex_mois),1,0))</f>
        <v/>
      </c>
      <c r="AJ291" s="21" t="str">
        <f aca="false">IF(OR($C291="",$AI291&lt;&gt;1,COUNTIFS($E291,ex_envc,$A291,ex_domc,$B291,ex_tric)=0),"",COUNTIFS($AI$6:$AI291,1,$E$6:$E291,ex_envc,$A$6:$A291,ex_domc,$B$6:$B291,ex_tric))</f>
        <v/>
      </c>
    </row>
    <row r="292" customFormat="false" ht="15" hidden="false" customHeight="false" outlineLevel="0" collapsed="false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5"/>
      <c r="Q292" s="75"/>
      <c r="R292" s="75"/>
      <c r="S292" s="74"/>
      <c r="T292" s="21" t="str">
        <f aca="false">IF(OR($C292="",NOT(OR($G292="À migrer",$G292="Migré")),NOT(ISNUMBER($K292))),"",ROUNDUP($K292*(1+IF($AC292="",p_margeCPU,$AC292)),0))</f>
        <v/>
      </c>
      <c r="U292" s="21" t="str">
        <f aca="false">IF(OR($C292="",NOT(OR($G292="À migrer",$G292="Migré")),NOT(ISNUMBER($L292))),"",ROUNDUP($L292*(1+IF($AD292="",p_margeRAM,$AD292)),0))</f>
        <v/>
      </c>
      <c r="V292" s="39" t="str">
        <f aca="false">IF(OR(NOT($G292="À migrer"),$P292=""),"",IFERROR(DATE(YEAR($P292),MONTH($P292),1),""))</f>
        <v/>
      </c>
      <c r="W292" s="39" t="str">
        <f aca="false">IF(OR(NOT(OR($G292="À migrer",$G292="À décommissionner")),$R292=""),"",IFERROR(DATE(YEAR($R292),MONTH($R292),1),""))</f>
        <v/>
      </c>
      <c r="X292" s="21" t="str">
        <f aca="false">IF(OR($V292="",$W292=""),"",MAX(0,(YEAR($W292)-YEAR($V292))*12+MONTH($W292)-MONTH($V292)))</f>
        <v/>
      </c>
      <c r="Y292" s="21" t="str">
        <f aca="false">IF($C292="","",COUNTIF(TblApplications[ID],$C292))</f>
        <v/>
      </c>
      <c r="Z292" s="39" t="str">
        <f aca="false">IF($C292="","",IFERROR(1/(1/_xlfn.MINIFS(TblApplications[Mois prov (calc)],TblApplications[ID],$C292)),""))</f>
        <v/>
      </c>
      <c r="AA292" s="39" t="str">
        <f aca="false">IF($C292="","",IFERROR(1/(1/_xlfn.MAXIFS(TblApplications[Mois lib (calc)],TblApplications[ID],$C292)),""))</f>
        <v/>
      </c>
      <c r="AB292" s="21" t="str">
        <f aca="false">IF($C292="","",IF(OR(OR($A292="",$B292="",$D292="",$E292="",$F292="",$G292=""),AND($G292="À migrer",OR($H292="",$I292="",$J292="",$K292="",$L292="",$N292="",$O292="",$P292="",$Q292="",$R292="")),AND($G292="Migré",OR($J292="",$K292="",$L292="")),AND($G292="À décommissionner",OR($I292="",$N292="",$O292="",$R292=""))),"Données manquantes (selon l’action)",IF(AND($G292&lt;&gt;"Migré",$G292&lt;&gt;"À migrer",$G292&lt;&gt;"À décommissionner",$G292&lt;&gt;"Décommissionné"),"Action invalide",IF(COUNTIF(TblDomaines[Domaine],$A292)=0,"Domaine inconnu (référentiel)",IF(COUNTIFS(TblTribes[Tribe],$B292,TblTribes[Domaine de la tribe],$A292)=0,"Tribe inconnue ou hors domaine",IF(AND($G292="À migrer",$H292&lt;&gt;"Oui",$H292&lt;&gt;"Non"),"Valeur Oui/Non invalide (Déjà incluse ROKS)",IF(AND($E292&lt;&gt;"PRD",$E292&lt;&gt;"NPRD"),"Environnement invalide",IF(COUNTIFS(TblApplications[ID],$C292,TblApplications[Environnement],$E292,TblApplications[Couloir],$F292)&gt;1,"Déploiement en doublon (ID + env + couloir)",IF(OR(AND($K292&lt;&gt;"",NOT(ISNUMBER($K292))),AND($L292&lt;&gt;"",NOT(ISNUMBER($L292))),AND($N292&lt;&gt;"",NOT(ISNUMBER($N292))),AND($O292&lt;&gt;"",NOT(ISNUMBER($O292)))),"Ressource non numérique",IF(MIN(N($K292),N($L292),N($N292),N($O292))&lt;0,"Ressource négative",IF(OR(AND($AC292&lt;&gt;"",OR(NOT(ISNUMBER($AC292)),$AC292&lt;0,$AC292&gt;1)),AND($AD292&lt;&gt;"",OR(NOT(ISNUMBER($AD292)),$AD292&lt;0,$AD292&gt;1))),"Marge spécifique invalide (0–100 %)",IF(OR(AND($P292&lt;&gt;"",NOT(ISNUMBER($P292))),AND($Q292&lt;&gt;"",NOT(ISNUMBER($Q292))),AND($R292&lt;&gt;"",NOT(ISNUMBER($R292)))),"Mois invalide",IF(AND(OR($G292="À migrer",$G292="À décommissionner"),COUNTIFS(TblClusters[Cluster],$I292,TblClusters[Plateforme],"IKS")=0),"Cluster IKS inconnu",IF(AND(OR($G292="À migrer",$G292="Migré"),COUNTIFS(TblClusters[Cluster],$J292,TblClusters[Plateforme],"ROKS")=0),"Cluster ROKS inconnu",IF(AND(OR($G292="À migrer",$G292="À décommissionner"),COUNTIFS(TblClusters[Cluster],$I292,TblClusters[Environnement],$E292)=0),"Environnement ≠ cluster IKS",IF(AND(OR($G292="À migrer",$G292="Migré"),COUNTIFS(TblClusters[Cluster],$J292,TblClusters[Environnement],$E292)=0),"Environnement ≠ cluster ROKS",IF(AND($G292="À migrer",OR($P292&gt;$Q292,$Q292&gt;$R292)),"Dates incohérentes (prov ≤ bascule ≤ libération)",IF(AND(OR($G292="À migrer",$G292="À décommissionner"),OR(N($N292)&gt;SUMIFS(TblClusters[CPU initial (vCPU)],TblClusters[Cluster],$I292),N($O292)&gt;SUMIFS(TblClusters[RAM initiale (Go)],TblClusters[Cluster],$I292))),"Libération &gt; capacité du cluster source",IF(OR(AND($V292&lt;&gt;"",$V292&lt;p_debut),AND($W292&lt;&gt;"",$W292&gt;p_fin)),"Hors horizon (info)",IF(AND($G292="À migrer",$E292="PRD",COUNTIFS(TblApplications[ID],$C292,TblApplications[Environnement],"NPRD",TblApplications[Action],"À migrer")&gt;0,$V292&lt;_xlfn.MINIFS(TblApplications[Mois prov (calc)],TblApplications[ID],$C292,TblApplications[Environnement],"NPRD")),"PRD avant NPRD (info)","OK"))))))))))))))))))))</f>
        <v/>
      </c>
      <c r="AC292" s="76"/>
      <c r="AD292" s="76"/>
      <c r="AE292" s="22" t="str">
        <f aca="false">IF(OR($C292="",NOT(OR($G292="À migrer",$G292="À décommissionner")),NOT(ISNUMBER($N292)),NOT(ISNUMBER($O292)),$W292=""),"",($N292+p_poidsram*$O292)*SUMIFS(TblCalculs[Coût par unité],TblCalculs[Cluster],$I292,TblCalculs[Mois],"&lt;"&amp;$W292))</f>
        <v/>
      </c>
      <c r="AF292" s="22" t="str">
        <f aca="false">IF($C292="","",IF(AND($G292="À migrer",$H292="Non",$T292&lt;&gt;"",$V292&lt;&gt;""),($T292+p_poidsram*$U292)*SUMIFS(TblCalculs[Coût par unité],TblCalculs[Cluster],$J292,TblCalculs[Mois],"&gt;="&amp;$V292),IF(AND($G292="Migré",$T292&lt;&gt;""),($T292+p_poidsram*$U292)*SUMIFS(TblCalculs[Coût par unité],TblCalculs[Cluster],$J292),"")))</f>
        <v/>
      </c>
      <c r="AG292" s="22" t="str">
        <f aca="false">IF($C292="","",N($AE292)+N($AF292))</f>
        <v/>
      </c>
      <c r="AH292" s="21" t="str">
        <f aca="false">IF(OR($C292="",$G292="Décommissionné",COUNTIFS($E292,av_envc,$A292,av_domc,$B292,av_tric)=0),"",COUNTIFS($C$6:$C292,"&lt;&gt;",$G$6:$G292,"&lt;&gt;Décommissionné",$E$6:$E292,av_envc,$A$6:$A292,av_domc,$B$6:$B292,av_tric))</f>
        <v/>
      </c>
      <c r="AI292" s="21" t="str">
        <f aca="false">IF($C292="","",IF(AND(OR($G292="À migrer",$G292="À décommissionner"),$W292&lt;&gt;"",$W292&gt;ex_mois),1,0))</f>
        <v/>
      </c>
      <c r="AJ292" s="21" t="str">
        <f aca="false">IF(OR($C292="",$AI292&lt;&gt;1,COUNTIFS($E292,ex_envc,$A292,ex_domc,$B292,ex_tric)=0),"",COUNTIFS($AI$6:$AI292,1,$E$6:$E292,ex_envc,$A$6:$A292,ex_domc,$B$6:$B292,ex_tric))</f>
        <v/>
      </c>
    </row>
    <row r="293" customFormat="false" ht="15" hidden="false" customHeight="false" outlineLevel="0" collapsed="false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5"/>
      <c r="Q293" s="75"/>
      <c r="R293" s="75"/>
      <c r="S293" s="74"/>
      <c r="T293" s="21" t="str">
        <f aca="false">IF(OR($C293="",NOT(OR($G293="À migrer",$G293="Migré")),NOT(ISNUMBER($K293))),"",ROUNDUP($K293*(1+IF($AC293="",p_margeCPU,$AC293)),0))</f>
        <v/>
      </c>
      <c r="U293" s="21" t="str">
        <f aca="false">IF(OR($C293="",NOT(OR($G293="À migrer",$G293="Migré")),NOT(ISNUMBER($L293))),"",ROUNDUP($L293*(1+IF($AD293="",p_margeRAM,$AD293)),0))</f>
        <v/>
      </c>
      <c r="V293" s="39" t="str">
        <f aca="false">IF(OR(NOT($G293="À migrer"),$P293=""),"",IFERROR(DATE(YEAR($P293),MONTH($P293),1),""))</f>
        <v/>
      </c>
      <c r="W293" s="39" t="str">
        <f aca="false">IF(OR(NOT(OR($G293="À migrer",$G293="À décommissionner")),$R293=""),"",IFERROR(DATE(YEAR($R293),MONTH($R293),1),""))</f>
        <v/>
      </c>
      <c r="X293" s="21" t="str">
        <f aca="false">IF(OR($V293="",$W293=""),"",MAX(0,(YEAR($W293)-YEAR($V293))*12+MONTH($W293)-MONTH($V293)))</f>
        <v/>
      </c>
      <c r="Y293" s="21" t="str">
        <f aca="false">IF($C293="","",COUNTIF(TblApplications[ID],$C293))</f>
        <v/>
      </c>
      <c r="Z293" s="39" t="str">
        <f aca="false">IF($C293="","",IFERROR(1/(1/_xlfn.MINIFS(TblApplications[Mois prov (calc)],TblApplications[ID],$C293)),""))</f>
        <v/>
      </c>
      <c r="AA293" s="39" t="str">
        <f aca="false">IF($C293="","",IFERROR(1/(1/_xlfn.MAXIFS(TblApplications[Mois lib (calc)],TblApplications[ID],$C293)),""))</f>
        <v/>
      </c>
      <c r="AB293" s="21" t="str">
        <f aca="false">IF($C293="","",IF(OR(OR($A293="",$B293="",$D293="",$E293="",$F293="",$G293=""),AND($G293="À migrer",OR($H293="",$I293="",$J293="",$K293="",$L293="",$N293="",$O293="",$P293="",$Q293="",$R293="")),AND($G293="Migré",OR($J293="",$K293="",$L293="")),AND($G293="À décommissionner",OR($I293="",$N293="",$O293="",$R293=""))),"Données manquantes (selon l’action)",IF(AND($G293&lt;&gt;"Migré",$G293&lt;&gt;"À migrer",$G293&lt;&gt;"À décommissionner",$G293&lt;&gt;"Décommissionné"),"Action invalide",IF(COUNTIF(TblDomaines[Domaine],$A293)=0,"Domaine inconnu (référentiel)",IF(COUNTIFS(TblTribes[Tribe],$B293,TblTribes[Domaine de la tribe],$A293)=0,"Tribe inconnue ou hors domaine",IF(AND($G293="À migrer",$H293&lt;&gt;"Oui",$H293&lt;&gt;"Non"),"Valeur Oui/Non invalide (Déjà incluse ROKS)",IF(AND($E293&lt;&gt;"PRD",$E293&lt;&gt;"NPRD"),"Environnement invalide",IF(COUNTIFS(TblApplications[ID],$C293,TblApplications[Environnement],$E293,TblApplications[Couloir],$F293)&gt;1,"Déploiement en doublon (ID + env + couloir)",IF(OR(AND($K293&lt;&gt;"",NOT(ISNUMBER($K293))),AND($L293&lt;&gt;"",NOT(ISNUMBER($L293))),AND($N293&lt;&gt;"",NOT(ISNUMBER($N293))),AND($O293&lt;&gt;"",NOT(ISNUMBER($O293)))),"Ressource non numérique",IF(MIN(N($K293),N($L293),N($N293),N($O293))&lt;0,"Ressource négative",IF(OR(AND($AC293&lt;&gt;"",OR(NOT(ISNUMBER($AC293)),$AC293&lt;0,$AC293&gt;1)),AND($AD293&lt;&gt;"",OR(NOT(ISNUMBER($AD293)),$AD293&lt;0,$AD293&gt;1))),"Marge spécifique invalide (0–100 %)",IF(OR(AND($P293&lt;&gt;"",NOT(ISNUMBER($P293))),AND($Q293&lt;&gt;"",NOT(ISNUMBER($Q293))),AND($R293&lt;&gt;"",NOT(ISNUMBER($R293)))),"Mois invalide",IF(AND(OR($G293="À migrer",$G293="À décommissionner"),COUNTIFS(TblClusters[Cluster],$I293,TblClusters[Plateforme],"IKS")=0),"Cluster IKS inconnu",IF(AND(OR($G293="À migrer",$G293="Migré"),COUNTIFS(TblClusters[Cluster],$J293,TblClusters[Plateforme],"ROKS")=0),"Cluster ROKS inconnu",IF(AND(OR($G293="À migrer",$G293="À décommissionner"),COUNTIFS(TblClusters[Cluster],$I293,TblClusters[Environnement],$E293)=0),"Environnement ≠ cluster IKS",IF(AND(OR($G293="À migrer",$G293="Migré"),COUNTIFS(TblClusters[Cluster],$J293,TblClusters[Environnement],$E293)=0),"Environnement ≠ cluster ROKS",IF(AND($G293="À migrer",OR($P293&gt;$Q293,$Q293&gt;$R293)),"Dates incohérentes (prov ≤ bascule ≤ libération)",IF(AND(OR($G293="À migrer",$G293="À décommissionner"),OR(N($N293)&gt;SUMIFS(TblClusters[CPU initial (vCPU)],TblClusters[Cluster],$I293),N($O293)&gt;SUMIFS(TblClusters[RAM initiale (Go)],TblClusters[Cluster],$I293))),"Libération &gt; capacité du cluster source",IF(OR(AND($V293&lt;&gt;"",$V293&lt;p_debut),AND($W293&lt;&gt;"",$W293&gt;p_fin)),"Hors horizon (info)",IF(AND($G293="À migrer",$E293="PRD",COUNTIFS(TblApplications[ID],$C293,TblApplications[Environnement],"NPRD",TblApplications[Action],"À migrer")&gt;0,$V293&lt;_xlfn.MINIFS(TblApplications[Mois prov (calc)],TblApplications[ID],$C293,TblApplications[Environnement],"NPRD")),"PRD avant NPRD (info)","OK"))))))))))))))))))))</f>
        <v/>
      </c>
      <c r="AC293" s="76"/>
      <c r="AD293" s="76"/>
      <c r="AE293" s="22" t="str">
        <f aca="false">IF(OR($C293="",NOT(OR($G293="À migrer",$G293="À décommissionner")),NOT(ISNUMBER($N293)),NOT(ISNUMBER($O293)),$W293=""),"",($N293+p_poidsram*$O293)*SUMIFS(TblCalculs[Coût par unité],TblCalculs[Cluster],$I293,TblCalculs[Mois],"&lt;"&amp;$W293))</f>
        <v/>
      </c>
      <c r="AF293" s="22" t="str">
        <f aca="false">IF($C293="","",IF(AND($G293="À migrer",$H293="Non",$T293&lt;&gt;"",$V293&lt;&gt;""),($T293+p_poidsram*$U293)*SUMIFS(TblCalculs[Coût par unité],TblCalculs[Cluster],$J293,TblCalculs[Mois],"&gt;="&amp;$V293),IF(AND($G293="Migré",$T293&lt;&gt;""),($T293+p_poidsram*$U293)*SUMIFS(TblCalculs[Coût par unité],TblCalculs[Cluster],$J293),"")))</f>
        <v/>
      </c>
      <c r="AG293" s="22" t="str">
        <f aca="false">IF($C293="","",N($AE293)+N($AF293))</f>
        <v/>
      </c>
      <c r="AH293" s="21" t="str">
        <f aca="false">IF(OR($C293="",$G293="Décommissionné",COUNTIFS($E293,av_envc,$A293,av_domc,$B293,av_tric)=0),"",COUNTIFS($C$6:$C293,"&lt;&gt;",$G$6:$G293,"&lt;&gt;Décommissionné",$E$6:$E293,av_envc,$A$6:$A293,av_domc,$B$6:$B293,av_tric))</f>
        <v/>
      </c>
      <c r="AI293" s="21" t="str">
        <f aca="false">IF($C293="","",IF(AND(OR($G293="À migrer",$G293="À décommissionner"),$W293&lt;&gt;"",$W293&gt;ex_mois),1,0))</f>
        <v/>
      </c>
      <c r="AJ293" s="21" t="str">
        <f aca="false">IF(OR($C293="",$AI293&lt;&gt;1,COUNTIFS($E293,ex_envc,$A293,ex_domc,$B293,ex_tric)=0),"",COUNTIFS($AI$6:$AI293,1,$E$6:$E293,ex_envc,$A$6:$A293,ex_domc,$B$6:$B293,ex_tric))</f>
        <v/>
      </c>
    </row>
    <row r="294" customFormat="false" ht="15" hidden="false" customHeight="false" outlineLevel="0" collapsed="false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5"/>
      <c r="Q294" s="75"/>
      <c r="R294" s="75"/>
      <c r="S294" s="74"/>
      <c r="T294" s="21" t="str">
        <f aca="false">IF(OR($C294="",NOT(OR($G294="À migrer",$G294="Migré")),NOT(ISNUMBER($K294))),"",ROUNDUP($K294*(1+IF($AC294="",p_margeCPU,$AC294)),0))</f>
        <v/>
      </c>
      <c r="U294" s="21" t="str">
        <f aca="false">IF(OR($C294="",NOT(OR($G294="À migrer",$G294="Migré")),NOT(ISNUMBER($L294))),"",ROUNDUP($L294*(1+IF($AD294="",p_margeRAM,$AD294)),0))</f>
        <v/>
      </c>
      <c r="V294" s="39" t="str">
        <f aca="false">IF(OR(NOT($G294="À migrer"),$P294=""),"",IFERROR(DATE(YEAR($P294),MONTH($P294),1),""))</f>
        <v/>
      </c>
      <c r="W294" s="39" t="str">
        <f aca="false">IF(OR(NOT(OR($G294="À migrer",$G294="À décommissionner")),$R294=""),"",IFERROR(DATE(YEAR($R294),MONTH($R294),1),""))</f>
        <v/>
      </c>
      <c r="X294" s="21" t="str">
        <f aca="false">IF(OR($V294="",$W294=""),"",MAX(0,(YEAR($W294)-YEAR($V294))*12+MONTH($W294)-MONTH($V294)))</f>
        <v/>
      </c>
      <c r="Y294" s="21" t="str">
        <f aca="false">IF($C294="","",COUNTIF(TblApplications[ID],$C294))</f>
        <v/>
      </c>
      <c r="Z294" s="39" t="str">
        <f aca="false">IF($C294="","",IFERROR(1/(1/_xlfn.MINIFS(TblApplications[Mois prov (calc)],TblApplications[ID],$C294)),""))</f>
        <v/>
      </c>
      <c r="AA294" s="39" t="str">
        <f aca="false">IF($C294="","",IFERROR(1/(1/_xlfn.MAXIFS(TblApplications[Mois lib (calc)],TblApplications[ID],$C294)),""))</f>
        <v/>
      </c>
      <c r="AB294" s="21" t="str">
        <f aca="false">IF($C294="","",IF(OR(OR($A294="",$B294="",$D294="",$E294="",$F294="",$G294=""),AND($G294="À migrer",OR($H294="",$I294="",$J294="",$K294="",$L294="",$N294="",$O294="",$P294="",$Q294="",$R294="")),AND($G294="Migré",OR($J294="",$K294="",$L294="")),AND($G294="À décommissionner",OR($I294="",$N294="",$O294="",$R294=""))),"Données manquantes (selon l’action)",IF(AND($G294&lt;&gt;"Migré",$G294&lt;&gt;"À migrer",$G294&lt;&gt;"À décommissionner",$G294&lt;&gt;"Décommissionné"),"Action invalide",IF(COUNTIF(TblDomaines[Domaine],$A294)=0,"Domaine inconnu (référentiel)",IF(COUNTIFS(TblTribes[Tribe],$B294,TblTribes[Domaine de la tribe],$A294)=0,"Tribe inconnue ou hors domaine",IF(AND($G294="À migrer",$H294&lt;&gt;"Oui",$H294&lt;&gt;"Non"),"Valeur Oui/Non invalide (Déjà incluse ROKS)",IF(AND($E294&lt;&gt;"PRD",$E294&lt;&gt;"NPRD"),"Environnement invalide",IF(COUNTIFS(TblApplications[ID],$C294,TblApplications[Environnement],$E294,TblApplications[Couloir],$F294)&gt;1,"Déploiement en doublon (ID + env + couloir)",IF(OR(AND($K294&lt;&gt;"",NOT(ISNUMBER($K294))),AND($L294&lt;&gt;"",NOT(ISNUMBER($L294))),AND($N294&lt;&gt;"",NOT(ISNUMBER($N294))),AND($O294&lt;&gt;"",NOT(ISNUMBER($O294)))),"Ressource non numérique",IF(MIN(N($K294),N($L294),N($N294),N($O294))&lt;0,"Ressource négative",IF(OR(AND($AC294&lt;&gt;"",OR(NOT(ISNUMBER($AC294)),$AC294&lt;0,$AC294&gt;1)),AND($AD294&lt;&gt;"",OR(NOT(ISNUMBER($AD294)),$AD294&lt;0,$AD294&gt;1))),"Marge spécifique invalide (0–100 %)",IF(OR(AND($P294&lt;&gt;"",NOT(ISNUMBER($P294))),AND($Q294&lt;&gt;"",NOT(ISNUMBER($Q294))),AND($R294&lt;&gt;"",NOT(ISNUMBER($R294)))),"Mois invalide",IF(AND(OR($G294="À migrer",$G294="À décommissionner"),COUNTIFS(TblClusters[Cluster],$I294,TblClusters[Plateforme],"IKS")=0),"Cluster IKS inconnu",IF(AND(OR($G294="À migrer",$G294="Migré"),COUNTIFS(TblClusters[Cluster],$J294,TblClusters[Plateforme],"ROKS")=0),"Cluster ROKS inconnu",IF(AND(OR($G294="À migrer",$G294="À décommissionner"),COUNTIFS(TblClusters[Cluster],$I294,TblClusters[Environnement],$E294)=0),"Environnement ≠ cluster IKS",IF(AND(OR($G294="À migrer",$G294="Migré"),COUNTIFS(TblClusters[Cluster],$J294,TblClusters[Environnement],$E294)=0),"Environnement ≠ cluster ROKS",IF(AND($G294="À migrer",OR($P294&gt;$Q294,$Q294&gt;$R294)),"Dates incohérentes (prov ≤ bascule ≤ libération)",IF(AND(OR($G294="À migrer",$G294="À décommissionner"),OR(N($N294)&gt;SUMIFS(TblClusters[CPU initial (vCPU)],TblClusters[Cluster],$I294),N($O294)&gt;SUMIFS(TblClusters[RAM initiale (Go)],TblClusters[Cluster],$I294))),"Libération &gt; capacité du cluster source",IF(OR(AND($V294&lt;&gt;"",$V294&lt;p_debut),AND($W294&lt;&gt;"",$W294&gt;p_fin)),"Hors horizon (info)",IF(AND($G294="À migrer",$E294="PRD",COUNTIFS(TblApplications[ID],$C294,TblApplications[Environnement],"NPRD",TblApplications[Action],"À migrer")&gt;0,$V294&lt;_xlfn.MINIFS(TblApplications[Mois prov (calc)],TblApplications[ID],$C294,TblApplications[Environnement],"NPRD")),"PRD avant NPRD (info)","OK"))))))))))))))))))))</f>
        <v/>
      </c>
      <c r="AC294" s="76"/>
      <c r="AD294" s="76"/>
      <c r="AE294" s="22" t="str">
        <f aca="false">IF(OR($C294="",NOT(OR($G294="À migrer",$G294="À décommissionner")),NOT(ISNUMBER($N294)),NOT(ISNUMBER($O294)),$W294=""),"",($N294+p_poidsram*$O294)*SUMIFS(TblCalculs[Coût par unité],TblCalculs[Cluster],$I294,TblCalculs[Mois],"&lt;"&amp;$W294))</f>
        <v/>
      </c>
      <c r="AF294" s="22" t="str">
        <f aca="false">IF($C294="","",IF(AND($G294="À migrer",$H294="Non",$T294&lt;&gt;"",$V294&lt;&gt;""),($T294+p_poidsram*$U294)*SUMIFS(TblCalculs[Coût par unité],TblCalculs[Cluster],$J294,TblCalculs[Mois],"&gt;="&amp;$V294),IF(AND($G294="Migré",$T294&lt;&gt;""),($T294+p_poidsram*$U294)*SUMIFS(TblCalculs[Coût par unité],TblCalculs[Cluster],$J294),"")))</f>
        <v/>
      </c>
      <c r="AG294" s="22" t="str">
        <f aca="false">IF($C294="","",N($AE294)+N($AF294))</f>
        <v/>
      </c>
      <c r="AH294" s="21" t="str">
        <f aca="false">IF(OR($C294="",$G294="Décommissionné",COUNTIFS($E294,av_envc,$A294,av_domc,$B294,av_tric)=0),"",COUNTIFS($C$6:$C294,"&lt;&gt;",$G$6:$G294,"&lt;&gt;Décommissionné",$E$6:$E294,av_envc,$A$6:$A294,av_domc,$B$6:$B294,av_tric))</f>
        <v/>
      </c>
      <c r="AI294" s="21" t="str">
        <f aca="false">IF($C294="","",IF(AND(OR($G294="À migrer",$G294="À décommissionner"),$W294&lt;&gt;"",$W294&gt;ex_mois),1,0))</f>
        <v/>
      </c>
      <c r="AJ294" s="21" t="str">
        <f aca="false">IF(OR($C294="",$AI294&lt;&gt;1,COUNTIFS($E294,ex_envc,$A294,ex_domc,$B294,ex_tric)=0),"",COUNTIFS($AI$6:$AI294,1,$E$6:$E294,ex_envc,$A$6:$A294,ex_domc,$B$6:$B294,ex_tric))</f>
        <v/>
      </c>
    </row>
    <row r="295" customFormat="false" ht="15" hidden="false" customHeight="false" outlineLevel="0" collapsed="false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5"/>
      <c r="Q295" s="75"/>
      <c r="R295" s="75"/>
      <c r="S295" s="74"/>
      <c r="T295" s="21" t="str">
        <f aca="false">IF(OR($C295="",NOT(OR($G295="À migrer",$G295="Migré")),NOT(ISNUMBER($K295))),"",ROUNDUP($K295*(1+IF($AC295="",p_margeCPU,$AC295)),0))</f>
        <v/>
      </c>
      <c r="U295" s="21" t="str">
        <f aca="false">IF(OR($C295="",NOT(OR($G295="À migrer",$G295="Migré")),NOT(ISNUMBER($L295))),"",ROUNDUP($L295*(1+IF($AD295="",p_margeRAM,$AD295)),0))</f>
        <v/>
      </c>
      <c r="V295" s="39" t="str">
        <f aca="false">IF(OR(NOT($G295="À migrer"),$P295=""),"",IFERROR(DATE(YEAR($P295),MONTH($P295),1),""))</f>
        <v/>
      </c>
      <c r="W295" s="39" t="str">
        <f aca="false">IF(OR(NOT(OR($G295="À migrer",$G295="À décommissionner")),$R295=""),"",IFERROR(DATE(YEAR($R295),MONTH($R295),1),""))</f>
        <v/>
      </c>
      <c r="X295" s="21" t="str">
        <f aca="false">IF(OR($V295="",$W295=""),"",MAX(0,(YEAR($W295)-YEAR($V295))*12+MONTH($W295)-MONTH($V295)))</f>
        <v/>
      </c>
      <c r="Y295" s="21" t="str">
        <f aca="false">IF($C295="","",COUNTIF(TblApplications[ID],$C295))</f>
        <v/>
      </c>
      <c r="Z295" s="39" t="str">
        <f aca="false">IF($C295="","",IFERROR(1/(1/_xlfn.MINIFS(TblApplications[Mois prov (calc)],TblApplications[ID],$C295)),""))</f>
        <v/>
      </c>
      <c r="AA295" s="39" t="str">
        <f aca="false">IF($C295="","",IFERROR(1/(1/_xlfn.MAXIFS(TblApplications[Mois lib (calc)],TblApplications[ID],$C295)),""))</f>
        <v/>
      </c>
      <c r="AB295" s="21" t="str">
        <f aca="false">IF($C295="","",IF(OR(OR($A295="",$B295="",$D295="",$E295="",$F295="",$G295=""),AND($G295="À migrer",OR($H295="",$I295="",$J295="",$K295="",$L295="",$N295="",$O295="",$P295="",$Q295="",$R295="")),AND($G295="Migré",OR($J295="",$K295="",$L295="")),AND($G295="À décommissionner",OR($I295="",$N295="",$O295="",$R295=""))),"Données manquantes (selon l’action)",IF(AND($G295&lt;&gt;"Migré",$G295&lt;&gt;"À migrer",$G295&lt;&gt;"À décommissionner",$G295&lt;&gt;"Décommissionné"),"Action invalide",IF(COUNTIF(TblDomaines[Domaine],$A295)=0,"Domaine inconnu (référentiel)",IF(COUNTIFS(TblTribes[Tribe],$B295,TblTribes[Domaine de la tribe],$A295)=0,"Tribe inconnue ou hors domaine",IF(AND($G295="À migrer",$H295&lt;&gt;"Oui",$H295&lt;&gt;"Non"),"Valeur Oui/Non invalide (Déjà incluse ROKS)",IF(AND($E295&lt;&gt;"PRD",$E295&lt;&gt;"NPRD"),"Environnement invalide",IF(COUNTIFS(TblApplications[ID],$C295,TblApplications[Environnement],$E295,TblApplications[Couloir],$F295)&gt;1,"Déploiement en doublon (ID + env + couloir)",IF(OR(AND($K295&lt;&gt;"",NOT(ISNUMBER($K295))),AND($L295&lt;&gt;"",NOT(ISNUMBER($L295))),AND($N295&lt;&gt;"",NOT(ISNUMBER($N295))),AND($O295&lt;&gt;"",NOT(ISNUMBER($O295)))),"Ressource non numérique",IF(MIN(N($K295),N($L295),N($N295),N($O295))&lt;0,"Ressource négative",IF(OR(AND($AC295&lt;&gt;"",OR(NOT(ISNUMBER($AC295)),$AC295&lt;0,$AC295&gt;1)),AND($AD295&lt;&gt;"",OR(NOT(ISNUMBER($AD295)),$AD295&lt;0,$AD295&gt;1))),"Marge spécifique invalide (0–100 %)",IF(OR(AND($P295&lt;&gt;"",NOT(ISNUMBER($P295))),AND($Q295&lt;&gt;"",NOT(ISNUMBER($Q295))),AND($R295&lt;&gt;"",NOT(ISNUMBER($R295)))),"Mois invalide",IF(AND(OR($G295="À migrer",$G295="À décommissionner"),COUNTIFS(TblClusters[Cluster],$I295,TblClusters[Plateforme],"IKS")=0),"Cluster IKS inconnu",IF(AND(OR($G295="À migrer",$G295="Migré"),COUNTIFS(TblClusters[Cluster],$J295,TblClusters[Plateforme],"ROKS")=0),"Cluster ROKS inconnu",IF(AND(OR($G295="À migrer",$G295="À décommissionner"),COUNTIFS(TblClusters[Cluster],$I295,TblClusters[Environnement],$E295)=0),"Environnement ≠ cluster IKS",IF(AND(OR($G295="À migrer",$G295="Migré"),COUNTIFS(TblClusters[Cluster],$J295,TblClusters[Environnement],$E295)=0),"Environnement ≠ cluster ROKS",IF(AND($G295="À migrer",OR($P295&gt;$Q295,$Q295&gt;$R295)),"Dates incohérentes (prov ≤ bascule ≤ libération)",IF(AND(OR($G295="À migrer",$G295="À décommissionner"),OR(N($N295)&gt;SUMIFS(TblClusters[CPU initial (vCPU)],TblClusters[Cluster],$I295),N($O295)&gt;SUMIFS(TblClusters[RAM initiale (Go)],TblClusters[Cluster],$I295))),"Libération &gt; capacité du cluster source",IF(OR(AND($V295&lt;&gt;"",$V295&lt;p_debut),AND($W295&lt;&gt;"",$W295&gt;p_fin)),"Hors horizon (info)",IF(AND($G295="À migrer",$E295="PRD",COUNTIFS(TblApplications[ID],$C295,TblApplications[Environnement],"NPRD",TblApplications[Action],"À migrer")&gt;0,$V295&lt;_xlfn.MINIFS(TblApplications[Mois prov (calc)],TblApplications[ID],$C295,TblApplications[Environnement],"NPRD")),"PRD avant NPRD (info)","OK"))))))))))))))))))))</f>
        <v/>
      </c>
      <c r="AC295" s="76"/>
      <c r="AD295" s="76"/>
      <c r="AE295" s="22" t="str">
        <f aca="false">IF(OR($C295="",NOT(OR($G295="À migrer",$G295="À décommissionner")),NOT(ISNUMBER($N295)),NOT(ISNUMBER($O295)),$W295=""),"",($N295+p_poidsram*$O295)*SUMIFS(TblCalculs[Coût par unité],TblCalculs[Cluster],$I295,TblCalculs[Mois],"&lt;"&amp;$W295))</f>
        <v/>
      </c>
      <c r="AF295" s="22" t="str">
        <f aca="false">IF($C295="","",IF(AND($G295="À migrer",$H295="Non",$T295&lt;&gt;"",$V295&lt;&gt;""),($T295+p_poidsram*$U295)*SUMIFS(TblCalculs[Coût par unité],TblCalculs[Cluster],$J295,TblCalculs[Mois],"&gt;="&amp;$V295),IF(AND($G295="Migré",$T295&lt;&gt;""),($T295+p_poidsram*$U295)*SUMIFS(TblCalculs[Coût par unité],TblCalculs[Cluster],$J295),"")))</f>
        <v/>
      </c>
      <c r="AG295" s="22" t="str">
        <f aca="false">IF($C295="","",N($AE295)+N($AF295))</f>
        <v/>
      </c>
      <c r="AH295" s="21" t="str">
        <f aca="false">IF(OR($C295="",$G295="Décommissionné",COUNTIFS($E295,av_envc,$A295,av_domc,$B295,av_tric)=0),"",COUNTIFS($C$6:$C295,"&lt;&gt;",$G$6:$G295,"&lt;&gt;Décommissionné",$E$6:$E295,av_envc,$A$6:$A295,av_domc,$B$6:$B295,av_tric))</f>
        <v/>
      </c>
      <c r="AI295" s="21" t="str">
        <f aca="false">IF($C295="","",IF(AND(OR($G295="À migrer",$G295="À décommissionner"),$W295&lt;&gt;"",$W295&gt;ex_mois),1,0))</f>
        <v/>
      </c>
      <c r="AJ295" s="21" t="str">
        <f aca="false">IF(OR($C295="",$AI295&lt;&gt;1,COUNTIFS($E295,ex_envc,$A295,ex_domc,$B295,ex_tric)=0),"",COUNTIFS($AI$6:$AI295,1,$E$6:$E295,ex_envc,$A$6:$A295,ex_domc,$B$6:$B295,ex_tric))</f>
        <v/>
      </c>
    </row>
    <row r="296" customFormat="false" ht="15" hidden="false" customHeight="false" outlineLevel="0" collapsed="false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5"/>
      <c r="Q296" s="75"/>
      <c r="R296" s="75"/>
      <c r="S296" s="74"/>
      <c r="T296" s="21" t="str">
        <f aca="false">IF(OR($C296="",NOT(OR($G296="À migrer",$G296="Migré")),NOT(ISNUMBER($K296))),"",ROUNDUP($K296*(1+IF($AC296="",p_margeCPU,$AC296)),0))</f>
        <v/>
      </c>
      <c r="U296" s="21" t="str">
        <f aca="false">IF(OR($C296="",NOT(OR($G296="À migrer",$G296="Migré")),NOT(ISNUMBER($L296))),"",ROUNDUP($L296*(1+IF($AD296="",p_margeRAM,$AD296)),0))</f>
        <v/>
      </c>
      <c r="V296" s="39" t="str">
        <f aca="false">IF(OR(NOT($G296="À migrer"),$P296=""),"",IFERROR(DATE(YEAR($P296),MONTH($P296),1),""))</f>
        <v/>
      </c>
      <c r="W296" s="39" t="str">
        <f aca="false">IF(OR(NOT(OR($G296="À migrer",$G296="À décommissionner")),$R296=""),"",IFERROR(DATE(YEAR($R296),MONTH($R296),1),""))</f>
        <v/>
      </c>
      <c r="X296" s="21" t="str">
        <f aca="false">IF(OR($V296="",$W296=""),"",MAX(0,(YEAR($W296)-YEAR($V296))*12+MONTH($W296)-MONTH($V296)))</f>
        <v/>
      </c>
      <c r="Y296" s="21" t="str">
        <f aca="false">IF($C296="","",COUNTIF(TblApplications[ID],$C296))</f>
        <v/>
      </c>
      <c r="Z296" s="39" t="str">
        <f aca="false">IF($C296="","",IFERROR(1/(1/_xlfn.MINIFS(TblApplications[Mois prov (calc)],TblApplications[ID],$C296)),""))</f>
        <v/>
      </c>
      <c r="AA296" s="39" t="str">
        <f aca="false">IF($C296="","",IFERROR(1/(1/_xlfn.MAXIFS(TblApplications[Mois lib (calc)],TblApplications[ID],$C296)),""))</f>
        <v/>
      </c>
      <c r="AB296" s="21" t="str">
        <f aca="false">IF($C296="","",IF(OR(OR($A296="",$B296="",$D296="",$E296="",$F296="",$G296=""),AND($G296="À migrer",OR($H296="",$I296="",$J296="",$K296="",$L296="",$N296="",$O296="",$P296="",$Q296="",$R296="")),AND($G296="Migré",OR($J296="",$K296="",$L296="")),AND($G296="À décommissionner",OR($I296="",$N296="",$O296="",$R296=""))),"Données manquantes (selon l’action)",IF(AND($G296&lt;&gt;"Migré",$G296&lt;&gt;"À migrer",$G296&lt;&gt;"À décommissionner",$G296&lt;&gt;"Décommissionné"),"Action invalide",IF(COUNTIF(TblDomaines[Domaine],$A296)=0,"Domaine inconnu (référentiel)",IF(COUNTIFS(TblTribes[Tribe],$B296,TblTribes[Domaine de la tribe],$A296)=0,"Tribe inconnue ou hors domaine",IF(AND($G296="À migrer",$H296&lt;&gt;"Oui",$H296&lt;&gt;"Non"),"Valeur Oui/Non invalide (Déjà incluse ROKS)",IF(AND($E296&lt;&gt;"PRD",$E296&lt;&gt;"NPRD"),"Environnement invalide",IF(COUNTIFS(TblApplications[ID],$C296,TblApplications[Environnement],$E296,TblApplications[Couloir],$F296)&gt;1,"Déploiement en doublon (ID + env + couloir)",IF(OR(AND($K296&lt;&gt;"",NOT(ISNUMBER($K296))),AND($L296&lt;&gt;"",NOT(ISNUMBER($L296))),AND($N296&lt;&gt;"",NOT(ISNUMBER($N296))),AND($O296&lt;&gt;"",NOT(ISNUMBER($O296)))),"Ressource non numérique",IF(MIN(N($K296),N($L296),N($N296),N($O296))&lt;0,"Ressource négative",IF(OR(AND($AC296&lt;&gt;"",OR(NOT(ISNUMBER($AC296)),$AC296&lt;0,$AC296&gt;1)),AND($AD296&lt;&gt;"",OR(NOT(ISNUMBER($AD296)),$AD296&lt;0,$AD296&gt;1))),"Marge spécifique invalide (0–100 %)",IF(OR(AND($P296&lt;&gt;"",NOT(ISNUMBER($P296))),AND($Q296&lt;&gt;"",NOT(ISNUMBER($Q296))),AND($R296&lt;&gt;"",NOT(ISNUMBER($R296)))),"Mois invalide",IF(AND(OR($G296="À migrer",$G296="À décommissionner"),COUNTIFS(TblClusters[Cluster],$I296,TblClusters[Plateforme],"IKS")=0),"Cluster IKS inconnu",IF(AND(OR($G296="À migrer",$G296="Migré"),COUNTIFS(TblClusters[Cluster],$J296,TblClusters[Plateforme],"ROKS")=0),"Cluster ROKS inconnu",IF(AND(OR($G296="À migrer",$G296="À décommissionner"),COUNTIFS(TblClusters[Cluster],$I296,TblClusters[Environnement],$E296)=0),"Environnement ≠ cluster IKS",IF(AND(OR($G296="À migrer",$G296="Migré"),COUNTIFS(TblClusters[Cluster],$J296,TblClusters[Environnement],$E296)=0),"Environnement ≠ cluster ROKS",IF(AND($G296="À migrer",OR($P296&gt;$Q296,$Q296&gt;$R296)),"Dates incohérentes (prov ≤ bascule ≤ libération)",IF(AND(OR($G296="À migrer",$G296="À décommissionner"),OR(N($N296)&gt;SUMIFS(TblClusters[CPU initial (vCPU)],TblClusters[Cluster],$I296),N($O296)&gt;SUMIFS(TblClusters[RAM initiale (Go)],TblClusters[Cluster],$I296))),"Libération &gt; capacité du cluster source",IF(OR(AND($V296&lt;&gt;"",$V296&lt;p_debut),AND($W296&lt;&gt;"",$W296&gt;p_fin)),"Hors horizon (info)",IF(AND($G296="À migrer",$E296="PRD",COUNTIFS(TblApplications[ID],$C296,TblApplications[Environnement],"NPRD",TblApplications[Action],"À migrer")&gt;0,$V296&lt;_xlfn.MINIFS(TblApplications[Mois prov (calc)],TblApplications[ID],$C296,TblApplications[Environnement],"NPRD")),"PRD avant NPRD (info)","OK"))))))))))))))))))))</f>
        <v/>
      </c>
      <c r="AC296" s="76"/>
      <c r="AD296" s="76"/>
      <c r="AE296" s="22" t="str">
        <f aca="false">IF(OR($C296="",NOT(OR($G296="À migrer",$G296="À décommissionner")),NOT(ISNUMBER($N296)),NOT(ISNUMBER($O296)),$W296=""),"",($N296+p_poidsram*$O296)*SUMIFS(TblCalculs[Coût par unité],TblCalculs[Cluster],$I296,TblCalculs[Mois],"&lt;"&amp;$W296))</f>
        <v/>
      </c>
      <c r="AF296" s="22" t="str">
        <f aca="false">IF($C296="","",IF(AND($G296="À migrer",$H296="Non",$T296&lt;&gt;"",$V296&lt;&gt;""),($T296+p_poidsram*$U296)*SUMIFS(TblCalculs[Coût par unité],TblCalculs[Cluster],$J296,TblCalculs[Mois],"&gt;="&amp;$V296),IF(AND($G296="Migré",$T296&lt;&gt;""),($T296+p_poidsram*$U296)*SUMIFS(TblCalculs[Coût par unité],TblCalculs[Cluster],$J296),"")))</f>
        <v/>
      </c>
      <c r="AG296" s="22" t="str">
        <f aca="false">IF($C296="","",N($AE296)+N($AF296))</f>
        <v/>
      </c>
      <c r="AH296" s="21" t="str">
        <f aca="false">IF(OR($C296="",$G296="Décommissionné",COUNTIFS($E296,av_envc,$A296,av_domc,$B296,av_tric)=0),"",COUNTIFS($C$6:$C296,"&lt;&gt;",$G$6:$G296,"&lt;&gt;Décommissionné",$E$6:$E296,av_envc,$A$6:$A296,av_domc,$B$6:$B296,av_tric))</f>
        <v/>
      </c>
      <c r="AI296" s="21" t="str">
        <f aca="false">IF($C296="","",IF(AND(OR($G296="À migrer",$G296="À décommissionner"),$W296&lt;&gt;"",$W296&gt;ex_mois),1,0))</f>
        <v/>
      </c>
      <c r="AJ296" s="21" t="str">
        <f aca="false">IF(OR($C296="",$AI296&lt;&gt;1,COUNTIFS($E296,ex_envc,$A296,ex_domc,$B296,ex_tric)=0),"",COUNTIFS($AI$6:$AI296,1,$E$6:$E296,ex_envc,$A$6:$A296,ex_domc,$B$6:$B296,ex_tric))</f>
        <v/>
      </c>
    </row>
    <row r="297" customFormat="false" ht="15" hidden="false" customHeight="false" outlineLevel="0" collapsed="false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5"/>
      <c r="Q297" s="75"/>
      <c r="R297" s="75"/>
      <c r="S297" s="74"/>
      <c r="T297" s="21" t="str">
        <f aca="false">IF(OR($C297="",NOT(OR($G297="À migrer",$G297="Migré")),NOT(ISNUMBER($K297))),"",ROUNDUP($K297*(1+IF($AC297="",p_margeCPU,$AC297)),0))</f>
        <v/>
      </c>
      <c r="U297" s="21" t="str">
        <f aca="false">IF(OR($C297="",NOT(OR($G297="À migrer",$G297="Migré")),NOT(ISNUMBER($L297))),"",ROUNDUP($L297*(1+IF($AD297="",p_margeRAM,$AD297)),0))</f>
        <v/>
      </c>
      <c r="V297" s="39" t="str">
        <f aca="false">IF(OR(NOT($G297="À migrer"),$P297=""),"",IFERROR(DATE(YEAR($P297),MONTH($P297),1),""))</f>
        <v/>
      </c>
      <c r="W297" s="39" t="str">
        <f aca="false">IF(OR(NOT(OR($G297="À migrer",$G297="À décommissionner")),$R297=""),"",IFERROR(DATE(YEAR($R297),MONTH($R297),1),""))</f>
        <v/>
      </c>
      <c r="X297" s="21" t="str">
        <f aca="false">IF(OR($V297="",$W297=""),"",MAX(0,(YEAR($W297)-YEAR($V297))*12+MONTH($W297)-MONTH($V297)))</f>
        <v/>
      </c>
      <c r="Y297" s="21" t="str">
        <f aca="false">IF($C297="","",COUNTIF(TblApplications[ID],$C297))</f>
        <v/>
      </c>
      <c r="Z297" s="39" t="str">
        <f aca="false">IF($C297="","",IFERROR(1/(1/_xlfn.MINIFS(TblApplications[Mois prov (calc)],TblApplications[ID],$C297)),""))</f>
        <v/>
      </c>
      <c r="AA297" s="39" t="str">
        <f aca="false">IF($C297="","",IFERROR(1/(1/_xlfn.MAXIFS(TblApplications[Mois lib (calc)],TblApplications[ID],$C297)),""))</f>
        <v/>
      </c>
      <c r="AB297" s="21" t="str">
        <f aca="false">IF($C297="","",IF(OR(OR($A297="",$B297="",$D297="",$E297="",$F297="",$G297=""),AND($G297="À migrer",OR($H297="",$I297="",$J297="",$K297="",$L297="",$N297="",$O297="",$P297="",$Q297="",$R297="")),AND($G297="Migré",OR($J297="",$K297="",$L297="")),AND($G297="À décommissionner",OR($I297="",$N297="",$O297="",$R297=""))),"Données manquantes (selon l’action)",IF(AND($G297&lt;&gt;"Migré",$G297&lt;&gt;"À migrer",$G297&lt;&gt;"À décommissionner",$G297&lt;&gt;"Décommissionné"),"Action invalide",IF(COUNTIF(TblDomaines[Domaine],$A297)=0,"Domaine inconnu (référentiel)",IF(COUNTIFS(TblTribes[Tribe],$B297,TblTribes[Domaine de la tribe],$A297)=0,"Tribe inconnue ou hors domaine",IF(AND($G297="À migrer",$H297&lt;&gt;"Oui",$H297&lt;&gt;"Non"),"Valeur Oui/Non invalide (Déjà incluse ROKS)",IF(AND($E297&lt;&gt;"PRD",$E297&lt;&gt;"NPRD"),"Environnement invalide",IF(COUNTIFS(TblApplications[ID],$C297,TblApplications[Environnement],$E297,TblApplications[Couloir],$F297)&gt;1,"Déploiement en doublon (ID + env + couloir)",IF(OR(AND($K297&lt;&gt;"",NOT(ISNUMBER($K297))),AND($L297&lt;&gt;"",NOT(ISNUMBER($L297))),AND($N297&lt;&gt;"",NOT(ISNUMBER($N297))),AND($O297&lt;&gt;"",NOT(ISNUMBER($O297)))),"Ressource non numérique",IF(MIN(N($K297),N($L297),N($N297),N($O297))&lt;0,"Ressource négative",IF(OR(AND($AC297&lt;&gt;"",OR(NOT(ISNUMBER($AC297)),$AC297&lt;0,$AC297&gt;1)),AND($AD297&lt;&gt;"",OR(NOT(ISNUMBER($AD297)),$AD297&lt;0,$AD297&gt;1))),"Marge spécifique invalide (0–100 %)",IF(OR(AND($P297&lt;&gt;"",NOT(ISNUMBER($P297))),AND($Q297&lt;&gt;"",NOT(ISNUMBER($Q297))),AND($R297&lt;&gt;"",NOT(ISNUMBER($R297)))),"Mois invalide",IF(AND(OR($G297="À migrer",$G297="À décommissionner"),COUNTIFS(TblClusters[Cluster],$I297,TblClusters[Plateforme],"IKS")=0),"Cluster IKS inconnu",IF(AND(OR($G297="À migrer",$G297="Migré"),COUNTIFS(TblClusters[Cluster],$J297,TblClusters[Plateforme],"ROKS")=0),"Cluster ROKS inconnu",IF(AND(OR($G297="À migrer",$G297="À décommissionner"),COUNTIFS(TblClusters[Cluster],$I297,TblClusters[Environnement],$E297)=0),"Environnement ≠ cluster IKS",IF(AND(OR($G297="À migrer",$G297="Migré"),COUNTIFS(TblClusters[Cluster],$J297,TblClusters[Environnement],$E297)=0),"Environnement ≠ cluster ROKS",IF(AND($G297="À migrer",OR($P297&gt;$Q297,$Q297&gt;$R297)),"Dates incohérentes (prov ≤ bascule ≤ libération)",IF(AND(OR($G297="À migrer",$G297="À décommissionner"),OR(N($N297)&gt;SUMIFS(TblClusters[CPU initial (vCPU)],TblClusters[Cluster],$I297),N($O297)&gt;SUMIFS(TblClusters[RAM initiale (Go)],TblClusters[Cluster],$I297))),"Libération &gt; capacité du cluster source",IF(OR(AND($V297&lt;&gt;"",$V297&lt;p_debut),AND($W297&lt;&gt;"",$W297&gt;p_fin)),"Hors horizon (info)",IF(AND($G297="À migrer",$E297="PRD",COUNTIFS(TblApplications[ID],$C297,TblApplications[Environnement],"NPRD",TblApplications[Action],"À migrer")&gt;0,$V297&lt;_xlfn.MINIFS(TblApplications[Mois prov (calc)],TblApplications[ID],$C297,TblApplications[Environnement],"NPRD")),"PRD avant NPRD (info)","OK"))))))))))))))))))))</f>
        <v/>
      </c>
      <c r="AC297" s="76"/>
      <c r="AD297" s="76"/>
      <c r="AE297" s="22" t="str">
        <f aca="false">IF(OR($C297="",NOT(OR($G297="À migrer",$G297="À décommissionner")),NOT(ISNUMBER($N297)),NOT(ISNUMBER($O297)),$W297=""),"",($N297+p_poidsram*$O297)*SUMIFS(TblCalculs[Coût par unité],TblCalculs[Cluster],$I297,TblCalculs[Mois],"&lt;"&amp;$W297))</f>
        <v/>
      </c>
      <c r="AF297" s="22" t="str">
        <f aca="false">IF($C297="","",IF(AND($G297="À migrer",$H297="Non",$T297&lt;&gt;"",$V297&lt;&gt;""),($T297+p_poidsram*$U297)*SUMIFS(TblCalculs[Coût par unité],TblCalculs[Cluster],$J297,TblCalculs[Mois],"&gt;="&amp;$V297),IF(AND($G297="Migré",$T297&lt;&gt;""),($T297+p_poidsram*$U297)*SUMIFS(TblCalculs[Coût par unité],TblCalculs[Cluster],$J297),"")))</f>
        <v/>
      </c>
      <c r="AG297" s="22" t="str">
        <f aca="false">IF($C297="","",N($AE297)+N($AF297))</f>
        <v/>
      </c>
      <c r="AH297" s="21" t="str">
        <f aca="false">IF(OR($C297="",$G297="Décommissionné",COUNTIFS($E297,av_envc,$A297,av_domc,$B297,av_tric)=0),"",COUNTIFS($C$6:$C297,"&lt;&gt;",$G$6:$G297,"&lt;&gt;Décommissionné",$E$6:$E297,av_envc,$A$6:$A297,av_domc,$B$6:$B297,av_tric))</f>
        <v/>
      </c>
      <c r="AI297" s="21" t="str">
        <f aca="false">IF($C297="","",IF(AND(OR($G297="À migrer",$G297="À décommissionner"),$W297&lt;&gt;"",$W297&gt;ex_mois),1,0))</f>
        <v/>
      </c>
      <c r="AJ297" s="21" t="str">
        <f aca="false">IF(OR($C297="",$AI297&lt;&gt;1,COUNTIFS($E297,ex_envc,$A297,ex_domc,$B297,ex_tric)=0),"",COUNTIFS($AI$6:$AI297,1,$E$6:$E297,ex_envc,$A$6:$A297,ex_domc,$B$6:$B297,ex_tric))</f>
        <v/>
      </c>
    </row>
    <row r="298" customFormat="false" ht="15" hidden="false" customHeight="false" outlineLevel="0" collapsed="false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5"/>
      <c r="Q298" s="75"/>
      <c r="R298" s="75"/>
      <c r="S298" s="74"/>
      <c r="T298" s="21" t="str">
        <f aca="false">IF(OR($C298="",NOT(OR($G298="À migrer",$G298="Migré")),NOT(ISNUMBER($K298))),"",ROUNDUP($K298*(1+IF($AC298="",p_margeCPU,$AC298)),0))</f>
        <v/>
      </c>
      <c r="U298" s="21" t="str">
        <f aca="false">IF(OR($C298="",NOT(OR($G298="À migrer",$G298="Migré")),NOT(ISNUMBER($L298))),"",ROUNDUP($L298*(1+IF($AD298="",p_margeRAM,$AD298)),0))</f>
        <v/>
      </c>
      <c r="V298" s="39" t="str">
        <f aca="false">IF(OR(NOT($G298="À migrer"),$P298=""),"",IFERROR(DATE(YEAR($P298),MONTH($P298),1),""))</f>
        <v/>
      </c>
      <c r="W298" s="39" t="str">
        <f aca="false">IF(OR(NOT(OR($G298="À migrer",$G298="À décommissionner")),$R298=""),"",IFERROR(DATE(YEAR($R298),MONTH($R298),1),""))</f>
        <v/>
      </c>
      <c r="X298" s="21" t="str">
        <f aca="false">IF(OR($V298="",$W298=""),"",MAX(0,(YEAR($W298)-YEAR($V298))*12+MONTH($W298)-MONTH($V298)))</f>
        <v/>
      </c>
      <c r="Y298" s="21" t="str">
        <f aca="false">IF($C298="","",COUNTIF(TblApplications[ID],$C298))</f>
        <v/>
      </c>
      <c r="Z298" s="39" t="str">
        <f aca="false">IF($C298="","",IFERROR(1/(1/_xlfn.MINIFS(TblApplications[Mois prov (calc)],TblApplications[ID],$C298)),""))</f>
        <v/>
      </c>
      <c r="AA298" s="39" t="str">
        <f aca="false">IF($C298="","",IFERROR(1/(1/_xlfn.MAXIFS(TblApplications[Mois lib (calc)],TblApplications[ID],$C298)),""))</f>
        <v/>
      </c>
      <c r="AB298" s="21" t="str">
        <f aca="false">IF($C298="","",IF(OR(OR($A298="",$B298="",$D298="",$E298="",$F298="",$G298=""),AND($G298="À migrer",OR($H298="",$I298="",$J298="",$K298="",$L298="",$N298="",$O298="",$P298="",$Q298="",$R298="")),AND($G298="Migré",OR($J298="",$K298="",$L298="")),AND($G298="À décommissionner",OR($I298="",$N298="",$O298="",$R298=""))),"Données manquantes (selon l’action)",IF(AND($G298&lt;&gt;"Migré",$G298&lt;&gt;"À migrer",$G298&lt;&gt;"À décommissionner",$G298&lt;&gt;"Décommissionné"),"Action invalide",IF(COUNTIF(TblDomaines[Domaine],$A298)=0,"Domaine inconnu (référentiel)",IF(COUNTIFS(TblTribes[Tribe],$B298,TblTribes[Domaine de la tribe],$A298)=0,"Tribe inconnue ou hors domaine",IF(AND($G298="À migrer",$H298&lt;&gt;"Oui",$H298&lt;&gt;"Non"),"Valeur Oui/Non invalide (Déjà incluse ROKS)",IF(AND($E298&lt;&gt;"PRD",$E298&lt;&gt;"NPRD"),"Environnement invalide",IF(COUNTIFS(TblApplications[ID],$C298,TblApplications[Environnement],$E298,TblApplications[Couloir],$F298)&gt;1,"Déploiement en doublon (ID + env + couloir)",IF(OR(AND($K298&lt;&gt;"",NOT(ISNUMBER($K298))),AND($L298&lt;&gt;"",NOT(ISNUMBER($L298))),AND($N298&lt;&gt;"",NOT(ISNUMBER($N298))),AND($O298&lt;&gt;"",NOT(ISNUMBER($O298)))),"Ressource non numérique",IF(MIN(N($K298),N($L298),N($N298),N($O298))&lt;0,"Ressource négative",IF(OR(AND($AC298&lt;&gt;"",OR(NOT(ISNUMBER($AC298)),$AC298&lt;0,$AC298&gt;1)),AND($AD298&lt;&gt;"",OR(NOT(ISNUMBER($AD298)),$AD298&lt;0,$AD298&gt;1))),"Marge spécifique invalide (0–100 %)",IF(OR(AND($P298&lt;&gt;"",NOT(ISNUMBER($P298))),AND($Q298&lt;&gt;"",NOT(ISNUMBER($Q298))),AND($R298&lt;&gt;"",NOT(ISNUMBER($R298)))),"Mois invalide",IF(AND(OR($G298="À migrer",$G298="À décommissionner"),COUNTIFS(TblClusters[Cluster],$I298,TblClusters[Plateforme],"IKS")=0),"Cluster IKS inconnu",IF(AND(OR($G298="À migrer",$G298="Migré"),COUNTIFS(TblClusters[Cluster],$J298,TblClusters[Plateforme],"ROKS")=0),"Cluster ROKS inconnu",IF(AND(OR($G298="À migrer",$G298="À décommissionner"),COUNTIFS(TblClusters[Cluster],$I298,TblClusters[Environnement],$E298)=0),"Environnement ≠ cluster IKS",IF(AND(OR($G298="À migrer",$G298="Migré"),COUNTIFS(TblClusters[Cluster],$J298,TblClusters[Environnement],$E298)=0),"Environnement ≠ cluster ROKS",IF(AND($G298="À migrer",OR($P298&gt;$Q298,$Q298&gt;$R298)),"Dates incohérentes (prov ≤ bascule ≤ libération)",IF(AND(OR($G298="À migrer",$G298="À décommissionner"),OR(N($N298)&gt;SUMIFS(TblClusters[CPU initial (vCPU)],TblClusters[Cluster],$I298),N($O298)&gt;SUMIFS(TblClusters[RAM initiale (Go)],TblClusters[Cluster],$I298))),"Libération &gt; capacité du cluster source",IF(OR(AND($V298&lt;&gt;"",$V298&lt;p_debut),AND($W298&lt;&gt;"",$W298&gt;p_fin)),"Hors horizon (info)",IF(AND($G298="À migrer",$E298="PRD",COUNTIFS(TblApplications[ID],$C298,TblApplications[Environnement],"NPRD",TblApplications[Action],"À migrer")&gt;0,$V298&lt;_xlfn.MINIFS(TblApplications[Mois prov (calc)],TblApplications[ID],$C298,TblApplications[Environnement],"NPRD")),"PRD avant NPRD (info)","OK"))))))))))))))))))))</f>
        <v/>
      </c>
      <c r="AC298" s="76"/>
      <c r="AD298" s="76"/>
      <c r="AE298" s="22" t="str">
        <f aca="false">IF(OR($C298="",NOT(OR($G298="À migrer",$G298="À décommissionner")),NOT(ISNUMBER($N298)),NOT(ISNUMBER($O298)),$W298=""),"",($N298+p_poidsram*$O298)*SUMIFS(TblCalculs[Coût par unité],TblCalculs[Cluster],$I298,TblCalculs[Mois],"&lt;"&amp;$W298))</f>
        <v/>
      </c>
      <c r="AF298" s="22" t="str">
        <f aca="false">IF($C298="","",IF(AND($G298="À migrer",$H298="Non",$T298&lt;&gt;"",$V298&lt;&gt;""),($T298+p_poidsram*$U298)*SUMIFS(TblCalculs[Coût par unité],TblCalculs[Cluster],$J298,TblCalculs[Mois],"&gt;="&amp;$V298),IF(AND($G298="Migré",$T298&lt;&gt;""),($T298+p_poidsram*$U298)*SUMIFS(TblCalculs[Coût par unité],TblCalculs[Cluster],$J298),"")))</f>
        <v/>
      </c>
      <c r="AG298" s="22" t="str">
        <f aca="false">IF($C298="","",N($AE298)+N($AF298))</f>
        <v/>
      </c>
      <c r="AH298" s="21" t="str">
        <f aca="false">IF(OR($C298="",$G298="Décommissionné",COUNTIFS($E298,av_envc,$A298,av_domc,$B298,av_tric)=0),"",COUNTIFS($C$6:$C298,"&lt;&gt;",$G$6:$G298,"&lt;&gt;Décommissionné",$E$6:$E298,av_envc,$A$6:$A298,av_domc,$B$6:$B298,av_tric))</f>
        <v/>
      </c>
      <c r="AI298" s="21" t="str">
        <f aca="false">IF($C298="","",IF(AND(OR($G298="À migrer",$G298="À décommissionner"),$W298&lt;&gt;"",$W298&gt;ex_mois),1,0))</f>
        <v/>
      </c>
      <c r="AJ298" s="21" t="str">
        <f aca="false">IF(OR($C298="",$AI298&lt;&gt;1,COUNTIFS($E298,ex_envc,$A298,ex_domc,$B298,ex_tric)=0),"",COUNTIFS($AI$6:$AI298,1,$E$6:$E298,ex_envc,$A$6:$A298,ex_domc,$B$6:$B298,ex_tric))</f>
        <v/>
      </c>
    </row>
    <row r="299" customFormat="false" ht="15" hidden="false" customHeight="false" outlineLevel="0" collapsed="false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5"/>
      <c r="Q299" s="75"/>
      <c r="R299" s="75"/>
      <c r="S299" s="74"/>
      <c r="T299" s="21" t="str">
        <f aca="false">IF(OR($C299="",NOT(OR($G299="À migrer",$G299="Migré")),NOT(ISNUMBER($K299))),"",ROUNDUP($K299*(1+IF($AC299="",p_margeCPU,$AC299)),0))</f>
        <v/>
      </c>
      <c r="U299" s="21" t="str">
        <f aca="false">IF(OR($C299="",NOT(OR($G299="À migrer",$G299="Migré")),NOT(ISNUMBER($L299))),"",ROUNDUP($L299*(1+IF($AD299="",p_margeRAM,$AD299)),0))</f>
        <v/>
      </c>
      <c r="V299" s="39" t="str">
        <f aca="false">IF(OR(NOT($G299="À migrer"),$P299=""),"",IFERROR(DATE(YEAR($P299),MONTH($P299),1),""))</f>
        <v/>
      </c>
      <c r="W299" s="39" t="str">
        <f aca="false">IF(OR(NOT(OR($G299="À migrer",$G299="À décommissionner")),$R299=""),"",IFERROR(DATE(YEAR($R299),MONTH($R299),1),""))</f>
        <v/>
      </c>
      <c r="X299" s="21" t="str">
        <f aca="false">IF(OR($V299="",$W299=""),"",MAX(0,(YEAR($W299)-YEAR($V299))*12+MONTH($W299)-MONTH($V299)))</f>
        <v/>
      </c>
      <c r="Y299" s="21" t="str">
        <f aca="false">IF($C299="","",COUNTIF(TblApplications[ID],$C299))</f>
        <v/>
      </c>
      <c r="Z299" s="39" t="str">
        <f aca="false">IF($C299="","",IFERROR(1/(1/_xlfn.MINIFS(TblApplications[Mois prov (calc)],TblApplications[ID],$C299)),""))</f>
        <v/>
      </c>
      <c r="AA299" s="39" t="str">
        <f aca="false">IF($C299="","",IFERROR(1/(1/_xlfn.MAXIFS(TblApplications[Mois lib (calc)],TblApplications[ID],$C299)),""))</f>
        <v/>
      </c>
      <c r="AB299" s="21" t="str">
        <f aca="false">IF($C299="","",IF(OR(OR($A299="",$B299="",$D299="",$E299="",$F299="",$G299=""),AND($G299="À migrer",OR($H299="",$I299="",$J299="",$K299="",$L299="",$N299="",$O299="",$P299="",$Q299="",$R299="")),AND($G299="Migré",OR($J299="",$K299="",$L299="")),AND($G299="À décommissionner",OR($I299="",$N299="",$O299="",$R299=""))),"Données manquantes (selon l’action)",IF(AND($G299&lt;&gt;"Migré",$G299&lt;&gt;"À migrer",$G299&lt;&gt;"À décommissionner",$G299&lt;&gt;"Décommissionné"),"Action invalide",IF(COUNTIF(TblDomaines[Domaine],$A299)=0,"Domaine inconnu (référentiel)",IF(COUNTIFS(TblTribes[Tribe],$B299,TblTribes[Domaine de la tribe],$A299)=0,"Tribe inconnue ou hors domaine",IF(AND($G299="À migrer",$H299&lt;&gt;"Oui",$H299&lt;&gt;"Non"),"Valeur Oui/Non invalide (Déjà incluse ROKS)",IF(AND($E299&lt;&gt;"PRD",$E299&lt;&gt;"NPRD"),"Environnement invalide",IF(COUNTIFS(TblApplications[ID],$C299,TblApplications[Environnement],$E299,TblApplications[Couloir],$F299)&gt;1,"Déploiement en doublon (ID + env + couloir)",IF(OR(AND($K299&lt;&gt;"",NOT(ISNUMBER($K299))),AND($L299&lt;&gt;"",NOT(ISNUMBER($L299))),AND($N299&lt;&gt;"",NOT(ISNUMBER($N299))),AND($O299&lt;&gt;"",NOT(ISNUMBER($O299)))),"Ressource non numérique",IF(MIN(N($K299),N($L299),N($N299),N($O299))&lt;0,"Ressource négative",IF(OR(AND($AC299&lt;&gt;"",OR(NOT(ISNUMBER($AC299)),$AC299&lt;0,$AC299&gt;1)),AND($AD299&lt;&gt;"",OR(NOT(ISNUMBER($AD299)),$AD299&lt;0,$AD299&gt;1))),"Marge spécifique invalide (0–100 %)",IF(OR(AND($P299&lt;&gt;"",NOT(ISNUMBER($P299))),AND($Q299&lt;&gt;"",NOT(ISNUMBER($Q299))),AND($R299&lt;&gt;"",NOT(ISNUMBER($R299)))),"Mois invalide",IF(AND(OR($G299="À migrer",$G299="À décommissionner"),COUNTIFS(TblClusters[Cluster],$I299,TblClusters[Plateforme],"IKS")=0),"Cluster IKS inconnu",IF(AND(OR($G299="À migrer",$G299="Migré"),COUNTIFS(TblClusters[Cluster],$J299,TblClusters[Plateforme],"ROKS")=0),"Cluster ROKS inconnu",IF(AND(OR($G299="À migrer",$G299="À décommissionner"),COUNTIFS(TblClusters[Cluster],$I299,TblClusters[Environnement],$E299)=0),"Environnement ≠ cluster IKS",IF(AND(OR($G299="À migrer",$G299="Migré"),COUNTIFS(TblClusters[Cluster],$J299,TblClusters[Environnement],$E299)=0),"Environnement ≠ cluster ROKS",IF(AND($G299="À migrer",OR($P299&gt;$Q299,$Q299&gt;$R299)),"Dates incohérentes (prov ≤ bascule ≤ libération)",IF(AND(OR($G299="À migrer",$G299="À décommissionner"),OR(N($N299)&gt;SUMIFS(TblClusters[CPU initial (vCPU)],TblClusters[Cluster],$I299),N($O299)&gt;SUMIFS(TblClusters[RAM initiale (Go)],TblClusters[Cluster],$I299))),"Libération &gt; capacité du cluster source",IF(OR(AND($V299&lt;&gt;"",$V299&lt;p_debut),AND($W299&lt;&gt;"",$W299&gt;p_fin)),"Hors horizon (info)",IF(AND($G299="À migrer",$E299="PRD",COUNTIFS(TblApplications[ID],$C299,TblApplications[Environnement],"NPRD",TblApplications[Action],"À migrer")&gt;0,$V299&lt;_xlfn.MINIFS(TblApplications[Mois prov (calc)],TblApplications[ID],$C299,TblApplications[Environnement],"NPRD")),"PRD avant NPRD (info)","OK"))))))))))))))))))))</f>
        <v/>
      </c>
      <c r="AC299" s="76"/>
      <c r="AD299" s="76"/>
      <c r="AE299" s="22" t="str">
        <f aca="false">IF(OR($C299="",NOT(OR($G299="À migrer",$G299="À décommissionner")),NOT(ISNUMBER($N299)),NOT(ISNUMBER($O299)),$W299=""),"",($N299+p_poidsram*$O299)*SUMIFS(TblCalculs[Coût par unité],TblCalculs[Cluster],$I299,TblCalculs[Mois],"&lt;"&amp;$W299))</f>
        <v/>
      </c>
      <c r="AF299" s="22" t="str">
        <f aca="false">IF($C299="","",IF(AND($G299="À migrer",$H299="Non",$T299&lt;&gt;"",$V299&lt;&gt;""),($T299+p_poidsram*$U299)*SUMIFS(TblCalculs[Coût par unité],TblCalculs[Cluster],$J299,TblCalculs[Mois],"&gt;="&amp;$V299),IF(AND($G299="Migré",$T299&lt;&gt;""),($T299+p_poidsram*$U299)*SUMIFS(TblCalculs[Coût par unité],TblCalculs[Cluster],$J299),"")))</f>
        <v/>
      </c>
      <c r="AG299" s="22" t="str">
        <f aca="false">IF($C299="","",N($AE299)+N($AF299))</f>
        <v/>
      </c>
      <c r="AH299" s="21" t="str">
        <f aca="false">IF(OR($C299="",$G299="Décommissionné",COUNTIFS($E299,av_envc,$A299,av_domc,$B299,av_tric)=0),"",COUNTIFS($C$6:$C299,"&lt;&gt;",$G$6:$G299,"&lt;&gt;Décommissionné",$E$6:$E299,av_envc,$A$6:$A299,av_domc,$B$6:$B299,av_tric))</f>
        <v/>
      </c>
      <c r="AI299" s="21" t="str">
        <f aca="false">IF($C299="","",IF(AND(OR($G299="À migrer",$G299="À décommissionner"),$W299&lt;&gt;"",$W299&gt;ex_mois),1,0))</f>
        <v/>
      </c>
      <c r="AJ299" s="21" t="str">
        <f aca="false">IF(OR($C299="",$AI299&lt;&gt;1,COUNTIFS($E299,ex_envc,$A299,ex_domc,$B299,ex_tric)=0),"",COUNTIFS($AI$6:$AI299,1,$E$6:$E299,ex_envc,$A$6:$A299,ex_domc,$B$6:$B299,ex_tric))</f>
        <v/>
      </c>
    </row>
    <row r="300" customFormat="false" ht="15" hidden="false" customHeight="false" outlineLevel="0" collapsed="false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5"/>
      <c r="Q300" s="75"/>
      <c r="R300" s="75"/>
      <c r="S300" s="74"/>
      <c r="T300" s="21" t="str">
        <f aca="false">IF(OR($C300="",NOT(OR($G300="À migrer",$G300="Migré")),NOT(ISNUMBER($K300))),"",ROUNDUP($K300*(1+IF($AC300="",p_margeCPU,$AC300)),0))</f>
        <v/>
      </c>
      <c r="U300" s="21" t="str">
        <f aca="false">IF(OR($C300="",NOT(OR($G300="À migrer",$G300="Migré")),NOT(ISNUMBER($L300))),"",ROUNDUP($L300*(1+IF($AD300="",p_margeRAM,$AD300)),0))</f>
        <v/>
      </c>
      <c r="V300" s="39" t="str">
        <f aca="false">IF(OR(NOT($G300="À migrer"),$P300=""),"",IFERROR(DATE(YEAR($P300),MONTH($P300),1),""))</f>
        <v/>
      </c>
      <c r="W300" s="39" t="str">
        <f aca="false">IF(OR(NOT(OR($G300="À migrer",$G300="À décommissionner")),$R300=""),"",IFERROR(DATE(YEAR($R300),MONTH($R300),1),""))</f>
        <v/>
      </c>
      <c r="X300" s="21" t="str">
        <f aca="false">IF(OR($V300="",$W300=""),"",MAX(0,(YEAR($W300)-YEAR($V300))*12+MONTH($W300)-MONTH($V300)))</f>
        <v/>
      </c>
      <c r="Y300" s="21" t="str">
        <f aca="false">IF($C300="","",COUNTIF(TblApplications[ID],$C300))</f>
        <v/>
      </c>
      <c r="Z300" s="39" t="str">
        <f aca="false">IF($C300="","",IFERROR(1/(1/_xlfn.MINIFS(TblApplications[Mois prov (calc)],TblApplications[ID],$C300)),""))</f>
        <v/>
      </c>
      <c r="AA300" s="39" t="str">
        <f aca="false">IF($C300="","",IFERROR(1/(1/_xlfn.MAXIFS(TblApplications[Mois lib (calc)],TblApplications[ID],$C300)),""))</f>
        <v/>
      </c>
      <c r="AB300" s="21" t="str">
        <f aca="false">IF($C300="","",IF(OR(OR($A300="",$B300="",$D300="",$E300="",$F300="",$G300=""),AND($G300="À migrer",OR($H300="",$I300="",$J300="",$K300="",$L300="",$N300="",$O300="",$P300="",$Q300="",$R300="")),AND($G300="Migré",OR($J300="",$K300="",$L300="")),AND($G300="À décommissionner",OR($I300="",$N300="",$O300="",$R300=""))),"Données manquantes (selon l’action)",IF(AND($G300&lt;&gt;"Migré",$G300&lt;&gt;"À migrer",$G300&lt;&gt;"À décommissionner",$G300&lt;&gt;"Décommissionné"),"Action invalide",IF(COUNTIF(TblDomaines[Domaine],$A300)=0,"Domaine inconnu (référentiel)",IF(COUNTIFS(TblTribes[Tribe],$B300,TblTribes[Domaine de la tribe],$A300)=0,"Tribe inconnue ou hors domaine",IF(AND($G300="À migrer",$H300&lt;&gt;"Oui",$H300&lt;&gt;"Non"),"Valeur Oui/Non invalide (Déjà incluse ROKS)",IF(AND($E300&lt;&gt;"PRD",$E300&lt;&gt;"NPRD"),"Environnement invalide",IF(COUNTIFS(TblApplications[ID],$C300,TblApplications[Environnement],$E300,TblApplications[Couloir],$F300)&gt;1,"Déploiement en doublon (ID + env + couloir)",IF(OR(AND($K300&lt;&gt;"",NOT(ISNUMBER($K300))),AND($L300&lt;&gt;"",NOT(ISNUMBER($L300))),AND($N300&lt;&gt;"",NOT(ISNUMBER($N300))),AND($O300&lt;&gt;"",NOT(ISNUMBER($O300)))),"Ressource non numérique",IF(MIN(N($K300),N($L300),N($N300),N($O300))&lt;0,"Ressource négative",IF(OR(AND($AC300&lt;&gt;"",OR(NOT(ISNUMBER($AC300)),$AC300&lt;0,$AC300&gt;1)),AND($AD300&lt;&gt;"",OR(NOT(ISNUMBER($AD300)),$AD300&lt;0,$AD300&gt;1))),"Marge spécifique invalide (0–100 %)",IF(OR(AND($P300&lt;&gt;"",NOT(ISNUMBER($P300))),AND($Q300&lt;&gt;"",NOT(ISNUMBER($Q300))),AND($R300&lt;&gt;"",NOT(ISNUMBER($R300)))),"Mois invalide",IF(AND(OR($G300="À migrer",$G300="À décommissionner"),COUNTIFS(TblClusters[Cluster],$I300,TblClusters[Plateforme],"IKS")=0),"Cluster IKS inconnu",IF(AND(OR($G300="À migrer",$G300="Migré"),COUNTIFS(TblClusters[Cluster],$J300,TblClusters[Plateforme],"ROKS")=0),"Cluster ROKS inconnu",IF(AND(OR($G300="À migrer",$G300="À décommissionner"),COUNTIFS(TblClusters[Cluster],$I300,TblClusters[Environnement],$E300)=0),"Environnement ≠ cluster IKS",IF(AND(OR($G300="À migrer",$G300="Migré"),COUNTIFS(TblClusters[Cluster],$J300,TblClusters[Environnement],$E300)=0),"Environnement ≠ cluster ROKS",IF(AND($G300="À migrer",OR($P300&gt;$Q300,$Q300&gt;$R300)),"Dates incohérentes (prov ≤ bascule ≤ libération)",IF(AND(OR($G300="À migrer",$G300="À décommissionner"),OR(N($N300)&gt;SUMIFS(TblClusters[CPU initial (vCPU)],TblClusters[Cluster],$I300),N($O300)&gt;SUMIFS(TblClusters[RAM initiale (Go)],TblClusters[Cluster],$I300))),"Libération &gt; capacité du cluster source",IF(OR(AND($V300&lt;&gt;"",$V300&lt;p_debut),AND($W300&lt;&gt;"",$W300&gt;p_fin)),"Hors horizon (info)",IF(AND($G300="À migrer",$E300="PRD",COUNTIFS(TblApplications[ID],$C300,TblApplications[Environnement],"NPRD",TblApplications[Action],"À migrer")&gt;0,$V300&lt;_xlfn.MINIFS(TblApplications[Mois prov (calc)],TblApplications[ID],$C300,TblApplications[Environnement],"NPRD")),"PRD avant NPRD (info)","OK"))))))))))))))))))))</f>
        <v/>
      </c>
      <c r="AC300" s="76"/>
      <c r="AD300" s="76"/>
      <c r="AE300" s="22" t="str">
        <f aca="false">IF(OR($C300="",NOT(OR($G300="À migrer",$G300="À décommissionner")),NOT(ISNUMBER($N300)),NOT(ISNUMBER($O300)),$W300=""),"",($N300+p_poidsram*$O300)*SUMIFS(TblCalculs[Coût par unité],TblCalculs[Cluster],$I300,TblCalculs[Mois],"&lt;"&amp;$W300))</f>
        <v/>
      </c>
      <c r="AF300" s="22" t="str">
        <f aca="false">IF($C300="","",IF(AND($G300="À migrer",$H300="Non",$T300&lt;&gt;"",$V300&lt;&gt;""),($T300+p_poidsram*$U300)*SUMIFS(TblCalculs[Coût par unité],TblCalculs[Cluster],$J300,TblCalculs[Mois],"&gt;="&amp;$V300),IF(AND($G300="Migré",$T300&lt;&gt;""),($T300+p_poidsram*$U300)*SUMIFS(TblCalculs[Coût par unité],TblCalculs[Cluster],$J300),"")))</f>
        <v/>
      </c>
      <c r="AG300" s="22" t="str">
        <f aca="false">IF($C300="","",N($AE300)+N($AF300))</f>
        <v/>
      </c>
      <c r="AH300" s="21" t="str">
        <f aca="false">IF(OR($C300="",$G300="Décommissionné",COUNTIFS($E300,av_envc,$A300,av_domc,$B300,av_tric)=0),"",COUNTIFS($C$6:$C300,"&lt;&gt;",$G$6:$G300,"&lt;&gt;Décommissionné",$E$6:$E300,av_envc,$A$6:$A300,av_domc,$B$6:$B300,av_tric))</f>
        <v/>
      </c>
      <c r="AI300" s="21" t="str">
        <f aca="false">IF($C300="","",IF(AND(OR($G300="À migrer",$G300="À décommissionner"),$W300&lt;&gt;"",$W300&gt;ex_mois),1,0))</f>
        <v/>
      </c>
      <c r="AJ300" s="21" t="str">
        <f aca="false">IF(OR($C300="",$AI300&lt;&gt;1,COUNTIFS($E300,ex_envc,$A300,ex_domc,$B300,ex_tric)=0),"",COUNTIFS($AI$6:$AI300,1,$E$6:$E300,ex_envc,$A$6:$A300,ex_domc,$B$6:$B300,ex_tric))</f>
        <v/>
      </c>
    </row>
    <row r="301" customFormat="false" ht="15" hidden="false" customHeight="false" outlineLevel="0" collapsed="false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5"/>
      <c r="Q301" s="75"/>
      <c r="R301" s="75"/>
      <c r="S301" s="74"/>
      <c r="T301" s="21" t="str">
        <f aca="false">IF(OR($C301="",NOT(OR($G301="À migrer",$G301="Migré")),NOT(ISNUMBER($K301))),"",ROUNDUP($K301*(1+IF($AC301="",p_margeCPU,$AC301)),0))</f>
        <v/>
      </c>
      <c r="U301" s="21" t="str">
        <f aca="false">IF(OR($C301="",NOT(OR($G301="À migrer",$G301="Migré")),NOT(ISNUMBER($L301))),"",ROUNDUP($L301*(1+IF($AD301="",p_margeRAM,$AD301)),0))</f>
        <v/>
      </c>
      <c r="V301" s="39" t="str">
        <f aca="false">IF(OR(NOT($G301="À migrer"),$P301=""),"",IFERROR(DATE(YEAR($P301),MONTH($P301),1),""))</f>
        <v/>
      </c>
      <c r="W301" s="39" t="str">
        <f aca="false">IF(OR(NOT(OR($G301="À migrer",$G301="À décommissionner")),$R301=""),"",IFERROR(DATE(YEAR($R301),MONTH($R301),1),""))</f>
        <v/>
      </c>
      <c r="X301" s="21" t="str">
        <f aca="false">IF(OR($V301="",$W301=""),"",MAX(0,(YEAR($W301)-YEAR($V301))*12+MONTH($W301)-MONTH($V301)))</f>
        <v/>
      </c>
      <c r="Y301" s="21" t="str">
        <f aca="false">IF($C301="","",COUNTIF(TblApplications[ID],$C301))</f>
        <v/>
      </c>
      <c r="Z301" s="39" t="str">
        <f aca="false">IF($C301="","",IFERROR(1/(1/_xlfn.MINIFS(TblApplications[Mois prov (calc)],TblApplications[ID],$C301)),""))</f>
        <v/>
      </c>
      <c r="AA301" s="39" t="str">
        <f aca="false">IF($C301="","",IFERROR(1/(1/_xlfn.MAXIFS(TblApplications[Mois lib (calc)],TblApplications[ID],$C301)),""))</f>
        <v/>
      </c>
      <c r="AB301" s="21" t="str">
        <f aca="false">IF($C301="","",IF(OR(OR($A301="",$B301="",$D301="",$E301="",$F301="",$G301=""),AND($G301="À migrer",OR($H301="",$I301="",$J301="",$K301="",$L301="",$N301="",$O301="",$P301="",$Q301="",$R301="")),AND($G301="Migré",OR($J301="",$K301="",$L301="")),AND($G301="À décommissionner",OR($I301="",$N301="",$O301="",$R301=""))),"Données manquantes (selon l’action)",IF(AND($G301&lt;&gt;"Migré",$G301&lt;&gt;"À migrer",$G301&lt;&gt;"À décommissionner",$G301&lt;&gt;"Décommissionné"),"Action invalide",IF(COUNTIF(TblDomaines[Domaine],$A301)=0,"Domaine inconnu (référentiel)",IF(COUNTIFS(TblTribes[Tribe],$B301,TblTribes[Domaine de la tribe],$A301)=0,"Tribe inconnue ou hors domaine",IF(AND($G301="À migrer",$H301&lt;&gt;"Oui",$H301&lt;&gt;"Non"),"Valeur Oui/Non invalide (Déjà incluse ROKS)",IF(AND($E301&lt;&gt;"PRD",$E301&lt;&gt;"NPRD"),"Environnement invalide",IF(COUNTIFS(TblApplications[ID],$C301,TblApplications[Environnement],$E301,TblApplications[Couloir],$F301)&gt;1,"Déploiement en doublon (ID + env + couloir)",IF(OR(AND($K301&lt;&gt;"",NOT(ISNUMBER($K301))),AND($L301&lt;&gt;"",NOT(ISNUMBER($L301))),AND($N301&lt;&gt;"",NOT(ISNUMBER($N301))),AND($O301&lt;&gt;"",NOT(ISNUMBER($O301)))),"Ressource non numérique",IF(MIN(N($K301),N($L301),N($N301),N($O301))&lt;0,"Ressource négative",IF(OR(AND($AC301&lt;&gt;"",OR(NOT(ISNUMBER($AC301)),$AC301&lt;0,$AC301&gt;1)),AND($AD301&lt;&gt;"",OR(NOT(ISNUMBER($AD301)),$AD301&lt;0,$AD301&gt;1))),"Marge spécifique invalide (0–100 %)",IF(OR(AND($P301&lt;&gt;"",NOT(ISNUMBER($P301))),AND($Q301&lt;&gt;"",NOT(ISNUMBER($Q301))),AND($R301&lt;&gt;"",NOT(ISNUMBER($R301)))),"Mois invalide",IF(AND(OR($G301="À migrer",$G301="À décommissionner"),COUNTIFS(TblClusters[Cluster],$I301,TblClusters[Plateforme],"IKS")=0),"Cluster IKS inconnu",IF(AND(OR($G301="À migrer",$G301="Migré"),COUNTIFS(TblClusters[Cluster],$J301,TblClusters[Plateforme],"ROKS")=0),"Cluster ROKS inconnu",IF(AND(OR($G301="À migrer",$G301="À décommissionner"),COUNTIFS(TblClusters[Cluster],$I301,TblClusters[Environnement],$E301)=0),"Environnement ≠ cluster IKS",IF(AND(OR($G301="À migrer",$G301="Migré"),COUNTIFS(TblClusters[Cluster],$J301,TblClusters[Environnement],$E301)=0),"Environnement ≠ cluster ROKS",IF(AND($G301="À migrer",OR($P301&gt;$Q301,$Q301&gt;$R301)),"Dates incohérentes (prov ≤ bascule ≤ libération)",IF(AND(OR($G301="À migrer",$G301="À décommissionner"),OR(N($N301)&gt;SUMIFS(TblClusters[CPU initial (vCPU)],TblClusters[Cluster],$I301),N($O301)&gt;SUMIFS(TblClusters[RAM initiale (Go)],TblClusters[Cluster],$I301))),"Libération &gt; capacité du cluster source",IF(OR(AND($V301&lt;&gt;"",$V301&lt;p_debut),AND($W301&lt;&gt;"",$W301&gt;p_fin)),"Hors horizon (info)",IF(AND($G301="À migrer",$E301="PRD",COUNTIFS(TblApplications[ID],$C301,TblApplications[Environnement],"NPRD",TblApplications[Action],"À migrer")&gt;0,$V301&lt;_xlfn.MINIFS(TblApplications[Mois prov (calc)],TblApplications[ID],$C301,TblApplications[Environnement],"NPRD")),"PRD avant NPRD (info)","OK"))))))))))))))))))))</f>
        <v/>
      </c>
      <c r="AC301" s="76"/>
      <c r="AD301" s="76"/>
      <c r="AE301" s="22" t="str">
        <f aca="false">IF(OR($C301="",NOT(OR($G301="À migrer",$G301="À décommissionner")),NOT(ISNUMBER($N301)),NOT(ISNUMBER($O301)),$W301=""),"",($N301+p_poidsram*$O301)*SUMIFS(TblCalculs[Coût par unité],TblCalculs[Cluster],$I301,TblCalculs[Mois],"&lt;"&amp;$W301))</f>
        <v/>
      </c>
      <c r="AF301" s="22" t="str">
        <f aca="false">IF($C301="","",IF(AND($G301="À migrer",$H301="Non",$T301&lt;&gt;"",$V301&lt;&gt;""),($T301+p_poidsram*$U301)*SUMIFS(TblCalculs[Coût par unité],TblCalculs[Cluster],$J301,TblCalculs[Mois],"&gt;="&amp;$V301),IF(AND($G301="Migré",$T301&lt;&gt;""),($T301+p_poidsram*$U301)*SUMIFS(TblCalculs[Coût par unité],TblCalculs[Cluster],$J301),"")))</f>
        <v/>
      </c>
      <c r="AG301" s="22" t="str">
        <f aca="false">IF($C301="","",N($AE301)+N($AF301))</f>
        <v/>
      </c>
      <c r="AH301" s="21" t="str">
        <f aca="false">IF(OR($C301="",$G301="Décommissionné",COUNTIFS($E301,av_envc,$A301,av_domc,$B301,av_tric)=0),"",COUNTIFS($C$6:$C301,"&lt;&gt;",$G$6:$G301,"&lt;&gt;Décommissionné",$E$6:$E301,av_envc,$A$6:$A301,av_domc,$B$6:$B301,av_tric))</f>
        <v/>
      </c>
      <c r="AI301" s="21" t="str">
        <f aca="false">IF($C301="","",IF(AND(OR($G301="À migrer",$G301="À décommissionner"),$W301&lt;&gt;"",$W301&gt;ex_mois),1,0))</f>
        <v/>
      </c>
      <c r="AJ301" s="21" t="str">
        <f aca="false">IF(OR($C301="",$AI301&lt;&gt;1,COUNTIFS($E301,ex_envc,$A301,ex_domc,$B301,ex_tric)=0),"",COUNTIFS($AI$6:$AI301,1,$E$6:$E301,ex_envc,$A$6:$A301,ex_domc,$B$6:$B301,ex_tric))</f>
        <v/>
      </c>
    </row>
    <row r="302" customFormat="false" ht="15" hidden="false" customHeight="false" outlineLevel="0" collapsed="false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5"/>
      <c r="Q302" s="75"/>
      <c r="R302" s="75"/>
      <c r="S302" s="74"/>
      <c r="T302" s="21" t="str">
        <f aca="false">IF(OR($C302="",NOT(OR($G302="À migrer",$G302="Migré")),NOT(ISNUMBER($K302))),"",ROUNDUP($K302*(1+IF($AC302="",p_margeCPU,$AC302)),0))</f>
        <v/>
      </c>
      <c r="U302" s="21" t="str">
        <f aca="false">IF(OR($C302="",NOT(OR($G302="À migrer",$G302="Migré")),NOT(ISNUMBER($L302))),"",ROUNDUP($L302*(1+IF($AD302="",p_margeRAM,$AD302)),0))</f>
        <v/>
      </c>
      <c r="V302" s="39" t="str">
        <f aca="false">IF(OR(NOT($G302="À migrer"),$P302=""),"",IFERROR(DATE(YEAR($P302),MONTH($P302),1),""))</f>
        <v/>
      </c>
      <c r="W302" s="39" t="str">
        <f aca="false">IF(OR(NOT(OR($G302="À migrer",$G302="À décommissionner")),$R302=""),"",IFERROR(DATE(YEAR($R302),MONTH($R302),1),""))</f>
        <v/>
      </c>
      <c r="X302" s="21" t="str">
        <f aca="false">IF(OR($V302="",$W302=""),"",MAX(0,(YEAR($W302)-YEAR($V302))*12+MONTH($W302)-MONTH($V302)))</f>
        <v/>
      </c>
      <c r="Y302" s="21" t="str">
        <f aca="false">IF($C302="","",COUNTIF(TblApplications[ID],$C302))</f>
        <v/>
      </c>
      <c r="Z302" s="39" t="str">
        <f aca="false">IF($C302="","",IFERROR(1/(1/_xlfn.MINIFS(TblApplications[Mois prov (calc)],TblApplications[ID],$C302)),""))</f>
        <v/>
      </c>
      <c r="AA302" s="39" t="str">
        <f aca="false">IF($C302="","",IFERROR(1/(1/_xlfn.MAXIFS(TblApplications[Mois lib (calc)],TblApplications[ID],$C302)),""))</f>
        <v/>
      </c>
      <c r="AB302" s="21" t="str">
        <f aca="false">IF($C302="","",IF(OR(OR($A302="",$B302="",$D302="",$E302="",$F302="",$G302=""),AND($G302="À migrer",OR($H302="",$I302="",$J302="",$K302="",$L302="",$N302="",$O302="",$P302="",$Q302="",$R302="")),AND($G302="Migré",OR($J302="",$K302="",$L302="")),AND($G302="À décommissionner",OR($I302="",$N302="",$O302="",$R302=""))),"Données manquantes (selon l’action)",IF(AND($G302&lt;&gt;"Migré",$G302&lt;&gt;"À migrer",$G302&lt;&gt;"À décommissionner",$G302&lt;&gt;"Décommissionné"),"Action invalide",IF(COUNTIF(TblDomaines[Domaine],$A302)=0,"Domaine inconnu (référentiel)",IF(COUNTIFS(TblTribes[Tribe],$B302,TblTribes[Domaine de la tribe],$A302)=0,"Tribe inconnue ou hors domaine",IF(AND($G302="À migrer",$H302&lt;&gt;"Oui",$H302&lt;&gt;"Non"),"Valeur Oui/Non invalide (Déjà incluse ROKS)",IF(AND($E302&lt;&gt;"PRD",$E302&lt;&gt;"NPRD"),"Environnement invalide",IF(COUNTIFS(TblApplications[ID],$C302,TblApplications[Environnement],$E302,TblApplications[Couloir],$F302)&gt;1,"Déploiement en doublon (ID + env + couloir)",IF(OR(AND($K302&lt;&gt;"",NOT(ISNUMBER($K302))),AND($L302&lt;&gt;"",NOT(ISNUMBER($L302))),AND($N302&lt;&gt;"",NOT(ISNUMBER($N302))),AND($O302&lt;&gt;"",NOT(ISNUMBER($O302)))),"Ressource non numérique",IF(MIN(N($K302),N($L302),N($N302),N($O302))&lt;0,"Ressource négative",IF(OR(AND($AC302&lt;&gt;"",OR(NOT(ISNUMBER($AC302)),$AC302&lt;0,$AC302&gt;1)),AND($AD302&lt;&gt;"",OR(NOT(ISNUMBER($AD302)),$AD302&lt;0,$AD302&gt;1))),"Marge spécifique invalide (0–100 %)",IF(OR(AND($P302&lt;&gt;"",NOT(ISNUMBER($P302))),AND($Q302&lt;&gt;"",NOT(ISNUMBER($Q302))),AND($R302&lt;&gt;"",NOT(ISNUMBER($R302)))),"Mois invalide",IF(AND(OR($G302="À migrer",$G302="À décommissionner"),COUNTIFS(TblClusters[Cluster],$I302,TblClusters[Plateforme],"IKS")=0),"Cluster IKS inconnu",IF(AND(OR($G302="À migrer",$G302="Migré"),COUNTIFS(TblClusters[Cluster],$J302,TblClusters[Plateforme],"ROKS")=0),"Cluster ROKS inconnu",IF(AND(OR($G302="À migrer",$G302="À décommissionner"),COUNTIFS(TblClusters[Cluster],$I302,TblClusters[Environnement],$E302)=0),"Environnement ≠ cluster IKS",IF(AND(OR($G302="À migrer",$G302="Migré"),COUNTIFS(TblClusters[Cluster],$J302,TblClusters[Environnement],$E302)=0),"Environnement ≠ cluster ROKS",IF(AND($G302="À migrer",OR($P302&gt;$Q302,$Q302&gt;$R302)),"Dates incohérentes (prov ≤ bascule ≤ libération)",IF(AND(OR($G302="À migrer",$G302="À décommissionner"),OR(N($N302)&gt;SUMIFS(TblClusters[CPU initial (vCPU)],TblClusters[Cluster],$I302),N($O302)&gt;SUMIFS(TblClusters[RAM initiale (Go)],TblClusters[Cluster],$I302))),"Libération &gt; capacité du cluster source",IF(OR(AND($V302&lt;&gt;"",$V302&lt;p_debut),AND($W302&lt;&gt;"",$W302&gt;p_fin)),"Hors horizon (info)",IF(AND($G302="À migrer",$E302="PRD",COUNTIFS(TblApplications[ID],$C302,TblApplications[Environnement],"NPRD",TblApplications[Action],"À migrer")&gt;0,$V302&lt;_xlfn.MINIFS(TblApplications[Mois prov (calc)],TblApplications[ID],$C302,TblApplications[Environnement],"NPRD")),"PRD avant NPRD (info)","OK"))))))))))))))))))))</f>
        <v/>
      </c>
      <c r="AC302" s="76"/>
      <c r="AD302" s="76"/>
      <c r="AE302" s="22" t="str">
        <f aca="false">IF(OR($C302="",NOT(OR($G302="À migrer",$G302="À décommissionner")),NOT(ISNUMBER($N302)),NOT(ISNUMBER($O302)),$W302=""),"",($N302+p_poidsram*$O302)*SUMIFS(TblCalculs[Coût par unité],TblCalculs[Cluster],$I302,TblCalculs[Mois],"&lt;"&amp;$W302))</f>
        <v/>
      </c>
      <c r="AF302" s="22" t="str">
        <f aca="false">IF($C302="","",IF(AND($G302="À migrer",$H302="Non",$T302&lt;&gt;"",$V302&lt;&gt;""),($T302+p_poidsram*$U302)*SUMIFS(TblCalculs[Coût par unité],TblCalculs[Cluster],$J302,TblCalculs[Mois],"&gt;="&amp;$V302),IF(AND($G302="Migré",$T302&lt;&gt;""),($T302+p_poidsram*$U302)*SUMIFS(TblCalculs[Coût par unité],TblCalculs[Cluster],$J302),"")))</f>
        <v/>
      </c>
      <c r="AG302" s="22" t="str">
        <f aca="false">IF($C302="","",N($AE302)+N($AF302))</f>
        <v/>
      </c>
      <c r="AH302" s="21" t="str">
        <f aca="false">IF(OR($C302="",$G302="Décommissionné",COUNTIFS($E302,av_envc,$A302,av_domc,$B302,av_tric)=0),"",COUNTIFS($C$6:$C302,"&lt;&gt;",$G$6:$G302,"&lt;&gt;Décommissionné",$E$6:$E302,av_envc,$A$6:$A302,av_domc,$B$6:$B302,av_tric))</f>
        <v/>
      </c>
      <c r="AI302" s="21" t="str">
        <f aca="false">IF($C302="","",IF(AND(OR($G302="À migrer",$G302="À décommissionner"),$W302&lt;&gt;"",$W302&gt;ex_mois),1,0))</f>
        <v/>
      </c>
      <c r="AJ302" s="21" t="str">
        <f aca="false">IF(OR($C302="",$AI302&lt;&gt;1,COUNTIFS($E302,ex_envc,$A302,ex_domc,$B302,ex_tric)=0),"",COUNTIFS($AI$6:$AI302,1,$E$6:$E302,ex_envc,$A$6:$A302,ex_domc,$B$6:$B302,ex_tric))</f>
        <v/>
      </c>
    </row>
    <row r="303" customFormat="false" ht="15" hidden="false" customHeight="false" outlineLevel="0" collapsed="false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5"/>
      <c r="Q303" s="75"/>
      <c r="R303" s="75"/>
      <c r="S303" s="74"/>
      <c r="T303" s="21" t="str">
        <f aca="false">IF(OR($C303="",NOT(OR($G303="À migrer",$G303="Migré")),NOT(ISNUMBER($K303))),"",ROUNDUP($K303*(1+IF($AC303="",p_margeCPU,$AC303)),0))</f>
        <v/>
      </c>
      <c r="U303" s="21" t="str">
        <f aca="false">IF(OR($C303="",NOT(OR($G303="À migrer",$G303="Migré")),NOT(ISNUMBER($L303))),"",ROUNDUP($L303*(1+IF($AD303="",p_margeRAM,$AD303)),0))</f>
        <v/>
      </c>
      <c r="V303" s="39" t="str">
        <f aca="false">IF(OR(NOT($G303="À migrer"),$P303=""),"",IFERROR(DATE(YEAR($P303),MONTH($P303),1),""))</f>
        <v/>
      </c>
      <c r="W303" s="39" t="str">
        <f aca="false">IF(OR(NOT(OR($G303="À migrer",$G303="À décommissionner")),$R303=""),"",IFERROR(DATE(YEAR($R303),MONTH($R303),1),""))</f>
        <v/>
      </c>
      <c r="X303" s="21" t="str">
        <f aca="false">IF(OR($V303="",$W303=""),"",MAX(0,(YEAR($W303)-YEAR($V303))*12+MONTH($W303)-MONTH($V303)))</f>
        <v/>
      </c>
      <c r="Y303" s="21" t="str">
        <f aca="false">IF($C303="","",COUNTIF(TblApplications[ID],$C303))</f>
        <v/>
      </c>
      <c r="Z303" s="39" t="str">
        <f aca="false">IF($C303="","",IFERROR(1/(1/_xlfn.MINIFS(TblApplications[Mois prov (calc)],TblApplications[ID],$C303)),""))</f>
        <v/>
      </c>
      <c r="AA303" s="39" t="str">
        <f aca="false">IF($C303="","",IFERROR(1/(1/_xlfn.MAXIFS(TblApplications[Mois lib (calc)],TblApplications[ID],$C303)),""))</f>
        <v/>
      </c>
      <c r="AB303" s="21" t="str">
        <f aca="false">IF($C303="","",IF(OR(OR($A303="",$B303="",$D303="",$E303="",$F303="",$G303=""),AND($G303="À migrer",OR($H303="",$I303="",$J303="",$K303="",$L303="",$N303="",$O303="",$P303="",$Q303="",$R303="")),AND($G303="Migré",OR($J303="",$K303="",$L303="")),AND($G303="À décommissionner",OR($I303="",$N303="",$O303="",$R303=""))),"Données manquantes (selon l’action)",IF(AND($G303&lt;&gt;"Migré",$G303&lt;&gt;"À migrer",$G303&lt;&gt;"À décommissionner",$G303&lt;&gt;"Décommissionné"),"Action invalide",IF(COUNTIF(TblDomaines[Domaine],$A303)=0,"Domaine inconnu (référentiel)",IF(COUNTIFS(TblTribes[Tribe],$B303,TblTribes[Domaine de la tribe],$A303)=0,"Tribe inconnue ou hors domaine",IF(AND($G303="À migrer",$H303&lt;&gt;"Oui",$H303&lt;&gt;"Non"),"Valeur Oui/Non invalide (Déjà incluse ROKS)",IF(AND($E303&lt;&gt;"PRD",$E303&lt;&gt;"NPRD"),"Environnement invalide",IF(COUNTIFS(TblApplications[ID],$C303,TblApplications[Environnement],$E303,TblApplications[Couloir],$F303)&gt;1,"Déploiement en doublon (ID + env + couloir)",IF(OR(AND($K303&lt;&gt;"",NOT(ISNUMBER($K303))),AND($L303&lt;&gt;"",NOT(ISNUMBER($L303))),AND($N303&lt;&gt;"",NOT(ISNUMBER($N303))),AND($O303&lt;&gt;"",NOT(ISNUMBER($O303)))),"Ressource non numérique",IF(MIN(N($K303),N($L303),N($N303),N($O303))&lt;0,"Ressource négative",IF(OR(AND($AC303&lt;&gt;"",OR(NOT(ISNUMBER($AC303)),$AC303&lt;0,$AC303&gt;1)),AND($AD303&lt;&gt;"",OR(NOT(ISNUMBER($AD303)),$AD303&lt;0,$AD303&gt;1))),"Marge spécifique invalide (0–100 %)",IF(OR(AND($P303&lt;&gt;"",NOT(ISNUMBER($P303))),AND($Q303&lt;&gt;"",NOT(ISNUMBER($Q303))),AND($R303&lt;&gt;"",NOT(ISNUMBER($R303)))),"Mois invalide",IF(AND(OR($G303="À migrer",$G303="À décommissionner"),COUNTIFS(TblClusters[Cluster],$I303,TblClusters[Plateforme],"IKS")=0),"Cluster IKS inconnu",IF(AND(OR($G303="À migrer",$G303="Migré"),COUNTIFS(TblClusters[Cluster],$J303,TblClusters[Plateforme],"ROKS")=0),"Cluster ROKS inconnu",IF(AND(OR($G303="À migrer",$G303="À décommissionner"),COUNTIFS(TblClusters[Cluster],$I303,TblClusters[Environnement],$E303)=0),"Environnement ≠ cluster IKS",IF(AND(OR($G303="À migrer",$G303="Migré"),COUNTIFS(TblClusters[Cluster],$J303,TblClusters[Environnement],$E303)=0),"Environnement ≠ cluster ROKS",IF(AND($G303="À migrer",OR($P303&gt;$Q303,$Q303&gt;$R303)),"Dates incohérentes (prov ≤ bascule ≤ libération)",IF(AND(OR($G303="À migrer",$G303="À décommissionner"),OR(N($N303)&gt;SUMIFS(TblClusters[CPU initial (vCPU)],TblClusters[Cluster],$I303),N($O303)&gt;SUMIFS(TblClusters[RAM initiale (Go)],TblClusters[Cluster],$I303))),"Libération &gt; capacité du cluster source",IF(OR(AND($V303&lt;&gt;"",$V303&lt;p_debut),AND($W303&lt;&gt;"",$W303&gt;p_fin)),"Hors horizon (info)",IF(AND($G303="À migrer",$E303="PRD",COUNTIFS(TblApplications[ID],$C303,TblApplications[Environnement],"NPRD",TblApplications[Action],"À migrer")&gt;0,$V303&lt;_xlfn.MINIFS(TblApplications[Mois prov (calc)],TblApplications[ID],$C303,TblApplications[Environnement],"NPRD")),"PRD avant NPRD (info)","OK"))))))))))))))))))))</f>
        <v/>
      </c>
      <c r="AC303" s="76"/>
      <c r="AD303" s="76"/>
      <c r="AE303" s="22" t="str">
        <f aca="false">IF(OR($C303="",NOT(OR($G303="À migrer",$G303="À décommissionner")),NOT(ISNUMBER($N303)),NOT(ISNUMBER($O303)),$W303=""),"",($N303+p_poidsram*$O303)*SUMIFS(TblCalculs[Coût par unité],TblCalculs[Cluster],$I303,TblCalculs[Mois],"&lt;"&amp;$W303))</f>
        <v/>
      </c>
      <c r="AF303" s="22" t="str">
        <f aca="false">IF($C303="","",IF(AND($G303="À migrer",$H303="Non",$T303&lt;&gt;"",$V303&lt;&gt;""),($T303+p_poidsram*$U303)*SUMIFS(TblCalculs[Coût par unité],TblCalculs[Cluster],$J303,TblCalculs[Mois],"&gt;="&amp;$V303),IF(AND($G303="Migré",$T303&lt;&gt;""),($T303+p_poidsram*$U303)*SUMIFS(TblCalculs[Coût par unité],TblCalculs[Cluster],$J303),"")))</f>
        <v/>
      </c>
      <c r="AG303" s="22" t="str">
        <f aca="false">IF($C303="","",N($AE303)+N($AF303))</f>
        <v/>
      </c>
      <c r="AH303" s="21" t="str">
        <f aca="false">IF(OR($C303="",$G303="Décommissionné",COUNTIFS($E303,av_envc,$A303,av_domc,$B303,av_tric)=0),"",COUNTIFS($C$6:$C303,"&lt;&gt;",$G$6:$G303,"&lt;&gt;Décommissionné",$E$6:$E303,av_envc,$A$6:$A303,av_domc,$B$6:$B303,av_tric))</f>
        <v/>
      </c>
      <c r="AI303" s="21" t="str">
        <f aca="false">IF($C303="","",IF(AND(OR($G303="À migrer",$G303="À décommissionner"),$W303&lt;&gt;"",$W303&gt;ex_mois),1,0))</f>
        <v/>
      </c>
      <c r="AJ303" s="21" t="str">
        <f aca="false">IF(OR($C303="",$AI303&lt;&gt;1,COUNTIFS($E303,ex_envc,$A303,ex_domc,$B303,ex_tric)=0),"",COUNTIFS($AI$6:$AI303,1,$E$6:$E303,ex_envc,$A$6:$A303,ex_domc,$B$6:$B303,ex_tric))</f>
        <v/>
      </c>
    </row>
    <row r="304" customFormat="false" ht="15" hidden="false" customHeight="false" outlineLevel="0" collapsed="false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5"/>
      <c r="Q304" s="75"/>
      <c r="R304" s="75"/>
      <c r="S304" s="74"/>
      <c r="T304" s="21" t="str">
        <f aca="false">IF(OR($C304="",NOT(OR($G304="À migrer",$G304="Migré")),NOT(ISNUMBER($K304))),"",ROUNDUP($K304*(1+IF($AC304="",p_margeCPU,$AC304)),0))</f>
        <v/>
      </c>
      <c r="U304" s="21" t="str">
        <f aca="false">IF(OR($C304="",NOT(OR($G304="À migrer",$G304="Migré")),NOT(ISNUMBER($L304))),"",ROUNDUP($L304*(1+IF($AD304="",p_margeRAM,$AD304)),0))</f>
        <v/>
      </c>
      <c r="V304" s="39" t="str">
        <f aca="false">IF(OR(NOT($G304="À migrer"),$P304=""),"",IFERROR(DATE(YEAR($P304),MONTH($P304),1),""))</f>
        <v/>
      </c>
      <c r="W304" s="39" t="str">
        <f aca="false">IF(OR(NOT(OR($G304="À migrer",$G304="À décommissionner")),$R304=""),"",IFERROR(DATE(YEAR($R304),MONTH($R304),1),""))</f>
        <v/>
      </c>
      <c r="X304" s="21" t="str">
        <f aca="false">IF(OR($V304="",$W304=""),"",MAX(0,(YEAR($W304)-YEAR($V304))*12+MONTH($W304)-MONTH($V304)))</f>
        <v/>
      </c>
      <c r="Y304" s="21" t="str">
        <f aca="false">IF($C304="","",COUNTIF(TblApplications[ID],$C304))</f>
        <v/>
      </c>
      <c r="Z304" s="39" t="str">
        <f aca="false">IF($C304="","",IFERROR(1/(1/_xlfn.MINIFS(TblApplications[Mois prov (calc)],TblApplications[ID],$C304)),""))</f>
        <v/>
      </c>
      <c r="AA304" s="39" t="str">
        <f aca="false">IF($C304="","",IFERROR(1/(1/_xlfn.MAXIFS(TblApplications[Mois lib (calc)],TblApplications[ID],$C304)),""))</f>
        <v/>
      </c>
      <c r="AB304" s="21" t="str">
        <f aca="false">IF($C304="","",IF(OR(OR($A304="",$B304="",$D304="",$E304="",$F304="",$G304=""),AND($G304="À migrer",OR($H304="",$I304="",$J304="",$K304="",$L304="",$N304="",$O304="",$P304="",$Q304="",$R304="")),AND($G304="Migré",OR($J304="",$K304="",$L304="")),AND($G304="À décommissionner",OR($I304="",$N304="",$O304="",$R304=""))),"Données manquantes (selon l’action)",IF(AND($G304&lt;&gt;"Migré",$G304&lt;&gt;"À migrer",$G304&lt;&gt;"À décommissionner",$G304&lt;&gt;"Décommissionné"),"Action invalide",IF(COUNTIF(TblDomaines[Domaine],$A304)=0,"Domaine inconnu (référentiel)",IF(COUNTIFS(TblTribes[Tribe],$B304,TblTribes[Domaine de la tribe],$A304)=0,"Tribe inconnue ou hors domaine",IF(AND($G304="À migrer",$H304&lt;&gt;"Oui",$H304&lt;&gt;"Non"),"Valeur Oui/Non invalide (Déjà incluse ROKS)",IF(AND($E304&lt;&gt;"PRD",$E304&lt;&gt;"NPRD"),"Environnement invalide",IF(COUNTIFS(TblApplications[ID],$C304,TblApplications[Environnement],$E304,TblApplications[Couloir],$F304)&gt;1,"Déploiement en doublon (ID + env + couloir)",IF(OR(AND($K304&lt;&gt;"",NOT(ISNUMBER($K304))),AND($L304&lt;&gt;"",NOT(ISNUMBER($L304))),AND($N304&lt;&gt;"",NOT(ISNUMBER($N304))),AND($O304&lt;&gt;"",NOT(ISNUMBER($O304)))),"Ressource non numérique",IF(MIN(N($K304),N($L304),N($N304),N($O304))&lt;0,"Ressource négative",IF(OR(AND($AC304&lt;&gt;"",OR(NOT(ISNUMBER($AC304)),$AC304&lt;0,$AC304&gt;1)),AND($AD304&lt;&gt;"",OR(NOT(ISNUMBER($AD304)),$AD304&lt;0,$AD304&gt;1))),"Marge spécifique invalide (0–100 %)",IF(OR(AND($P304&lt;&gt;"",NOT(ISNUMBER($P304))),AND($Q304&lt;&gt;"",NOT(ISNUMBER($Q304))),AND($R304&lt;&gt;"",NOT(ISNUMBER($R304)))),"Mois invalide",IF(AND(OR($G304="À migrer",$G304="À décommissionner"),COUNTIFS(TblClusters[Cluster],$I304,TblClusters[Plateforme],"IKS")=0),"Cluster IKS inconnu",IF(AND(OR($G304="À migrer",$G304="Migré"),COUNTIFS(TblClusters[Cluster],$J304,TblClusters[Plateforme],"ROKS")=0),"Cluster ROKS inconnu",IF(AND(OR($G304="À migrer",$G304="À décommissionner"),COUNTIFS(TblClusters[Cluster],$I304,TblClusters[Environnement],$E304)=0),"Environnement ≠ cluster IKS",IF(AND(OR($G304="À migrer",$G304="Migré"),COUNTIFS(TblClusters[Cluster],$J304,TblClusters[Environnement],$E304)=0),"Environnement ≠ cluster ROKS",IF(AND($G304="À migrer",OR($P304&gt;$Q304,$Q304&gt;$R304)),"Dates incohérentes (prov ≤ bascule ≤ libération)",IF(AND(OR($G304="À migrer",$G304="À décommissionner"),OR(N($N304)&gt;SUMIFS(TblClusters[CPU initial (vCPU)],TblClusters[Cluster],$I304),N($O304)&gt;SUMIFS(TblClusters[RAM initiale (Go)],TblClusters[Cluster],$I304))),"Libération &gt; capacité du cluster source",IF(OR(AND($V304&lt;&gt;"",$V304&lt;p_debut),AND($W304&lt;&gt;"",$W304&gt;p_fin)),"Hors horizon (info)",IF(AND($G304="À migrer",$E304="PRD",COUNTIFS(TblApplications[ID],$C304,TblApplications[Environnement],"NPRD",TblApplications[Action],"À migrer")&gt;0,$V304&lt;_xlfn.MINIFS(TblApplications[Mois prov (calc)],TblApplications[ID],$C304,TblApplications[Environnement],"NPRD")),"PRD avant NPRD (info)","OK"))))))))))))))))))))</f>
        <v/>
      </c>
      <c r="AC304" s="76"/>
      <c r="AD304" s="76"/>
      <c r="AE304" s="22" t="str">
        <f aca="false">IF(OR($C304="",NOT(OR($G304="À migrer",$G304="À décommissionner")),NOT(ISNUMBER($N304)),NOT(ISNUMBER($O304)),$W304=""),"",($N304+p_poidsram*$O304)*SUMIFS(TblCalculs[Coût par unité],TblCalculs[Cluster],$I304,TblCalculs[Mois],"&lt;"&amp;$W304))</f>
        <v/>
      </c>
      <c r="AF304" s="22" t="str">
        <f aca="false">IF($C304="","",IF(AND($G304="À migrer",$H304="Non",$T304&lt;&gt;"",$V304&lt;&gt;""),($T304+p_poidsram*$U304)*SUMIFS(TblCalculs[Coût par unité],TblCalculs[Cluster],$J304,TblCalculs[Mois],"&gt;="&amp;$V304),IF(AND($G304="Migré",$T304&lt;&gt;""),($T304+p_poidsram*$U304)*SUMIFS(TblCalculs[Coût par unité],TblCalculs[Cluster],$J304),"")))</f>
        <v/>
      </c>
      <c r="AG304" s="22" t="str">
        <f aca="false">IF($C304="","",N($AE304)+N($AF304))</f>
        <v/>
      </c>
      <c r="AH304" s="21" t="str">
        <f aca="false">IF(OR($C304="",$G304="Décommissionné",COUNTIFS($E304,av_envc,$A304,av_domc,$B304,av_tric)=0),"",COUNTIFS($C$6:$C304,"&lt;&gt;",$G$6:$G304,"&lt;&gt;Décommissionné",$E$6:$E304,av_envc,$A$6:$A304,av_domc,$B$6:$B304,av_tric))</f>
        <v/>
      </c>
      <c r="AI304" s="21" t="str">
        <f aca="false">IF($C304="","",IF(AND(OR($G304="À migrer",$G304="À décommissionner"),$W304&lt;&gt;"",$W304&gt;ex_mois),1,0))</f>
        <v/>
      </c>
      <c r="AJ304" s="21" t="str">
        <f aca="false">IF(OR($C304="",$AI304&lt;&gt;1,COUNTIFS($E304,ex_envc,$A304,ex_domc,$B304,ex_tric)=0),"",COUNTIFS($AI$6:$AI304,1,$E$6:$E304,ex_envc,$A$6:$A304,ex_domc,$B$6:$B304,ex_tric))</f>
        <v/>
      </c>
    </row>
    <row r="305" customFormat="false" ht="15" hidden="false" customHeight="false" outlineLevel="0" collapsed="false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5"/>
      <c r="Q305" s="75"/>
      <c r="R305" s="75"/>
      <c r="S305" s="74"/>
      <c r="T305" s="21" t="str">
        <f aca="false">IF(OR($C305="",NOT(OR($G305="À migrer",$G305="Migré")),NOT(ISNUMBER($K305))),"",ROUNDUP($K305*(1+IF($AC305="",p_margeCPU,$AC305)),0))</f>
        <v/>
      </c>
      <c r="U305" s="21" t="str">
        <f aca="false">IF(OR($C305="",NOT(OR($G305="À migrer",$G305="Migré")),NOT(ISNUMBER($L305))),"",ROUNDUP($L305*(1+IF($AD305="",p_margeRAM,$AD305)),0))</f>
        <v/>
      </c>
      <c r="V305" s="39" t="str">
        <f aca="false">IF(OR(NOT($G305="À migrer"),$P305=""),"",IFERROR(DATE(YEAR($P305),MONTH($P305),1),""))</f>
        <v/>
      </c>
      <c r="W305" s="39" t="str">
        <f aca="false">IF(OR(NOT(OR($G305="À migrer",$G305="À décommissionner")),$R305=""),"",IFERROR(DATE(YEAR($R305),MONTH($R305),1),""))</f>
        <v/>
      </c>
      <c r="X305" s="21" t="str">
        <f aca="false">IF(OR($V305="",$W305=""),"",MAX(0,(YEAR($W305)-YEAR($V305))*12+MONTH($W305)-MONTH($V305)))</f>
        <v/>
      </c>
      <c r="Y305" s="21" t="str">
        <f aca="false">IF($C305="","",COUNTIF(TblApplications[ID],$C305))</f>
        <v/>
      </c>
      <c r="Z305" s="39" t="str">
        <f aca="false">IF($C305="","",IFERROR(1/(1/_xlfn.MINIFS(TblApplications[Mois prov (calc)],TblApplications[ID],$C305)),""))</f>
        <v/>
      </c>
      <c r="AA305" s="39" t="str">
        <f aca="false">IF($C305="","",IFERROR(1/(1/_xlfn.MAXIFS(TblApplications[Mois lib (calc)],TblApplications[ID],$C305)),""))</f>
        <v/>
      </c>
      <c r="AB305" s="21" t="str">
        <f aca="false">IF($C305="","",IF(OR(OR($A305="",$B305="",$D305="",$E305="",$F305="",$G305=""),AND($G305="À migrer",OR($H305="",$I305="",$J305="",$K305="",$L305="",$N305="",$O305="",$P305="",$Q305="",$R305="")),AND($G305="Migré",OR($J305="",$K305="",$L305="")),AND($G305="À décommissionner",OR($I305="",$N305="",$O305="",$R305=""))),"Données manquantes (selon l’action)",IF(AND($G305&lt;&gt;"Migré",$G305&lt;&gt;"À migrer",$G305&lt;&gt;"À décommissionner",$G305&lt;&gt;"Décommissionné"),"Action invalide",IF(COUNTIF(TblDomaines[Domaine],$A305)=0,"Domaine inconnu (référentiel)",IF(COUNTIFS(TblTribes[Tribe],$B305,TblTribes[Domaine de la tribe],$A305)=0,"Tribe inconnue ou hors domaine",IF(AND($G305="À migrer",$H305&lt;&gt;"Oui",$H305&lt;&gt;"Non"),"Valeur Oui/Non invalide (Déjà incluse ROKS)",IF(AND($E305&lt;&gt;"PRD",$E305&lt;&gt;"NPRD"),"Environnement invalide",IF(COUNTIFS(TblApplications[ID],$C305,TblApplications[Environnement],$E305,TblApplications[Couloir],$F305)&gt;1,"Déploiement en doublon (ID + env + couloir)",IF(OR(AND($K305&lt;&gt;"",NOT(ISNUMBER($K305))),AND($L305&lt;&gt;"",NOT(ISNUMBER($L305))),AND($N305&lt;&gt;"",NOT(ISNUMBER($N305))),AND($O305&lt;&gt;"",NOT(ISNUMBER($O305)))),"Ressource non numérique",IF(MIN(N($K305),N($L305),N($N305),N($O305))&lt;0,"Ressource négative",IF(OR(AND($AC305&lt;&gt;"",OR(NOT(ISNUMBER($AC305)),$AC305&lt;0,$AC305&gt;1)),AND($AD305&lt;&gt;"",OR(NOT(ISNUMBER($AD305)),$AD305&lt;0,$AD305&gt;1))),"Marge spécifique invalide (0–100 %)",IF(OR(AND($P305&lt;&gt;"",NOT(ISNUMBER($P305))),AND($Q305&lt;&gt;"",NOT(ISNUMBER($Q305))),AND($R305&lt;&gt;"",NOT(ISNUMBER($R305)))),"Mois invalide",IF(AND(OR($G305="À migrer",$G305="À décommissionner"),COUNTIFS(TblClusters[Cluster],$I305,TblClusters[Plateforme],"IKS")=0),"Cluster IKS inconnu",IF(AND(OR($G305="À migrer",$G305="Migré"),COUNTIFS(TblClusters[Cluster],$J305,TblClusters[Plateforme],"ROKS")=0),"Cluster ROKS inconnu",IF(AND(OR($G305="À migrer",$G305="À décommissionner"),COUNTIFS(TblClusters[Cluster],$I305,TblClusters[Environnement],$E305)=0),"Environnement ≠ cluster IKS",IF(AND(OR($G305="À migrer",$G305="Migré"),COUNTIFS(TblClusters[Cluster],$J305,TblClusters[Environnement],$E305)=0),"Environnement ≠ cluster ROKS",IF(AND($G305="À migrer",OR($P305&gt;$Q305,$Q305&gt;$R305)),"Dates incohérentes (prov ≤ bascule ≤ libération)",IF(AND(OR($G305="À migrer",$G305="À décommissionner"),OR(N($N305)&gt;SUMIFS(TblClusters[CPU initial (vCPU)],TblClusters[Cluster],$I305),N($O305)&gt;SUMIFS(TblClusters[RAM initiale (Go)],TblClusters[Cluster],$I305))),"Libération &gt; capacité du cluster source",IF(OR(AND($V305&lt;&gt;"",$V305&lt;p_debut),AND($W305&lt;&gt;"",$W305&gt;p_fin)),"Hors horizon (info)",IF(AND($G305="À migrer",$E305="PRD",COUNTIFS(TblApplications[ID],$C305,TblApplications[Environnement],"NPRD",TblApplications[Action],"À migrer")&gt;0,$V305&lt;_xlfn.MINIFS(TblApplications[Mois prov (calc)],TblApplications[ID],$C305,TblApplications[Environnement],"NPRD")),"PRD avant NPRD (info)","OK"))))))))))))))))))))</f>
        <v/>
      </c>
      <c r="AC305" s="76"/>
      <c r="AD305" s="76"/>
      <c r="AE305" s="22" t="str">
        <f aca="false">IF(OR($C305="",NOT(OR($G305="À migrer",$G305="À décommissionner")),NOT(ISNUMBER($N305)),NOT(ISNUMBER($O305)),$W305=""),"",($N305+p_poidsram*$O305)*SUMIFS(TblCalculs[Coût par unité],TblCalculs[Cluster],$I305,TblCalculs[Mois],"&lt;"&amp;$W305))</f>
        <v/>
      </c>
      <c r="AF305" s="22" t="str">
        <f aca="false">IF($C305="","",IF(AND($G305="À migrer",$H305="Non",$T305&lt;&gt;"",$V305&lt;&gt;""),($T305+p_poidsram*$U305)*SUMIFS(TblCalculs[Coût par unité],TblCalculs[Cluster],$J305,TblCalculs[Mois],"&gt;="&amp;$V305),IF(AND($G305="Migré",$T305&lt;&gt;""),($T305+p_poidsram*$U305)*SUMIFS(TblCalculs[Coût par unité],TblCalculs[Cluster],$J305),"")))</f>
        <v/>
      </c>
      <c r="AG305" s="22" t="str">
        <f aca="false">IF($C305="","",N($AE305)+N($AF305))</f>
        <v/>
      </c>
      <c r="AH305" s="21" t="str">
        <f aca="false">IF(OR($C305="",$G305="Décommissionné",COUNTIFS($E305,av_envc,$A305,av_domc,$B305,av_tric)=0),"",COUNTIFS($C$6:$C305,"&lt;&gt;",$G$6:$G305,"&lt;&gt;Décommissionné",$E$6:$E305,av_envc,$A$6:$A305,av_domc,$B$6:$B305,av_tric))</f>
        <v/>
      </c>
      <c r="AI305" s="21" t="str">
        <f aca="false">IF($C305="","",IF(AND(OR($G305="À migrer",$G305="À décommissionner"),$W305&lt;&gt;"",$W305&gt;ex_mois),1,0))</f>
        <v/>
      </c>
      <c r="AJ305" s="21" t="str">
        <f aca="false">IF(OR($C305="",$AI305&lt;&gt;1,COUNTIFS($E305,ex_envc,$A305,ex_domc,$B305,ex_tric)=0),"",COUNTIFS($AI$6:$AI305,1,$E$6:$E305,ex_envc,$A$6:$A305,ex_domc,$B$6:$B305,ex_tric))</f>
        <v/>
      </c>
    </row>
  </sheetData>
  <conditionalFormatting sqref="AB6:AB305">
    <cfRule type="expression" priority="2" aboveAverage="0" equalAverage="0" bottom="0" percent="0" rank="0" text="" dxfId="12">
      <formula>AND(AB6&lt;&gt;"",AB6&lt;&gt;"OK",ISERROR(SEARCH("(info)",AB6)))</formula>
    </cfRule>
    <cfRule type="expression" priority="3" aboveAverage="0" equalAverage="0" bottom="0" percent="0" rank="0" text="" dxfId="19">
      <formula>ISNUMBER(SEARCH("(info)",AB6))</formula>
    </cfRule>
  </conditionalFormatting>
  <dataValidations count="10">
    <dataValidation allowBlank="true" error="Valeur non autorisée : choisir dans la liste ou respecter le format attendu." errorStyle="stop" errorTitle="Saisie invalide" operator="between" showDropDown="false" showErrorMessage="true" showInputMessage="false" sqref="A6:A305" type="list">
      <formula1>'Paramètres &amp; ABS'!$M$21:$M$40</formula1>
      <formula2>0</formula2>
    </dataValidation>
    <dataValidation allowBlank="true" error="Valeur non autorisée : choisir dans la liste ou respecter le format attendu." errorStyle="stop" errorTitle="Saisie invalide" operator="between" showDropDown="false" showErrorMessage="true" showInputMessage="false" sqref="B6:B305" type="list">
      <formula1>'Paramètres &amp; ABS'!$J$21:$J$60</formula1>
      <formula2>0</formula2>
    </dataValidation>
    <dataValidation allowBlank="true" error="Valeur non autorisée : choisir dans la liste ou respecter le format attendu." errorStyle="stop" errorTitle="Saisie invalide" operator="between" showDropDown="false" showErrorMessage="true" showInputMessage="false" sqref="E6:E305" type="list">
      <formula1>'Paramètres &amp; ABS'!$M$4:$M$5</formula1>
      <formula2>0</formula2>
    </dataValidation>
    <dataValidation allowBlank="true" error="Valeur non autorisée : choisir dans la liste ou respecter le format attendu." errorStyle="stop" errorTitle="Saisie invalide" operator="between" showDropDown="false" showErrorMessage="true" showInputMessage="false" sqref="G6:G305" type="list">
      <formula1>'Paramètres &amp; ABS'!$N$4:$N$7</formula1>
      <formula2>0</formula2>
    </dataValidation>
    <dataValidation allowBlank="true" error="Valeur non autorisée : choisir dans la liste ou respecter le format attendu." errorStyle="stop" errorTitle="Saisie invalide" operator="between" showDropDown="false" showErrorMessage="true" showInputMessage="false" sqref="H6:H305" type="list">
      <formula1>'Paramètres &amp; ABS'!$H$4:$H$5</formula1>
      <formula2>0</formula2>
    </dataValidation>
    <dataValidation allowBlank="true" error="Valeur non autorisée : choisir dans la liste ou respecter le format attendu." errorStyle="stop" errorTitle="Saisie invalide" operator="between" showDropDown="false" showErrorMessage="true" showInputMessage="false" sqref="I6:J305" type="list">
      <formula1>TblClusters_Cluster</formula1>
      <formula2>0</formula2>
    </dataValidation>
    <dataValidation allowBlank="true" error="Valeur non autorisée : choisir dans la liste ou respecter le format attendu." errorStyle="stop" errorTitle="Saisie invalide" operator="between" showDropDown="false" showErrorMessage="true" showInputMessage="false" sqref="S6:S305" type="list">
      <formula1>'Paramètres &amp; ABS'!$L$4:$L$6</formula1>
      <formula2>0</formula2>
    </dataValidation>
    <dataValidation allowBlank="true" error="Saisir un mois (date)" errorStyle="stop" errorTitle="Saisie invalide" operator="greaterThan" showDropDown="false" showErrorMessage="true" showInputMessage="false" sqref="P6:R305" type="date">
      <formula1>36526</formula1>
      <formula2>0</formula2>
    </dataValidation>
    <dataValidation allowBlank="true" error="Marge entre 0 et 100 %" errorStyle="stop" errorTitle="Saisie invalide" operator="between" showDropDown="false" showErrorMessage="true" showInputMessage="false" sqref="AC6:AD305" type="decimal">
      <formula1>0</formula1>
      <formula2>1</formula2>
    </dataValidation>
    <dataValidation allowBlank="true" error="Valeur ≥ 0" errorStyle="stop" errorTitle="Saisie invalide" operator="greaterThanOrEqual" showDropDown="false" showErrorMessage="true" showInputMessage="false" sqref="K6:L305 N6:O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4" min="10" style="0" width="10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32"/>
    <col collapsed="false" customWidth="true" hidden="false" outlineLevel="0" max="18" min="18" style="0" width="12"/>
    <col collapsed="false" customWidth="true" hidden="false" outlineLevel="0" max="19" min="19" style="0" width="11"/>
    <col collapsed="false" customWidth="true" hidden="false" outlineLevel="0" max="21" min="20" style="0" width="8"/>
  </cols>
  <sheetData>
    <row r="1" customFormat="false" ht="17.35" hidden="false" customHeight="false" outlineLevel="0" collapsed="false">
      <c r="A1" s="64" t="s">
        <v>287</v>
      </c>
    </row>
    <row r="2" customFormat="false" ht="15" hidden="false" customHeight="false" outlineLevel="0" collapsed="false">
      <c r="A2" s="2" t="s">
        <v>288</v>
      </c>
    </row>
    <row r="3" customFormat="false" ht="15" hidden="false" customHeight="false" outlineLevel="0" collapsed="false">
      <c r="F3" s="13" t="s">
        <v>227</v>
      </c>
      <c r="G3" s="74" t="s">
        <v>228</v>
      </c>
      <c r="H3" s="21" t="s">
        <v>229</v>
      </c>
    </row>
    <row r="5" customFormat="false" ht="45" hidden="false" customHeight="true" outlineLevel="0" collapsed="false">
      <c r="A5" s="20" t="s">
        <v>76</v>
      </c>
      <c r="B5" s="20" t="s">
        <v>75</v>
      </c>
      <c r="C5" s="20" t="s">
        <v>289</v>
      </c>
      <c r="D5" s="20" t="s">
        <v>290</v>
      </c>
      <c r="E5" s="20" t="s">
        <v>26</v>
      </c>
      <c r="F5" s="20" t="s">
        <v>77</v>
      </c>
      <c r="G5" s="20" t="s">
        <v>291</v>
      </c>
      <c r="H5" s="20" t="s">
        <v>292</v>
      </c>
      <c r="I5" s="20" t="s">
        <v>293</v>
      </c>
      <c r="J5" s="20" t="s">
        <v>294</v>
      </c>
      <c r="K5" s="20" t="s">
        <v>295</v>
      </c>
      <c r="L5" s="20" t="s">
        <v>296</v>
      </c>
      <c r="M5" s="20" t="s">
        <v>297</v>
      </c>
      <c r="N5" s="20" t="s">
        <v>298</v>
      </c>
      <c r="O5" s="20" t="s">
        <v>299</v>
      </c>
      <c r="P5" s="20" t="s">
        <v>241</v>
      </c>
      <c r="Q5" s="20" t="s">
        <v>250</v>
      </c>
      <c r="R5" s="20" t="s">
        <v>300</v>
      </c>
      <c r="S5" s="20" t="s">
        <v>98</v>
      </c>
      <c r="T5" s="20" t="s">
        <v>301</v>
      </c>
      <c r="U5" s="20" t="s">
        <v>258</v>
      </c>
    </row>
    <row r="6" customFormat="false" ht="15" hidden="false" customHeight="false" outlineLevel="0" collapsed="false">
      <c r="A6" s="74" t="s">
        <v>52</v>
      </c>
      <c r="B6" s="74" t="s">
        <v>270</v>
      </c>
      <c r="C6" s="74" t="s">
        <v>302</v>
      </c>
      <c r="D6" s="74" t="s">
        <v>303</v>
      </c>
      <c r="E6" s="74" t="s">
        <v>39</v>
      </c>
      <c r="F6" s="74" t="s">
        <v>304</v>
      </c>
      <c r="G6" s="74" t="n">
        <v>18</v>
      </c>
      <c r="H6" s="21" t="n">
        <f aca="false">IF($F6="","",IFERROR(INDEX(TblABS[vCPU par nœud],MATCH($F6,TblABS[Flavor],0)),"?"))</f>
        <v>32</v>
      </c>
      <c r="I6" s="21" t="n">
        <f aca="false">IF($F6="","",IFERROR(INDEX(TblABS[RAM par nœud (Go)],MATCH($F6,TblABS[Flavor],0)),"?"))</f>
        <v>128</v>
      </c>
      <c r="J6" s="21" t="n">
        <f aca="false">IF(AND(ISNUMBER($G6),ISNUMBER($H6)),$G6*$H6,"")</f>
        <v>576</v>
      </c>
      <c r="K6" s="21" t="n">
        <f aca="false">IF(AND(ISNUMBER($G6),ISNUMBER($I6)),$G6*$I6,"")</f>
        <v>2304</v>
      </c>
      <c r="L6" s="74" t="n">
        <v>3</v>
      </c>
      <c r="M6" s="21" t="n">
        <f aca="false">IF(AND(ISNUMBER($L6),ISNUMBER($H6)),$L6*$H6,"")</f>
        <v>96</v>
      </c>
      <c r="N6" s="21" t="n">
        <f aca="false">IF(AND(ISNUMBER($L6),ISNUMBER($I6)),$L6*$I6,"")</f>
        <v>384</v>
      </c>
      <c r="O6" s="77" t="n">
        <f aca="false">IF($F6="","",IFERROR(INDEX(TblABS[Tarif par nœud],MATCH($F6,TblABS[Flavor],0)),"?"))</f>
        <v>1062</v>
      </c>
      <c r="P6" s="74" t="s">
        <v>268</v>
      </c>
      <c r="Q6" s="21" t="str">
        <f aca="false">IF($B6="","",IF(OR($A6="",$E6="",$F6="",$G6="",$L6=""),"Données manquantes",IF(AND($A6&lt;&gt;"IKS",$A6&lt;&gt;"ROKS"),"Plateforme invalide",IF(AND($E6&lt;&gt;"PRD",$E6&lt;&gt;"NPRD"),"Environnement invalide",IF(OR(NOT(ISNUMBER($G6)),NOT(ISNUMBER($L6))),"Workers non numérique",IF(OR($G6&lt;0,$L6&lt;0),"Valeur négative",IF(OR($G6&lt;&gt;INT($G6),$L6&lt;&gt;INT($L6)),"Workers non entier",IF(NOT(ISNUMBER($H6)),"Flavor inconnu",IF(AND(p_mode="Nœud",OR(NOT(ISNUMBER($O6)),$O6&lt;=0)),"Tarif du flavor manquant ou invalide",IF(COUNTIF(TblClusters[Cluster],$B6)&gt;1,"Cluster en doublon",IF($L6&gt;$G6,"Plancher &gt; capacité initiale",IF(AND($A6="ROKS",$G6&gt;p_maxworkers),"Workers &gt; max ROKS",IF(AND($A6="IKS",(SUMIFS(TblApplications[CPU IKS libérable (vCPU)],TblApplications[Cluster IKS source],$B6,TblApplications[Action],"À migrer")+SUMIFS(TblApplications[CPU IKS libérable (vCPU)],TblApplications[Cluster IKS source],$B6,TblApplications[Action],"À décommissionner"))&gt;$J6-$M6),"Libérations CPU &gt; capacité libérable",IF(AND($A6="IKS",(SUMIFS(TblApplications[RAM IKS libérable (Go)],TblApplications[Cluster IKS source],$B6,TblApplications[Action],"À migrer")+SUMIFS(TblApplications[RAM IKS libérable (Go)],TblApplications[Cluster IKS source],$B6,TblApplications[Action],"À décommissionner"))&gt;$K6-$N6),"Libérations RAM &gt; capacité libérable",IF(SUMIFS(TblCalculs[Alerte max workers],TblCalculs[Cluster],$B6)&gt;0,"Max workers ROKS dépassé ("&amp;SUMIFS(TblCalculs[Alerte max workers],TblCalculs[Cluster],$B6)&amp;" mois) : flavor plus gros ou second cluster",IF(SUMIFS(TblCalculs[Alerte plancher IKS],TblCalculs[Cluster],$B6)&gt;0,"Plancher IKS atteint ("&amp;SUMIFS(TblCalculs[Alerte plancher IKS],TblCalculs[Cluster],$B6)&amp;" mois)",IF(AND($A6="IKS",ISNUMBER($R6),$R6&lt;_xlfn.MAXIFS(TblApplications[Mois lib (calc)],TblApplications[Cluster IKS source],$B6)),"Fermeture avant la dernière libération",IF(AND($R6&lt;&gt;"",OR($A6&lt;&gt;"IKS",NOT(ISNUMBER($R6)))),"Fermeture : IKS uniquement, date attendue","OK"))))))))))))))))))</f>
        <v>OK</v>
      </c>
      <c r="R6" s="75"/>
      <c r="S6" s="39" t="n">
        <f aca="false">IF(OR($B6="",$A6&lt;&gt;"IKS"),"",IF(ISNUMBER($R6),DATE(YEAR($R6),MONTH($R6),1),IF(p_fermauto&lt;&gt;"Oui","",IF(COUNTIFS(TblApplications[Cluster IKS source],$B6,TblApplications[Action],"À migrer")+COUNTIFS(TblApplications[Cluster IKS source],$B6,TblApplications[Action],"À décommissionner")=0,"",IF(COUNTIFS(TblApplications[Cluster IKS source],$B6,TblApplications[Action],"À migrer",TblApplications[Mois lib (calc)],"")+COUNTIFS(TblApplications[Cluster IKS source],$B6,TblApplications[Action],"À décommissionner",TblApplications[Mois lib (calc)],"")&gt;0,"",_xlfn.MAXIFS(TblApplications[Mois lib (calc)],TblApplications[Cluster IKS source],$B6))))))</f>
        <v>47088</v>
      </c>
      <c r="T6" s="21" t="n">
        <f aca="false">IF(OR($B6="",COUNTIFS($E6,ca_envc)=0),"",COUNTIFS($B$6:$B6,"&lt;&gt;",$E$6:$E6,ca_envc))</f>
        <v>1</v>
      </c>
      <c r="U6" s="21" t="n">
        <f aca="false">IF(OR($B6="",$A6&lt;&gt;"IKS",COUNTIFS($E6,ex_envc)=0),"",COUNTIFS($B$6:$B6,"&lt;&gt;",$A$6:$A6,"IKS",$E$6:$E6,ex_envc))</f>
        <v>1</v>
      </c>
    </row>
    <row r="7" customFormat="false" ht="15" hidden="false" customHeight="false" outlineLevel="0" collapsed="false">
      <c r="A7" s="74" t="s">
        <v>52</v>
      </c>
      <c r="B7" s="74" t="s">
        <v>265</v>
      </c>
      <c r="C7" s="74" t="s">
        <v>302</v>
      </c>
      <c r="D7" s="74" t="s">
        <v>303</v>
      </c>
      <c r="E7" s="74" t="s">
        <v>40</v>
      </c>
      <c r="F7" s="74" t="s">
        <v>305</v>
      </c>
      <c r="G7" s="74" t="n">
        <v>20</v>
      </c>
      <c r="H7" s="21" t="n">
        <f aca="false">IF($F7="","",IFERROR(INDEX(TblABS[vCPU par nœud],MATCH($F7,TblABS[Flavor],0)),"?"))</f>
        <v>16</v>
      </c>
      <c r="I7" s="21" t="n">
        <f aca="false">IF($F7="","",IFERROR(INDEX(TblABS[RAM par nœud (Go)],MATCH($F7,TblABS[Flavor],0)),"?"))</f>
        <v>64</v>
      </c>
      <c r="J7" s="21" t="n">
        <f aca="false">IF(AND(ISNUMBER($G7),ISNUMBER($H7)),$G7*$H7,"")</f>
        <v>320</v>
      </c>
      <c r="K7" s="21" t="n">
        <f aca="false">IF(AND(ISNUMBER($G7),ISNUMBER($I7)),$G7*$I7,"")</f>
        <v>1280</v>
      </c>
      <c r="L7" s="74" t="n">
        <v>3</v>
      </c>
      <c r="M7" s="21" t="n">
        <f aca="false">IF(AND(ISNUMBER($L7),ISNUMBER($H7)),$L7*$H7,"")</f>
        <v>48</v>
      </c>
      <c r="N7" s="21" t="n">
        <f aca="false">IF(AND(ISNUMBER($L7),ISNUMBER($I7)),$L7*$I7,"")</f>
        <v>192</v>
      </c>
      <c r="O7" s="77" t="n">
        <f aca="false">IF($F7="","",IFERROR(INDEX(TblABS[Tarif par nœud],MATCH($F7,TblABS[Flavor],0)),"?"))</f>
        <v>531</v>
      </c>
      <c r="P7" s="74" t="s">
        <v>268</v>
      </c>
      <c r="Q7" s="21" t="str">
        <f aca="false">IF($B7="","",IF(OR($A7="",$E7="",$F7="",$G7="",$L7=""),"Données manquantes",IF(AND($A7&lt;&gt;"IKS",$A7&lt;&gt;"ROKS"),"Plateforme invalide",IF(AND($E7&lt;&gt;"PRD",$E7&lt;&gt;"NPRD"),"Environnement invalide",IF(OR(NOT(ISNUMBER($G7)),NOT(ISNUMBER($L7))),"Workers non numérique",IF(OR($G7&lt;0,$L7&lt;0),"Valeur négative",IF(OR($G7&lt;&gt;INT($G7),$L7&lt;&gt;INT($L7)),"Workers non entier",IF(NOT(ISNUMBER($H7)),"Flavor inconnu",IF(AND(p_mode="Nœud",OR(NOT(ISNUMBER($O7)),$O7&lt;=0)),"Tarif du flavor manquant ou invalide",IF(COUNTIF(TblClusters[Cluster],$B7)&gt;1,"Cluster en doublon",IF($L7&gt;$G7,"Plancher &gt; capacité initiale",IF(AND($A7="ROKS",$G7&gt;p_maxworkers),"Workers &gt; max ROKS",IF(AND($A7="IKS",(SUMIFS(TblApplications[CPU IKS libérable (vCPU)],TblApplications[Cluster IKS source],$B7,TblApplications[Action],"À migrer")+SUMIFS(TblApplications[CPU IKS libérable (vCPU)],TblApplications[Cluster IKS source],$B7,TblApplications[Action],"À décommissionner"))&gt;$J7-$M7),"Libérations CPU &gt; capacité libérable",IF(AND($A7="IKS",(SUMIFS(TblApplications[RAM IKS libérable (Go)],TblApplications[Cluster IKS source],$B7,TblApplications[Action],"À migrer")+SUMIFS(TblApplications[RAM IKS libérable (Go)],TblApplications[Cluster IKS source],$B7,TblApplications[Action],"À décommissionner"))&gt;$K7-$N7),"Libérations RAM &gt; capacité libérable",IF(SUMIFS(TblCalculs[Alerte max workers],TblCalculs[Cluster],$B7)&gt;0,"Max workers ROKS dépassé ("&amp;SUMIFS(TblCalculs[Alerte max workers],TblCalculs[Cluster],$B7)&amp;" mois) : flavor plus gros ou second cluster",IF(SUMIFS(TblCalculs[Alerte plancher IKS],TblCalculs[Cluster],$B7)&gt;0,"Plancher IKS atteint ("&amp;SUMIFS(TblCalculs[Alerte plancher IKS],TblCalculs[Cluster],$B7)&amp;" mois)",IF(AND($A7="IKS",ISNUMBER($R7),$R7&lt;_xlfn.MAXIFS(TblApplications[Mois lib (calc)],TblApplications[Cluster IKS source],$B7)),"Fermeture avant la dernière libération",IF(AND($R7&lt;&gt;"",OR($A7&lt;&gt;"IKS",NOT(ISNUMBER($R7)))),"Fermeture : IKS uniquement, date attendue","OK"))))))))))))))))))</f>
        <v>OK</v>
      </c>
      <c r="R7" s="75"/>
      <c r="S7" s="39" t="n">
        <f aca="false">IF(OR($B7="",$A7&lt;&gt;"IKS"),"",IF(ISNUMBER($R7),DATE(YEAR($R7),MONTH($R7),1),IF(p_fermauto&lt;&gt;"Oui","",IF(COUNTIFS(TblApplications[Cluster IKS source],$B7,TblApplications[Action],"À migrer")+COUNTIFS(TblApplications[Cluster IKS source],$B7,TblApplications[Action],"À décommissionner")=0,"",IF(COUNTIFS(TblApplications[Cluster IKS source],$B7,TblApplications[Action],"À migrer",TblApplications[Mois lib (calc)],"")+COUNTIFS(TblApplications[Cluster IKS source],$B7,TblApplications[Action],"À décommissionner",TblApplications[Mois lib (calc)],"")&gt;0,"",_xlfn.MAXIFS(TblApplications[Mois lib (calc)],TblApplications[Cluster IKS source],$B7))))))</f>
        <v>46905</v>
      </c>
      <c r="T7" s="21" t="n">
        <f aca="false">IF(OR($B7="",COUNTIFS($E7,ca_envc)=0),"",COUNTIFS($B$6:$B7,"&lt;&gt;",$E$6:$E7,ca_envc))</f>
        <v>2</v>
      </c>
      <c r="U7" s="21" t="n">
        <f aca="false">IF(OR($B7="",$A7&lt;&gt;"IKS",COUNTIFS($E7,ex_envc)=0),"",COUNTIFS($B$6:$B7,"&lt;&gt;",$A$6:$A7,"IKS",$E$6:$E7,ex_envc))</f>
        <v>2</v>
      </c>
    </row>
    <row r="8" customFormat="false" ht="15" hidden="false" customHeight="false" outlineLevel="0" collapsed="false">
      <c r="A8" s="74" t="s">
        <v>55</v>
      </c>
      <c r="B8" s="74" t="s">
        <v>271</v>
      </c>
      <c r="C8" s="74" t="s">
        <v>302</v>
      </c>
      <c r="D8" s="74" t="s">
        <v>306</v>
      </c>
      <c r="E8" s="74" t="s">
        <v>39</v>
      </c>
      <c r="F8" s="74" t="s">
        <v>307</v>
      </c>
      <c r="G8" s="74" t="n">
        <v>6</v>
      </c>
      <c r="H8" s="21" t="n">
        <f aca="false">IF($F8="","",IFERROR(INDEX(TblABS[vCPU par nœud],MATCH($F8,TblABS[Flavor],0)),"?"))</f>
        <v>32</v>
      </c>
      <c r="I8" s="21" t="n">
        <f aca="false">IF($F8="","",IFERROR(INDEX(TblABS[RAM par nœud (Go)],MATCH($F8,TblABS[Flavor],0)),"?"))</f>
        <v>160</v>
      </c>
      <c r="J8" s="21" t="n">
        <f aca="false">IF(AND(ISNUMBER($G8),ISNUMBER($H8)),$G8*$H8,"")</f>
        <v>192</v>
      </c>
      <c r="K8" s="21" t="n">
        <f aca="false">IF(AND(ISNUMBER($G8),ISNUMBER($I8)),$G8*$I8,"")</f>
        <v>960</v>
      </c>
      <c r="L8" s="74" t="n">
        <v>6</v>
      </c>
      <c r="M8" s="21" t="n">
        <f aca="false">IF(AND(ISNUMBER($L8),ISNUMBER($H8)),$L8*$H8,"")</f>
        <v>192</v>
      </c>
      <c r="N8" s="21" t="n">
        <f aca="false">IF(AND(ISNUMBER($L8),ISNUMBER($I8)),$L8*$I8,"")</f>
        <v>960</v>
      </c>
      <c r="O8" s="77" t="n">
        <f aca="false">IF($F8="","",IFERROR(INDEX(TblABS[Tarif par nœud],MATCH($F8,TblABS[Flavor],0)),"?"))</f>
        <v>1472</v>
      </c>
      <c r="P8" s="74" t="s">
        <v>268</v>
      </c>
      <c r="Q8" s="21" t="str">
        <f aca="false">IF($B8="","",IF(OR($A8="",$E8="",$F8="",$G8="",$L8=""),"Données manquantes",IF(AND($A8&lt;&gt;"IKS",$A8&lt;&gt;"ROKS"),"Plateforme invalide",IF(AND($E8&lt;&gt;"PRD",$E8&lt;&gt;"NPRD"),"Environnement invalide",IF(OR(NOT(ISNUMBER($G8)),NOT(ISNUMBER($L8))),"Workers non numérique",IF(OR($G8&lt;0,$L8&lt;0),"Valeur négative",IF(OR($G8&lt;&gt;INT($G8),$L8&lt;&gt;INT($L8)),"Workers non entier",IF(NOT(ISNUMBER($H8)),"Flavor inconnu",IF(AND(p_mode="Nœud",OR(NOT(ISNUMBER($O8)),$O8&lt;=0)),"Tarif du flavor manquant ou invalide",IF(COUNTIF(TblClusters[Cluster],$B8)&gt;1,"Cluster en doublon",IF($L8&gt;$G8,"Plancher &gt; capacité initiale",IF(AND($A8="ROKS",$G8&gt;p_maxworkers),"Workers &gt; max ROKS",IF(AND($A8="IKS",(SUMIFS(TblApplications[CPU IKS libérable (vCPU)],TblApplications[Cluster IKS source],$B8,TblApplications[Action],"À migrer")+SUMIFS(TblApplications[CPU IKS libérable (vCPU)],TblApplications[Cluster IKS source],$B8,TblApplications[Action],"À décommissionner"))&gt;$J8-$M8),"Libérations CPU &gt; capacité libérable",IF(AND($A8="IKS",(SUMIFS(TblApplications[RAM IKS libérable (Go)],TblApplications[Cluster IKS source],$B8,TblApplications[Action],"À migrer")+SUMIFS(TblApplications[RAM IKS libérable (Go)],TblApplications[Cluster IKS source],$B8,TblApplications[Action],"À décommissionner"))&gt;$K8-$N8),"Libérations RAM &gt; capacité libérable",IF(SUMIFS(TblCalculs[Alerte max workers],TblCalculs[Cluster],$B8)&gt;0,"Max workers ROKS dépassé ("&amp;SUMIFS(TblCalculs[Alerte max workers],TblCalculs[Cluster],$B8)&amp;" mois) : flavor plus gros ou second cluster",IF(SUMIFS(TblCalculs[Alerte plancher IKS],TblCalculs[Cluster],$B8)&gt;0,"Plancher IKS atteint ("&amp;SUMIFS(TblCalculs[Alerte plancher IKS],TblCalculs[Cluster],$B8)&amp;" mois)",IF(AND($A8="IKS",ISNUMBER($R8),$R8&lt;_xlfn.MAXIFS(TblApplications[Mois lib (calc)],TblApplications[Cluster IKS source],$B8)),"Fermeture avant la dernière libération",IF(AND($R8&lt;&gt;"",OR($A8&lt;&gt;"IKS",NOT(ISNUMBER($R8)))),"Fermeture : IKS uniquement, date attendue","OK"))))))))))))))))))</f>
        <v>OK</v>
      </c>
      <c r="R8" s="75"/>
      <c r="S8" s="39" t="str">
        <f aca="false">IF(OR($B8="",$A8&lt;&gt;"IKS"),"",IF(ISNUMBER($R8),DATE(YEAR($R8),MONTH($R8),1),IF(p_fermauto&lt;&gt;"Oui","",IF(COUNTIFS(TblApplications[Cluster IKS source],$B8,TblApplications[Action],"À migrer")+COUNTIFS(TblApplications[Cluster IKS source],$B8,TblApplications[Action],"À décommissionner")=0,"",IF(COUNTIFS(TblApplications[Cluster IKS source],$B8,TblApplications[Action],"À migrer",TblApplications[Mois lib (calc)],"")+COUNTIFS(TblApplications[Cluster IKS source],$B8,TblApplications[Action],"À décommissionner",TblApplications[Mois lib (calc)],"")&gt;0,"",_xlfn.MAXIFS(TblApplications[Mois lib (calc)],TblApplications[Cluster IKS source],$B8))))))</f>
        <v/>
      </c>
      <c r="T8" s="21" t="n">
        <f aca="false">IF(OR($B8="",COUNTIFS($E8,ca_envc)=0),"",COUNTIFS($B$6:$B8,"&lt;&gt;",$E$6:$E8,ca_envc))</f>
        <v>3</v>
      </c>
      <c r="U8" s="21" t="str">
        <f aca="false">IF(OR($B8="",$A8&lt;&gt;"IKS",COUNTIFS($E8,ex_envc)=0),"",COUNTIFS($B$6:$B8,"&lt;&gt;",$A$6:$A8,"IKS",$E$6:$E8,ex_envc))</f>
        <v/>
      </c>
    </row>
    <row r="9" customFormat="false" ht="15" hidden="false" customHeight="false" outlineLevel="0" collapsed="false">
      <c r="A9" s="74" t="s">
        <v>55</v>
      </c>
      <c r="B9" s="74" t="s">
        <v>266</v>
      </c>
      <c r="C9" s="74" t="s">
        <v>302</v>
      </c>
      <c r="D9" s="74" t="s">
        <v>306</v>
      </c>
      <c r="E9" s="74" t="s">
        <v>40</v>
      </c>
      <c r="F9" s="74" t="s">
        <v>308</v>
      </c>
      <c r="G9" s="74" t="n">
        <v>6</v>
      </c>
      <c r="H9" s="21" t="n">
        <f aca="false">IF($F9="","",IFERROR(INDEX(TblABS[vCPU par nœud],MATCH($F9,TblABS[Flavor],0)),"?"))</f>
        <v>16</v>
      </c>
      <c r="I9" s="21" t="n">
        <f aca="false">IF($F9="","",IFERROR(INDEX(TblABS[RAM par nœud (Go)],MATCH($F9,TblABS[Flavor],0)),"?"))</f>
        <v>80</v>
      </c>
      <c r="J9" s="21" t="n">
        <f aca="false">IF(AND(ISNUMBER($G9),ISNUMBER($H9)),$G9*$H9,"")</f>
        <v>96</v>
      </c>
      <c r="K9" s="21" t="n">
        <f aca="false">IF(AND(ISNUMBER($G9),ISNUMBER($I9)),$G9*$I9,"")</f>
        <v>480</v>
      </c>
      <c r="L9" s="74" t="n">
        <v>6</v>
      </c>
      <c r="M9" s="21" t="n">
        <f aca="false">IF(AND(ISNUMBER($L9),ISNUMBER($H9)),$L9*$H9,"")</f>
        <v>96</v>
      </c>
      <c r="N9" s="21" t="n">
        <f aca="false">IF(AND(ISNUMBER($L9),ISNUMBER($I9)),$L9*$I9,"")</f>
        <v>480</v>
      </c>
      <c r="O9" s="77" t="n">
        <f aca="false">IF($F9="","",IFERROR(INDEX(TblABS[Tarif par nœud],MATCH($F9,TblABS[Flavor],0)),"?"))</f>
        <v>736</v>
      </c>
      <c r="P9" s="74" t="s">
        <v>268</v>
      </c>
      <c r="Q9" s="21" t="str">
        <f aca="false">IF($B9="","",IF(OR($A9="",$E9="",$F9="",$G9="",$L9=""),"Données manquantes",IF(AND($A9&lt;&gt;"IKS",$A9&lt;&gt;"ROKS"),"Plateforme invalide",IF(AND($E9&lt;&gt;"PRD",$E9&lt;&gt;"NPRD"),"Environnement invalide",IF(OR(NOT(ISNUMBER($G9)),NOT(ISNUMBER($L9))),"Workers non numérique",IF(OR($G9&lt;0,$L9&lt;0),"Valeur négative",IF(OR($G9&lt;&gt;INT($G9),$L9&lt;&gt;INT($L9)),"Workers non entier",IF(NOT(ISNUMBER($H9)),"Flavor inconnu",IF(AND(p_mode="Nœud",OR(NOT(ISNUMBER($O9)),$O9&lt;=0)),"Tarif du flavor manquant ou invalide",IF(COUNTIF(TblClusters[Cluster],$B9)&gt;1,"Cluster en doublon",IF($L9&gt;$G9,"Plancher &gt; capacité initiale",IF(AND($A9="ROKS",$G9&gt;p_maxworkers),"Workers &gt; max ROKS",IF(AND($A9="IKS",(SUMIFS(TblApplications[CPU IKS libérable (vCPU)],TblApplications[Cluster IKS source],$B9,TblApplications[Action],"À migrer")+SUMIFS(TblApplications[CPU IKS libérable (vCPU)],TblApplications[Cluster IKS source],$B9,TblApplications[Action],"À décommissionner"))&gt;$J9-$M9),"Libérations CPU &gt; capacité libérable",IF(AND($A9="IKS",(SUMIFS(TblApplications[RAM IKS libérable (Go)],TblApplications[Cluster IKS source],$B9,TblApplications[Action],"À migrer")+SUMIFS(TblApplications[RAM IKS libérable (Go)],TblApplications[Cluster IKS source],$B9,TblApplications[Action],"À décommissionner"))&gt;$K9-$N9),"Libérations RAM &gt; capacité libérable",IF(SUMIFS(TblCalculs[Alerte max workers],TblCalculs[Cluster],$B9)&gt;0,"Max workers ROKS dépassé ("&amp;SUMIFS(TblCalculs[Alerte max workers],TblCalculs[Cluster],$B9)&amp;" mois) : flavor plus gros ou second cluster",IF(SUMIFS(TblCalculs[Alerte plancher IKS],TblCalculs[Cluster],$B9)&gt;0,"Plancher IKS atteint ("&amp;SUMIFS(TblCalculs[Alerte plancher IKS],TblCalculs[Cluster],$B9)&amp;" mois)",IF(AND($A9="IKS",ISNUMBER($R9),$R9&lt;_xlfn.MAXIFS(TblApplications[Mois lib (calc)],TblApplications[Cluster IKS source],$B9)),"Fermeture avant la dernière libération",IF(AND($R9&lt;&gt;"",OR($A9&lt;&gt;"IKS",NOT(ISNUMBER($R9)))),"Fermeture : IKS uniquement, date attendue","OK"))))))))))))))))))</f>
        <v>OK</v>
      </c>
      <c r="R9" s="75"/>
      <c r="S9" s="39" t="str">
        <f aca="false">IF(OR($B9="",$A9&lt;&gt;"IKS"),"",IF(ISNUMBER($R9),DATE(YEAR($R9),MONTH($R9),1),IF(p_fermauto&lt;&gt;"Oui","",IF(COUNTIFS(TblApplications[Cluster IKS source],$B9,TblApplications[Action],"À migrer")+COUNTIFS(TblApplications[Cluster IKS source],$B9,TblApplications[Action],"À décommissionner")=0,"",IF(COUNTIFS(TblApplications[Cluster IKS source],$B9,TblApplications[Action],"À migrer",TblApplications[Mois lib (calc)],"")+COUNTIFS(TblApplications[Cluster IKS source],$B9,TblApplications[Action],"À décommissionner",TblApplications[Mois lib (calc)],"")&gt;0,"",_xlfn.MAXIFS(TblApplications[Mois lib (calc)],TblApplications[Cluster IKS source],$B9))))))</f>
        <v/>
      </c>
      <c r="T9" s="21" t="n">
        <f aca="false">IF(OR($B9="",COUNTIFS($E9,ca_envc)=0),"",COUNTIFS($B$6:$B9,"&lt;&gt;",$E$6:$E9,ca_envc))</f>
        <v>4</v>
      </c>
      <c r="U9" s="21" t="str">
        <f aca="false">IF(OR($B9="",$A9&lt;&gt;"IKS",COUNTIFS($E9,ex_envc)=0),"",COUNTIFS($B$6:$B9,"&lt;&gt;",$A$6:$A9,"IKS",$E$6:$E9,ex_envc))</f>
        <v/>
      </c>
    </row>
    <row r="10" customFormat="false" ht="15" hidden="false" customHeight="false" outlineLevel="0" collapsed="false">
      <c r="A10" s="74"/>
      <c r="B10" s="74"/>
      <c r="C10" s="74"/>
      <c r="D10" s="74"/>
      <c r="E10" s="74"/>
      <c r="F10" s="74"/>
      <c r="G10" s="74"/>
      <c r="H10" s="21" t="str">
        <f aca="false">IF($F10="","",IFERROR(INDEX(TblABS[vCPU par nœud],MATCH($F10,TblABS[Flavor],0)),"?"))</f>
        <v/>
      </c>
      <c r="I10" s="21" t="str">
        <f aca="false">IF($F10="","",IFERROR(INDEX(TblABS[RAM par nœud (Go)],MATCH($F10,TblABS[Flavor],0)),"?"))</f>
        <v/>
      </c>
      <c r="J10" s="21" t="str">
        <f aca="false">IF(AND(ISNUMBER($G10),ISNUMBER($H10)),$G10*$H10,"")</f>
        <v/>
      </c>
      <c r="K10" s="21" t="str">
        <f aca="false">IF(AND(ISNUMBER($G10),ISNUMBER($I10)),$G10*$I10,"")</f>
        <v/>
      </c>
      <c r="L10" s="74"/>
      <c r="M10" s="21" t="str">
        <f aca="false">IF(AND(ISNUMBER($L10),ISNUMBER($H10)),$L10*$H10,"")</f>
        <v/>
      </c>
      <c r="N10" s="21" t="str">
        <f aca="false">IF(AND(ISNUMBER($L10),ISNUMBER($I10)),$L10*$I10,"")</f>
        <v/>
      </c>
      <c r="O10" s="77" t="str">
        <f aca="false">IF($F10="","",IFERROR(INDEX(TblABS[Tarif par nœud],MATCH($F10,TblABS[Flavor],0)),"?"))</f>
        <v/>
      </c>
      <c r="P10" s="74"/>
      <c r="Q10" s="21" t="str">
        <f aca="false">IF($B10="","",IF(OR($A10="",$E10="",$F10="",$G10="",$L10=""),"Données manquantes",IF(AND($A10&lt;&gt;"IKS",$A10&lt;&gt;"ROKS"),"Plateforme invalide",IF(AND($E10&lt;&gt;"PRD",$E10&lt;&gt;"NPRD"),"Environnement invalide",IF(OR(NOT(ISNUMBER($G10)),NOT(ISNUMBER($L10))),"Workers non numérique",IF(OR($G10&lt;0,$L10&lt;0),"Valeur négative",IF(OR($G10&lt;&gt;INT($G10),$L10&lt;&gt;INT($L10)),"Workers non entier",IF(NOT(ISNUMBER($H10)),"Flavor inconnu",IF(AND(p_mode="Nœud",OR(NOT(ISNUMBER($O10)),$O10&lt;=0)),"Tarif du flavor manquant ou invalide",IF(COUNTIF(TblClusters[Cluster],$B10)&gt;1,"Cluster en doublon",IF($L10&gt;$G10,"Plancher &gt; capacité initiale",IF(AND($A10="ROKS",$G10&gt;p_maxworkers),"Workers &gt; max ROKS",IF(AND($A10="IKS",(SUMIFS(TblApplications[CPU IKS libérable (vCPU)],TblApplications[Cluster IKS source],$B10,TblApplications[Action],"À migrer")+SUMIFS(TblApplications[CPU IKS libérable (vCPU)],TblApplications[Cluster IKS source],$B10,TblApplications[Action],"À décommissionner"))&gt;$J10-$M10),"Libérations CPU &gt; capacité libérable",IF(AND($A10="IKS",(SUMIFS(TblApplications[RAM IKS libérable (Go)],TblApplications[Cluster IKS source],$B10,TblApplications[Action],"À migrer")+SUMIFS(TblApplications[RAM IKS libérable (Go)],TblApplications[Cluster IKS source],$B10,TblApplications[Action],"À décommissionner"))&gt;$K10-$N10),"Libérations RAM &gt; capacité libérable",IF(SUMIFS(TblCalculs[Alerte max workers],TblCalculs[Cluster],$B10)&gt;0,"Max workers ROKS dépassé ("&amp;SUMIFS(TblCalculs[Alerte max workers],TblCalculs[Cluster],$B10)&amp;" mois) : flavor plus gros ou second cluster",IF(SUMIFS(TblCalculs[Alerte plancher IKS],TblCalculs[Cluster],$B10)&gt;0,"Plancher IKS atteint ("&amp;SUMIFS(TblCalculs[Alerte plancher IKS],TblCalculs[Cluster],$B10)&amp;" mois)",IF(AND($A10="IKS",ISNUMBER($R10),$R10&lt;_xlfn.MAXIFS(TblApplications[Mois lib (calc)],TblApplications[Cluster IKS source],$B10)),"Fermeture avant la dernière libération",IF(AND($R10&lt;&gt;"",OR($A10&lt;&gt;"IKS",NOT(ISNUMBER($R10)))),"Fermeture : IKS uniquement, date attendue","OK"))))))))))))))))))</f>
        <v/>
      </c>
      <c r="R10" s="75"/>
      <c r="S10" s="39" t="str">
        <f aca="false">IF(OR($B10="",$A10&lt;&gt;"IKS"),"",IF(ISNUMBER($R10),DATE(YEAR($R10),MONTH($R10),1),IF(p_fermauto&lt;&gt;"Oui","",IF(COUNTIFS(TblApplications[Cluster IKS source],$B10,TblApplications[Action],"À migrer")+COUNTIFS(TblApplications[Cluster IKS source],$B10,TblApplications[Action],"À décommissionner")=0,"",IF(COUNTIFS(TblApplications[Cluster IKS source],$B10,TblApplications[Action],"À migrer",TblApplications[Mois lib (calc)],"")+COUNTIFS(TblApplications[Cluster IKS source],$B10,TblApplications[Action],"À décommissionner",TblApplications[Mois lib (calc)],"")&gt;0,"",_xlfn.MAXIFS(TblApplications[Mois lib (calc)],TblApplications[Cluster IKS source],$B10))))))</f>
        <v/>
      </c>
      <c r="T10" s="21" t="str">
        <f aca="false">IF(OR($B10="",COUNTIFS($E10,ca_envc)=0),"",COUNTIFS($B$6:$B10,"&lt;&gt;",$E$6:$E10,ca_envc))</f>
        <v/>
      </c>
      <c r="U10" s="21" t="str">
        <f aca="false">IF(OR($B10="",$A10&lt;&gt;"IKS",COUNTIFS($E10,ex_envc)=0),"",COUNTIFS($B$6:$B10,"&lt;&gt;",$A$6:$A10,"IKS",$E$6:$E10,ex_envc))</f>
        <v/>
      </c>
    </row>
    <row r="11" customFormat="false" ht="15" hidden="false" customHeight="false" outlineLevel="0" collapsed="false">
      <c r="A11" s="74"/>
      <c r="B11" s="74"/>
      <c r="C11" s="74"/>
      <c r="D11" s="74"/>
      <c r="E11" s="74"/>
      <c r="F11" s="74"/>
      <c r="G11" s="74"/>
      <c r="H11" s="21" t="str">
        <f aca="false">IF($F11="","",IFERROR(INDEX(TblABS[vCPU par nœud],MATCH($F11,TblABS[Flavor],0)),"?"))</f>
        <v/>
      </c>
      <c r="I11" s="21" t="str">
        <f aca="false">IF($F11="","",IFERROR(INDEX(TblABS[RAM par nœud (Go)],MATCH($F11,TblABS[Flavor],0)),"?"))</f>
        <v/>
      </c>
      <c r="J11" s="21" t="str">
        <f aca="false">IF(AND(ISNUMBER($G11),ISNUMBER($H11)),$G11*$H11,"")</f>
        <v/>
      </c>
      <c r="K11" s="21" t="str">
        <f aca="false">IF(AND(ISNUMBER($G11),ISNUMBER($I11)),$G11*$I11,"")</f>
        <v/>
      </c>
      <c r="L11" s="74"/>
      <c r="M11" s="21" t="str">
        <f aca="false">IF(AND(ISNUMBER($L11),ISNUMBER($H11)),$L11*$H11,"")</f>
        <v/>
      </c>
      <c r="N11" s="21" t="str">
        <f aca="false">IF(AND(ISNUMBER($L11),ISNUMBER($I11)),$L11*$I11,"")</f>
        <v/>
      </c>
      <c r="O11" s="77" t="str">
        <f aca="false">IF($F11="","",IFERROR(INDEX(TblABS[Tarif par nœud],MATCH($F11,TblABS[Flavor],0)),"?"))</f>
        <v/>
      </c>
      <c r="P11" s="74"/>
      <c r="Q11" s="21" t="str">
        <f aca="false">IF($B11="","",IF(OR($A11="",$E11="",$F11="",$G11="",$L11=""),"Données manquantes",IF(AND($A11&lt;&gt;"IKS",$A11&lt;&gt;"ROKS"),"Plateforme invalide",IF(AND($E11&lt;&gt;"PRD",$E11&lt;&gt;"NPRD"),"Environnement invalide",IF(OR(NOT(ISNUMBER($G11)),NOT(ISNUMBER($L11))),"Workers non numérique",IF(OR($G11&lt;0,$L11&lt;0),"Valeur négative",IF(OR($G11&lt;&gt;INT($G11),$L11&lt;&gt;INT($L11)),"Workers non entier",IF(NOT(ISNUMBER($H11)),"Flavor inconnu",IF(AND(p_mode="Nœud",OR(NOT(ISNUMBER($O11)),$O11&lt;=0)),"Tarif du flavor manquant ou invalide",IF(COUNTIF(TblClusters[Cluster],$B11)&gt;1,"Cluster en doublon",IF($L11&gt;$G11,"Plancher &gt; capacité initiale",IF(AND($A11="ROKS",$G11&gt;p_maxworkers),"Workers &gt; max ROKS",IF(AND($A11="IKS",(SUMIFS(TblApplications[CPU IKS libérable (vCPU)],TblApplications[Cluster IKS source],$B11,TblApplications[Action],"À migrer")+SUMIFS(TblApplications[CPU IKS libérable (vCPU)],TblApplications[Cluster IKS source],$B11,TblApplications[Action],"À décommissionner"))&gt;$J11-$M11),"Libérations CPU &gt; capacité libérable",IF(AND($A11="IKS",(SUMIFS(TblApplications[RAM IKS libérable (Go)],TblApplications[Cluster IKS source],$B11,TblApplications[Action],"À migrer")+SUMIFS(TblApplications[RAM IKS libérable (Go)],TblApplications[Cluster IKS source],$B11,TblApplications[Action],"À décommissionner"))&gt;$K11-$N11),"Libérations RAM &gt; capacité libérable",IF(SUMIFS(TblCalculs[Alerte max workers],TblCalculs[Cluster],$B11)&gt;0,"Max workers ROKS dépassé ("&amp;SUMIFS(TblCalculs[Alerte max workers],TblCalculs[Cluster],$B11)&amp;" mois) : flavor plus gros ou second cluster",IF(SUMIFS(TblCalculs[Alerte plancher IKS],TblCalculs[Cluster],$B11)&gt;0,"Plancher IKS atteint ("&amp;SUMIFS(TblCalculs[Alerte plancher IKS],TblCalculs[Cluster],$B11)&amp;" mois)",IF(AND($A11="IKS",ISNUMBER($R11),$R11&lt;_xlfn.MAXIFS(TblApplications[Mois lib (calc)],TblApplications[Cluster IKS source],$B11)),"Fermeture avant la dernière libération",IF(AND($R11&lt;&gt;"",OR($A11&lt;&gt;"IKS",NOT(ISNUMBER($R11)))),"Fermeture : IKS uniquement, date attendue","OK"))))))))))))))))))</f>
        <v/>
      </c>
      <c r="R11" s="75"/>
      <c r="S11" s="39" t="str">
        <f aca="false">IF(OR($B11="",$A11&lt;&gt;"IKS"),"",IF(ISNUMBER($R11),DATE(YEAR($R11),MONTH($R11),1),IF(p_fermauto&lt;&gt;"Oui","",IF(COUNTIFS(TblApplications[Cluster IKS source],$B11,TblApplications[Action],"À migrer")+COUNTIFS(TblApplications[Cluster IKS source],$B11,TblApplications[Action],"À décommissionner")=0,"",IF(COUNTIFS(TblApplications[Cluster IKS source],$B11,TblApplications[Action],"À migrer",TblApplications[Mois lib (calc)],"")+COUNTIFS(TblApplications[Cluster IKS source],$B11,TblApplications[Action],"À décommissionner",TblApplications[Mois lib (calc)],"")&gt;0,"",_xlfn.MAXIFS(TblApplications[Mois lib (calc)],TblApplications[Cluster IKS source],$B11))))))</f>
        <v/>
      </c>
      <c r="T11" s="21" t="str">
        <f aca="false">IF(OR($B11="",COUNTIFS($E11,ca_envc)=0),"",COUNTIFS($B$6:$B11,"&lt;&gt;",$E$6:$E11,ca_envc))</f>
        <v/>
      </c>
      <c r="U11" s="21" t="str">
        <f aca="false">IF(OR($B11="",$A11&lt;&gt;"IKS",COUNTIFS($E11,ex_envc)=0),"",COUNTIFS($B$6:$B11,"&lt;&gt;",$A$6:$A11,"IKS",$E$6:$E11,ex_envc))</f>
        <v/>
      </c>
    </row>
    <row r="12" customFormat="false" ht="15" hidden="false" customHeight="false" outlineLevel="0" collapsed="false">
      <c r="A12" s="74"/>
      <c r="B12" s="74"/>
      <c r="C12" s="74"/>
      <c r="D12" s="74"/>
      <c r="E12" s="74"/>
      <c r="F12" s="74"/>
      <c r="G12" s="74"/>
      <c r="H12" s="21" t="str">
        <f aca="false">IF($F12="","",IFERROR(INDEX(TblABS[vCPU par nœud],MATCH($F12,TblABS[Flavor],0)),"?"))</f>
        <v/>
      </c>
      <c r="I12" s="21" t="str">
        <f aca="false">IF($F12="","",IFERROR(INDEX(TblABS[RAM par nœud (Go)],MATCH($F12,TblABS[Flavor],0)),"?"))</f>
        <v/>
      </c>
      <c r="J12" s="21" t="str">
        <f aca="false">IF(AND(ISNUMBER($G12),ISNUMBER($H12)),$G12*$H12,"")</f>
        <v/>
      </c>
      <c r="K12" s="21" t="str">
        <f aca="false">IF(AND(ISNUMBER($G12),ISNUMBER($I12)),$G12*$I12,"")</f>
        <v/>
      </c>
      <c r="L12" s="74"/>
      <c r="M12" s="21" t="str">
        <f aca="false">IF(AND(ISNUMBER($L12),ISNUMBER($H12)),$L12*$H12,"")</f>
        <v/>
      </c>
      <c r="N12" s="21" t="str">
        <f aca="false">IF(AND(ISNUMBER($L12),ISNUMBER($I12)),$L12*$I12,"")</f>
        <v/>
      </c>
      <c r="O12" s="77" t="str">
        <f aca="false">IF($F12="","",IFERROR(INDEX(TblABS[Tarif par nœud],MATCH($F12,TblABS[Flavor],0)),"?"))</f>
        <v/>
      </c>
      <c r="P12" s="74"/>
      <c r="Q12" s="21" t="str">
        <f aca="false">IF($B12="","",IF(OR($A12="",$E12="",$F12="",$G12="",$L12=""),"Données manquantes",IF(AND($A12&lt;&gt;"IKS",$A12&lt;&gt;"ROKS"),"Plateforme invalide",IF(AND($E12&lt;&gt;"PRD",$E12&lt;&gt;"NPRD"),"Environnement invalide",IF(OR(NOT(ISNUMBER($G12)),NOT(ISNUMBER($L12))),"Workers non numérique",IF(OR($G12&lt;0,$L12&lt;0),"Valeur négative",IF(OR($G12&lt;&gt;INT($G12),$L12&lt;&gt;INT($L12)),"Workers non entier",IF(NOT(ISNUMBER($H12)),"Flavor inconnu",IF(AND(p_mode="Nœud",OR(NOT(ISNUMBER($O12)),$O12&lt;=0)),"Tarif du flavor manquant ou invalide",IF(COUNTIF(TblClusters[Cluster],$B12)&gt;1,"Cluster en doublon",IF($L12&gt;$G12,"Plancher &gt; capacité initiale",IF(AND($A12="ROKS",$G12&gt;p_maxworkers),"Workers &gt; max ROKS",IF(AND($A12="IKS",(SUMIFS(TblApplications[CPU IKS libérable (vCPU)],TblApplications[Cluster IKS source],$B12,TblApplications[Action],"À migrer")+SUMIFS(TblApplications[CPU IKS libérable (vCPU)],TblApplications[Cluster IKS source],$B12,TblApplications[Action],"À décommissionner"))&gt;$J12-$M12),"Libérations CPU &gt; capacité libérable",IF(AND($A12="IKS",(SUMIFS(TblApplications[RAM IKS libérable (Go)],TblApplications[Cluster IKS source],$B12,TblApplications[Action],"À migrer")+SUMIFS(TblApplications[RAM IKS libérable (Go)],TblApplications[Cluster IKS source],$B12,TblApplications[Action],"À décommissionner"))&gt;$K12-$N12),"Libérations RAM &gt; capacité libérable",IF(SUMIFS(TblCalculs[Alerte max workers],TblCalculs[Cluster],$B12)&gt;0,"Max workers ROKS dépassé ("&amp;SUMIFS(TblCalculs[Alerte max workers],TblCalculs[Cluster],$B12)&amp;" mois) : flavor plus gros ou second cluster",IF(SUMIFS(TblCalculs[Alerte plancher IKS],TblCalculs[Cluster],$B12)&gt;0,"Plancher IKS atteint ("&amp;SUMIFS(TblCalculs[Alerte plancher IKS],TblCalculs[Cluster],$B12)&amp;" mois)",IF(AND($A12="IKS",ISNUMBER($R12),$R12&lt;_xlfn.MAXIFS(TblApplications[Mois lib (calc)],TblApplications[Cluster IKS source],$B12)),"Fermeture avant la dernière libération",IF(AND($R12&lt;&gt;"",OR($A12&lt;&gt;"IKS",NOT(ISNUMBER($R12)))),"Fermeture : IKS uniquement, date attendue","OK"))))))))))))))))))</f>
        <v/>
      </c>
      <c r="R12" s="75"/>
      <c r="S12" s="39" t="str">
        <f aca="false">IF(OR($B12="",$A12&lt;&gt;"IKS"),"",IF(ISNUMBER($R12),DATE(YEAR($R12),MONTH($R12),1),IF(p_fermauto&lt;&gt;"Oui","",IF(COUNTIFS(TblApplications[Cluster IKS source],$B12,TblApplications[Action],"À migrer")+COUNTIFS(TblApplications[Cluster IKS source],$B12,TblApplications[Action],"À décommissionner")=0,"",IF(COUNTIFS(TblApplications[Cluster IKS source],$B12,TblApplications[Action],"À migrer",TblApplications[Mois lib (calc)],"")+COUNTIFS(TblApplications[Cluster IKS source],$B12,TblApplications[Action],"À décommissionner",TblApplications[Mois lib (calc)],"")&gt;0,"",_xlfn.MAXIFS(TblApplications[Mois lib (calc)],TblApplications[Cluster IKS source],$B12))))))</f>
        <v/>
      </c>
      <c r="T12" s="21" t="str">
        <f aca="false">IF(OR($B12="",COUNTIFS($E12,ca_envc)=0),"",COUNTIFS($B$6:$B12,"&lt;&gt;",$E$6:$E12,ca_envc))</f>
        <v/>
      </c>
      <c r="U12" s="21" t="str">
        <f aca="false">IF(OR($B12="",$A12&lt;&gt;"IKS",COUNTIFS($E12,ex_envc)=0),"",COUNTIFS($B$6:$B12,"&lt;&gt;",$A$6:$A12,"IKS",$E$6:$E12,ex_envc))</f>
        <v/>
      </c>
    </row>
    <row r="13" customFormat="false" ht="15" hidden="false" customHeight="false" outlineLevel="0" collapsed="false">
      <c r="A13" s="74"/>
      <c r="B13" s="74"/>
      <c r="C13" s="74"/>
      <c r="D13" s="74"/>
      <c r="E13" s="74"/>
      <c r="F13" s="74"/>
      <c r="G13" s="74"/>
      <c r="H13" s="21" t="str">
        <f aca="false">IF($F13="","",IFERROR(INDEX(TblABS[vCPU par nœud],MATCH($F13,TblABS[Flavor],0)),"?"))</f>
        <v/>
      </c>
      <c r="I13" s="21" t="str">
        <f aca="false">IF($F13="","",IFERROR(INDEX(TblABS[RAM par nœud (Go)],MATCH($F13,TblABS[Flavor],0)),"?"))</f>
        <v/>
      </c>
      <c r="J13" s="21" t="str">
        <f aca="false">IF(AND(ISNUMBER($G13),ISNUMBER($H13)),$G13*$H13,"")</f>
        <v/>
      </c>
      <c r="K13" s="21" t="str">
        <f aca="false">IF(AND(ISNUMBER($G13),ISNUMBER($I13)),$G13*$I13,"")</f>
        <v/>
      </c>
      <c r="L13" s="74"/>
      <c r="M13" s="21" t="str">
        <f aca="false">IF(AND(ISNUMBER($L13),ISNUMBER($H13)),$L13*$H13,"")</f>
        <v/>
      </c>
      <c r="N13" s="21" t="str">
        <f aca="false">IF(AND(ISNUMBER($L13),ISNUMBER($I13)),$L13*$I13,"")</f>
        <v/>
      </c>
      <c r="O13" s="77" t="str">
        <f aca="false">IF($F13="","",IFERROR(INDEX(TblABS[Tarif par nœud],MATCH($F13,TblABS[Flavor],0)),"?"))</f>
        <v/>
      </c>
      <c r="P13" s="74"/>
      <c r="Q13" s="21" t="str">
        <f aca="false">IF($B13="","",IF(OR($A13="",$E13="",$F13="",$G13="",$L13=""),"Données manquantes",IF(AND($A13&lt;&gt;"IKS",$A13&lt;&gt;"ROKS"),"Plateforme invalide",IF(AND($E13&lt;&gt;"PRD",$E13&lt;&gt;"NPRD"),"Environnement invalide",IF(OR(NOT(ISNUMBER($G13)),NOT(ISNUMBER($L13))),"Workers non numérique",IF(OR($G13&lt;0,$L13&lt;0),"Valeur négative",IF(OR($G13&lt;&gt;INT($G13),$L13&lt;&gt;INT($L13)),"Workers non entier",IF(NOT(ISNUMBER($H13)),"Flavor inconnu",IF(AND(p_mode="Nœud",OR(NOT(ISNUMBER($O13)),$O13&lt;=0)),"Tarif du flavor manquant ou invalide",IF(COUNTIF(TblClusters[Cluster],$B13)&gt;1,"Cluster en doublon",IF($L13&gt;$G13,"Plancher &gt; capacité initiale",IF(AND($A13="ROKS",$G13&gt;p_maxworkers),"Workers &gt; max ROKS",IF(AND($A13="IKS",(SUMIFS(TblApplications[CPU IKS libérable (vCPU)],TblApplications[Cluster IKS source],$B13,TblApplications[Action],"À migrer")+SUMIFS(TblApplications[CPU IKS libérable (vCPU)],TblApplications[Cluster IKS source],$B13,TblApplications[Action],"À décommissionner"))&gt;$J13-$M13),"Libérations CPU &gt; capacité libérable",IF(AND($A13="IKS",(SUMIFS(TblApplications[RAM IKS libérable (Go)],TblApplications[Cluster IKS source],$B13,TblApplications[Action],"À migrer")+SUMIFS(TblApplications[RAM IKS libérable (Go)],TblApplications[Cluster IKS source],$B13,TblApplications[Action],"À décommissionner"))&gt;$K13-$N13),"Libérations RAM &gt; capacité libérable",IF(SUMIFS(TblCalculs[Alerte max workers],TblCalculs[Cluster],$B13)&gt;0,"Max workers ROKS dépassé ("&amp;SUMIFS(TblCalculs[Alerte max workers],TblCalculs[Cluster],$B13)&amp;" mois) : flavor plus gros ou second cluster",IF(SUMIFS(TblCalculs[Alerte plancher IKS],TblCalculs[Cluster],$B13)&gt;0,"Plancher IKS atteint ("&amp;SUMIFS(TblCalculs[Alerte plancher IKS],TblCalculs[Cluster],$B13)&amp;" mois)",IF(AND($A13="IKS",ISNUMBER($R13),$R13&lt;_xlfn.MAXIFS(TblApplications[Mois lib (calc)],TblApplications[Cluster IKS source],$B13)),"Fermeture avant la dernière libération",IF(AND($R13&lt;&gt;"",OR($A13&lt;&gt;"IKS",NOT(ISNUMBER($R13)))),"Fermeture : IKS uniquement, date attendue","OK"))))))))))))))))))</f>
        <v/>
      </c>
      <c r="R13" s="75"/>
      <c r="S13" s="39" t="str">
        <f aca="false">IF(OR($B13="",$A13&lt;&gt;"IKS"),"",IF(ISNUMBER($R13),DATE(YEAR($R13),MONTH($R13),1),IF(p_fermauto&lt;&gt;"Oui","",IF(COUNTIFS(TblApplications[Cluster IKS source],$B13,TblApplications[Action],"À migrer")+COUNTIFS(TblApplications[Cluster IKS source],$B13,TblApplications[Action],"À décommissionner")=0,"",IF(COUNTIFS(TblApplications[Cluster IKS source],$B13,TblApplications[Action],"À migrer",TblApplications[Mois lib (calc)],"")+COUNTIFS(TblApplications[Cluster IKS source],$B13,TblApplications[Action],"À décommissionner",TblApplications[Mois lib (calc)],"")&gt;0,"",_xlfn.MAXIFS(TblApplications[Mois lib (calc)],TblApplications[Cluster IKS source],$B13))))))</f>
        <v/>
      </c>
      <c r="T13" s="21" t="str">
        <f aca="false">IF(OR($B13="",COUNTIFS($E13,ca_envc)=0),"",COUNTIFS($B$6:$B13,"&lt;&gt;",$E$6:$E13,ca_envc))</f>
        <v/>
      </c>
      <c r="U13" s="21" t="str">
        <f aca="false">IF(OR($B13="",$A13&lt;&gt;"IKS",COUNTIFS($E13,ex_envc)=0),"",COUNTIFS($B$6:$B13,"&lt;&gt;",$A$6:$A13,"IKS",$E$6:$E13,ex_envc))</f>
        <v/>
      </c>
    </row>
    <row r="14" customFormat="false" ht="15" hidden="false" customHeight="false" outlineLevel="0" collapsed="false">
      <c r="A14" s="74"/>
      <c r="B14" s="74"/>
      <c r="C14" s="74"/>
      <c r="D14" s="74"/>
      <c r="E14" s="74"/>
      <c r="F14" s="74"/>
      <c r="G14" s="74"/>
      <c r="H14" s="21" t="str">
        <f aca="false">IF($F14="","",IFERROR(INDEX(TblABS[vCPU par nœud],MATCH($F14,TblABS[Flavor],0)),"?"))</f>
        <v/>
      </c>
      <c r="I14" s="21" t="str">
        <f aca="false">IF($F14="","",IFERROR(INDEX(TblABS[RAM par nœud (Go)],MATCH($F14,TblABS[Flavor],0)),"?"))</f>
        <v/>
      </c>
      <c r="J14" s="21" t="str">
        <f aca="false">IF(AND(ISNUMBER($G14),ISNUMBER($H14)),$G14*$H14,"")</f>
        <v/>
      </c>
      <c r="K14" s="21" t="str">
        <f aca="false">IF(AND(ISNUMBER($G14),ISNUMBER($I14)),$G14*$I14,"")</f>
        <v/>
      </c>
      <c r="L14" s="74"/>
      <c r="M14" s="21" t="str">
        <f aca="false">IF(AND(ISNUMBER($L14),ISNUMBER($H14)),$L14*$H14,"")</f>
        <v/>
      </c>
      <c r="N14" s="21" t="str">
        <f aca="false">IF(AND(ISNUMBER($L14),ISNUMBER($I14)),$L14*$I14,"")</f>
        <v/>
      </c>
      <c r="O14" s="77" t="str">
        <f aca="false">IF($F14="","",IFERROR(INDEX(TblABS[Tarif par nœud],MATCH($F14,TblABS[Flavor],0)),"?"))</f>
        <v/>
      </c>
      <c r="P14" s="74"/>
      <c r="Q14" s="21" t="str">
        <f aca="false">IF($B14="","",IF(OR($A14="",$E14="",$F14="",$G14="",$L14=""),"Données manquantes",IF(AND($A14&lt;&gt;"IKS",$A14&lt;&gt;"ROKS"),"Plateforme invalide",IF(AND($E14&lt;&gt;"PRD",$E14&lt;&gt;"NPRD"),"Environnement invalide",IF(OR(NOT(ISNUMBER($G14)),NOT(ISNUMBER($L14))),"Workers non numérique",IF(OR($G14&lt;0,$L14&lt;0),"Valeur négative",IF(OR($G14&lt;&gt;INT($G14),$L14&lt;&gt;INT($L14)),"Workers non entier",IF(NOT(ISNUMBER($H14)),"Flavor inconnu",IF(AND(p_mode="Nœud",OR(NOT(ISNUMBER($O14)),$O14&lt;=0)),"Tarif du flavor manquant ou invalide",IF(COUNTIF(TblClusters[Cluster],$B14)&gt;1,"Cluster en doublon",IF($L14&gt;$G14,"Plancher &gt; capacité initiale",IF(AND($A14="ROKS",$G14&gt;p_maxworkers),"Workers &gt; max ROKS",IF(AND($A14="IKS",(SUMIFS(TblApplications[CPU IKS libérable (vCPU)],TblApplications[Cluster IKS source],$B14,TblApplications[Action],"À migrer")+SUMIFS(TblApplications[CPU IKS libérable (vCPU)],TblApplications[Cluster IKS source],$B14,TblApplications[Action],"À décommissionner"))&gt;$J14-$M14),"Libérations CPU &gt; capacité libérable",IF(AND($A14="IKS",(SUMIFS(TblApplications[RAM IKS libérable (Go)],TblApplications[Cluster IKS source],$B14,TblApplications[Action],"À migrer")+SUMIFS(TblApplications[RAM IKS libérable (Go)],TblApplications[Cluster IKS source],$B14,TblApplications[Action],"À décommissionner"))&gt;$K14-$N14),"Libérations RAM &gt; capacité libérable",IF(SUMIFS(TblCalculs[Alerte max workers],TblCalculs[Cluster],$B14)&gt;0,"Max workers ROKS dépassé ("&amp;SUMIFS(TblCalculs[Alerte max workers],TblCalculs[Cluster],$B14)&amp;" mois) : flavor plus gros ou second cluster",IF(SUMIFS(TblCalculs[Alerte plancher IKS],TblCalculs[Cluster],$B14)&gt;0,"Plancher IKS atteint ("&amp;SUMIFS(TblCalculs[Alerte plancher IKS],TblCalculs[Cluster],$B14)&amp;" mois)",IF(AND($A14="IKS",ISNUMBER($R14),$R14&lt;_xlfn.MAXIFS(TblApplications[Mois lib (calc)],TblApplications[Cluster IKS source],$B14)),"Fermeture avant la dernière libération",IF(AND($R14&lt;&gt;"",OR($A14&lt;&gt;"IKS",NOT(ISNUMBER($R14)))),"Fermeture : IKS uniquement, date attendue","OK"))))))))))))))))))</f>
        <v/>
      </c>
      <c r="R14" s="75"/>
      <c r="S14" s="39" t="str">
        <f aca="false">IF(OR($B14="",$A14&lt;&gt;"IKS"),"",IF(ISNUMBER($R14),DATE(YEAR($R14),MONTH($R14),1),IF(p_fermauto&lt;&gt;"Oui","",IF(COUNTIFS(TblApplications[Cluster IKS source],$B14,TblApplications[Action],"À migrer")+COUNTIFS(TblApplications[Cluster IKS source],$B14,TblApplications[Action],"À décommissionner")=0,"",IF(COUNTIFS(TblApplications[Cluster IKS source],$B14,TblApplications[Action],"À migrer",TblApplications[Mois lib (calc)],"")+COUNTIFS(TblApplications[Cluster IKS source],$B14,TblApplications[Action],"À décommissionner",TblApplications[Mois lib (calc)],"")&gt;0,"",_xlfn.MAXIFS(TblApplications[Mois lib (calc)],TblApplications[Cluster IKS source],$B14))))))</f>
        <v/>
      </c>
      <c r="T14" s="21" t="str">
        <f aca="false">IF(OR($B14="",COUNTIFS($E14,ca_envc)=0),"",COUNTIFS($B$6:$B14,"&lt;&gt;",$E$6:$E14,ca_envc))</f>
        <v/>
      </c>
      <c r="U14" s="21" t="str">
        <f aca="false">IF(OR($B14="",$A14&lt;&gt;"IKS",COUNTIFS($E14,ex_envc)=0),"",COUNTIFS($B$6:$B14,"&lt;&gt;",$A$6:$A14,"IKS",$E$6:$E14,ex_envc))</f>
        <v/>
      </c>
    </row>
    <row r="15" customFormat="false" ht="15" hidden="false" customHeight="false" outlineLevel="0" collapsed="false">
      <c r="A15" s="74"/>
      <c r="B15" s="74"/>
      <c r="C15" s="74"/>
      <c r="D15" s="74"/>
      <c r="E15" s="74"/>
      <c r="F15" s="74"/>
      <c r="G15" s="74"/>
      <c r="H15" s="21" t="str">
        <f aca="false">IF($F15="","",IFERROR(INDEX(TblABS[vCPU par nœud],MATCH($F15,TblABS[Flavor],0)),"?"))</f>
        <v/>
      </c>
      <c r="I15" s="21" t="str">
        <f aca="false">IF($F15="","",IFERROR(INDEX(TblABS[RAM par nœud (Go)],MATCH($F15,TblABS[Flavor],0)),"?"))</f>
        <v/>
      </c>
      <c r="J15" s="21" t="str">
        <f aca="false">IF(AND(ISNUMBER($G15),ISNUMBER($H15)),$G15*$H15,"")</f>
        <v/>
      </c>
      <c r="K15" s="21" t="str">
        <f aca="false">IF(AND(ISNUMBER($G15),ISNUMBER($I15)),$G15*$I15,"")</f>
        <v/>
      </c>
      <c r="L15" s="74"/>
      <c r="M15" s="21" t="str">
        <f aca="false">IF(AND(ISNUMBER($L15),ISNUMBER($H15)),$L15*$H15,"")</f>
        <v/>
      </c>
      <c r="N15" s="21" t="str">
        <f aca="false">IF(AND(ISNUMBER($L15),ISNUMBER($I15)),$L15*$I15,"")</f>
        <v/>
      </c>
      <c r="O15" s="77" t="str">
        <f aca="false">IF($F15="","",IFERROR(INDEX(TblABS[Tarif par nœud],MATCH($F15,TblABS[Flavor],0)),"?"))</f>
        <v/>
      </c>
      <c r="P15" s="74"/>
      <c r="Q15" s="21" t="str">
        <f aca="false">IF($B15="","",IF(OR($A15="",$E15="",$F15="",$G15="",$L15=""),"Données manquantes",IF(AND($A15&lt;&gt;"IKS",$A15&lt;&gt;"ROKS"),"Plateforme invalide",IF(AND($E15&lt;&gt;"PRD",$E15&lt;&gt;"NPRD"),"Environnement invalide",IF(OR(NOT(ISNUMBER($G15)),NOT(ISNUMBER($L15))),"Workers non numérique",IF(OR($G15&lt;0,$L15&lt;0),"Valeur négative",IF(OR($G15&lt;&gt;INT($G15),$L15&lt;&gt;INT($L15)),"Workers non entier",IF(NOT(ISNUMBER($H15)),"Flavor inconnu",IF(AND(p_mode="Nœud",OR(NOT(ISNUMBER($O15)),$O15&lt;=0)),"Tarif du flavor manquant ou invalide",IF(COUNTIF(TblClusters[Cluster],$B15)&gt;1,"Cluster en doublon",IF($L15&gt;$G15,"Plancher &gt; capacité initiale",IF(AND($A15="ROKS",$G15&gt;p_maxworkers),"Workers &gt; max ROKS",IF(AND($A15="IKS",(SUMIFS(TblApplications[CPU IKS libérable (vCPU)],TblApplications[Cluster IKS source],$B15,TblApplications[Action],"À migrer")+SUMIFS(TblApplications[CPU IKS libérable (vCPU)],TblApplications[Cluster IKS source],$B15,TblApplications[Action],"À décommissionner"))&gt;$J15-$M15),"Libérations CPU &gt; capacité libérable",IF(AND($A15="IKS",(SUMIFS(TblApplications[RAM IKS libérable (Go)],TblApplications[Cluster IKS source],$B15,TblApplications[Action],"À migrer")+SUMIFS(TblApplications[RAM IKS libérable (Go)],TblApplications[Cluster IKS source],$B15,TblApplications[Action],"À décommissionner"))&gt;$K15-$N15),"Libérations RAM &gt; capacité libérable",IF(SUMIFS(TblCalculs[Alerte max workers],TblCalculs[Cluster],$B15)&gt;0,"Max workers ROKS dépassé ("&amp;SUMIFS(TblCalculs[Alerte max workers],TblCalculs[Cluster],$B15)&amp;" mois) : flavor plus gros ou second cluster",IF(SUMIFS(TblCalculs[Alerte plancher IKS],TblCalculs[Cluster],$B15)&gt;0,"Plancher IKS atteint ("&amp;SUMIFS(TblCalculs[Alerte plancher IKS],TblCalculs[Cluster],$B15)&amp;" mois)",IF(AND($A15="IKS",ISNUMBER($R15),$R15&lt;_xlfn.MAXIFS(TblApplications[Mois lib (calc)],TblApplications[Cluster IKS source],$B15)),"Fermeture avant la dernière libération",IF(AND($R15&lt;&gt;"",OR($A15&lt;&gt;"IKS",NOT(ISNUMBER($R15)))),"Fermeture : IKS uniquement, date attendue","OK"))))))))))))))))))</f>
        <v/>
      </c>
      <c r="R15" s="75"/>
      <c r="S15" s="39" t="str">
        <f aca="false">IF(OR($B15="",$A15&lt;&gt;"IKS"),"",IF(ISNUMBER($R15),DATE(YEAR($R15),MONTH($R15),1),IF(p_fermauto&lt;&gt;"Oui","",IF(COUNTIFS(TblApplications[Cluster IKS source],$B15,TblApplications[Action],"À migrer")+COUNTIFS(TblApplications[Cluster IKS source],$B15,TblApplications[Action],"À décommissionner")=0,"",IF(COUNTIFS(TblApplications[Cluster IKS source],$B15,TblApplications[Action],"À migrer",TblApplications[Mois lib (calc)],"")+COUNTIFS(TblApplications[Cluster IKS source],$B15,TblApplications[Action],"À décommissionner",TblApplications[Mois lib (calc)],"")&gt;0,"",_xlfn.MAXIFS(TblApplications[Mois lib (calc)],TblApplications[Cluster IKS source],$B15))))))</f>
        <v/>
      </c>
      <c r="T15" s="21" t="str">
        <f aca="false">IF(OR($B15="",COUNTIFS($E15,ca_envc)=0),"",COUNTIFS($B$6:$B15,"&lt;&gt;",$E$6:$E15,ca_envc))</f>
        <v/>
      </c>
      <c r="U15" s="21" t="str">
        <f aca="false">IF(OR($B15="",$A15&lt;&gt;"IKS",COUNTIFS($E15,ex_envc)=0),"",COUNTIFS($B$6:$B15,"&lt;&gt;",$A$6:$A15,"IKS",$E$6:$E15,ex_envc))</f>
        <v/>
      </c>
    </row>
    <row r="16" customFormat="false" ht="15" hidden="false" customHeight="false" outlineLevel="0" collapsed="false">
      <c r="A16" s="74"/>
      <c r="B16" s="74"/>
      <c r="C16" s="74"/>
      <c r="D16" s="74"/>
      <c r="E16" s="74"/>
      <c r="F16" s="74"/>
      <c r="G16" s="74"/>
      <c r="H16" s="21" t="str">
        <f aca="false">IF($F16="","",IFERROR(INDEX(TblABS[vCPU par nœud],MATCH($F16,TblABS[Flavor],0)),"?"))</f>
        <v/>
      </c>
      <c r="I16" s="21" t="str">
        <f aca="false">IF($F16="","",IFERROR(INDEX(TblABS[RAM par nœud (Go)],MATCH($F16,TblABS[Flavor],0)),"?"))</f>
        <v/>
      </c>
      <c r="J16" s="21" t="str">
        <f aca="false">IF(AND(ISNUMBER($G16),ISNUMBER($H16)),$G16*$H16,"")</f>
        <v/>
      </c>
      <c r="K16" s="21" t="str">
        <f aca="false">IF(AND(ISNUMBER($G16),ISNUMBER($I16)),$G16*$I16,"")</f>
        <v/>
      </c>
      <c r="L16" s="74"/>
      <c r="M16" s="21" t="str">
        <f aca="false">IF(AND(ISNUMBER($L16),ISNUMBER($H16)),$L16*$H16,"")</f>
        <v/>
      </c>
      <c r="N16" s="21" t="str">
        <f aca="false">IF(AND(ISNUMBER($L16),ISNUMBER($I16)),$L16*$I16,"")</f>
        <v/>
      </c>
      <c r="O16" s="77" t="str">
        <f aca="false">IF($F16="","",IFERROR(INDEX(TblABS[Tarif par nœud],MATCH($F16,TblABS[Flavor],0)),"?"))</f>
        <v/>
      </c>
      <c r="P16" s="74"/>
      <c r="Q16" s="21" t="str">
        <f aca="false">IF($B16="","",IF(OR($A16="",$E16="",$F16="",$G16="",$L16=""),"Données manquantes",IF(AND($A16&lt;&gt;"IKS",$A16&lt;&gt;"ROKS"),"Plateforme invalide",IF(AND($E16&lt;&gt;"PRD",$E16&lt;&gt;"NPRD"),"Environnement invalide",IF(OR(NOT(ISNUMBER($G16)),NOT(ISNUMBER($L16))),"Workers non numérique",IF(OR($G16&lt;0,$L16&lt;0),"Valeur négative",IF(OR($G16&lt;&gt;INT($G16),$L16&lt;&gt;INT($L16)),"Workers non entier",IF(NOT(ISNUMBER($H16)),"Flavor inconnu",IF(AND(p_mode="Nœud",OR(NOT(ISNUMBER($O16)),$O16&lt;=0)),"Tarif du flavor manquant ou invalide",IF(COUNTIF(TblClusters[Cluster],$B16)&gt;1,"Cluster en doublon",IF($L16&gt;$G16,"Plancher &gt; capacité initiale",IF(AND($A16="ROKS",$G16&gt;p_maxworkers),"Workers &gt; max ROKS",IF(AND($A16="IKS",(SUMIFS(TblApplications[CPU IKS libérable (vCPU)],TblApplications[Cluster IKS source],$B16,TblApplications[Action],"À migrer")+SUMIFS(TblApplications[CPU IKS libérable (vCPU)],TblApplications[Cluster IKS source],$B16,TblApplications[Action],"À décommissionner"))&gt;$J16-$M16),"Libérations CPU &gt; capacité libérable",IF(AND($A16="IKS",(SUMIFS(TblApplications[RAM IKS libérable (Go)],TblApplications[Cluster IKS source],$B16,TblApplications[Action],"À migrer")+SUMIFS(TblApplications[RAM IKS libérable (Go)],TblApplications[Cluster IKS source],$B16,TblApplications[Action],"À décommissionner"))&gt;$K16-$N16),"Libérations RAM &gt; capacité libérable",IF(SUMIFS(TblCalculs[Alerte max workers],TblCalculs[Cluster],$B16)&gt;0,"Max workers ROKS dépassé ("&amp;SUMIFS(TblCalculs[Alerte max workers],TblCalculs[Cluster],$B16)&amp;" mois) : flavor plus gros ou second cluster",IF(SUMIFS(TblCalculs[Alerte plancher IKS],TblCalculs[Cluster],$B16)&gt;0,"Plancher IKS atteint ("&amp;SUMIFS(TblCalculs[Alerte plancher IKS],TblCalculs[Cluster],$B16)&amp;" mois)",IF(AND($A16="IKS",ISNUMBER($R16),$R16&lt;_xlfn.MAXIFS(TblApplications[Mois lib (calc)],TblApplications[Cluster IKS source],$B16)),"Fermeture avant la dernière libération",IF(AND($R16&lt;&gt;"",OR($A16&lt;&gt;"IKS",NOT(ISNUMBER($R16)))),"Fermeture : IKS uniquement, date attendue","OK"))))))))))))))))))</f>
        <v/>
      </c>
      <c r="R16" s="75"/>
      <c r="S16" s="39" t="str">
        <f aca="false">IF(OR($B16="",$A16&lt;&gt;"IKS"),"",IF(ISNUMBER($R16),DATE(YEAR($R16),MONTH($R16),1),IF(p_fermauto&lt;&gt;"Oui","",IF(COUNTIFS(TblApplications[Cluster IKS source],$B16,TblApplications[Action],"À migrer")+COUNTIFS(TblApplications[Cluster IKS source],$B16,TblApplications[Action],"À décommissionner")=0,"",IF(COUNTIFS(TblApplications[Cluster IKS source],$B16,TblApplications[Action],"À migrer",TblApplications[Mois lib (calc)],"")+COUNTIFS(TblApplications[Cluster IKS source],$B16,TblApplications[Action],"À décommissionner",TblApplications[Mois lib (calc)],"")&gt;0,"",_xlfn.MAXIFS(TblApplications[Mois lib (calc)],TblApplications[Cluster IKS source],$B16))))))</f>
        <v/>
      </c>
      <c r="T16" s="21" t="str">
        <f aca="false">IF(OR($B16="",COUNTIFS($E16,ca_envc)=0),"",COUNTIFS($B$6:$B16,"&lt;&gt;",$E$6:$E16,ca_envc))</f>
        <v/>
      </c>
      <c r="U16" s="21" t="str">
        <f aca="false">IF(OR($B16="",$A16&lt;&gt;"IKS",COUNTIFS($E16,ex_envc)=0),"",COUNTIFS($B$6:$B16,"&lt;&gt;",$A$6:$A16,"IKS",$E$6:$E16,ex_envc))</f>
        <v/>
      </c>
    </row>
    <row r="17" customFormat="false" ht="15" hidden="false" customHeight="false" outlineLevel="0" collapsed="false">
      <c r="A17" s="74"/>
      <c r="B17" s="74"/>
      <c r="C17" s="74"/>
      <c r="D17" s="74"/>
      <c r="E17" s="74"/>
      <c r="F17" s="74"/>
      <c r="G17" s="74"/>
      <c r="H17" s="21" t="str">
        <f aca="false">IF($F17="","",IFERROR(INDEX(TblABS[vCPU par nœud],MATCH($F17,TblABS[Flavor],0)),"?"))</f>
        <v/>
      </c>
      <c r="I17" s="21" t="str">
        <f aca="false">IF($F17="","",IFERROR(INDEX(TblABS[RAM par nœud (Go)],MATCH($F17,TblABS[Flavor],0)),"?"))</f>
        <v/>
      </c>
      <c r="J17" s="21" t="str">
        <f aca="false">IF(AND(ISNUMBER($G17),ISNUMBER($H17)),$G17*$H17,"")</f>
        <v/>
      </c>
      <c r="K17" s="21" t="str">
        <f aca="false">IF(AND(ISNUMBER($G17),ISNUMBER($I17)),$G17*$I17,"")</f>
        <v/>
      </c>
      <c r="L17" s="74"/>
      <c r="M17" s="21" t="str">
        <f aca="false">IF(AND(ISNUMBER($L17),ISNUMBER($H17)),$L17*$H17,"")</f>
        <v/>
      </c>
      <c r="N17" s="21" t="str">
        <f aca="false">IF(AND(ISNUMBER($L17),ISNUMBER($I17)),$L17*$I17,"")</f>
        <v/>
      </c>
      <c r="O17" s="77" t="str">
        <f aca="false">IF($F17="","",IFERROR(INDEX(TblABS[Tarif par nœud],MATCH($F17,TblABS[Flavor],0)),"?"))</f>
        <v/>
      </c>
      <c r="P17" s="74"/>
      <c r="Q17" s="21" t="str">
        <f aca="false">IF($B17="","",IF(OR($A17="",$E17="",$F17="",$G17="",$L17=""),"Données manquantes",IF(AND($A17&lt;&gt;"IKS",$A17&lt;&gt;"ROKS"),"Plateforme invalide",IF(AND($E17&lt;&gt;"PRD",$E17&lt;&gt;"NPRD"),"Environnement invalide",IF(OR(NOT(ISNUMBER($G17)),NOT(ISNUMBER($L17))),"Workers non numérique",IF(OR($G17&lt;0,$L17&lt;0),"Valeur négative",IF(OR($G17&lt;&gt;INT($G17),$L17&lt;&gt;INT($L17)),"Workers non entier",IF(NOT(ISNUMBER($H17)),"Flavor inconnu",IF(AND(p_mode="Nœud",OR(NOT(ISNUMBER($O17)),$O17&lt;=0)),"Tarif du flavor manquant ou invalide",IF(COUNTIF(TblClusters[Cluster],$B17)&gt;1,"Cluster en doublon",IF($L17&gt;$G17,"Plancher &gt; capacité initiale",IF(AND($A17="ROKS",$G17&gt;p_maxworkers),"Workers &gt; max ROKS",IF(AND($A17="IKS",(SUMIFS(TblApplications[CPU IKS libérable (vCPU)],TblApplications[Cluster IKS source],$B17,TblApplications[Action],"À migrer")+SUMIFS(TblApplications[CPU IKS libérable (vCPU)],TblApplications[Cluster IKS source],$B17,TblApplications[Action],"À décommissionner"))&gt;$J17-$M17),"Libérations CPU &gt; capacité libérable",IF(AND($A17="IKS",(SUMIFS(TblApplications[RAM IKS libérable (Go)],TblApplications[Cluster IKS source],$B17,TblApplications[Action],"À migrer")+SUMIFS(TblApplications[RAM IKS libérable (Go)],TblApplications[Cluster IKS source],$B17,TblApplications[Action],"À décommissionner"))&gt;$K17-$N17),"Libérations RAM &gt; capacité libérable",IF(SUMIFS(TblCalculs[Alerte max workers],TblCalculs[Cluster],$B17)&gt;0,"Max workers ROKS dépassé ("&amp;SUMIFS(TblCalculs[Alerte max workers],TblCalculs[Cluster],$B17)&amp;" mois) : flavor plus gros ou second cluster",IF(SUMIFS(TblCalculs[Alerte plancher IKS],TblCalculs[Cluster],$B17)&gt;0,"Plancher IKS atteint ("&amp;SUMIFS(TblCalculs[Alerte plancher IKS],TblCalculs[Cluster],$B17)&amp;" mois)",IF(AND($A17="IKS",ISNUMBER($R17),$R17&lt;_xlfn.MAXIFS(TblApplications[Mois lib (calc)],TblApplications[Cluster IKS source],$B17)),"Fermeture avant la dernière libération",IF(AND($R17&lt;&gt;"",OR($A17&lt;&gt;"IKS",NOT(ISNUMBER($R17)))),"Fermeture : IKS uniquement, date attendue","OK"))))))))))))))))))</f>
        <v/>
      </c>
      <c r="R17" s="75"/>
      <c r="S17" s="39" t="str">
        <f aca="false">IF(OR($B17="",$A17&lt;&gt;"IKS"),"",IF(ISNUMBER($R17),DATE(YEAR($R17),MONTH($R17),1),IF(p_fermauto&lt;&gt;"Oui","",IF(COUNTIFS(TblApplications[Cluster IKS source],$B17,TblApplications[Action],"À migrer")+COUNTIFS(TblApplications[Cluster IKS source],$B17,TblApplications[Action],"À décommissionner")=0,"",IF(COUNTIFS(TblApplications[Cluster IKS source],$B17,TblApplications[Action],"À migrer",TblApplications[Mois lib (calc)],"")+COUNTIFS(TblApplications[Cluster IKS source],$B17,TblApplications[Action],"À décommissionner",TblApplications[Mois lib (calc)],"")&gt;0,"",_xlfn.MAXIFS(TblApplications[Mois lib (calc)],TblApplications[Cluster IKS source],$B17))))))</f>
        <v/>
      </c>
      <c r="T17" s="21" t="str">
        <f aca="false">IF(OR($B17="",COUNTIFS($E17,ca_envc)=0),"",COUNTIFS($B$6:$B17,"&lt;&gt;",$E$6:$E17,ca_envc))</f>
        <v/>
      </c>
      <c r="U17" s="21" t="str">
        <f aca="false">IF(OR($B17="",$A17&lt;&gt;"IKS",COUNTIFS($E17,ex_envc)=0),"",COUNTIFS($B$6:$B17,"&lt;&gt;",$A$6:$A17,"IKS",$E$6:$E17,ex_envc))</f>
        <v/>
      </c>
    </row>
    <row r="18" customFormat="false" ht="15" hidden="false" customHeight="false" outlineLevel="0" collapsed="false">
      <c r="A18" s="74"/>
      <c r="B18" s="74"/>
      <c r="C18" s="74"/>
      <c r="D18" s="74"/>
      <c r="E18" s="74"/>
      <c r="F18" s="74"/>
      <c r="G18" s="74"/>
      <c r="H18" s="21" t="str">
        <f aca="false">IF($F18="","",IFERROR(INDEX(TblABS[vCPU par nœud],MATCH($F18,TblABS[Flavor],0)),"?"))</f>
        <v/>
      </c>
      <c r="I18" s="21" t="str">
        <f aca="false">IF($F18="","",IFERROR(INDEX(TblABS[RAM par nœud (Go)],MATCH($F18,TblABS[Flavor],0)),"?"))</f>
        <v/>
      </c>
      <c r="J18" s="21" t="str">
        <f aca="false">IF(AND(ISNUMBER($G18),ISNUMBER($H18)),$G18*$H18,"")</f>
        <v/>
      </c>
      <c r="K18" s="21" t="str">
        <f aca="false">IF(AND(ISNUMBER($G18),ISNUMBER($I18)),$G18*$I18,"")</f>
        <v/>
      </c>
      <c r="L18" s="74"/>
      <c r="M18" s="21" t="str">
        <f aca="false">IF(AND(ISNUMBER($L18),ISNUMBER($H18)),$L18*$H18,"")</f>
        <v/>
      </c>
      <c r="N18" s="21" t="str">
        <f aca="false">IF(AND(ISNUMBER($L18),ISNUMBER($I18)),$L18*$I18,"")</f>
        <v/>
      </c>
      <c r="O18" s="77" t="str">
        <f aca="false">IF($F18="","",IFERROR(INDEX(TblABS[Tarif par nœud],MATCH($F18,TblABS[Flavor],0)),"?"))</f>
        <v/>
      </c>
      <c r="P18" s="74"/>
      <c r="Q18" s="21" t="str">
        <f aca="false">IF($B18="","",IF(OR($A18="",$E18="",$F18="",$G18="",$L18=""),"Données manquantes",IF(AND($A18&lt;&gt;"IKS",$A18&lt;&gt;"ROKS"),"Plateforme invalide",IF(AND($E18&lt;&gt;"PRD",$E18&lt;&gt;"NPRD"),"Environnement invalide",IF(OR(NOT(ISNUMBER($G18)),NOT(ISNUMBER($L18))),"Workers non numérique",IF(OR($G18&lt;0,$L18&lt;0),"Valeur négative",IF(OR($G18&lt;&gt;INT($G18),$L18&lt;&gt;INT($L18)),"Workers non entier",IF(NOT(ISNUMBER($H18)),"Flavor inconnu",IF(AND(p_mode="Nœud",OR(NOT(ISNUMBER($O18)),$O18&lt;=0)),"Tarif du flavor manquant ou invalide",IF(COUNTIF(TblClusters[Cluster],$B18)&gt;1,"Cluster en doublon",IF($L18&gt;$G18,"Plancher &gt; capacité initiale",IF(AND($A18="ROKS",$G18&gt;p_maxworkers),"Workers &gt; max ROKS",IF(AND($A18="IKS",(SUMIFS(TblApplications[CPU IKS libérable (vCPU)],TblApplications[Cluster IKS source],$B18,TblApplications[Action],"À migrer")+SUMIFS(TblApplications[CPU IKS libérable (vCPU)],TblApplications[Cluster IKS source],$B18,TblApplications[Action],"À décommissionner"))&gt;$J18-$M18),"Libérations CPU &gt; capacité libérable",IF(AND($A18="IKS",(SUMIFS(TblApplications[RAM IKS libérable (Go)],TblApplications[Cluster IKS source],$B18,TblApplications[Action],"À migrer")+SUMIFS(TblApplications[RAM IKS libérable (Go)],TblApplications[Cluster IKS source],$B18,TblApplications[Action],"À décommissionner"))&gt;$K18-$N18),"Libérations RAM &gt; capacité libérable",IF(SUMIFS(TblCalculs[Alerte max workers],TblCalculs[Cluster],$B18)&gt;0,"Max workers ROKS dépassé ("&amp;SUMIFS(TblCalculs[Alerte max workers],TblCalculs[Cluster],$B18)&amp;" mois) : flavor plus gros ou second cluster",IF(SUMIFS(TblCalculs[Alerte plancher IKS],TblCalculs[Cluster],$B18)&gt;0,"Plancher IKS atteint ("&amp;SUMIFS(TblCalculs[Alerte plancher IKS],TblCalculs[Cluster],$B18)&amp;" mois)",IF(AND($A18="IKS",ISNUMBER($R18),$R18&lt;_xlfn.MAXIFS(TblApplications[Mois lib (calc)],TblApplications[Cluster IKS source],$B18)),"Fermeture avant la dernière libération",IF(AND($R18&lt;&gt;"",OR($A18&lt;&gt;"IKS",NOT(ISNUMBER($R18)))),"Fermeture : IKS uniquement, date attendue","OK"))))))))))))))))))</f>
        <v/>
      </c>
      <c r="R18" s="75"/>
      <c r="S18" s="39" t="str">
        <f aca="false">IF(OR($B18="",$A18&lt;&gt;"IKS"),"",IF(ISNUMBER($R18),DATE(YEAR($R18),MONTH($R18),1),IF(p_fermauto&lt;&gt;"Oui","",IF(COUNTIFS(TblApplications[Cluster IKS source],$B18,TblApplications[Action],"À migrer")+COUNTIFS(TblApplications[Cluster IKS source],$B18,TblApplications[Action],"À décommissionner")=0,"",IF(COUNTIFS(TblApplications[Cluster IKS source],$B18,TblApplications[Action],"À migrer",TblApplications[Mois lib (calc)],"")+COUNTIFS(TblApplications[Cluster IKS source],$B18,TblApplications[Action],"À décommissionner",TblApplications[Mois lib (calc)],"")&gt;0,"",_xlfn.MAXIFS(TblApplications[Mois lib (calc)],TblApplications[Cluster IKS source],$B18))))))</f>
        <v/>
      </c>
      <c r="T18" s="21" t="str">
        <f aca="false">IF(OR($B18="",COUNTIFS($E18,ca_envc)=0),"",COUNTIFS($B$6:$B18,"&lt;&gt;",$E$6:$E18,ca_envc))</f>
        <v/>
      </c>
      <c r="U18" s="21" t="str">
        <f aca="false">IF(OR($B18="",$A18&lt;&gt;"IKS",COUNTIFS($E18,ex_envc)=0),"",COUNTIFS($B$6:$B18,"&lt;&gt;",$A$6:$A18,"IKS",$E$6:$E18,ex_envc))</f>
        <v/>
      </c>
    </row>
    <row r="19" customFormat="false" ht="15" hidden="false" customHeight="false" outlineLevel="0" collapsed="false">
      <c r="A19" s="74"/>
      <c r="B19" s="74"/>
      <c r="C19" s="74"/>
      <c r="D19" s="74"/>
      <c r="E19" s="74"/>
      <c r="F19" s="74"/>
      <c r="G19" s="74"/>
      <c r="H19" s="21" t="str">
        <f aca="false">IF($F19="","",IFERROR(INDEX(TblABS[vCPU par nœud],MATCH($F19,TblABS[Flavor],0)),"?"))</f>
        <v/>
      </c>
      <c r="I19" s="21" t="str">
        <f aca="false">IF($F19="","",IFERROR(INDEX(TblABS[RAM par nœud (Go)],MATCH($F19,TblABS[Flavor],0)),"?"))</f>
        <v/>
      </c>
      <c r="J19" s="21" t="str">
        <f aca="false">IF(AND(ISNUMBER($G19),ISNUMBER($H19)),$G19*$H19,"")</f>
        <v/>
      </c>
      <c r="K19" s="21" t="str">
        <f aca="false">IF(AND(ISNUMBER($G19),ISNUMBER($I19)),$G19*$I19,"")</f>
        <v/>
      </c>
      <c r="L19" s="74"/>
      <c r="M19" s="21" t="str">
        <f aca="false">IF(AND(ISNUMBER($L19),ISNUMBER($H19)),$L19*$H19,"")</f>
        <v/>
      </c>
      <c r="N19" s="21" t="str">
        <f aca="false">IF(AND(ISNUMBER($L19),ISNUMBER($I19)),$L19*$I19,"")</f>
        <v/>
      </c>
      <c r="O19" s="77" t="str">
        <f aca="false">IF($F19="","",IFERROR(INDEX(TblABS[Tarif par nœud],MATCH($F19,TblABS[Flavor],0)),"?"))</f>
        <v/>
      </c>
      <c r="P19" s="74"/>
      <c r="Q19" s="21" t="str">
        <f aca="false">IF($B19="","",IF(OR($A19="",$E19="",$F19="",$G19="",$L19=""),"Données manquantes",IF(AND($A19&lt;&gt;"IKS",$A19&lt;&gt;"ROKS"),"Plateforme invalide",IF(AND($E19&lt;&gt;"PRD",$E19&lt;&gt;"NPRD"),"Environnement invalide",IF(OR(NOT(ISNUMBER($G19)),NOT(ISNUMBER($L19))),"Workers non numérique",IF(OR($G19&lt;0,$L19&lt;0),"Valeur négative",IF(OR($G19&lt;&gt;INT($G19),$L19&lt;&gt;INT($L19)),"Workers non entier",IF(NOT(ISNUMBER($H19)),"Flavor inconnu",IF(AND(p_mode="Nœud",OR(NOT(ISNUMBER($O19)),$O19&lt;=0)),"Tarif du flavor manquant ou invalide",IF(COUNTIF(TblClusters[Cluster],$B19)&gt;1,"Cluster en doublon",IF($L19&gt;$G19,"Plancher &gt; capacité initiale",IF(AND($A19="ROKS",$G19&gt;p_maxworkers),"Workers &gt; max ROKS",IF(AND($A19="IKS",(SUMIFS(TblApplications[CPU IKS libérable (vCPU)],TblApplications[Cluster IKS source],$B19,TblApplications[Action],"À migrer")+SUMIFS(TblApplications[CPU IKS libérable (vCPU)],TblApplications[Cluster IKS source],$B19,TblApplications[Action],"À décommissionner"))&gt;$J19-$M19),"Libérations CPU &gt; capacité libérable",IF(AND($A19="IKS",(SUMIFS(TblApplications[RAM IKS libérable (Go)],TblApplications[Cluster IKS source],$B19,TblApplications[Action],"À migrer")+SUMIFS(TblApplications[RAM IKS libérable (Go)],TblApplications[Cluster IKS source],$B19,TblApplications[Action],"À décommissionner"))&gt;$K19-$N19),"Libérations RAM &gt; capacité libérable",IF(SUMIFS(TblCalculs[Alerte max workers],TblCalculs[Cluster],$B19)&gt;0,"Max workers ROKS dépassé ("&amp;SUMIFS(TblCalculs[Alerte max workers],TblCalculs[Cluster],$B19)&amp;" mois) : flavor plus gros ou second cluster",IF(SUMIFS(TblCalculs[Alerte plancher IKS],TblCalculs[Cluster],$B19)&gt;0,"Plancher IKS atteint ("&amp;SUMIFS(TblCalculs[Alerte plancher IKS],TblCalculs[Cluster],$B19)&amp;" mois)",IF(AND($A19="IKS",ISNUMBER($R19),$R19&lt;_xlfn.MAXIFS(TblApplications[Mois lib (calc)],TblApplications[Cluster IKS source],$B19)),"Fermeture avant la dernière libération",IF(AND($R19&lt;&gt;"",OR($A19&lt;&gt;"IKS",NOT(ISNUMBER($R19)))),"Fermeture : IKS uniquement, date attendue","OK"))))))))))))))))))</f>
        <v/>
      </c>
      <c r="R19" s="75"/>
      <c r="S19" s="39" t="str">
        <f aca="false">IF(OR($B19="",$A19&lt;&gt;"IKS"),"",IF(ISNUMBER($R19),DATE(YEAR($R19),MONTH($R19),1),IF(p_fermauto&lt;&gt;"Oui","",IF(COUNTIFS(TblApplications[Cluster IKS source],$B19,TblApplications[Action],"À migrer")+COUNTIFS(TblApplications[Cluster IKS source],$B19,TblApplications[Action],"À décommissionner")=0,"",IF(COUNTIFS(TblApplications[Cluster IKS source],$B19,TblApplications[Action],"À migrer",TblApplications[Mois lib (calc)],"")+COUNTIFS(TblApplications[Cluster IKS source],$B19,TblApplications[Action],"À décommissionner",TblApplications[Mois lib (calc)],"")&gt;0,"",_xlfn.MAXIFS(TblApplications[Mois lib (calc)],TblApplications[Cluster IKS source],$B19))))))</f>
        <v/>
      </c>
      <c r="T19" s="21" t="str">
        <f aca="false">IF(OR($B19="",COUNTIFS($E19,ca_envc)=0),"",COUNTIFS($B$6:$B19,"&lt;&gt;",$E$6:$E19,ca_envc))</f>
        <v/>
      </c>
      <c r="U19" s="21" t="str">
        <f aca="false">IF(OR($B19="",$A19&lt;&gt;"IKS",COUNTIFS($E19,ex_envc)=0),"",COUNTIFS($B$6:$B19,"&lt;&gt;",$A$6:$A19,"IKS",$E$6:$E19,ex_envc))</f>
        <v/>
      </c>
    </row>
    <row r="20" customFormat="false" ht="15" hidden="false" customHeight="false" outlineLevel="0" collapsed="false">
      <c r="A20" s="74"/>
      <c r="B20" s="74"/>
      <c r="C20" s="74"/>
      <c r="D20" s="74"/>
      <c r="E20" s="74"/>
      <c r="F20" s="74"/>
      <c r="G20" s="74"/>
      <c r="H20" s="21" t="str">
        <f aca="false">IF($F20="","",IFERROR(INDEX(TblABS[vCPU par nœud],MATCH($F20,TblABS[Flavor],0)),"?"))</f>
        <v/>
      </c>
      <c r="I20" s="21" t="str">
        <f aca="false">IF($F20="","",IFERROR(INDEX(TblABS[RAM par nœud (Go)],MATCH($F20,TblABS[Flavor],0)),"?"))</f>
        <v/>
      </c>
      <c r="J20" s="21" t="str">
        <f aca="false">IF(AND(ISNUMBER($G20),ISNUMBER($H20)),$G20*$H20,"")</f>
        <v/>
      </c>
      <c r="K20" s="21" t="str">
        <f aca="false">IF(AND(ISNUMBER($G20),ISNUMBER($I20)),$G20*$I20,"")</f>
        <v/>
      </c>
      <c r="L20" s="74"/>
      <c r="M20" s="21" t="str">
        <f aca="false">IF(AND(ISNUMBER($L20),ISNUMBER($H20)),$L20*$H20,"")</f>
        <v/>
      </c>
      <c r="N20" s="21" t="str">
        <f aca="false">IF(AND(ISNUMBER($L20),ISNUMBER($I20)),$L20*$I20,"")</f>
        <v/>
      </c>
      <c r="O20" s="77" t="str">
        <f aca="false">IF($F20="","",IFERROR(INDEX(TblABS[Tarif par nœud],MATCH($F20,TblABS[Flavor],0)),"?"))</f>
        <v/>
      </c>
      <c r="P20" s="74"/>
      <c r="Q20" s="21" t="str">
        <f aca="false">IF($B20="","",IF(OR($A20="",$E20="",$F20="",$G20="",$L20=""),"Données manquantes",IF(AND($A20&lt;&gt;"IKS",$A20&lt;&gt;"ROKS"),"Plateforme invalide",IF(AND($E20&lt;&gt;"PRD",$E20&lt;&gt;"NPRD"),"Environnement invalide",IF(OR(NOT(ISNUMBER($G20)),NOT(ISNUMBER($L20))),"Workers non numérique",IF(OR($G20&lt;0,$L20&lt;0),"Valeur négative",IF(OR($G20&lt;&gt;INT($G20),$L20&lt;&gt;INT($L20)),"Workers non entier",IF(NOT(ISNUMBER($H20)),"Flavor inconnu",IF(AND(p_mode="Nœud",OR(NOT(ISNUMBER($O20)),$O20&lt;=0)),"Tarif du flavor manquant ou invalide",IF(COUNTIF(TblClusters[Cluster],$B20)&gt;1,"Cluster en doublon",IF($L20&gt;$G20,"Plancher &gt; capacité initiale",IF(AND($A20="ROKS",$G20&gt;p_maxworkers),"Workers &gt; max ROKS",IF(AND($A20="IKS",(SUMIFS(TblApplications[CPU IKS libérable (vCPU)],TblApplications[Cluster IKS source],$B20,TblApplications[Action],"À migrer")+SUMIFS(TblApplications[CPU IKS libérable (vCPU)],TblApplications[Cluster IKS source],$B20,TblApplications[Action],"À décommissionner"))&gt;$J20-$M20),"Libérations CPU &gt; capacité libérable",IF(AND($A20="IKS",(SUMIFS(TblApplications[RAM IKS libérable (Go)],TblApplications[Cluster IKS source],$B20,TblApplications[Action],"À migrer")+SUMIFS(TblApplications[RAM IKS libérable (Go)],TblApplications[Cluster IKS source],$B20,TblApplications[Action],"À décommissionner"))&gt;$K20-$N20),"Libérations RAM &gt; capacité libérable",IF(SUMIFS(TblCalculs[Alerte max workers],TblCalculs[Cluster],$B20)&gt;0,"Max workers ROKS dépassé ("&amp;SUMIFS(TblCalculs[Alerte max workers],TblCalculs[Cluster],$B20)&amp;" mois) : flavor plus gros ou second cluster",IF(SUMIFS(TblCalculs[Alerte plancher IKS],TblCalculs[Cluster],$B20)&gt;0,"Plancher IKS atteint ("&amp;SUMIFS(TblCalculs[Alerte plancher IKS],TblCalculs[Cluster],$B20)&amp;" mois)",IF(AND($A20="IKS",ISNUMBER($R20),$R20&lt;_xlfn.MAXIFS(TblApplications[Mois lib (calc)],TblApplications[Cluster IKS source],$B20)),"Fermeture avant la dernière libération",IF(AND($R20&lt;&gt;"",OR($A20&lt;&gt;"IKS",NOT(ISNUMBER($R20)))),"Fermeture : IKS uniquement, date attendue","OK"))))))))))))))))))</f>
        <v/>
      </c>
      <c r="R20" s="75"/>
      <c r="S20" s="39" t="str">
        <f aca="false">IF(OR($B20="",$A20&lt;&gt;"IKS"),"",IF(ISNUMBER($R20),DATE(YEAR($R20),MONTH($R20),1),IF(p_fermauto&lt;&gt;"Oui","",IF(COUNTIFS(TblApplications[Cluster IKS source],$B20,TblApplications[Action],"À migrer")+COUNTIFS(TblApplications[Cluster IKS source],$B20,TblApplications[Action],"À décommissionner")=0,"",IF(COUNTIFS(TblApplications[Cluster IKS source],$B20,TblApplications[Action],"À migrer",TblApplications[Mois lib (calc)],"")+COUNTIFS(TblApplications[Cluster IKS source],$B20,TblApplications[Action],"À décommissionner",TblApplications[Mois lib (calc)],"")&gt;0,"",_xlfn.MAXIFS(TblApplications[Mois lib (calc)],TblApplications[Cluster IKS source],$B20))))))</f>
        <v/>
      </c>
      <c r="T20" s="21" t="str">
        <f aca="false">IF(OR($B20="",COUNTIFS($E20,ca_envc)=0),"",COUNTIFS($B$6:$B20,"&lt;&gt;",$E$6:$E20,ca_envc))</f>
        <v/>
      </c>
      <c r="U20" s="21" t="str">
        <f aca="false">IF(OR($B20="",$A20&lt;&gt;"IKS",COUNTIFS($E20,ex_envc)=0),"",COUNTIFS($B$6:$B20,"&lt;&gt;",$A$6:$A20,"IKS",$E$6:$E20,ex_envc))</f>
        <v/>
      </c>
    </row>
    <row r="21" customFormat="false" ht="15" hidden="false" customHeight="false" outlineLevel="0" collapsed="false">
      <c r="A21" s="74"/>
      <c r="B21" s="74"/>
      <c r="C21" s="74"/>
      <c r="D21" s="74"/>
      <c r="E21" s="74"/>
      <c r="F21" s="74"/>
      <c r="G21" s="74"/>
      <c r="H21" s="21" t="str">
        <f aca="false">IF($F21="","",IFERROR(INDEX(TblABS[vCPU par nœud],MATCH($F21,TblABS[Flavor],0)),"?"))</f>
        <v/>
      </c>
      <c r="I21" s="21" t="str">
        <f aca="false">IF($F21="","",IFERROR(INDEX(TblABS[RAM par nœud (Go)],MATCH($F21,TblABS[Flavor],0)),"?"))</f>
        <v/>
      </c>
      <c r="J21" s="21" t="str">
        <f aca="false">IF(AND(ISNUMBER($G21),ISNUMBER($H21)),$G21*$H21,"")</f>
        <v/>
      </c>
      <c r="K21" s="21" t="str">
        <f aca="false">IF(AND(ISNUMBER($G21),ISNUMBER($I21)),$G21*$I21,"")</f>
        <v/>
      </c>
      <c r="L21" s="74"/>
      <c r="M21" s="21" t="str">
        <f aca="false">IF(AND(ISNUMBER($L21),ISNUMBER($H21)),$L21*$H21,"")</f>
        <v/>
      </c>
      <c r="N21" s="21" t="str">
        <f aca="false">IF(AND(ISNUMBER($L21),ISNUMBER($I21)),$L21*$I21,"")</f>
        <v/>
      </c>
      <c r="O21" s="77" t="str">
        <f aca="false">IF($F21="","",IFERROR(INDEX(TblABS[Tarif par nœud],MATCH($F21,TblABS[Flavor],0)),"?"))</f>
        <v/>
      </c>
      <c r="P21" s="74"/>
      <c r="Q21" s="21" t="str">
        <f aca="false">IF($B21="","",IF(OR($A21="",$E21="",$F21="",$G21="",$L21=""),"Données manquantes",IF(AND($A21&lt;&gt;"IKS",$A21&lt;&gt;"ROKS"),"Plateforme invalide",IF(AND($E21&lt;&gt;"PRD",$E21&lt;&gt;"NPRD"),"Environnement invalide",IF(OR(NOT(ISNUMBER($G21)),NOT(ISNUMBER($L21))),"Workers non numérique",IF(OR($G21&lt;0,$L21&lt;0),"Valeur négative",IF(OR($G21&lt;&gt;INT($G21),$L21&lt;&gt;INT($L21)),"Workers non entier",IF(NOT(ISNUMBER($H21)),"Flavor inconnu",IF(AND(p_mode="Nœud",OR(NOT(ISNUMBER($O21)),$O21&lt;=0)),"Tarif du flavor manquant ou invalide",IF(COUNTIF(TblClusters[Cluster],$B21)&gt;1,"Cluster en doublon",IF($L21&gt;$G21,"Plancher &gt; capacité initiale",IF(AND($A21="ROKS",$G21&gt;p_maxworkers),"Workers &gt; max ROKS",IF(AND($A21="IKS",(SUMIFS(TblApplications[CPU IKS libérable (vCPU)],TblApplications[Cluster IKS source],$B21,TblApplications[Action],"À migrer")+SUMIFS(TblApplications[CPU IKS libérable (vCPU)],TblApplications[Cluster IKS source],$B21,TblApplications[Action],"À décommissionner"))&gt;$J21-$M21),"Libérations CPU &gt; capacité libérable",IF(AND($A21="IKS",(SUMIFS(TblApplications[RAM IKS libérable (Go)],TblApplications[Cluster IKS source],$B21,TblApplications[Action],"À migrer")+SUMIFS(TblApplications[RAM IKS libérable (Go)],TblApplications[Cluster IKS source],$B21,TblApplications[Action],"À décommissionner"))&gt;$K21-$N21),"Libérations RAM &gt; capacité libérable",IF(SUMIFS(TblCalculs[Alerte max workers],TblCalculs[Cluster],$B21)&gt;0,"Max workers ROKS dépassé ("&amp;SUMIFS(TblCalculs[Alerte max workers],TblCalculs[Cluster],$B21)&amp;" mois) : flavor plus gros ou second cluster",IF(SUMIFS(TblCalculs[Alerte plancher IKS],TblCalculs[Cluster],$B21)&gt;0,"Plancher IKS atteint ("&amp;SUMIFS(TblCalculs[Alerte plancher IKS],TblCalculs[Cluster],$B21)&amp;" mois)",IF(AND($A21="IKS",ISNUMBER($R21),$R21&lt;_xlfn.MAXIFS(TblApplications[Mois lib (calc)],TblApplications[Cluster IKS source],$B21)),"Fermeture avant la dernière libération",IF(AND($R21&lt;&gt;"",OR($A21&lt;&gt;"IKS",NOT(ISNUMBER($R21)))),"Fermeture : IKS uniquement, date attendue","OK"))))))))))))))))))</f>
        <v/>
      </c>
      <c r="R21" s="75"/>
      <c r="S21" s="39" t="str">
        <f aca="false">IF(OR($B21="",$A21&lt;&gt;"IKS"),"",IF(ISNUMBER($R21),DATE(YEAR($R21),MONTH($R21),1),IF(p_fermauto&lt;&gt;"Oui","",IF(COUNTIFS(TblApplications[Cluster IKS source],$B21,TblApplications[Action],"À migrer")+COUNTIFS(TblApplications[Cluster IKS source],$B21,TblApplications[Action],"À décommissionner")=0,"",IF(COUNTIFS(TblApplications[Cluster IKS source],$B21,TblApplications[Action],"À migrer",TblApplications[Mois lib (calc)],"")+COUNTIFS(TblApplications[Cluster IKS source],$B21,TblApplications[Action],"À décommissionner",TblApplications[Mois lib (calc)],"")&gt;0,"",_xlfn.MAXIFS(TblApplications[Mois lib (calc)],TblApplications[Cluster IKS source],$B21))))))</f>
        <v/>
      </c>
      <c r="T21" s="21" t="str">
        <f aca="false">IF(OR($B21="",COUNTIFS($E21,ca_envc)=0),"",COUNTIFS($B$6:$B21,"&lt;&gt;",$E$6:$E21,ca_envc))</f>
        <v/>
      </c>
      <c r="U21" s="21" t="str">
        <f aca="false">IF(OR($B21="",$A21&lt;&gt;"IKS",COUNTIFS($E21,ex_envc)=0),"",COUNTIFS($B$6:$B21,"&lt;&gt;",$A$6:$A21,"IKS",$E$6:$E21,ex_envc))</f>
        <v/>
      </c>
    </row>
    <row r="22" customFormat="false" ht="15" hidden="false" customHeight="false" outlineLevel="0" collapsed="false">
      <c r="A22" s="74"/>
      <c r="B22" s="74"/>
      <c r="C22" s="74"/>
      <c r="D22" s="74"/>
      <c r="E22" s="74"/>
      <c r="F22" s="74"/>
      <c r="G22" s="74"/>
      <c r="H22" s="21" t="str">
        <f aca="false">IF($F22="","",IFERROR(INDEX(TblABS[vCPU par nœud],MATCH($F22,TblABS[Flavor],0)),"?"))</f>
        <v/>
      </c>
      <c r="I22" s="21" t="str">
        <f aca="false">IF($F22="","",IFERROR(INDEX(TblABS[RAM par nœud (Go)],MATCH($F22,TblABS[Flavor],0)),"?"))</f>
        <v/>
      </c>
      <c r="J22" s="21" t="str">
        <f aca="false">IF(AND(ISNUMBER($G22),ISNUMBER($H22)),$G22*$H22,"")</f>
        <v/>
      </c>
      <c r="K22" s="21" t="str">
        <f aca="false">IF(AND(ISNUMBER($G22),ISNUMBER($I22)),$G22*$I22,"")</f>
        <v/>
      </c>
      <c r="L22" s="74"/>
      <c r="M22" s="21" t="str">
        <f aca="false">IF(AND(ISNUMBER($L22),ISNUMBER($H22)),$L22*$H22,"")</f>
        <v/>
      </c>
      <c r="N22" s="21" t="str">
        <f aca="false">IF(AND(ISNUMBER($L22),ISNUMBER($I22)),$L22*$I22,"")</f>
        <v/>
      </c>
      <c r="O22" s="77" t="str">
        <f aca="false">IF($F22="","",IFERROR(INDEX(TblABS[Tarif par nœud],MATCH($F22,TblABS[Flavor],0)),"?"))</f>
        <v/>
      </c>
      <c r="P22" s="74"/>
      <c r="Q22" s="21" t="str">
        <f aca="false">IF($B22="","",IF(OR($A22="",$E22="",$F22="",$G22="",$L22=""),"Données manquantes",IF(AND($A22&lt;&gt;"IKS",$A22&lt;&gt;"ROKS"),"Plateforme invalide",IF(AND($E22&lt;&gt;"PRD",$E22&lt;&gt;"NPRD"),"Environnement invalide",IF(OR(NOT(ISNUMBER($G22)),NOT(ISNUMBER($L22))),"Workers non numérique",IF(OR($G22&lt;0,$L22&lt;0),"Valeur négative",IF(OR($G22&lt;&gt;INT($G22),$L22&lt;&gt;INT($L22)),"Workers non entier",IF(NOT(ISNUMBER($H22)),"Flavor inconnu",IF(AND(p_mode="Nœud",OR(NOT(ISNUMBER($O22)),$O22&lt;=0)),"Tarif du flavor manquant ou invalide",IF(COUNTIF(TblClusters[Cluster],$B22)&gt;1,"Cluster en doublon",IF($L22&gt;$G22,"Plancher &gt; capacité initiale",IF(AND($A22="ROKS",$G22&gt;p_maxworkers),"Workers &gt; max ROKS",IF(AND($A22="IKS",(SUMIFS(TblApplications[CPU IKS libérable (vCPU)],TblApplications[Cluster IKS source],$B22,TblApplications[Action],"À migrer")+SUMIFS(TblApplications[CPU IKS libérable (vCPU)],TblApplications[Cluster IKS source],$B22,TblApplications[Action],"À décommissionner"))&gt;$J22-$M22),"Libérations CPU &gt; capacité libérable",IF(AND($A22="IKS",(SUMIFS(TblApplications[RAM IKS libérable (Go)],TblApplications[Cluster IKS source],$B22,TblApplications[Action],"À migrer")+SUMIFS(TblApplications[RAM IKS libérable (Go)],TblApplications[Cluster IKS source],$B22,TblApplications[Action],"À décommissionner"))&gt;$K22-$N22),"Libérations RAM &gt; capacité libérable",IF(SUMIFS(TblCalculs[Alerte max workers],TblCalculs[Cluster],$B22)&gt;0,"Max workers ROKS dépassé ("&amp;SUMIFS(TblCalculs[Alerte max workers],TblCalculs[Cluster],$B22)&amp;" mois) : flavor plus gros ou second cluster",IF(SUMIFS(TblCalculs[Alerte plancher IKS],TblCalculs[Cluster],$B22)&gt;0,"Plancher IKS atteint ("&amp;SUMIFS(TblCalculs[Alerte plancher IKS],TblCalculs[Cluster],$B22)&amp;" mois)",IF(AND($A22="IKS",ISNUMBER($R22),$R22&lt;_xlfn.MAXIFS(TblApplications[Mois lib (calc)],TblApplications[Cluster IKS source],$B22)),"Fermeture avant la dernière libération",IF(AND($R22&lt;&gt;"",OR($A22&lt;&gt;"IKS",NOT(ISNUMBER($R22)))),"Fermeture : IKS uniquement, date attendue","OK"))))))))))))))))))</f>
        <v/>
      </c>
      <c r="R22" s="75"/>
      <c r="S22" s="39" t="str">
        <f aca="false">IF(OR($B22="",$A22&lt;&gt;"IKS"),"",IF(ISNUMBER($R22),DATE(YEAR($R22),MONTH($R22),1),IF(p_fermauto&lt;&gt;"Oui","",IF(COUNTIFS(TblApplications[Cluster IKS source],$B22,TblApplications[Action],"À migrer")+COUNTIFS(TblApplications[Cluster IKS source],$B22,TblApplications[Action],"À décommissionner")=0,"",IF(COUNTIFS(TblApplications[Cluster IKS source],$B22,TblApplications[Action],"À migrer",TblApplications[Mois lib (calc)],"")+COUNTIFS(TblApplications[Cluster IKS source],$B22,TblApplications[Action],"À décommissionner",TblApplications[Mois lib (calc)],"")&gt;0,"",_xlfn.MAXIFS(TblApplications[Mois lib (calc)],TblApplications[Cluster IKS source],$B22))))))</f>
        <v/>
      </c>
      <c r="T22" s="21" t="str">
        <f aca="false">IF(OR($B22="",COUNTIFS($E22,ca_envc)=0),"",COUNTIFS($B$6:$B22,"&lt;&gt;",$E$6:$E22,ca_envc))</f>
        <v/>
      </c>
      <c r="U22" s="21" t="str">
        <f aca="false">IF(OR($B22="",$A22&lt;&gt;"IKS",COUNTIFS($E22,ex_envc)=0),"",COUNTIFS($B$6:$B22,"&lt;&gt;",$A$6:$A22,"IKS",$E$6:$E22,ex_envc))</f>
        <v/>
      </c>
    </row>
    <row r="23" customFormat="false" ht="15" hidden="false" customHeight="false" outlineLevel="0" collapsed="false">
      <c r="A23" s="74"/>
      <c r="B23" s="74"/>
      <c r="C23" s="74"/>
      <c r="D23" s="74"/>
      <c r="E23" s="74"/>
      <c r="F23" s="74"/>
      <c r="G23" s="74"/>
      <c r="H23" s="21" t="str">
        <f aca="false">IF($F23="","",IFERROR(INDEX(TblABS[vCPU par nœud],MATCH($F23,TblABS[Flavor],0)),"?"))</f>
        <v/>
      </c>
      <c r="I23" s="21" t="str">
        <f aca="false">IF($F23="","",IFERROR(INDEX(TblABS[RAM par nœud (Go)],MATCH($F23,TblABS[Flavor],0)),"?"))</f>
        <v/>
      </c>
      <c r="J23" s="21" t="str">
        <f aca="false">IF(AND(ISNUMBER($G23),ISNUMBER($H23)),$G23*$H23,"")</f>
        <v/>
      </c>
      <c r="K23" s="21" t="str">
        <f aca="false">IF(AND(ISNUMBER($G23),ISNUMBER($I23)),$G23*$I23,"")</f>
        <v/>
      </c>
      <c r="L23" s="74"/>
      <c r="M23" s="21" t="str">
        <f aca="false">IF(AND(ISNUMBER($L23),ISNUMBER($H23)),$L23*$H23,"")</f>
        <v/>
      </c>
      <c r="N23" s="21" t="str">
        <f aca="false">IF(AND(ISNUMBER($L23),ISNUMBER($I23)),$L23*$I23,"")</f>
        <v/>
      </c>
      <c r="O23" s="77" t="str">
        <f aca="false">IF($F23="","",IFERROR(INDEX(TblABS[Tarif par nœud],MATCH($F23,TblABS[Flavor],0)),"?"))</f>
        <v/>
      </c>
      <c r="P23" s="74"/>
      <c r="Q23" s="21" t="str">
        <f aca="false">IF($B23="","",IF(OR($A23="",$E23="",$F23="",$G23="",$L23=""),"Données manquantes",IF(AND($A23&lt;&gt;"IKS",$A23&lt;&gt;"ROKS"),"Plateforme invalide",IF(AND($E23&lt;&gt;"PRD",$E23&lt;&gt;"NPRD"),"Environnement invalide",IF(OR(NOT(ISNUMBER($G23)),NOT(ISNUMBER($L23))),"Workers non numérique",IF(OR($G23&lt;0,$L23&lt;0),"Valeur négative",IF(OR($G23&lt;&gt;INT($G23),$L23&lt;&gt;INT($L23)),"Workers non entier",IF(NOT(ISNUMBER($H23)),"Flavor inconnu",IF(AND(p_mode="Nœud",OR(NOT(ISNUMBER($O23)),$O23&lt;=0)),"Tarif du flavor manquant ou invalide",IF(COUNTIF(TblClusters[Cluster],$B23)&gt;1,"Cluster en doublon",IF($L23&gt;$G23,"Plancher &gt; capacité initiale",IF(AND($A23="ROKS",$G23&gt;p_maxworkers),"Workers &gt; max ROKS",IF(AND($A23="IKS",(SUMIFS(TblApplications[CPU IKS libérable (vCPU)],TblApplications[Cluster IKS source],$B23,TblApplications[Action],"À migrer")+SUMIFS(TblApplications[CPU IKS libérable (vCPU)],TblApplications[Cluster IKS source],$B23,TblApplications[Action],"À décommissionner"))&gt;$J23-$M23),"Libérations CPU &gt; capacité libérable",IF(AND($A23="IKS",(SUMIFS(TblApplications[RAM IKS libérable (Go)],TblApplications[Cluster IKS source],$B23,TblApplications[Action],"À migrer")+SUMIFS(TblApplications[RAM IKS libérable (Go)],TblApplications[Cluster IKS source],$B23,TblApplications[Action],"À décommissionner"))&gt;$K23-$N23),"Libérations RAM &gt; capacité libérable",IF(SUMIFS(TblCalculs[Alerte max workers],TblCalculs[Cluster],$B23)&gt;0,"Max workers ROKS dépassé ("&amp;SUMIFS(TblCalculs[Alerte max workers],TblCalculs[Cluster],$B23)&amp;" mois) : flavor plus gros ou second cluster",IF(SUMIFS(TblCalculs[Alerte plancher IKS],TblCalculs[Cluster],$B23)&gt;0,"Plancher IKS atteint ("&amp;SUMIFS(TblCalculs[Alerte plancher IKS],TblCalculs[Cluster],$B23)&amp;" mois)",IF(AND($A23="IKS",ISNUMBER($R23),$R23&lt;_xlfn.MAXIFS(TblApplications[Mois lib (calc)],TblApplications[Cluster IKS source],$B23)),"Fermeture avant la dernière libération",IF(AND($R23&lt;&gt;"",OR($A23&lt;&gt;"IKS",NOT(ISNUMBER($R23)))),"Fermeture : IKS uniquement, date attendue","OK"))))))))))))))))))</f>
        <v/>
      </c>
      <c r="R23" s="75"/>
      <c r="S23" s="39" t="str">
        <f aca="false">IF(OR($B23="",$A23&lt;&gt;"IKS"),"",IF(ISNUMBER($R23),DATE(YEAR($R23),MONTH($R23),1),IF(p_fermauto&lt;&gt;"Oui","",IF(COUNTIFS(TblApplications[Cluster IKS source],$B23,TblApplications[Action],"À migrer")+COUNTIFS(TblApplications[Cluster IKS source],$B23,TblApplications[Action],"À décommissionner")=0,"",IF(COUNTIFS(TblApplications[Cluster IKS source],$B23,TblApplications[Action],"À migrer",TblApplications[Mois lib (calc)],"")+COUNTIFS(TblApplications[Cluster IKS source],$B23,TblApplications[Action],"À décommissionner",TblApplications[Mois lib (calc)],"")&gt;0,"",_xlfn.MAXIFS(TblApplications[Mois lib (calc)],TblApplications[Cluster IKS source],$B23))))))</f>
        <v/>
      </c>
      <c r="T23" s="21" t="str">
        <f aca="false">IF(OR($B23="",COUNTIFS($E23,ca_envc)=0),"",COUNTIFS($B$6:$B23,"&lt;&gt;",$E$6:$E23,ca_envc))</f>
        <v/>
      </c>
      <c r="U23" s="21" t="str">
        <f aca="false">IF(OR($B23="",$A23&lt;&gt;"IKS",COUNTIFS($E23,ex_envc)=0),"",COUNTIFS($B$6:$B23,"&lt;&gt;",$A$6:$A23,"IKS",$E$6:$E23,ex_envc))</f>
        <v/>
      </c>
    </row>
    <row r="24" customFormat="false" ht="15" hidden="false" customHeight="false" outlineLevel="0" collapsed="false">
      <c r="A24" s="74"/>
      <c r="B24" s="74"/>
      <c r="C24" s="74"/>
      <c r="D24" s="74"/>
      <c r="E24" s="74"/>
      <c r="F24" s="74"/>
      <c r="G24" s="74"/>
      <c r="H24" s="21" t="str">
        <f aca="false">IF($F24="","",IFERROR(INDEX(TblABS[vCPU par nœud],MATCH($F24,TblABS[Flavor],0)),"?"))</f>
        <v/>
      </c>
      <c r="I24" s="21" t="str">
        <f aca="false">IF($F24="","",IFERROR(INDEX(TblABS[RAM par nœud (Go)],MATCH($F24,TblABS[Flavor],0)),"?"))</f>
        <v/>
      </c>
      <c r="J24" s="21" t="str">
        <f aca="false">IF(AND(ISNUMBER($G24),ISNUMBER($H24)),$G24*$H24,"")</f>
        <v/>
      </c>
      <c r="K24" s="21" t="str">
        <f aca="false">IF(AND(ISNUMBER($G24),ISNUMBER($I24)),$G24*$I24,"")</f>
        <v/>
      </c>
      <c r="L24" s="74"/>
      <c r="M24" s="21" t="str">
        <f aca="false">IF(AND(ISNUMBER($L24),ISNUMBER($H24)),$L24*$H24,"")</f>
        <v/>
      </c>
      <c r="N24" s="21" t="str">
        <f aca="false">IF(AND(ISNUMBER($L24),ISNUMBER($I24)),$L24*$I24,"")</f>
        <v/>
      </c>
      <c r="O24" s="77" t="str">
        <f aca="false">IF($F24="","",IFERROR(INDEX(TblABS[Tarif par nœud],MATCH($F24,TblABS[Flavor],0)),"?"))</f>
        <v/>
      </c>
      <c r="P24" s="74"/>
      <c r="Q24" s="21" t="str">
        <f aca="false">IF($B24="","",IF(OR($A24="",$E24="",$F24="",$G24="",$L24=""),"Données manquantes",IF(AND($A24&lt;&gt;"IKS",$A24&lt;&gt;"ROKS"),"Plateforme invalide",IF(AND($E24&lt;&gt;"PRD",$E24&lt;&gt;"NPRD"),"Environnement invalide",IF(OR(NOT(ISNUMBER($G24)),NOT(ISNUMBER($L24))),"Workers non numérique",IF(OR($G24&lt;0,$L24&lt;0),"Valeur négative",IF(OR($G24&lt;&gt;INT($G24),$L24&lt;&gt;INT($L24)),"Workers non entier",IF(NOT(ISNUMBER($H24)),"Flavor inconnu",IF(AND(p_mode="Nœud",OR(NOT(ISNUMBER($O24)),$O24&lt;=0)),"Tarif du flavor manquant ou invalide",IF(COUNTIF(TblClusters[Cluster],$B24)&gt;1,"Cluster en doublon",IF($L24&gt;$G24,"Plancher &gt; capacité initiale",IF(AND($A24="ROKS",$G24&gt;p_maxworkers),"Workers &gt; max ROKS",IF(AND($A24="IKS",(SUMIFS(TblApplications[CPU IKS libérable (vCPU)],TblApplications[Cluster IKS source],$B24,TblApplications[Action],"À migrer")+SUMIFS(TblApplications[CPU IKS libérable (vCPU)],TblApplications[Cluster IKS source],$B24,TblApplications[Action],"À décommissionner"))&gt;$J24-$M24),"Libérations CPU &gt; capacité libérable",IF(AND($A24="IKS",(SUMIFS(TblApplications[RAM IKS libérable (Go)],TblApplications[Cluster IKS source],$B24,TblApplications[Action],"À migrer")+SUMIFS(TblApplications[RAM IKS libérable (Go)],TblApplications[Cluster IKS source],$B24,TblApplications[Action],"À décommissionner"))&gt;$K24-$N24),"Libérations RAM &gt; capacité libérable",IF(SUMIFS(TblCalculs[Alerte max workers],TblCalculs[Cluster],$B24)&gt;0,"Max workers ROKS dépassé ("&amp;SUMIFS(TblCalculs[Alerte max workers],TblCalculs[Cluster],$B24)&amp;" mois) : flavor plus gros ou second cluster",IF(SUMIFS(TblCalculs[Alerte plancher IKS],TblCalculs[Cluster],$B24)&gt;0,"Plancher IKS atteint ("&amp;SUMIFS(TblCalculs[Alerte plancher IKS],TblCalculs[Cluster],$B24)&amp;" mois)",IF(AND($A24="IKS",ISNUMBER($R24),$R24&lt;_xlfn.MAXIFS(TblApplications[Mois lib (calc)],TblApplications[Cluster IKS source],$B24)),"Fermeture avant la dernière libération",IF(AND($R24&lt;&gt;"",OR($A24&lt;&gt;"IKS",NOT(ISNUMBER($R24)))),"Fermeture : IKS uniquement, date attendue","OK"))))))))))))))))))</f>
        <v/>
      </c>
      <c r="R24" s="75"/>
      <c r="S24" s="39" t="str">
        <f aca="false">IF(OR($B24="",$A24&lt;&gt;"IKS"),"",IF(ISNUMBER($R24),DATE(YEAR($R24),MONTH($R24),1),IF(p_fermauto&lt;&gt;"Oui","",IF(COUNTIFS(TblApplications[Cluster IKS source],$B24,TblApplications[Action],"À migrer")+COUNTIFS(TblApplications[Cluster IKS source],$B24,TblApplications[Action],"À décommissionner")=0,"",IF(COUNTIFS(TblApplications[Cluster IKS source],$B24,TblApplications[Action],"À migrer",TblApplications[Mois lib (calc)],"")+COUNTIFS(TblApplications[Cluster IKS source],$B24,TblApplications[Action],"À décommissionner",TblApplications[Mois lib (calc)],"")&gt;0,"",_xlfn.MAXIFS(TblApplications[Mois lib (calc)],TblApplications[Cluster IKS source],$B24))))))</f>
        <v/>
      </c>
      <c r="T24" s="21" t="str">
        <f aca="false">IF(OR($B24="",COUNTIFS($E24,ca_envc)=0),"",COUNTIFS($B$6:$B24,"&lt;&gt;",$E$6:$E24,ca_envc))</f>
        <v/>
      </c>
      <c r="U24" s="21" t="str">
        <f aca="false">IF(OR($B24="",$A24&lt;&gt;"IKS",COUNTIFS($E24,ex_envc)=0),"",COUNTIFS($B$6:$B24,"&lt;&gt;",$A$6:$A24,"IKS",$E$6:$E24,ex_envc))</f>
        <v/>
      </c>
    </row>
    <row r="25" customFormat="false" ht="15" hidden="false" customHeight="false" outlineLevel="0" collapsed="false">
      <c r="A25" s="74"/>
      <c r="B25" s="74"/>
      <c r="C25" s="74"/>
      <c r="D25" s="74"/>
      <c r="E25" s="74"/>
      <c r="F25" s="74"/>
      <c r="G25" s="74"/>
      <c r="H25" s="21" t="str">
        <f aca="false">IF($F25="","",IFERROR(INDEX(TblABS[vCPU par nœud],MATCH($F25,TblABS[Flavor],0)),"?"))</f>
        <v/>
      </c>
      <c r="I25" s="21" t="str">
        <f aca="false">IF($F25="","",IFERROR(INDEX(TblABS[RAM par nœud (Go)],MATCH($F25,TblABS[Flavor],0)),"?"))</f>
        <v/>
      </c>
      <c r="J25" s="21" t="str">
        <f aca="false">IF(AND(ISNUMBER($G25),ISNUMBER($H25)),$G25*$H25,"")</f>
        <v/>
      </c>
      <c r="K25" s="21" t="str">
        <f aca="false">IF(AND(ISNUMBER($G25),ISNUMBER($I25)),$G25*$I25,"")</f>
        <v/>
      </c>
      <c r="L25" s="74"/>
      <c r="M25" s="21" t="str">
        <f aca="false">IF(AND(ISNUMBER($L25),ISNUMBER($H25)),$L25*$H25,"")</f>
        <v/>
      </c>
      <c r="N25" s="21" t="str">
        <f aca="false">IF(AND(ISNUMBER($L25),ISNUMBER($I25)),$L25*$I25,"")</f>
        <v/>
      </c>
      <c r="O25" s="77" t="str">
        <f aca="false">IF($F25="","",IFERROR(INDEX(TblABS[Tarif par nœud],MATCH($F25,TblABS[Flavor],0)),"?"))</f>
        <v/>
      </c>
      <c r="P25" s="74"/>
      <c r="Q25" s="21" t="str">
        <f aca="false">IF($B25="","",IF(OR($A25="",$E25="",$F25="",$G25="",$L25=""),"Données manquantes",IF(AND($A25&lt;&gt;"IKS",$A25&lt;&gt;"ROKS"),"Plateforme invalide",IF(AND($E25&lt;&gt;"PRD",$E25&lt;&gt;"NPRD"),"Environnement invalide",IF(OR(NOT(ISNUMBER($G25)),NOT(ISNUMBER($L25))),"Workers non numérique",IF(OR($G25&lt;0,$L25&lt;0),"Valeur négative",IF(OR($G25&lt;&gt;INT($G25),$L25&lt;&gt;INT($L25)),"Workers non entier",IF(NOT(ISNUMBER($H25)),"Flavor inconnu",IF(AND(p_mode="Nœud",OR(NOT(ISNUMBER($O25)),$O25&lt;=0)),"Tarif du flavor manquant ou invalide",IF(COUNTIF(TblClusters[Cluster],$B25)&gt;1,"Cluster en doublon",IF($L25&gt;$G25,"Plancher &gt; capacité initiale",IF(AND($A25="ROKS",$G25&gt;p_maxworkers),"Workers &gt; max ROKS",IF(AND($A25="IKS",(SUMIFS(TblApplications[CPU IKS libérable (vCPU)],TblApplications[Cluster IKS source],$B25,TblApplications[Action],"À migrer")+SUMIFS(TblApplications[CPU IKS libérable (vCPU)],TblApplications[Cluster IKS source],$B25,TblApplications[Action],"À décommissionner"))&gt;$J25-$M25),"Libérations CPU &gt; capacité libérable",IF(AND($A25="IKS",(SUMIFS(TblApplications[RAM IKS libérable (Go)],TblApplications[Cluster IKS source],$B25,TblApplications[Action],"À migrer")+SUMIFS(TblApplications[RAM IKS libérable (Go)],TblApplications[Cluster IKS source],$B25,TblApplications[Action],"À décommissionner"))&gt;$K25-$N25),"Libérations RAM &gt; capacité libérable",IF(SUMIFS(TblCalculs[Alerte max workers],TblCalculs[Cluster],$B25)&gt;0,"Max workers ROKS dépassé ("&amp;SUMIFS(TblCalculs[Alerte max workers],TblCalculs[Cluster],$B25)&amp;" mois) : flavor plus gros ou second cluster",IF(SUMIFS(TblCalculs[Alerte plancher IKS],TblCalculs[Cluster],$B25)&gt;0,"Plancher IKS atteint ("&amp;SUMIFS(TblCalculs[Alerte plancher IKS],TblCalculs[Cluster],$B25)&amp;" mois)",IF(AND($A25="IKS",ISNUMBER($R25),$R25&lt;_xlfn.MAXIFS(TblApplications[Mois lib (calc)],TblApplications[Cluster IKS source],$B25)),"Fermeture avant la dernière libération",IF(AND($R25&lt;&gt;"",OR($A25&lt;&gt;"IKS",NOT(ISNUMBER($R25)))),"Fermeture : IKS uniquement, date attendue","OK"))))))))))))))))))</f>
        <v/>
      </c>
      <c r="R25" s="75"/>
      <c r="S25" s="39" t="str">
        <f aca="false">IF(OR($B25="",$A25&lt;&gt;"IKS"),"",IF(ISNUMBER($R25),DATE(YEAR($R25),MONTH($R25),1),IF(p_fermauto&lt;&gt;"Oui","",IF(COUNTIFS(TblApplications[Cluster IKS source],$B25,TblApplications[Action],"À migrer")+COUNTIFS(TblApplications[Cluster IKS source],$B25,TblApplications[Action],"À décommissionner")=0,"",IF(COUNTIFS(TblApplications[Cluster IKS source],$B25,TblApplications[Action],"À migrer",TblApplications[Mois lib (calc)],"")+COUNTIFS(TblApplications[Cluster IKS source],$B25,TblApplications[Action],"À décommissionner",TblApplications[Mois lib (calc)],"")&gt;0,"",_xlfn.MAXIFS(TblApplications[Mois lib (calc)],TblApplications[Cluster IKS source],$B25))))))</f>
        <v/>
      </c>
      <c r="T25" s="21" t="str">
        <f aca="false">IF(OR($B25="",COUNTIFS($E25,ca_envc)=0),"",COUNTIFS($B$6:$B25,"&lt;&gt;",$E$6:$E25,ca_envc))</f>
        <v/>
      </c>
      <c r="U25" s="21" t="str">
        <f aca="false">IF(OR($B25="",$A25&lt;&gt;"IKS",COUNTIFS($E25,ex_envc)=0),"",COUNTIFS($B$6:$B25,"&lt;&gt;",$A$6:$A25,"IKS",$E$6:$E25,ex_envc))</f>
        <v/>
      </c>
    </row>
    <row r="26" customFormat="false" ht="15" hidden="false" customHeight="false" outlineLevel="0" collapsed="false">
      <c r="A26" s="74"/>
      <c r="B26" s="74"/>
      <c r="C26" s="74"/>
      <c r="D26" s="74"/>
      <c r="E26" s="74"/>
      <c r="F26" s="74"/>
      <c r="G26" s="74"/>
      <c r="H26" s="21" t="str">
        <f aca="false">IF($F26="","",IFERROR(INDEX(TblABS[vCPU par nœud],MATCH($F26,TblABS[Flavor],0)),"?"))</f>
        <v/>
      </c>
      <c r="I26" s="21" t="str">
        <f aca="false">IF($F26="","",IFERROR(INDEX(TblABS[RAM par nœud (Go)],MATCH($F26,TblABS[Flavor],0)),"?"))</f>
        <v/>
      </c>
      <c r="J26" s="21" t="str">
        <f aca="false">IF(AND(ISNUMBER($G26),ISNUMBER($H26)),$G26*$H26,"")</f>
        <v/>
      </c>
      <c r="K26" s="21" t="str">
        <f aca="false">IF(AND(ISNUMBER($G26),ISNUMBER($I26)),$G26*$I26,"")</f>
        <v/>
      </c>
      <c r="L26" s="74"/>
      <c r="M26" s="21" t="str">
        <f aca="false">IF(AND(ISNUMBER($L26),ISNUMBER($H26)),$L26*$H26,"")</f>
        <v/>
      </c>
      <c r="N26" s="21" t="str">
        <f aca="false">IF(AND(ISNUMBER($L26),ISNUMBER($I26)),$L26*$I26,"")</f>
        <v/>
      </c>
      <c r="O26" s="77" t="str">
        <f aca="false">IF($F26="","",IFERROR(INDEX(TblABS[Tarif par nœud],MATCH($F26,TblABS[Flavor],0)),"?"))</f>
        <v/>
      </c>
      <c r="P26" s="74"/>
      <c r="Q26" s="21" t="str">
        <f aca="false">IF($B26="","",IF(OR($A26="",$E26="",$F26="",$G26="",$L26=""),"Données manquantes",IF(AND($A26&lt;&gt;"IKS",$A26&lt;&gt;"ROKS"),"Plateforme invalide",IF(AND($E26&lt;&gt;"PRD",$E26&lt;&gt;"NPRD"),"Environnement invalide",IF(OR(NOT(ISNUMBER($G26)),NOT(ISNUMBER($L26))),"Workers non numérique",IF(OR($G26&lt;0,$L26&lt;0),"Valeur négative",IF(OR($G26&lt;&gt;INT($G26),$L26&lt;&gt;INT($L26)),"Workers non entier",IF(NOT(ISNUMBER($H26)),"Flavor inconnu",IF(AND(p_mode="Nœud",OR(NOT(ISNUMBER($O26)),$O26&lt;=0)),"Tarif du flavor manquant ou invalide",IF(COUNTIF(TblClusters[Cluster],$B26)&gt;1,"Cluster en doublon",IF($L26&gt;$G26,"Plancher &gt; capacité initiale",IF(AND($A26="ROKS",$G26&gt;p_maxworkers),"Workers &gt; max ROKS",IF(AND($A26="IKS",(SUMIFS(TblApplications[CPU IKS libérable (vCPU)],TblApplications[Cluster IKS source],$B26,TblApplications[Action],"À migrer")+SUMIFS(TblApplications[CPU IKS libérable (vCPU)],TblApplications[Cluster IKS source],$B26,TblApplications[Action],"À décommissionner"))&gt;$J26-$M26),"Libérations CPU &gt; capacité libérable",IF(AND($A26="IKS",(SUMIFS(TblApplications[RAM IKS libérable (Go)],TblApplications[Cluster IKS source],$B26,TblApplications[Action],"À migrer")+SUMIFS(TblApplications[RAM IKS libérable (Go)],TblApplications[Cluster IKS source],$B26,TblApplications[Action],"À décommissionner"))&gt;$K26-$N26),"Libérations RAM &gt; capacité libérable",IF(SUMIFS(TblCalculs[Alerte max workers],TblCalculs[Cluster],$B26)&gt;0,"Max workers ROKS dépassé ("&amp;SUMIFS(TblCalculs[Alerte max workers],TblCalculs[Cluster],$B26)&amp;" mois) : flavor plus gros ou second cluster",IF(SUMIFS(TblCalculs[Alerte plancher IKS],TblCalculs[Cluster],$B26)&gt;0,"Plancher IKS atteint ("&amp;SUMIFS(TblCalculs[Alerte plancher IKS],TblCalculs[Cluster],$B26)&amp;" mois)",IF(AND($A26="IKS",ISNUMBER($R26),$R26&lt;_xlfn.MAXIFS(TblApplications[Mois lib (calc)],TblApplications[Cluster IKS source],$B26)),"Fermeture avant la dernière libération",IF(AND($R26&lt;&gt;"",OR($A26&lt;&gt;"IKS",NOT(ISNUMBER($R26)))),"Fermeture : IKS uniquement, date attendue","OK"))))))))))))))))))</f>
        <v/>
      </c>
      <c r="R26" s="75"/>
      <c r="S26" s="39" t="str">
        <f aca="false">IF(OR($B26="",$A26&lt;&gt;"IKS"),"",IF(ISNUMBER($R26),DATE(YEAR($R26),MONTH($R26),1),IF(p_fermauto&lt;&gt;"Oui","",IF(COUNTIFS(TblApplications[Cluster IKS source],$B26,TblApplications[Action],"À migrer")+COUNTIFS(TblApplications[Cluster IKS source],$B26,TblApplications[Action],"À décommissionner")=0,"",IF(COUNTIFS(TblApplications[Cluster IKS source],$B26,TblApplications[Action],"À migrer",TblApplications[Mois lib (calc)],"")+COUNTIFS(TblApplications[Cluster IKS source],$B26,TblApplications[Action],"À décommissionner",TblApplications[Mois lib (calc)],"")&gt;0,"",_xlfn.MAXIFS(TblApplications[Mois lib (calc)],TblApplications[Cluster IKS source],$B26))))))</f>
        <v/>
      </c>
      <c r="T26" s="21" t="str">
        <f aca="false">IF(OR($B26="",COUNTIFS($E26,ca_envc)=0),"",COUNTIFS($B$6:$B26,"&lt;&gt;",$E$6:$E26,ca_envc))</f>
        <v/>
      </c>
      <c r="U26" s="21" t="str">
        <f aca="false">IF(OR($B26="",$A26&lt;&gt;"IKS",COUNTIFS($E26,ex_envc)=0),"",COUNTIFS($B$6:$B26,"&lt;&gt;",$A$6:$A26,"IKS",$E$6:$E26,ex_envc))</f>
        <v/>
      </c>
    </row>
    <row r="27" customFormat="false" ht="15" hidden="false" customHeight="false" outlineLevel="0" collapsed="false">
      <c r="A27" s="74"/>
      <c r="B27" s="74"/>
      <c r="C27" s="74"/>
      <c r="D27" s="74"/>
      <c r="E27" s="74"/>
      <c r="F27" s="74"/>
      <c r="G27" s="74"/>
      <c r="H27" s="21" t="str">
        <f aca="false">IF($F27="","",IFERROR(INDEX(TblABS[vCPU par nœud],MATCH($F27,TblABS[Flavor],0)),"?"))</f>
        <v/>
      </c>
      <c r="I27" s="21" t="str">
        <f aca="false">IF($F27="","",IFERROR(INDEX(TblABS[RAM par nœud (Go)],MATCH($F27,TblABS[Flavor],0)),"?"))</f>
        <v/>
      </c>
      <c r="J27" s="21" t="str">
        <f aca="false">IF(AND(ISNUMBER($G27),ISNUMBER($H27)),$G27*$H27,"")</f>
        <v/>
      </c>
      <c r="K27" s="21" t="str">
        <f aca="false">IF(AND(ISNUMBER($G27),ISNUMBER($I27)),$G27*$I27,"")</f>
        <v/>
      </c>
      <c r="L27" s="74"/>
      <c r="M27" s="21" t="str">
        <f aca="false">IF(AND(ISNUMBER($L27),ISNUMBER($H27)),$L27*$H27,"")</f>
        <v/>
      </c>
      <c r="N27" s="21" t="str">
        <f aca="false">IF(AND(ISNUMBER($L27),ISNUMBER($I27)),$L27*$I27,"")</f>
        <v/>
      </c>
      <c r="O27" s="77" t="str">
        <f aca="false">IF($F27="","",IFERROR(INDEX(TblABS[Tarif par nœud],MATCH($F27,TblABS[Flavor],0)),"?"))</f>
        <v/>
      </c>
      <c r="P27" s="74"/>
      <c r="Q27" s="21" t="str">
        <f aca="false">IF($B27="","",IF(OR($A27="",$E27="",$F27="",$G27="",$L27=""),"Données manquantes",IF(AND($A27&lt;&gt;"IKS",$A27&lt;&gt;"ROKS"),"Plateforme invalide",IF(AND($E27&lt;&gt;"PRD",$E27&lt;&gt;"NPRD"),"Environnement invalide",IF(OR(NOT(ISNUMBER($G27)),NOT(ISNUMBER($L27))),"Workers non numérique",IF(OR($G27&lt;0,$L27&lt;0),"Valeur négative",IF(OR($G27&lt;&gt;INT($G27),$L27&lt;&gt;INT($L27)),"Workers non entier",IF(NOT(ISNUMBER($H27)),"Flavor inconnu",IF(AND(p_mode="Nœud",OR(NOT(ISNUMBER($O27)),$O27&lt;=0)),"Tarif du flavor manquant ou invalide",IF(COUNTIF(TblClusters[Cluster],$B27)&gt;1,"Cluster en doublon",IF($L27&gt;$G27,"Plancher &gt; capacité initiale",IF(AND($A27="ROKS",$G27&gt;p_maxworkers),"Workers &gt; max ROKS",IF(AND($A27="IKS",(SUMIFS(TblApplications[CPU IKS libérable (vCPU)],TblApplications[Cluster IKS source],$B27,TblApplications[Action],"À migrer")+SUMIFS(TblApplications[CPU IKS libérable (vCPU)],TblApplications[Cluster IKS source],$B27,TblApplications[Action],"À décommissionner"))&gt;$J27-$M27),"Libérations CPU &gt; capacité libérable",IF(AND($A27="IKS",(SUMIFS(TblApplications[RAM IKS libérable (Go)],TblApplications[Cluster IKS source],$B27,TblApplications[Action],"À migrer")+SUMIFS(TblApplications[RAM IKS libérable (Go)],TblApplications[Cluster IKS source],$B27,TblApplications[Action],"À décommissionner"))&gt;$K27-$N27),"Libérations RAM &gt; capacité libérable",IF(SUMIFS(TblCalculs[Alerte max workers],TblCalculs[Cluster],$B27)&gt;0,"Max workers ROKS dépassé ("&amp;SUMIFS(TblCalculs[Alerte max workers],TblCalculs[Cluster],$B27)&amp;" mois) : flavor plus gros ou second cluster",IF(SUMIFS(TblCalculs[Alerte plancher IKS],TblCalculs[Cluster],$B27)&gt;0,"Plancher IKS atteint ("&amp;SUMIFS(TblCalculs[Alerte plancher IKS],TblCalculs[Cluster],$B27)&amp;" mois)",IF(AND($A27="IKS",ISNUMBER($R27),$R27&lt;_xlfn.MAXIFS(TblApplications[Mois lib (calc)],TblApplications[Cluster IKS source],$B27)),"Fermeture avant la dernière libération",IF(AND($R27&lt;&gt;"",OR($A27&lt;&gt;"IKS",NOT(ISNUMBER($R27)))),"Fermeture : IKS uniquement, date attendue","OK"))))))))))))))))))</f>
        <v/>
      </c>
      <c r="R27" s="75"/>
      <c r="S27" s="39" t="str">
        <f aca="false">IF(OR($B27="",$A27&lt;&gt;"IKS"),"",IF(ISNUMBER($R27),DATE(YEAR($R27),MONTH($R27),1),IF(p_fermauto&lt;&gt;"Oui","",IF(COUNTIFS(TblApplications[Cluster IKS source],$B27,TblApplications[Action],"À migrer")+COUNTIFS(TblApplications[Cluster IKS source],$B27,TblApplications[Action],"À décommissionner")=0,"",IF(COUNTIFS(TblApplications[Cluster IKS source],$B27,TblApplications[Action],"À migrer",TblApplications[Mois lib (calc)],"")+COUNTIFS(TblApplications[Cluster IKS source],$B27,TblApplications[Action],"À décommissionner",TblApplications[Mois lib (calc)],"")&gt;0,"",_xlfn.MAXIFS(TblApplications[Mois lib (calc)],TblApplications[Cluster IKS source],$B27))))))</f>
        <v/>
      </c>
      <c r="T27" s="21" t="str">
        <f aca="false">IF(OR($B27="",COUNTIFS($E27,ca_envc)=0),"",COUNTIFS($B$6:$B27,"&lt;&gt;",$E$6:$E27,ca_envc))</f>
        <v/>
      </c>
      <c r="U27" s="21" t="str">
        <f aca="false">IF(OR($B27="",$A27&lt;&gt;"IKS",COUNTIFS($E27,ex_envc)=0),"",COUNTIFS($B$6:$B27,"&lt;&gt;",$A$6:$A27,"IKS",$E$6:$E27,ex_envc))</f>
        <v/>
      </c>
    </row>
    <row r="28" customFormat="false" ht="15" hidden="false" customHeight="false" outlineLevel="0" collapsed="false">
      <c r="A28" s="74"/>
      <c r="B28" s="74"/>
      <c r="C28" s="74"/>
      <c r="D28" s="74"/>
      <c r="E28" s="74"/>
      <c r="F28" s="74"/>
      <c r="G28" s="74"/>
      <c r="H28" s="21" t="str">
        <f aca="false">IF($F28="","",IFERROR(INDEX(TblABS[vCPU par nœud],MATCH($F28,TblABS[Flavor],0)),"?"))</f>
        <v/>
      </c>
      <c r="I28" s="21" t="str">
        <f aca="false">IF($F28="","",IFERROR(INDEX(TblABS[RAM par nœud (Go)],MATCH($F28,TblABS[Flavor],0)),"?"))</f>
        <v/>
      </c>
      <c r="J28" s="21" t="str">
        <f aca="false">IF(AND(ISNUMBER($G28),ISNUMBER($H28)),$G28*$H28,"")</f>
        <v/>
      </c>
      <c r="K28" s="21" t="str">
        <f aca="false">IF(AND(ISNUMBER($G28),ISNUMBER($I28)),$G28*$I28,"")</f>
        <v/>
      </c>
      <c r="L28" s="74"/>
      <c r="M28" s="21" t="str">
        <f aca="false">IF(AND(ISNUMBER($L28),ISNUMBER($H28)),$L28*$H28,"")</f>
        <v/>
      </c>
      <c r="N28" s="21" t="str">
        <f aca="false">IF(AND(ISNUMBER($L28),ISNUMBER($I28)),$L28*$I28,"")</f>
        <v/>
      </c>
      <c r="O28" s="77" t="str">
        <f aca="false">IF($F28="","",IFERROR(INDEX(TblABS[Tarif par nœud],MATCH($F28,TblABS[Flavor],0)),"?"))</f>
        <v/>
      </c>
      <c r="P28" s="74"/>
      <c r="Q28" s="21" t="str">
        <f aca="false">IF($B28="","",IF(OR($A28="",$E28="",$F28="",$G28="",$L28=""),"Données manquantes",IF(AND($A28&lt;&gt;"IKS",$A28&lt;&gt;"ROKS"),"Plateforme invalide",IF(AND($E28&lt;&gt;"PRD",$E28&lt;&gt;"NPRD"),"Environnement invalide",IF(OR(NOT(ISNUMBER($G28)),NOT(ISNUMBER($L28))),"Workers non numérique",IF(OR($G28&lt;0,$L28&lt;0),"Valeur négative",IF(OR($G28&lt;&gt;INT($G28),$L28&lt;&gt;INT($L28)),"Workers non entier",IF(NOT(ISNUMBER($H28)),"Flavor inconnu",IF(AND(p_mode="Nœud",OR(NOT(ISNUMBER($O28)),$O28&lt;=0)),"Tarif du flavor manquant ou invalide",IF(COUNTIF(TblClusters[Cluster],$B28)&gt;1,"Cluster en doublon",IF($L28&gt;$G28,"Plancher &gt; capacité initiale",IF(AND($A28="ROKS",$G28&gt;p_maxworkers),"Workers &gt; max ROKS",IF(AND($A28="IKS",(SUMIFS(TblApplications[CPU IKS libérable (vCPU)],TblApplications[Cluster IKS source],$B28,TblApplications[Action],"À migrer")+SUMIFS(TblApplications[CPU IKS libérable (vCPU)],TblApplications[Cluster IKS source],$B28,TblApplications[Action],"À décommissionner"))&gt;$J28-$M28),"Libérations CPU &gt; capacité libérable",IF(AND($A28="IKS",(SUMIFS(TblApplications[RAM IKS libérable (Go)],TblApplications[Cluster IKS source],$B28,TblApplications[Action],"À migrer")+SUMIFS(TblApplications[RAM IKS libérable (Go)],TblApplications[Cluster IKS source],$B28,TblApplications[Action],"À décommissionner"))&gt;$K28-$N28),"Libérations RAM &gt; capacité libérable",IF(SUMIFS(TblCalculs[Alerte max workers],TblCalculs[Cluster],$B28)&gt;0,"Max workers ROKS dépassé ("&amp;SUMIFS(TblCalculs[Alerte max workers],TblCalculs[Cluster],$B28)&amp;" mois) : flavor plus gros ou second cluster",IF(SUMIFS(TblCalculs[Alerte plancher IKS],TblCalculs[Cluster],$B28)&gt;0,"Plancher IKS atteint ("&amp;SUMIFS(TblCalculs[Alerte plancher IKS],TblCalculs[Cluster],$B28)&amp;" mois)",IF(AND($A28="IKS",ISNUMBER($R28),$R28&lt;_xlfn.MAXIFS(TblApplications[Mois lib (calc)],TblApplications[Cluster IKS source],$B28)),"Fermeture avant la dernière libération",IF(AND($R28&lt;&gt;"",OR($A28&lt;&gt;"IKS",NOT(ISNUMBER($R28)))),"Fermeture : IKS uniquement, date attendue","OK"))))))))))))))))))</f>
        <v/>
      </c>
      <c r="R28" s="75"/>
      <c r="S28" s="39" t="str">
        <f aca="false">IF(OR($B28="",$A28&lt;&gt;"IKS"),"",IF(ISNUMBER($R28),DATE(YEAR($R28),MONTH($R28),1),IF(p_fermauto&lt;&gt;"Oui","",IF(COUNTIFS(TblApplications[Cluster IKS source],$B28,TblApplications[Action],"À migrer")+COUNTIFS(TblApplications[Cluster IKS source],$B28,TblApplications[Action],"À décommissionner")=0,"",IF(COUNTIFS(TblApplications[Cluster IKS source],$B28,TblApplications[Action],"À migrer",TblApplications[Mois lib (calc)],"")+COUNTIFS(TblApplications[Cluster IKS source],$B28,TblApplications[Action],"À décommissionner",TblApplications[Mois lib (calc)],"")&gt;0,"",_xlfn.MAXIFS(TblApplications[Mois lib (calc)],TblApplications[Cluster IKS source],$B28))))))</f>
        <v/>
      </c>
      <c r="T28" s="21" t="str">
        <f aca="false">IF(OR($B28="",COUNTIFS($E28,ca_envc)=0),"",COUNTIFS($B$6:$B28,"&lt;&gt;",$E$6:$E28,ca_envc))</f>
        <v/>
      </c>
      <c r="U28" s="21" t="str">
        <f aca="false">IF(OR($B28="",$A28&lt;&gt;"IKS",COUNTIFS($E28,ex_envc)=0),"",COUNTIFS($B$6:$B28,"&lt;&gt;",$A$6:$A28,"IKS",$E$6:$E28,ex_envc))</f>
        <v/>
      </c>
    </row>
    <row r="29" customFormat="false" ht="15" hidden="false" customHeight="false" outlineLevel="0" collapsed="false">
      <c r="A29" s="74"/>
      <c r="B29" s="74"/>
      <c r="C29" s="74"/>
      <c r="D29" s="74"/>
      <c r="E29" s="74"/>
      <c r="F29" s="74"/>
      <c r="G29" s="74"/>
      <c r="H29" s="21" t="str">
        <f aca="false">IF($F29="","",IFERROR(INDEX(TblABS[vCPU par nœud],MATCH($F29,TblABS[Flavor],0)),"?"))</f>
        <v/>
      </c>
      <c r="I29" s="21" t="str">
        <f aca="false">IF($F29="","",IFERROR(INDEX(TblABS[RAM par nœud (Go)],MATCH($F29,TblABS[Flavor],0)),"?"))</f>
        <v/>
      </c>
      <c r="J29" s="21" t="str">
        <f aca="false">IF(AND(ISNUMBER($G29),ISNUMBER($H29)),$G29*$H29,"")</f>
        <v/>
      </c>
      <c r="K29" s="21" t="str">
        <f aca="false">IF(AND(ISNUMBER($G29),ISNUMBER($I29)),$G29*$I29,"")</f>
        <v/>
      </c>
      <c r="L29" s="74"/>
      <c r="M29" s="21" t="str">
        <f aca="false">IF(AND(ISNUMBER($L29),ISNUMBER($H29)),$L29*$H29,"")</f>
        <v/>
      </c>
      <c r="N29" s="21" t="str">
        <f aca="false">IF(AND(ISNUMBER($L29),ISNUMBER($I29)),$L29*$I29,"")</f>
        <v/>
      </c>
      <c r="O29" s="77" t="str">
        <f aca="false">IF($F29="","",IFERROR(INDEX(TblABS[Tarif par nœud],MATCH($F29,TblABS[Flavor],0)),"?"))</f>
        <v/>
      </c>
      <c r="P29" s="74"/>
      <c r="Q29" s="21" t="str">
        <f aca="false">IF($B29="","",IF(OR($A29="",$E29="",$F29="",$G29="",$L29=""),"Données manquantes",IF(AND($A29&lt;&gt;"IKS",$A29&lt;&gt;"ROKS"),"Plateforme invalide",IF(AND($E29&lt;&gt;"PRD",$E29&lt;&gt;"NPRD"),"Environnement invalide",IF(OR(NOT(ISNUMBER($G29)),NOT(ISNUMBER($L29))),"Workers non numérique",IF(OR($G29&lt;0,$L29&lt;0),"Valeur négative",IF(OR($G29&lt;&gt;INT($G29),$L29&lt;&gt;INT($L29)),"Workers non entier",IF(NOT(ISNUMBER($H29)),"Flavor inconnu",IF(AND(p_mode="Nœud",OR(NOT(ISNUMBER($O29)),$O29&lt;=0)),"Tarif du flavor manquant ou invalide",IF(COUNTIF(TblClusters[Cluster],$B29)&gt;1,"Cluster en doublon",IF($L29&gt;$G29,"Plancher &gt; capacité initiale",IF(AND($A29="ROKS",$G29&gt;p_maxworkers),"Workers &gt; max ROKS",IF(AND($A29="IKS",(SUMIFS(TblApplications[CPU IKS libérable (vCPU)],TblApplications[Cluster IKS source],$B29,TblApplications[Action],"À migrer")+SUMIFS(TblApplications[CPU IKS libérable (vCPU)],TblApplications[Cluster IKS source],$B29,TblApplications[Action],"À décommissionner"))&gt;$J29-$M29),"Libérations CPU &gt; capacité libérable",IF(AND($A29="IKS",(SUMIFS(TblApplications[RAM IKS libérable (Go)],TblApplications[Cluster IKS source],$B29,TblApplications[Action],"À migrer")+SUMIFS(TblApplications[RAM IKS libérable (Go)],TblApplications[Cluster IKS source],$B29,TblApplications[Action],"À décommissionner"))&gt;$K29-$N29),"Libérations RAM &gt; capacité libérable",IF(SUMIFS(TblCalculs[Alerte max workers],TblCalculs[Cluster],$B29)&gt;0,"Max workers ROKS dépassé ("&amp;SUMIFS(TblCalculs[Alerte max workers],TblCalculs[Cluster],$B29)&amp;" mois) : flavor plus gros ou second cluster",IF(SUMIFS(TblCalculs[Alerte plancher IKS],TblCalculs[Cluster],$B29)&gt;0,"Plancher IKS atteint ("&amp;SUMIFS(TblCalculs[Alerte plancher IKS],TblCalculs[Cluster],$B29)&amp;" mois)",IF(AND($A29="IKS",ISNUMBER($R29),$R29&lt;_xlfn.MAXIFS(TblApplications[Mois lib (calc)],TblApplications[Cluster IKS source],$B29)),"Fermeture avant la dernière libération",IF(AND($R29&lt;&gt;"",OR($A29&lt;&gt;"IKS",NOT(ISNUMBER($R29)))),"Fermeture : IKS uniquement, date attendue","OK"))))))))))))))))))</f>
        <v/>
      </c>
      <c r="R29" s="75"/>
      <c r="S29" s="39" t="str">
        <f aca="false">IF(OR($B29="",$A29&lt;&gt;"IKS"),"",IF(ISNUMBER($R29),DATE(YEAR($R29),MONTH($R29),1),IF(p_fermauto&lt;&gt;"Oui","",IF(COUNTIFS(TblApplications[Cluster IKS source],$B29,TblApplications[Action],"À migrer")+COUNTIFS(TblApplications[Cluster IKS source],$B29,TblApplications[Action],"À décommissionner")=0,"",IF(COUNTIFS(TblApplications[Cluster IKS source],$B29,TblApplications[Action],"À migrer",TblApplications[Mois lib (calc)],"")+COUNTIFS(TblApplications[Cluster IKS source],$B29,TblApplications[Action],"À décommissionner",TblApplications[Mois lib (calc)],"")&gt;0,"",_xlfn.MAXIFS(TblApplications[Mois lib (calc)],TblApplications[Cluster IKS source],$B29))))))</f>
        <v/>
      </c>
      <c r="T29" s="21" t="str">
        <f aca="false">IF(OR($B29="",COUNTIFS($E29,ca_envc)=0),"",COUNTIFS($B$6:$B29,"&lt;&gt;",$E$6:$E29,ca_envc))</f>
        <v/>
      </c>
      <c r="U29" s="21" t="str">
        <f aca="false">IF(OR($B29="",$A29&lt;&gt;"IKS",COUNTIFS($E29,ex_envc)=0),"",COUNTIFS($B$6:$B29,"&lt;&gt;",$A$6:$A29,"IKS",$E$6:$E29,ex_envc))</f>
        <v/>
      </c>
    </row>
    <row r="30" customFormat="false" ht="15" hidden="false" customHeight="false" outlineLevel="0" collapsed="false">
      <c r="A30" s="74"/>
      <c r="B30" s="74"/>
      <c r="C30" s="74"/>
      <c r="D30" s="74"/>
      <c r="E30" s="74"/>
      <c r="F30" s="74"/>
      <c r="G30" s="74"/>
      <c r="H30" s="21" t="str">
        <f aca="false">IF($F30="","",IFERROR(INDEX(TblABS[vCPU par nœud],MATCH($F30,TblABS[Flavor],0)),"?"))</f>
        <v/>
      </c>
      <c r="I30" s="21" t="str">
        <f aca="false">IF($F30="","",IFERROR(INDEX(TblABS[RAM par nœud (Go)],MATCH($F30,TblABS[Flavor],0)),"?"))</f>
        <v/>
      </c>
      <c r="J30" s="21" t="str">
        <f aca="false">IF(AND(ISNUMBER($G30),ISNUMBER($H30)),$G30*$H30,"")</f>
        <v/>
      </c>
      <c r="K30" s="21" t="str">
        <f aca="false">IF(AND(ISNUMBER($G30),ISNUMBER($I30)),$G30*$I30,"")</f>
        <v/>
      </c>
      <c r="L30" s="74"/>
      <c r="M30" s="21" t="str">
        <f aca="false">IF(AND(ISNUMBER($L30),ISNUMBER($H30)),$L30*$H30,"")</f>
        <v/>
      </c>
      <c r="N30" s="21" t="str">
        <f aca="false">IF(AND(ISNUMBER($L30),ISNUMBER($I30)),$L30*$I30,"")</f>
        <v/>
      </c>
      <c r="O30" s="77" t="str">
        <f aca="false">IF($F30="","",IFERROR(INDEX(TblABS[Tarif par nœud],MATCH($F30,TblABS[Flavor],0)),"?"))</f>
        <v/>
      </c>
      <c r="P30" s="74"/>
      <c r="Q30" s="21" t="str">
        <f aca="false">IF($B30="","",IF(OR($A30="",$E30="",$F30="",$G30="",$L30=""),"Données manquantes",IF(AND($A30&lt;&gt;"IKS",$A30&lt;&gt;"ROKS"),"Plateforme invalide",IF(AND($E30&lt;&gt;"PRD",$E30&lt;&gt;"NPRD"),"Environnement invalide",IF(OR(NOT(ISNUMBER($G30)),NOT(ISNUMBER($L30))),"Workers non numérique",IF(OR($G30&lt;0,$L30&lt;0),"Valeur négative",IF(OR($G30&lt;&gt;INT($G30),$L30&lt;&gt;INT($L30)),"Workers non entier",IF(NOT(ISNUMBER($H30)),"Flavor inconnu",IF(AND(p_mode="Nœud",OR(NOT(ISNUMBER($O30)),$O30&lt;=0)),"Tarif du flavor manquant ou invalide",IF(COUNTIF(TblClusters[Cluster],$B30)&gt;1,"Cluster en doublon",IF($L30&gt;$G30,"Plancher &gt; capacité initiale",IF(AND($A30="ROKS",$G30&gt;p_maxworkers),"Workers &gt; max ROKS",IF(AND($A30="IKS",(SUMIFS(TblApplications[CPU IKS libérable (vCPU)],TblApplications[Cluster IKS source],$B30,TblApplications[Action],"À migrer")+SUMIFS(TblApplications[CPU IKS libérable (vCPU)],TblApplications[Cluster IKS source],$B30,TblApplications[Action],"À décommissionner"))&gt;$J30-$M30),"Libérations CPU &gt; capacité libérable",IF(AND($A30="IKS",(SUMIFS(TblApplications[RAM IKS libérable (Go)],TblApplications[Cluster IKS source],$B30,TblApplications[Action],"À migrer")+SUMIFS(TblApplications[RAM IKS libérable (Go)],TblApplications[Cluster IKS source],$B30,TblApplications[Action],"À décommissionner"))&gt;$K30-$N30),"Libérations RAM &gt; capacité libérable",IF(SUMIFS(TblCalculs[Alerte max workers],TblCalculs[Cluster],$B30)&gt;0,"Max workers ROKS dépassé ("&amp;SUMIFS(TblCalculs[Alerte max workers],TblCalculs[Cluster],$B30)&amp;" mois) : flavor plus gros ou second cluster",IF(SUMIFS(TblCalculs[Alerte plancher IKS],TblCalculs[Cluster],$B30)&gt;0,"Plancher IKS atteint ("&amp;SUMIFS(TblCalculs[Alerte plancher IKS],TblCalculs[Cluster],$B30)&amp;" mois)",IF(AND($A30="IKS",ISNUMBER($R30),$R30&lt;_xlfn.MAXIFS(TblApplications[Mois lib (calc)],TblApplications[Cluster IKS source],$B30)),"Fermeture avant la dernière libération",IF(AND($R30&lt;&gt;"",OR($A30&lt;&gt;"IKS",NOT(ISNUMBER($R30)))),"Fermeture : IKS uniquement, date attendue","OK"))))))))))))))))))</f>
        <v/>
      </c>
      <c r="R30" s="75"/>
      <c r="S30" s="39" t="str">
        <f aca="false">IF(OR($B30="",$A30&lt;&gt;"IKS"),"",IF(ISNUMBER($R30),DATE(YEAR($R30),MONTH($R30),1),IF(p_fermauto&lt;&gt;"Oui","",IF(COUNTIFS(TblApplications[Cluster IKS source],$B30,TblApplications[Action],"À migrer")+COUNTIFS(TblApplications[Cluster IKS source],$B30,TblApplications[Action],"À décommissionner")=0,"",IF(COUNTIFS(TblApplications[Cluster IKS source],$B30,TblApplications[Action],"À migrer",TblApplications[Mois lib (calc)],"")+COUNTIFS(TblApplications[Cluster IKS source],$B30,TblApplications[Action],"À décommissionner",TblApplications[Mois lib (calc)],"")&gt;0,"",_xlfn.MAXIFS(TblApplications[Mois lib (calc)],TblApplications[Cluster IKS source],$B30))))))</f>
        <v/>
      </c>
      <c r="T30" s="21" t="str">
        <f aca="false">IF(OR($B30="",COUNTIFS($E30,ca_envc)=0),"",COUNTIFS($B$6:$B30,"&lt;&gt;",$E$6:$E30,ca_envc))</f>
        <v/>
      </c>
      <c r="U30" s="21" t="str">
        <f aca="false">IF(OR($B30="",$A30&lt;&gt;"IKS",COUNTIFS($E30,ex_envc)=0),"",COUNTIFS($B$6:$B30,"&lt;&gt;",$A$6:$A30,"IKS",$E$6:$E30,ex_envc))</f>
        <v/>
      </c>
    </row>
    <row r="31" customFormat="false" ht="15" hidden="false" customHeight="false" outlineLevel="0" collapsed="false">
      <c r="A31" s="74"/>
      <c r="B31" s="74"/>
      <c r="C31" s="74"/>
      <c r="D31" s="74"/>
      <c r="E31" s="74"/>
      <c r="F31" s="74"/>
      <c r="G31" s="74"/>
      <c r="H31" s="21" t="str">
        <f aca="false">IF($F31="","",IFERROR(INDEX(TblABS[vCPU par nœud],MATCH($F31,TblABS[Flavor],0)),"?"))</f>
        <v/>
      </c>
      <c r="I31" s="21" t="str">
        <f aca="false">IF($F31="","",IFERROR(INDEX(TblABS[RAM par nœud (Go)],MATCH($F31,TblABS[Flavor],0)),"?"))</f>
        <v/>
      </c>
      <c r="J31" s="21" t="str">
        <f aca="false">IF(AND(ISNUMBER($G31),ISNUMBER($H31)),$G31*$H31,"")</f>
        <v/>
      </c>
      <c r="K31" s="21" t="str">
        <f aca="false">IF(AND(ISNUMBER($G31),ISNUMBER($I31)),$G31*$I31,"")</f>
        <v/>
      </c>
      <c r="L31" s="74"/>
      <c r="M31" s="21" t="str">
        <f aca="false">IF(AND(ISNUMBER($L31),ISNUMBER($H31)),$L31*$H31,"")</f>
        <v/>
      </c>
      <c r="N31" s="21" t="str">
        <f aca="false">IF(AND(ISNUMBER($L31),ISNUMBER($I31)),$L31*$I31,"")</f>
        <v/>
      </c>
      <c r="O31" s="77" t="str">
        <f aca="false">IF($F31="","",IFERROR(INDEX(TblABS[Tarif par nœud],MATCH($F31,TblABS[Flavor],0)),"?"))</f>
        <v/>
      </c>
      <c r="P31" s="74"/>
      <c r="Q31" s="21" t="str">
        <f aca="false">IF($B31="","",IF(OR($A31="",$E31="",$F31="",$G31="",$L31=""),"Données manquantes",IF(AND($A31&lt;&gt;"IKS",$A31&lt;&gt;"ROKS"),"Plateforme invalide",IF(AND($E31&lt;&gt;"PRD",$E31&lt;&gt;"NPRD"),"Environnement invalide",IF(OR(NOT(ISNUMBER($G31)),NOT(ISNUMBER($L31))),"Workers non numérique",IF(OR($G31&lt;0,$L31&lt;0),"Valeur négative",IF(OR($G31&lt;&gt;INT($G31),$L31&lt;&gt;INT($L31)),"Workers non entier",IF(NOT(ISNUMBER($H31)),"Flavor inconnu",IF(AND(p_mode="Nœud",OR(NOT(ISNUMBER($O31)),$O31&lt;=0)),"Tarif du flavor manquant ou invalide",IF(COUNTIF(TblClusters[Cluster],$B31)&gt;1,"Cluster en doublon",IF($L31&gt;$G31,"Plancher &gt; capacité initiale",IF(AND($A31="ROKS",$G31&gt;p_maxworkers),"Workers &gt; max ROKS",IF(AND($A31="IKS",(SUMIFS(TblApplications[CPU IKS libérable (vCPU)],TblApplications[Cluster IKS source],$B31,TblApplications[Action],"À migrer")+SUMIFS(TblApplications[CPU IKS libérable (vCPU)],TblApplications[Cluster IKS source],$B31,TblApplications[Action],"À décommissionner"))&gt;$J31-$M31),"Libérations CPU &gt; capacité libérable",IF(AND($A31="IKS",(SUMIFS(TblApplications[RAM IKS libérable (Go)],TblApplications[Cluster IKS source],$B31,TblApplications[Action],"À migrer")+SUMIFS(TblApplications[RAM IKS libérable (Go)],TblApplications[Cluster IKS source],$B31,TblApplications[Action],"À décommissionner"))&gt;$K31-$N31),"Libérations RAM &gt; capacité libérable",IF(SUMIFS(TblCalculs[Alerte max workers],TblCalculs[Cluster],$B31)&gt;0,"Max workers ROKS dépassé ("&amp;SUMIFS(TblCalculs[Alerte max workers],TblCalculs[Cluster],$B31)&amp;" mois) : flavor plus gros ou second cluster",IF(SUMIFS(TblCalculs[Alerte plancher IKS],TblCalculs[Cluster],$B31)&gt;0,"Plancher IKS atteint ("&amp;SUMIFS(TblCalculs[Alerte plancher IKS],TblCalculs[Cluster],$B31)&amp;" mois)",IF(AND($A31="IKS",ISNUMBER($R31),$R31&lt;_xlfn.MAXIFS(TblApplications[Mois lib (calc)],TblApplications[Cluster IKS source],$B31)),"Fermeture avant la dernière libération",IF(AND($R31&lt;&gt;"",OR($A31&lt;&gt;"IKS",NOT(ISNUMBER($R31)))),"Fermeture : IKS uniquement, date attendue","OK"))))))))))))))))))</f>
        <v/>
      </c>
      <c r="R31" s="75"/>
      <c r="S31" s="39" t="str">
        <f aca="false">IF(OR($B31="",$A31&lt;&gt;"IKS"),"",IF(ISNUMBER($R31),DATE(YEAR($R31),MONTH($R31),1),IF(p_fermauto&lt;&gt;"Oui","",IF(COUNTIFS(TblApplications[Cluster IKS source],$B31,TblApplications[Action],"À migrer")+COUNTIFS(TblApplications[Cluster IKS source],$B31,TblApplications[Action],"À décommissionner")=0,"",IF(COUNTIFS(TblApplications[Cluster IKS source],$B31,TblApplications[Action],"À migrer",TblApplications[Mois lib (calc)],"")+COUNTIFS(TblApplications[Cluster IKS source],$B31,TblApplications[Action],"À décommissionner",TblApplications[Mois lib (calc)],"")&gt;0,"",_xlfn.MAXIFS(TblApplications[Mois lib (calc)],TblApplications[Cluster IKS source],$B31))))))</f>
        <v/>
      </c>
      <c r="T31" s="21" t="str">
        <f aca="false">IF(OR($B31="",COUNTIFS($E31,ca_envc)=0),"",COUNTIFS($B$6:$B31,"&lt;&gt;",$E$6:$E31,ca_envc))</f>
        <v/>
      </c>
      <c r="U31" s="21" t="str">
        <f aca="false">IF(OR($B31="",$A31&lt;&gt;"IKS",COUNTIFS($E31,ex_envc)=0),"",COUNTIFS($B$6:$B31,"&lt;&gt;",$A$6:$A31,"IKS",$E$6:$E31,ex_envc))</f>
        <v/>
      </c>
    </row>
    <row r="32" customFormat="false" ht="15" hidden="false" customHeight="false" outlineLevel="0" collapsed="false">
      <c r="A32" s="74"/>
      <c r="B32" s="74"/>
      <c r="C32" s="74"/>
      <c r="D32" s="74"/>
      <c r="E32" s="74"/>
      <c r="F32" s="74"/>
      <c r="G32" s="74"/>
      <c r="H32" s="21" t="str">
        <f aca="false">IF($F32="","",IFERROR(INDEX(TblABS[vCPU par nœud],MATCH($F32,TblABS[Flavor],0)),"?"))</f>
        <v/>
      </c>
      <c r="I32" s="21" t="str">
        <f aca="false">IF($F32="","",IFERROR(INDEX(TblABS[RAM par nœud (Go)],MATCH($F32,TblABS[Flavor],0)),"?"))</f>
        <v/>
      </c>
      <c r="J32" s="21" t="str">
        <f aca="false">IF(AND(ISNUMBER($G32),ISNUMBER($H32)),$G32*$H32,"")</f>
        <v/>
      </c>
      <c r="K32" s="21" t="str">
        <f aca="false">IF(AND(ISNUMBER($G32),ISNUMBER($I32)),$G32*$I32,"")</f>
        <v/>
      </c>
      <c r="L32" s="74"/>
      <c r="M32" s="21" t="str">
        <f aca="false">IF(AND(ISNUMBER($L32),ISNUMBER($H32)),$L32*$H32,"")</f>
        <v/>
      </c>
      <c r="N32" s="21" t="str">
        <f aca="false">IF(AND(ISNUMBER($L32),ISNUMBER($I32)),$L32*$I32,"")</f>
        <v/>
      </c>
      <c r="O32" s="77" t="str">
        <f aca="false">IF($F32="","",IFERROR(INDEX(TblABS[Tarif par nœud],MATCH($F32,TblABS[Flavor],0)),"?"))</f>
        <v/>
      </c>
      <c r="P32" s="74"/>
      <c r="Q32" s="21" t="str">
        <f aca="false">IF($B32="","",IF(OR($A32="",$E32="",$F32="",$G32="",$L32=""),"Données manquantes",IF(AND($A32&lt;&gt;"IKS",$A32&lt;&gt;"ROKS"),"Plateforme invalide",IF(AND($E32&lt;&gt;"PRD",$E32&lt;&gt;"NPRD"),"Environnement invalide",IF(OR(NOT(ISNUMBER($G32)),NOT(ISNUMBER($L32))),"Workers non numérique",IF(OR($G32&lt;0,$L32&lt;0),"Valeur négative",IF(OR($G32&lt;&gt;INT($G32),$L32&lt;&gt;INT($L32)),"Workers non entier",IF(NOT(ISNUMBER($H32)),"Flavor inconnu",IF(AND(p_mode="Nœud",OR(NOT(ISNUMBER($O32)),$O32&lt;=0)),"Tarif du flavor manquant ou invalide",IF(COUNTIF(TblClusters[Cluster],$B32)&gt;1,"Cluster en doublon",IF($L32&gt;$G32,"Plancher &gt; capacité initiale",IF(AND($A32="ROKS",$G32&gt;p_maxworkers),"Workers &gt; max ROKS",IF(AND($A32="IKS",(SUMIFS(TblApplications[CPU IKS libérable (vCPU)],TblApplications[Cluster IKS source],$B32,TblApplications[Action],"À migrer")+SUMIFS(TblApplications[CPU IKS libérable (vCPU)],TblApplications[Cluster IKS source],$B32,TblApplications[Action],"À décommissionner"))&gt;$J32-$M32),"Libérations CPU &gt; capacité libérable",IF(AND($A32="IKS",(SUMIFS(TblApplications[RAM IKS libérable (Go)],TblApplications[Cluster IKS source],$B32,TblApplications[Action],"À migrer")+SUMIFS(TblApplications[RAM IKS libérable (Go)],TblApplications[Cluster IKS source],$B32,TblApplications[Action],"À décommissionner"))&gt;$K32-$N32),"Libérations RAM &gt; capacité libérable",IF(SUMIFS(TblCalculs[Alerte max workers],TblCalculs[Cluster],$B32)&gt;0,"Max workers ROKS dépassé ("&amp;SUMIFS(TblCalculs[Alerte max workers],TblCalculs[Cluster],$B32)&amp;" mois) : flavor plus gros ou second cluster",IF(SUMIFS(TblCalculs[Alerte plancher IKS],TblCalculs[Cluster],$B32)&gt;0,"Plancher IKS atteint ("&amp;SUMIFS(TblCalculs[Alerte plancher IKS],TblCalculs[Cluster],$B32)&amp;" mois)",IF(AND($A32="IKS",ISNUMBER($R32),$R32&lt;_xlfn.MAXIFS(TblApplications[Mois lib (calc)],TblApplications[Cluster IKS source],$B32)),"Fermeture avant la dernière libération",IF(AND($R32&lt;&gt;"",OR($A32&lt;&gt;"IKS",NOT(ISNUMBER($R32)))),"Fermeture : IKS uniquement, date attendue","OK"))))))))))))))))))</f>
        <v/>
      </c>
      <c r="R32" s="75"/>
      <c r="S32" s="39" t="str">
        <f aca="false">IF(OR($B32="",$A32&lt;&gt;"IKS"),"",IF(ISNUMBER($R32),DATE(YEAR($R32),MONTH($R32),1),IF(p_fermauto&lt;&gt;"Oui","",IF(COUNTIFS(TblApplications[Cluster IKS source],$B32,TblApplications[Action],"À migrer")+COUNTIFS(TblApplications[Cluster IKS source],$B32,TblApplications[Action],"À décommissionner")=0,"",IF(COUNTIFS(TblApplications[Cluster IKS source],$B32,TblApplications[Action],"À migrer",TblApplications[Mois lib (calc)],"")+COUNTIFS(TblApplications[Cluster IKS source],$B32,TblApplications[Action],"À décommissionner",TblApplications[Mois lib (calc)],"")&gt;0,"",_xlfn.MAXIFS(TblApplications[Mois lib (calc)],TblApplications[Cluster IKS source],$B32))))))</f>
        <v/>
      </c>
      <c r="T32" s="21" t="str">
        <f aca="false">IF(OR($B32="",COUNTIFS($E32,ca_envc)=0),"",COUNTIFS($B$6:$B32,"&lt;&gt;",$E$6:$E32,ca_envc))</f>
        <v/>
      </c>
      <c r="U32" s="21" t="str">
        <f aca="false">IF(OR($B32="",$A32&lt;&gt;"IKS",COUNTIFS($E32,ex_envc)=0),"",COUNTIFS($B$6:$B32,"&lt;&gt;",$A$6:$A32,"IKS",$E$6:$E32,ex_envc))</f>
        <v/>
      </c>
    </row>
    <row r="33" customFormat="false" ht="15" hidden="false" customHeight="false" outlineLevel="0" collapsed="false">
      <c r="A33" s="74"/>
      <c r="B33" s="74"/>
      <c r="C33" s="74"/>
      <c r="D33" s="74"/>
      <c r="E33" s="74"/>
      <c r="F33" s="74"/>
      <c r="G33" s="74"/>
      <c r="H33" s="21" t="str">
        <f aca="false">IF($F33="","",IFERROR(INDEX(TblABS[vCPU par nœud],MATCH($F33,TblABS[Flavor],0)),"?"))</f>
        <v/>
      </c>
      <c r="I33" s="21" t="str">
        <f aca="false">IF($F33="","",IFERROR(INDEX(TblABS[RAM par nœud (Go)],MATCH($F33,TblABS[Flavor],0)),"?"))</f>
        <v/>
      </c>
      <c r="J33" s="21" t="str">
        <f aca="false">IF(AND(ISNUMBER($G33),ISNUMBER($H33)),$G33*$H33,"")</f>
        <v/>
      </c>
      <c r="K33" s="21" t="str">
        <f aca="false">IF(AND(ISNUMBER($G33),ISNUMBER($I33)),$G33*$I33,"")</f>
        <v/>
      </c>
      <c r="L33" s="74"/>
      <c r="M33" s="21" t="str">
        <f aca="false">IF(AND(ISNUMBER($L33),ISNUMBER($H33)),$L33*$H33,"")</f>
        <v/>
      </c>
      <c r="N33" s="21" t="str">
        <f aca="false">IF(AND(ISNUMBER($L33),ISNUMBER($I33)),$L33*$I33,"")</f>
        <v/>
      </c>
      <c r="O33" s="77" t="str">
        <f aca="false">IF($F33="","",IFERROR(INDEX(TblABS[Tarif par nœud],MATCH($F33,TblABS[Flavor],0)),"?"))</f>
        <v/>
      </c>
      <c r="P33" s="74"/>
      <c r="Q33" s="21" t="str">
        <f aca="false">IF($B33="","",IF(OR($A33="",$E33="",$F33="",$G33="",$L33=""),"Données manquantes",IF(AND($A33&lt;&gt;"IKS",$A33&lt;&gt;"ROKS"),"Plateforme invalide",IF(AND($E33&lt;&gt;"PRD",$E33&lt;&gt;"NPRD"),"Environnement invalide",IF(OR(NOT(ISNUMBER($G33)),NOT(ISNUMBER($L33))),"Workers non numérique",IF(OR($G33&lt;0,$L33&lt;0),"Valeur négative",IF(OR($G33&lt;&gt;INT($G33),$L33&lt;&gt;INT($L33)),"Workers non entier",IF(NOT(ISNUMBER($H33)),"Flavor inconnu",IF(AND(p_mode="Nœud",OR(NOT(ISNUMBER($O33)),$O33&lt;=0)),"Tarif du flavor manquant ou invalide",IF(COUNTIF(TblClusters[Cluster],$B33)&gt;1,"Cluster en doublon",IF($L33&gt;$G33,"Plancher &gt; capacité initiale",IF(AND($A33="ROKS",$G33&gt;p_maxworkers),"Workers &gt; max ROKS",IF(AND($A33="IKS",(SUMIFS(TblApplications[CPU IKS libérable (vCPU)],TblApplications[Cluster IKS source],$B33,TblApplications[Action],"À migrer")+SUMIFS(TblApplications[CPU IKS libérable (vCPU)],TblApplications[Cluster IKS source],$B33,TblApplications[Action],"À décommissionner"))&gt;$J33-$M33),"Libérations CPU &gt; capacité libérable",IF(AND($A33="IKS",(SUMIFS(TblApplications[RAM IKS libérable (Go)],TblApplications[Cluster IKS source],$B33,TblApplications[Action],"À migrer")+SUMIFS(TblApplications[RAM IKS libérable (Go)],TblApplications[Cluster IKS source],$B33,TblApplications[Action],"À décommissionner"))&gt;$K33-$N33),"Libérations RAM &gt; capacité libérable",IF(SUMIFS(TblCalculs[Alerte max workers],TblCalculs[Cluster],$B33)&gt;0,"Max workers ROKS dépassé ("&amp;SUMIFS(TblCalculs[Alerte max workers],TblCalculs[Cluster],$B33)&amp;" mois) : flavor plus gros ou second cluster",IF(SUMIFS(TblCalculs[Alerte plancher IKS],TblCalculs[Cluster],$B33)&gt;0,"Plancher IKS atteint ("&amp;SUMIFS(TblCalculs[Alerte plancher IKS],TblCalculs[Cluster],$B33)&amp;" mois)",IF(AND($A33="IKS",ISNUMBER($R33),$R33&lt;_xlfn.MAXIFS(TblApplications[Mois lib (calc)],TblApplications[Cluster IKS source],$B33)),"Fermeture avant la dernière libération",IF(AND($R33&lt;&gt;"",OR($A33&lt;&gt;"IKS",NOT(ISNUMBER($R33)))),"Fermeture : IKS uniquement, date attendue","OK"))))))))))))))))))</f>
        <v/>
      </c>
      <c r="R33" s="75"/>
      <c r="S33" s="39" t="str">
        <f aca="false">IF(OR($B33="",$A33&lt;&gt;"IKS"),"",IF(ISNUMBER($R33),DATE(YEAR($R33),MONTH($R33),1),IF(p_fermauto&lt;&gt;"Oui","",IF(COUNTIFS(TblApplications[Cluster IKS source],$B33,TblApplications[Action],"À migrer")+COUNTIFS(TblApplications[Cluster IKS source],$B33,TblApplications[Action],"À décommissionner")=0,"",IF(COUNTIFS(TblApplications[Cluster IKS source],$B33,TblApplications[Action],"À migrer",TblApplications[Mois lib (calc)],"")+COUNTIFS(TblApplications[Cluster IKS source],$B33,TblApplications[Action],"À décommissionner",TblApplications[Mois lib (calc)],"")&gt;0,"",_xlfn.MAXIFS(TblApplications[Mois lib (calc)],TblApplications[Cluster IKS source],$B33))))))</f>
        <v/>
      </c>
      <c r="T33" s="21" t="str">
        <f aca="false">IF(OR($B33="",COUNTIFS($E33,ca_envc)=0),"",COUNTIFS($B$6:$B33,"&lt;&gt;",$E$6:$E33,ca_envc))</f>
        <v/>
      </c>
      <c r="U33" s="21" t="str">
        <f aca="false">IF(OR($B33="",$A33&lt;&gt;"IKS",COUNTIFS($E33,ex_envc)=0),"",COUNTIFS($B$6:$B33,"&lt;&gt;",$A$6:$A33,"IKS",$E$6:$E33,ex_envc))</f>
        <v/>
      </c>
    </row>
    <row r="34" customFormat="false" ht="15" hidden="false" customHeight="false" outlineLevel="0" collapsed="false">
      <c r="A34" s="74"/>
      <c r="B34" s="74"/>
      <c r="C34" s="74"/>
      <c r="D34" s="74"/>
      <c r="E34" s="74"/>
      <c r="F34" s="74"/>
      <c r="G34" s="74"/>
      <c r="H34" s="21" t="str">
        <f aca="false">IF($F34="","",IFERROR(INDEX(TblABS[vCPU par nœud],MATCH($F34,TblABS[Flavor],0)),"?"))</f>
        <v/>
      </c>
      <c r="I34" s="21" t="str">
        <f aca="false">IF($F34="","",IFERROR(INDEX(TblABS[RAM par nœud (Go)],MATCH($F34,TblABS[Flavor],0)),"?"))</f>
        <v/>
      </c>
      <c r="J34" s="21" t="str">
        <f aca="false">IF(AND(ISNUMBER($G34),ISNUMBER($H34)),$G34*$H34,"")</f>
        <v/>
      </c>
      <c r="K34" s="21" t="str">
        <f aca="false">IF(AND(ISNUMBER($G34),ISNUMBER($I34)),$G34*$I34,"")</f>
        <v/>
      </c>
      <c r="L34" s="74"/>
      <c r="M34" s="21" t="str">
        <f aca="false">IF(AND(ISNUMBER($L34),ISNUMBER($H34)),$L34*$H34,"")</f>
        <v/>
      </c>
      <c r="N34" s="21" t="str">
        <f aca="false">IF(AND(ISNUMBER($L34),ISNUMBER($I34)),$L34*$I34,"")</f>
        <v/>
      </c>
      <c r="O34" s="77" t="str">
        <f aca="false">IF($F34="","",IFERROR(INDEX(TblABS[Tarif par nœud],MATCH($F34,TblABS[Flavor],0)),"?"))</f>
        <v/>
      </c>
      <c r="P34" s="74"/>
      <c r="Q34" s="21" t="str">
        <f aca="false">IF($B34="","",IF(OR($A34="",$E34="",$F34="",$G34="",$L34=""),"Données manquantes",IF(AND($A34&lt;&gt;"IKS",$A34&lt;&gt;"ROKS"),"Plateforme invalide",IF(AND($E34&lt;&gt;"PRD",$E34&lt;&gt;"NPRD"),"Environnement invalide",IF(OR(NOT(ISNUMBER($G34)),NOT(ISNUMBER($L34))),"Workers non numérique",IF(OR($G34&lt;0,$L34&lt;0),"Valeur négative",IF(OR($G34&lt;&gt;INT($G34),$L34&lt;&gt;INT($L34)),"Workers non entier",IF(NOT(ISNUMBER($H34)),"Flavor inconnu",IF(AND(p_mode="Nœud",OR(NOT(ISNUMBER($O34)),$O34&lt;=0)),"Tarif du flavor manquant ou invalide",IF(COUNTIF(TblClusters[Cluster],$B34)&gt;1,"Cluster en doublon",IF($L34&gt;$G34,"Plancher &gt; capacité initiale",IF(AND($A34="ROKS",$G34&gt;p_maxworkers),"Workers &gt; max ROKS",IF(AND($A34="IKS",(SUMIFS(TblApplications[CPU IKS libérable (vCPU)],TblApplications[Cluster IKS source],$B34,TblApplications[Action],"À migrer")+SUMIFS(TblApplications[CPU IKS libérable (vCPU)],TblApplications[Cluster IKS source],$B34,TblApplications[Action],"À décommissionner"))&gt;$J34-$M34),"Libérations CPU &gt; capacité libérable",IF(AND($A34="IKS",(SUMIFS(TblApplications[RAM IKS libérable (Go)],TblApplications[Cluster IKS source],$B34,TblApplications[Action],"À migrer")+SUMIFS(TblApplications[RAM IKS libérable (Go)],TblApplications[Cluster IKS source],$B34,TblApplications[Action],"À décommissionner"))&gt;$K34-$N34),"Libérations RAM &gt; capacité libérable",IF(SUMIFS(TblCalculs[Alerte max workers],TblCalculs[Cluster],$B34)&gt;0,"Max workers ROKS dépassé ("&amp;SUMIFS(TblCalculs[Alerte max workers],TblCalculs[Cluster],$B34)&amp;" mois) : flavor plus gros ou second cluster",IF(SUMIFS(TblCalculs[Alerte plancher IKS],TblCalculs[Cluster],$B34)&gt;0,"Plancher IKS atteint ("&amp;SUMIFS(TblCalculs[Alerte plancher IKS],TblCalculs[Cluster],$B34)&amp;" mois)",IF(AND($A34="IKS",ISNUMBER($R34),$R34&lt;_xlfn.MAXIFS(TblApplications[Mois lib (calc)],TblApplications[Cluster IKS source],$B34)),"Fermeture avant la dernière libération",IF(AND($R34&lt;&gt;"",OR($A34&lt;&gt;"IKS",NOT(ISNUMBER($R34)))),"Fermeture : IKS uniquement, date attendue","OK"))))))))))))))))))</f>
        <v/>
      </c>
      <c r="R34" s="75"/>
      <c r="S34" s="39" t="str">
        <f aca="false">IF(OR($B34="",$A34&lt;&gt;"IKS"),"",IF(ISNUMBER($R34),DATE(YEAR($R34),MONTH($R34),1),IF(p_fermauto&lt;&gt;"Oui","",IF(COUNTIFS(TblApplications[Cluster IKS source],$B34,TblApplications[Action],"À migrer")+COUNTIFS(TblApplications[Cluster IKS source],$B34,TblApplications[Action],"À décommissionner")=0,"",IF(COUNTIFS(TblApplications[Cluster IKS source],$B34,TblApplications[Action],"À migrer",TblApplications[Mois lib (calc)],"")+COUNTIFS(TblApplications[Cluster IKS source],$B34,TblApplications[Action],"À décommissionner",TblApplications[Mois lib (calc)],"")&gt;0,"",_xlfn.MAXIFS(TblApplications[Mois lib (calc)],TblApplications[Cluster IKS source],$B34))))))</f>
        <v/>
      </c>
      <c r="T34" s="21" t="str">
        <f aca="false">IF(OR($B34="",COUNTIFS($E34,ca_envc)=0),"",COUNTIFS($B$6:$B34,"&lt;&gt;",$E$6:$E34,ca_envc))</f>
        <v/>
      </c>
      <c r="U34" s="21" t="str">
        <f aca="false">IF(OR($B34="",$A34&lt;&gt;"IKS",COUNTIFS($E34,ex_envc)=0),"",COUNTIFS($B$6:$B34,"&lt;&gt;",$A$6:$A34,"IKS",$E$6:$E34,ex_envc))</f>
        <v/>
      </c>
    </row>
    <row r="35" customFormat="false" ht="15" hidden="false" customHeight="false" outlineLevel="0" collapsed="false">
      <c r="A35" s="74"/>
      <c r="B35" s="74"/>
      <c r="C35" s="74"/>
      <c r="D35" s="74"/>
      <c r="E35" s="74"/>
      <c r="F35" s="74"/>
      <c r="G35" s="74"/>
      <c r="H35" s="21" t="str">
        <f aca="false">IF($F35="","",IFERROR(INDEX(TblABS[vCPU par nœud],MATCH($F35,TblABS[Flavor],0)),"?"))</f>
        <v/>
      </c>
      <c r="I35" s="21" t="str">
        <f aca="false">IF($F35="","",IFERROR(INDEX(TblABS[RAM par nœud (Go)],MATCH($F35,TblABS[Flavor],0)),"?"))</f>
        <v/>
      </c>
      <c r="J35" s="21" t="str">
        <f aca="false">IF(AND(ISNUMBER($G35),ISNUMBER($H35)),$G35*$H35,"")</f>
        <v/>
      </c>
      <c r="K35" s="21" t="str">
        <f aca="false">IF(AND(ISNUMBER($G35),ISNUMBER($I35)),$G35*$I35,"")</f>
        <v/>
      </c>
      <c r="L35" s="74"/>
      <c r="M35" s="21" t="str">
        <f aca="false">IF(AND(ISNUMBER($L35),ISNUMBER($H35)),$L35*$H35,"")</f>
        <v/>
      </c>
      <c r="N35" s="21" t="str">
        <f aca="false">IF(AND(ISNUMBER($L35),ISNUMBER($I35)),$L35*$I35,"")</f>
        <v/>
      </c>
      <c r="O35" s="77" t="str">
        <f aca="false">IF($F35="","",IFERROR(INDEX(TblABS[Tarif par nœud],MATCH($F35,TblABS[Flavor],0)),"?"))</f>
        <v/>
      </c>
      <c r="P35" s="74"/>
      <c r="Q35" s="21" t="str">
        <f aca="false">IF($B35="","",IF(OR($A35="",$E35="",$F35="",$G35="",$L35=""),"Données manquantes",IF(AND($A35&lt;&gt;"IKS",$A35&lt;&gt;"ROKS"),"Plateforme invalide",IF(AND($E35&lt;&gt;"PRD",$E35&lt;&gt;"NPRD"),"Environnement invalide",IF(OR(NOT(ISNUMBER($G35)),NOT(ISNUMBER($L35))),"Workers non numérique",IF(OR($G35&lt;0,$L35&lt;0),"Valeur négative",IF(OR($G35&lt;&gt;INT($G35),$L35&lt;&gt;INT($L35)),"Workers non entier",IF(NOT(ISNUMBER($H35)),"Flavor inconnu",IF(AND(p_mode="Nœud",OR(NOT(ISNUMBER($O35)),$O35&lt;=0)),"Tarif du flavor manquant ou invalide",IF(COUNTIF(TblClusters[Cluster],$B35)&gt;1,"Cluster en doublon",IF($L35&gt;$G35,"Plancher &gt; capacité initiale",IF(AND($A35="ROKS",$G35&gt;p_maxworkers),"Workers &gt; max ROKS",IF(AND($A35="IKS",(SUMIFS(TblApplications[CPU IKS libérable (vCPU)],TblApplications[Cluster IKS source],$B35,TblApplications[Action],"À migrer")+SUMIFS(TblApplications[CPU IKS libérable (vCPU)],TblApplications[Cluster IKS source],$B35,TblApplications[Action],"À décommissionner"))&gt;$J35-$M35),"Libérations CPU &gt; capacité libérable",IF(AND($A35="IKS",(SUMIFS(TblApplications[RAM IKS libérable (Go)],TblApplications[Cluster IKS source],$B35,TblApplications[Action],"À migrer")+SUMIFS(TblApplications[RAM IKS libérable (Go)],TblApplications[Cluster IKS source],$B35,TblApplications[Action],"À décommissionner"))&gt;$K35-$N35),"Libérations RAM &gt; capacité libérable",IF(SUMIFS(TblCalculs[Alerte max workers],TblCalculs[Cluster],$B35)&gt;0,"Max workers ROKS dépassé ("&amp;SUMIFS(TblCalculs[Alerte max workers],TblCalculs[Cluster],$B35)&amp;" mois) : flavor plus gros ou second cluster",IF(SUMIFS(TblCalculs[Alerte plancher IKS],TblCalculs[Cluster],$B35)&gt;0,"Plancher IKS atteint ("&amp;SUMIFS(TblCalculs[Alerte plancher IKS],TblCalculs[Cluster],$B35)&amp;" mois)",IF(AND($A35="IKS",ISNUMBER($R35),$R35&lt;_xlfn.MAXIFS(TblApplications[Mois lib (calc)],TblApplications[Cluster IKS source],$B35)),"Fermeture avant la dernière libération",IF(AND($R35&lt;&gt;"",OR($A35&lt;&gt;"IKS",NOT(ISNUMBER($R35)))),"Fermeture : IKS uniquement, date attendue","OK"))))))))))))))))))</f>
        <v/>
      </c>
      <c r="R35" s="75"/>
      <c r="S35" s="39" t="str">
        <f aca="false">IF(OR($B35="",$A35&lt;&gt;"IKS"),"",IF(ISNUMBER($R35),DATE(YEAR($R35),MONTH($R35),1),IF(p_fermauto&lt;&gt;"Oui","",IF(COUNTIFS(TblApplications[Cluster IKS source],$B35,TblApplications[Action],"À migrer")+COUNTIFS(TblApplications[Cluster IKS source],$B35,TblApplications[Action],"À décommissionner")=0,"",IF(COUNTIFS(TblApplications[Cluster IKS source],$B35,TblApplications[Action],"À migrer",TblApplications[Mois lib (calc)],"")+COUNTIFS(TblApplications[Cluster IKS source],$B35,TblApplications[Action],"À décommissionner",TblApplications[Mois lib (calc)],"")&gt;0,"",_xlfn.MAXIFS(TblApplications[Mois lib (calc)],TblApplications[Cluster IKS source],$B35))))))</f>
        <v/>
      </c>
      <c r="T35" s="21" t="str">
        <f aca="false">IF(OR($B35="",COUNTIFS($E35,ca_envc)=0),"",COUNTIFS($B$6:$B35,"&lt;&gt;",$E$6:$E35,ca_envc))</f>
        <v/>
      </c>
      <c r="U35" s="21" t="str">
        <f aca="false">IF(OR($B35="",$A35&lt;&gt;"IKS",COUNTIFS($E35,ex_envc)=0),"",COUNTIFS($B$6:$B35,"&lt;&gt;",$A$6:$A35,"IKS",$E$6:$E35,ex_envc))</f>
        <v/>
      </c>
    </row>
  </sheetData>
  <conditionalFormatting sqref="Q6:Q35">
    <cfRule type="expression" priority="2" aboveAverage="0" equalAverage="0" bottom="0" percent="0" rank="0" text="" dxfId="12">
      <formula>AND(Q6&lt;&gt;"",Q6&lt;&gt;"OK")</formula>
    </cfRule>
  </conditionalFormatting>
  <dataValidations count="6">
    <dataValidation allowBlank="true" error="Saisir un mois (date)" errorStyle="stop" errorTitle="Saisie invalide" operator="greaterThan" showDropDown="false" showErrorMessage="true" showInputMessage="false" sqref="R6:R35" type="date">
      <formula1>36526</formula1>
      <formula2>0</formula2>
    </dataValidation>
    <dataValidation allowBlank="true" error="Nombre entier de workers ≥ 0" errorStyle="stop" errorTitle="Saisie invalide" operator="greaterThanOrEqual" showDropDown="false" showErrorMessage="true" showInputMessage="false" sqref="G6:G35 L6:L35" type="whole">
      <formula1>0</formula1>
      <formula2>0</formula2>
    </dataValidation>
    <dataValidation allowBlank="true" error="Valeur non autorisée : choisir dans la liste ou respecter le format attendu." errorStyle="stop" errorTitle="Saisie invalide" operator="between" showDropDown="false" showErrorMessage="true" showInputMessage="false" sqref="E6:E35" type="list">
      <formula1>'Paramètres &amp; ABS'!$M$4:$M$5</formula1>
      <formula2>0</formula2>
    </dataValidation>
    <dataValidation allowBlank="true" error="Valeur non autorisée : choisir dans la liste ou respecter le format attendu." errorStyle="stop" errorTitle="Saisie invalide" operator="between" showDropDown="false" showErrorMessage="true" showInputMessage="false" sqref="A6:A35" type="list">
      <formula1>'Paramètres &amp; ABS'!$I$4:$I$5</formula1>
      <formula2>0</formula2>
    </dataValidation>
    <dataValidation allowBlank="true" error="Valeur non autorisée : choisir dans la liste ou respecter le format attendu." errorStyle="stop" errorTitle="Saisie invalide" operator="between" showDropDown="false" showErrorMessage="true" showInputMessage="false" sqref="F6:F35" type="list">
      <formula1>'Paramètres &amp; ABS'!$D$21:$D$60</formula1>
      <formula2>0</formula2>
    </dataValidation>
    <dataValidation allowBlank="true" error="Valeur non autorisée : choisir dans la liste ou respecter le format attendu." errorStyle="stop" errorTitle="Saisie invalide" operator="between" showDropDown="false" showErrorMessage="true" showInputMessage="false" sqref="P6:P35" type="list">
      <formula1>'Paramètres &amp; ABS'!$L$4:$L$6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58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1" min="10" style="0" width="20"/>
    <col collapsed="false" customWidth="true" hidden="false" outlineLevel="0" max="12" min="12" style="0" width="12"/>
    <col collapsed="false" customWidth="true" hidden="false" outlineLevel="0" max="13" min="13" style="0" width="20"/>
    <col collapsed="false" customWidth="true" hidden="false" outlineLevel="0" max="16" min="15" style="0" width="16"/>
  </cols>
  <sheetData>
    <row r="1" customFormat="false" ht="17.35" hidden="false" customHeight="false" outlineLevel="0" collapsed="false">
      <c r="A1" s="64" t="s">
        <v>309</v>
      </c>
    </row>
    <row r="2" customFormat="false" ht="15" hidden="false" customHeight="false" outlineLevel="0" collapsed="false">
      <c r="A2" s="2" t="s">
        <v>310</v>
      </c>
      <c r="F2" s="13" t="s">
        <v>227</v>
      </c>
      <c r="G2" s="74" t="s">
        <v>228</v>
      </c>
      <c r="H2" s="21" t="s">
        <v>229</v>
      </c>
    </row>
    <row r="3" customFormat="false" ht="19.5" hidden="false" customHeight="true" outlineLevel="0" collapsed="false">
      <c r="B3" s="20" t="s">
        <v>311</v>
      </c>
      <c r="C3" s="20" t="s">
        <v>109</v>
      </c>
      <c r="D3" s="20" t="s">
        <v>312</v>
      </c>
      <c r="E3" s="20" t="s">
        <v>250</v>
      </c>
      <c r="H3" s="38" t="s">
        <v>313</v>
      </c>
      <c r="I3" s="38" t="s">
        <v>314</v>
      </c>
      <c r="J3" s="38" t="s">
        <v>315</v>
      </c>
      <c r="K3" s="38" t="s">
        <v>316</v>
      </c>
      <c r="L3" s="38" t="s">
        <v>241</v>
      </c>
      <c r="M3" s="38" t="s">
        <v>317</v>
      </c>
      <c r="N3" s="38" t="s">
        <v>318</v>
      </c>
    </row>
    <row r="4" customFormat="false" ht="15" hidden="false" customHeight="false" outlineLevel="0" collapsed="false">
      <c r="B4" s="78" t="s">
        <v>319</v>
      </c>
      <c r="C4" s="75" t="n">
        <v>46296</v>
      </c>
      <c r="D4" s="70" t="s">
        <v>320</v>
      </c>
      <c r="E4" s="21" t="str">
        <f aca="false">IF(ISNUMBER(C4),"OK","Date invalide")</f>
        <v>OK</v>
      </c>
      <c r="H4" s="79" t="s">
        <v>321</v>
      </c>
      <c r="I4" s="79" t="s">
        <v>52</v>
      </c>
      <c r="J4" s="79" t="s">
        <v>322</v>
      </c>
      <c r="K4" s="79" t="s">
        <v>323</v>
      </c>
      <c r="L4" s="79" t="s">
        <v>324</v>
      </c>
      <c r="M4" s="79" t="s">
        <v>39</v>
      </c>
      <c r="N4" s="79" t="s">
        <v>36</v>
      </c>
    </row>
    <row r="5" customFormat="false" ht="15" hidden="false" customHeight="false" outlineLevel="0" collapsed="false">
      <c r="B5" s="78" t="s">
        <v>325</v>
      </c>
      <c r="C5" s="74" t="n">
        <v>36</v>
      </c>
      <c r="D5" s="70" t="s">
        <v>326</v>
      </c>
      <c r="E5" s="21" t="str">
        <f aca="false">IF(AND(ISNUMBER(C5),C5=INT(C5),C5&gt;=1,C5&lt;=36),"OK","Entier entre 1 et 36")</f>
        <v>OK</v>
      </c>
      <c r="H5" s="79" t="s">
        <v>264</v>
      </c>
      <c r="I5" s="79" t="s">
        <v>55</v>
      </c>
      <c r="J5" s="79" t="s">
        <v>327</v>
      </c>
      <c r="K5" s="79" t="s">
        <v>328</v>
      </c>
      <c r="L5" s="79" t="s">
        <v>268</v>
      </c>
      <c r="M5" s="79" t="s">
        <v>40</v>
      </c>
      <c r="N5" s="79" t="s">
        <v>29</v>
      </c>
    </row>
    <row r="6" customFormat="false" ht="15" hidden="false" customHeight="false" outlineLevel="0" collapsed="false">
      <c r="B6" s="78" t="s">
        <v>329</v>
      </c>
      <c r="C6" s="39" t="n">
        <f aca="false">EDATE(C4,C5-1)</f>
        <v>47362</v>
      </c>
      <c r="D6" s="70" t="s">
        <v>229</v>
      </c>
      <c r="K6" s="79" t="s">
        <v>330</v>
      </c>
      <c r="L6" s="79" t="s">
        <v>331</v>
      </c>
      <c r="N6" s="79" t="s">
        <v>30</v>
      </c>
    </row>
    <row r="7" customFormat="false" ht="15" hidden="false" customHeight="false" outlineLevel="0" collapsed="false">
      <c r="B7" s="78" t="s">
        <v>332</v>
      </c>
      <c r="C7" s="76" t="n">
        <v>0.2</v>
      </c>
      <c r="D7" s="70" t="s">
        <v>333</v>
      </c>
      <c r="E7" s="21" t="str">
        <f aca="false">IF(AND(ISNUMBER(C7),C7&gt;=0,C7&lt;=1),"OK","Marge entre 0 et 100 %")</f>
        <v>OK</v>
      </c>
      <c r="N7" s="79" t="s">
        <v>37</v>
      </c>
    </row>
    <row r="8" customFormat="false" ht="15" hidden="false" customHeight="false" outlineLevel="0" collapsed="false">
      <c r="B8" s="78" t="s">
        <v>334</v>
      </c>
      <c r="C8" s="76" t="n">
        <v>0.2</v>
      </c>
      <c r="D8" s="70" t="s">
        <v>333</v>
      </c>
      <c r="E8" s="21" t="str">
        <f aca="false">IF(AND(ISNUMBER(C8),C8&gt;=0,C8&lt;=1),"OK","Marge entre 0 et 100 %")</f>
        <v>OK</v>
      </c>
    </row>
    <row r="9" customFormat="false" ht="15" hidden="false" customHeight="false" outlineLevel="0" collapsed="false">
      <c r="B9" s="78" t="s">
        <v>335</v>
      </c>
      <c r="C9" s="74" t="s">
        <v>322</v>
      </c>
      <c r="D9" s="70" t="s">
        <v>336</v>
      </c>
      <c r="E9" s="21" t="str">
        <f aca="false">IF(OR(C9="Nœud",C9="Unitaire"),"OK","Mode invalide")</f>
        <v>OK</v>
      </c>
    </row>
    <row r="10" customFormat="false" ht="15" hidden="false" customHeight="false" outlineLevel="0" collapsed="false">
      <c r="B10" s="78" t="s">
        <v>337</v>
      </c>
      <c r="C10" s="74" t="s">
        <v>323</v>
      </c>
      <c r="D10" s="70" t="s">
        <v>338</v>
      </c>
      <c r="E10" s="21" t="str">
        <f aca="false">IF(OR(C10="Mensuel",C10="Annuel",C10="Horaire"),"OK","Périodicité invalide")</f>
        <v>OK</v>
      </c>
    </row>
    <row r="11" customFormat="false" ht="15" hidden="false" customHeight="false" outlineLevel="0" collapsed="false">
      <c r="B11" s="78" t="s">
        <v>339</v>
      </c>
      <c r="C11" s="21" t="n">
        <f aca="false">IF(C10="Mensuel",1,IF(C10="Annuel",1/12,730))</f>
        <v>1</v>
      </c>
      <c r="D11" s="70" t="s">
        <v>229</v>
      </c>
    </row>
    <row r="12" customFormat="false" ht="15" hidden="false" customHeight="false" outlineLevel="0" collapsed="false">
      <c r="B12" s="78" t="s">
        <v>340</v>
      </c>
      <c r="C12" s="80" t="n">
        <v>22</v>
      </c>
      <c r="D12" s="70" t="s">
        <v>341</v>
      </c>
      <c r="E12" s="21" t="str">
        <f aca="false">IF(C9="Nœud",IF(OR(C12="",AND(ISNUMBER(C12),C12&gt;=0)),"OK","Tarif invalide (≥ 0)"),IF(AND(ISNUMBER(C12),C12&gt;0),"OK","Tarif requis en mode Unitaire"))</f>
        <v>OK</v>
      </c>
    </row>
    <row r="13" customFormat="false" ht="15" hidden="false" customHeight="false" outlineLevel="0" collapsed="false">
      <c r="B13" s="78" t="s">
        <v>342</v>
      </c>
      <c r="C13" s="80" t="n">
        <v>2.8</v>
      </c>
      <c r="D13" s="70" t="s">
        <v>341</v>
      </c>
      <c r="E13" s="21" t="str">
        <f aca="false">IF(C9="Nœud",IF(OR(C13="",AND(ISNUMBER(C13),C13&gt;=0)),"OK","Tarif invalide (≥ 0)"),IF(AND(ISNUMBER(C13),C13&gt;0),"OK","Tarif requis en mode Unitaire"))</f>
        <v>OK</v>
      </c>
    </row>
    <row r="14" customFormat="false" ht="15" hidden="false" customHeight="false" outlineLevel="0" collapsed="false">
      <c r="B14" s="78" t="s">
        <v>343</v>
      </c>
      <c r="C14" s="80" t="n">
        <v>30</v>
      </c>
      <c r="D14" s="70" t="s">
        <v>341</v>
      </c>
      <c r="E14" s="21" t="str">
        <f aca="false">IF(C9="Nœud",IF(OR(C14="",AND(ISNUMBER(C14),C14&gt;=0)),"OK","Tarif invalide (≥ 0)"),IF(AND(ISNUMBER(C14),C14&gt;0),"OK","Tarif requis en mode Unitaire"))</f>
        <v>OK</v>
      </c>
    </row>
    <row r="15" customFormat="false" ht="15" hidden="false" customHeight="false" outlineLevel="0" collapsed="false">
      <c r="B15" s="78" t="s">
        <v>344</v>
      </c>
      <c r="C15" s="80" t="n">
        <v>3.2</v>
      </c>
      <c r="D15" s="70" t="s">
        <v>341</v>
      </c>
      <c r="E15" s="21" t="str">
        <f aca="false">IF(C9="Nœud",IF(OR(C15="",AND(ISNUMBER(C15),C15&gt;=0)),"OK","Tarif invalide (≥ 0)"),IF(AND(ISNUMBER(C15),C15&gt;0),"OK","Tarif requis en mode Unitaire"))</f>
        <v>OK</v>
      </c>
    </row>
    <row r="16" customFormat="false" ht="15" hidden="false" customHeight="false" outlineLevel="0" collapsed="false">
      <c r="B16" s="78" t="s">
        <v>345</v>
      </c>
      <c r="C16" s="74" t="n">
        <v>18</v>
      </c>
      <c r="D16" s="70" t="s">
        <v>346</v>
      </c>
      <c r="E16" s="21" t="str">
        <f aca="false">IF(AND(ISNUMBER(C16),C16=INT(C16),C16&gt;=1),"OK","Entier ≥ 1")</f>
        <v>OK</v>
      </c>
    </row>
    <row r="17" customFormat="false" ht="15" hidden="false" customHeight="false" outlineLevel="0" collapsed="false">
      <c r="B17" s="78" t="s">
        <v>347</v>
      </c>
      <c r="C17" s="74" t="n">
        <v>0.1</v>
      </c>
      <c r="D17" s="70" t="s">
        <v>348</v>
      </c>
      <c r="E17" s="21" t="str">
        <f aca="false">IF(AND(ISNUMBER(C17),C17&gt;=0),"OK","Poids ≥ 0")</f>
        <v>OK</v>
      </c>
    </row>
    <row r="18" customFormat="false" ht="15" hidden="false" customHeight="false" outlineLevel="0" collapsed="false">
      <c r="B18" s="78" t="s">
        <v>349</v>
      </c>
      <c r="C18" s="74" t="s">
        <v>321</v>
      </c>
      <c r="D18" s="70" t="s">
        <v>350</v>
      </c>
      <c r="E18" s="21" t="str">
        <f aca="false">IF(OR(C18="Oui",C18="Non"),"OK","Oui ou Non")</f>
        <v>OK</v>
      </c>
    </row>
    <row r="19" customFormat="false" ht="15" hidden="false" customHeight="false" outlineLevel="0" collapsed="false">
      <c r="B19" s="72" t="s">
        <v>351</v>
      </c>
      <c r="J19" s="72" t="s">
        <v>352</v>
      </c>
    </row>
    <row r="20" customFormat="false" ht="45" hidden="false" customHeight="true" outlineLevel="0" collapsed="false">
      <c r="B20" s="20" t="s">
        <v>353</v>
      </c>
      <c r="C20" s="20" t="s">
        <v>76</v>
      </c>
      <c r="D20" s="20" t="s">
        <v>77</v>
      </c>
      <c r="E20" s="20" t="s">
        <v>292</v>
      </c>
      <c r="F20" s="20" t="s">
        <v>293</v>
      </c>
      <c r="G20" s="20" t="s">
        <v>299</v>
      </c>
      <c r="H20" s="20" t="s">
        <v>354</v>
      </c>
      <c r="J20" s="20" t="s">
        <v>19</v>
      </c>
      <c r="K20" s="20" t="s">
        <v>355</v>
      </c>
      <c r="M20" s="20" t="s">
        <v>20</v>
      </c>
      <c r="O20" s="38" t="s">
        <v>356</v>
      </c>
      <c r="P20" s="38" t="s">
        <v>357</v>
      </c>
    </row>
    <row r="21" customFormat="false" ht="15" hidden="false" customHeight="false" outlineLevel="0" collapsed="false">
      <c r="B21" s="74" t="s">
        <v>358</v>
      </c>
      <c r="C21" s="74" t="s">
        <v>55</v>
      </c>
      <c r="D21" s="74" t="s">
        <v>359</v>
      </c>
      <c r="E21" s="74" t="n">
        <v>8</v>
      </c>
      <c r="F21" s="74" t="n">
        <v>20</v>
      </c>
      <c r="G21" s="81" t="n">
        <v>304</v>
      </c>
      <c r="H21" s="74" t="s">
        <v>268</v>
      </c>
      <c r="J21" s="74" t="s">
        <v>260</v>
      </c>
      <c r="K21" s="74" t="s">
        <v>259</v>
      </c>
      <c r="M21" s="74" t="s">
        <v>259</v>
      </c>
      <c r="O21" s="82" t="s">
        <v>10</v>
      </c>
      <c r="P21" s="82" t="s">
        <v>10</v>
      </c>
    </row>
    <row r="22" customFormat="false" ht="15" hidden="false" customHeight="false" outlineLevel="0" collapsed="false">
      <c r="B22" s="74" t="s">
        <v>358</v>
      </c>
      <c r="C22" s="74" t="s">
        <v>55</v>
      </c>
      <c r="D22" s="74" t="s">
        <v>360</v>
      </c>
      <c r="E22" s="74" t="n">
        <v>8</v>
      </c>
      <c r="F22" s="74" t="n">
        <v>40</v>
      </c>
      <c r="G22" s="81" t="n">
        <v>368</v>
      </c>
      <c r="H22" s="74" t="s">
        <v>268</v>
      </c>
      <c r="J22" s="74" t="s">
        <v>272</v>
      </c>
      <c r="K22" s="74" t="s">
        <v>259</v>
      </c>
      <c r="M22" s="74" t="s">
        <v>276</v>
      </c>
      <c r="O22" s="79" t="str">
        <f aca="false">IFERROR(IF(INDEX(TblDomaines[Domaine],1)="","",INDEX(TblDomaines[Domaine],1)),"")</f>
        <v>Distribution</v>
      </c>
      <c r="P22" s="79" t="str">
        <f aca="false">IFERROR(IF(INDEX(TblTribes[Tribe],1)="","",INDEX(TblTribes[Tribe],1)),"")</f>
        <v>Parcours client</v>
      </c>
    </row>
    <row r="23" customFormat="false" ht="15" hidden="false" customHeight="false" outlineLevel="0" collapsed="false">
      <c r="B23" s="74" t="s">
        <v>358</v>
      </c>
      <c r="C23" s="74" t="s">
        <v>55</v>
      </c>
      <c r="D23" s="74" t="s">
        <v>361</v>
      </c>
      <c r="E23" s="74" t="n">
        <v>16</v>
      </c>
      <c r="F23" s="74" t="n">
        <v>40</v>
      </c>
      <c r="G23" s="81" t="n">
        <v>608</v>
      </c>
      <c r="H23" s="74" t="s">
        <v>268</v>
      </c>
      <c r="J23" s="74" t="s">
        <v>277</v>
      </c>
      <c r="K23" s="74" t="s">
        <v>276</v>
      </c>
      <c r="M23" s="74"/>
      <c r="O23" s="79" t="str">
        <f aca="false">IFERROR(IF(INDEX(TblDomaines[Domaine],2)="","",INDEX(TblDomaines[Domaine],2)),"")</f>
        <v>Indemnisation</v>
      </c>
      <c r="P23" s="79" t="str">
        <f aca="false">IFERROR(IF(INDEX(TblTribes[Tribe],2)="","",INDEX(TblTribes[Tribe],2)),"")</f>
        <v>Tarification</v>
      </c>
    </row>
    <row r="24" customFormat="false" ht="15" hidden="false" customHeight="false" outlineLevel="0" collapsed="false">
      <c r="B24" s="74" t="s">
        <v>358</v>
      </c>
      <c r="C24" s="74" t="s">
        <v>55</v>
      </c>
      <c r="D24" s="74" t="s">
        <v>308</v>
      </c>
      <c r="E24" s="74" t="n">
        <v>16</v>
      </c>
      <c r="F24" s="74" t="n">
        <v>80</v>
      </c>
      <c r="G24" s="81" t="n">
        <v>736</v>
      </c>
      <c r="H24" s="74" t="s">
        <v>268</v>
      </c>
      <c r="J24" s="74"/>
      <c r="K24" s="74"/>
      <c r="M24" s="74"/>
      <c r="O24" s="79" t="str">
        <f aca="false">IFERROR(IF(INDEX(TblDomaines[Domaine],3)="","",INDEX(TblDomaines[Domaine],3)),"")</f>
        <v/>
      </c>
      <c r="P24" s="79" t="str">
        <f aca="false">IFERROR(IF(INDEX(TblTribes[Tribe],3)="","",INDEX(TblTribes[Tribe],3)),"")</f>
        <v>Sinistres</v>
      </c>
    </row>
    <row r="25" customFormat="false" ht="15" hidden="false" customHeight="false" outlineLevel="0" collapsed="false">
      <c r="B25" s="74" t="s">
        <v>358</v>
      </c>
      <c r="C25" s="74" t="s">
        <v>55</v>
      </c>
      <c r="D25" s="74" t="s">
        <v>362</v>
      </c>
      <c r="E25" s="74" t="n">
        <v>24</v>
      </c>
      <c r="F25" s="74" t="n">
        <v>240</v>
      </c>
      <c r="G25" s="81" t="n">
        <v>1488</v>
      </c>
      <c r="H25" s="74" t="s">
        <v>268</v>
      </c>
      <c r="J25" s="74"/>
      <c r="K25" s="74"/>
      <c r="M25" s="74"/>
      <c r="O25" s="79" t="str">
        <f aca="false">IFERROR(IF(INDEX(TblDomaines[Domaine],4)="","",INDEX(TblDomaines[Domaine],4)),"")</f>
        <v/>
      </c>
      <c r="P25" s="79" t="str">
        <f aca="false">IFERROR(IF(INDEX(TblTribes[Tribe],4)="","",INDEX(TblTribes[Tribe],4)),"")</f>
        <v/>
      </c>
    </row>
    <row r="26" customFormat="false" ht="15" hidden="false" customHeight="false" outlineLevel="0" collapsed="false">
      <c r="B26" s="74" t="s">
        <v>358</v>
      </c>
      <c r="C26" s="74" t="s">
        <v>55</v>
      </c>
      <c r="D26" s="74" t="s">
        <v>363</v>
      </c>
      <c r="E26" s="74" t="n">
        <v>32</v>
      </c>
      <c r="F26" s="74" t="n">
        <v>80</v>
      </c>
      <c r="G26" s="81" t="n">
        <v>1216</v>
      </c>
      <c r="H26" s="74" t="s">
        <v>268</v>
      </c>
      <c r="J26" s="74"/>
      <c r="K26" s="74"/>
      <c r="M26" s="74"/>
      <c r="O26" s="79" t="str">
        <f aca="false">IFERROR(IF(INDEX(TblDomaines[Domaine],5)="","",INDEX(TblDomaines[Domaine],5)),"")</f>
        <v/>
      </c>
      <c r="P26" s="79" t="str">
        <f aca="false">IFERROR(IF(INDEX(TblTribes[Tribe],5)="","",INDEX(TblTribes[Tribe],5)),"")</f>
        <v/>
      </c>
    </row>
    <row r="27" customFormat="false" ht="15" hidden="false" customHeight="false" outlineLevel="0" collapsed="false">
      <c r="B27" s="74" t="s">
        <v>358</v>
      </c>
      <c r="C27" s="74" t="s">
        <v>55</v>
      </c>
      <c r="D27" s="74" t="s">
        <v>307</v>
      </c>
      <c r="E27" s="74" t="n">
        <v>32</v>
      </c>
      <c r="F27" s="74" t="n">
        <v>160</v>
      </c>
      <c r="G27" s="81" t="n">
        <v>1472</v>
      </c>
      <c r="H27" s="74" t="s">
        <v>268</v>
      </c>
      <c r="J27" s="74"/>
      <c r="K27" s="74"/>
      <c r="M27" s="74"/>
      <c r="O27" s="79" t="str">
        <f aca="false">IFERROR(IF(INDEX(TblDomaines[Domaine],6)="","",INDEX(TblDomaines[Domaine],6)),"")</f>
        <v/>
      </c>
      <c r="P27" s="79" t="str">
        <f aca="false">IFERROR(IF(INDEX(TblTribes[Tribe],6)="","",INDEX(TblTribes[Tribe],6)),"")</f>
        <v/>
      </c>
    </row>
    <row r="28" customFormat="false" ht="15" hidden="false" customHeight="false" outlineLevel="0" collapsed="false">
      <c r="B28" s="74" t="s">
        <v>358</v>
      </c>
      <c r="C28" s="74" t="s">
        <v>55</v>
      </c>
      <c r="D28" s="74" t="s">
        <v>364</v>
      </c>
      <c r="E28" s="74" t="n">
        <v>32</v>
      </c>
      <c r="F28" s="74" t="n">
        <v>320</v>
      </c>
      <c r="G28" s="81" t="n">
        <v>1984</v>
      </c>
      <c r="H28" s="74" t="s">
        <v>268</v>
      </c>
      <c r="J28" s="74"/>
      <c r="K28" s="74"/>
      <c r="M28" s="74"/>
      <c r="O28" s="79" t="str">
        <f aca="false">IFERROR(IF(INDEX(TblDomaines[Domaine],7)="","",INDEX(TblDomaines[Domaine],7)),"")</f>
        <v/>
      </c>
      <c r="P28" s="79" t="str">
        <f aca="false">IFERROR(IF(INDEX(TblTribes[Tribe],7)="","",INDEX(TblTribes[Tribe],7)),"")</f>
        <v/>
      </c>
    </row>
    <row r="29" customFormat="false" ht="15" hidden="false" customHeight="false" outlineLevel="0" collapsed="false">
      <c r="B29" s="74" t="s">
        <v>358</v>
      </c>
      <c r="C29" s="74" t="s">
        <v>55</v>
      </c>
      <c r="D29" s="74" t="s">
        <v>365</v>
      </c>
      <c r="E29" s="74" t="n">
        <v>48</v>
      </c>
      <c r="F29" s="74" t="n">
        <v>240</v>
      </c>
      <c r="G29" s="81" t="n">
        <v>2208</v>
      </c>
      <c r="H29" s="74" t="s">
        <v>268</v>
      </c>
      <c r="J29" s="74"/>
      <c r="K29" s="74"/>
      <c r="M29" s="74"/>
      <c r="O29" s="79" t="str">
        <f aca="false">IFERROR(IF(INDEX(TblDomaines[Domaine],8)="","",INDEX(TblDomaines[Domaine],8)),"")</f>
        <v/>
      </c>
      <c r="P29" s="79" t="str">
        <f aca="false">IFERROR(IF(INDEX(TblTribes[Tribe],8)="","",INDEX(TblTribes[Tribe],8)),"")</f>
        <v/>
      </c>
    </row>
    <row r="30" customFormat="false" ht="15" hidden="false" customHeight="false" outlineLevel="0" collapsed="false">
      <c r="B30" s="74" t="s">
        <v>358</v>
      </c>
      <c r="C30" s="74" t="s">
        <v>55</v>
      </c>
      <c r="D30" s="74" t="s">
        <v>366</v>
      </c>
      <c r="E30" s="74" t="n">
        <v>96</v>
      </c>
      <c r="F30" s="74" t="n">
        <v>240</v>
      </c>
      <c r="G30" s="81" t="n">
        <v>3648</v>
      </c>
      <c r="H30" s="74" t="s">
        <v>268</v>
      </c>
      <c r="J30" s="74"/>
      <c r="K30" s="74"/>
      <c r="M30" s="74"/>
      <c r="O30" s="79" t="str">
        <f aca="false">IFERROR(IF(INDEX(TblDomaines[Domaine],9)="","",INDEX(TblDomaines[Domaine],9)),"")</f>
        <v/>
      </c>
      <c r="P30" s="79" t="str">
        <f aca="false">IFERROR(IF(INDEX(TblTribes[Tribe],9)="","",INDEX(TblTribes[Tribe],9)),"")</f>
        <v/>
      </c>
    </row>
    <row r="31" customFormat="false" ht="15" hidden="false" customHeight="false" outlineLevel="0" collapsed="false">
      <c r="B31" s="74" t="s">
        <v>367</v>
      </c>
      <c r="C31" s="74" t="s">
        <v>52</v>
      </c>
      <c r="D31" s="74" t="s">
        <v>368</v>
      </c>
      <c r="E31" s="74" t="n">
        <v>4</v>
      </c>
      <c r="F31" s="74" t="n">
        <v>16</v>
      </c>
      <c r="G31" s="81" t="n">
        <v>133</v>
      </c>
      <c r="H31" s="74" t="s">
        <v>268</v>
      </c>
      <c r="J31" s="74"/>
      <c r="K31" s="74"/>
      <c r="M31" s="74"/>
      <c r="O31" s="79" t="str">
        <f aca="false">IFERROR(IF(INDEX(TblDomaines[Domaine],10)="","",INDEX(TblDomaines[Domaine],10)),"")</f>
        <v/>
      </c>
      <c r="P31" s="79" t="str">
        <f aca="false">IFERROR(IF(INDEX(TblTribes[Tribe],10)="","",INDEX(TblTribes[Tribe],10)),"")</f>
        <v/>
      </c>
    </row>
    <row r="32" customFormat="false" ht="15" hidden="false" customHeight="false" outlineLevel="0" collapsed="false">
      <c r="B32" s="74" t="s">
        <v>367</v>
      </c>
      <c r="C32" s="74" t="s">
        <v>52</v>
      </c>
      <c r="D32" s="74" t="s">
        <v>369</v>
      </c>
      <c r="E32" s="74" t="n">
        <v>4</v>
      </c>
      <c r="F32" s="74" t="n">
        <v>32</v>
      </c>
      <c r="G32" s="81" t="n">
        <v>178</v>
      </c>
      <c r="H32" s="74" t="s">
        <v>268</v>
      </c>
      <c r="J32" s="74"/>
      <c r="K32" s="74"/>
      <c r="M32" s="74"/>
      <c r="O32" s="79" t="str">
        <f aca="false">IFERROR(IF(INDEX(TblDomaines[Domaine],11)="","",INDEX(TblDomaines[Domaine],11)),"")</f>
        <v/>
      </c>
      <c r="P32" s="79" t="str">
        <f aca="false">IFERROR(IF(INDEX(TblTribes[Tribe],11)="","",INDEX(TblTribes[Tribe],11)),"")</f>
        <v/>
      </c>
    </row>
    <row r="33" customFormat="false" ht="15" hidden="false" customHeight="false" outlineLevel="0" collapsed="false">
      <c r="B33" s="74" t="s">
        <v>367</v>
      </c>
      <c r="C33" s="74" t="s">
        <v>52</v>
      </c>
      <c r="D33" s="74" t="s">
        <v>370</v>
      </c>
      <c r="E33" s="74" t="n">
        <v>8</v>
      </c>
      <c r="F33" s="74" t="n">
        <v>16</v>
      </c>
      <c r="G33" s="81" t="n">
        <v>221</v>
      </c>
      <c r="H33" s="74" t="s">
        <v>268</v>
      </c>
      <c r="J33" s="74"/>
      <c r="K33" s="74"/>
      <c r="M33" s="74"/>
      <c r="O33" s="79" t="str">
        <f aca="false">IFERROR(IF(INDEX(TblDomaines[Domaine],12)="","",INDEX(TblDomaines[Domaine],12)),"")</f>
        <v/>
      </c>
      <c r="P33" s="79" t="str">
        <f aca="false">IFERROR(IF(INDEX(TblTribes[Tribe],12)="","",INDEX(TblTribes[Tribe],12)),"")</f>
        <v/>
      </c>
    </row>
    <row r="34" customFormat="false" ht="15" hidden="false" customHeight="false" outlineLevel="0" collapsed="false">
      <c r="B34" s="74" t="s">
        <v>367</v>
      </c>
      <c r="C34" s="74" t="s">
        <v>52</v>
      </c>
      <c r="D34" s="74" t="s">
        <v>371</v>
      </c>
      <c r="E34" s="74" t="n">
        <v>8</v>
      </c>
      <c r="F34" s="74" t="n">
        <v>32</v>
      </c>
      <c r="G34" s="81" t="n">
        <v>266</v>
      </c>
      <c r="H34" s="74" t="s">
        <v>268</v>
      </c>
      <c r="J34" s="74"/>
      <c r="K34" s="74"/>
      <c r="M34" s="74"/>
      <c r="O34" s="79" t="str">
        <f aca="false">IFERROR(IF(INDEX(TblDomaines[Domaine],13)="","",INDEX(TblDomaines[Domaine],13)),"")</f>
        <v/>
      </c>
      <c r="P34" s="79" t="str">
        <f aca="false">IFERROR(IF(INDEX(TblTribes[Tribe],13)="","",INDEX(TblTribes[Tribe],13)),"")</f>
        <v/>
      </c>
    </row>
    <row r="35" customFormat="false" ht="15" hidden="false" customHeight="false" outlineLevel="0" collapsed="false">
      <c r="B35" s="74" t="s">
        <v>367</v>
      </c>
      <c r="C35" s="74" t="s">
        <v>52</v>
      </c>
      <c r="D35" s="74" t="s">
        <v>372</v>
      </c>
      <c r="E35" s="74" t="n">
        <v>8</v>
      </c>
      <c r="F35" s="74" t="n">
        <v>64</v>
      </c>
      <c r="G35" s="81" t="n">
        <v>355</v>
      </c>
      <c r="H35" s="74" t="s">
        <v>268</v>
      </c>
      <c r="J35" s="74"/>
      <c r="K35" s="74"/>
      <c r="M35" s="74"/>
      <c r="O35" s="79" t="str">
        <f aca="false">IFERROR(IF(INDEX(TblDomaines[Domaine],14)="","",INDEX(TblDomaines[Domaine],14)),"")</f>
        <v/>
      </c>
      <c r="P35" s="79" t="str">
        <f aca="false">IFERROR(IF(INDEX(TblTribes[Tribe],14)="","",INDEX(TblTribes[Tribe],14)),"")</f>
        <v/>
      </c>
    </row>
    <row r="36" customFormat="false" ht="15" hidden="false" customHeight="false" outlineLevel="0" collapsed="false">
      <c r="B36" s="74" t="s">
        <v>367</v>
      </c>
      <c r="C36" s="74" t="s">
        <v>52</v>
      </c>
      <c r="D36" s="74" t="s">
        <v>373</v>
      </c>
      <c r="E36" s="74" t="n">
        <v>16</v>
      </c>
      <c r="F36" s="74" t="n">
        <v>32</v>
      </c>
      <c r="G36" s="81" t="n">
        <v>442</v>
      </c>
      <c r="H36" s="74" t="s">
        <v>268</v>
      </c>
      <c r="J36" s="74"/>
      <c r="K36" s="74"/>
      <c r="M36" s="74"/>
      <c r="O36" s="79" t="str">
        <f aca="false">IFERROR(IF(INDEX(TblDomaines[Domaine],15)="","",INDEX(TblDomaines[Domaine],15)),"")</f>
        <v/>
      </c>
      <c r="P36" s="79" t="str">
        <f aca="false">IFERROR(IF(INDEX(TblTribes[Tribe],15)="","",INDEX(TblTribes[Tribe],15)),"")</f>
        <v/>
      </c>
    </row>
    <row r="37" customFormat="false" ht="15" hidden="false" customHeight="false" outlineLevel="0" collapsed="false">
      <c r="B37" s="74" t="s">
        <v>367</v>
      </c>
      <c r="C37" s="74" t="s">
        <v>52</v>
      </c>
      <c r="D37" s="74" t="s">
        <v>305</v>
      </c>
      <c r="E37" s="74" t="n">
        <v>16</v>
      </c>
      <c r="F37" s="74" t="n">
        <v>64</v>
      </c>
      <c r="G37" s="81" t="n">
        <v>531</v>
      </c>
      <c r="H37" s="74" t="s">
        <v>268</v>
      </c>
      <c r="J37" s="74"/>
      <c r="K37" s="74"/>
      <c r="M37" s="74"/>
      <c r="O37" s="79" t="str">
        <f aca="false">IFERROR(IF(INDEX(TblDomaines[Domaine],16)="","",INDEX(TblDomaines[Domaine],16)),"")</f>
        <v/>
      </c>
      <c r="P37" s="79" t="str">
        <f aca="false">IFERROR(IF(INDEX(TblTribes[Tribe],16)="","",INDEX(TblTribes[Tribe],16)),"")</f>
        <v/>
      </c>
    </row>
    <row r="38" customFormat="false" ht="15" hidden="false" customHeight="false" outlineLevel="0" collapsed="false">
      <c r="B38" s="74" t="s">
        <v>367</v>
      </c>
      <c r="C38" s="74" t="s">
        <v>52</v>
      </c>
      <c r="D38" s="74" t="s">
        <v>374</v>
      </c>
      <c r="E38" s="74" t="n">
        <v>16</v>
      </c>
      <c r="F38" s="74" t="n">
        <v>128</v>
      </c>
      <c r="G38" s="81" t="n">
        <v>710</v>
      </c>
      <c r="H38" s="74" t="s">
        <v>268</v>
      </c>
      <c r="J38" s="74"/>
      <c r="K38" s="74"/>
      <c r="M38" s="74"/>
      <c r="O38" s="79" t="str">
        <f aca="false">IFERROR(IF(INDEX(TblDomaines[Domaine],17)="","",INDEX(TblDomaines[Domaine],17)),"")</f>
        <v/>
      </c>
      <c r="P38" s="79" t="str">
        <f aca="false">IFERROR(IF(INDEX(TblTribes[Tribe],17)="","",INDEX(TblTribes[Tribe],17)),"")</f>
        <v/>
      </c>
    </row>
    <row r="39" customFormat="false" ht="15" hidden="false" customHeight="false" outlineLevel="0" collapsed="false">
      <c r="B39" s="74" t="s">
        <v>367</v>
      </c>
      <c r="C39" s="74" t="s">
        <v>52</v>
      </c>
      <c r="D39" s="74" t="s">
        <v>375</v>
      </c>
      <c r="E39" s="74" t="n">
        <v>32</v>
      </c>
      <c r="F39" s="74" t="n">
        <v>64</v>
      </c>
      <c r="G39" s="81" t="n">
        <v>883</v>
      </c>
      <c r="H39" s="74" t="s">
        <v>268</v>
      </c>
      <c r="J39" s="74"/>
      <c r="K39" s="74"/>
      <c r="M39" s="74"/>
      <c r="O39" s="79" t="str">
        <f aca="false">IFERROR(IF(INDEX(TblDomaines[Domaine],18)="","",INDEX(TblDomaines[Domaine],18)),"")</f>
        <v/>
      </c>
      <c r="P39" s="79" t="str">
        <f aca="false">IFERROR(IF(INDEX(TblTribes[Tribe],18)="","",INDEX(TblTribes[Tribe],18)),"")</f>
        <v/>
      </c>
    </row>
    <row r="40" customFormat="false" ht="15" hidden="false" customHeight="false" outlineLevel="0" collapsed="false">
      <c r="B40" s="74" t="s">
        <v>367</v>
      </c>
      <c r="C40" s="74" t="s">
        <v>52</v>
      </c>
      <c r="D40" s="74" t="s">
        <v>304</v>
      </c>
      <c r="E40" s="74" t="n">
        <v>32</v>
      </c>
      <c r="F40" s="74" t="n">
        <v>128</v>
      </c>
      <c r="G40" s="81" t="n">
        <v>1062</v>
      </c>
      <c r="H40" s="74" t="s">
        <v>268</v>
      </c>
      <c r="J40" s="74"/>
      <c r="K40" s="74"/>
      <c r="M40" s="74"/>
      <c r="O40" s="79" t="str">
        <f aca="false">IFERROR(IF(INDEX(TblDomaines[Domaine],19)="","",INDEX(TblDomaines[Domaine],19)),"")</f>
        <v/>
      </c>
      <c r="P40" s="79" t="str">
        <f aca="false">IFERROR(IF(INDEX(TblTribes[Tribe],19)="","",INDEX(TblTribes[Tribe],19)),"")</f>
        <v/>
      </c>
    </row>
    <row r="41" customFormat="false" ht="15" hidden="false" customHeight="false" outlineLevel="0" collapsed="false">
      <c r="B41" s="74" t="s">
        <v>367</v>
      </c>
      <c r="C41" s="74" t="s">
        <v>52</v>
      </c>
      <c r="D41" s="74" t="s">
        <v>376</v>
      </c>
      <c r="E41" s="74" t="n">
        <v>32</v>
      </c>
      <c r="F41" s="74" t="n">
        <v>256</v>
      </c>
      <c r="G41" s="81" t="n">
        <v>1421</v>
      </c>
      <c r="H41" s="74" t="s">
        <v>268</v>
      </c>
      <c r="J41" s="74"/>
      <c r="K41" s="74"/>
      <c r="O41" s="79" t="str">
        <f aca="false">IFERROR(IF(INDEX(TblDomaines[Domaine],20)="","",INDEX(TblDomaines[Domaine],20)),"")</f>
        <v/>
      </c>
      <c r="P41" s="79" t="str">
        <f aca="false">IFERROR(IF(INDEX(TblTribes[Tribe],20)="","",INDEX(TblTribes[Tribe],20)),"")</f>
        <v/>
      </c>
    </row>
    <row r="42" customFormat="false" ht="15" hidden="false" customHeight="false" outlineLevel="0" collapsed="false">
      <c r="B42" s="74" t="s">
        <v>367</v>
      </c>
      <c r="C42" s="74" t="s">
        <v>52</v>
      </c>
      <c r="D42" s="74" t="s">
        <v>377</v>
      </c>
      <c r="E42" s="74" t="n">
        <v>48</v>
      </c>
      <c r="F42" s="74" t="n">
        <v>96</v>
      </c>
      <c r="G42" s="81" t="n">
        <v>1325</v>
      </c>
      <c r="H42" s="74" t="s">
        <v>268</v>
      </c>
      <c r="J42" s="74"/>
      <c r="K42" s="74"/>
      <c r="P42" s="79" t="str">
        <f aca="false">IFERROR(IF(INDEX(TblTribes[Tribe],21)="","",INDEX(TblTribes[Tribe],21)),"")</f>
        <v/>
      </c>
    </row>
    <row r="43" customFormat="false" ht="15" hidden="false" customHeight="false" outlineLevel="0" collapsed="false">
      <c r="B43" s="74" t="s">
        <v>367</v>
      </c>
      <c r="C43" s="74" t="s">
        <v>52</v>
      </c>
      <c r="D43" s="74" t="s">
        <v>378</v>
      </c>
      <c r="E43" s="74" t="n">
        <v>48</v>
      </c>
      <c r="F43" s="74" t="n">
        <v>192</v>
      </c>
      <c r="G43" s="81" t="n">
        <v>1594</v>
      </c>
      <c r="H43" s="74" t="s">
        <v>268</v>
      </c>
      <c r="J43" s="74"/>
      <c r="K43" s="74"/>
      <c r="P43" s="79" t="str">
        <f aca="false">IFERROR(IF(INDEX(TblTribes[Tribe],22)="","",INDEX(TblTribes[Tribe],22)),"")</f>
        <v/>
      </c>
    </row>
    <row r="44" customFormat="false" ht="15" hidden="false" customHeight="false" outlineLevel="0" collapsed="false">
      <c r="B44" s="74" t="s">
        <v>367</v>
      </c>
      <c r="C44" s="74" t="s">
        <v>52</v>
      </c>
      <c r="D44" s="74" t="s">
        <v>379</v>
      </c>
      <c r="E44" s="74" t="n">
        <v>48</v>
      </c>
      <c r="F44" s="74" t="n">
        <v>384</v>
      </c>
      <c r="G44" s="81" t="n">
        <v>2131</v>
      </c>
      <c r="H44" s="74" t="s">
        <v>268</v>
      </c>
      <c r="J44" s="74"/>
      <c r="K44" s="74"/>
      <c r="P44" s="79" t="str">
        <f aca="false">IFERROR(IF(INDEX(TblTribes[Tribe],23)="","",INDEX(TblTribes[Tribe],23)),"")</f>
        <v/>
      </c>
    </row>
    <row r="45" customFormat="false" ht="15" hidden="false" customHeight="false" outlineLevel="0" collapsed="false">
      <c r="B45" s="74" t="s">
        <v>367</v>
      </c>
      <c r="C45" s="74" t="s">
        <v>52</v>
      </c>
      <c r="D45" s="74" t="s">
        <v>380</v>
      </c>
      <c r="E45" s="74" t="n">
        <v>64</v>
      </c>
      <c r="F45" s="74" t="n">
        <v>512</v>
      </c>
      <c r="G45" s="81" t="n">
        <v>2842</v>
      </c>
      <c r="H45" s="74" t="s">
        <v>268</v>
      </c>
      <c r="J45" s="74"/>
      <c r="K45" s="74"/>
      <c r="P45" s="79" t="str">
        <f aca="false">IFERROR(IF(INDEX(TblTribes[Tribe],24)="","",INDEX(TblTribes[Tribe],24)),"")</f>
        <v/>
      </c>
    </row>
    <row r="46" customFormat="false" ht="15" hidden="false" customHeight="false" outlineLevel="0" collapsed="false">
      <c r="B46" s="74" t="s">
        <v>367</v>
      </c>
      <c r="C46" s="74" t="s">
        <v>52</v>
      </c>
      <c r="D46" s="74" t="s">
        <v>381</v>
      </c>
      <c r="E46" s="74" t="n">
        <v>128</v>
      </c>
      <c r="F46" s="74" t="n">
        <v>1024</v>
      </c>
      <c r="G46" s="81" t="n">
        <v>5683</v>
      </c>
      <c r="H46" s="74" t="s">
        <v>268</v>
      </c>
      <c r="J46" s="74"/>
      <c r="K46" s="74"/>
      <c r="P46" s="79" t="str">
        <f aca="false">IFERROR(IF(INDEX(TblTribes[Tribe],25)="","",INDEX(TblTribes[Tribe],25)),"")</f>
        <v/>
      </c>
    </row>
    <row r="47" customFormat="false" ht="15" hidden="false" customHeight="false" outlineLevel="0" collapsed="false">
      <c r="B47" s="74"/>
      <c r="C47" s="74"/>
      <c r="D47" s="74"/>
      <c r="E47" s="74"/>
      <c r="F47" s="74"/>
      <c r="G47" s="81"/>
      <c r="H47" s="74"/>
      <c r="J47" s="74"/>
      <c r="K47" s="74"/>
      <c r="P47" s="79" t="str">
        <f aca="false">IFERROR(IF(INDEX(TblTribes[Tribe],26)="","",INDEX(TblTribes[Tribe],26)),"")</f>
        <v/>
      </c>
    </row>
    <row r="48" customFormat="false" ht="15" hidden="false" customHeight="false" outlineLevel="0" collapsed="false">
      <c r="B48" s="74"/>
      <c r="C48" s="74"/>
      <c r="D48" s="74"/>
      <c r="E48" s="74"/>
      <c r="F48" s="74"/>
      <c r="G48" s="81"/>
      <c r="H48" s="74"/>
      <c r="J48" s="74"/>
      <c r="K48" s="74"/>
      <c r="P48" s="79" t="str">
        <f aca="false">IFERROR(IF(INDEX(TblTribes[Tribe],27)="","",INDEX(TblTribes[Tribe],27)),"")</f>
        <v/>
      </c>
    </row>
    <row r="49" customFormat="false" ht="15" hidden="false" customHeight="false" outlineLevel="0" collapsed="false">
      <c r="B49" s="74"/>
      <c r="C49" s="74"/>
      <c r="D49" s="74"/>
      <c r="E49" s="74"/>
      <c r="F49" s="74"/>
      <c r="G49" s="81"/>
      <c r="H49" s="74"/>
      <c r="J49" s="74"/>
      <c r="K49" s="74"/>
      <c r="P49" s="79" t="str">
        <f aca="false">IFERROR(IF(INDEX(TblTribes[Tribe],28)="","",INDEX(TblTribes[Tribe],28)),"")</f>
        <v/>
      </c>
    </row>
    <row r="50" customFormat="false" ht="15" hidden="false" customHeight="false" outlineLevel="0" collapsed="false">
      <c r="B50" s="74"/>
      <c r="C50" s="74"/>
      <c r="D50" s="74"/>
      <c r="E50" s="74"/>
      <c r="F50" s="74"/>
      <c r="G50" s="81"/>
      <c r="H50" s="74"/>
      <c r="J50" s="74"/>
      <c r="K50" s="74"/>
      <c r="P50" s="79" t="str">
        <f aca="false">IFERROR(IF(INDEX(TblTribes[Tribe],29)="","",INDEX(TblTribes[Tribe],29)),"")</f>
        <v/>
      </c>
    </row>
    <row r="51" customFormat="false" ht="15" hidden="false" customHeight="false" outlineLevel="0" collapsed="false">
      <c r="B51" s="74"/>
      <c r="C51" s="74"/>
      <c r="D51" s="74"/>
      <c r="E51" s="74"/>
      <c r="F51" s="74"/>
      <c r="G51" s="81"/>
      <c r="H51" s="74"/>
      <c r="J51" s="74"/>
      <c r="K51" s="74"/>
      <c r="P51" s="79" t="str">
        <f aca="false">IFERROR(IF(INDEX(TblTribes[Tribe],30)="","",INDEX(TblTribes[Tribe],30)),"")</f>
        <v/>
      </c>
    </row>
    <row r="52" customFormat="false" ht="15" hidden="false" customHeight="false" outlineLevel="0" collapsed="false">
      <c r="B52" s="74"/>
      <c r="C52" s="74"/>
      <c r="D52" s="74"/>
      <c r="E52" s="74"/>
      <c r="F52" s="74"/>
      <c r="G52" s="81"/>
      <c r="H52" s="74"/>
      <c r="J52" s="74"/>
      <c r="K52" s="74"/>
      <c r="P52" s="79" t="str">
        <f aca="false">IFERROR(IF(INDEX(TblTribes[Tribe],31)="","",INDEX(TblTribes[Tribe],31)),"")</f>
        <v/>
      </c>
    </row>
    <row r="53" customFormat="false" ht="15" hidden="false" customHeight="false" outlineLevel="0" collapsed="false">
      <c r="B53" s="74"/>
      <c r="C53" s="74"/>
      <c r="D53" s="74"/>
      <c r="E53" s="74"/>
      <c r="F53" s="74"/>
      <c r="G53" s="81"/>
      <c r="H53" s="74"/>
      <c r="J53" s="74"/>
      <c r="K53" s="74"/>
      <c r="P53" s="79" t="str">
        <f aca="false">IFERROR(IF(INDEX(TblTribes[Tribe],32)="","",INDEX(TblTribes[Tribe],32)),"")</f>
        <v/>
      </c>
    </row>
    <row r="54" customFormat="false" ht="15" hidden="false" customHeight="false" outlineLevel="0" collapsed="false">
      <c r="B54" s="74"/>
      <c r="C54" s="74"/>
      <c r="D54" s="74"/>
      <c r="E54" s="74"/>
      <c r="F54" s="74"/>
      <c r="G54" s="81"/>
      <c r="H54" s="74"/>
      <c r="J54" s="74"/>
      <c r="K54" s="74"/>
      <c r="P54" s="79" t="str">
        <f aca="false">IFERROR(IF(INDEX(TblTribes[Tribe],33)="","",INDEX(TblTribes[Tribe],33)),"")</f>
        <v/>
      </c>
    </row>
    <row r="55" customFormat="false" ht="15" hidden="false" customHeight="false" outlineLevel="0" collapsed="false">
      <c r="B55" s="74"/>
      <c r="C55" s="74"/>
      <c r="D55" s="74"/>
      <c r="E55" s="74"/>
      <c r="F55" s="74"/>
      <c r="G55" s="81"/>
      <c r="H55" s="74"/>
      <c r="J55" s="74"/>
      <c r="K55" s="74"/>
      <c r="P55" s="79" t="str">
        <f aca="false">IFERROR(IF(INDEX(TblTribes[Tribe],34)="","",INDEX(TblTribes[Tribe],34)),"")</f>
        <v/>
      </c>
    </row>
    <row r="56" customFormat="false" ht="15" hidden="false" customHeight="false" outlineLevel="0" collapsed="false">
      <c r="B56" s="74"/>
      <c r="C56" s="74"/>
      <c r="D56" s="74"/>
      <c r="E56" s="74"/>
      <c r="F56" s="74"/>
      <c r="G56" s="81"/>
      <c r="H56" s="74"/>
      <c r="J56" s="74"/>
      <c r="K56" s="74"/>
      <c r="P56" s="79" t="str">
        <f aca="false">IFERROR(IF(INDEX(TblTribes[Tribe],35)="","",INDEX(TblTribes[Tribe],35)),"")</f>
        <v/>
      </c>
    </row>
    <row r="57" customFormat="false" ht="15" hidden="false" customHeight="false" outlineLevel="0" collapsed="false">
      <c r="B57" s="74"/>
      <c r="C57" s="74"/>
      <c r="D57" s="74"/>
      <c r="E57" s="74"/>
      <c r="F57" s="74"/>
      <c r="G57" s="81"/>
      <c r="H57" s="74"/>
      <c r="J57" s="74"/>
      <c r="K57" s="74"/>
      <c r="P57" s="79" t="str">
        <f aca="false">IFERROR(IF(INDEX(TblTribes[Tribe],36)="","",INDEX(TblTribes[Tribe],36)),"")</f>
        <v/>
      </c>
    </row>
    <row r="58" customFormat="false" ht="15" hidden="false" customHeight="false" outlineLevel="0" collapsed="false">
      <c r="B58" s="74"/>
      <c r="C58" s="74"/>
      <c r="D58" s="74"/>
      <c r="E58" s="74"/>
      <c r="F58" s="74"/>
      <c r="G58" s="81"/>
      <c r="H58" s="74"/>
      <c r="J58" s="74"/>
      <c r="K58" s="74"/>
      <c r="P58" s="79" t="str">
        <f aca="false">IFERROR(IF(INDEX(TblTribes[Tribe],37)="","",INDEX(TblTribes[Tribe],37)),"")</f>
        <v/>
      </c>
    </row>
    <row r="59" customFormat="false" ht="15" hidden="false" customHeight="false" outlineLevel="0" collapsed="false">
      <c r="B59" s="74"/>
      <c r="C59" s="74"/>
      <c r="D59" s="74"/>
      <c r="E59" s="74"/>
      <c r="F59" s="74"/>
      <c r="G59" s="81"/>
      <c r="H59" s="74"/>
      <c r="J59" s="74"/>
      <c r="K59" s="74"/>
      <c r="P59" s="79" t="str">
        <f aca="false">IFERROR(IF(INDEX(TblTribes[Tribe],38)="","",INDEX(TblTribes[Tribe],38)),"")</f>
        <v/>
      </c>
    </row>
    <row r="60" customFormat="false" ht="15" hidden="false" customHeight="false" outlineLevel="0" collapsed="false">
      <c r="B60" s="74"/>
      <c r="C60" s="74"/>
      <c r="D60" s="74"/>
      <c r="E60" s="74"/>
      <c r="F60" s="74"/>
      <c r="G60" s="81"/>
      <c r="H60" s="74"/>
      <c r="J60" s="74"/>
      <c r="K60" s="74"/>
      <c r="P60" s="79" t="str">
        <f aca="false">IFERROR(IF(INDEX(TblTribes[Tribe],39)="","",INDEX(TblTribes[Tribe],39)),"")</f>
        <v/>
      </c>
    </row>
    <row r="61" customFormat="false" ht="15" hidden="false" customHeight="false" outlineLevel="0" collapsed="false">
      <c r="P61" s="79" t="str">
        <f aca="false">IFERROR(IF(INDEX(TblTribes[Tribe],40)="","",INDEX(TblTribes[Tribe],40)),"")</f>
        <v/>
      </c>
    </row>
  </sheetData>
  <conditionalFormatting sqref="E4:E18">
    <cfRule type="expression" priority="2" aboveAverage="0" equalAverage="0" bottom="0" percent="0" rank="0" text="" dxfId="12">
      <formula>AND(E4&lt;&gt;"",E4&lt;&gt;"OK")</formula>
    </cfRule>
  </conditionalFormatting>
  <dataValidations count="13">
    <dataValidation allowBlank="true" error="Marge entre 0 et 100 %" errorStyle="stop" errorTitle="Saisie invalide" operator="between" showDropDown="false" showErrorMessage="true" showInputMessage="false" sqref="C7:C8" type="decimal">
      <formula1>0</formula1>
      <formula2>1</formula2>
    </dataValidation>
    <dataValidation allowBlank="true" error="Tarif ≥ 0" errorStyle="stop" errorTitle="Saisie invalide" operator="greaterThanOrEqual" showDropDown="false" showErrorMessage="true" showInputMessage="false" sqref="C12:C15" type="decimal">
      <formula1>0</formula1>
      <formula2>0</formula2>
    </dataValidation>
    <dataValidation allowBlank="true" error="Valeur non autorisée : choisir dans la liste ou respecter le format attendu." errorStyle="stop" errorTitle="Saisie invalide" operator="between" showDropDown="false" showErrorMessage="true" showInputMessage="false" sqref="C18" type="list">
      <formula1>$H$4:$H$5</formula1>
      <formula2>0</formula2>
    </dataValidation>
    <dataValidation allowBlank="true" error="Poids ≥ 0" errorStyle="stop" errorTitle="Saisie invalide" operator="greaterThanOrEqual" showDropDown="false" showErrorMessage="true" showInputMessage="false" sqref="C17" type="decimal">
      <formula1>0</formula1>
      <formula2>0</formula2>
    </dataValidation>
    <dataValidation allowBlank="true" error="Nombre entier ≥ 1" errorStyle="stop" errorTitle="Saisie invalide" operator="greaterThanOrEqual" showDropDown="false" showErrorMessage="true" showInputMessage="false" sqref="C16 E21:F60" type="whole">
      <formula1>1</formula1>
      <formula2>0</formula2>
    </dataValidation>
    <dataValidation allowBlank="true" error="Saisir une date" errorStyle="stop" errorTitle="Saisie invalide" operator="greaterThan" showDropDown="false" showErrorMessage="true" showInputMessage="false" sqref="C4" type="date">
      <formula1>36526</formula1>
      <formula2>0</formula2>
    </dataValidation>
    <dataValidation allowBlank="true" error="Valeur non autorisée : choisir dans la liste ou respecter le format attendu." errorStyle="stop" errorTitle="Saisie invalide" operator="between" showDropDown="false" showErrorMessage="true" showInputMessage="false" sqref="C9" type="list">
      <formula1>$J$4:$J$5</formula1>
      <formula2>0</formula2>
    </dataValidation>
    <dataValidation allowBlank="true" error="Valeur non autorisée : choisir dans la liste ou respecter le format attendu." errorStyle="stop" errorTitle="Saisie invalide" operator="between" showDropDown="false" showErrorMessage="true" showInputMessage="false" sqref="C10" type="list">
      <formula1>$K$4:$K$6</formula1>
      <formula2>0</formula2>
    </dataValidation>
    <dataValidation allowBlank="true" error="Horizon entre 1 et 36 mois" errorStyle="stop" errorTitle="Saisie invalide" operator="between" showDropDown="false" showErrorMessage="true" showInputMessage="false" sqref="C5" type="whole">
      <formula1>1</formula1>
      <formula2>36</formula2>
    </dataValidation>
    <dataValidation allowBlank="true" error="Tarif &gt; 0" errorStyle="stop" errorTitle="Saisie invalide" operator="greaterThan" showDropDown="false" showErrorMessage="true" showInputMessage="false" sqref="G21:G60" type="decimal">
      <formula1>0</formula1>
      <formula2>0</formula2>
    </dataValidation>
    <dataValidation allowBlank="true" error="Valeur non autorisée : choisir dans la liste ou respecter le format attendu." errorStyle="stop" errorTitle="Saisie invalide" operator="between" showDropDown="false" showErrorMessage="true" showInputMessage="false" sqref="C21:C60" type="list">
      <formula1>$I$4:$I$5</formula1>
      <formula2>0</formula2>
    </dataValidation>
    <dataValidation allowBlank="true" error="Valeur non autorisée : choisir dans la liste ou respecter le format attendu." errorStyle="stop" errorTitle="Saisie invalide" operator="between" showDropDown="false" showErrorMessage="true" showInputMessage="false" sqref="H21:H60" type="list">
      <formula1>$L$4:$L$6</formula1>
      <formula2>0</formula2>
    </dataValidation>
    <dataValidation allowBlank="true" error="Valeur non autorisée : choisir dans la liste ou respecter le format attendu." errorStyle="stop" errorTitle="Saisie invalide" operator="between" showDropDown="false" showErrorMessage="true" showInputMessage="false" sqref="K21:K60" type="list">
      <formula1>$M$21:$M$40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true" outlineLevel="1" max="4" min="1" style="0" width="11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23" min="7" style="0" width="11"/>
    <col collapsed="false" customWidth="true" hidden="false" outlineLevel="1" max="31" min="24" style="0" width="11"/>
    <col collapsed="false" customWidth="true" hidden="false" outlineLevel="0" max="35" min="32" style="0" width="11"/>
  </cols>
  <sheetData>
    <row r="1" customFormat="false" ht="17.35" hidden="false" customHeight="false" outlineLevel="0" collapsed="false">
      <c r="A1" s="64" t="s">
        <v>382</v>
      </c>
    </row>
    <row r="2" customFormat="false" ht="15" hidden="false" customHeight="false" outlineLevel="0" collapsed="false">
      <c r="A2" s="2" t="s">
        <v>383</v>
      </c>
    </row>
    <row r="5" customFormat="false" ht="45" hidden="false" customHeight="true" outlineLevel="0" collapsed="false">
      <c r="A5" s="20" t="s">
        <v>384</v>
      </c>
      <c r="B5" s="20" t="s">
        <v>385</v>
      </c>
      <c r="C5" s="20" t="s">
        <v>386</v>
      </c>
      <c r="D5" s="20" t="s">
        <v>387</v>
      </c>
      <c r="E5" s="20" t="s">
        <v>42</v>
      </c>
      <c r="F5" s="20" t="s">
        <v>75</v>
      </c>
      <c r="G5" s="20" t="s">
        <v>76</v>
      </c>
      <c r="H5" s="20" t="s">
        <v>292</v>
      </c>
      <c r="I5" s="20" t="s">
        <v>388</v>
      </c>
      <c r="J5" s="20" t="s">
        <v>296</v>
      </c>
      <c r="K5" s="20" t="s">
        <v>299</v>
      </c>
      <c r="L5" s="20" t="s">
        <v>389</v>
      </c>
      <c r="M5" s="20" t="s">
        <v>390</v>
      </c>
      <c r="N5" s="20" t="s">
        <v>391</v>
      </c>
      <c r="O5" s="20" t="s">
        <v>392</v>
      </c>
      <c r="P5" s="20" t="s">
        <v>393</v>
      </c>
      <c r="Q5" s="20" t="s">
        <v>394</v>
      </c>
      <c r="R5" s="20" t="s">
        <v>395</v>
      </c>
      <c r="S5" s="20" t="s">
        <v>396</v>
      </c>
      <c r="T5" s="20" t="s">
        <v>65</v>
      </c>
      <c r="U5" s="20" t="s">
        <v>397</v>
      </c>
      <c r="V5" s="20" t="s">
        <v>398</v>
      </c>
      <c r="W5" s="20" t="s">
        <v>399</v>
      </c>
      <c r="X5" s="20" t="s">
        <v>400</v>
      </c>
      <c r="Y5" s="20" t="s">
        <v>401</v>
      </c>
      <c r="Z5" s="20" t="s">
        <v>402</v>
      </c>
      <c r="AA5" s="20" t="s">
        <v>403</v>
      </c>
      <c r="AB5" s="20" t="s">
        <v>404</v>
      </c>
      <c r="AC5" s="20" t="s">
        <v>405</v>
      </c>
      <c r="AD5" s="20" t="s">
        <v>406</v>
      </c>
      <c r="AE5" s="20" t="s">
        <v>407</v>
      </c>
      <c r="AF5" s="20" t="s">
        <v>26</v>
      </c>
      <c r="AG5" s="20" t="s">
        <v>408</v>
      </c>
      <c r="AH5" s="20" t="s">
        <v>409</v>
      </c>
      <c r="AI5" s="20" t="s">
        <v>410</v>
      </c>
    </row>
    <row r="6" customFormat="false" ht="15" hidden="false" customHeight="false" outlineLevel="0" collapsed="false">
      <c r="A6" s="14" t="n">
        <v>1</v>
      </c>
      <c r="B6" s="14" t="n">
        <f aca="false">INT(($A6-1)/36)+1</f>
        <v>1</v>
      </c>
      <c r="C6" s="14" t="n">
        <f aca="false">MOD($A6-1,36)+1</f>
        <v>1</v>
      </c>
      <c r="D6" s="14" t="n">
        <f aca="false">IF($C6&gt;p_horizon,0,IFERROR(IF(AND(INDEX(TblClusters[Cluster],$B6)&lt;&gt;"",ISNUMBER(INDEX(TblClusters[CPU initial (vCPU)],$B6)),ISNUMBER(INDEX(TblClusters[CPU min (vCPU)],$B6)),OR(INDEX(TblClusters[Plateforme],$B6)="IKS",INDEX(TblClusters[Plateforme],$B6)="ROKS")),1,0),0))</f>
        <v>1</v>
      </c>
      <c r="E6" s="83" t="n">
        <f aca="false">IF($D6=1,EDATE(p_debut,$C6-1),"")</f>
        <v>46296</v>
      </c>
      <c r="F6" s="14" t="str">
        <f aca="false">IF($D6=1,INDEX(TblClusters[Cluster],$B6),"")</f>
        <v>IKS-PRD-01</v>
      </c>
      <c r="G6" s="14" t="str">
        <f aca="false">IF($D6=1,INDEX(TblClusters[Plateforme],$B6),"")</f>
        <v>IKS</v>
      </c>
      <c r="H6" s="14" t="n">
        <f aca="false">IF($D6=1,INDEX(TblClusters[vCPU par nœud],$B6),"")</f>
        <v>32</v>
      </c>
      <c r="I6" s="14" t="n">
        <f aca="false">IF($D6=1,INDEX(TblClusters[RAM par nœud (Go)],$B6),"")</f>
        <v>128</v>
      </c>
      <c r="J6" s="14" t="n">
        <f aca="false">IF($D6=1,INDEX(TblClusters[Workers min],$B6),"")</f>
        <v>3</v>
      </c>
      <c r="K6" s="84" t="n">
        <f aca="false">IF($D6=1,INDEX(TblClusters[Tarif par nœud],$B6),"")</f>
        <v>1062</v>
      </c>
      <c r="L6" s="14" t="n">
        <f aca="false">IF($D6=1,INDEX(TblClusters[CPU initial (vCPU)],$B6),"")</f>
        <v>576</v>
      </c>
      <c r="M6" s="14" t="n">
        <f aca="false">IF($D6=1,INDEX(TblClusters[RAM initiale (Go)],$B6),"")</f>
        <v>2304</v>
      </c>
      <c r="N6" s="14" t="n">
        <f aca="false">IF($D6=1,INDEX(TblClusters[CPU min (vCPU)],$B6),"")</f>
        <v>96</v>
      </c>
      <c r="O6" s="14" t="n">
        <f aca="false">IF($D6=1,INDEX(TblClusters[RAM min (Go)],$B6),"")</f>
        <v>384</v>
      </c>
      <c r="P6" s="14" t="n">
        <f aca="false">IF($D6&lt;&gt;1,"",IF($G6="ROKS",SUMIFS(TblApplications[Besoin ROKS CPU (vCPU)],TblApplications[Cluster ROKS cible],$F6,TblApplications[Action],"À migrer",TblApplications[Déjà incluse ROKS],"Non",TblApplications[Mois prov (calc)],"&lt;="&amp;$E6),SUMIFS(TblApplications[CPU IKS libérable (vCPU)],TblApplications[Cluster IKS source],$F6,TblApplications[Mois lib (calc)],"&lt;="&amp;$E6)))</f>
        <v>0</v>
      </c>
      <c r="Q6" s="14" t="n">
        <f aca="false">IF($D6&lt;&gt;1,"",IF($G6="ROKS",SUMIFS(TblApplications[Besoin ROKS RAM (Go)],TblApplications[Cluster ROKS cible],$F6,TblApplications[Action],"À migrer",TblApplications[Déjà incluse ROKS],"Non",TblApplications[Mois prov (calc)],"&lt;="&amp;$E6),SUMIFS(TblApplications[RAM IKS libérable (Go)],TblApplications[Cluster IKS source],$F6,TblApplications[Mois lib (calc)],"&lt;="&amp;$E6)))</f>
        <v>0</v>
      </c>
      <c r="R6" s="14" t="n">
        <f aca="false">IF($D6&lt;&gt;1,"",IF($G6="ROKS",$L6+$P6,IF($AI6=1,0,MAX($N6,$L6-$P6))))</f>
        <v>576</v>
      </c>
      <c r="S6" s="14" t="n">
        <f aca="false">IF($D6&lt;&gt;1,"",IF($G6="ROKS",$M6+$Q6,IF($AI6=1,0,MAX($O6,$M6-$Q6))))</f>
        <v>2304</v>
      </c>
      <c r="T6" s="14" t="n">
        <f aca="false">IF($D6&lt;&gt;1,"",IF($AI6=1,0,MAX($J6,ROUNDUP(MAX($R6/$H6,$S6/$I6),0))))</f>
        <v>18</v>
      </c>
      <c r="U6" s="14" t="n">
        <f aca="false">IF($D6&lt;&gt;1,"",IF(p_mode="Nœud",$T6*$H6,$R6))</f>
        <v>576</v>
      </c>
      <c r="V6" s="14" t="n">
        <f aca="false">IF($D6&lt;&gt;1,"",IF(p_mode="Nœud",$T6*$I6,$S6))</f>
        <v>2304</v>
      </c>
      <c r="W6" s="84" t="n">
        <f aca="false">IF($D6&lt;&gt;1,"",IF(p_mode="Nœud",$T6*$K6,$R6*IF($G6="IKS",p_iks_cpu,p_roks_cpu)+$S6*IF($G6="IKS",p_iks_ram,p_roks_ram))*p_facteur)</f>
        <v>19116</v>
      </c>
      <c r="X6" s="14" t="n">
        <f aca="false">IF($D6&lt;&gt;1,"",IF($G6="ROKS",$R6,IF($AI6=1,0,MAX($N6,$L6-SUMIFS(TblApplications[CPU IKS libérable (vCPU)],TblApplications[Cluster IKS source],$F6,TblApplications[Action],"À migrer",TblApplications[Mois prov (calc)],"&lt;="&amp;$E6)-SUMIFS(TblApplications[CPU IKS libérable (vCPU)],TblApplications[Cluster IKS source],$F6,TblApplications[Action],"À décommissionner",TblApplications[Mois lib (calc)],"&lt;="&amp;$E6)))))</f>
        <v>576</v>
      </c>
      <c r="Y6" s="14" t="n">
        <f aca="false">IF($D6&lt;&gt;1,"",IF($G6="ROKS",$S6,IF($AI6=1,0,MAX($O6,$M6-SUMIFS(TblApplications[RAM IKS libérable (Go)],TblApplications[Cluster IKS source],$F6,TblApplications[Action],"À migrer",TblApplications[Mois prov (calc)],"&lt;="&amp;$E6)-SUMIFS(TblApplications[RAM IKS libérable (Go)],TblApplications[Cluster IKS source],$F6,TblApplications[Action],"À décommissionner",TblApplications[Mois lib (calc)],"&lt;="&amp;$E6)))))</f>
        <v>2304</v>
      </c>
      <c r="Z6" s="14" t="n">
        <f aca="false">IF($D6&lt;&gt;1,"",IF($AI6=1,0,MAX($J6,ROUNDUP(MAX($X6/$H6,$Y6/$I6),0))))</f>
        <v>18</v>
      </c>
      <c r="AA6" s="84" t="n">
        <f aca="false">IF($D6&lt;&gt;1,"",IF(p_mode="Nœud",$Z6*$K6,$X6*IF($G6="IKS",p_iks_cpu,p_roks_cpu)+$Y6*IF($G6="IKS",p_iks_ram,p_roks_ram))*p_facteur)</f>
        <v>19116</v>
      </c>
      <c r="AB6" s="14" t="n">
        <f aca="false">IF($D6&lt;&gt;1,"",MAX($J6,ROUNDUP(MAX($L6/$H6,$M6/$I6),0)))</f>
        <v>18</v>
      </c>
      <c r="AC6" s="84" t="n">
        <f aca="false">IF($D6&lt;&gt;1,"",IF(p_mode="Nœud",$AB6*$K6,$L6*IF($G6="IKS",p_iks_cpu,p_roks_cpu)+$M6*IF($G6="IKS",p_iks_ram,p_roks_ram))*p_facteur)</f>
        <v>19116</v>
      </c>
      <c r="AD6" s="14" t="n">
        <f aca="false">IF($D6&lt;&gt;1,"",IF(AND($G6="IKS",$AI6&lt;&gt;1,OR($L6-$P6&lt;$N6,$M6-$Q6&lt;$O6)),1,0))</f>
        <v>0</v>
      </c>
      <c r="AE6" s="14" t="n">
        <f aca="false">IF($D6&lt;&gt;1,"",IF(AND($G6="ROKS",$T6&gt;p_maxworkers),1,0))</f>
        <v>0</v>
      </c>
      <c r="AF6" s="14" t="str">
        <f aca="false">IF($D6&lt;&gt;1,"",IF(INDEX(TblClusters[Environnement],$B6)="","(vide)",INDEX(TblClusters[Environnement],$B6)))</f>
        <v>PRD</v>
      </c>
      <c r="AG6" s="14" t="n">
        <f aca="false">IF($D6&lt;&gt;1,"",$R6+p_poidsram*$S6)</f>
        <v>806.4</v>
      </c>
      <c r="AH6" s="14" t="n">
        <f aca="false">IF($D6&lt;&gt;1,"",IFERROR($W6/$AG6,0))</f>
        <v>23.7053571428571</v>
      </c>
      <c r="AI6" s="14" t="n">
        <f aca="false">IF($D6&lt;&gt;1,"",IF(AND($G6="IKS",ISNUMBER(INDEX(TblClusters[Fermeture retenue],$B6))),IF($E6&gt;=INDEX(TblClusters[Fermeture retenue],$B6),1,0),0))</f>
        <v>0</v>
      </c>
    </row>
    <row r="7" customFormat="false" ht="15" hidden="false" customHeight="false" outlineLevel="0" collapsed="false">
      <c r="A7" s="14" t="n">
        <v>2</v>
      </c>
      <c r="B7" s="14" t="n">
        <f aca="false">INT(($A7-1)/36)+1</f>
        <v>1</v>
      </c>
      <c r="C7" s="14" t="n">
        <f aca="false">MOD($A7-1,36)+1</f>
        <v>2</v>
      </c>
      <c r="D7" s="14" t="n">
        <f aca="false">IF($C7&gt;p_horizon,0,IFERROR(IF(AND(INDEX(TblClusters[Cluster],$B7)&lt;&gt;"",ISNUMBER(INDEX(TblClusters[CPU initial (vCPU)],$B7)),ISNUMBER(INDEX(TblClusters[CPU min (vCPU)],$B7)),OR(INDEX(TblClusters[Plateforme],$B7)="IKS",INDEX(TblClusters[Plateforme],$B7)="ROKS")),1,0),0))</f>
        <v>1</v>
      </c>
      <c r="E7" s="83" t="n">
        <f aca="false">IF($D7=1,EDATE(p_debut,$C7-1),"")</f>
        <v>46327</v>
      </c>
      <c r="F7" s="14" t="str">
        <f aca="false">IF($D7=1,INDEX(TblClusters[Cluster],$B7),"")</f>
        <v>IKS-PRD-01</v>
      </c>
      <c r="G7" s="14" t="str">
        <f aca="false">IF($D7=1,INDEX(TblClusters[Plateforme],$B7),"")</f>
        <v>IKS</v>
      </c>
      <c r="H7" s="14" t="n">
        <f aca="false">IF($D7=1,INDEX(TblClusters[vCPU par nœud],$B7),"")</f>
        <v>32</v>
      </c>
      <c r="I7" s="14" t="n">
        <f aca="false">IF($D7=1,INDEX(TblClusters[RAM par nœud (Go)],$B7),"")</f>
        <v>128</v>
      </c>
      <c r="J7" s="14" t="n">
        <f aca="false">IF($D7=1,INDEX(TblClusters[Workers min],$B7),"")</f>
        <v>3</v>
      </c>
      <c r="K7" s="84" t="n">
        <f aca="false">IF($D7=1,INDEX(TblClusters[Tarif par nœud],$B7),"")</f>
        <v>1062</v>
      </c>
      <c r="L7" s="14" t="n">
        <f aca="false">IF($D7=1,INDEX(TblClusters[CPU initial (vCPU)],$B7),"")</f>
        <v>576</v>
      </c>
      <c r="M7" s="14" t="n">
        <f aca="false">IF($D7=1,INDEX(TblClusters[RAM initiale (Go)],$B7),"")</f>
        <v>2304</v>
      </c>
      <c r="N7" s="14" t="n">
        <f aca="false">IF($D7=1,INDEX(TblClusters[CPU min (vCPU)],$B7),"")</f>
        <v>96</v>
      </c>
      <c r="O7" s="14" t="n">
        <f aca="false">IF($D7=1,INDEX(TblClusters[RAM min (Go)],$B7),"")</f>
        <v>384</v>
      </c>
      <c r="P7" s="14" t="n">
        <f aca="false">IF($D7&lt;&gt;1,"",IF($G7="ROKS",SUMIFS(TblApplications[Besoin ROKS CPU (vCPU)],TblApplications[Cluster ROKS cible],$F7,TblApplications[Action],"À migrer",TblApplications[Déjà incluse ROKS],"Non",TblApplications[Mois prov (calc)],"&lt;="&amp;$E7),SUMIFS(TblApplications[CPU IKS libérable (vCPU)],TblApplications[Cluster IKS source],$F7,TblApplications[Mois lib (calc)],"&lt;="&amp;$E7)))</f>
        <v>0</v>
      </c>
      <c r="Q7" s="14" t="n">
        <f aca="false">IF($D7&lt;&gt;1,"",IF($G7="ROKS",SUMIFS(TblApplications[Besoin ROKS RAM (Go)],TblApplications[Cluster ROKS cible],$F7,TblApplications[Action],"À migrer",TblApplications[Déjà incluse ROKS],"Non",TblApplications[Mois prov (calc)],"&lt;="&amp;$E7),SUMIFS(TblApplications[RAM IKS libérable (Go)],TblApplications[Cluster IKS source],$F7,TblApplications[Mois lib (calc)],"&lt;="&amp;$E7)))</f>
        <v>0</v>
      </c>
      <c r="R7" s="14" t="n">
        <f aca="false">IF($D7&lt;&gt;1,"",IF($G7="ROKS",$L7+$P7,IF($AI7=1,0,MAX($N7,$L7-$P7))))</f>
        <v>576</v>
      </c>
      <c r="S7" s="14" t="n">
        <f aca="false">IF($D7&lt;&gt;1,"",IF($G7="ROKS",$M7+$Q7,IF($AI7=1,0,MAX($O7,$M7-$Q7))))</f>
        <v>2304</v>
      </c>
      <c r="T7" s="14" t="n">
        <f aca="false">IF($D7&lt;&gt;1,"",IF($AI7=1,0,MAX($J7,ROUNDUP(MAX($R7/$H7,$S7/$I7),0))))</f>
        <v>18</v>
      </c>
      <c r="U7" s="14" t="n">
        <f aca="false">IF($D7&lt;&gt;1,"",IF(p_mode="Nœud",$T7*$H7,$R7))</f>
        <v>576</v>
      </c>
      <c r="V7" s="14" t="n">
        <f aca="false">IF($D7&lt;&gt;1,"",IF(p_mode="Nœud",$T7*$I7,$S7))</f>
        <v>2304</v>
      </c>
      <c r="W7" s="84" t="n">
        <f aca="false">IF($D7&lt;&gt;1,"",IF(p_mode="Nœud",$T7*$K7,$R7*IF($G7="IKS",p_iks_cpu,p_roks_cpu)+$S7*IF($G7="IKS",p_iks_ram,p_roks_ram))*p_facteur)</f>
        <v>19116</v>
      </c>
      <c r="X7" s="14" t="n">
        <f aca="false">IF($D7&lt;&gt;1,"",IF($G7="ROKS",$R7,IF($AI7=1,0,MAX($N7,$L7-SUMIFS(TblApplications[CPU IKS libérable (vCPU)],TblApplications[Cluster IKS source],$F7,TblApplications[Action],"À migrer",TblApplications[Mois prov (calc)],"&lt;="&amp;$E7)-SUMIFS(TblApplications[CPU IKS libérable (vCPU)],TblApplications[Cluster IKS source],$F7,TblApplications[Action],"À décommissionner",TblApplications[Mois lib (calc)],"&lt;="&amp;$E7)))))</f>
        <v>576</v>
      </c>
      <c r="Y7" s="14" t="n">
        <f aca="false">IF($D7&lt;&gt;1,"",IF($G7="ROKS",$S7,IF($AI7=1,0,MAX($O7,$M7-SUMIFS(TblApplications[RAM IKS libérable (Go)],TblApplications[Cluster IKS source],$F7,TblApplications[Action],"À migrer",TblApplications[Mois prov (calc)],"&lt;="&amp;$E7)-SUMIFS(TblApplications[RAM IKS libérable (Go)],TblApplications[Cluster IKS source],$F7,TblApplications[Action],"À décommissionner",TblApplications[Mois lib (calc)],"&lt;="&amp;$E7)))))</f>
        <v>2304</v>
      </c>
      <c r="Z7" s="14" t="n">
        <f aca="false">IF($D7&lt;&gt;1,"",IF($AI7=1,0,MAX($J7,ROUNDUP(MAX($X7/$H7,$Y7/$I7),0))))</f>
        <v>18</v>
      </c>
      <c r="AA7" s="84" t="n">
        <f aca="false">IF($D7&lt;&gt;1,"",IF(p_mode="Nœud",$Z7*$K7,$X7*IF($G7="IKS",p_iks_cpu,p_roks_cpu)+$Y7*IF($G7="IKS",p_iks_ram,p_roks_ram))*p_facteur)</f>
        <v>19116</v>
      </c>
      <c r="AB7" s="14" t="n">
        <f aca="false">IF($D7&lt;&gt;1,"",MAX($J7,ROUNDUP(MAX($L7/$H7,$M7/$I7),0)))</f>
        <v>18</v>
      </c>
      <c r="AC7" s="84" t="n">
        <f aca="false">IF($D7&lt;&gt;1,"",IF(p_mode="Nœud",$AB7*$K7,$L7*IF($G7="IKS",p_iks_cpu,p_roks_cpu)+$M7*IF($G7="IKS",p_iks_ram,p_roks_ram))*p_facteur)</f>
        <v>19116</v>
      </c>
      <c r="AD7" s="14" t="n">
        <f aca="false">IF($D7&lt;&gt;1,"",IF(AND($G7="IKS",$AI7&lt;&gt;1,OR($L7-$P7&lt;$N7,$M7-$Q7&lt;$O7)),1,0))</f>
        <v>0</v>
      </c>
      <c r="AE7" s="14" t="n">
        <f aca="false">IF($D7&lt;&gt;1,"",IF(AND($G7="ROKS",$T7&gt;p_maxworkers),1,0))</f>
        <v>0</v>
      </c>
      <c r="AF7" s="14" t="str">
        <f aca="false">IF($D7&lt;&gt;1,"",IF(INDEX(TblClusters[Environnement],$B7)="","(vide)",INDEX(TblClusters[Environnement],$B7)))</f>
        <v>PRD</v>
      </c>
      <c r="AG7" s="14" t="n">
        <f aca="false">IF($D7&lt;&gt;1,"",$R7+p_poidsram*$S7)</f>
        <v>806.4</v>
      </c>
      <c r="AH7" s="14" t="n">
        <f aca="false">IF($D7&lt;&gt;1,"",IFERROR($W7/$AG7,0))</f>
        <v>23.7053571428571</v>
      </c>
      <c r="AI7" s="14" t="n">
        <f aca="false">IF($D7&lt;&gt;1,"",IF(AND($G7="IKS",ISNUMBER(INDEX(TblClusters[Fermeture retenue],$B7))),IF($E7&gt;=INDEX(TblClusters[Fermeture retenue],$B7),1,0),0))</f>
        <v>0</v>
      </c>
    </row>
    <row r="8" customFormat="false" ht="15" hidden="false" customHeight="false" outlineLevel="0" collapsed="false">
      <c r="A8" s="14" t="n">
        <v>3</v>
      </c>
      <c r="B8" s="14" t="n">
        <f aca="false">INT(($A8-1)/36)+1</f>
        <v>1</v>
      </c>
      <c r="C8" s="14" t="n">
        <f aca="false">MOD($A8-1,36)+1</f>
        <v>3</v>
      </c>
      <c r="D8" s="14" t="n">
        <f aca="false">IF($C8&gt;p_horizon,0,IFERROR(IF(AND(INDEX(TblClusters[Cluster],$B8)&lt;&gt;"",ISNUMBER(INDEX(TblClusters[CPU initial (vCPU)],$B8)),ISNUMBER(INDEX(TblClusters[CPU min (vCPU)],$B8)),OR(INDEX(TblClusters[Plateforme],$B8)="IKS",INDEX(TblClusters[Plateforme],$B8)="ROKS")),1,0),0))</f>
        <v>1</v>
      </c>
      <c r="E8" s="83" t="n">
        <f aca="false">IF($D8=1,EDATE(p_debut,$C8-1),"")</f>
        <v>46357</v>
      </c>
      <c r="F8" s="14" t="str">
        <f aca="false">IF($D8=1,INDEX(TblClusters[Cluster],$B8),"")</f>
        <v>IKS-PRD-01</v>
      </c>
      <c r="G8" s="14" t="str">
        <f aca="false">IF($D8=1,INDEX(TblClusters[Plateforme],$B8),"")</f>
        <v>IKS</v>
      </c>
      <c r="H8" s="14" t="n">
        <f aca="false">IF($D8=1,INDEX(TblClusters[vCPU par nœud],$B8),"")</f>
        <v>32</v>
      </c>
      <c r="I8" s="14" t="n">
        <f aca="false">IF($D8=1,INDEX(TblClusters[RAM par nœud (Go)],$B8),"")</f>
        <v>128</v>
      </c>
      <c r="J8" s="14" t="n">
        <f aca="false">IF($D8=1,INDEX(TblClusters[Workers min],$B8),"")</f>
        <v>3</v>
      </c>
      <c r="K8" s="84" t="n">
        <f aca="false">IF($D8=1,INDEX(TblClusters[Tarif par nœud],$B8),"")</f>
        <v>1062</v>
      </c>
      <c r="L8" s="14" t="n">
        <f aca="false">IF($D8=1,INDEX(TblClusters[CPU initial (vCPU)],$B8),"")</f>
        <v>576</v>
      </c>
      <c r="M8" s="14" t="n">
        <f aca="false">IF($D8=1,INDEX(TblClusters[RAM initiale (Go)],$B8),"")</f>
        <v>2304</v>
      </c>
      <c r="N8" s="14" t="n">
        <f aca="false">IF($D8=1,INDEX(TblClusters[CPU min (vCPU)],$B8),"")</f>
        <v>96</v>
      </c>
      <c r="O8" s="14" t="n">
        <f aca="false">IF($D8=1,INDEX(TblClusters[RAM min (Go)],$B8),"")</f>
        <v>384</v>
      </c>
      <c r="P8" s="14" t="n">
        <f aca="false">IF($D8&lt;&gt;1,"",IF($G8="ROKS",SUMIFS(TblApplications[Besoin ROKS CPU (vCPU)],TblApplications[Cluster ROKS cible],$F8,TblApplications[Action],"À migrer",TblApplications[Déjà incluse ROKS],"Non",TblApplications[Mois prov (calc)],"&lt;="&amp;$E8),SUMIFS(TblApplications[CPU IKS libérable (vCPU)],TblApplications[Cluster IKS source],$F8,TblApplications[Mois lib (calc)],"&lt;="&amp;$E8)))</f>
        <v>0</v>
      </c>
      <c r="Q8" s="14" t="n">
        <f aca="false">IF($D8&lt;&gt;1,"",IF($G8="ROKS",SUMIFS(TblApplications[Besoin ROKS RAM (Go)],TblApplications[Cluster ROKS cible],$F8,TblApplications[Action],"À migrer",TblApplications[Déjà incluse ROKS],"Non",TblApplications[Mois prov (calc)],"&lt;="&amp;$E8),SUMIFS(TblApplications[RAM IKS libérable (Go)],TblApplications[Cluster IKS source],$F8,TblApplications[Mois lib (calc)],"&lt;="&amp;$E8)))</f>
        <v>0</v>
      </c>
      <c r="R8" s="14" t="n">
        <f aca="false">IF($D8&lt;&gt;1,"",IF($G8="ROKS",$L8+$P8,IF($AI8=1,0,MAX($N8,$L8-$P8))))</f>
        <v>576</v>
      </c>
      <c r="S8" s="14" t="n">
        <f aca="false">IF($D8&lt;&gt;1,"",IF($G8="ROKS",$M8+$Q8,IF($AI8=1,0,MAX($O8,$M8-$Q8))))</f>
        <v>2304</v>
      </c>
      <c r="T8" s="14" t="n">
        <f aca="false">IF($D8&lt;&gt;1,"",IF($AI8=1,0,MAX($J8,ROUNDUP(MAX($R8/$H8,$S8/$I8),0))))</f>
        <v>18</v>
      </c>
      <c r="U8" s="14" t="n">
        <f aca="false">IF($D8&lt;&gt;1,"",IF(p_mode="Nœud",$T8*$H8,$R8))</f>
        <v>576</v>
      </c>
      <c r="V8" s="14" t="n">
        <f aca="false">IF($D8&lt;&gt;1,"",IF(p_mode="Nœud",$T8*$I8,$S8))</f>
        <v>2304</v>
      </c>
      <c r="W8" s="84" t="n">
        <f aca="false">IF($D8&lt;&gt;1,"",IF(p_mode="Nœud",$T8*$K8,$R8*IF($G8="IKS",p_iks_cpu,p_roks_cpu)+$S8*IF($G8="IKS",p_iks_ram,p_roks_ram))*p_facteur)</f>
        <v>19116</v>
      </c>
      <c r="X8" s="14" t="n">
        <f aca="false">IF($D8&lt;&gt;1,"",IF($G8="ROKS",$R8,IF($AI8=1,0,MAX($N8,$L8-SUMIFS(TblApplications[CPU IKS libérable (vCPU)],TblApplications[Cluster IKS source],$F8,TblApplications[Action],"À migrer",TblApplications[Mois prov (calc)],"&lt;="&amp;$E8)-SUMIFS(TblApplications[CPU IKS libérable (vCPU)],TblApplications[Cluster IKS source],$F8,TblApplications[Action],"À décommissionner",TblApplications[Mois lib (calc)],"&lt;="&amp;$E8)))))</f>
        <v>576</v>
      </c>
      <c r="Y8" s="14" t="n">
        <f aca="false">IF($D8&lt;&gt;1,"",IF($G8="ROKS",$S8,IF($AI8=1,0,MAX($O8,$M8-SUMIFS(TblApplications[RAM IKS libérable (Go)],TblApplications[Cluster IKS source],$F8,TblApplications[Action],"À migrer",TblApplications[Mois prov (calc)],"&lt;="&amp;$E8)-SUMIFS(TblApplications[RAM IKS libérable (Go)],TblApplications[Cluster IKS source],$F8,TblApplications[Action],"À décommissionner",TblApplications[Mois lib (calc)],"&lt;="&amp;$E8)))))</f>
        <v>2304</v>
      </c>
      <c r="Z8" s="14" t="n">
        <f aca="false">IF($D8&lt;&gt;1,"",IF($AI8=1,0,MAX($J8,ROUNDUP(MAX($X8/$H8,$Y8/$I8),0))))</f>
        <v>18</v>
      </c>
      <c r="AA8" s="84" t="n">
        <f aca="false">IF($D8&lt;&gt;1,"",IF(p_mode="Nœud",$Z8*$K8,$X8*IF($G8="IKS",p_iks_cpu,p_roks_cpu)+$Y8*IF($G8="IKS",p_iks_ram,p_roks_ram))*p_facteur)</f>
        <v>19116</v>
      </c>
      <c r="AB8" s="14" t="n">
        <f aca="false">IF($D8&lt;&gt;1,"",MAX($J8,ROUNDUP(MAX($L8/$H8,$M8/$I8),0)))</f>
        <v>18</v>
      </c>
      <c r="AC8" s="84" t="n">
        <f aca="false">IF($D8&lt;&gt;1,"",IF(p_mode="Nœud",$AB8*$K8,$L8*IF($G8="IKS",p_iks_cpu,p_roks_cpu)+$M8*IF($G8="IKS",p_iks_ram,p_roks_ram))*p_facteur)</f>
        <v>19116</v>
      </c>
      <c r="AD8" s="14" t="n">
        <f aca="false">IF($D8&lt;&gt;1,"",IF(AND($G8="IKS",$AI8&lt;&gt;1,OR($L8-$P8&lt;$N8,$M8-$Q8&lt;$O8)),1,0))</f>
        <v>0</v>
      </c>
      <c r="AE8" s="14" t="n">
        <f aca="false">IF($D8&lt;&gt;1,"",IF(AND($G8="ROKS",$T8&gt;p_maxworkers),1,0))</f>
        <v>0</v>
      </c>
      <c r="AF8" s="14" t="str">
        <f aca="false">IF($D8&lt;&gt;1,"",IF(INDEX(TblClusters[Environnement],$B8)="","(vide)",INDEX(TblClusters[Environnement],$B8)))</f>
        <v>PRD</v>
      </c>
      <c r="AG8" s="14" t="n">
        <f aca="false">IF($D8&lt;&gt;1,"",$R8+p_poidsram*$S8)</f>
        <v>806.4</v>
      </c>
      <c r="AH8" s="14" t="n">
        <f aca="false">IF($D8&lt;&gt;1,"",IFERROR($W8/$AG8,0))</f>
        <v>23.7053571428571</v>
      </c>
      <c r="AI8" s="14" t="n">
        <f aca="false">IF($D8&lt;&gt;1,"",IF(AND($G8="IKS",ISNUMBER(INDEX(TblClusters[Fermeture retenue],$B8))),IF($E8&gt;=INDEX(TblClusters[Fermeture retenue],$B8),1,0),0))</f>
        <v>0</v>
      </c>
    </row>
    <row r="9" customFormat="false" ht="15" hidden="false" customHeight="false" outlineLevel="0" collapsed="false">
      <c r="A9" s="14" t="n">
        <v>4</v>
      </c>
      <c r="B9" s="14" t="n">
        <f aca="false">INT(($A9-1)/36)+1</f>
        <v>1</v>
      </c>
      <c r="C9" s="14" t="n">
        <f aca="false">MOD($A9-1,36)+1</f>
        <v>4</v>
      </c>
      <c r="D9" s="14" t="n">
        <f aca="false">IF($C9&gt;p_horizon,0,IFERROR(IF(AND(INDEX(TblClusters[Cluster],$B9)&lt;&gt;"",ISNUMBER(INDEX(TblClusters[CPU initial (vCPU)],$B9)),ISNUMBER(INDEX(TblClusters[CPU min (vCPU)],$B9)),OR(INDEX(TblClusters[Plateforme],$B9)="IKS",INDEX(TblClusters[Plateforme],$B9)="ROKS")),1,0),0))</f>
        <v>1</v>
      </c>
      <c r="E9" s="83" t="n">
        <f aca="false">IF($D9=1,EDATE(p_debut,$C9-1),"")</f>
        <v>46388</v>
      </c>
      <c r="F9" s="14" t="str">
        <f aca="false">IF($D9=1,INDEX(TblClusters[Cluster],$B9),"")</f>
        <v>IKS-PRD-01</v>
      </c>
      <c r="G9" s="14" t="str">
        <f aca="false">IF($D9=1,INDEX(TblClusters[Plateforme],$B9),"")</f>
        <v>IKS</v>
      </c>
      <c r="H9" s="14" t="n">
        <f aca="false">IF($D9=1,INDEX(TblClusters[vCPU par nœud],$B9),"")</f>
        <v>32</v>
      </c>
      <c r="I9" s="14" t="n">
        <f aca="false">IF($D9=1,INDEX(TblClusters[RAM par nœud (Go)],$B9),"")</f>
        <v>128</v>
      </c>
      <c r="J9" s="14" t="n">
        <f aca="false">IF($D9=1,INDEX(TblClusters[Workers min],$B9),"")</f>
        <v>3</v>
      </c>
      <c r="K9" s="84" t="n">
        <f aca="false">IF($D9=1,INDEX(TblClusters[Tarif par nœud],$B9),"")</f>
        <v>1062</v>
      </c>
      <c r="L9" s="14" t="n">
        <f aca="false">IF($D9=1,INDEX(TblClusters[CPU initial (vCPU)],$B9),"")</f>
        <v>576</v>
      </c>
      <c r="M9" s="14" t="n">
        <f aca="false">IF($D9=1,INDEX(TblClusters[RAM initiale (Go)],$B9),"")</f>
        <v>2304</v>
      </c>
      <c r="N9" s="14" t="n">
        <f aca="false">IF($D9=1,INDEX(TblClusters[CPU min (vCPU)],$B9),"")</f>
        <v>96</v>
      </c>
      <c r="O9" s="14" t="n">
        <f aca="false">IF($D9=1,INDEX(TblClusters[RAM min (Go)],$B9),"")</f>
        <v>384</v>
      </c>
      <c r="P9" s="14" t="n">
        <f aca="false">IF($D9&lt;&gt;1,"",IF($G9="ROKS",SUMIFS(TblApplications[Besoin ROKS CPU (vCPU)],TblApplications[Cluster ROKS cible],$F9,TblApplications[Action],"À migrer",TblApplications[Déjà incluse ROKS],"Non",TblApplications[Mois prov (calc)],"&lt;="&amp;$E9),SUMIFS(TblApplications[CPU IKS libérable (vCPU)],TblApplications[Cluster IKS source],$F9,TblApplications[Mois lib (calc)],"&lt;="&amp;$E9)))</f>
        <v>0</v>
      </c>
      <c r="Q9" s="14" t="n">
        <f aca="false">IF($D9&lt;&gt;1,"",IF($G9="ROKS",SUMIFS(TblApplications[Besoin ROKS RAM (Go)],TblApplications[Cluster ROKS cible],$F9,TblApplications[Action],"À migrer",TblApplications[Déjà incluse ROKS],"Non",TblApplications[Mois prov (calc)],"&lt;="&amp;$E9),SUMIFS(TblApplications[RAM IKS libérable (Go)],TblApplications[Cluster IKS source],$F9,TblApplications[Mois lib (calc)],"&lt;="&amp;$E9)))</f>
        <v>0</v>
      </c>
      <c r="R9" s="14" t="n">
        <f aca="false">IF($D9&lt;&gt;1,"",IF($G9="ROKS",$L9+$P9,IF($AI9=1,0,MAX($N9,$L9-$P9))))</f>
        <v>576</v>
      </c>
      <c r="S9" s="14" t="n">
        <f aca="false">IF($D9&lt;&gt;1,"",IF($G9="ROKS",$M9+$Q9,IF($AI9=1,0,MAX($O9,$M9-$Q9))))</f>
        <v>2304</v>
      </c>
      <c r="T9" s="14" t="n">
        <f aca="false">IF($D9&lt;&gt;1,"",IF($AI9=1,0,MAX($J9,ROUNDUP(MAX($R9/$H9,$S9/$I9),0))))</f>
        <v>18</v>
      </c>
      <c r="U9" s="14" t="n">
        <f aca="false">IF($D9&lt;&gt;1,"",IF(p_mode="Nœud",$T9*$H9,$R9))</f>
        <v>576</v>
      </c>
      <c r="V9" s="14" t="n">
        <f aca="false">IF($D9&lt;&gt;1,"",IF(p_mode="Nœud",$T9*$I9,$S9))</f>
        <v>2304</v>
      </c>
      <c r="W9" s="84" t="n">
        <f aca="false">IF($D9&lt;&gt;1,"",IF(p_mode="Nœud",$T9*$K9,$R9*IF($G9="IKS",p_iks_cpu,p_roks_cpu)+$S9*IF($G9="IKS",p_iks_ram,p_roks_ram))*p_facteur)</f>
        <v>19116</v>
      </c>
      <c r="X9" s="14" t="n">
        <f aca="false">IF($D9&lt;&gt;1,"",IF($G9="ROKS",$R9,IF($AI9=1,0,MAX($N9,$L9-SUMIFS(TblApplications[CPU IKS libérable (vCPU)],TblApplications[Cluster IKS source],$F9,TblApplications[Action],"À migrer",TblApplications[Mois prov (calc)],"&lt;="&amp;$E9)-SUMIFS(TblApplications[CPU IKS libérable (vCPU)],TblApplications[Cluster IKS source],$F9,TblApplications[Action],"À décommissionner",TblApplications[Mois lib (calc)],"&lt;="&amp;$E9)))))</f>
        <v>576</v>
      </c>
      <c r="Y9" s="14" t="n">
        <f aca="false">IF($D9&lt;&gt;1,"",IF($G9="ROKS",$S9,IF($AI9=1,0,MAX($O9,$M9-SUMIFS(TblApplications[RAM IKS libérable (Go)],TblApplications[Cluster IKS source],$F9,TblApplications[Action],"À migrer",TblApplications[Mois prov (calc)],"&lt;="&amp;$E9)-SUMIFS(TblApplications[RAM IKS libérable (Go)],TblApplications[Cluster IKS source],$F9,TblApplications[Action],"À décommissionner",TblApplications[Mois lib (calc)],"&lt;="&amp;$E9)))))</f>
        <v>2304</v>
      </c>
      <c r="Z9" s="14" t="n">
        <f aca="false">IF($D9&lt;&gt;1,"",IF($AI9=1,0,MAX($J9,ROUNDUP(MAX($X9/$H9,$Y9/$I9),0))))</f>
        <v>18</v>
      </c>
      <c r="AA9" s="84" t="n">
        <f aca="false">IF($D9&lt;&gt;1,"",IF(p_mode="Nœud",$Z9*$K9,$X9*IF($G9="IKS",p_iks_cpu,p_roks_cpu)+$Y9*IF($G9="IKS",p_iks_ram,p_roks_ram))*p_facteur)</f>
        <v>19116</v>
      </c>
      <c r="AB9" s="14" t="n">
        <f aca="false">IF($D9&lt;&gt;1,"",MAX($J9,ROUNDUP(MAX($L9/$H9,$M9/$I9),0)))</f>
        <v>18</v>
      </c>
      <c r="AC9" s="84" t="n">
        <f aca="false">IF($D9&lt;&gt;1,"",IF(p_mode="Nœud",$AB9*$K9,$L9*IF($G9="IKS",p_iks_cpu,p_roks_cpu)+$M9*IF($G9="IKS",p_iks_ram,p_roks_ram))*p_facteur)</f>
        <v>19116</v>
      </c>
      <c r="AD9" s="14" t="n">
        <f aca="false">IF($D9&lt;&gt;1,"",IF(AND($G9="IKS",$AI9&lt;&gt;1,OR($L9-$P9&lt;$N9,$M9-$Q9&lt;$O9)),1,0))</f>
        <v>0</v>
      </c>
      <c r="AE9" s="14" t="n">
        <f aca="false">IF($D9&lt;&gt;1,"",IF(AND($G9="ROKS",$T9&gt;p_maxworkers),1,0))</f>
        <v>0</v>
      </c>
      <c r="AF9" s="14" t="str">
        <f aca="false">IF($D9&lt;&gt;1,"",IF(INDEX(TblClusters[Environnement],$B9)="","(vide)",INDEX(TblClusters[Environnement],$B9)))</f>
        <v>PRD</v>
      </c>
      <c r="AG9" s="14" t="n">
        <f aca="false">IF($D9&lt;&gt;1,"",$R9+p_poidsram*$S9)</f>
        <v>806.4</v>
      </c>
      <c r="AH9" s="14" t="n">
        <f aca="false">IF($D9&lt;&gt;1,"",IFERROR($W9/$AG9,0))</f>
        <v>23.7053571428571</v>
      </c>
      <c r="AI9" s="14" t="n">
        <f aca="false">IF($D9&lt;&gt;1,"",IF(AND($G9="IKS",ISNUMBER(INDEX(TblClusters[Fermeture retenue],$B9))),IF($E9&gt;=INDEX(TblClusters[Fermeture retenue],$B9),1,0),0))</f>
        <v>0</v>
      </c>
    </row>
    <row r="10" customFormat="false" ht="15" hidden="false" customHeight="false" outlineLevel="0" collapsed="false">
      <c r="A10" s="14" t="n">
        <v>5</v>
      </c>
      <c r="B10" s="14" t="n">
        <f aca="false">INT(($A10-1)/36)+1</f>
        <v>1</v>
      </c>
      <c r="C10" s="14" t="n">
        <f aca="false">MOD($A10-1,36)+1</f>
        <v>5</v>
      </c>
      <c r="D10" s="14" t="n">
        <f aca="false">IF($C10&gt;p_horizon,0,IFERROR(IF(AND(INDEX(TblClusters[Cluster],$B10)&lt;&gt;"",ISNUMBER(INDEX(TblClusters[CPU initial (vCPU)],$B10)),ISNUMBER(INDEX(TblClusters[CPU min (vCPU)],$B10)),OR(INDEX(TblClusters[Plateforme],$B10)="IKS",INDEX(TblClusters[Plateforme],$B10)="ROKS")),1,0),0))</f>
        <v>1</v>
      </c>
      <c r="E10" s="83" t="n">
        <f aca="false">IF($D10=1,EDATE(p_debut,$C10-1),"")</f>
        <v>46419</v>
      </c>
      <c r="F10" s="14" t="str">
        <f aca="false">IF($D10=1,INDEX(TblClusters[Cluster],$B10),"")</f>
        <v>IKS-PRD-01</v>
      </c>
      <c r="G10" s="14" t="str">
        <f aca="false">IF($D10=1,INDEX(TblClusters[Plateforme],$B10),"")</f>
        <v>IKS</v>
      </c>
      <c r="H10" s="14" t="n">
        <f aca="false">IF($D10=1,INDEX(TblClusters[vCPU par nœud],$B10),"")</f>
        <v>32</v>
      </c>
      <c r="I10" s="14" t="n">
        <f aca="false">IF($D10=1,INDEX(TblClusters[RAM par nœud (Go)],$B10),"")</f>
        <v>128</v>
      </c>
      <c r="J10" s="14" t="n">
        <f aca="false">IF($D10=1,INDEX(TblClusters[Workers min],$B10),"")</f>
        <v>3</v>
      </c>
      <c r="K10" s="84" t="n">
        <f aca="false">IF($D10=1,INDEX(TblClusters[Tarif par nœud],$B10),"")</f>
        <v>1062</v>
      </c>
      <c r="L10" s="14" t="n">
        <f aca="false">IF($D10=1,INDEX(TblClusters[CPU initial (vCPU)],$B10),"")</f>
        <v>576</v>
      </c>
      <c r="M10" s="14" t="n">
        <f aca="false">IF($D10=1,INDEX(TblClusters[RAM initiale (Go)],$B10),"")</f>
        <v>2304</v>
      </c>
      <c r="N10" s="14" t="n">
        <f aca="false">IF($D10=1,INDEX(TblClusters[CPU min (vCPU)],$B10),"")</f>
        <v>96</v>
      </c>
      <c r="O10" s="14" t="n">
        <f aca="false">IF($D10=1,INDEX(TblClusters[RAM min (Go)],$B10),"")</f>
        <v>384</v>
      </c>
      <c r="P10" s="14" t="n">
        <f aca="false">IF($D10&lt;&gt;1,"",IF($G10="ROKS",SUMIFS(TblApplications[Besoin ROKS CPU (vCPU)],TblApplications[Cluster ROKS cible],$F10,TblApplications[Action],"À migrer",TblApplications[Déjà incluse ROKS],"Non",TblApplications[Mois prov (calc)],"&lt;="&amp;$E10),SUMIFS(TblApplications[CPU IKS libérable (vCPU)],TblApplications[Cluster IKS source],$F10,TblApplications[Mois lib (calc)],"&lt;="&amp;$E10)))</f>
        <v>0</v>
      </c>
      <c r="Q10" s="14" t="n">
        <f aca="false">IF($D10&lt;&gt;1,"",IF($G10="ROKS",SUMIFS(TblApplications[Besoin ROKS RAM (Go)],TblApplications[Cluster ROKS cible],$F10,TblApplications[Action],"À migrer",TblApplications[Déjà incluse ROKS],"Non",TblApplications[Mois prov (calc)],"&lt;="&amp;$E10),SUMIFS(TblApplications[RAM IKS libérable (Go)],TblApplications[Cluster IKS source],$F10,TblApplications[Mois lib (calc)],"&lt;="&amp;$E10)))</f>
        <v>0</v>
      </c>
      <c r="R10" s="14" t="n">
        <f aca="false">IF($D10&lt;&gt;1,"",IF($G10="ROKS",$L10+$P10,IF($AI10=1,0,MAX($N10,$L10-$P10))))</f>
        <v>576</v>
      </c>
      <c r="S10" s="14" t="n">
        <f aca="false">IF($D10&lt;&gt;1,"",IF($G10="ROKS",$M10+$Q10,IF($AI10=1,0,MAX($O10,$M10-$Q10))))</f>
        <v>2304</v>
      </c>
      <c r="T10" s="14" t="n">
        <f aca="false">IF($D10&lt;&gt;1,"",IF($AI10=1,0,MAX($J10,ROUNDUP(MAX($R10/$H10,$S10/$I10),0))))</f>
        <v>18</v>
      </c>
      <c r="U10" s="14" t="n">
        <f aca="false">IF($D10&lt;&gt;1,"",IF(p_mode="Nœud",$T10*$H10,$R10))</f>
        <v>576</v>
      </c>
      <c r="V10" s="14" t="n">
        <f aca="false">IF($D10&lt;&gt;1,"",IF(p_mode="Nœud",$T10*$I10,$S10))</f>
        <v>2304</v>
      </c>
      <c r="W10" s="84" t="n">
        <f aca="false">IF($D10&lt;&gt;1,"",IF(p_mode="Nœud",$T10*$K10,$R10*IF($G10="IKS",p_iks_cpu,p_roks_cpu)+$S10*IF($G10="IKS",p_iks_ram,p_roks_ram))*p_facteur)</f>
        <v>19116</v>
      </c>
      <c r="X10" s="14" t="n">
        <f aca="false">IF($D10&lt;&gt;1,"",IF($G10="ROKS",$R10,IF($AI10=1,0,MAX($N10,$L10-SUMIFS(TblApplications[CPU IKS libérable (vCPU)],TblApplications[Cluster IKS source],$F10,TblApplications[Action],"À migrer",TblApplications[Mois prov (calc)],"&lt;="&amp;$E10)-SUMIFS(TblApplications[CPU IKS libérable (vCPU)],TblApplications[Cluster IKS source],$F10,TblApplications[Action],"À décommissionner",TblApplications[Mois lib (calc)],"&lt;="&amp;$E10)))))</f>
        <v>576</v>
      </c>
      <c r="Y10" s="14" t="n">
        <f aca="false">IF($D10&lt;&gt;1,"",IF($G10="ROKS",$S10,IF($AI10=1,0,MAX($O10,$M10-SUMIFS(TblApplications[RAM IKS libérable (Go)],TblApplications[Cluster IKS source],$F10,TblApplications[Action],"À migrer",TblApplications[Mois prov (calc)],"&lt;="&amp;$E10)-SUMIFS(TblApplications[RAM IKS libérable (Go)],TblApplications[Cluster IKS source],$F10,TblApplications[Action],"À décommissionner",TblApplications[Mois lib (calc)],"&lt;="&amp;$E10)))))</f>
        <v>2304</v>
      </c>
      <c r="Z10" s="14" t="n">
        <f aca="false">IF($D10&lt;&gt;1,"",IF($AI10=1,0,MAX($J10,ROUNDUP(MAX($X10/$H10,$Y10/$I10),0))))</f>
        <v>18</v>
      </c>
      <c r="AA10" s="84" t="n">
        <f aca="false">IF($D10&lt;&gt;1,"",IF(p_mode="Nœud",$Z10*$K10,$X10*IF($G10="IKS",p_iks_cpu,p_roks_cpu)+$Y10*IF($G10="IKS",p_iks_ram,p_roks_ram))*p_facteur)</f>
        <v>19116</v>
      </c>
      <c r="AB10" s="14" t="n">
        <f aca="false">IF($D10&lt;&gt;1,"",MAX($J10,ROUNDUP(MAX($L10/$H10,$M10/$I10),0)))</f>
        <v>18</v>
      </c>
      <c r="AC10" s="84" t="n">
        <f aca="false">IF($D10&lt;&gt;1,"",IF(p_mode="Nœud",$AB10*$K10,$L10*IF($G10="IKS",p_iks_cpu,p_roks_cpu)+$M10*IF($G10="IKS",p_iks_ram,p_roks_ram))*p_facteur)</f>
        <v>19116</v>
      </c>
      <c r="AD10" s="14" t="n">
        <f aca="false">IF($D10&lt;&gt;1,"",IF(AND($G10="IKS",$AI10&lt;&gt;1,OR($L10-$P10&lt;$N10,$M10-$Q10&lt;$O10)),1,0))</f>
        <v>0</v>
      </c>
      <c r="AE10" s="14" t="n">
        <f aca="false">IF($D10&lt;&gt;1,"",IF(AND($G10="ROKS",$T10&gt;p_maxworkers),1,0))</f>
        <v>0</v>
      </c>
      <c r="AF10" s="14" t="str">
        <f aca="false">IF($D10&lt;&gt;1,"",IF(INDEX(TblClusters[Environnement],$B10)="","(vide)",INDEX(TblClusters[Environnement],$B10)))</f>
        <v>PRD</v>
      </c>
      <c r="AG10" s="14" t="n">
        <f aca="false">IF($D10&lt;&gt;1,"",$R10+p_poidsram*$S10)</f>
        <v>806.4</v>
      </c>
      <c r="AH10" s="14" t="n">
        <f aca="false">IF($D10&lt;&gt;1,"",IFERROR($W10/$AG10,0))</f>
        <v>23.7053571428571</v>
      </c>
      <c r="AI10" s="14" t="n">
        <f aca="false">IF($D10&lt;&gt;1,"",IF(AND($G10="IKS",ISNUMBER(INDEX(TblClusters[Fermeture retenue],$B10))),IF($E10&gt;=INDEX(TblClusters[Fermeture retenue],$B10),1,0),0))</f>
        <v>0</v>
      </c>
    </row>
    <row r="11" customFormat="false" ht="15" hidden="false" customHeight="false" outlineLevel="0" collapsed="false">
      <c r="A11" s="14" t="n">
        <v>6</v>
      </c>
      <c r="B11" s="14" t="n">
        <f aca="false">INT(($A11-1)/36)+1</f>
        <v>1</v>
      </c>
      <c r="C11" s="14" t="n">
        <f aca="false">MOD($A11-1,36)+1</f>
        <v>6</v>
      </c>
      <c r="D11" s="14" t="n">
        <f aca="false">IF($C11&gt;p_horizon,0,IFERROR(IF(AND(INDEX(TblClusters[Cluster],$B11)&lt;&gt;"",ISNUMBER(INDEX(TblClusters[CPU initial (vCPU)],$B11)),ISNUMBER(INDEX(TblClusters[CPU min (vCPU)],$B11)),OR(INDEX(TblClusters[Plateforme],$B11)="IKS",INDEX(TblClusters[Plateforme],$B11)="ROKS")),1,0),0))</f>
        <v>1</v>
      </c>
      <c r="E11" s="83" t="n">
        <f aca="false">IF($D11=1,EDATE(p_debut,$C11-1),"")</f>
        <v>46447</v>
      </c>
      <c r="F11" s="14" t="str">
        <f aca="false">IF($D11=1,INDEX(TblClusters[Cluster],$B11),"")</f>
        <v>IKS-PRD-01</v>
      </c>
      <c r="G11" s="14" t="str">
        <f aca="false">IF($D11=1,INDEX(TblClusters[Plateforme],$B11),"")</f>
        <v>IKS</v>
      </c>
      <c r="H11" s="14" t="n">
        <f aca="false">IF($D11=1,INDEX(TblClusters[vCPU par nœud],$B11),"")</f>
        <v>32</v>
      </c>
      <c r="I11" s="14" t="n">
        <f aca="false">IF($D11=1,INDEX(TblClusters[RAM par nœud (Go)],$B11),"")</f>
        <v>128</v>
      </c>
      <c r="J11" s="14" t="n">
        <f aca="false">IF($D11=1,INDEX(TblClusters[Workers min],$B11),"")</f>
        <v>3</v>
      </c>
      <c r="K11" s="84" t="n">
        <f aca="false">IF($D11=1,INDEX(TblClusters[Tarif par nœud],$B11),"")</f>
        <v>1062</v>
      </c>
      <c r="L11" s="14" t="n">
        <f aca="false">IF($D11=1,INDEX(TblClusters[CPU initial (vCPU)],$B11),"")</f>
        <v>576</v>
      </c>
      <c r="M11" s="14" t="n">
        <f aca="false">IF($D11=1,INDEX(TblClusters[RAM initiale (Go)],$B11),"")</f>
        <v>2304</v>
      </c>
      <c r="N11" s="14" t="n">
        <f aca="false">IF($D11=1,INDEX(TblClusters[CPU min (vCPU)],$B11),"")</f>
        <v>96</v>
      </c>
      <c r="O11" s="14" t="n">
        <f aca="false">IF($D11=1,INDEX(TblClusters[RAM min (Go)],$B11),"")</f>
        <v>384</v>
      </c>
      <c r="P11" s="14" t="n">
        <f aca="false">IF($D11&lt;&gt;1,"",IF($G11="ROKS",SUMIFS(TblApplications[Besoin ROKS CPU (vCPU)],TblApplications[Cluster ROKS cible],$F11,TblApplications[Action],"À migrer",TblApplications[Déjà incluse ROKS],"Non",TblApplications[Mois prov (calc)],"&lt;="&amp;$E11),SUMIFS(TblApplications[CPU IKS libérable (vCPU)],TblApplications[Cluster IKS source],$F11,TblApplications[Mois lib (calc)],"&lt;="&amp;$E11)))</f>
        <v>0</v>
      </c>
      <c r="Q11" s="14" t="n">
        <f aca="false">IF($D11&lt;&gt;1,"",IF($G11="ROKS",SUMIFS(TblApplications[Besoin ROKS RAM (Go)],TblApplications[Cluster ROKS cible],$F11,TblApplications[Action],"À migrer",TblApplications[Déjà incluse ROKS],"Non",TblApplications[Mois prov (calc)],"&lt;="&amp;$E11),SUMIFS(TblApplications[RAM IKS libérable (Go)],TblApplications[Cluster IKS source],$F11,TblApplications[Mois lib (calc)],"&lt;="&amp;$E11)))</f>
        <v>0</v>
      </c>
      <c r="R11" s="14" t="n">
        <f aca="false">IF($D11&lt;&gt;1,"",IF($G11="ROKS",$L11+$P11,IF($AI11=1,0,MAX($N11,$L11-$P11))))</f>
        <v>576</v>
      </c>
      <c r="S11" s="14" t="n">
        <f aca="false">IF($D11&lt;&gt;1,"",IF($G11="ROKS",$M11+$Q11,IF($AI11=1,0,MAX($O11,$M11-$Q11))))</f>
        <v>2304</v>
      </c>
      <c r="T11" s="14" t="n">
        <f aca="false">IF($D11&lt;&gt;1,"",IF($AI11=1,0,MAX($J11,ROUNDUP(MAX($R11/$H11,$S11/$I11),0))))</f>
        <v>18</v>
      </c>
      <c r="U11" s="14" t="n">
        <f aca="false">IF($D11&lt;&gt;1,"",IF(p_mode="Nœud",$T11*$H11,$R11))</f>
        <v>576</v>
      </c>
      <c r="V11" s="14" t="n">
        <f aca="false">IF($D11&lt;&gt;1,"",IF(p_mode="Nœud",$T11*$I11,$S11))</f>
        <v>2304</v>
      </c>
      <c r="W11" s="84" t="n">
        <f aca="false">IF($D11&lt;&gt;1,"",IF(p_mode="Nœud",$T11*$K11,$R11*IF($G11="IKS",p_iks_cpu,p_roks_cpu)+$S11*IF($G11="IKS",p_iks_ram,p_roks_ram))*p_facteur)</f>
        <v>19116</v>
      </c>
      <c r="X11" s="14" t="n">
        <f aca="false">IF($D11&lt;&gt;1,"",IF($G11="ROKS",$R11,IF($AI11=1,0,MAX($N11,$L11-SUMIFS(TblApplications[CPU IKS libérable (vCPU)],TblApplications[Cluster IKS source],$F11,TblApplications[Action],"À migrer",TblApplications[Mois prov (calc)],"&lt;="&amp;$E11)-SUMIFS(TblApplications[CPU IKS libérable (vCPU)],TblApplications[Cluster IKS source],$F11,TblApplications[Action],"À décommissionner",TblApplications[Mois lib (calc)],"&lt;="&amp;$E11)))))</f>
        <v>576</v>
      </c>
      <c r="Y11" s="14" t="n">
        <f aca="false">IF($D11&lt;&gt;1,"",IF($G11="ROKS",$S11,IF($AI11=1,0,MAX($O11,$M11-SUMIFS(TblApplications[RAM IKS libérable (Go)],TblApplications[Cluster IKS source],$F11,TblApplications[Action],"À migrer",TblApplications[Mois prov (calc)],"&lt;="&amp;$E11)-SUMIFS(TblApplications[RAM IKS libérable (Go)],TblApplications[Cluster IKS source],$F11,TblApplications[Action],"À décommissionner",TblApplications[Mois lib (calc)],"&lt;="&amp;$E11)))))</f>
        <v>2304</v>
      </c>
      <c r="Z11" s="14" t="n">
        <f aca="false">IF($D11&lt;&gt;1,"",IF($AI11=1,0,MAX($J11,ROUNDUP(MAX($X11/$H11,$Y11/$I11),0))))</f>
        <v>18</v>
      </c>
      <c r="AA11" s="84" t="n">
        <f aca="false">IF($D11&lt;&gt;1,"",IF(p_mode="Nœud",$Z11*$K11,$X11*IF($G11="IKS",p_iks_cpu,p_roks_cpu)+$Y11*IF($G11="IKS",p_iks_ram,p_roks_ram))*p_facteur)</f>
        <v>19116</v>
      </c>
      <c r="AB11" s="14" t="n">
        <f aca="false">IF($D11&lt;&gt;1,"",MAX($J11,ROUNDUP(MAX($L11/$H11,$M11/$I11),0)))</f>
        <v>18</v>
      </c>
      <c r="AC11" s="84" t="n">
        <f aca="false">IF($D11&lt;&gt;1,"",IF(p_mode="Nœud",$AB11*$K11,$L11*IF($G11="IKS",p_iks_cpu,p_roks_cpu)+$M11*IF($G11="IKS",p_iks_ram,p_roks_ram))*p_facteur)</f>
        <v>19116</v>
      </c>
      <c r="AD11" s="14" t="n">
        <f aca="false">IF($D11&lt;&gt;1,"",IF(AND($G11="IKS",$AI11&lt;&gt;1,OR($L11-$P11&lt;$N11,$M11-$Q11&lt;$O11)),1,0))</f>
        <v>0</v>
      </c>
      <c r="AE11" s="14" t="n">
        <f aca="false">IF($D11&lt;&gt;1,"",IF(AND($G11="ROKS",$T11&gt;p_maxworkers),1,0))</f>
        <v>0</v>
      </c>
      <c r="AF11" s="14" t="str">
        <f aca="false">IF($D11&lt;&gt;1,"",IF(INDEX(TblClusters[Environnement],$B11)="","(vide)",INDEX(TblClusters[Environnement],$B11)))</f>
        <v>PRD</v>
      </c>
      <c r="AG11" s="14" t="n">
        <f aca="false">IF($D11&lt;&gt;1,"",$R11+p_poidsram*$S11)</f>
        <v>806.4</v>
      </c>
      <c r="AH11" s="14" t="n">
        <f aca="false">IF($D11&lt;&gt;1,"",IFERROR($W11/$AG11,0))</f>
        <v>23.7053571428571</v>
      </c>
      <c r="AI11" s="14" t="n">
        <f aca="false">IF($D11&lt;&gt;1,"",IF(AND($G11="IKS",ISNUMBER(INDEX(TblClusters[Fermeture retenue],$B11))),IF($E11&gt;=INDEX(TblClusters[Fermeture retenue],$B11),1,0),0))</f>
        <v>0</v>
      </c>
    </row>
    <row r="12" customFormat="false" ht="15" hidden="false" customHeight="false" outlineLevel="0" collapsed="false">
      <c r="A12" s="14" t="n">
        <v>7</v>
      </c>
      <c r="B12" s="14" t="n">
        <f aca="false">INT(($A12-1)/36)+1</f>
        <v>1</v>
      </c>
      <c r="C12" s="14" t="n">
        <f aca="false">MOD($A12-1,36)+1</f>
        <v>7</v>
      </c>
      <c r="D12" s="14" t="n">
        <f aca="false">IF($C12&gt;p_horizon,0,IFERROR(IF(AND(INDEX(TblClusters[Cluster],$B12)&lt;&gt;"",ISNUMBER(INDEX(TblClusters[CPU initial (vCPU)],$B12)),ISNUMBER(INDEX(TblClusters[CPU min (vCPU)],$B12)),OR(INDEX(TblClusters[Plateforme],$B12)="IKS",INDEX(TblClusters[Plateforme],$B12)="ROKS")),1,0),0))</f>
        <v>1</v>
      </c>
      <c r="E12" s="83" t="n">
        <f aca="false">IF($D12=1,EDATE(p_debut,$C12-1),"")</f>
        <v>46478</v>
      </c>
      <c r="F12" s="14" t="str">
        <f aca="false">IF($D12=1,INDEX(TblClusters[Cluster],$B12),"")</f>
        <v>IKS-PRD-01</v>
      </c>
      <c r="G12" s="14" t="str">
        <f aca="false">IF($D12=1,INDEX(TblClusters[Plateforme],$B12),"")</f>
        <v>IKS</v>
      </c>
      <c r="H12" s="14" t="n">
        <f aca="false">IF($D12=1,INDEX(TblClusters[vCPU par nœud],$B12),"")</f>
        <v>32</v>
      </c>
      <c r="I12" s="14" t="n">
        <f aca="false">IF($D12=1,INDEX(TblClusters[RAM par nœud (Go)],$B12),"")</f>
        <v>128</v>
      </c>
      <c r="J12" s="14" t="n">
        <f aca="false">IF($D12=1,INDEX(TblClusters[Workers min],$B12),"")</f>
        <v>3</v>
      </c>
      <c r="K12" s="84" t="n">
        <f aca="false">IF($D12=1,INDEX(TblClusters[Tarif par nœud],$B12),"")</f>
        <v>1062</v>
      </c>
      <c r="L12" s="14" t="n">
        <f aca="false">IF($D12=1,INDEX(TblClusters[CPU initial (vCPU)],$B12),"")</f>
        <v>576</v>
      </c>
      <c r="M12" s="14" t="n">
        <f aca="false">IF($D12=1,INDEX(TblClusters[RAM initiale (Go)],$B12),"")</f>
        <v>2304</v>
      </c>
      <c r="N12" s="14" t="n">
        <f aca="false">IF($D12=1,INDEX(TblClusters[CPU min (vCPU)],$B12),"")</f>
        <v>96</v>
      </c>
      <c r="O12" s="14" t="n">
        <f aca="false">IF($D12=1,INDEX(TblClusters[RAM min (Go)],$B12),"")</f>
        <v>384</v>
      </c>
      <c r="P12" s="14" t="n">
        <f aca="false">IF($D12&lt;&gt;1,"",IF($G12="ROKS",SUMIFS(TblApplications[Besoin ROKS CPU (vCPU)],TblApplications[Cluster ROKS cible],$F12,TblApplications[Action],"À migrer",TblApplications[Déjà incluse ROKS],"Non",TblApplications[Mois prov (calc)],"&lt;="&amp;$E12),SUMIFS(TblApplications[CPU IKS libérable (vCPU)],TblApplications[Cluster IKS source],$F12,TblApplications[Mois lib (calc)],"&lt;="&amp;$E12)))</f>
        <v>0</v>
      </c>
      <c r="Q12" s="14" t="n">
        <f aca="false">IF($D12&lt;&gt;1,"",IF($G12="ROKS",SUMIFS(TblApplications[Besoin ROKS RAM (Go)],TblApplications[Cluster ROKS cible],$F12,TblApplications[Action],"À migrer",TblApplications[Déjà incluse ROKS],"Non",TblApplications[Mois prov (calc)],"&lt;="&amp;$E12),SUMIFS(TblApplications[RAM IKS libérable (Go)],TblApplications[Cluster IKS source],$F12,TblApplications[Mois lib (calc)],"&lt;="&amp;$E12)))</f>
        <v>0</v>
      </c>
      <c r="R12" s="14" t="n">
        <f aca="false">IF($D12&lt;&gt;1,"",IF($G12="ROKS",$L12+$P12,IF($AI12=1,0,MAX($N12,$L12-$P12))))</f>
        <v>576</v>
      </c>
      <c r="S12" s="14" t="n">
        <f aca="false">IF($D12&lt;&gt;1,"",IF($G12="ROKS",$M12+$Q12,IF($AI12=1,0,MAX($O12,$M12-$Q12))))</f>
        <v>2304</v>
      </c>
      <c r="T12" s="14" t="n">
        <f aca="false">IF($D12&lt;&gt;1,"",IF($AI12=1,0,MAX($J12,ROUNDUP(MAX($R12/$H12,$S12/$I12),0))))</f>
        <v>18</v>
      </c>
      <c r="U12" s="14" t="n">
        <f aca="false">IF($D12&lt;&gt;1,"",IF(p_mode="Nœud",$T12*$H12,$R12))</f>
        <v>576</v>
      </c>
      <c r="V12" s="14" t="n">
        <f aca="false">IF($D12&lt;&gt;1,"",IF(p_mode="Nœud",$T12*$I12,$S12))</f>
        <v>2304</v>
      </c>
      <c r="W12" s="84" t="n">
        <f aca="false">IF($D12&lt;&gt;1,"",IF(p_mode="Nœud",$T12*$K12,$R12*IF($G12="IKS",p_iks_cpu,p_roks_cpu)+$S12*IF($G12="IKS",p_iks_ram,p_roks_ram))*p_facteur)</f>
        <v>19116</v>
      </c>
      <c r="X12" s="14" t="n">
        <f aca="false">IF($D12&lt;&gt;1,"",IF($G12="ROKS",$R12,IF($AI12=1,0,MAX($N12,$L12-SUMIFS(TblApplications[CPU IKS libérable (vCPU)],TblApplications[Cluster IKS source],$F12,TblApplications[Action],"À migrer",TblApplications[Mois prov (calc)],"&lt;="&amp;$E12)-SUMIFS(TblApplications[CPU IKS libérable (vCPU)],TblApplications[Cluster IKS source],$F12,TblApplications[Action],"À décommissionner",TblApplications[Mois lib (calc)],"&lt;="&amp;$E12)))))</f>
        <v>416</v>
      </c>
      <c r="Y12" s="14" t="n">
        <f aca="false">IF($D12&lt;&gt;1,"",IF($G12="ROKS",$S12,IF($AI12=1,0,MAX($O12,$M12-SUMIFS(TblApplications[RAM IKS libérable (Go)],TblApplications[Cluster IKS source],$F12,TblApplications[Action],"À migrer",TblApplications[Mois prov (calc)],"&lt;="&amp;$E12)-SUMIFS(TblApplications[RAM IKS libérable (Go)],TblApplications[Cluster IKS source],$F12,TblApplications[Action],"À décommissionner",TblApplications[Mois lib (calc)],"&lt;="&amp;$E12)))))</f>
        <v>1664</v>
      </c>
      <c r="Z12" s="14" t="n">
        <f aca="false">IF($D12&lt;&gt;1,"",IF($AI12=1,0,MAX($J12,ROUNDUP(MAX($X12/$H12,$Y12/$I12),0))))</f>
        <v>13</v>
      </c>
      <c r="AA12" s="84" t="n">
        <f aca="false">IF($D12&lt;&gt;1,"",IF(p_mode="Nœud",$Z12*$K12,$X12*IF($G12="IKS",p_iks_cpu,p_roks_cpu)+$Y12*IF($G12="IKS",p_iks_ram,p_roks_ram))*p_facteur)</f>
        <v>13806</v>
      </c>
      <c r="AB12" s="14" t="n">
        <f aca="false">IF($D12&lt;&gt;1,"",MAX($J12,ROUNDUP(MAX($L12/$H12,$M12/$I12),0)))</f>
        <v>18</v>
      </c>
      <c r="AC12" s="84" t="n">
        <f aca="false">IF($D12&lt;&gt;1,"",IF(p_mode="Nœud",$AB12*$K12,$L12*IF($G12="IKS",p_iks_cpu,p_roks_cpu)+$M12*IF($G12="IKS",p_iks_ram,p_roks_ram))*p_facteur)</f>
        <v>19116</v>
      </c>
      <c r="AD12" s="14" t="n">
        <f aca="false">IF($D12&lt;&gt;1,"",IF(AND($G12="IKS",$AI12&lt;&gt;1,OR($L12-$P12&lt;$N12,$M12-$Q12&lt;$O12)),1,0))</f>
        <v>0</v>
      </c>
      <c r="AE12" s="14" t="n">
        <f aca="false">IF($D12&lt;&gt;1,"",IF(AND($G12="ROKS",$T12&gt;p_maxworkers),1,0))</f>
        <v>0</v>
      </c>
      <c r="AF12" s="14" t="str">
        <f aca="false">IF($D12&lt;&gt;1,"",IF(INDEX(TblClusters[Environnement],$B12)="","(vide)",INDEX(TblClusters[Environnement],$B12)))</f>
        <v>PRD</v>
      </c>
      <c r="AG12" s="14" t="n">
        <f aca="false">IF($D12&lt;&gt;1,"",$R12+p_poidsram*$S12)</f>
        <v>806.4</v>
      </c>
      <c r="AH12" s="14" t="n">
        <f aca="false">IF($D12&lt;&gt;1,"",IFERROR($W12/$AG12,0))</f>
        <v>23.7053571428571</v>
      </c>
      <c r="AI12" s="14" t="n">
        <f aca="false">IF($D12&lt;&gt;1,"",IF(AND($G12="IKS",ISNUMBER(INDEX(TblClusters[Fermeture retenue],$B12))),IF($E12&gt;=INDEX(TblClusters[Fermeture retenue],$B12),1,0),0))</f>
        <v>0</v>
      </c>
    </row>
    <row r="13" customFormat="false" ht="15" hidden="false" customHeight="false" outlineLevel="0" collapsed="false">
      <c r="A13" s="14" t="n">
        <v>8</v>
      </c>
      <c r="B13" s="14" t="n">
        <f aca="false">INT(($A13-1)/36)+1</f>
        <v>1</v>
      </c>
      <c r="C13" s="14" t="n">
        <f aca="false">MOD($A13-1,36)+1</f>
        <v>8</v>
      </c>
      <c r="D13" s="14" t="n">
        <f aca="false">IF($C13&gt;p_horizon,0,IFERROR(IF(AND(INDEX(TblClusters[Cluster],$B13)&lt;&gt;"",ISNUMBER(INDEX(TblClusters[CPU initial (vCPU)],$B13)),ISNUMBER(INDEX(TblClusters[CPU min (vCPU)],$B13)),OR(INDEX(TblClusters[Plateforme],$B13)="IKS",INDEX(TblClusters[Plateforme],$B13)="ROKS")),1,0),0))</f>
        <v>1</v>
      </c>
      <c r="E13" s="83" t="n">
        <f aca="false">IF($D13=1,EDATE(p_debut,$C13-1),"")</f>
        <v>46508</v>
      </c>
      <c r="F13" s="14" t="str">
        <f aca="false">IF($D13=1,INDEX(TblClusters[Cluster],$B13),"")</f>
        <v>IKS-PRD-01</v>
      </c>
      <c r="G13" s="14" t="str">
        <f aca="false">IF($D13=1,INDEX(TblClusters[Plateforme],$B13),"")</f>
        <v>IKS</v>
      </c>
      <c r="H13" s="14" t="n">
        <f aca="false">IF($D13=1,INDEX(TblClusters[vCPU par nœud],$B13),"")</f>
        <v>32</v>
      </c>
      <c r="I13" s="14" t="n">
        <f aca="false">IF($D13=1,INDEX(TblClusters[RAM par nœud (Go)],$B13),"")</f>
        <v>128</v>
      </c>
      <c r="J13" s="14" t="n">
        <f aca="false">IF($D13=1,INDEX(TblClusters[Workers min],$B13),"")</f>
        <v>3</v>
      </c>
      <c r="K13" s="84" t="n">
        <f aca="false">IF($D13=1,INDEX(TblClusters[Tarif par nœud],$B13),"")</f>
        <v>1062</v>
      </c>
      <c r="L13" s="14" t="n">
        <f aca="false">IF($D13=1,INDEX(TblClusters[CPU initial (vCPU)],$B13),"")</f>
        <v>576</v>
      </c>
      <c r="M13" s="14" t="n">
        <f aca="false">IF($D13=1,INDEX(TblClusters[RAM initiale (Go)],$B13),"")</f>
        <v>2304</v>
      </c>
      <c r="N13" s="14" t="n">
        <f aca="false">IF($D13=1,INDEX(TblClusters[CPU min (vCPU)],$B13),"")</f>
        <v>96</v>
      </c>
      <c r="O13" s="14" t="n">
        <f aca="false">IF($D13=1,INDEX(TblClusters[RAM min (Go)],$B13),"")</f>
        <v>384</v>
      </c>
      <c r="P13" s="14" t="n">
        <f aca="false">IF($D13&lt;&gt;1,"",IF($G13="ROKS",SUMIFS(TblApplications[Besoin ROKS CPU (vCPU)],TblApplications[Cluster ROKS cible],$F13,TblApplications[Action],"À migrer",TblApplications[Déjà incluse ROKS],"Non",TblApplications[Mois prov (calc)],"&lt;="&amp;$E13),SUMIFS(TblApplications[CPU IKS libérable (vCPU)],TblApplications[Cluster IKS source],$F13,TblApplications[Mois lib (calc)],"&lt;="&amp;$E13)))</f>
        <v>0</v>
      </c>
      <c r="Q13" s="14" t="n">
        <f aca="false">IF($D13&lt;&gt;1,"",IF($G13="ROKS",SUMIFS(TblApplications[Besoin ROKS RAM (Go)],TblApplications[Cluster ROKS cible],$F13,TblApplications[Action],"À migrer",TblApplications[Déjà incluse ROKS],"Non",TblApplications[Mois prov (calc)],"&lt;="&amp;$E13),SUMIFS(TblApplications[RAM IKS libérable (Go)],TblApplications[Cluster IKS source],$F13,TblApplications[Mois lib (calc)],"&lt;="&amp;$E13)))</f>
        <v>0</v>
      </c>
      <c r="R13" s="14" t="n">
        <f aca="false">IF($D13&lt;&gt;1,"",IF($G13="ROKS",$L13+$P13,IF($AI13=1,0,MAX($N13,$L13-$P13))))</f>
        <v>576</v>
      </c>
      <c r="S13" s="14" t="n">
        <f aca="false">IF($D13&lt;&gt;1,"",IF($G13="ROKS",$M13+$Q13,IF($AI13=1,0,MAX($O13,$M13-$Q13))))</f>
        <v>2304</v>
      </c>
      <c r="T13" s="14" t="n">
        <f aca="false">IF($D13&lt;&gt;1,"",IF($AI13=1,0,MAX($J13,ROUNDUP(MAX($R13/$H13,$S13/$I13),0))))</f>
        <v>18</v>
      </c>
      <c r="U13" s="14" t="n">
        <f aca="false">IF($D13&lt;&gt;1,"",IF(p_mode="Nœud",$T13*$H13,$R13))</f>
        <v>576</v>
      </c>
      <c r="V13" s="14" t="n">
        <f aca="false">IF($D13&lt;&gt;1,"",IF(p_mode="Nœud",$T13*$I13,$S13))</f>
        <v>2304</v>
      </c>
      <c r="W13" s="84" t="n">
        <f aca="false">IF($D13&lt;&gt;1,"",IF(p_mode="Nœud",$T13*$K13,$R13*IF($G13="IKS",p_iks_cpu,p_roks_cpu)+$S13*IF($G13="IKS",p_iks_ram,p_roks_ram))*p_facteur)</f>
        <v>19116</v>
      </c>
      <c r="X13" s="14" t="n">
        <f aca="false">IF($D13&lt;&gt;1,"",IF($G13="ROKS",$R13,IF($AI13=1,0,MAX($N13,$L13-SUMIFS(TblApplications[CPU IKS libérable (vCPU)],TblApplications[Cluster IKS source],$F13,TblApplications[Action],"À migrer",TblApplications[Mois prov (calc)],"&lt;="&amp;$E13)-SUMIFS(TblApplications[CPU IKS libérable (vCPU)],TblApplications[Cluster IKS source],$F13,TblApplications[Action],"À décommissionner",TblApplications[Mois lib (calc)],"&lt;="&amp;$E13)))))</f>
        <v>416</v>
      </c>
      <c r="Y13" s="14" t="n">
        <f aca="false">IF($D13&lt;&gt;1,"",IF($G13="ROKS",$S13,IF($AI13=1,0,MAX($O13,$M13-SUMIFS(TblApplications[RAM IKS libérable (Go)],TblApplications[Cluster IKS source],$F13,TblApplications[Action],"À migrer",TblApplications[Mois prov (calc)],"&lt;="&amp;$E13)-SUMIFS(TblApplications[RAM IKS libérable (Go)],TblApplications[Cluster IKS source],$F13,TblApplications[Action],"À décommissionner",TblApplications[Mois lib (calc)],"&lt;="&amp;$E13)))))</f>
        <v>1664</v>
      </c>
      <c r="Z13" s="14" t="n">
        <f aca="false">IF($D13&lt;&gt;1,"",IF($AI13=1,0,MAX($J13,ROUNDUP(MAX($X13/$H13,$Y13/$I13),0))))</f>
        <v>13</v>
      </c>
      <c r="AA13" s="84" t="n">
        <f aca="false">IF($D13&lt;&gt;1,"",IF(p_mode="Nœud",$Z13*$K13,$X13*IF($G13="IKS",p_iks_cpu,p_roks_cpu)+$Y13*IF($G13="IKS",p_iks_ram,p_roks_ram))*p_facteur)</f>
        <v>13806</v>
      </c>
      <c r="AB13" s="14" t="n">
        <f aca="false">IF($D13&lt;&gt;1,"",MAX($J13,ROUNDUP(MAX($L13/$H13,$M13/$I13),0)))</f>
        <v>18</v>
      </c>
      <c r="AC13" s="84" t="n">
        <f aca="false">IF($D13&lt;&gt;1,"",IF(p_mode="Nœud",$AB13*$K13,$L13*IF($G13="IKS",p_iks_cpu,p_roks_cpu)+$M13*IF($G13="IKS",p_iks_ram,p_roks_ram))*p_facteur)</f>
        <v>19116</v>
      </c>
      <c r="AD13" s="14" t="n">
        <f aca="false">IF($D13&lt;&gt;1,"",IF(AND($G13="IKS",$AI13&lt;&gt;1,OR($L13-$P13&lt;$N13,$M13-$Q13&lt;$O13)),1,0))</f>
        <v>0</v>
      </c>
      <c r="AE13" s="14" t="n">
        <f aca="false">IF($D13&lt;&gt;1,"",IF(AND($G13="ROKS",$T13&gt;p_maxworkers),1,0))</f>
        <v>0</v>
      </c>
      <c r="AF13" s="14" t="str">
        <f aca="false">IF($D13&lt;&gt;1,"",IF(INDEX(TblClusters[Environnement],$B13)="","(vide)",INDEX(TblClusters[Environnement],$B13)))</f>
        <v>PRD</v>
      </c>
      <c r="AG13" s="14" t="n">
        <f aca="false">IF($D13&lt;&gt;1,"",$R13+p_poidsram*$S13)</f>
        <v>806.4</v>
      </c>
      <c r="AH13" s="14" t="n">
        <f aca="false">IF($D13&lt;&gt;1,"",IFERROR($W13/$AG13,0))</f>
        <v>23.7053571428571</v>
      </c>
      <c r="AI13" s="14" t="n">
        <f aca="false">IF($D13&lt;&gt;1,"",IF(AND($G13="IKS",ISNUMBER(INDEX(TblClusters[Fermeture retenue],$B13))),IF($E13&gt;=INDEX(TblClusters[Fermeture retenue],$B13),1,0),0))</f>
        <v>0</v>
      </c>
    </row>
    <row r="14" customFormat="false" ht="15" hidden="false" customHeight="false" outlineLevel="0" collapsed="false">
      <c r="A14" s="14" t="n">
        <v>9</v>
      </c>
      <c r="B14" s="14" t="n">
        <f aca="false">INT(($A14-1)/36)+1</f>
        <v>1</v>
      </c>
      <c r="C14" s="14" t="n">
        <f aca="false">MOD($A14-1,36)+1</f>
        <v>9</v>
      </c>
      <c r="D14" s="14" t="n">
        <f aca="false">IF($C14&gt;p_horizon,0,IFERROR(IF(AND(INDEX(TblClusters[Cluster],$B14)&lt;&gt;"",ISNUMBER(INDEX(TblClusters[CPU initial (vCPU)],$B14)),ISNUMBER(INDEX(TblClusters[CPU min (vCPU)],$B14)),OR(INDEX(TblClusters[Plateforme],$B14)="IKS",INDEX(TblClusters[Plateforme],$B14)="ROKS")),1,0),0))</f>
        <v>1</v>
      </c>
      <c r="E14" s="83" t="n">
        <f aca="false">IF($D14=1,EDATE(p_debut,$C14-1),"")</f>
        <v>46539</v>
      </c>
      <c r="F14" s="14" t="str">
        <f aca="false">IF($D14=1,INDEX(TblClusters[Cluster],$B14),"")</f>
        <v>IKS-PRD-01</v>
      </c>
      <c r="G14" s="14" t="str">
        <f aca="false">IF($D14=1,INDEX(TblClusters[Plateforme],$B14),"")</f>
        <v>IKS</v>
      </c>
      <c r="H14" s="14" t="n">
        <f aca="false">IF($D14=1,INDEX(TblClusters[vCPU par nœud],$B14),"")</f>
        <v>32</v>
      </c>
      <c r="I14" s="14" t="n">
        <f aca="false">IF($D14=1,INDEX(TblClusters[RAM par nœud (Go)],$B14),"")</f>
        <v>128</v>
      </c>
      <c r="J14" s="14" t="n">
        <f aca="false">IF($D14=1,INDEX(TblClusters[Workers min],$B14),"")</f>
        <v>3</v>
      </c>
      <c r="K14" s="84" t="n">
        <f aca="false">IF($D14=1,INDEX(TblClusters[Tarif par nœud],$B14),"")</f>
        <v>1062</v>
      </c>
      <c r="L14" s="14" t="n">
        <f aca="false">IF($D14=1,INDEX(TblClusters[CPU initial (vCPU)],$B14),"")</f>
        <v>576</v>
      </c>
      <c r="M14" s="14" t="n">
        <f aca="false">IF($D14=1,INDEX(TblClusters[RAM initiale (Go)],$B14),"")</f>
        <v>2304</v>
      </c>
      <c r="N14" s="14" t="n">
        <f aca="false">IF($D14=1,INDEX(TblClusters[CPU min (vCPU)],$B14),"")</f>
        <v>96</v>
      </c>
      <c r="O14" s="14" t="n">
        <f aca="false">IF($D14=1,INDEX(TblClusters[RAM min (Go)],$B14),"")</f>
        <v>384</v>
      </c>
      <c r="P14" s="14" t="n">
        <f aca="false">IF($D14&lt;&gt;1,"",IF($G14="ROKS",SUMIFS(TblApplications[Besoin ROKS CPU (vCPU)],TblApplications[Cluster ROKS cible],$F14,TblApplications[Action],"À migrer",TblApplications[Déjà incluse ROKS],"Non",TblApplications[Mois prov (calc)],"&lt;="&amp;$E14),SUMIFS(TblApplications[CPU IKS libérable (vCPU)],TblApplications[Cluster IKS source],$F14,TblApplications[Mois lib (calc)],"&lt;="&amp;$E14)))</f>
        <v>0</v>
      </c>
      <c r="Q14" s="14" t="n">
        <f aca="false">IF($D14&lt;&gt;1,"",IF($G14="ROKS",SUMIFS(TblApplications[Besoin ROKS RAM (Go)],TblApplications[Cluster ROKS cible],$F14,TblApplications[Action],"À migrer",TblApplications[Déjà incluse ROKS],"Non",TblApplications[Mois prov (calc)],"&lt;="&amp;$E14),SUMIFS(TblApplications[RAM IKS libérable (Go)],TblApplications[Cluster IKS source],$F14,TblApplications[Mois lib (calc)],"&lt;="&amp;$E14)))</f>
        <v>0</v>
      </c>
      <c r="R14" s="14" t="n">
        <f aca="false">IF($D14&lt;&gt;1,"",IF($G14="ROKS",$L14+$P14,IF($AI14=1,0,MAX($N14,$L14-$P14))))</f>
        <v>576</v>
      </c>
      <c r="S14" s="14" t="n">
        <f aca="false">IF($D14&lt;&gt;1,"",IF($G14="ROKS",$M14+$Q14,IF($AI14=1,0,MAX($O14,$M14-$Q14))))</f>
        <v>2304</v>
      </c>
      <c r="T14" s="14" t="n">
        <f aca="false">IF($D14&lt;&gt;1,"",IF($AI14=1,0,MAX($J14,ROUNDUP(MAX($R14/$H14,$S14/$I14),0))))</f>
        <v>18</v>
      </c>
      <c r="U14" s="14" t="n">
        <f aca="false">IF($D14&lt;&gt;1,"",IF(p_mode="Nœud",$T14*$H14,$R14))</f>
        <v>576</v>
      </c>
      <c r="V14" s="14" t="n">
        <f aca="false">IF($D14&lt;&gt;1,"",IF(p_mode="Nœud",$T14*$I14,$S14))</f>
        <v>2304</v>
      </c>
      <c r="W14" s="84" t="n">
        <f aca="false">IF($D14&lt;&gt;1,"",IF(p_mode="Nœud",$T14*$K14,$R14*IF($G14="IKS",p_iks_cpu,p_roks_cpu)+$S14*IF($G14="IKS",p_iks_ram,p_roks_ram))*p_facteur)</f>
        <v>19116</v>
      </c>
      <c r="X14" s="14" t="n">
        <f aca="false">IF($D14&lt;&gt;1,"",IF($G14="ROKS",$R14,IF($AI14=1,0,MAX($N14,$L14-SUMIFS(TblApplications[CPU IKS libérable (vCPU)],TblApplications[Cluster IKS source],$F14,TblApplications[Action],"À migrer",TblApplications[Mois prov (calc)],"&lt;="&amp;$E14)-SUMIFS(TblApplications[CPU IKS libérable (vCPU)],TblApplications[Cluster IKS source],$F14,TblApplications[Action],"À décommissionner",TblApplications[Mois lib (calc)],"&lt;="&amp;$E14)))))</f>
        <v>416</v>
      </c>
      <c r="Y14" s="14" t="n">
        <f aca="false">IF($D14&lt;&gt;1,"",IF($G14="ROKS",$S14,IF($AI14=1,0,MAX($O14,$M14-SUMIFS(TblApplications[RAM IKS libérable (Go)],TblApplications[Cluster IKS source],$F14,TblApplications[Action],"À migrer",TblApplications[Mois prov (calc)],"&lt;="&amp;$E14)-SUMIFS(TblApplications[RAM IKS libérable (Go)],TblApplications[Cluster IKS source],$F14,TblApplications[Action],"À décommissionner",TblApplications[Mois lib (calc)],"&lt;="&amp;$E14)))))</f>
        <v>1664</v>
      </c>
      <c r="Z14" s="14" t="n">
        <f aca="false">IF($D14&lt;&gt;1,"",IF($AI14=1,0,MAX($J14,ROUNDUP(MAX($X14/$H14,$Y14/$I14),0))))</f>
        <v>13</v>
      </c>
      <c r="AA14" s="84" t="n">
        <f aca="false">IF($D14&lt;&gt;1,"",IF(p_mode="Nœud",$Z14*$K14,$X14*IF($G14="IKS",p_iks_cpu,p_roks_cpu)+$Y14*IF($G14="IKS",p_iks_ram,p_roks_ram))*p_facteur)</f>
        <v>13806</v>
      </c>
      <c r="AB14" s="14" t="n">
        <f aca="false">IF($D14&lt;&gt;1,"",MAX($J14,ROUNDUP(MAX($L14/$H14,$M14/$I14),0)))</f>
        <v>18</v>
      </c>
      <c r="AC14" s="84" t="n">
        <f aca="false">IF($D14&lt;&gt;1,"",IF(p_mode="Nœud",$AB14*$K14,$L14*IF($G14="IKS",p_iks_cpu,p_roks_cpu)+$M14*IF($G14="IKS",p_iks_ram,p_roks_ram))*p_facteur)</f>
        <v>19116</v>
      </c>
      <c r="AD14" s="14" t="n">
        <f aca="false">IF($D14&lt;&gt;1,"",IF(AND($G14="IKS",$AI14&lt;&gt;1,OR($L14-$P14&lt;$N14,$M14-$Q14&lt;$O14)),1,0))</f>
        <v>0</v>
      </c>
      <c r="AE14" s="14" t="n">
        <f aca="false">IF($D14&lt;&gt;1,"",IF(AND($G14="ROKS",$T14&gt;p_maxworkers),1,0))</f>
        <v>0</v>
      </c>
      <c r="AF14" s="14" t="str">
        <f aca="false">IF($D14&lt;&gt;1,"",IF(INDEX(TblClusters[Environnement],$B14)="","(vide)",INDEX(TblClusters[Environnement],$B14)))</f>
        <v>PRD</v>
      </c>
      <c r="AG14" s="14" t="n">
        <f aca="false">IF($D14&lt;&gt;1,"",$R14+p_poidsram*$S14)</f>
        <v>806.4</v>
      </c>
      <c r="AH14" s="14" t="n">
        <f aca="false">IF($D14&lt;&gt;1,"",IFERROR($W14/$AG14,0))</f>
        <v>23.7053571428571</v>
      </c>
      <c r="AI14" s="14" t="n">
        <f aca="false">IF($D14&lt;&gt;1,"",IF(AND($G14="IKS",ISNUMBER(INDEX(TblClusters[Fermeture retenue],$B14))),IF($E14&gt;=INDEX(TblClusters[Fermeture retenue],$B14),1,0),0))</f>
        <v>0</v>
      </c>
    </row>
    <row r="15" customFormat="false" ht="15" hidden="false" customHeight="false" outlineLevel="0" collapsed="false">
      <c r="A15" s="14" t="n">
        <v>10</v>
      </c>
      <c r="B15" s="14" t="n">
        <f aca="false">INT(($A15-1)/36)+1</f>
        <v>1</v>
      </c>
      <c r="C15" s="14" t="n">
        <f aca="false">MOD($A15-1,36)+1</f>
        <v>10</v>
      </c>
      <c r="D15" s="14" t="n">
        <f aca="false">IF($C15&gt;p_horizon,0,IFERROR(IF(AND(INDEX(TblClusters[Cluster],$B15)&lt;&gt;"",ISNUMBER(INDEX(TblClusters[CPU initial (vCPU)],$B15)),ISNUMBER(INDEX(TblClusters[CPU min (vCPU)],$B15)),OR(INDEX(TblClusters[Plateforme],$B15)="IKS",INDEX(TblClusters[Plateforme],$B15)="ROKS")),1,0),0))</f>
        <v>1</v>
      </c>
      <c r="E15" s="83" t="n">
        <f aca="false">IF($D15=1,EDATE(p_debut,$C15-1),"")</f>
        <v>46569</v>
      </c>
      <c r="F15" s="14" t="str">
        <f aca="false">IF($D15=1,INDEX(TblClusters[Cluster],$B15),"")</f>
        <v>IKS-PRD-01</v>
      </c>
      <c r="G15" s="14" t="str">
        <f aca="false">IF($D15=1,INDEX(TblClusters[Plateforme],$B15),"")</f>
        <v>IKS</v>
      </c>
      <c r="H15" s="14" t="n">
        <f aca="false">IF($D15=1,INDEX(TblClusters[vCPU par nœud],$B15),"")</f>
        <v>32</v>
      </c>
      <c r="I15" s="14" t="n">
        <f aca="false">IF($D15=1,INDEX(TblClusters[RAM par nœud (Go)],$B15),"")</f>
        <v>128</v>
      </c>
      <c r="J15" s="14" t="n">
        <f aca="false">IF($D15=1,INDEX(TblClusters[Workers min],$B15),"")</f>
        <v>3</v>
      </c>
      <c r="K15" s="84" t="n">
        <f aca="false">IF($D15=1,INDEX(TblClusters[Tarif par nœud],$B15),"")</f>
        <v>1062</v>
      </c>
      <c r="L15" s="14" t="n">
        <f aca="false">IF($D15=1,INDEX(TblClusters[CPU initial (vCPU)],$B15),"")</f>
        <v>576</v>
      </c>
      <c r="M15" s="14" t="n">
        <f aca="false">IF($D15=1,INDEX(TblClusters[RAM initiale (Go)],$B15),"")</f>
        <v>2304</v>
      </c>
      <c r="N15" s="14" t="n">
        <f aca="false">IF($D15=1,INDEX(TblClusters[CPU min (vCPU)],$B15),"")</f>
        <v>96</v>
      </c>
      <c r="O15" s="14" t="n">
        <f aca="false">IF($D15=1,INDEX(TblClusters[RAM min (Go)],$B15),"")</f>
        <v>384</v>
      </c>
      <c r="P15" s="14" t="n">
        <f aca="false">IF($D15&lt;&gt;1,"",IF($G15="ROKS",SUMIFS(TblApplications[Besoin ROKS CPU (vCPU)],TblApplications[Cluster ROKS cible],$F15,TblApplications[Action],"À migrer",TblApplications[Déjà incluse ROKS],"Non",TblApplications[Mois prov (calc)],"&lt;="&amp;$E15),SUMIFS(TblApplications[CPU IKS libérable (vCPU)],TblApplications[Cluster IKS source],$F15,TblApplications[Mois lib (calc)],"&lt;="&amp;$E15)))</f>
        <v>160</v>
      </c>
      <c r="Q15" s="14" t="n">
        <f aca="false">IF($D15&lt;&gt;1,"",IF($G15="ROKS",SUMIFS(TblApplications[Besoin ROKS RAM (Go)],TblApplications[Cluster ROKS cible],$F15,TblApplications[Action],"À migrer",TblApplications[Déjà incluse ROKS],"Non",TblApplications[Mois prov (calc)],"&lt;="&amp;$E15),SUMIFS(TblApplications[RAM IKS libérable (Go)],TblApplications[Cluster IKS source],$F15,TblApplications[Mois lib (calc)],"&lt;="&amp;$E15)))</f>
        <v>640</v>
      </c>
      <c r="R15" s="14" t="n">
        <f aca="false">IF($D15&lt;&gt;1,"",IF($G15="ROKS",$L15+$P15,IF($AI15=1,0,MAX($N15,$L15-$P15))))</f>
        <v>416</v>
      </c>
      <c r="S15" s="14" t="n">
        <f aca="false">IF($D15&lt;&gt;1,"",IF($G15="ROKS",$M15+$Q15,IF($AI15=1,0,MAX($O15,$M15-$Q15))))</f>
        <v>1664</v>
      </c>
      <c r="T15" s="14" t="n">
        <f aca="false">IF($D15&lt;&gt;1,"",IF($AI15=1,0,MAX($J15,ROUNDUP(MAX($R15/$H15,$S15/$I15),0))))</f>
        <v>13</v>
      </c>
      <c r="U15" s="14" t="n">
        <f aca="false">IF($D15&lt;&gt;1,"",IF(p_mode="Nœud",$T15*$H15,$R15))</f>
        <v>416</v>
      </c>
      <c r="V15" s="14" t="n">
        <f aca="false">IF($D15&lt;&gt;1,"",IF(p_mode="Nœud",$T15*$I15,$S15))</f>
        <v>1664</v>
      </c>
      <c r="W15" s="84" t="n">
        <f aca="false">IF($D15&lt;&gt;1,"",IF(p_mode="Nœud",$T15*$K15,$R15*IF($G15="IKS",p_iks_cpu,p_roks_cpu)+$S15*IF($G15="IKS",p_iks_ram,p_roks_ram))*p_facteur)</f>
        <v>13806</v>
      </c>
      <c r="X15" s="14" t="n">
        <f aca="false">IF($D15&lt;&gt;1,"",IF($G15="ROKS",$R15,IF($AI15=1,0,MAX($N15,$L15-SUMIFS(TblApplications[CPU IKS libérable (vCPU)],TblApplications[Cluster IKS source],$F15,TblApplications[Action],"À migrer",TblApplications[Mois prov (calc)],"&lt;="&amp;$E15)-SUMIFS(TblApplications[CPU IKS libérable (vCPU)],TblApplications[Cluster IKS source],$F15,TblApplications[Action],"À décommissionner",TblApplications[Mois lib (calc)],"&lt;="&amp;$E15)))))</f>
        <v>416</v>
      </c>
      <c r="Y15" s="14" t="n">
        <f aca="false">IF($D15&lt;&gt;1,"",IF($G15="ROKS",$S15,IF($AI15=1,0,MAX($O15,$M15-SUMIFS(TblApplications[RAM IKS libérable (Go)],TblApplications[Cluster IKS source],$F15,TblApplications[Action],"À migrer",TblApplications[Mois prov (calc)],"&lt;="&amp;$E15)-SUMIFS(TblApplications[RAM IKS libérable (Go)],TblApplications[Cluster IKS source],$F15,TblApplications[Action],"À décommissionner",TblApplications[Mois lib (calc)],"&lt;="&amp;$E15)))))</f>
        <v>1664</v>
      </c>
      <c r="Z15" s="14" t="n">
        <f aca="false">IF($D15&lt;&gt;1,"",IF($AI15=1,0,MAX($J15,ROUNDUP(MAX($X15/$H15,$Y15/$I15),0))))</f>
        <v>13</v>
      </c>
      <c r="AA15" s="84" t="n">
        <f aca="false">IF($D15&lt;&gt;1,"",IF(p_mode="Nœud",$Z15*$K15,$X15*IF($G15="IKS",p_iks_cpu,p_roks_cpu)+$Y15*IF($G15="IKS",p_iks_ram,p_roks_ram))*p_facteur)</f>
        <v>13806</v>
      </c>
      <c r="AB15" s="14" t="n">
        <f aca="false">IF($D15&lt;&gt;1,"",MAX($J15,ROUNDUP(MAX($L15/$H15,$M15/$I15),0)))</f>
        <v>18</v>
      </c>
      <c r="AC15" s="84" t="n">
        <f aca="false">IF($D15&lt;&gt;1,"",IF(p_mode="Nœud",$AB15*$K15,$L15*IF($G15="IKS",p_iks_cpu,p_roks_cpu)+$M15*IF($G15="IKS",p_iks_ram,p_roks_ram))*p_facteur)</f>
        <v>19116</v>
      </c>
      <c r="AD15" s="14" t="n">
        <f aca="false">IF($D15&lt;&gt;1,"",IF(AND($G15="IKS",$AI15&lt;&gt;1,OR($L15-$P15&lt;$N15,$M15-$Q15&lt;$O15)),1,0))</f>
        <v>0</v>
      </c>
      <c r="AE15" s="14" t="n">
        <f aca="false">IF($D15&lt;&gt;1,"",IF(AND($G15="ROKS",$T15&gt;p_maxworkers),1,0))</f>
        <v>0</v>
      </c>
      <c r="AF15" s="14" t="str">
        <f aca="false">IF($D15&lt;&gt;1,"",IF(INDEX(TblClusters[Environnement],$B15)="","(vide)",INDEX(TblClusters[Environnement],$B15)))</f>
        <v>PRD</v>
      </c>
      <c r="AG15" s="14" t="n">
        <f aca="false">IF($D15&lt;&gt;1,"",$R15+p_poidsram*$S15)</f>
        <v>582.4</v>
      </c>
      <c r="AH15" s="14" t="n">
        <f aca="false">IF($D15&lt;&gt;1,"",IFERROR($W15/$AG15,0))</f>
        <v>23.7053571428571</v>
      </c>
      <c r="AI15" s="14" t="n">
        <f aca="false">IF($D15&lt;&gt;1,"",IF(AND($G15="IKS",ISNUMBER(INDEX(TblClusters[Fermeture retenue],$B15))),IF($E15&gt;=INDEX(TblClusters[Fermeture retenue],$B15),1,0),0))</f>
        <v>0</v>
      </c>
    </row>
    <row r="16" customFormat="false" ht="15" hidden="false" customHeight="false" outlineLevel="0" collapsed="false">
      <c r="A16" s="14" t="n">
        <v>11</v>
      </c>
      <c r="B16" s="14" t="n">
        <f aca="false">INT(($A16-1)/36)+1</f>
        <v>1</v>
      </c>
      <c r="C16" s="14" t="n">
        <f aca="false">MOD($A16-1,36)+1</f>
        <v>11</v>
      </c>
      <c r="D16" s="14" t="n">
        <f aca="false">IF($C16&gt;p_horizon,0,IFERROR(IF(AND(INDEX(TblClusters[Cluster],$B16)&lt;&gt;"",ISNUMBER(INDEX(TblClusters[CPU initial (vCPU)],$B16)),ISNUMBER(INDEX(TblClusters[CPU min (vCPU)],$B16)),OR(INDEX(TblClusters[Plateforme],$B16)="IKS",INDEX(TblClusters[Plateforme],$B16)="ROKS")),1,0),0))</f>
        <v>1</v>
      </c>
      <c r="E16" s="83" t="n">
        <f aca="false">IF($D16=1,EDATE(p_debut,$C16-1),"")</f>
        <v>46600</v>
      </c>
      <c r="F16" s="14" t="str">
        <f aca="false">IF($D16=1,INDEX(TblClusters[Cluster],$B16),"")</f>
        <v>IKS-PRD-01</v>
      </c>
      <c r="G16" s="14" t="str">
        <f aca="false">IF($D16=1,INDEX(TblClusters[Plateforme],$B16),"")</f>
        <v>IKS</v>
      </c>
      <c r="H16" s="14" t="n">
        <f aca="false">IF($D16=1,INDEX(TblClusters[vCPU par nœud],$B16),"")</f>
        <v>32</v>
      </c>
      <c r="I16" s="14" t="n">
        <f aca="false">IF($D16=1,INDEX(TblClusters[RAM par nœud (Go)],$B16),"")</f>
        <v>128</v>
      </c>
      <c r="J16" s="14" t="n">
        <f aca="false">IF($D16=1,INDEX(TblClusters[Workers min],$B16),"")</f>
        <v>3</v>
      </c>
      <c r="K16" s="84" t="n">
        <f aca="false">IF($D16=1,INDEX(TblClusters[Tarif par nœud],$B16),"")</f>
        <v>1062</v>
      </c>
      <c r="L16" s="14" t="n">
        <f aca="false">IF($D16=1,INDEX(TblClusters[CPU initial (vCPU)],$B16),"")</f>
        <v>576</v>
      </c>
      <c r="M16" s="14" t="n">
        <f aca="false">IF($D16=1,INDEX(TblClusters[RAM initiale (Go)],$B16),"")</f>
        <v>2304</v>
      </c>
      <c r="N16" s="14" t="n">
        <f aca="false">IF($D16=1,INDEX(TblClusters[CPU min (vCPU)],$B16),"")</f>
        <v>96</v>
      </c>
      <c r="O16" s="14" t="n">
        <f aca="false">IF($D16=1,INDEX(TblClusters[RAM min (Go)],$B16),"")</f>
        <v>384</v>
      </c>
      <c r="P16" s="14" t="n">
        <f aca="false">IF($D16&lt;&gt;1,"",IF($G16="ROKS",SUMIFS(TblApplications[Besoin ROKS CPU (vCPU)],TblApplications[Cluster ROKS cible],$F16,TblApplications[Action],"À migrer",TblApplications[Déjà incluse ROKS],"Non",TblApplications[Mois prov (calc)],"&lt;="&amp;$E16),SUMIFS(TblApplications[CPU IKS libérable (vCPU)],TblApplications[Cluster IKS source],$F16,TblApplications[Mois lib (calc)],"&lt;="&amp;$E16)))</f>
        <v>160</v>
      </c>
      <c r="Q16" s="14" t="n">
        <f aca="false">IF($D16&lt;&gt;1,"",IF($G16="ROKS",SUMIFS(TblApplications[Besoin ROKS RAM (Go)],TblApplications[Cluster ROKS cible],$F16,TblApplications[Action],"À migrer",TblApplications[Déjà incluse ROKS],"Non",TblApplications[Mois prov (calc)],"&lt;="&amp;$E16),SUMIFS(TblApplications[RAM IKS libérable (Go)],TblApplications[Cluster IKS source],$F16,TblApplications[Mois lib (calc)],"&lt;="&amp;$E16)))</f>
        <v>640</v>
      </c>
      <c r="R16" s="14" t="n">
        <f aca="false">IF($D16&lt;&gt;1,"",IF($G16="ROKS",$L16+$P16,IF($AI16=1,0,MAX($N16,$L16-$P16))))</f>
        <v>416</v>
      </c>
      <c r="S16" s="14" t="n">
        <f aca="false">IF($D16&lt;&gt;1,"",IF($G16="ROKS",$M16+$Q16,IF($AI16=1,0,MAX($O16,$M16-$Q16))))</f>
        <v>1664</v>
      </c>
      <c r="T16" s="14" t="n">
        <f aca="false">IF($D16&lt;&gt;1,"",IF($AI16=1,0,MAX($J16,ROUNDUP(MAX($R16/$H16,$S16/$I16),0))))</f>
        <v>13</v>
      </c>
      <c r="U16" s="14" t="n">
        <f aca="false">IF($D16&lt;&gt;1,"",IF(p_mode="Nœud",$T16*$H16,$R16))</f>
        <v>416</v>
      </c>
      <c r="V16" s="14" t="n">
        <f aca="false">IF($D16&lt;&gt;1,"",IF(p_mode="Nœud",$T16*$I16,$S16))</f>
        <v>1664</v>
      </c>
      <c r="W16" s="84" t="n">
        <f aca="false">IF($D16&lt;&gt;1,"",IF(p_mode="Nœud",$T16*$K16,$R16*IF($G16="IKS",p_iks_cpu,p_roks_cpu)+$S16*IF($G16="IKS",p_iks_ram,p_roks_ram))*p_facteur)</f>
        <v>13806</v>
      </c>
      <c r="X16" s="14" t="n">
        <f aca="false">IF($D16&lt;&gt;1,"",IF($G16="ROKS",$R16,IF($AI16=1,0,MAX($N16,$L16-SUMIFS(TblApplications[CPU IKS libérable (vCPU)],TblApplications[Cluster IKS source],$F16,TblApplications[Action],"À migrer",TblApplications[Mois prov (calc)],"&lt;="&amp;$E16)-SUMIFS(TblApplications[CPU IKS libérable (vCPU)],TblApplications[Cluster IKS source],$F16,TblApplications[Action],"À décommissionner",TblApplications[Mois lib (calc)],"&lt;="&amp;$E16)))))</f>
        <v>416</v>
      </c>
      <c r="Y16" s="14" t="n">
        <f aca="false">IF($D16&lt;&gt;1,"",IF($G16="ROKS",$S16,IF($AI16=1,0,MAX($O16,$M16-SUMIFS(TblApplications[RAM IKS libérable (Go)],TblApplications[Cluster IKS source],$F16,TblApplications[Action],"À migrer",TblApplications[Mois prov (calc)],"&lt;="&amp;$E16)-SUMIFS(TblApplications[RAM IKS libérable (Go)],TblApplications[Cluster IKS source],$F16,TblApplications[Action],"À décommissionner",TblApplications[Mois lib (calc)],"&lt;="&amp;$E16)))))</f>
        <v>1664</v>
      </c>
      <c r="Z16" s="14" t="n">
        <f aca="false">IF($D16&lt;&gt;1,"",IF($AI16=1,0,MAX($J16,ROUNDUP(MAX($X16/$H16,$Y16/$I16),0))))</f>
        <v>13</v>
      </c>
      <c r="AA16" s="84" t="n">
        <f aca="false">IF($D16&lt;&gt;1,"",IF(p_mode="Nœud",$Z16*$K16,$X16*IF($G16="IKS",p_iks_cpu,p_roks_cpu)+$Y16*IF($G16="IKS",p_iks_ram,p_roks_ram))*p_facteur)</f>
        <v>13806</v>
      </c>
      <c r="AB16" s="14" t="n">
        <f aca="false">IF($D16&lt;&gt;1,"",MAX($J16,ROUNDUP(MAX($L16/$H16,$M16/$I16),0)))</f>
        <v>18</v>
      </c>
      <c r="AC16" s="84" t="n">
        <f aca="false">IF($D16&lt;&gt;1,"",IF(p_mode="Nœud",$AB16*$K16,$L16*IF($G16="IKS",p_iks_cpu,p_roks_cpu)+$M16*IF($G16="IKS",p_iks_ram,p_roks_ram))*p_facteur)</f>
        <v>19116</v>
      </c>
      <c r="AD16" s="14" t="n">
        <f aca="false">IF($D16&lt;&gt;1,"",IF(AND($G16="IKS",$AI16&lt;&gt;1,OR($L16-$P16&lt;$N16,$M16-$Q16&lt;$O16)),1,0))</f>
        <v>0</v>
      </c>
      <c r="AE16" s="14" t="n">
        <f aca="false">IF($D16&lt;&gt;1,"",IF(AND($G16="ROKS",$T16&gt;p_maxworkers),1,0))</f>
        <v>0</v>
      </c>
      <c r="AF16" s="14" t="str">
        <f aca="false">IF($D16&lt;&gt;1,"",IF(INDEX(TblClusters[Environnement],$B16)="","(vide)",INDEX(TblClusters[Environnement],$B16)))</f>
        <v>PRD</v>
      </c>
      <c r="AG16" s="14" t="n">
        <f aca="false">IF($D16&lt;&gt;1,"",$R16+p_poidsram*$S16)</f>
        <v>582.4</v>
      </c>
      <c r="AH16" s="14" t="n">
        <f aca="false">IF($D16&lt;&gt;1,"",IFERROR($W16/$AG16,0))</f>
        <v>23.7053571428571</v>
      </c>
      <c r="AI16" s="14" t="n">
        <f aca="false">IF($D16&lt;&gt;1,"",IF(AND($G16="IKS",ISNUMBER(INDEX(TblClusters[Fermeture retenue],$B16))),IF($E16&gt;=INDEX(TblClusters[Fermeture retenue],$B16),1,0),0))</f>
        <v>0</v>
      </c>
    </row>
    <row r="17" customFormat="false" ht="15" hidden="false" customHeight="false" outlineLevel="0" collapsed="false">
      <c r="A17" s="14" t="n">
        <v>12</v>
      </c>
      <c r="B17" s="14" t="n">
        <f aca="false">INT(($A17-1)/36)+1</f>
        <v>1</v>
      </c>
      <c r="C17" s="14" t="n">
        <f aca="false">MOD($A17-1,36)+1</f>
        <v>12</v>
      </c>
      <c r="D17" s="14" t="n">
        <f aca="false">IF($C17&gt;p_horizon,0,IFERROR(IF(AND(INDEX(TblClusters[Cluster],$B17)&lt;&gt;"",ISNUMBER(INDEX(TblClusters[CPU initial (vCPU)],$B17)),ISNUMBER(INDEX(TblClusters[CPU min (vCPU)],$B17)),OR(INDEX(TblClusters[Plateforme],$B17)="IKS",INDEX(TblClusters[Plateforme],$B17)="ROKS")),1,0),0))</f>
        <v>1</v>
      </c>
      <c r="E17" s="83" t="n">
        <f aca="false">IF($D17=1,EDATE(p_debut,$C17-1),"")</f>
        <v>46631</v>
      </c>
      <c r="F17" s="14" t="str">
        <f aca="false">IF($D17=1,INDEX(TblClusters[Cluster],$B17),"")</f>
        <v>IKS-PRD-01</v>
      </c>
      <c r="G17" s="14" t="str">
        <f aca="false">IF($D17=1,INDEX(TblClusters[Plateforme],$B17),"")</f>
        <v>IKS</v>
      </c>
      <c r="H17" s="14" t="n">
        <f aca="false">IF($D17=1,INDEX(TblClusters[vCPU par nœud],$B17),"")</f>
        <v>32</v>
      </c>
      <c r="I17" s="14" t="n">
        <f aca="false">IF($D17=1,INDEX(TblClusters[RAM par nœud (Go)],$B17),"")</f>
        <v>128</v>
      </c>
      <c r="J17" s="14" t="n">
        <f aca="false">IF($D17=1,INDEX(TblClusters[Workers min],$B17),"")</f>
        <v>3</v>
      </c>
      <c r="K17" s="84" t="n">
        <f aca="false">IF($D17=1,INDEX(TblClusters[Tarif par nœud],$B17),"")</f>
        <v>1062</v>
      </c>
      <c r="L17" s="14" t="n">
        <f aca="false">IF($D17=1,INDEX(TblClusters[CPU initial (vCPU)],$B17),"")</f>
        <v>576</v>
      </c>
      <c r="M17" s="14" t="n">
        <f aca="false">IF($D17=1,INDEX(TblClusters[RAM initiale (Go)],$B17),"")</f>
        <v>2304</v>
      </c>
      <c r="N17" s="14" t="n">
        <f aca="false">IF($D17=1,INDEX(TblClusters[CPU min (vCPU)],$B17),"")</f>
        <v>96</v>
      </c>
      <c r="O17" s="14" t="n">
        <f aca="false">IF($D17=1,INDEX(TblClusters[RAM min (Go)],$B17),"")</f>
        <v>384</v>
      </c>
      <c r="P17" s="14" t="n">
        <f aca="false">IF($D17&lt;&gt;1,"",IF($G17="ROKS",SUMIFS(TblApplications[Besoin ROKS CPU (vCPU)],TblApplications[Cluster ROKS cible],$F17,TblApplications[Action],"À migrer",TblApplications[Déjà incluse ROKS],"Non",TblApplications[Mois prov (calc)],"&lt;="&amp;$E17),SUMIFS(TblApplications[CPU IKS libérable (vCPU)],TblApplications[Cluster IKS source],$F17,TblApplications[Mois lib (calc)],"&lt;="&amp;$E17)))</f>
        <v>160</v>
      </c>
      <c r="Q17" s="14" t="n">
        <f aca="false">IF($D17&lt;&gt;1,"",IF($G17="ROKS",SUMIFS(TblApplications[Besoin ROKS RAM (Go)],TblApplications[Cluster ROKS cible],$F17,TblApplications[Action],"À migrer",TblApplications[Déjà incluse ROKS],"Non",TblApplications[Mois prov (calc)],"&lt;="&amp;$E17),SUMIFS(TblApplications[RAM IKS libérable (Go)],TblApplications[Cluster IKS source],$F17,TblApplications[Mois lib (calc)],"&lt;="&amp;$E17)))</f>
        <v>640</v>
      </c>
      <c r="R17" s="14" t="n">
        <f aca="false">IF($D17&lt;&gt;1,"",IF($G17="ROKS",$L17+$P17,IF($AI17=1,0,MAX($N17,$L17-$P17))))</f>
        <v>416</v>
      </c>
      <c r="S17" s="14" t="n">
        <f aca="false">IF($D17&lt;&gt;1,"",IF($G17="ROKS",$M17+$Q17,IF($AI17=1,0,MAX($O17,$M17-$Q17))))</f>
        <v>1664</v>
      </c>
      <c r="T17" s="14" t="n">
        <f aca="false">IF($D17&lt;&gt;1,"",IF($AI17=1,0,MAX($J17,ROUNDUP(MAX($R17/$H17,$S17/$I17),0))))</f>
        <v>13</v>
      </c>
      <c r="U17" s="14" t="n">
        <f aca="false">IF($D17&lt;&gt;1,"",IF(p_mode="Nœud",$T17*$H17,$R17))</f>
        <v>416</v>
      </c>
      <c r="V17" s="14" t="n">
        <f aca="false">IF($D17&lt;&gt;1,"",IF(p_mode="Nœud",$T17*$I17,$S17))</f>
        <v>1664</v>
      </c>
      <c r="W17" s="84" t="n">
        <f aca="false">IF($D17&lt;&gt;1,"",IF(p_mode="Nœud",$T17*$K17,$R17*IF($G17="IKS",p_iks_cpu,p_roks_cpu)+$S17*IF($G17="IKS",p_iks_ram,p_roks_ram))*p_facteur)</f>
        <v>13806</v>
      </c>
      <c r="X17" s="14" t="n">
        <f aca="false">IF($D17&lt;&gt;1,"",IF($G17="ROKS",$R17,IF($AI17=1,0,MAX($N17,$L17-SUMIFS(TblApplications[CPU IKS libérable (vCPU)],TblApplications[Cluster IKS source],$F17,TblApplications[Action],"À migrer",TblApplications[Mois prov (calc)],"&lt;="&amp;$E17)-SUMIFS(TblApplications[CPU IKS libérable (vCPU)],TblApplications[Cluster IKS source],$F17,TblApplications[Action],"À décommissionner",TblApplications[Mois lib (calc)],"&lt;="&amp;$E17)))))</f>
        <v>416</v>
      </c>
      <c r="Y17" s="14" t="n">
        <f aca="false">IF($D17&lt;&gt;1,"",IF($G17="ROKS",$S17,IF($AI17=1,0,MAX($O17,$M17-SUMIFS(TblApplications[RAM IKS libérable (Go)],TblApplications[Cluster IKS source],$F17,TblApplications[Action],"À migrer",TblApplications[Mois prov (calc)],"&lt;="&amp;$E17)-SUMIFS(TblApplications[RAM IKS libérable (Go)],TblApplications[Cluster IKS source],$F17,TblApplications[Action],"À décommissionner",TblApplications[Mois lib (calc)],"&lt;="&amp;$E17)))))</f>
        <v>1664</v>
      </c>
      <c r="Z17" s="14" t="n">
        <f aca="false">IF($D17&lt;&gt;1,"",IF($AI17=1,0,MAX($J17,ROUNDUP(MAX($X17/$H17,$Y17/$I17),0))))</f>
        <v>13</v>
      </c>
      <c r="AA17" s="84" t="n">
        <f aca="false">IF($D17&lt;&gt;1,"",IF(p_mode="Nœud",$Z17*$K17,$X17*IF($G17="IKS",p_iks_cpu,p_roks_cpu)+$Y17*IF($G17="IKS",p_iks_ram,p_roks_ram))*p_facteur)</f>
        <v>13806</v>
      </c>
      <c r="AB17" s="14" t="n">
        <f aca="false">IF($D17&lt;&gt;1,"",MAX($J17,ROUNDUP(MAX($L17/$H17,$M17/$I17),0)))</f>
        <v>18</v>
      </c>
      <c r="AC17" s="84" t="n">
        <f aca="false">IF($D17&lt;&gt;1,"",IF(p_mode="Nœud",$AB17*$K17,$L17*IF($G17="IKS",p_iks_cpu,p_roks_cpu)+$M17*IF($G17="IKS",p_iks_ram,p_roks_ram))*p_facteur)</f>
        <v>19116</v>
      </c>
      <c r="AD17" s="14" t="n">
        <f aca="false">IF($D17&lt;&gt;1,"",IF(AND($G17="IKS",$AI17&lt;&gt;1,OR($L17-$P17&lt;$N17,$M17-$Q17&lt;$O17)),1,0))</f>
        <v>0</v>
      </c>
      <c r="AE17" s="14" t="n">
        <f aca="false">IF($D17&lt;&gt;1,"",IF(AND($G17="ROKS",$T17&gt;p_maxworkers),1,0))</f>
        <v>0</v>
      </c>
      <c r="AF17" s="14" t="str">
        <f aca="false">IF($D17&lt;&gt;1,"",IF(INDEX(TblClusters[Environnement],$B17)="","(vide)",INDEX(TblClusters[Environnement],$B17)))</f>
        <v>PRD</v>
      </c>
      <c r="AG17" s="14" t="n">
        <f aca="false">IF($D17&lt;&gt;1,"",$R17+p_poidsram*$S17)</f>
        <v>582.4</v>
      </c>
      <c r="AH17" s="14" t="n">
        <f aca="false">IF($D17&lt;&gt;1,"",IFERROR($W17/$AG17,0))</f>
        <v>23.7053571428571</v>
      </c>
      <c r="AI17" s="14" t="n">
        <f aca="false">IF($D17&lt;&gt;1,"",IF(AND($G17="IKS",ISNUMBER(INDEX(TblClusters[Fermeture retenue],$B17))),IF($E17&gt;=INDEX(TblClusters[Fermeture retenue],$B17),1,0),0))</f>
        <v>0</v>
      </c>
    </row>
    <row r="18" customFormat="false" ht="15" hidden="false" customHeight="false" outlineLevel="0" collapsed="false">
      <c r="A18" s="14" t="n">
        <v>13</v>
      </c>
      <c r="B18" s="14" t="n">
        <f aca="false">INT(($A18-1)/36)+1</f>
        <v>1</v>
      </c>
      <c r="C18" s="14" t="n">
        <f aca="false">MOD($A18-1,36)+1</f>
        <v>13</v>
      </c>
      <c r="D18" s="14" t="n">
        <f aca="false">IF($C18&gt;p_horizon,0,IFERROR(IF(AND(INDEX(TblClusters[Cluster],$B18)&lt;&gt;"",ISNUMBER(INDEX(TblClusters[CPU initial (vCPU)],$B18)),ISNUMBER(INDEX(TblClusters[CPU min (vCPU)],$B18)),OR(INDEX(TblClusters[Plateforme],$B18)="IKS",INDEX(TblClusters[Plateforme],$B18)="ROKS")),1,0),0))</f>
        <v>1</v>
      </c>
      <c r="E18" s="83" t="n">
        <f aca="false">IF($D18=1,EDATE(p_debut,$C18-1),"")</f>
        <v>46661</v>
      </c>
      <c r="F18" s="14" t="str">
        <f aca="false">IF($D18=1,INDEX(TblClusters[Cluster],$B18),"")</f>
        <v>IKS-PRD-01</v>
      </c>
      <c r="G18" s="14" t="str">
        <f aca="false">IF($D18=1,INDEX(TblClusters[Plateforme],$B18),"")</f>
        <v>IKS</v>
      </c>
      <c r="H18" s="14" t="n">
        <f aca="false">IF($D18=1,INDEX(TblClusters[vCPU par nœud],$B18),"")</f>
        <v>32</v>
      </c>
      <c r="I18" s="14" t="n">
        <f aca="false">IF($D18=1,INDEX(TblClusters[RAM par nœud (Go)],$B18),"")</f>
        <v>128</v>
      </c>
      <c r="J18" s="14" t="n">
        <f aca="false">IF($D18=1,INDEX(TblClusters[Workers min],$B18),"")</f>
        <v>3</v>
      </c>
      <c r="K18" s="84" t="n">
        <f aca="false">IF($D18=1,INDEX(TblClusters[Tarif par nœud],$B18),"")</f>
        <v>1062</v>
      </c>
      <c r="L18" s="14" t="n">
        <f aca="false">IF($D18=1,INDEX(TblClusters[CPU initial (vCPU)],$B18),"")</f>
        <v>576</v>
      </c>
      <c r="M18" s="14" t="n">
        <f aca="false">IF($D18=1,INDEX(TblClusters[RAM initiale (Go)],$B18),"")</f>
        <v>2304</v>
      </c>
      <c r="N18" s="14" t="n">
        <f aca="false">IF($D18=1,INDEX(TblClusters[CPU min (vCPU)],$B18),"")</f>
        <v>96</v>
      </c>
      <c r="O18" s="14" t="n">
        <f aca="false">IF($D18=1,INDEX(TblClusters[RAM min (Go)],$B18),"")</f>
        <v>384</v>
      </c>
      <c r="P18" s="14" t="n">
        <f aca="false">IF($D18&lt;&gt;1,"",IF($G18="ROKS",SUMIFS(TblApplications[Besoin ROKS CPU (vCPU)],TblApplications[Cluster ROKS cible],$F18,TblApplications[Action],"À migrer",TblApplications[Déjà incluse ROKS],"Non",TblApplications[Mois prov (calc)],"&lt;="&amp;$E18),SUMIFS(TblApplications[CPU IKS libérable (vCPU)],TblApplications[Cluster IKS source],$F18,TblApplications[Mois lib (calc)],"&lt;="&amp;$E18)))</f>
        <v>160</v>
      </c>
      <c r="Q18" s="14" t="n">
        <f aca="false">IF($D18&lt;&gt;1,"",IF($G18="ROKS",SUMIFS(TblApplications[Besoin ROKS RAM (Go)],TblApplications[Cluster ROKS cible],$F18,TblApplications[Action],"À migrer",TblApplications[Déjà incluse ROKS],"Non",TblApplications[Mois prov (calc)],"&lt;="&amp;$E18),SUMIFS(TblApplications[RAM IKS libérable (Go)],TblApplications[Cluster IKS source],$F18,TblApplications[Mois lib (calc)],"&lt;="&amp;$E18)))</f>
        <v>640</v>
      </c>
      <c r="R18" s="14" t="n">
        <f aca="false">IF($D18&lt;&gt;1,"",IF($G18="ROKS",$L18+$P18,IF($AI18=1,0,MAX($N18,$L18-$P18))))</f>
        <v>416</v>
      </c>
      <c r="S18" s="14" t="n">
        <f aca="false">IF($D18&lt;&gt;1,"",IF($G18="ROKS",$M18+$Q18,IF($AI18=1,0,MAX($O18,$M18-$Q18))))</f>
        <v>1664</v>
      </c>
      <c r="T18" s="14" t="n">
        <f aca="false">IF($D18&lt;&gt;1,"",IF($AI18=1,0,MAX($J18,ROUNDUP(MAX($R18/$H18,$S18/$I18),0))))</f>
        <v>13</v>
      </c>
      <c r="U18" s="14" t="n">
        <f aca="false">IF($D18&lt;&gt;1,"",IF(p_mode="Nœud",$T18*$H18,$R18))</f>
        <v>416</v>
      </c>
      <c r="V18" s="14" t="n">
        <f aca="false">IF($D18&lt;&gt;1,"",IF(p_mode="Nœud",$T18*$I18,$S18))</f>
        <v>1664</v>
      </c>
      <c r="W18" s="84" t="n">
        <f aca="false">IF($D18&lt;&gt;1,"",IF(p_mode="Nœud",$T18*$K18,$R18*IF($G18="IKS",p_iks_cpu,p_roks_cpu)+$S18*IF($G18="IKS",p_iks_ram,p_roks_ram))*p_facteur)</f>
        <v>13806</v>
      </c>
      <c r="X18" s="14" t="n">
        <f aca="false">IF($D18&lt;&gt;1,"",IF($G18="ROKS",$R18,IF($AI18=1,0,MAX($N18,$L18-SUMIFS(TblApplications[CPU IKS libérable (vCPU)],TblApplications[Cluster IKS source],$F18,TblApplications[Action],"À migrer",TblApplications[Mois prov (calc)],"&lt;="&amp;$E18)-SUMIFS(TblApplications[CPU IKS libérable (vCPU)],TblApplications[Cluster IKS source],$F18,TblApplications[Action],"À décommissionner",TblApplications[Mois lib (calc)],"&lt;="&amp;$E18)))))</f>
        <v>416</v>
      </c>
      <c r="Y18" s="14" t="n">
        <f aca="false">IF($D18&lt;&gt;1,"",IF($G18="ROKS",$S18,IF($AI18=1,0,MAX($O18,$M18-SUMIFS(TblApplications[RAM IKS libérable (Go)],TblApplications[Cluster IKS source],$F18,TblApplications[Action],"À migrer",TblApplications[Mois prov (calc)],"&lt;="&amp;$E18)-SUMIFS(TblApplications[RAM IKS libérable (Go)],TblApplications[Cluster IKS source],$F18,TblApplications[Action],"À décommissionner",TblApplications[Mois lib (calc)],"&lt;="&amp;$E18)))))</f>
        <v>1664</v>
      </c>
      <c r="Z18" s="14" t="n">
        <f aca="false">IF($D18&lt;&gt;1,"",IF($AI18=1,0,MAX($J18,ROUNDUP(MAX($X18/$H18,$Y18/$I18),0))))</f>
        <v>13</v>
      </c>
      <c r="AA18" s="84" t="n">
        <f aca="false">IF($D18&lt;&gt;1,"",IF(p_mode="Nœud",$Z18*$K18,$X18*IF($G18="IKS",p_iks_cpu,p_roks_cpu)+$Y18*IF($G18="IKS",p_iks_ram,p_roks_ram))*p_facteur)</f>
        <v>13806</v>
      </c>
      <c r="AB18" s="14" t="n">
        <f aca="false">IF($D18&lt;&gt;1,"",MAX($J18,ROUNDUP(MAX($L18/$H18,$M18/$I18),0)))</f>
        <v>18</v>
      </c>
      <c r="AC18" s="84" t="n">
        <f aca="false">IF($D18&lt;&gt;1,"",IF(p_mode="Nœud",$AB18*$K18,$L18*IF($G18="IKS",p_iks_cpu,p_roks_cpu)+$M18*IF($G18="IKS",p_iks_ram,p_roks_ram))*p_facteur)</f>
        <v>19116</v>
      </c>
      <c r="AD18" s="14" t="n">
        <f aca="false">IF($D18&lt;&gt;1,"",IF(AND($G18="IKS",$AI18&lt;&gt;1,OR($L18-$P18&lt;$N18,$M18-$Q18&lt;$O18)),1,0))</f>
        <v>0</v>
      </c>
      <c r="AE18" s="14" t="n">
        <f aca="false">IF($D18&lt;&gt;1,"",IF(AND($G18="ROKS",$T18&gt;p_maxworkers),1,0))</f>
        <v>0</v>
      </c>
      <c r="AF18" s="14" t="str">
        <f aca="false">IF($D18&lt;&gt;1,"",IF(INDEX(TblClusters[Environnement],$B18)="","(vide)",INDEX(TblClusters[Environnement],$B18)))</f>
        <v>PRD</v>
      </c>
      <c r="AG18" s="14" t="n">
        <f aca="false">IF($D18&lt;&gt;1,"",$R18+p_poidsram*$S18)</f>
        <v>582.4</v>
      </c>
      <c r="AH18" s="14" t="n">
        <f aca="false">IF($D18&lt;&gt;1,"",IFERROR($W18/$AG18,0))</f>
        <v>23.7053571428571</v>
      </c>
      <c r="AI18" s="14" t="n">
        <f aca="false">IF($D18&lt;&gt;1,"",IF(AND($G18="IKS",ISNUMBER(INDEX(TblClusters[Fermeture retenue],$B18))),IF($E18&gt;=INDEX(TblClusters[Fermeture retenue],$B18),1,0),0))</f>
        <v>0</v>
      </c>
    </row>
    <row r="19" customFormat="false" ht="15" hidden="false" customHeight="false" outlineLevel="0" collapsed="false">
      <c r="A19" s="14" t="n">
        <v>14</v>
      </c>
      <c r="B19" s="14" t="n">
        <f aca="false">INT(($A19-1)/36)+1</f>
        <v>1</v>
      </c>
      <c r="C19" s="14" t="n">
        <f aca="false">MOD($A19-1,36)+1</f>
        <v>14</v>
      </c>
      <c r="D19" s="14" t="n">
        <f aca="false">IF($C19&gt;p_horizon,0,IFERROR(IF(AND(INDEX(TblClusters[Cluster],$B19)&lt;&gt;"",ISNUMBER(INDEX(TblClusters[CPU initial (vCPU)],$B19)),ISNUMBER(INDEX(TblClusters[CPU min (vCPU)],$B19)),OR(INDEX(TblClusters[Plateforme],$B19)="IKS",INDEX(TblClusters[Plateforme],$B19)="ROKS")),1,0),0))</f>
        <v>1</v>
      </c>
      <c r="E19" s="83" t="n">
        <f aca="false">IF($D19=1,EDATE(p_debut,$C19-1),"")</f>
        <v>46692</v>
      </c>
      <c r="F19" s="14" t="str">
        <f aca="false">IF($D19=1,INDEX(TblClusters[Cluster],$B19),"")</f>
        <v>IKS-PRD-01</v>
      </c>
      <c r="G19" s="14" t="str">
        <f aca="false">IF($D19=1,INDEX(TblClusters[Plateforme],$B19),"")</f>
        <v>IKS</v>
      </c>
      <c r="H19" s="14" t="n">
        <f aca="false">IF($D19=1,INDEX(TblClusters[vCPU par nœud],$B19),"")</f>
        <v>32</v>
      </c>
      <c r="I19" s="14" t="n">
        <f aca="false">IF($D19=1,INDEX(TblClusters[RAM par nœud (Go)],$B19),"")</f>
        <v>128</v>
      </c>
      <c r="J19" s="14" t="n">
        <f aca="false">IF($D19=1,INDEX(TblClusters[Workers min],$B19),"")</f>
        <v>3</v>
      </c>
      <c r="K19" s="84" t="n">
        <f aca="false">IF($D19=1,INDEX(TblClusters[Tarif par nœud],$B19),"")</f>
        <v>1062</v>
      </c>
      <c r="L19" s="14" t="n">
        <f aca="false">IF($D19=1,INDEX(TblClusters[CPU initial (vCPU)],$B19),"")</f>
        <v>576</v>
      </c>
      <c r="M19" s="14" t="n">
        <f aca="false">IF($D19=1,INDEX(TblClusters[RAM initiale (Go)],$B19),"")</f>
        <v>2304</v>
      </c>
      <c r="N19" s="14" t="n">
        <f aca="false">IF($D19=1,INDEX(TblClusters[CPU min (vCPU)],$B19),"")</f>
        <v>96</v>
      </c>
      <c r="O19" s="14" t="n">
        <f aca="false">IF($D19=1,INDEX(TblClusters[RAM min (Go)],$B19),"")</f>
        <v>384</v>
      </c>
      <c r="P19" s="14" t="n">
        <f aca="false">IF($D19&lt;&gt;1,"",IF($G19="ROKS",SUMIFS(TblApplications[Besoin ROKS CPU (vCPU)],TblApplications[Cluster ROKS cible],$F19,TblApplications[Action],"À migrer",TblApplications[Déjà incluse ROKS],"Non",TblApplications[Mois prov (calc)],"&lt;="&amp;$E19),SUMIFS(TblApplications[CPU IKS libérable (vCPU)],TblApplications[Cluster IKS source],$F19,TblApplications[Mois lib (calc)],"&lt;="&amp;$E19)))</f>
        <v>160</v>
      </c>
      <c r="Q19" s="14" t="n">
        <f aca="false">IF($D19&lt;&gt;1,"",IF($G19="ROKS",SUMIFS(TblApplications[Besoin ROKS RAM (Go)],TblApplications[Cluster ROKS cible],$F19,TblApplications[Action],"À migrer",TblApplications[Déjà incluse ROKS],"Non",TblApplications[Mois prov (calc)],"&lt;="&amp;$E19),SUMIFS(TblApplications[RAM IKS libérable (Go)],TblApplications[Cluster IKS source],$F19,TblApplications[Mois lib (calc)],"&lt;="&amp;$E19)))</f>
        <v>640</v>
      </c>
      <c r="R19" s="14" t="n">
        <f aca="false">IF($D19&lt;&gt;1,"",IF($G19="ROKS",$L19+$P19,IF($AI19=1,0,MAX($N19,$L19-$P19))))</f>
        <v>416</v>
      </c>
      <c r="S19" s="14" t="n">
        <f aca="false">IF($D19&lt;&gt;1,"",IF($G19="ROKS",$M19+$Q19,IF($AI19=1,0,MAX($O19,$M19-$Q19))))</f>
        <v>1664</v>
      </c>
      <c r="T19" s="14" t="n">
        <f aca="false">IF($D19&lt;&gt;1,"",IF($AI19=1,0,MAX($J19,ROUNDUP(MAX($R19/$H19,$S19/$I19),0))))</f>
        <v>13</v>
      </c>
      <c r="U19" s="14" t="n">
        <f aca="false">IF($D19&lt;&gt;1,"",IF(p_mode="Nœud",$T19*$H19,$R19))</f>
        <v>416</v>
      </c>
      <c r="V19" s="14" t="n">
        <f aca="false">IF($D19&lt;&gt;1,"",IF(p_mode="Nœud",$T19*$I19,$S19))</f>
        <v>1664</v>
      </c>
      <c r="W19" s="84" t="n">
        <f aca="false">IF($D19&lt;&gt;1,"",IF(p_mode="Nœud",$T19*$K19,$R19*IF($G19="IKS",p_iks_cpu,p_roks_cpu)+$S19*IF($G19="IKS",p_iks_ram,p_roks_ram))*p_facteur)</f>
        <v>13806</v>
      </c>
      <c r="X19" s="14" t="n">
        <f aca="false">IF($D19&lt;&gt;1,"",IF($G19="ROKS",$R19,IF($AI19=1,0,MAX($N19,$L19-SUMIFS(TblApplications[CPU IKS libérable (vCPU)],TblApplications[Cluster IKS source],$F19,TblApplications[Action],"À migrer",TblApplications[Mois prov (calc)],"&lt;="&amp;$E19)-SUMIFS(TblApplications[CPU IKS libérable (vCPU)],TblApplications[Cluster IKS source],$F19,TblApplications[Action],"À décommissionner",TblApplications[Mois lib (calc)],"&lt;="&amp;$E19)))))</f>
        <v>416</v>
      </c>
      <c r="Y19" s="14" t="n">
        <f aca="false">IF($D19&lt;&gt;1,"",IF($G19="ROKS",$S19,IF($AI19=1,0,MAX($O19,$M19-SUMIFS(TblApplications[RAM IKS libérable (Go)],TblApplications[Cluster IKS source],$F19,TblApplications[Action],"À migrer",TblApplications[Mois prov (calc)],"&lt;="&amp;$E19)-SUMIFS(TblApplications[RAM IKS libérable (Go)],TblApplications[Cluster IKS source],$F19,TblApplications[Action],"À décommissionner",TblApplications[Mois lib (calc)],"&lt;="&amp;$E19)))))</f>
        <v>1664</v>
      </c>
      <c r="Z19" s="14" t="n">
        <f aca="false">IF($D19&lt;&gt;1,"",IF($AI19=1,0,MAX($J19,ROUNDUP(MAX($X19/$H19,$Y19/$I19),0))))</f>
        <v>13</v>
      </c>
      <c r="AA19" s="84" t="n">
        <f aca="false">IF($D19&lt;&gt;1,"",IF(p_mode="Nœud",$Z19*$K19,$X19*IF($G19="IKS",p_iks_cpu,p_roks_cpu)+$Y19*IF($G19="IKS",p_iks_ram,p_roks_ram))*p_facteur)</f>
        <v>13806</v>
      </c>
      <c r="AB19" s="14" t="n">
        <f aca="false">IF($D19&lt;&gt;1,"",MAX($J19,ROUNDUP(MAX($L19/$H19,$M19/$I19),0)))</f>
        <v>18</v>
      </c>
      <c r="AC19" s="84" t="n">
        <f aca="false">IF($D19&lt;&gt;1,"",IF(p_mode="Nœud",$AB19*$K19,$L19*IF($G19="IKS",p_iks_cpu,p_roks_cpu)+$M19*IF($G19="IKS",p_iks_ram,p_roks_ram))*p_facteur)</f>
        <v>19116</v>
      </c>
      <c r="AD19" s="14" t="n">
        <f aca="false">IF($D19&lt;&gt;1,"",IF(AND($G19="IKS",$AI19&lt;&gt;1,OR($L19-$P19&lt;$N19,$M19-$Q19&lt;$O19)),1,0))</f>
        <v>0</v>
      </c>
      <c r="AE19" s="14" t="n">
        <f aca="false">IF($D19&lt;&gt;1,"",IF(AND($G19="ROKS",$T19&gt;p_maxworkers),1,0))</f>
        <v>0</v>
      </c>
      <c r="AF19" s="14" t="str">
        <f aca="false">IF($D19&lt;&gt;1,"",IF(INDEX(TblClusters[Environnement],$B19)="","(vide)",INDEX(TblClusters[Environnement],$B19)))</f>
        <v>PRD</v>
      </c>
      <c r="AG19" s="14" t="n">
        <f aca="false">IF($D19&lt;&gt;1,"",$R19+p_poidsram*$S19)</f>
        <v>582.4</v>
      </c>
      <c r="AH19" s="14" t="n">
        <f aca="false">IF($D19&lt;&gt;1,"",IFERROR($W19/$AG19,0))</f>
        <v>23.7053571428571</v>
      </c>
      <c r="AI19" s="14" t="n">
        <f aca="false">IF($D19&lt;&gt;1,"",IF(AND($G19="IKS",ISNUMBER(INDEX(TblClusters[Fermeture retenue],$B19))),IF($E19&gt;=INDEX(TblClusters[Fermeture retenue],$B19),1,0),0))</f>
        <v>0</v>
      </c>
    </row>
    <row r="20" customFormat="false" ht="15" hidden="false" customHeight="false" outlineLevel="0" collapsed="false">
      <c r="A20" s="14" t="n">
        <v>15</v>
      </c>
      <c r="B20" s="14" t="n">
        <f aca="false">INT(($A20-1)/36)+1</f>
        <v>1</v>
      </c>
      <c r="C20" s="14" t="n">
        <f aca="false">MOD($A20-1,36)+1</f>
        <v>15</v>
      </c>
      <c r="D20" s="14" t="n">
        <f aca="false">IF($C20&gt;p_horizon,0,IFERROR(IF(AND(INDEX(TblClusters[Cluster],$B20)&lt;&gt;"",ISNUMBER(INDEX(TblClusters[CPU initial (vCPU)],$B20)),ISNUMBER(INDEX(TblClusters[CPU min (vCPU)],$B20)),OR(INDEX(TblClusters[Plateforme],$B20)="IKS",INDEX(TblClusters[Plateforme],$B20)="ROKS")),1,0),0))</f>
        <v>1</v>
      </c>
      <c r="E20" s="83" t="n">
        <f aca="false">IF($D20=1,EDATE(p_debut,$C20-1),"")</f>
        <v>46722</v>
      </c>
      <c r="F20" s="14" t="str">
        <f aca="false">IF($D20=1,INDEX(TblClusters[Cluster],$B20),"")</f>
        <v>IKS-PRD-01</v>
      </c>
      <c r="G20" s="14" t="str">
        <f aca="false">IF($D20=1,INDEX(TblClusters[Plateforme],$B20),"")</f>
        <v>IKS</v>
      </c>
      <c r="H20" s="14" t="n">
        <f aca="false">IF($D20=1,INDEX(TblClusters[vCPU par nœud],$B20),"")</f>
        <v>32</v>
      </c>
      <c r="I20" s="14" t="n">
        <f aca="false">IF($D20=1,INDEX(TblClusters[RAM par nœud (Go)],$B20),"")</f>
        <v>128</v>
      </c>
      <c r="J20" s="14" t="n">
        <f aca="false">IF($D20=1,INDEX(TblClusters[Workers min],$B20),"")</f>
        <v>3</v>
      </c>
      <c r="K20" s="84" t="n">
        <f aca="false">IF($D20=1,INDEX(TblClusters[Tarif par nœud],$B20),"")</f>
        <v>1062</v>
      </c>
      <c r="L20" s="14" t="n">
        <f aca="false">IF($D20=1,INDEX(TblClusters[CPU initial (vCPU)],$B20),"")</f>
        <v>576</v>
      </c>
      <c r="M20" s="14" t="n">
        <f aca="false">IF($D20=1,INDEX(TblClusters[RAM initiale (Go)],$B20),"")</f>
        <v>2304</v>
      </c>
      <c r="N20" s="14" t="n">
        <f aca="false">IF($D20=1,INDEX(TblClusters[CPU min (vCPU)],$B20),"")</f>
        <v>96</v>
      </c>
      <c r="O20" s="14" t="n">
        <f aca="false">IF($D20=1,INDEX(TblClusters[RAM min (Go)],$B20),"")</f>
        <v>384</v>
      </c>
      <c r="P20" s="14" t="n">
        <f aca="false">IF($D20&lt;&gt;1,"",IF($G20="ROKS",SUMIFS(TblApplications[Besoin ROKS CPU (vCPU)],TblApplications[Cluster ROKS cible],$F20,TblApplications[Action],"À migrer",TblApplications[Déjà incluse ROKS],"Non",TblApplications[Mois prov (calc)],"&lt;="&amp;$E20),SUMIFS(TblApplications[CPU IKS libérable (vCPU)],TblApplications[Cluster IKS source],$F20,TblApplications[Mois lib (calc)],"&lt;="&amp;$E20)))</f>
        <v>160</v>
      </c>
      <c r="Q20" s="14" t="n">
        <f aca="false">IF($D20&lt;&gt;1,"",IF($G20="ROKS",SUMIFS(TblApplications[Besoin ROKS RAM (Go)],TblApplications[Cluster ROKS cible],$F20,TblApplications[Action],"À migrer",TblApplications[Déjà incluse ROKS],"Non",TblApplications[Mois prov (calc)],"&lt;="&amp;$E20),SUMIFS(TblApplications[RAM IKS libérable (Go)],TblApplications[Cluster IKS source],$F20,TblApplications[Mois lib (calc)],"&lt;="&amp;$E20)))</f>
        <v>640</v>
      </c>
      <c r="R20" s="14" t="n">
        <f aca="false">IF($D20&lt;&gt;1,"",IF($G20="ROKS",$L20+$P20,IF($AI20=1,0,MAX($N20,$L20-$P20))))</f>
        <v>416</v>
      </c>
      <c r="S20" s="14" t="n">
        <f aca="false">IF($D20&lt;&gt;1,"",IF($G20="ROKS",$M20+$Q20,IF($AI20=1,0,MAX($O20,$M20-$Q20))))</f>
        <v>1664</v>
      </c>
      <c r="T20" s="14" t="n">
        <f aca="false">IF($D20&lt;&gt;1,"",IF($AI20=1,0,MAX($J20,ROUNDUP(MAX($R20/$H20,$S20/$I20),0))))</f>
        <v>13</v>
      </c>
      <c r="U20" s="14" t="n">
        <f aca="false">IF($D20&lt;&gt;1,"",IF(p_mode="Nœud",$T20*$H20,$R20))</f>
        <v>416</v>
      </c>
      <c r="V20" s="14" t="n">
        <f aca="false">IF($D20&lt;&gt;1,"",IF(p_mode="Nœud",$T20*$I20,$S20))</f>
        <v>1664</v>
      </c>
      <c r="W20" s="84" t="n">
        <f aca="false">IF($D20&lt;&gt;1,"",IF(p_mode="Nœud",$T20*$K20,$R20*IF($G20="IKS",p_iks_cpu,p_roks_cpu)+$S20*IF($G20="IKS",p_iks_ram,p_roks_ram))*p_facteur)</f>
        <v>13806</v>
      </c>
      <c r="X20" s="14" t="n">
        <f aca="false">IF($D20&lt;&gt;1,"",IF($G20="ROKS",$R20,IF($AI20=1,0,MAX($N20,$L20-SUMIFS(TblApplications[CPU IKS libérable (vCPU)],TblApplications[Cluster IKS source],$F20,TblApplications[Action],"À migrer",TblApplications[Mois prov (calc)],"&lt;="&amp;$E20)-SUMIFS(TblApplications[CPU IKS libérable (vCPU)],TblApplications[Cluster IKS source],$F20,TblApplications[Action],"À décommissionner",TblApplications[Mois lib (calc)],"&lt;="&amp;$E20)))))</f>
        <v>416</v>
      </c>
      <c r="Y20" s="14" t="n">
        <f aca="false">IF($D20&lt;&gt;1,"",IF($G20="ROKS",$S20,IF($AI20=1,0,MAX($O20,$M20-SUMIFS(TblApplications[RAM IKS libérable (Go)],TblApplications[Cluster IKS source],$F20,TblApplications[Action],"À migrer",TblApplications[Mois prov (calc)],"&lt;="&amp;$E20)-SUMIFS(TblApplications[RAM IKS libérable (Go)],TblApplications[Cluster IKS source],$F20,TblApplications[Action],"À décommissionner",TblApplications[Mois lib (calc)],"&lt;="&amp;$E20)))))</f>
        <v>1664</v>
      </c>
      <c r="Z20" s="14" t="n">
        <f aca="false">IF($D20&lt;&gt;1,"",IF($AI20=1,0,MAX($J20,ROUNDUP(MAX($X20/$H20,$Y20/$I20),0))))</f>
        <v>13</v>
      </c>
      <c r="AA20" s="84" t="n">
        <f aca="false">IF($D20&lt;&gt;1,"",IF(p_mode="Nœud",$Z20*$K20,$X20*IF($G20="IKS",p_iks_cpu,p_roks_cpu)+$Y20*IF($G20="IKS",p_iks_ram,p_roks_ram))*p_facteur)</f>
        <v>13806</v>
      </c>
      <c r="AB20" s="14" t="n">
        <f aca="false">IF($D20&lt;&gt;1,"",MAX($J20,ROUNDUP(MAX($L20/$H20,$M20/$I20),0)))</f>
        <v>18</v>
      </c>
      <c r="AC20" s="84" t="n">
        <f aca="false">IF($D20&lt;&gt;1,"",IF(p_mode="Nœud",$AB20*$K20,$L20*IF($G20="IKS",p_iks_cpu,p_roks_cpu)+$M20*IF($G20="IKS",p_iks_ram,p_roks_ram))*p_facteur)</f>
        <v>19116</v>
      </c>
      <c r="AD20" s="14" t="n">
        <f aca="false">IF($D20&lt;&gt;1,"",IF(AND($G20="IKS",$AI20&lt;&gt;1,OR($L20-$P20&lt;$N20,$M20-$Q20&lt;$O20)),1,0))</f>
        <v>0</v>
      </c>
      <c r="AE20" s="14" t="n">
        <f aca="false">IF($D20&lt;&gt;1,"",IF(AND($G20="ROKS",$T20&gt;p_maxworkers),1,0))</f>
        <v>0</v>
      </c>
      <c r="AF20" s="14" t="str">
        <f aca="false">IF($D20&lt;&gt;1,"",IF(INDEX(TblClusters[Environnement],$B20)="","(vide)",INDEX(TblClusters[Environnement],$B20)))</f>
        <v>PRD</v>
      </c>
      <c r="AG20" s="14" t="n">
        <f aca="false">IF($D20&lt;&gt;1,"",$R20+p_poidsram*$S20)</f>
        <v>582.4</v>
      </c>
      <c r="AH20" s="14" t="n">
        <f aca="false">IF($D20&lt;&gt;1,"",IFERROR($W20/$AG20,0))</f>
        <v>23.7053571428571</v>
      </c>
      <c r="AI20" s="14" t="n">
        <f aca="false">IF($D20&lt;&gt;1,"",IF(AND($G20="IKS",ISNUMBER(INDEX(TblClusters[Fermeture retenue],$B20))),IF($E20&gt;=INDEX(TblClusters[Fermeture retenue],$B20),1,0),0))</f>
        <v>0</v>
      </c>
    </row>
    <row r="21" customFormat="false" ht="15" hidden="false" customHeight="false" outlineLevel="0" collapsed="false">
      <c r="A21" s="14" t="n">
        <v>16</v>
      </c>
      <c r="B21" s="14" t="n">
        <f aca="false">INT(($A21-1)/36)+1</f>
        <v>1</v>
      </c>
      <c r="C21" s="14" t="n">
        <f aca="false">MOD($A21-1,36)+1</f>
        <v>16</v>
      </c>
      <c r="D21" s="14" t="n">
        <f aca="false">IF($C21&gt;p_horizon,0,IFERROR(IF(AND(INDEX(TblClusters[Cluster],$B21)&lt;&gt;"",ISNUMBER(INDEX(TblClusters[CPU initial (vCPU)],$B21)),ISNUMBER(INDEX(TblClusters[CPU min (vCPU)],$B21)),OR(INDEX(TblClusters[Plateforme],$B21)="IKS",INDEX(TblClusters[Plateforme],$B21)="ROKS")),1,0),0))</f>
        <v>1</v>
      </c>
      <c r="E21" s="83" t="n">
        <f aca="false">IF($D21=1,EDATE(p_debut,$C21-1),"")</f>
        <v>46753</v>
      </c>
      <c r="F21" s="14" t="str">
        <f aca="false">IF($D21=1,INDEX(TblClusters[Cluster],$B21),"")</f>
        <v>IKS-PRD-01</v>
      </c>
      <c r="G21" s="14" t="str">
        <f aca="false">IF($D21=1,INDEX(TblClusters[Plateforme],$B21),"")</f>
        <v>IKS</v>
      </c>
      <c r="H21" s="14" t="n">
        <f aca="false">IF($D21=1,INDEX(TblClusters[vCPU par nœud],$B21),"")</f>
        <v>32</v>
      </c>
      <c r="I21" s="14" t="n">
        <f aca="false">IF($D21=1,INDEX(TblClusters[RAM par nœud (Go)],$B21),"")</f>
        <v>128</v>
      </c>
      <c r="J21" s="14" t="n">
        <f aca="false">IF($D21=1,INDEX(TblClusters[Workers min],$B21),"")</f>
        <v>3</v>
      </c>
      <c r="K21" s="84" t="n">
        <f aca="false">IF($D21=1,INDEX(TblClusters[Tarif par nœud],$B21),"")</f>
        <v>1062</v>
      </c>
      <c r="L21" s="14" t="n">
        <f aca="false">IF($D21=1,INDEX(TblClusters[CPU initial (vCPU)],$B21),"")</f>
        <v>576</v>
      </c>
      <c r="M21" s="14" t="n">
        <f aca="false">IF($D21=1,INDEX(TblClusters[RAM initiale (Go)],$B21),"")</f>
        <v>2304</v>
      </c>
      <c r="N21" s="14" t="n">
        <f aca="false">IF($D21=1,INDEX(TblClusters[CPU min (vCPU)],$B21),"")</f>
        <v>96</v>
      </c>
      <c r="O21" s="14" t="n">
        <f aca="false">IF($D21=1,INDEX(TblClusters[RAM min (Go)],$B21),"")</f>
        <v>384</v>
      </c>
      <c r="P21" s="14" t="n">
        <f aca="false">IF($D21&lt;&gt;1,"",IF($G21="ROKS",SUMIFS(TblApplications[Besoin ROKS CPU (vCPU)],TblApplications[Cluster ROKS cible],$F21,TblApplications[Action],"À migrer",TblApplications[Déjà incluse ROKS],"Non",TblApplications[Mois prov (calc)],"&lt;="&amp;$E21),SUMIFS(TblApplications[CPU IKS libérable (vCPU)],TblApplications[Cluster IKS source],$F21,TblApplications[Mois lib (calc)],"&lt;="&amp;$E21)))</f>
        <v>160</v>
      </c>
      <c r="Q21" s="14" t="n">
        <f aca="false">IF($D21&lt;&gt;1,"",IF($G21="ROKS",SUMIFS(TblApplications[Besoin ROKS RAM (Go)],TblApplications[Cluster ROKS cible],$F21,TblApplications[Action],"À migrer",TblApplications[Déjà incluse ROKS],"Non",TblApplications[Mois prov (calc)],"&lt;="&amp;$E21),SUMIFS(TblApplications[RAM IKS libérable (Go)],TblApplications[Cluster IKS source],$F21,TblApplications[Mois lib (calc)],"&lt;="&amp;$E21)))</f>
        <v>640</v>
      </c>
      <c r="R21" s="14" t="n">
        <f aca="false">IF($D21&lt;&gt;1,"",IF($G21="ROKS",$L21+$P21,IF($AI21=1,0,MAX($N21,$L21-$P21))))</f>
        <v>416</v>
      </c>
      <c r="S21" s="14" t="n">
        <f aca="false">IF($D21&lt;&gt;1,"",IF($G21="ROKS",$M21+$Q21,IF($AI21=1,0,MAX($O21,$M21-$Q21))))</f>
        <v>1664</v>
      </c>
      <c r="T21" s="14" t="n">
        <f aca="false">IF($D21&lt;&gt;1,"",IF($AI21=1,0,MAX($J21,ROUNDUP(MAX($R21/$H21,$S21/$I21),0))))</f>
        <v>13</v>
      </c>
      <c r="U21" s="14" t="n">
        <f aca="false">IF($D21&lt;&gt;1,"",IF(p_mode="Nœud",$T21*$H21,$R21))</f>
        <v>416</v>
      </c>
      <c r="V21" s="14" t="n">
        <f aca="false">IF($D21&lt;&gt;1,"",IF(p_mode="Nœud",$T21*$I21,$S21))</f>
        <v>1664</v>
      </c>
      <c r="W21" s="84" t="n">
        <f aca="false">IF($D21&lt;&gt;1,"",IF(p_mode="Nœud",$T21*$K21,$R21*IF($G21="IKS",p_iks_cpu,p_roks_cpu)+$S21*IF($G21="IKS",p_iks_ram,p_roks_ram))*p_facteur)</f>
        <v>13806</v>
      </c>
      <c r="X21" s="14" t="n">
        <f aca="false">IF($D21&lt;&gt;1,"",IF($G21="ROKS",$R21,IF($AI21=1,0,MAX($N21,$L21-SUMIFS(TblApplications[CPU IKS libérable (vCPU)],TblApplications[Cluster IKS source],$F21,TblApplications[Action],"À migrer",TblApplications[Mois prov (calc)],"&lt;="&amp;$E21)-SUMIFS(TblApplications[CPU IKS libérable (vCPU)],TblApplications[Cluster IKS source],$F21,TblApplications[Action],"À décommissionner",TblApplications[Mois lib (calc)],"&lt;="&amp;$E21)))))</f>
        <v>256</v>
      </c>
      <c r="Y21" s="14" t="n">
        <f aca="false">IF($D21&lt;&gt;1,"",IF($G21="ROKS",$S21,IF($AI21=1,0,MAX($O21,$M21-SUMIFS(TblApplications[RAM IKS libérable (Go)],TblApplications[Cluster IKS source],$F21,TblApplications[Action],"À migrer",TblApplications[Mois prov (calc)],"&lt;="&amp;$E21)-SUMIFS(TblApplications[RAM IKS libérable (Go)],TblApplications[Cluster IKS source],$F21,TblApplications[Action],"À décommissionner",TblApplications[Mois lib (calc)],"&lt;="&amp;$E21)))))</f>
        <v>1024</v>
      </c>
      <c r="Z21" s="14" t="n">
        <f aca="false">IF($D21&lt;&gt;1,"",IF($AI21=1,0,MAX($J21,ROUNDUP(MAX($X21/$H21,$Y21/$I21),0))))</f>
        <v>8</v>
      </c>
      <c r="AA21" s="84" t="n">
        <f aca="false">IF($D21&lt;&gt;1,"",IF(p_mode="Nœud",$Z21*$K21,$X21*IF($G21="IKS",p_iks_cpu,p_roks_cpu)+$Y21*IF($G21="IKS",p_iks_ram,p_roks_ram))*p_facteur)</f>
        <v>8496</v>
      </c>
      <c r="AB21" s="14" t="n">
        <f aca="false">IF($D21&lt;&gt;1,"",MAX($J21,ROUNDUP(MAX($L21/$H21,$M21/$I21),0)))</f>
        <v>18</v>
      </c>
      <c r="AC21" s="84" t="n">
        <f aca="false">IF($D21&lt;&gt;1,"",IF(p_mode="Nœud",$AB21*$K21,$L21*IF($G21="IKS",p_iks_cpu,p_roks_cpu)+$M21*IF($G21="IKS",p_iks_ram,p_roks_ram))*p_facteur)</f>
        <v>19116</v>
      </c>
      <c r="AD21" s="14" t="n">
        <f aca="false">IF($D21&lt;&gt;1,"",IF(AND($G21="IKS",$AI21&lt;&gt;1,OR($L21-$P21&lt;$N21,$M21-$Q21&lt;$O21)),1,0))</f>
        <v>0</v>
      </c>
      <c r="AE21" s="14" t="n">
        <f aca="false">IF($D21&lt;&gt;1,"",IF(AND($G21="ROKS",$T21&gt;p_maxworkers),1,0))</f>
        <v>0</v>
      </c>
      <c r="AF21" s="14" t="str">
        <f aca="false">IF($D21&lt;&gt;1,"",IF(INDEX(TblClusters[Environnement],$B21)="","(vide)",INDEX(TblClusters[Environnement],$B21)))</f>
        <v>PRD</v>
      </c>
      <c r="AG21" s="14" t="n">
        <f aca="false">IF($D21&lt;&gt;1,"",$R21+p_poidsram*$S21)</f>
        <v>582.4</v>
      </c>
      <c r="AH21" s="14" t="n">
        <f aca="false">IF($D21&lt;&gt;1,"",IFERROR($W21/$AG21,0))</f>
        <v>23.7053571428571</v>
      </c>
      <c r="AI21" s="14" t="n">
        <f aca="false">IF($D21&lt;&gt;1,"",IF(AND($G21="IKS",ISNUMBER(INDEX(TblClusters[Fermeture retenue],$B21))),IF($E21&gt;=INDEX(TblClusters[Fermeture retenue],$B21),1,0),0))</f>
        <v>0</v>
      </c>
    </row>
    <row r="22" customFormat="false" ht="15" hidden="false" customHeight="false" outlineLevel="0" collapsed="false">
      <c r="A22" s="14" t="n">
        <v>17</v>
      </c>
      <c r="B22" s="14" t="n">
        <f aca="false">INT(($A22-1)/36)+1</f>
        <v>1</v>
      </c>
      <c r="C22" s="14" t="n">
        <f aca="false">MOD($A22-1,36)+1</f>
        <v>17</v>
      </c>
      <c r="D22" s="14" t="n">
        <f aca="false">IF($C22&gt;p_horizon,0,IFERROR(IF(AND(INDEX(TblClusters[Cluster],$B22)&lt;&gt;"",ISNUMBER(INDEX(TblClusters[CPU initial (vCPU)],$B22)),ISNUMBER(INDEX(TblClusters[CPU min (vCPU)],$B22)),OR(INDEX(TblClusters[Plateforme],$B22)="IKS",INDEX(TblClusters[Plateforme],$B22)="ROKS")),1,0),0))</f>
        <v>1</v>
      </c>
      <c r="E22" s="83" t="n">
        <f aca="false">IF($D22=1,EDATE(p_debut,$C22-1),"")</f>
        <v>46784</v>
      </c>
      <c r="F22" s="14" t="str">
        <f aca="false">IF($D22=1,INDEX(TblClusters[Cluster],$B22),"")</f>
        <v>IKS-PRD-01</v>
      </c>
      <c r="G22" s="14" t="str">
        <f aca="false">IF($D22=1,INDEX(TblClusters[Plateforme],$B22),"")</f>
        <v>IKS</v>
      </c>
      <c r="H22" s="14" t="n">
        <f aca="false">IF($D22=1,INDEX(TblClusters[vCPU par nœud],$B22),"")</f>
        <v>32</v>
      </c>
      <c r="I22" s="14" t="n">
        <f aca="false">IF($D22=1,INDEX(TblClusters[RAM par nœud (Go)],$B22),"")</f>
        <v>128</v>
      </c>
      <c r="J22" s="14" t="n">
        <f aca="false">IF($D22=1,INDEX(TblClusters[Workers min],$B22),"")</f>
        <v>3</v>
      </c>
      <c r="K22" s="84" t="n">
        <f aca="false">IF($D22=1,INDEX(TblClusters[Tarif par nœud],$B22),"")</f>
        <v>1062</v>
      </c>
      <c r="L22" s="14" t="n">
        <f aca="false">IF($D22=1,INDEX(TblClusters[CPU initial (vCPU)],$B22),"")</f>
        <v>576</v>
      </c>
      <c r="M22" s="14" t="n">
        <f aca="false">IF($D22=1,INDEX(TblClusters[RAM initiale (Go)],$B22),"")</f>
        <v>2304</v>
      </c>
      <c r="N22" s="14" t="n">
        <f aca="false">IF($D22=1,INDEX(TblClusters[CPU min (vCPU)],$B22),"")</f>
        <v>96</v>
      </c>
      <c r="O22" s="14" t="n">
        <f aca="false">IF($D22=1,INDEX(TblClusters[RAM min (Go)],$B22),"")</f>
        <v>384</v>
      </c>
      <c r="P22" s="14" t="n">
        <f aca="false">IF($D22&lt;&gt;1,"",IF($G22="ROKS",SUMIFS(TblApplications[Besoin ROKS CPU (vCPU)],TblApplications[Cluster ROKS cible],$F22,TblApplications[Action],"À migrer",TblApplications[Déjà incluse ROKS],"Non",TblApplications[Mois prov (calc)],"&lt;="&amp;$E22),SUMIFS(TblApplications[CPU IKS libérable (vCPU)],TblApplications[Cluster IKS source],$F22,TblApplications[Mois lib (calc)],"&lt;="&amp;$E22)))</f>
        <v>160</v>
      </c>
      <c r="Q22" s="14" t="n">
        <f aca="false">IF($D22&lt;&gt;1,"",IF($G22="ROKS",SUMIFS(TblApplications[Besoin ROKS RAM (Go)],TblApplications[Cluster ROKS cible],$F22,TblApplications[Action],"À migrer",TblApplications[Déjà incluse ROKS],"Non",TblApplications[Mois prov (calc)],"&lt;="&amp;$E22),SUMIFS(TblApplications[RAM IKS libérable (Go)],TblApplications[Cluster IKS source],$F22,TblApplications[Mois lib (calc)],"&lt;="&amp;$E22)))</f>
        <v>640</v>
      </c>
      <c r="R22" s="14" t="n">
        <f aca="false">IF($D22&lt;&gt;1,"",IF($G22="ROKS",$L22+$P22,IF($AI22=1,0,MAX($N22,$L22-$P22))))</f>
        <v>416</v>
      </c>
      <c r="S22" s="14" t="n">
        <f aca="false">IF($D22&lt;&gt;1,"",IF($G22="ROKS",$M22+$Q22,IF($AI22=1,0,MAX($O22,$M22-$Q22))))</f>
        <v>1664</v>
      </c>
      <c r="T22" s="14" t="n">
        <f aca="false">IF($D22&lt;&gt;1,"",IF($AI22=1,0,MAX($J22,ROUNDUP(MAX($R22/$H22,$S22/$I22),0))))</f>
        <v>13</v>
      </c>
      <c r="U22" s="14" t="n">
        <f aca="false">IF($D22&lt;&gt;1,"",IF(p_mode="Nœud",$T22*$H22,$R22))</f>
        <v>416</v>
      </c>
      <c r="V22" s="14" t="n">
        <f aca="false">IF($D22&lt;&gt;1,"",IF(p_mode="Nœud",$T22*$I22,$S22))</f>
        <v>1664</v>
      </c>
      <c r="W22" s="84" t="n">
        <f aca="false">IF($D22&lt;&gt;1,"",IF(p_mode="Nœud",$T22*$K22,$R22*IF($G22="IKS",p_iks_cpu,p_roks_cpu)+$S22*IF($G22="IKS",p_iks_ram,p_roks_ram))*p_facteur)</f>
        <v>13806</v>
      </c>
      <c r="X22" s="14" t="n">
        <f aca="false">IF($D22&lt;&gt;1,"",IF($G22="ROKS",$R22,IF($AI22=1,0,MAX($N22,$L22-SUMIFS(TblApplications[CPU IKS libérable (vCPU)],TblApplications[Cluster IKS source],$F22,TblApplications[Action],"À migrer",TblApplications[Mois prov (calc)],"&lt;="&amp;$E22)-SUMIFS(TblApplications[CPU IKS libérable (vCPU)],TblApplications[Cluster IKS source],$F22,TblApplications[Action],"À décommissionner",TblApplications[Mois lib (calc)],"&lt;="&amp;$E22)))))</f>
        <v>256</v>
      </c>
      <c r="Y22" s="14" t="n">
        <f aca="false">IF($D22&lt;&gt;1,"",IF($G22="ROKS",$S22,IF($AI22=1,0,MAX($O22,$M22-SUMIFS(TblApplications[RAM IKS libérable (Go)],TblApplications[Cluster IKS source],$F22,TblApplications[Action],"À migrer",TblApplications[Mois prov (calc)],"&lt;="&amp;$E22)-SUMIFS(TblApplications[RAM IKS libérable (Go)],TblApplications[Cluster IKS source],$F22,TblApplications[Action],"À décommissionner",TblApplications[Mois lib (calc)],"&lt;="&amp;$E22)))))</f>
        <v>1024</v>
      </c>
      <c r="Z22" s="14" t="n">
        <f aca="false">IF($D22&lt;&gt;1,"",IF($AI22=1,0,MAX($J22,ROUNDUP(MAX($X22/$H22,$Y22/$I22),0))))</f>
        <v>8</v>
      </c>
      <c r="AA22" s="84" t="n">
        <f aca="false">IF($D22&lt;&gt;1,"",IF(p_mode="Nœud",$Z22*$K22,$X22*IF($G22="IKS",p_iks_cpu,p_roks_cpu)+$Y22*IF($G22="IKS",p_iks_ram,p_roks_ram))*p_facteur)</f>
        <v>8496</v>
      </c>
      <c r="AB22" s="14" t="n">
        <f aca="false">IF($D22&lt;&gt;1,"",MAX($J22,ROUNDUP(MAX($L22/$H22,$M22/$I22),0)))</f>
        <v>18</v>
      </c>
      <c r="AC22" s="84" t="n">
        <f aca="false">IF($D22&lt;&gt;1,"",IF(p_mode="Nœud",$AB22*$K22,$L22*IF($G22="IKS",p_iks_cpu,p_roks_cpu)+$M22*IF($G22="IKS",p_iks_ram,p_roks_ram))*p_facteur)</f>
        <v>19116</v>
      </c>
      <c r="AD22" s="14" t="n">
        <f aca="false">IF($D22&lt;&gt;1,"",IF(AND($G22="IKS",$AI22&lt;&gt;1,OR($L22-$P22&lt;$N22,$M22-$Q22&lt;$O22)),1,0))</f>
        <v>0</v>
      </c>
      <c r="AE22" s="14" t="n">
        <f aca="false">IF($D22&lt;&gt;1,"",IF(AND($G22="ROKS",$T22&gt;p_maxworkers),1,0))</f>
        <v>0</v>
      </c>
      <c r="AF22" s="14" t="str">
        <f aca="false">IF($D22&lt;&gt;1,"",IF(INDEX(TblClusters[Environnement],$B22)="","(vide)",INDEX(TblClusters[Environnement],$B22)))</f>
        <v>PRD</v>
      </c>
      <c r="AG22" s="14" t="n">
        <f aca="false">IF($D22&lt;&gt;1,"",$R22+p_poidsram*$S22)</f>
        <v>582.4</v>
      </c>
      <c r="AH22" s="14" t="n">
        <f aca="false">IF($D22&lt;&gt;1,"",IFERROR($W22/$AG22,0))</f>
        <v>23.7053571428571</v>
      </c>
      <c r="AI22" s="14" t="n">
        <f aca="false">IF($D22&lt;&gt;1,"",IF(AND($G22="IKS",ISNUMBER(INDEX(TblClusters[Fermeture retenue],$B22))),IF($E22&gt;=INDEX(TblClusters[Fermeture retenue],$B22),1,0),0))</f>
        <v>0</v>
      </c>
    </row>
    <row r="23" customFormat="false" ht="15" hidden="false" customHeight="false" outlineLevel="0" collapsed="false">
      <c r="A23" s="14" t="n">
        <v>18</v>
      </c>
      <c r="B23" s="14" t="n">
        <f aca="false">INT(($A23-1)/36)+1</f>
        <v>1</v>
      </c>
      <c r="C23" s="14" t="n">
        <f aca="false">MOD($A23-1,36)+1</f>
        <v>18</v>
      </c>
      <c r="D23" s="14" t="n">
        <f aca="false">IF($C23&gt;p_horizon,0,IFERROR(IF(AND(INDEX(TblClusters[Cluster],$B23)&lt;&gt;"",ISNUMBER(INDEX(TblClusters[CPU initial (vCPU)],$B23)),ISNUMBER(INDEX(TblClusters[CPU min (vCPU)],$B23)),OR(INDEX(TblClusters[Plateforme],$B23)="IKS",INDEX(TblClusters[Plateforme],$B23)="ROKS")),1,0),0))</f>
        <v>1</v>
      </c>
      <c r="E23" s="83" t="n">
        <f aca="false">IF($D23=1,EDATE(p_debut,$C23-1),"")</f>
        <v>46813</v>
      </c>
      <c r="F23" s="14" t="str">
        <f aca="false">IF($D23=1,INDEX(TblClusters[Cluster],$B23),"")</f>
        <v>IKS-PRD-01</v>
      </c>
      <c r="G23" s="14" t="str">
        <f aca="false">IF($D23=1,INDEX(TblClusters[Plateforme],$B23),"")</f>
        <v>IKS</v>
      </c>
      <c r="H23" s="14" t="n">
        <f aca="false">IF($D23=1,INDEX(TblClusters[vCPU par nœud],$B23),"")</f>
        <v>32</v>
      </c>
      <c r="I23" s="14" t="n">
        <f aca="false">IF($D23=1,INDEX(TblClusters[RAM par nœud (Go)],$B23),"")</f>
        <v>128</v>
      </c>
      <c r="J23" s="14" t="n">
        <f aca="false">IF($D23=1,INDEX(TblClusters[Workers min],$B23),"")</f>
        <v>3</v>
      </c>
      <c r="K23" s="84" t="n">
        <f aca="false">IF($D23=1,INDEX(TblClusters[Tarif par nœud],$B23),"")</f>
        <v>1062</v>
      </c>
      <c r="L23" s="14" t="n">
        <f aca="false">IF($D23=1,INDEX(TblClusters[CPU initial (vCPU)],$B23),"")</f>
        <v>576</v>
      </c>
      <c r="M23" s="14" t="n">
        <f aca="false">IF($D23=1,INDEX(TblClusters[RAM initiale (Go)],$B23),"")</f>
        <v>2304</v>
      </c>
      <c r="N23" s="14" t="n">
        <f aca="false">IF($D23=1,INDEX(TblClusters[CPU min (vCPU)],$B23),"")</f>
        <v>96</v>
      </c>
      <c r="O23" s="14" t="n">
        <f aca="false">IF($D23=1,INDEX(TblClusters[RAM min (Go)],$B23),"")</f>
        <v>384</v>
      </c>
      <c r="P23" s="14" t="n">
        <f aca="false">IF($D23&lt;&gt;1,"",IF($G23="ROKS",SUMIFS(TblApplications[Besoin ROKS CPU (vCPU)],TblApplications[Cluster ROKS cible],$F23,TblApplications[Action],"À migrer",TblApplications[Déjà incluse ROKS],"Non",TblApplications[Mois prov (calc)],"&lt;="&amp;$E23),SUMIFS(TblApplications[CPU IKS libérable (vCPU)],TblApplications[Cluster IKS source],$F23,TblApplications[Mois lib (calc)],"&lt;="&amp;$E23)))</f>
        <v>320</v>
      </c>
      <c r="Q23" s="14" t="n">
        <f aca="false">IF($D23&lt;&gt;1,"",IF($G23="ROKS",SUMIFS(TblApplications[Besoin ROKS RAM (Go)],TblApplications[Cluster ROKS cible],$F23,TblApplications[Action],"À migrer",TblApplications[Déjà incluse ROKS],"Non",TblApplications[Mois prov (calc)],"&lt;="&amp;$E23),SUMIFS(TblApplications[RAM IKS libérable (Go)],TblApplications[Cluster IKS source],$F23,TblApplications[Mois lib (calc)],"&lt;="&amp;$E23)))</f>
        <v>1280</v>
      </c>
      <c r="R23" s="14" t="n">
        <f aca="false">IF($D23&lt;&gt;1,"",IF($G23="ROKS",$L23+$P23,IF($AI23=1,0,MAX($N23,$L23-$P23))))</f>
        <v>256</v>
      </c>
      <c r="S23" s="14" t="n">
        <f aca="false">IF($D23&lt;&gt;1,"",IF($G23="ROKS",$M23+$Q23,IF($AI23=1,0,MAX($O23,$M23-$Q23))))</f>
        <v>1024</v>
      </c>
      <c r="T23" s="14" t="n">
        <f aca="false">IF($D23&lt;&gt;1,"",IF($AI23=1,0,MAX($J23,ROUNDUP(MAX($R23/$H23,$S23/$I23),0))))</f>
        <v>8</v>
      </c>
      <c r="U23" s="14" t="n">
        <f aca="false">IF($D23&lt;&gt;1,"",IF(p_mode="Nœud",$T23*$H23,$R23))</f>
        <v>256</v>
      </c>
      <c r="V23" s="14" t="n">
        <f aca="false">IF($D23&lt;&gt;1,"",IF(p_mode="Nœud",$T23*$I23,$S23))</f>
        <v>1024</v>
      </c>
      <c r="W23" s="84" t="n">
        <f aca="false">IF($D23&lt;&gt;1,"",IF(p_mode="Nœud",$T23*$K23,$R23*IF($G23="IKS",p_iks_cpu,p_roks_cpu)+$S23*IF($G23="IKS",p_iks_ram,p_roks_ram))*p_facteur)</f>
        <v>8496</v>
      </c>
      <c r="X23" s="14" t="n">
        <f aca="false">IF($D23&lt;&gt;1,"",IF($G23="ROKS",$R23,IF($AI23=1,0,MAX($N23,$L23-SUMIFS(TblApplications[CPU IKS libérable (vCPU)],TblApplications[Cluster IKS source],$F23,TblApplications[Action],"À migrer",TblApplications[Mois prov (calc)],"&lt;="&amp;$E23)-SUMIFS(TblApplications[CPU IKS libérable (vCPU)],TblApplications[Cluster IKS source],$F23,TblApplications[Action],"À décommissionner",TblApplications[Mois lib (calc)],"&lt;="&amp;$E23)))))</f>
        <v>256</v>
      </c>
      <c r="Y23" s="14" t="n">
        <f aca="false">IF($D23&lt;&gt;1,"",IF($G23="ROKS",$S23,IF($AI23=1,0,MAX($O23,$M23-SUMIFS(TblApplications[RAM IKS libérable (Go)],TblApplications[Cluster IKS source],$F23,TblApplications[Action],"À migrer",TblApplications[Mois prov (calc)],"&lt;="&amp;$E23)-SUMIFS(TblApplications[RAM IKS libérable (Go)],TblApplications[Cluster IKS source],$F23,TblApplications[Action],"À décommissionner",TblApplications[Mois lib (calc)],"&lt;="&amp;$E23)))))</f>
        <v>1024</v>
      </c>
      <c r="Z23" s="14" t="n">
        <f aca="false">IF($D23&lt;&gt;1,"",IF($AI23=1,0,MAX($J23,ROUNDUP(MAX($X23/$H23,$Y23/$I23),0))))</f>
        <v>8</v>
      </c>
      <c r="AA23" s="84" t="n">
        <f aca="false">IF($D23&lt;&gt;1,"",IF(p_mode="Nœud",$Z23*$K23,$X23*IF($G23="IKS",p_iks_cpu,p_roks_cpu)+$Y23*IF($G23="IKS",p_iks_ram,p_roks_ram))*p_facteur)</f>
        <v>8496</v>
      </c>
      <c r="AB23" s="14" t="n">
        <f aca="false">IF($D23&lt;&gt;1,"",MAX($J23,ROUNDUP(MAX($L23/$H23,$M23/$I23),0)))</f>
        <v>18</v>
      </c>
      <c r="AC23" s="84" t="n">
        <f aca="false">IF($D23&lt;&gt;1,"",IF(p_mode="Nœud",$AB23*$K23,$L23*IF($G23="IKS",p_iks_cpu,p_roks_cpu)+$M23*IF($G23="IKS",p_iks_ram,p_roks_ram))*p_facteur)</f>
        <v>19116</v>
      </c>
      <c r="AD23" s="14" t="n">
        <f aca="false">IF($D23&lt;&gt;1,"",IF(AND($G23="IKS",$AI23&lt;&gt;1,OR($L23-$P23&lt;$N23,$M23-$Q23&lt;$O23)),1,0))</f>
        <v>0</v>
      </c>
      <c r="AE23" s="14" t="n">
        <f aca="false">IF($D23&lt;&gt;1,"",IF(AND($G23="ROKS",$T23&gt;p_maxworkers),1,0))</f>
        <v>0</v>
      </c>
      <c r="AF23" s="14" t="str">
        <f aca="false">IF($D23&lt;&gt;1,"",IF(INDEX(TblClusters[Environnement],$B23)="","(vide)",INDEX(TblClusters[Environnement],$B23)))</f>
        <v>PRD</v>
      </c>
      <c r="AG23" s="14" t="n">
        <f aca="false">IF($D23&lt;&gt;1,"",$R23+p_poidsram*$S23)</f>
        <v>358.4</v>
      </c>
      <c r="AH23" s="14" t="n">
        <f aca="false">IF($D23&lt;&gt;1,"",IFERROR($W23/$AG23,0))</f>
        <v>23.7053571428571</v>
      </c>
      <c r="AI23" s="14" t="n">
        <f aca="false">IF($D23&lt;&gt;1,"",IF(AND($G23="IKS",ISNUMBER(INDEX(TblClusters[Fermeture retenue],$B23))),IF($E23&gt;=INDEX(TblClusters[Fermeture retenue],$B23),1,0),0))</f>
        <v>0</v>
      </c>
    </row>
    <row r="24" customFormat="false" ht="15" hidden="false" customHeight="false" outlineLevel="0" collapsed="false">
      <c r="A24" s="14" t="n">
        <v>19</v>
      </c>
      <c r="B24" s="14" t="n">
        <f aca="false">INT(($A24-1)/36)+1</f>
        <v>1</v>
      </c>
      <c r="C24" s="14" t="n">
        <f aca="false">MOD($A24-1,36)+1</f>
        <v>19</v>
      </c>
      <c r="D24" s="14" t="n">
        <f aca="false">IF($C24&gt;p_horizon,0,IFERROR(IF(AND(INDEX(TblClusters[Cluster],$B24)&lt;&gt;"",ISNUMBER(INDEX(TblClusters[CPU initial (vCPU)],$B24)),ISNUMBER(INDEX(TblClusters[CPU min (vCPU)],$B24)),OR(INDEX(TblClusters[Plateforme],$B24)="IKS",INDEX(TblClusters[Plateforme],$B24)="ROKS")),1,0),0))</f>
        <v>1</v>
      </c>
      <c r="E24" s="83" t="n">
        <f aca="false">IF($D24=1,EDATE(p_debut,$C24-1),"")</f>
        <v>46844</v>
      </c>
      <c r="F24" s="14" t="str">
        <f aca="false">IF($D24=1,INDEX(TblClusters[Cluster],$B24),"")</f>
        <v>IKS-PRD-01</v>
      </c>
      <c r="G24" s="14" t="str">
        <f aca="false">IF($D24=1,INDEX(TblClusters[Plateforme],$B24),"")</f>
        <v>IKS</v>
      </c>
      <c r="H24" s="14" t="n">
        <f aca="false">IF($D24=1,INDEX(TblClusters[vCPU par nœud],$B24),"")</f>
        <v>32</v>
      </c>
      <c r="I24" s="14" t="n">
        <f aca="false">IF($D24=1,INDEX(TblClusters[RAM par nœud (Go)],$B24),"")</f>
        <v>128</v>
      </c>
      <c r="J24" s="14" t="n">
        <f aca="false">IF($D24=1,INDEX(TblClusters[Workers min],$B24),"")</f>
        <v>3</v>
      </c>
      <c r="K24" s="84" t="n">
        <f aca="false">IF($D24=1,INDEX(TblClusters[Tarif par nœud],$B24),"")</f>
        <v>1062</v>
      </c>
      <c r="L24" s="14" t="n">
        <f aca="false">IF($D24=1,INDEX(TblClusters[CPU initial (vCPU)],$B24),"")</f>
        <v>576</v>
      </c>
      <c r="M24" s="14" t="n">
        <f aca="false">IF($D24=1,INDEX(TblClusters[RAM initiale (Go)],$B24),"")</f>
        <v>2304</v>
      </c>
      <c r="N24" s="14" t="n">
        <f aca="false">IF($D24=1,INDEX(TblClusters[CPU min (vCPU)],$B24),"")</f>
        <v>96</v>
      </c>
      <c r="O24" s="14" t="n">
        <f aca="false">IF($D24=1,INDEX(TblClusters[RAM min (Go)],$B24),"")</f>
        <v>384</v>
      </c>
      <c r="P24" s="14" t="n">
        <f aca="false">IF($D24&lt;&gt;1,"",IF($G24="ROKS",SUMIFS(TblApplications[Besoin ROKS CPU (vCPU)],TblApplications[Cluster ROKS cible],$F24,TblApplications[Action],"À migrer",TblApplications[Déjà incluse ROKS],"Non",TblApplications[Mois prov (calc)],"&lt;="&amp;$E24),SUMIFS(TblApplications[CPU IKS libérable (vCPU)],TblApplications[Cluster IKS source],$F24,TblApplications[Mois lib (calc)],"&lt;="&amp;$E24)))</f>
        <v>320</v>
      </c>
      <c r="Q24" s="14" t="n">
        <f aca="false">IF($D24&lt;&gt;1,"",IF($G24="ROKS",SUMIFS(TblApplications[Besoin ROKS RAM (Go)],TblApplications[Cluster ROKS cible],$F24,TblApplications[Action],"À migrer",TblApplications[Déjà incluse ROKS],"Non",TblApplications[Mois prov (calc)],"&lt;="&amp;$E24),SUMIFS(TblApplications[RAM IKS libérable (Go)],TblApplications[Cluster IKS source],$F24,TblApplications[Mois lib (calc)],"&lt;="&amp;$E24)))</f>
        <v>1280</v>
      </c>
      <c r="R24" s="14" t="n">
        <f aca="false">IF($D24&lt;&gt;1,"",IF($G24="ROKS",$L24+$P24,IF($AI24=1,0,MAX($N24,$L24-$P24))))</f>
        <v>256</v>
      </c>
      <c r="S24" s="14" t="n">
        <f aca="false">IF($D24&lt;&gt;1,"",IF($G24="ROKS",$M24+$Q24,IF($AI24=1,0,MAX($O24,$M24-$Q24))))</f>
        <v>1024</v>
      </c>
      <c r="T24" s="14" t="n">
        <f aca="false">IF($D24&lt;&gt;1,"",IF($AI24=1,0,MAX($J24,ROUNDUP(MAX($R24/$H24,$S24/$I24),0))))</f>
        <v>8</v>
      </c>
      <c r="U24" s="14" t="n">
        <f aca="false">IF($D24&lt;&gt;1,"",IF(p_mode="Nœud",$T24*$H24,$R24))</f>
        <v>256</v>
      </c>
      <c r="V24" s="14" t="n">
        <f aca="false">IF($D24&lt;&gt;1,"",IF(p_mode="Nœud",$T24*$I24,$S24))</f>
        <v>1024</v>
      </c>
      <c r="W24" s="84" t="n">
        <f aca="false">IF($D24&lt;&gt;1,"",IF(p_mode="Nœud",$T24*$K24,$R24*IF($G24="IKS",p_iks_cpu,p_roks_cpu)+$S24*IF($G24="IKS",p_iks_ram,p_roks_ram))*p_facteur)</f>
        <v>8496</v>
      </c>
      <c r="X24" s="14" t="n">
        <f aca="false">IF($D24&lt;&gt;1,"",IF($G24="ROKS",$R24,IF($AI24=1,0,MAX($N24,$L24-SUMIFS(TblApplications[CPU IKS libérable (vCPU)],TblApplications[Cluster IKS source],$F24,TblApplications[Action],"À migrer",TblApplications[Mois prov (calc)],"&lt;="&amp;$E24)-SUMIFS(TblApplications[CPU IKS libérable (vCPU)],TblApplications[Cluster IKS source],$F24,TblApplications[Action],"À décommissionner",TblApplications[Mois lib (calc)],"&lt;="&amp;$E24)))))</f>
        <v>256</v>
      </c>
      <c r="Y24" s="14" t="n">
        <f aca="false">IF($D24&lt;&gt;1,"",IF($G24="ROKS",$S24,IF($AI24=1,0,MAX($O24,$M24-SUMIFS(TblApplications[RAM IKS libérable (Go)],TblApplications[Cluster IKS source],$F24,TblApplications[Action],"À migrer",TblApplications[Mois prov (calc)],"&lt;="&amp;$E24)-SUMIFS(TblApplications[RAM IKS libérable (Go)],TblApplications[Cluster IKS source],$F24,TblApplications[Action],"À décommissionner",TblApplications[Mois lib (calc)],"&lt;="&amp;$E24)))))</f>
        <v>1024</v>
      </c>
      <c r="Z24" s="14" t="n">
        <f aca="false">IF($D24&lt;&gt;1,"",IF($AI24=1,0,MAX($J24,ROUNDUP(MAX($X24/$H24,$Y24/$I24),0))))</f>
        <v>8</v>
      </c>
      <c r="AA24" s="84" t="n">
        <f aca="false">IF($D24&lt;&gt;1,"",IF(p_mode="Nœud",$Z24*$K24,$X24*IF($G24="IKS",p_iks_cpu,p_roks_cpu)+$Y24*IF($G24="IKS",p_iks_ram,p_roks_ram))*p_facteur)</f>
        <v>8496</v>
      </c>
      <c r="AB24" s="14" t="n">
        <f aca="false">IF($D24&lt;&gt;1,"",MAX($J24,ROUNDUP(MAX($L24/$H24,$M24/$I24),0)))</f>
        <v>18</v>
      </c>
      <c r="AC24" s="84" t="n">
        <f aca="false">IF($D24&lt;&gt;1,"",IF(p_mode="Nœud",$AB24*$K24,$L24*IF($G24="IKS",p_iks_cpu,p_roks_cpu)+$M24*IF($G24="IKS",p_iks_ram,p_roks_ram))*p_facteur)</f>
        <v>19116</v>
      </c>
      <c r="AD24" s="14" t="n">
        <f aca="false">IF($D24&lt;&gt;1,"",IF(AND($G24="IKS",$AI24&lt;&gt;1,OR($L24-$P24&lt;$N24,$M24-$Q24&lt;$O24)),1,0))</f>
        <v>0</v>
      </c>
      <c r="AE24" s="14" t="n">
        <f aca="false">IF($D24&lt;&gt;1,"",IF(AND($G24="ROKS",$T24&gt;p_maxworkers),1,0))</f>
        <v>0</v>
      </c>
      <c r="AF24" s="14" t="str">
        <f aca="false">IF($D24&lt;&gt;1,"",IF(INDEX(TblClusters[Environnement],$B24)="","(vide)",INDEX(TblClusters[Environnement],$B24)))</f>
        <v>PRD</v>
      </c>
      <c r="AG24" s="14" t="n">
        <f aca="false">IF($D24&lt;&gt;1,"",$R24+p_poidsram*$S24)</f>
        <v>358.4</v>
      </c>
      <c r="AH24" s="14" t="n">
        <f aca="false">IF($D24&lt;&gt;1,"",IFERROR($W24/$AG24,0))</f>
        <v>23.7053571428571</v>
      </c>
      <c r="AI24" s="14" t="n">
        <f aca="false">IF($D24&lt;&gt;1,"",IF(AND($G24="IKS",ISNUMBER(INDEX(TblClusters[Fermeture retenue],$B24))),IF($E24&gt;=INDEX(TblClusters[Fermeture retenue],$B24),1,0),0))</f>
        <v>0</v>
      </c>
    </row>
    <row r="25" customFormat="false" ht="15" hidden="false" customHeight="false" outlineLevel="0" collapsed="false">
      <c r="A25" s="14" t="n">
        <v>20</v>
      </c>
      <c r="B25" s="14" t="n">
        <f aca="false">INT(($A25-1)/36)+1</f>
        <v>1</v>
      </c>
      <c r="C25" s="14" t="n">
        <f aca="false">MOD($A25-1,36)+1</f>
        <v>20</v>
      </c>
      <c r="D25" s="14" t="n">
        <f aca="false">IF($C25&gt;p_horizon,0,IFERROR(IF(AND(INDEX(TblClusters[Cluster],$B25)&lt;&gt;"",ISNUMBER(INDEX(TblClusters[CPU initial (vCPU)],$B25)),ISNUMBER(INDEX(TblClusters[CPU min (vCPU)],$B25)),OR(INDEX(TblClusters[Plateforme],$B25)="IKS",INDEX(TblClusters[Plateforme],$B25)="ROKS")),1,0),0))</f>
        <v>1</v>
      </c>
      <c r="E25" s="83" t="n">
        <f aca="false">IF($D25=1,EDATE(p_debut,$C25-1),"")</f>
        <v>46874</v>
      </c>
      <c r="F25" s="14" t="str">
        <f aca="false">IF($D25=1,INDEX(TblClusters[Cluster],$B25),"")</f>
        <v>IKS-PRD-01</v>
      </c>
      <c r="G25" s="14" t="str">
        <f aca="false">IF($D25=1,INDEX(TblClusters[Plateforme],$B25),"")</f>
        <v>IKS</v>
      </c>
      <c r="H25" s="14" t="n">
        <f aca="false">IF($D25=1,INDEX(TblClusters[vCPU par nœud],$B25),"")</f>
        <v>32</v>
      </c>
      <c r="I25" s="14" t="n">
        <f aca="false">IF($D25=1,INDEX(TblClusters[RAM par nœud (Go)],$B25),"")</f>
        <v>128</v>
      </c>
      <c r="J25" s="14" t="n">
        <f aca="false">IF($D25=1,INDEX(TblClusters[Workers min],$B25),"")</f>
        <v>3</v>
      </c>
      <c r="K25" s="84" t="n">
        <f aca="false">IF($D25=1,INDEX(TblClusters[Tarif par nœud],$B25),"")</f>
        <v>1062</v>
      </c>
      <c r="L25" s="14" t="n">
        <f aca="false">IF($D25=1,INDEX(TblClusters[CPU initial (vCPU)],$B25),"")</f>
        <v>576</v>
      </c>
      <c r="M25" s="14" t="n">
        <f aca="false">IF($D25=1,INDEX(TblClusters[RAM initiale (Go)],$B25),"")</f>
        <v>2304</v>
      </c>
      <c r="N25" s="14" t="n">
        <f aca="false">IF($D25=1,INDEX(TblClusters[CPU min (vCPU)],$B25),"")</f>
        <v>96</v>
      </c>
      <c r="O25" s="14" t="n">
        <f aca="false">IF($D25=1,INDEX(TblClusters[RAM min (Go)],$B25),"")</f>
        <v>384</v>
      </c>
      <c r="P25" s="14" t="n">
        <f aca="false">IF($D25&lt;&gt;1,"",IF($G25="ROKS",SUMIFS(TblApplications[Besoin ROKS CPU (vCPU)],TblApplications[Cluster ROKS cible],$F25,TblApplications[Action],"À migrer",TblApplications[Déjà incluse ROKS],"Non",TblApplications[Mois prov (calc)],"&lt;="&amp;$E25),SUMIFS(TblApplications[CPU IKS libérable (vCPU)],TblApplications[Cluster IKS source],$F25,TblApplications[Mois lib (calc)],"&lt;="&amp;$E25)))</f>
        <v>320</v>
      </c>
      <c r="Q25" s="14" t="n">
        <f aca="false">IF($D25&lt;&gt;1,"",IF($G25="ROKS",SUMIFS(TblApplications[Besoin ROKS RAM (Go)],TblApplications[Cluster ROKS cible],$F25,TblApplications[Action],"À migrer",TblApplications[Déjà incluse ROKS],"Non",TblApplications[Mois prov (calc)],"&lt;="&amp;$E25),SUMIFS(TblApplications[RAM IKS libérable (Go)],TblApplications[Cluster IKS source],$F25,TblApplications[Mois lib (calc)],"&lt;="&amp;$E25)))</f>
        <v>1280</v>
      </c>
      <c r="R25" s="14" t="n">
        <f aca="false">IF($D25&lt;&gt;1,"",IF($G25="ROKS",$L25+$P25,IF($AI25=1,0,MAX($N25,$L25-$P25))))</f>
        <v>256</v>
      </c>
      <c r="S25" s="14" t="n">
        <f aca="false">IF($D25&lt;&gt;1,"",IF($G25="ROKS",$M25+$Q25,IF($AI25=1,0,MAX($O25,$M25-$Q25))))</f>
        <v>1024</v>
      </c>
      <c r="T25" s="14" t="n">
        <f aca="false">IF($D25&lt;&gt;1,"",IF($AI25=1,0,MAX($J25,ROUNDUP(MAX($R25/$H25,$S25/$I25),0))))</f>
        <v>8</v>
      </c>
      <c r="U25" s="14" t="n">
        <f aca="false">IF($D25&lt;&gt;1,"",IF(p_mode="Nœud",$T25*$H25,$R25))</f>
        <v>256</v>
      </c>
      <c r="V25" s="14" t="n">
        <f aca="false">IF($D25&lt;&gt;1,"",IF(p_mode="Nœud",$T25*$I25,$S25))</f>
        <v>1024</v>
      </c>
      <c r="W25" s="84" t="n">
        <f aca="false">IF($D25&lt;&gt;1,"",IF(p_mode="Nœud",$T25*$K25,$R25*IF($G25="IKS",p_iks_cpu,p_roks_cpu)+$S25*IF($G25="IKS",p_iks_ram,p_roks_ram))*p_facteur)</f>
        <v>8496</v>
      </c>
      <c r="X25" s="14" t="n">
        <f aca="false">IF($D25&lt;&gt;1,"",IF($G25="ROKS",$R25,IF($AI25=1,0,MAX($N25,$L25-SUMIFS(TblApplications[CPU IKS libérable (vCPU)],TblApplications[Cluster IKS source],$F25,TblApplications[Action],"À migrer",TblApplications[Mois prov (calc)],"&lt;="&amp;$E25)-SUMIFS(TblApplications[CPU IKS libérable (vCPU)],TblApplications[Cluster IKS source],$F25,TblApplications[Action],"À décommissionner",TblApplications[Mois lib (calc)],"&lt;="&amp;$E25)))))</f>
        <v>256</v>
      </c>
      <c r="Y25" s="14" t="n">
        <f aca="false">IF($D25&lt;&gt;1,"",IF($G25="ROKS",$S25,IF($AI25=1,0,MAX($O25,$M25-SUMIFS(TblApplications[RAM IKS libérable (Go)],TblApplications[Cluster IKS source],$F25,TblApplications[Action],"À migrer",TblApplications[Mois prov (calc)],"&lt;="&amp;$E25)-SUMIFS(TblApplications[RAM IKS libérable (Go)],TblApplications[Cluster IKS source],$F25,TblApplications[Action],"À décommissionner",TblApplications[Mois lib (calc)],"&lt;="&amp;$E25)))))</f>
        <v>1024</v>
      </c>
      <c r="Z25" s="14" t="n">
        <f aca="false">IF($D25&lt;&gt;1,"",IF($AI25=1,0,MAX($J25,ROUNDUP(MAX($X25/$H25,$Y25/$I25),0))))</f>
        <v>8</v>
      </c>
      <c r="AA25" s="84" t="n">
        <f aca="false">IF($D25&lt;&gt;1,"",IF(p_mode="Nœud",$Z25*$K25,$X25*IF($G25="IKS",p_iks_cpu,p_roks_cpu)+$Y25*IF($G25="IKS",p_iks_ram,p_roks_ram))*p_facteur)</f>
        <v>8496</v>
      </c>
      <c r="AB25" s="14" t="n">
        <f aca="false">IF($D25&lt;&gt;1,"",MAX($J25,ROUNDUP(MAX($L25/$H25,$M25/$I25),0)))</f>
        <v>18</v>
      </c>
      <c r="AC25" s="84" t="n">
        <f aca="false">IF($D25&lt;&gt;1,"",IF(p_mode="Nœud",$AB25*$K25,$L25*IF($G25="IKS",p_iks_cpu,p_roks_cpu)+$M25*IF($G25="IKS",p_iks_ram,p_roks_ram))*p_facteur)</f>
        <v>19116</v>
      </c>
      <c r="AD25" s="14" t="n">
        <f aca="false">IF($D25&lt;&gt;1,"",IF(AND($G25="IKS",$AI25&lt;&gt;1,OR($L25-$P25&lt;$N25,$M25-$Q25&lt;$O25)),1,0))</f>
        <v>0</v>
      </c>
      <c r="AE25" s="14" t="n">
        <f aca="false">IF($D25&lt;&gt;1,"",IF(AND($G25="ROKS",$T25&gt;p_maxworkers),1,0))</f>
        <v>0</v>
      </c>
      <c r="AF25" s="14" t="str">
        <f aca="false">IF($D25&lt;&gt;1,"",IF(INDEX(TblClusters[Environnement],$B25)="","(vide)",INDEX(TblClusters[Environnement],$B25)))</f>
        <v>PRD</v>
      </c>
      <c r="AG25" s="14" t="n">
        <f aca="false">IF($D25&lt;&gt;1,"",$R25+p_poidsram*$S25)</f>
        <v>358.4</v>
      </c>
      <c r="AH25" s="14" t="n">
        <f aca="false">IF($D25&lt;&gt;1,"",IFERROR($W25/$AG25,0))</f>
        <v>23.7053571428571</v>
      </c>
      <c r="AI25" s="14" t="n">
        <f aca="false">IF($D25&lt;&gt;1,"",IF(AND($G25="IKS",ISNUMBER(INDEX(TblClusters[Fermeture retenue],$B25))),IF($E25&gt;=INDEX(TblClusters[Fermeture retenue],$B25),1,0),0))</f>
        <v>0</v>
      </c>
    </row>
    <row r="26" customFormat="false" ht="15" hidden="false" customHeight="false" outlineLevel="0" collapsed="false">
      <c r="A26" s="14" t="n">
        <v>21</v>
      </c>
      <c r="B26" s="14" t="n">
        <f aca="false">INT(($A26-1)/36)+1</f>
        <v>1</v>
      </c>
      <c r="C26" s="14" t="n">
        <f aca="false">MOD($A26-1,36)+1</f>
        <v>21</v>
      </c>
      <c r="D26" s="14" t="n">
        <f aca="false">IF($C26&gt;p_horizon,0,IFERROR(IF(AND(INDEX(TblClusters[Cluster],$B26)&lt;&gt;"",ISNUMBER(INDEX(TblClusters[CPU initial (vCPU)],$B26)),ISNUMBER(INDEX(TblClusters[CPU min (vCPU)],$B26)),OR(INDEX(TblClusters[Plateforme],$B26)="IKS",INDEX(TblClusters[Plateforme],$B26)="ROKS")),1,0),0))</f>
        <v>1</v>
      </c>
      <c r="E26" s="83" t="n">
        <f aca="false">IF($D26=1,EDATE(p_debut,$C26-1),"")</f>
        <v>46905</v>
      </c>
      <c r="F26" s="14" t="str">
        <f aca="false">IF($D26=1,INDEX(TblClusters[Cluster],$B26),"")</f>
        <v>IKS-PRD-01</v>
      </c>
      <c r="G26" s="14" t="str">
        <f aca="false">IF($D26=1,INDEX(TblClusters[Plateforme],$B26),"")</f>
        <v>IKS</v>
      </c>
      <c r="H26" s="14" t="n">
        <f aca="false">IF($D26=1,INDEX(TblClusters[vCPU par nœud],$B26),"")</f>
        <v>32</v>
      </c>
      <c r="I26" s="14" t="n">
        <f aca="false">IF($D26=1,INDEX(TblClusters[RAM par nœud (Go)],$B26),"")</f>
        <v>128</v>
      </c>
      <c r="J26" s="14" t="n">
        <f aca="false">IF($D26=1,INDEX(TblClusters[Workers min],$B26),"")</f>
        <v>3</v>
      </c>
      <c r="K26" s="84" t="n">
        <f aca="false">IF($D26=1,INDEX(TblClusters[Tarif par nœud],$B26),"")</f>
        <v>1062</v>
      </c>
      <c r="L26" s="14" t="n">
        <f aca="false">IF($D26=1,INDEX(TblClusters[CPU initial (vCPU)],$B26),"")</f>
        <v>576</v>
      </c>
      <c r="M26" s="14" t="n">
        <f aca="false">IF($D26=1,INDEX(TblClusters[RAM initiale (Go)],$B26),"")</f>
        <v>2304</v>
      </c>
      <c r="N26" s="14" t="n">
        <f aca="false">IF($D26=1,INDEX(TblClusters[CPU min (vCPU)],$B26),"")</f>
        <v>96</v>
      </c>
      <c r="O26" s="14" t="n">
        <f aca="false">IF($D26=1,INDEX(TblClusters[RAM min (Go)],$B26),"")</f>
        <v>384</v>
      </c>
      <c r="P26" s="14" t="n">
        <f aca="false">IF($D26&lt;&gt;1,"",IF($G26="ROKS",SUMIFS(TblApplications[Besoin ROKS CPU (vCPU)],TblApplications[Cluster ROKS cible],$F26,TblApplications[Action],"À migrer",TblApplications[Déjà incluse ROKS],"Non",TblApplications[Mois prov (calc)],"&lt;="&amp;$E26),SUMIFS(TblApplications[CPU IKS libérable (vCPU)],TblApplications[Cluster IKS source],$F26,TblApplications[Mois lib (calc)],"&lt;="&amp;$E26)))</f>
        <v>320</v>
      </c>
      <c r="Q26" s="14" t="n">
        <f aca="false">IF($D26&lt;&gt;1,"",IF($G26="ROKS",SUMIFS(TblApplications[Besoin ROKS RAM (Go)],TblApplications[Cluster ROKS cible],$F26,TblApplications[Action],"À migrer",TblApplications[Déjà incluse ROKS],"Non",TblApplications[Mois prov (calc)],"&lt;="&amp;$E26),SUMIFS(TblApplications[RAM IKS libérable (Go)],TblApplications[Cluster IKS source],$F26,TblApplications[Mois lib (calc)],"&lt;="&amp;$E26)))</f>
        <v>1280</v>
      </c>
      <c r="R26" s="14" t="n">
        <f aca="false">IF($D26&lt;&gt;1,"",IF($G26="ROKS",$L26+$P26,IF($AI26=1,0,MAX($N26,$L26-$P26))))</f>
        <v>256</v>
      </c>
      <c r="S26" s="14" t="n">
        <f aca="false">IF($D26&lt;&gt;1,"",IF($G26="ROKS",$M26+$Q26,IF($AI26=1,0,MAX($O26,$M26-$Q26))))</f>
        <v>1024</v>
      </c>
      <c r="T26" s="14" t="n">
        <f aca="false">IF($D26&lt;&gt;1,"",IF($AI26=1,0,MAX($J26,ROUNDUP(MAX($R26/$H26,$S26/$I26),0))))</f>
        <v>8</v>
      </c>
      <c r="U26" s="14" t="n">
        <f aca="false">IF($D26&lt;&gt;1,"",IF(p_mode="Nœud",$T26*$H26,$R26))</f>
        <v>256</v>
      </c>
      <c r="V26" s="14" t="n">
        <f aca="false">IF($D26&lt;&gt;1,"",IF(p_mode="Nœud",$T26*$I26,$S26))</f>
        <v>1024</v>
      </c>
      <c r="W26" s="84" t="n">
        <f aca="false">IF($D26&lt;&gt;1,"",IF(p_mode="Nœud",$T26*$K26,$R26*IF($G26="IKS",p_iks_cpu,p_roks_cpu)+$S26*IF($G26="IKS",p_iks_ram,p_roks_ram))*p_facteur)</f>
        <v>8496</v>
      </c>
      <c r="X26" s="14" t="n">
        <f aca="false">IF($D26&lt;&gt;1,"",IF($G26="ROKS",$R26,IF($AI26=1,0,MAX($N26,$L26-SUMIFS(TblApplications[CPU IKS libérable (vCPU)],TblApplications[Cluster IKS source],$F26,TblApplications[Action],"À migrer",TblApplications[Mois prov (calc)],"&lt;="&amp;$E26)-SUMIFS(TblApplications[CPU IKS libérable (vCPU)],TblApplications[Cluster IKS source],$F26,TblApplications[Action],"À décommissionner",TblApplications[Mois lib (calc)],"&lt;="&amp;$E26)))))</f>
        <v>256</v>
      </c>
      <c r="Y26" s="14" t="n">
        <f aca="false">IF($D26&lt;&gt;1,"",IF($G26="ROKS",$S26,IF($AI26=1,0,MAX($O26,$M26-SUMIFS(TblApplications[RAM IKS libérable (Go)],TblApplications[Cluster IKS source],$F26,TblApplications[Action],"À migrer",TblApplications[Mois prov (calc)],"&lt;="&amp;$E26)-SUMIFS(TblApplications[RAM IKS libérable (Go)],TblApplications[Cluster IKS source],$F26,TblApplications[Action],"À décommissionner",TblApplications[Mois lib (calc)],"&lt;="&amp;$E26)))))</f>
        <v>1024</v>
      </c>
      <c r="Z26" s="14" t="n">
        <f aca="false">IF($D26&lt;&gt;1,"",IF($AI26=1,0,MAX($J26,ROUNDUP(MAX($X26/$H26,$Y26/$I26),0))))</f>
        <v>8</v>
      </c>
      <c r="AA26" s="84" t="n">
        <f aca="false">IF($D26&lt;&gt;1,"",IF(p_mode="Nœud",$Z26*$K26,$X26*IF($G26="IKS",p_iks_cpu,p_roks_cpu)+$Y26*IF($G26="IKS",p_iks_ram,p_roks_ram))*p_facteur)</f>
        <v>8496</v>
      </c>
      <c r="AB26" s="14" t="n">
        <f aca="false">IF($D26&lt;&gt;1,"",MAX($J26,ROUNDUP(MAX($L26/$H26,$M26/$I26),0)))</f>
        <v>18</v>
      </c>
      <c r="AC26" s="84" t="n">
        <f aca="false">IF($D26&lt;&gt;1,"",IF(p_mode="Nœud",$AB26*$K26,$L26*IF($G26="IKS",p_iks_cpu,p_roks_cpu)+$M26*IF($G26="IKS",p_iks_ram,p_roks_ram))*p_facteur)</f>
        <v>19116</v>
      </c>
      <c r="AD26" s="14" t="n">
        <f aca="false">IF($D26&lt;&gt;1,"",IF(AND($G26="IKS",$AI26&lt;&gt;1,OR($L26-$P26&lt;$N26,$M26-$Q26&lt;$O26)),1,0))</f>
        <v>0</v>
      </c>
      <c r="AE26" s="14" t="n">
        <f aca="false">IF($D26&lt;&gt;1,"",IF(AND($G26="ROKS",$T26&gt;p_maxworkers),1,0))</f>
        <v>0</v>
      </c>
      <c r="AF26" s="14" t="str">
        <f aca="false">IF($D26&lt;&gt;1,"",IF(INDEX(TblClusters[Environnement],$B26)="","(vide)",INDEX(TblClusters[Environnement],$B26)))</f>
        <v>PRD</v>
      </c>
      <c r="AG26" s="14" t="n">
        <f aca="false">IF($D26&lt;&gt;1,"",$R26+p_poidsram*$S26)</f>
        <v>358.4</v>
      </c>
      <c r="AH26" s="14" t="n">
        <f aca="false">IF($D26&lt;&gt;1,"",IFERROR($W26/$AG26,0))</f>
        <v>23.7053571428571</v>
      </c>
      <c r="AI26" s="14" t="n">
        <f aca="false">IF($D26&lt;&gt;1,"",IF(AND($G26="IKS",ISNUMBER(INDEX(TblClusters[Fermeture retenue],$B26))),IF($E26&gt;=INDEX(TblClusters[Fermeture retenue],$B26),1,0),0))</f>
        <v>0</v>
      </c>
    </row>
    <row r="27" customFormat="false" ht="15" hidden="false" customHeight="false" outlineLevel="0" collapsed="false">
      <c r="A27" s="14" t="n">
        <v>22</v>
      </c>
      <c r="B27" s="14" t="n">
        <f aca="false">INT(($A27-1)/36)+1</f>
        <v>1</v>
      </c>
      <c r="C27" s="14" t="n">
        <f aca="false">MOD($A27-1,36)+1</f>
        <v>22</v>
      </c>
      <c r="D27" s="14" t="n">
        <f aca="false">IF($C27&gt;p_horizon,0,IFERROR(IF(AND(INDEX(TblClusters[Cluster],$B27)&lt;&gt;"",ISNUMBER(INDEX(TblClusters[CPU initial (vCPU)],$B27)),ISNUMBER(INDEX(TblClusters[CPU min (vCPU)],$B27)),OR(INDEX(TblClusters[Plateforme],$B27)="IKS",INDEX(TblClusters[Plateforme],$B27)="ROKS")),1,0),0))</f>
        <v>1</v>
      </c>
      <c r="E27" s="83" t="n">
        <f aca="false">IF($D27=1,EDATE(p_debut,$C27-1),"")</f>
        <v>46935</v>
      </c>
      <c r="F27" s="14" t="str">
        <f aca="false">IF($D27=1,INDEX(TblClusters[Cluster],$B27),"")</f>
        <v>IKS-PRD-01</v>
      </c>
      <c r="G27" s="14" t="str">
        <f aca="false">IF($D27=1,INDEX(TblClusters[Plateforme],$B27),"")</f>
        <v>IKS</v>
      </c>
      <c r="H27" s="14" t="n">
        <f aca="false">IF($D27=1,INDEX(TblClusters[vCPU par nœud],$B27),"")</f>
        <v>32</v>
      </c>
      <c r="I27" s="14" t="n">
        <f aca="false">IF($D27=1,INDEX(TblClusters[RAM par nœud (Go)],$B27),"")</f>
        <v>128</v>
      </c>
      <c r="J27" s="14" t="n">
        <f aca="false">IF($D27=1,INDEX(TblClusters[Workers min],$B27),"")</f>
        <v>3</v>
      </c>
      <c r="K27" s="84" t="n">
        <f aca="false">IF($D27=1,INDEX(TblClusters[Tarif par nœud],$B27),"")</f>
        <v>1062</v>
      </c>
      <c r="L27" s="14" t="n">
        <f aca="false">IF($D27=1,INDEX(TblClusters[CPU initial (vCPU)],$B27),"")</f>
        <v>576</v>
      </c>
      <c r="M27" s="14" t="n">
        <f aca="false">IF($D27=1,INDEX(TblClusters[RAM initiale (Go)],$B27),"")</f>
        <v>2304</v>
      </c>
      <c r="N27" s="14" t="n">
        <f aca="false">IF($D27=1,INDEX(TblClusters[CPU min (vCPU)],$B27),"")</f>
        <v>96</v>
      </c>
      <c r="O27" s="14" t="n">
        <f aca="false">IF($D27=1,INDEX(TblClusters[RAM min (Go)],$B27),"")</f>
        <v>384</v>
      </c>
      <c r="P27" s="14" t="n">
        <f aca="false">IF($D27&lt;&gt;1,"",IF($G27="ROKS",SUMIFS(TblApplications[Besoin ROKS CPU (vCPU)],TblApplications[Cluster ROKS cible],$F27,TblApplications[Action],"À migrer",TblApplications[Déjà incluse ROKS],"Non",TblApplications[Mois prov (calc)],"&lt;="&amp;$E27),SUMIFS(TblApplications[CPU IKS libérable (vCPU)],TblApplications[Cluster IKS source],$F27,TblApplications[Mois lib (calc)],"&lt;="&amp;$E27)))</f>
        <v>320</v>
      </c>
      <c r="Q27" s="14" t="n">
        <f aca="false">IF($D27&lt;&gt;1,"",IF($G27="ROKS",SUMIFS(TblApplications[Besoin ROKS RAM (Go)],TblApplications[Cluster ROKS cible],$F27,TblApplications[Action],"À migrer",TblApplications[Déjà incluse ROKS],"Non",TblApplications[Mois prov (calc)],"&lt;="&amp;$E27),SUMIFS(TblApplications[RAM IKS libérable (Go)],TblApplications[Cluster IKS source],$F27,TblApplications[Mois lib (calc)],"&lt;="&amp;$E27)))</f>
        <v>1280</v>
      </c>
      <c r="R27" s="14" t="n">
        <f aca="false">IF($D27&lt;&gt;1,"",IF($G27="ROKS",$L27+$P27,IF($AI27=1,0,MAX($N27,$L27-$P27))))</f>
        <v>256</v>
      </c>
      <c r="S27" s="14" t="n">
        <f aca="false">IF($D27&lt;&gt;1,"",IF($G27="ROKS",$M27+$Q27,IF($AI27=1,0,MAX($O27,$M27-$Q27))))</f>
        <v>1024</v>
      </c>
      <c r="T27" s="14" t="n">
        <f aca="false">IF($D27&lt;&gt;1,"",IF($AI27=1,0,MAX($J27,ROUNDUP(MAX($R27/$H27,$S27/$I27),0))))</f>
        <v>8</v>
      </c>
      <c r="U27" s="14" t="n">
        <f aca="false">IF($D27&lt;&gt;1,"",IF(p_mode="Nœud",$T27*$H27,$R27))</f>
        <v>256</v>
      </c>
      <c r="V27" s="14" t="n">
        <f aca="false">IF($D27&lt;&gt;1,"",IF(p_mode="Nœud",$T27*$I27,$S27))</f>
        <v>1024</v>
      </c>
      <c r="W27" s="84" t="n">
        <f aca="false">IF($D27&lt;&gt;1,"",IF(p_mode="Nœud",$T27*$K27,$R27*IF($G27="IKS",p_iks_cpu,p_roks_cpu)+$S27*IF($G27="IKS",p_iks_ram,p_roks_ram))*p_facteur)</f>
        <v>8496</v>
      </c>
      <c r="X27" s="14" t="n">
        <f aca="false">IF($D27&lt;&gt;1,"",IF($G27="ROKS",$R27,IF($AI27=1,0,MAX($N27,$L27-SUMIFS(TblApplications[CPU IKS libérable (vCPU)],TblApplications[Cluster IKS source],$F27,TblApplications[Action],"À migrer",TblApplications[Mois prov (calc)],"&lt;="&amp;$E27)-SUMIFS(TblApplications[CPU IKS libérable (vCPU)],TblApplications[Cluster IKS source],$F27,TblApplications[Action],"À décommissionner",TblApplications[Mois lib (calc)],"&lt;="&amp;$E27)))))</f>
        <v>256</v>
      </c>
      <c r="Y27" s="14" t="n">
        <f aca="false">IF($D27&lt;&gt;1,"",IF($G27="ROKS",$S27,IF($AI27=1,0,MAX($O27,$M27-SUMIFS(TblApplications[RAM IKS libérable (Go)],TblApplications[Cluster IKS source],$F27,TblApplications[Action],"À migrer",TblApplications[Mois prov (calc)],"&lt;="&amp;$E27)-SUMIFS(TblApplications[RAM IKS libérable (Go)],TblApplications[Cluster IKS source],$F27,TblApplications[Action],"À décommissionner",TblApplications[Mois lib (calc)],"&lt;="&amp;$E27)))))</f>
        <v>1024</v>
      </c>
      <c r="Z27" s="14" t="n">
        <f aca="false">IF($D27&lt;&gt;1,"",IF($AI27=1,0,MAX($J27,ROUNDUP(MAX($X27/$H27,$Y27/$I27),0))))</f>
        <v>8</v>
      </c>
      <c r="AA27" s="84" t="n">
        <f aca="false">IF($D27&lt;&gt;1,"",IF(p_mode="Nœud",$Z27*$K27,$X27*IF($G27="IKS",p_iks_cpu,p_roks_cpu)+$Y27*IF($G27="IKS",p_iks_ram,p_roks_ram))*p_facteur)</f>
        <v>8496</v>
      </c>
      <c r="AB27" s="14" t="n">
        <f aca="false">IF($D27&lt;&gt;1,"",MAX($J27,ROUNDUP(MAX($L27/$H27,$M27/$I27),0)))</f>
        <v>18</v>
      </c>
      <c r="AC27" s="84" t="n">
        <f aca="false">IF($D27&lt;&gt;1,"",IF(p_mode="Nœud",$AB27*$K27,$L27*IF($G27="IKS",p_iks_cpu,p_roks_cpu)+$M27*IF($G27="IKS",p_iks_ram,p_roks_ram))*p_facteur)</f>
        <v>19116</v>
      </c>
      <c r="AD27" s="14" t="n">
        <f aca="false">IF($D27&lt;&gt;1,"",IF(AND($G27="IKS",$AI27&lt;&gt;1,OR($L27-$P27&lt;$N27,$M27-$Q27&lt;$O27)),1,0))</f>
        <v>0</v>
      </c>
      <c r="AE27" s="14" t="n">
        <f aca="false">IF($D27&lt;&gt;1,"",IF(AND($G27="ROKS",$T27&gt;p_maxworkers),1,0))</f>
        <v>0</v>
      </c>
      <c r="AF27" s="14" t="str">
        <f aca="false">IF($D27&lt;&gt;1,"",IF(INDEX(TblClusters[Environnement],$B27)="","(vide)",INDEX(TblClusters[Environnement],$B27)))</f>
        <v>PRD</v>
      </c>
      <c r="AG27" s="14" t="n">
        <f aca="false">IF($D27&lt;&gt;1,"",$R27+p_poidsram*$S27)</f>
        <v>358.4</v>
      </c>
      <c r="AH27" s="14" t="n">
        <f aca="false">IF($D27&lt;&gt;1,"",IFERROR($W27/$AG27,0))</f>
        <v>23.7053571428571</v>
      </c>
      <c r="AI27" s="14" t="n">
        <f aca="false">IF($D27&lt;&gt;1,"",IF(AND($G27="IKS",ISNUMBER(INDEX(TblClusters[Fermeture retenue],$B27))),IF($E27&gt;=INDEX(TblClusters[Fermeture retenue],$B27),1,0),0))</f>
        <v>0</v>
      </c>
    </row>
    <row r="28" customFormat="false" ht="15" hidden="false" customHeight="false" outlineLevel="0" collapsed="false">
      <c r="A28" s="14" t="n">
        <v>23</v>
      </c>
      <c r="B28" s="14" t="n">
        <f aca="false">INT(($A28-1)/36)+1</f>
        <v>1</v>
      </c>
      <c r="C28" s="14" t="n">
        <f aca="false">MOD($A28-1,36)+1</f>
        <v>23</v>
      </c>
      <c r="D28" s="14" t="n">
        <f aca="false">IF($C28&gt;p_horizon,0,IFERROR(IF(AND(INDEX(TblClusters[Cluster],$B28)&lt;&gt;"",ISNUMBER(INDEX(TblClusters[CPU initial (vCPU)],$B28)),ISNUMBER(INDEX(TblClusters[CPU min (vCPU)],$B28)),OR(INDEX(TblClusters[Plateforme],$B28)="IKS",INDEX(TblClusters[Plateforme],$B28)="ROKS")),1,0),0))</f>
        <v>1</v>
      </c>
      <c r="E28" s="83" t="n">
        <f aca="false">IF($D28=1,EDATE(p_debut,$C28-1),"")</f>
        <v>46966</v>
      </c>
      <c r="F28" s="14" t="str">
        <f aca="false">IF($D28=1,INDEX(TblClusters[Cluster],$B28),"")</f>
        <v>IKS-PRD-01</v>
      </c>
      <c r="G28" s="14" t="str">
        <f aca="false">IF($D28=1,INDEX(TblClusters[Plateforme],$B28),"")</f>
        <v>IKS</v>
      </c>
      <c r="H28" s="14" t="n">
        <f aca="false">IF($D28=1,INDEX(TblClusters[vCPU par nœud],$B28),"")</f>
        <v>32</v>
      </c>
      <c r="I28" s="14" t="n">
        <f aca="false">IF($D28=1,INDEX(TblClusters[RAM par nœud (Go)],$B28),"")</f>
        <v>128</v>
      </c>
      <c r="J28" s="14" t="n">
        <f aca="false">IF($D28=1,INDEX(TblClusters[Workers min],$B28),"")</f>
        <v>3</v>
      </c>
      <c r="K28" s="84" t="n">
        <f aca="false">IF($D28=1,INDEX(TblClusters[Tarif par nœud],$B28),"")</f>
        <v>1062</v>
      </c>
      <c r="L28" s="14" t="n">
        <f aca="false">IF($D28=1,INDEX(TblClusters[CPU initial (vCPU)],$B28),"")</f>
        <v>576</v>
      </c>
      <c r="M28" s="14" t="n">
        <f aca="false">IF($D28=1,INDEX(TblClusters[RAM initiale (Go)],$B28),"")</f>
        <v>2304</v>
      </c>
      <c r="N28" s="14" t="n">
        <f aca="false">IF($D28=1,INDEX(TblClusters[CPU min (vCPU)],$B28),"")</f>
        <v>96</v>
      </c>
      <c r="O28" s="14" t="n">
        <f aca="false">IF($D28=1,INDEX(TblClusters[RAM min (Go)],$B28),"")</f>
        <v>384</v>
      </c>
      <c r="P28" s="14" t="n">
        <f aca="false">IF($D28&lt;&gt;1,"",IF($G28="ROKS",SUMIFS(TblApplications[Besoin ROKS CPU (vCPU)],TblApplications[Cluster ROKS cible],$F28,TblApplications[Action],"À migrer",TblApplications[Déjà incluse ROKS],"Non",TblApplications[Mois prov (calc)],"&lt;="&amp;$E28),SUMIFS(TblApplications[CPU IKS libérable (vCPU)],TblApplications[Cluster IKS source],$F28,TblApplications[Mois lib (calc)],"&lt;="&amp;$E28)))</f>
        <v>320</v>
      </c>
      <c r="Q28" s="14" t="n">
        <f aca="false">IF($D28&lt;&gt;1,"",IF($G28="ROKS",SUMIFS(TblApplications[Besoin ROKS RAM (Go)],TblApplications[Cluster ROKS cible],$F28,TblApplications[Action],"À migrer",TblApplications[Déjà incluse ROKS],"Non",TblApplications[Mois prov (calc)],"&lt;="&amp;$E28),SUMIFS(TblApplications[RAM IKS libérable (Go)],TblApplications[Cluster IKS source],$F28,TblApplications[Mois lib (calc)],"&lt;="&amp;$E28)))</f>
        <v>1280</v>
      </c>
      <c r="R28" s="14" t="n">
        <f aca="false">IF($D28&lt;&gt;1,"",IF($G28="ROKS",$L28+$P28,IF($AI28=1,0,MAX($N28,$L28-$P28))))</f>
        <v>256</v>
      </c>
      <c r="S28" s="14" t="n">
        <f aca="false">IF($D28&lt;&gt;1,"",IF($G28="ROKS",$M28+$Q28,IF($AI28=1,0,MAX($O28,$M28-$Q28))))</f>
        <v>1024</v>
      </c>
      <c r="T28" s="14" t="n">
        <f aca="false">IF($D28&lt;&gt;1,"",IF($AI28=1,0,MAX($J28,ROUNDUP(MAX($R28/$H28,$S28/$I28),0))))</f>
        <v>8</v>
      </c>
      <c r="U28" s="14" t="n">
        <f aca="false">IF($D28&lt;&gt;1,"",IF(p_mode="Nœud",$T28*$H28,$R28))</f>
        <v>256</v>
      </c>
      <c r="V28" s="14" t="n">
        <f aca="false">IF($D28&lt;&gt;1,"",IF(p_mode="Nœud",$T28*$I28,$S28))</f>
        <v>1024</v>
      </c>
      <c r="W28" s="84" t="n">
        <f aca="false">IF($D28&lt;&gt;1,"",IF(p_mode="Nœud",$T28*$K28,$R28*IF($G28="IKS",p_iks_cpu,p_roks_cpu)+$S28*IF($G28="IKS",p_iks_ram,p_roks_ram))*p_facteur)</f>
        <v>8496</v>
      </c>
      <c r="X28" s="14" t="n">
        <f aca="false">IF($D28&lt;&gt;1,"",IF($G28="ROKS",$R28,IF($AI28=1,0,MAX($N28,$L28-SUMIFS(TblApplications[CPU IKS libérable (vCPU)],TblApplications[Cluster IKS source],$F28,TblApplications[Action],"À migrer",TblApplications[Mois prov (calc)],"&lt;="&amp;$E28)-SUMIFS(TblApplications[CPU IKS libérable (vCPU)],TblApplications[Cluster IKS source],$F28,TblApplications[Action],"À décommissionner",TblApplications[Mois lib (calc)],"&lt;="&amp;$E28)))))</f>
        <v>256</v>
      </c>
      <c r="Y28" s="14" t="n">
        <f aca="false">IF($D28&lt;&gt;1,"",IF($G28="ROKS",$S28,IF($AI28=1,0,MAX($O28,$M28-SUMIFS(TblApplications[RAM IKS libérable (Go)],TblApplications[Cluster IKS source],$F28,TblApplications[Action],"À migrer",TblApplications[Mois prov (calc)],"&lt;="&amp;$E28)-SUMIFS(TblApplications[RAM IKS libérable (Go)],TblApplications[Cluster IKS source],$F28,TblApplications[Action],"À décommissionner",TblApplications[Mois lib (calc)],"&lt;="&amp;$E28)))))</f>
        <v>1024</v>
      </c>
      <c r="Z28" s="14" t="n">
        <f aca="false">IF($D28&lt;&gt;1,"",IF($AI28=1,0,MAX($J28,ROUNDUP(MAX($X28/$H28,$Y28/$I28),0))))</f>
        <v>8</v>
      </c>
      <c r="AA28" s="84" t="n">
        <f aca="false">IF($D28&lt;&gt;1,"",IF(p_mode="Nœud",$Z28*$K28,$X28*IF($G28="IKS",p_iks_cpu,p_roks_cpu)+$Y28*IF($G28="IKS",p_iks_ram,p_roks_ram))*p_facteur)</f>
        <v>8496</v>
      </c>
      <c r="AB28" s="14" t="n">
        <f aca="false">IF($D28&lt;&gt;1,"",MAX($J28,ROUNDUP(MAX($L28/$H28,$M28/$I28),0)))</f>
        <v>18</v>
      </c>
      <c r="AC28" s="84" t="n">
        <f aca="false">IF($D28&lt;&gt;1,"",IF(p_mode="Nœud",$AB28*$K28,$L28*IF($G28="IKS",p_iks_cpu,p_roks_cpu)+$M28*IF($G28="IKS",p_iks_ram,p_roks_ram))*p_facteur)</f>
        <v>19116</v>
      </c>
      <c r="AD28" s="14" t="n">
        <f aca="false">IF($D28&lt;&gt;1,"",IF(AND($G28="IKS",$AI28&lt;&gt;1,OR($L28-$P28&lt;$N28,$M28-$Q28&lt;$O28)),1,0))</f>
        <v>0</v>
      </c>
      <c r="AE28" s="14" t="n">
        <f aca="false">IF($D28&lt;&gt;1,"",IF(AND($G28="ROKS",$T28&gt;p_maxworkers),1,0))</f>
        <v>0</v>
      </c>
      <c r="AF28" s="14" t="str">
        <f aca="false">IF($D28&lt;&gt;1,"",IF(INDEX(TblClusters[Environnement],$B28)="","(vide)",INDEX(TblClusters[Environnement],$B28)))</f>
        <v>PRD</v>
      </c>
      <c r="AG28" s="14" t="n">
        <f aca="false">IF($D28&lt;&gt;1,"",$R28+p_poidsram*$S28)</f>
        <v>358.4</v>
      </c>
      <c r="AH28" s="14" t="n">
        <f aca="false">IF($D28&lt;&gt;1,"",IFERROR($W28/$AG28,0))</f>
        <v>23.7053571428571</v>
      </c>
      <c r="AI28" s="14" t="n">
        <f aca="false">IF($D28&lt;&gt;1,"",IF(AND($G28="IKS",ISNUMBER(INDEX(TblClusters[Fermeture retenue],$B28))),IF($E28&gt;=INDEX(TblClusters[Fermeture retenue],$B28),1,0),0))</f>
        <v>0</v>
      </c>
    </row>
    <row r="29" customFormat="false" ht="15" hidden="false" customHeight="false" outlineLevel="0" collapsed="false">
      <c r="A29" s="14" t="n">
        <v>24</v>
      </c>
      <c r="B29" s="14" t="n">
        <f aca="false">INT(($A29-1)/36)+1</f>
        <v>1</v>
      </c>
      <c r="C29" s="14" t="n">
        <f aca="false">MOD($A29-1,36)+1</f>
        <v>24</v>
      </c>
      <c r="D29" s="14" t="n">
        <f aca="false">IF($C29&gt;p_horizon,0,IFERROR(IF(AND(INDEX(TblClusters[Cluster],$B29)&lt;&gt;"",ISNUMBER(INDEX(TblClusters[CPU initial (vCPU)],$B29)),ISNUMBER(INDEX(TblClusters[CPU min (vCPU)],$B29)),OR(INDEX(TblClusters[Plateforme],$B29)="IKS",INDEX(TblClusters[Plateforme],$B29)="ROKS")),1,0),0))</f>
        <v>1</v>
      </c>
      <c r="E29" s="83" t="n">
        <f aca="false">IF($D29=1,EDATE(p_debut,$C29-1),"")</f>
        <v>46997</v>
      </c>
      <c r="F29" s="14" t="str">
        <f aca="false">IF($D29=1,INDEX(TblClusters[Cluster],$B29),"")</f>
        <v>IKS-PRD-01</v>
      </c>
      <c r="G29" s="14" t="str">
        <f aca="false">IF($D29=1,INDEX(TblClusters[Plateforme],$B29),"")</f>
        <v>IKS</v>
      </c>
      <c r="H29" s="14" t="n">
        <f aca="false">IF($D29=1,INDEX(TblClusters[vCPU par nœud],$B29),"")</f>
        <v>32</v>
      </c>
      <c r="I29" s="14" t="n">
        <f aca="false">IF($D29=1,INDEX(TblClusters[RAM par nœud (Go)],$B29),"")</f>
        <v>128</v>
      </c>
      <c r="J29" s="14" t="n">
        <f aca="false">IF($D29=1,INDEX(TblClusters[Workers min],$B29),"")</f>
        <v>3</v>
      </c>
      <c r="K29" s="84" t="n">
        <f aca="false">IF($D29=1,INDEX(TblClusters[Tarif par nœud],$B29),"")</f>
        <v>1062</v>
      </c>
      <c r="L29" s="14" t="n">
        <f aca="false">IF($D29=1,INDEX(TblClusters[CPU initial (vCPU)],$B29),"")</f>
        <v>576</v>
      </c>
      <c r="M29" s="14" t="n">
        <f aca="false">IF($D29=1,INDEX(TblClusters[RAM initiale (Go)],$B29),"")</f>
        <v>2304</v>
      </c>
      <c r="N29" s="14" t="n">
        <f aca="false">IF($D29=1,INDEX(TblClusters[CPU min (vCPU)],$B29),"")</f>
        <v>96</v>
      </c>
      <c r="O29" s="14" t="n">
        <f aca="false">IF($D29=1,INDEX(TblClusters[RAM min (Go)],$B29),"")</f>
        <v>384</v>
      </c>
      <c r="P29" s="14" t="n">
        <f aca="false">IF($D29&lt;&gt;1,"",IF($G29="ROKS",SUMIFS(TblApplications[Besoin ROKS CPU (vCPU)],TblApplications[Cluster ROKS cible],$F29,TblApplications[Action],"À migrer",TblApplications[Déjà incluse ROKS],"Non",TblApplications[Mois prov (calc)],"&lt;="&amp;$E29),SUMIFS(TblApplications[CPU IKS libérable (vCPU)],TblApplications[Cluster IKS source],$F29,TblApplications[Mois lib (calc)],"&lt;="&amp;$E29)))</f>
        <v>320</v>
      </c>
      <c r="Q29" s="14" t="n">
        <f aca="false">IF($D29&lt;&gt;1,"",IF($G29="ROKS",SUMIFS(TblApplications[Besoin ROKS RAM (Go)],TblApplications[Cluster ROKS cible],$F29,TblApplications[Action],"À migrer",TblApplications[Déjà incluse ROKS],"Non",TblApplications[Mois prov (calc)],"&lt;="&amp;$E29),SUMIFS(TblApplications[RAM IKS libérable (Go)],TblApplications[Cluster IKS source],$F29,TblApplications[Mois lib (calc)],"&lt;="&amp;$E29)))</f>
        <v>1280</v>
      </c>
      <c r="R29" s="14" t="n">
        <f aca="false">IF($D29&lt;&gt;1,"",IF($G29="ROKS",$L29+$P29,IF($AI29=1,0,MAX($N29,$L29-$P29))))</f>
        <v>256</v>
      </c>
      <c r="S29" s="14" t="n">
        <f aca="false">IF($D29&lt;&gt;1,"",IF($G29="ROKS",$M29+$Q29,IF($AI29=1,0,MAX($O29,$M29-$Q29))))</f>
        <v>1024</v>
      </c>
      <c r="T29" s="14" t="n">
        <f aca="false">IF($D29&lt;&gt;1,"",IF($AI29=1,0,MAX($J29,ROUNDUP(MAX($R29/$H29,$S29/$I29),0))))</f>
        <v>8</v>
      </c>
      <c r="U29" s="14" t="n">
        <f aca="false">IF($D29&lt;&gt;1,"",IF(p_mode="Nœud",$T29*$H29,$R29))</f>
        <v>256</v>
      </c>
      <c r="V29" s="14" t="n">
        <f aca="false">IF($D29&lt;&gt;1,"",IF(p_mode="Nœud",$T29*$I29,$S29))</f>
        <v>1024</v>
      </c>
      <c r="W29" s="84" t="n">
        <f aca="false">IF($D29&lt;&gt;1,"",IF(p_mode="Nœud",$T29*$K29,$R29*IF($G29="IKS",p_iks_cpu,p_roks_cpu)+$S29*IF($G29="IKS",p_iks_ram,p_roks_ram))*p_facteur)</f>
        <v>8496</v>
      </c>
      <c r="X29" s="14" t="n">
        <f aca="false">IF($D29&lt;&gt;1,"",IF($G29="ROKS",$R29,IF($AI29=1,0,MAX($N29,$L29-SUMIFS(TblApplications[CPU IKS libérable (vCPU)],TblApplications[Cluster IKS source],$F29,TblApplications[Action],"À migrer",TblApplications[Mois prov (calc)],"&lt;="&amp;$E29)-SUMIFS(TblApplications[CPU IKS libérable (vCPU)],TblApplications[Cluster IKS source],$F29,TblApplications[Action],"À décommissionner",TblApplications[Mois lib (calc)],"&lt;="&amp;$E29)))))</f>
        <v>96</v>
      </c>
      <c r="Y29" s="14" t="n">
        <f aca="false">IF($D29&lt;&gt;1,"",IF($G29="ROKS",$S29,IF($AI29=1,0,MAX($O29,$M29-SUMIFS(TblApplications[RAM IKS libérable (Go)],TblApplications[Cluster IKS source],$F29,TblApplications[Action],"À migrer",TblApplications[Mois prov (calc)],"&lt;="&amp;$E29)-SUMIFS(TblApplications[RAM IKS libérable (Go)],TblApplications[Cluster IKS source],$F29,TblApplications[Action],"À décommissionner",TblApplications[Mois lib (calc)],"&lt;="&amp;$E29)))))</f>
        <v>384</v>
      </c>
      <c r="Z29" s="14" t="n">
        <f aca="false">IF($D29&lt;&gt;1,"",IF($AI29=1,0,MAX($J29,ROUNDUP(MAX($X29/$H29,$Y29/$I29),0))))</f>
        <v>3</v>
      </c>
      <c r="AA29" s="84" t="n">
        <f aca="false">IF($D29&lt;&gt;1,"",IF(p_mode="Nœud",$Z29*$K29,$X29*IF($G29="IKS",p_iks_cpu,p_roks_cpu)+$Y29*IF($G29="IKS",p_iks_ram,p_roks_ram))*p_facteur)</f>
        <v>3186</v>
      </c>
      <c r="AB29" s="14" t="n">
        <f aca="false">IF($D29&lt;&gt;1,"",MAX($J29,ROUNDUP(MAX($L29/$H29,$M29/$I29),0)))</f>
        <v>18</v>
      </c>
      <c r="AC29" s="84" t="n">
        <f aca="false">IF($D29&lt;&gt;1,"",IF(p_mode="Nœud",$AB29*$K29,$L29*IF($G29="IKS",p_iks_cpu,p_roks_cpu)+$M29*IF($G29="IKS",p_iks_ram,p_roks_ram))*p_facteur)</f>
        <v>19116</v>
      </c>
      <c r="AD29" s="14" t="n">
        <f aca="false">IF($D29&lt;&gt;1,"",IF(AND($G29="IKS",$AI29&lt;&gt;1,OR($L29-$P29&lt;$N29,$M29-$Q29&lt;$O29)),1,0))</f>
        <v>0</v>
      </c>
      <c r="AE29" s="14" t="n">
        <f aca="false">IF($D29&lt;&gt;1,"",IF(AND($G29="ROKS",$T29&gt;p_maxworkers),1,0))</f>
        <v>0</v>
      </c>
      <c r="AF29" s="14" t="str">
        <f aca="false">IF($D29&lt;&gt;1,"",IF(INDEX(TblClusters[Environnement],$B29)="","(vide)",INDEX(TblClusters[Environnement],$B29)))</f>
        <v>PRD</v>
      </c>
      <c r="AG29" s="14" t="n">
        <f aca="false">IF($D29&lt;&gt;1,"",$R29+p_poidsram*$S29)</f>
        <v>358.4</v>
      </c>
      <c r="AH29" s="14" t="n">
        <f aca="false">IF($D29&lt;&gt;1,"",IFERROR($W29/$AG29,0))</f>
        <v>23.7053571428571</v>
      </c>
      <c r="AI29" s="14" t="n">
        <f aca="false">IF($D29&lt;&gt;1,"",IF(AND($G29="IKS",ISNUMBER(INDEX(TblClusters[Fermeture retenue],$B29))),IF($E29&gt;=INDEX(TblClusters[Fermeture retenue],$B29),1,0),0))</f>
        <v>0</v>
      </c>
    </row>
    <row r="30" customFormat="false" ht="15" hidden="false" customHeight="false" outlineLevel="0" collapsed="false">
      <c r="A30" s="14" t="n">
        <v>25</v>
      </c>
      <c r="B30" s="14" t="n">
        <f aca="false">INT(($A30-1)/36)+1</f>
        <v>1</v>
      </c>
      <c r="C30" s="14" t="n">
        <f aca="false">MOD($A30-1,36)+1</f>
        <v>25</v>
      </c>
      <c r="D30" s="14" t="n">
        <f aca="false">IF($C30&gt;p_horizon,0,IFERROR(IF(AND(INDEX(TblClusters[Cluster],$B30)&lt;&gt;"",ISNUMBER(INDEX(TblClusters[CPU initial (vCPU)],$B30)),ISNUMBER(INDEX(TblClusters[CPU min (vCPU)],$B30)),OR(INDEX(TblClusters[Plateforme],$B30)="IKS",INDEX(TblClusters[Plateforme],$B30)="ROKS")),1,0),0))</f>
        <v>1</v>
      </c>
      <c r="E30" s="83" t="n">
        <f aca="false">IF($D30=1,EDATE(p_debut,$C30-1),"")</f>
        <v>47027</v>
      </c>
      <c r="F30" s="14" t="str">
        <f aca="false">IF($D30=1,INDEX(TblClusters[Cluster],$B30),"")</f>
        <v>IKS-PRD-01</v>
      </c>
      <c r="G30" s="14" t="str">
        <f aca="false">IF($D30=1,INDEX(TblClusters[Plateforme],$B30),"")</f>
        <v>IKS</v>
      </c>
      <c r="H30" s="14" t="n">
        <f aca="false">IF($D30=1,INDEX(TblClusters[vCPU par nœud],$B30),"")</f>
        <v>32</v>
      </c>
      <c r="I30" s="14" t="n">
        <f aca="false">IF($D30=1,INDEX(TblClusters[RAM par nœud (Go)],$B30),"")</f>
        <v>128</v>
      </c>
      <c r="J30" s="14" t="n">
        <f aca="false">IF($D30=1,INDEX(TblClusters[Workers min],$B30),"")</f>
        <v>3</v>
      </c>
      <c r="K30" s="84" t="n">
        <f aca="false">IF($D30=1,INDEX(TblClusters[Tarif par nœud],$B30),"")</f>
        <v>1062</v>
      </c>
      <c r="L30" s="14" t="n">
        <f aca="false">IF($D30=1,INDEX(TblClusters[CPU initial (vCPU)],$B30),"")</f>
        <v>576</v>
      </c>
      <c r="M30" s="14" t="n">
        <f aca="false">IF($D30=1,INDEX(TblClusters[RAM initiale (Go)],$B30),"")</f>
        <v>2304</v>
      </c>
      <c r="N30" s="14" t="n">
        <f aca="false">IF($D30=1,INDEX(TblClusters[CPU min (vCPU)],$B30),"")</f>
        <v>96</v>
      </c>
      <c r="O30" s="14" t="n">
        <f aca="false">IF($D30=1,INDEX(TblClusters[RAM min (Go)],$B30),"")</f>
        <v>384</v>
      </c>
      <c r="P30" s="14" t="n">
        <f aca="false">IF($D30&lt;&gt;1,"",IF($G30="ROKS",SUMIFS(TblApplications[Besoin ROKS CPU (vCPU)],TblApplications[Cluster ROKS cible],$F30,TblApplications[Action],"À migrer",TblApplications[Déjà incluse ROKS],"Non",TblApplications[Mois prov (calc)],"&lt;="&amp;$E30),SUMIFS(TblApplications[CPU IKS libérable (vCPU)],TblApplications[Cluster IKS source],$F30,TblApplications[Mois lib (calc)],"&lt;="&amp;$E30)))</f>
        <v>320</v>
      </c>
      <c r="Q30" s="14" t="n">
        <f aca="false">IF($D30&lt;&gt;1,"",IF($G30="ROKS",SUMIFS(TblApplications[Besoin ROKS RAM (Go)],TblApplications[Cluster ROKS cible],$F30,TblApplications[Action],"À migrer",TblApplications[Déjà incluse ROKS],"Non",TblApplications[Mois prov (calc)],"&lt;="&amp;$E30),SUMIFS(TblApplications[RAM IKS libérable (Go)],TblApplications[Cluster IKS source],$F30,TblApplications[Mois lib (calc)],"&lt;="&amp;$E30)))</f>
        <v>1280</v>
      </c>
      <c r="R30" s="14" t="n">
        <f aca="false">IF($D30&lt;&gt;1,"",IF($G30="ROKS",$L30+$P30,IF($AI30=1,0,MAX($N30,$L30-$P30))))</f>
        <v>256</v>
      </c>
      <c r="S30" s="14" t="n">
        <f aca="false">IF($D30&lt;&gt;1,"",IF($G30="ROKS",$M30+$Q30,IF($AI30=1,0,MAX($O30,$M30-$Q30))))</f>
        <v>1024</v>
      </c>
      <c r="T30" s="14" t="n">
        <f aca="false">IF($D30&lt;&gt;1,"",IF($AI30=1,0,MAX($J30,ROUNDUP(MAX($R30/$H30,$S30/$I30),0))))</f>
        <v>8</v>
      </c>
      <c r="U30" s="14" t="n">
        <f aca="false">IF($D30&lt;&gt;1,"",IF(p_mode="Nœud",$T30*$H30,$R30))</f>
        <v>256</v>
      </c>
      <c r="V30" s="14" t="n">
        <f aca="false">IF($D30&lt;&gt;1,"",IF(p_mode="Nœud",$T30*$I30,$S30))</f>
        <v>1024</v>
      </c>
      <c r="W30" s="84" t="n">
        <f aca="false">IF($D30&lt;&gt;1,"",IF(p_mode="Nœud",$T30*$K30,$R30*IF($G30="IKS",p_iks_cpu,p_roks_cpu)+$S30*IF($G30="IKS",p_iks_ram,p_roks_ram))*p_facteur)</f>
        <v>8496</v>
      </c>
      <c r="X30" s="14" t="n">
        <f aca="false">IF($D30&lt;&gt;1,"",IF($G30="ROKS",$R30,IF($AI30=1,0,MAX($N30,$L30-SUMIFS(TblApplications[CPU IKS libérable (vCPU)],TblApplications[Cluster IKS source],$F30,TblApplications[Action],"À migrer",TblApplications[Mois prov (calc)],"&lt;="&amp;$E30)-SUMIFS(TblApplications[CPU IKS libérable (vCPU)],TblApplications[Cluster IKS source],$F30,TblApplications[Action],"À décommissionner",TblApplications[Mois lib (calc)],"&lt;="&amp;$E30)))))</f>
        <v>96</v>
      </c>
      <c r="Y30" s="14" t="n">
        <f aca="false">IF($D30&lt;&gt;1,"",IF($G30="ROKS",$S30,IF($AI30=1,0,MAX($O30,$M30-SUMIFS(TblApplications[RAM IKS libérable (Go)],TblApplications[Cluster IKS source],$F30,TblApplications[Action],"À migrer",TblApplications[Mois prov (calc)],"&lt;="&amp;$E30)-SUMIFS(TblApplications[RAM IKS libérable (Go)],TblApplications[Cluster IKS source],$F30,TblApplications[Action],"À décommissionner",TblApplications[Mois lib (calc)],"&lt;="&amp;$E30)))))</f>
        <v>384</v>
      </c>
      <c r="Z30" s="14" t="n">
        <f aca="false">IF($D30&lt;&gt;1,"",IF($AI30=1,0,MAX($J30,ROUNDUP(MAX($X30/$H30,$Y30/$I30),0))))</f>
        <v>3</v>
      </c>
      <c r="AA30" s="84" t="n">
        <f aca="false">IF($D30&lt;&gt;1,"",IF(p_mode="Nœud",$Z30*$K30,$X30*IF($G30="IKS",p_iks_cpu,p_roks_cpu)+$Y30*IF($G30="IKS",p_iks_ram,p_roks_ram))*p_facteur)</f>
        <v>3186</v>
      </c>
      <c r="AB30" s="14" t="n">
        <f aca="false">IF($D30&lt;&gt;1,"",MAX($J30,ROUNDUP(MAX($L30/$H30,$M30/$I30),0)))</f>
        <v>18</v>
      </c>
      <c r="AC30" s="84" t="n">
        <f aca="false">IF($D30&lt;&gt;1,"",IF(p_mode="Nœud",$AB30*$K30,$L30*IF($G30="IKS",p_iks_cpu,p_roks_cpu)+$M30*IF($G30="IKS",p_iks_ram,p_roks_ram))*p_facteur)</f>
        <v>19116</v>
      </c>
      <c r="AD30" s="14" t="n">
        <f aca="false">IF($D30&lt;&gt;1,"",IF(AND($G30="IKS",$AI30&lt;&gt;1,OR($L30-$P30&lt;$N30,$M30-$Q30&lt;$O30)),1,0))</f>
        <v>0</v>
      </c>
      <c r="AE30" s="14" t="n">
        <f aca="false">IF($D30&lt;&gt;1,"",IF(AND($G30="ROKS",$T30&gt;p_maxworkers),1,0))</f>
        <v>0</v>
      </c>
      <c r="AF30" s="14" t="str">
        <f aca="false">IF($D30&lt;&gt;1,"",IF(INDEX(TblClusters[Environnement],$B30)="","(vide)",INDEX(TblClusters[Environnement],$B30)))</f>
        <v>PRD</v>
      </c>
      <c r="AG30" s="14" t="n">
        <f aca="false">IF($D30&lt;&gt;1,"",$R30+p_poidsram*$S30)</f>
        <v>358.4</v>
      </c>
      <c r="AH30" s="14" t="n">
        <f aca="false">IF($D30&lt;&gt;1,"",IFERROR($W30/$AG30,0))</f>
        <v>23.7053571428571</v>
      </c>
      <c r="AI30" s="14" t="n">
        <f aca="false">IF($D30&lt;&gt;1,"",IF(AND($G30="IKS",ISNUMBER(INDEX(TblClusters[Fermeture retenue],$B30))),IF($E30&gt;=INDEX(TblClusters[Fermeture retenue],$B30),1,0),0))</f>
        <v>0</v>
      </c>
    </row>
    <row r="31" customFormat="false" ht="15" hidden="false" customHeight="false" outlineLevel="0" collapsed="false">
      <c r="A31" s="14" t="n">
        <v>26</v>
      </c>
      <c r="B31" s="14" t="n">
        <f aca="false">INT(($A31-1)/36)+1</f>
        <v>1</v>
      </c>
      <c r="C31" s="14" t="n">
        <f aca="false">MOD($A31-1,36)+1</f>
        <v>26</v>
      </c>
      <c r="D31" s="14" t="n">
        <f aca="false">IF($C31&gt;p_horizon,0,IFERROR(IF(AND(INDEX(TblClusters[Cluster],$B31)&lt;&gt;"",ISNUMBER(INDEX(TblClusters[CPU initial (vCPU)],$B31)),ISNUMBER(INDEX(TblClusters[CPU min (vCPU)],$B31)),OR(INDEX(TblClusters[Plateforme],$B31)="IKS",INDEX(TblClusters[Plateforme],$B31)="ROKS")),1,0),0))</f>
        <v>1</v>
      </c>
      <c r="E31" s="83" t="n">
        <f aca="false">IF($D31=1,EDATE(p_debut,$C31-1),"")</f>
        <v>47058</v>
      </c>
      <c r="F31" s="14" t="str">
        <f aca="false">IF($D31=1,INDEX(TblClusters[Cluster],$B31),"")</f>
        <v>IKS-PRD-01</v>
      </c>
      <c r="G31" s="14" t="str">
        <f aca="false">IF($D31=1,INDEX(TblClusters[Plateforme],$B31),"")</f>
        <v>IKS</v>
      </c>
      <c r="H31" s="14" t="n">
        <f aca="false">IF($D31=1,INDEX(TblClusters[vCPU par nœud],$B31),"")</f>
        <v>32</v>
      </c>
      <c r="I31" s="14" t="n">
        <f aca="false">IF($D31=1,INDEX(TblClusters[RAM par nœud (Go)],$B31),"")</f>
        <v>128</v>
      </c>
      <c r="J31" s="14" t="n">
        <f aca="false">IF($D31=1,INDEX(TblClusters[Workers min],$B31),"")</f>
        <v>3</v>
      </c>
      <c r="K31" s="84" t="n">
        <f aca="false">IF($D31=1,INDEX(TblClusters[Tarif par nœud],$B31),"")</f>
        <v>1062</v>
      </c>
      <c r="L31" s="14" t="n">
        <f aca="false">IF($D31=1,INDEX(TblClusters[CPU initial (vCPU)],$B31),"")</f>
        <v>576</v>
      </c>
      <c r="M31" s="14" t="n">
        <f aca="false">IF($D31=1,INDEX(TblClusters[RAM initiale (Go)],$B31),"")</f>
        <v>2304</v>
      </c>
      <c r="N31" s="14" t="n">
        <f aca="false">IF($D31=1,INDEX(TblClusters[CPU min (vCPU)],$B31),"")</f>
        <v>96</v>
      </c>
      <c r="O31" s="14" t="n">
        <f aca="false">IF($D31=1,INDEX(TblClusters[RAM min (Go)],$B31),"")</f>
        <v>384</v>
      </c>
      <c r="P31" s="14" t="n">
        <f aca="false">IF($D31&lt;&gt;1,"",IF($G31="ROKS",SUMIFS(TblApplications[Besoin ROKS CPU (vCPU)],TblApplications[Cluster ROKS cible],$F31,TblApplications[Action],"À migrer",TblApplications[Déjà incluse ROKS],"Non",TblApplications[Mois prov (calc)],"&lt;="&amp;$E31),SUMIFS(TblApplications[CPU IKS libérable (vCPU)],TblApplications[Cluster IKS source],$F31,TblApplications[Mois lib (calc)],"&lt;="&amp;$E31)))</f>
        <v>320</v>
      </c>
      <c r="Q31" s="14" t="n">
        <f aca="false">IF($D31&lt;&gt;1,"",IF($G31="ROKS",SUMIFS(TblApplications[Besoin ROKS RAM (Go)],TblApplications[Cluster ROKS cible],$F31,TblApplications[Action],"À migrer",TblApplications[Déjà incluse ROKS],"Non",TblApplications[Mois prov (calc)],"&lt;="&amp;$E31),SUMIFS(TblApplications[RAM IKS libérable (Go)],TblApplications[Cluster IKS source],$F31,TblApplications[Mois lib (calc)],"&lt;="&amp;$E31)))</f>
        <v>1280</v>
      </c>
      <c r="R31" s="14" t="n">
        <f aca="false">IF($D31&lt;&gt;1,"",IF($G31="ROKS",$L31+$P31,IF($AI31=1,0,MAX($N31,$L31-$P31))))</f>
        <v>256</v>
      </c>
      <c r="S31" s="14" t="n">
        <f aca="false">IF($D31&lt;&gt;1,"",IF($G31="ROKS",$M31+$Q31,IF($AI31=1,0,MAX($O31,$M31-$Q31))))</f>
        <v>1024</v>
      </c>
      <c r="T31" s="14" t="n">
        <f aca="false">IF($D31&lt;&gt;1,"",IF($AI31=1,0,MAX($J31,ROUNDUP(MAX($R31/$H31,$S31/$I31),0))))</f>
        <v>8</v>
      </c>
      <c r="U31" s="14" t="n">
        <f aca="false">IF($D31&lt;&gt;1,"",IF(p_mode="Nœud",$T31*$H31,$R31))</f>
        <v>256</v>
      </c>
      <c r="V31" s="14" t="n">
        <f aca="false">IF($D31&lt;&gt;1,"",IF(p_mode="Nœud",$T31*$I31,$S31))</f>
        <v>1024</v>
      </c>
      <c r="W31" s="84" t="n">
        <f aca="false">IF($D31&lt;&gt;1,"",IF(p_mode="Nœud",$T31*$K31,$R31*IF($G31="IKS",p_iks_cpu,p_roks_cpu)+$S31*IF($G31="IKS",p_iks_ram,p_roks_ram))*p_facteur)</f>
        <v>8496</v>
      </c>
      <c r="X31" s="14" t="n">
        <f aca="false">IF($D31&lt;&gt;1,"",IF($G31="ROKS",$R31,IF($AI31=1,0,MAX($N31,$L31-SUMIFS(TblApplications[CPU IKS libérable (vCPU)],TblApplications[Cluster IKS source],$F31,TblApplications[Action],"À migrer",TblApplications[Mois prov (calc)],"&lt;="&amp;$E31)-SUMIFS(TblApplications[CPU IKS libérable (vCPU)],TblApplications[Cluster IKS source],$F31,TblApplications[Action],"À décommissionner",TblApplications[Mois lib (calc)],"&lt;="&amp;$E31)))))</f>
        <v>96</v>
      </c>
      <c r="Y31" s="14" t="n">
        <f aca="false">IF($D31&lt;&gt;1,"",IF($G31="ROKS",$S31,IF($AI31=1,0,MAX($O31,$M31-SUMIFS(TblApplications[RAM IKS libérable (Go)],TblApplications[Cluster IKS source],$F31,TblApplications[Action],"À migrer",TblApplications[Mois prov (calc)],"&lt;="&amp;$E31)-SUMIFS(TblApplications[RAM IKS libérable (Go)],TblApplications[Cluster IKS source],$F31,TblApplications[Action],"À décommissionner",TblApplications[Mois lib (calc)],"&lt;="&amp;$E31)))))</f>
        <v>384</v>
      </c>
      <c r="Z31" s="14" t="n">
        <f aca="false">IF($D31&lt;&gt;1,"",IF($AI31=1,0,MAX($J31,ROUNDUP(MAX($X31/$H31,$Y31/$I31),0))))</f>
        <v>3</v>
      </c>
      <c r="AA31" s="84" t="n">
        <f aca="false">IF($D31&lt;&gt;1,"",IF(p_mode="Nœud",$Z31*$K31,$X31*IF($G31="IKS",p_iks_cpu,p_roks_cpu)+$Y31*IF($G31="IKS",p_iks_ram,p_roks_ram))*p_facteur)</f>
        <v>3186</v>
      </c>
      <c r="AB31" s="14" t="n">
        <f aca="false">IF($D31&lt;&gt;1,"",MAX($J31,ROUNDUP(MAX($L31/$H31,$M31/$I31),0)))</f>
        <v>18</v>
      </c>
      <c r="AC31" s="84" t="n">
        <f aca="false">IF($D31&lt;&gt;1,"",IF(p_mode="Nœud",$AB31*$K31,$L31*IF($G31="IKS",p_iks_cpu,p_roks_cpu)+$M31*IF($G31="IKS",p_iks_ram,p_roks_ram))*p_facteur)</f>
        <v>19116</v>
      </c>
      <c r="AD31" s="14" t="n">
        <f aca="false">IF($D31&lt;&gt;1,"",IF(AND($G31="IKS",$AI31&lt;&gt;1,OR($L31-$P31&lt;$N31,$M31-$Q31&lt;$O31)),1,0))</f>
        <v>0</v>
      </c>
      <c r="AE31" s="14" t="n">
        <f aca="false">IF($D31&lt;&gt;1,"",IF(AND($G31="ROKS",$T31&gt;p_maxworkers),1,0))</f>
        <v>0</v>
      </c>
      <c r="AF31" s="14" t="str">
        <f aca="false">IF($D31&lt;&gt;1,"",IF(INDEX(TblClusters[Environnement],$B31)="","(vide)",INDEX(TblClusters[Environnement],$B31)))</f>
        <v>PRD</v>
      </c>
      <c r="AG31" s="14" t="n">
        <f aca="false">IF($D31&lt;&gt;1,"",$R31+p_poidsram*$S31)</f>
        <v>358.4</v>
      </c>
      <c r="AH31" s="14" t="n">
        <f aca="false">IF($D31&lt;&gt;1,"",IFERROR($W31/$AG31,0))</f>
        <v>23.7053571428571</v>
      </c>
      <c r="AI31" s="14" t="n">
        <f aca="false">IF($D31&lt;&gt;1,"",IF(AND($G31="IKS",ISNUMBER(INDEX(TblClusters[Fermeture retenue],$B31))),IF($E31&gt;=INDEX(TblClusters[Fermeture retenue],$B31),1,0),0))</f>
        <v>0</v>
      </c>
    </row>
    <row r="32" customFormat="false" ht="15" hidden="false" customHeight="false" outlineLevel="0" collapsed="false">
      <c r="A32" s="14" t="n">
        <v>27</v>
      </c>
      <c r="B32" s="14" t="n">
        <f aca="false">INT(($A32-1)/36)+1</f>
        <v>1</v>
      </c>
      <c r="C32" s="14" t="n">
        <f aca="false">MOD($A32-1,36)+1</f>
        <v>27</v>
      </c>
      <c r="D32" s="14" t="n">
        <f aca="false">IF($C32&gt;p_horizon,0,IFERROR(IF(AND(INDEX(TblClusters[Cluster],$B32)&lt;&gt;"",ISNUMBER(INDEX(TblClusters[CPU initial (vCPU)],$B32)),ISNUMBER(INDEX(TblClusters[CPU min (vCPU)],$B32)),OR(INDEX(TblClusters[Plateforme],$B32)="IKS",INDEX(TblClusters[Plateforme],$B32)="ROKS")),1,0),0))</f>
        <v>1</v>
      </c>
      <c r="E32" s="83" t="n">
        <f aca="false">IF($D32=1,EDATE(p_debut,$C32-1),"")</f>
        <v>47088</v>
      </c>
      <c r="F32" s="14" t="str">
        <f aca="false">IF($D32=1,INDEX(TblClusters[Cluster],$B32),"")</f>
        <v>IKS-PRD-01</v>
      </c>
      <c r="G32" s="14" t="str">
        <f aca="false">IF($D32=1,INDEX(TblClusters[Plateforme],$B32),"")</f>
        <v>IKS</v>
      </c>
      <c r="H32" s="14" t="n">
        <f aca="false">IF($D32=1,INDEX(TblClusters[vCPU par nœud],$B32),"")</f>
        <v>32</v>
      </c>
      <c r="I32" s="14" t="n">
        <f aca="false">IF($D32=1,INDEX(TblClusters[RAM par nœud (Go)],$B32),"")</f>
        <v>128</v>
      </c>
      <c r="J32" s="14" t="n">
        <f aca="false">IF($D32=1,INDEX(TblClusters[Workers min],$B32),"")</f>
        <v>3</v>
      </c>
      <c r="K32" s="84" t="n">
        <f aca="false">IF($D32=1,INDEX(TblClusters[Tarif par nœud],$B32),"")</f>
        <v>1062</v>
      </c>
      <c r="L32" s="14" t="n">
        <f aca="false">IF($D32=1,INDEX(TblClusters[CPU initial (vCPU)],$B32),"")</f>
        <v>576</v>
      </c>
      <c r="M32" s="14" t="n">
        <f aca="false">IF($D32=1,INDEX(TblClusters[RAM initiale (Go)],$B32),"")</f>
        <v>2304</v>
      </c>
      <c r="N32" s="14" t="n">
        <f aca="false">IF($D32=1,INDEX(TblClusters[CPU min (vCPU)],$B32),"")</f>
        <v>96</v>
      </c>
      <c r="O32" s="14" t="n">
        <f aca="false">IF($D32=1,INDEX(TblClusters[RAM min (Go)],$B32),"")</f>
        <v>384</v>
      </c>
      <c r="P32" s="14" t="n">
        <f aca="false">IF($D32&lt;&gt;1,"",IF($G32="ROKS",SUMIFS(TblApplications[Besoin ROKS CPU (vCPU)],TblApplications[Cluster ROKS cible],$F32,TblApplications[Action],"À migrer",TblApplications[Déjà incluse ROKS],"Non",TblApplications[Mois prov (calc)],"&lt;="&amp;$E32),SUMIFS(TblApplications[CPU IKS libérable (vCPU)],TblApplications[Cluster IKS source],$F32,TblApplications[Mois lib (calc)],"&lt;="&amp;$E32)))</f>
        <v>480</v>
      </c>
      <c r="Q32" s="14" t="n">
        <f aca="false">IF($D32&lt;&gt;1,"",IF($G32="ROKS",SUMIFS(TblApplications[Besoin ROKS RAM (Go)],TblApplications[Cluster ROKS cible],$F32,TblApplications[Action],"À migrer",TblApplications[Déjà incluse ROKS],"Non",TblApplications[Mois prov (calc)],"&lt;="&amp;$E32),SUMIFS(TblApplications[RAM IKS libérable (Go)],TblApplications[Cluster IKS source],$F32,TblApplications[Mois lib (calc)],"&lt;="&amp;$E32)))</f>
        <v>1920</v>
      </c>
      <c r="R32" s="14" t="n">
        <f aca="false">IF($D32&lt;&gt;1,"",IF($G32="ROKS",$L32+$P32,IF($AI32=1,0,MAX($N32,$L32-$P32))))</f>
        <v>0</v>
      </c>
      <c r="S32" s="14" t="n">
        <f aca="false">IF($D32&lt;&gt;1,"",IF($G32="ROKS",$M32+$Q32,IF($AI32=1,0,MAX($O32,$M32-$Q32))))</f>
        <v>0</v>
      </c>
      <c r="T32" s="14" t="n">
        <f aca="false">IF($D32&lt;&gt;1,"",IF($AI32=1,0,MAX($J32,ROUNDUP(MAX($R32/$H32,$S32/$I32),0))))</f>
        <v>0</v>
      </c>
      <c r="U32" s="14" t="n">
        <f aca="false">IF($D32&lt;&gt;1,"",IF(p_mode="Nœud",$T32*$H32,$R32))</f>
        <v>0</v>
      </c>
      <c r="V32" s="14" t="n">
        <f aca="false">IF($D32&lt;&gt;1,"",IF(p_mode="Nœud",$T32*$I32,$S32))</f>
        <v>0</v>
      </c>
      <c r="W32" s="84" t="n">
        <f aca="false">IF($D32&lt;&gt;1,"",IF(p_mode="Nœud",$T32*$K32,$R32*IF($G32="IKS",p_iks_cpu,p_roks_cpu)+$S32*IF($G32="IKS",p_iks_ram,p_roks_ram))*p_facteur)</f>
        <v>0</v>
      </c>
      <c r="X32" s="14" t="n">
        <f aca="false">IF($D32&lt;&gt;1,"",IF($G32="ROKS",$R32,IF($AI32=1,0,MAX($N32,$L32-SUMIFS(TblApplications[CPU IKS libérable (vCPU)],TblApplications[Cluster IKS source],$F32,TblApplications[Action],"À migrer",TblApplications[Mois prov (calc)],"&lt;="&amp;$E32)-SUMIFS(TblApplications[CPU IKS libérable (vCPU)],TblApplications[Cluster IKS source],$F32,TblApplications[Action],"À décommissionner",TblApplications[Mois lib (calc)],"&lt;="&amp;$E32)))))</f>
        <v>0</v>
      </c>
      <c r="Y32" s="14" t="n">
        <f aca="false">IF($D32&lt;&gt;1,"",IF($G32="ROKS",$S32,IF($AI32=1,0,MAX($O32,$M32-SUMIFS(TblApplications[RAM IKS libérable (Go)],TblApplications[Cluster IKS source],$F32,TblApplications[Action],"À migrer",TblApplications[Mois prov (calc)],"&lt;="&amp;$E32)-SUMIFS(TblApplications[RAM IKS libérable (Go)],TblApplications[Cluster IKS source],$F32,TblApplications[Action],"À décommissionner",TblApplications[Mois lib (calc)],"&lt;="&amp;$E32)))))</f>
        <v>0</v>
      </c>
      <c r="Z32" s="14" t="n">
        <f aca="false">IF($D32&lt;&gt;1,"",IF($AI32=1,0,MAX($J32,ROUNDUP(MAX($X32/$H32,$Y32/$I32),0))))</f>
        <v>0</v>
      </c>
      <c r="AA32" s="84" t="n">
        <f aca="false">IF($D32&lt;&gt;1,"",IF(p_mode="Nœud",$Z32*$K32,$X32*IF($G32="IKS",p_iks_cpu,p_roks_cpu)+$Y32*IF($G32="IKS",p_iks_ram,p_roks_ram))*p_facteur)</f>
        <v>0</v>
      </c>
      <c r="AB32" s="14" t="n">
        <f aca="false">IF($D32&lt;&gt;1,"",MAX($J32,ROUNDUP(MAX($L32/$H32,$M32/$I32),0)))</f>
        <v>18</v>
      </c>
      <c r="AC32" s="84" t="n">
        <f aca="false">IF($D32&lt;&gt;1,"",IF(p_mode="Nœud",$AB32*$K32,$L32*IF($G32="IKS",p_iks_cpu,p_roks_cpu)+$M32*IF($G32="IKS",p_iks_ram,p_roks_ram))*p_facteur)</f>
        <v>19116</v>
      </c>
      <c r="AD32" s="14" t="n">
        <f aca="false">IF($D32&lt;&gt;1,"",IF(AND($G32="IKS",$AI32&lt;&gt;1,OR($L32-$P32&lt;$N32,$M32-$Q32&lt;$O32)),1,0))</f>
        <v>0</v>
      </c>
      <c r="AE32" s="14" t="n">
        <f aca="false">IF($D32&lt;&gt;1,"",IF(AND($G32="ROKS",$T32&gt;p_maxworkers),1,0))</f>
        <v>0</v>
      </c>
      <c r="AF32" s="14" t="str">
        <f aca="false">IF($D32&lt;&gt;1,"",IF(INDEX(TblClusters[Environnement],$B32)="","(vide)",INDEX(TblClusters[Environnement],$B32)))</f>
        <v>PRD</v>
      </c>
      <c r="AG32" s="14" t="n">
        <f aca="false">IF($D32&lt;&gt;1,"",$R32+p_poidsram*$S32)</f>
        <v>0</v>
      </c>
      <c r="AH32" s="14" t="n">
        <f aca="false">IF($D32&lt;&gt;1,"",IFERROR($W32/$AG32,0))</f>
        <v>0</v>
      </c>
      <c r="AI32" s="14" t="n">
        <f aca="false">IF($D32&lt;&gt;1,"",IF(AND($G32="IKS",ISNUMBER(INDEX(TblClusters[Fermeture retenue],$B32))),IF($E32&gt;=INDEX(TblClusters[Fermeture retenue],$B32),1,0),0))</f>
        <v>1</v>
      </c>
    </row>
    <row r="33" customFormat="false" ht="15" hidden="false" customHeight="false" outlineLevel="0" collapsed="false">
      <c r="A33" s="14" t="n">
        <v>28</v>
      </c>
      <c r="B33" s="14" t="n">
        <f aca="false">INT(($A33-1)/36)+1</f>
        <v>1</v>
      </c>
      <c r="C33" s="14" t="n">
        <f aca="false">MOD($A33-1,36)+1</f>
        <v>28</v>
      </c>
      <c r="D33" s="14" t="n">
        <f aca="false">IF($C33&gt;p_horizon,0,IFERROR(IF(AND(INDEX(TblClusters[Cluster],$B33)&lt;&gt;"",ISNUMBER(INDEX(TblClusters[CPU initial (vCPU)],$B33)),ISNUMBER(INDEX(TblClusters[CPU min (vCPU)],$B33)),OR(INDEX(TblClusters[Plateforme],$B33)="IKS",INDEX(TblClusters[Plateforme],$B33)="ROKS")),1,0),0))</f>
        <v>1</v>
      </c>
      <c r="E33" s="83" t="n">
        <f aca="false">IF($D33=1,EDATE(p_debut,$C33-1),"")</f>
        <v>47119</v>
      </c>
      <c r="F33" s="14" t="str">
        <f aca="false">IF($D33=1,INDEX(TblClusters[Cluster],$B33),"")</f>
        <v>IKS-PRD-01</v>
      </c>
      <c r="G33" s="14" t="str">
        <f aca="false">IF($D33=1,INDEX(TblClusters[Plateforme],$B33),"")</f>
        <v>IKS</v>
      </c>
      <c r="H33" s="14" t="n">
        <f aca="false">IF($D33=1,INDEX(TblClusters[vCPU par nœud],$B33),"")</f>
        <v>32</v>
      </c>
      <c r="I33" s="14" t="n">
        <f aca="false">IF($D33=1,INDEX(TblClusters[RAM par nœud (Go)],$B33),"")</f>
        <v>128</v>
      </c>
      <c r="J33" s="14" t="n">
        <f aca="false">IF($D33=1,INDEX(TblClusters[Workers min],$B33),"")</f>
        <v>3</v>
      </c>
      <c r="K33" s="84" t="n">
        <f aca="false">IF($D33=1,INDEX(TblClusters[Tarif par nœud],$B33),"")</f>
        <v>1062</v>
      </c>
      <c r="L33" s="14" t="n">
        <f aca="false">IF($D33=1,INDEX(TblClusters[CPU initial (vCPU)],$B33),"")</f>
        <v>576</v>
      </c>
      <c r="M33" s="14" t="n">
        <f aca="false">IF($D33=1,INDEX(TblClusters[RAM initiale (Go)],$B33),"")</f>
        <v>2304</v>
      </c>
      <c r="N33" s="14" t="n">
        <f aca="false">IF($D33=1,INDEX(TblClusters[CPU min (vCPU)],$B33),"")</f>
        <v>96</v>
      </c>
      <c r="O33" s="14" t="n">
        <f aca="false">IF($D33=1,INDEX(TblClusters[RAM min (Go)],$B33),"")</f>
        <v>384</v>
      </c>
      <c r="P33" s="14" t="n">
        <f aca="false">IF($D33&lt;&gt;1,"",IF($G33="ROKS",SUMIFS(TblApplications[Besoin ROKS CPU (vCPU)],TblApplications[Cluster ROKS cible],$F33,TblApplications[Action],"À migrer",TblApplications[Déjà incluse ROKS],"Non",TblApplications[Mois prov (calc)],"&lt;="&amp;$E33),SUMIFS(TblApplications[CPU IKS libérable (vCPU)],TblApplications[Cluster IKS source],$F33,TblApplications[Mois lib (calc)],"&lt;="&amp;$E33)))</f>
        <v>480</v>
      </c>
      <c r="Q33" s="14" t="n">
        <f aca="false">IF($D33&lt;&gt;1,"",IF($G33="ROKS",SUMIFS(TblApplications[Besoin ROKS RAM (Go)],TblApplications[Cluster ROKS cible],$F33,TblApplications[Action],"À migrer",TblApplications[Déjà incluse ROKS],"Non",TblApplications[Mois prov (calc)],"&lt;="&amp;$E33),SUMIFS(TblApplications[RAM IKS libérable (Go)],TblApplications[Cluster IKS source],$F33,TblApplications[Mois lib (calc)],"&lt;="&amp;$E33)))</f>
        <v>1920</v>
      </c>
      <c r="R33" s="14" t="n">
        <f aca="false">IF($D33&lt;&gt;1,"",IF($G33="ROKS",$L33+$P33,IF($AI33=1,0,MAX($N33,$L33-$P33))))</f>
        <v>0</v>
      </c>
      <c r="S33" s="14" t="n">
        <f aca="false">IF($D33&lt;&gt;1,"",IF($G33="ROKS",$M33+$Q33,IF($AI33=1,0,MAX($O33,$M33-$Q33))))</f>
        <v>0</v>
      </c>
      <c r="T33" s="14" t="n">
        <f aca="false">IF($D33&lt;&gt;1,"",IF($AI33=1,0,MAX($J33,ROUNDUP(MAX($R33/$H33,$S33/$I33),0))))</f>
        <v>0</v>
      </c>
      <c r="U33" s="14" t="n">
        <f aca="false">IF($D33&lt;&gt;1,"",IF(p_mode="Nœud",$T33*$H33,$R33))</f>
        <v>0</v>
      </c>
      <c r="V33" s="14" t="n">
        <f aca="false">IF($D33&lt;&gt;1,"",IF(p_mode="Nœud",$T33*$I33,$S33))</f>
        <v>0</v>
      </c>
      <c r="W33" s="84" t="n">
        <f aca="false">IF($D33&lt;&gt;1,"",IF(p_mode="Nœud",$T33*$K33,$R33*IF($G33="IKS",p_iks_cpu,p_roks_cpu)+$S33*IF($G33="IKS",p_iks_ram,p_roks_ram))*p_facteur)</f>
        <v>0</v>
      </c>
      <c r="X33" s="14" t="n">
        <f aca="false">IF($D33&lt;&gt;1,"",IF($G33="ROKS",$R33,IF($AI33=1,0,MAX($N33,$L33-SUMIFS(TblApplications[CPU IKS libérable (vCPU)],TblApplications[Cluster IKS source],$F33,TblApplications[Action],"À migrer",TblApplications[Mois prov (calc)],"&lt;="&amp;$E33)-SUMIFS(TblApplications[CPU IKS libérable (vCPU)],TblApplications[Cluster IKS source],$F33,TblApplications[Action],"À décommissionner",TblApplications[Mois lib (calc)],"&lt;="&amp;$E33)))))</f>
        <v>0</v>
      </c>
      <c r="Y33" s="14" t="n">
        <f aca="false">IF($D33&lt;&gt;1,"",IF($G33="ROKS",$S33,IF($AI33=1,0,MAX($O33,$M33-SUMIFS(TblApplications[RAM IKS libérable (Go)],TblApplications[Cluster IKS source],$F33,TblApplications[Action],"À migrer",TblApplications[Mois prov (calc)],"&lt;="&amp;$E33)-SUMIFS(TblApplications[RAM IKS libérable (Go)],TblApplications[Cluster IKS source],$F33,TblApplications[Action],"À décommissionner",TblApplications[Mois lib (calc)],"&lt;="&amp;$E33)))))</f>
        <v>0</v>
      </c>
      <c r="Z33" s="14" t="n">
        <f aca="false">IF($D33&lt;&gt;1,"",IF($AI33=1,0,MAX($J33,ROUNDUP(MAX($X33/$H33,$Y33/$I33),0))))</f>
        <v>0</v>
      </c>
      <c r="AA33" s="84" t="n">
        <f aca="false">IF($D33&lt;&gt;1,"",IF(p_mode="Nœud",$Z33*$K33,$X33*IF($G33="IKS",p_iks_cpu,p_roks_cpu)+$Y33*IF($G33="IKS",p_iks_ram,p_roks_ram))*p_facteur)</f>
        <v>0</v>
      </c>
      <c r="AB33" s="14" t="n">
        <f aca="false">IF($D33&lt;&gt;1,"",MAX($J33,ROUNDUP(MAX($L33/$H33,$M33/$I33),0)))</f>
        <v>18</v>
      </c>
      <c r="AC33" s="84" t="n">
        <f aca="false">IF($D33&lt;&gt;1,"",IF(p_mode="Nœud",$AB33*$K33,$L33*IF($G33="IKS",p_iks_cpu,p_roks_cpu)+$M33*IF($G33="IKS",p_iks_ram,p_roks_ram))*p_facteur)</f>
        <v>19116</v>
      </c>
      <c r="AD33" s="14" t="n">
        <f aca="false">IF($D33&lt;&gt;1,"",IF(AND($G33="IKS",$AI33&lt;&gt;1,OR($L33-$P33&lt;$N33,$M33-$Q33&lt;$O33)),1,0))</f>
        <v>0</v>
      </c>
      <c r="AE33" s="14" t="n">
        <f aca="false">IF($D33&lt;&gt;1,"",IF(AND($G33="ROKS",$T33&gt;p_maxworkers),1,0))</f>
        <v>0</v>
      </c>
      <c r="AF33" s="14" t="str">
        <f aca="false">IF($D33&lt;&gt;1,"",IF(INDEX(TblClusters[Environnement],$B33)="","(vide)",INDEX(TblClusters[Environnement],$B33)))</f>
        <v>PRD</v>
      </c>
      <c r="AG33" s="14" t="n">
        <f aca="false">IF($D33&lt;&gt;1,"",$R33+p_poidsram*$S33)</f>
        <v>0</v>
      </c>
      <c r="AH33" s="14" t="n">
        <f aca="false">IF($D33&lt;&gt;1,"",IFERROR($W33/$AG33,0))</f>
        <v>0</v>
      </c>
      <c r="AI33" s="14" t="n">
        <f aca="false">IF($D33&lt;&gt;1,"",IF(AND($G33="IKS",ISNUMBER(INDEX(TblClusters[Fermeture retenue],$B33))),IF($E33&gt;=INDEX(TblClusters[Fermeture retenue],$B33),1,0),0))</f>
        <v>1</v>
      </c>
    </row>
    <row r="34" customFormat="false" ht="15" hidden="false" customHeight="false" outlineLevel="0" collapsed="false">
      <c r="A34" s="14" t="n">
        <v>29</v>
      </c>
      <c r="B34" s="14" t="n">
        <f aca="false">INT(($A34-1)/36)+1</f>
        <v>1</v>
      </c>
      <c r="C34" s="14" t="n">
        <f aca="false">MOD($A34-1,36)+1</f>
        <v>29</v>
      </c>
      <c r="D34" s="14" t="n">
        <f aca="false">IF($C34&gt;p_horizon,0,IFERROR(IF(AND(INDEX(TblClusters[Cluster],$B34)&lt;&gt;"",ISNUMBER(INDEX(TblClusters[CPU initial (vCPU)],$B34)),ISNUMBER(INDEX(TblClusters[CPU min (vCPU)],$B34)),OR(INDEX(TblClusters[Plateforme],$B34)="IKS",INDEX(TblClusters[Plateforme],$B34)="ROKS")),1,0),0))</f>
        <v>1</v>
      </c>
      <c r="E34" s="83" t="n">
        <f aca="false">IF($D34=1,EDATE(p_debut,$C34-1),"")</f>
        <v>47150</v>
      </c>
      <c r="F34" s="14" t="str">
        <f aca="false">IF($D34=1,INDEX(TblClusters[Cluster],$B34),"")</f>
        <v>IKS-PRD-01</v>
      </c>
      <c r="G34" s="14" t="str">
        <f aca="false">IF($D34=1,INDEX(TblClusters[Plateforme],$B34),"")</f>
        <v>IKS</v>
      </c>
      <c r="H34" s="14" t="n">
        <f aca="false">IF($D34=1,INDEX(TblClusters[vCPU par nœud],$B34),"")</f>
        <v>32</v>
      </c>
      <c r="I34" s="14" t="n">
        <f aca="false">IF($D34=1,INDEX(TblClusters[RAM par nœud (Go)],$B34),"")</f>
        <v>128</v>
      </c>
      <c r="J34" s="14" t="n">
        <f aca="false">IF($D34=1,INDEX(TblClusters[Workers min],$B34),"")</f>
        <v>3</v>
      </c>
      <c r="K34" s="84" t="n">
        <f aca="false">IF($D34=1,INDEX(TblClusters[Tarif par nœud],$B34),"")</f>
        <v>1062</v>
      </c>
      <c r="L34" s="14" t="n">
        <f aca="false">IF($D34=1,INDEX(TblClusters[CPU initial (vCPU)],$B34),"")</f>
        <v>576</v>
      </c>
      <c r="M34" s="14" t="n">
        <f aca="false">IF($D34=1,INDEX(TblClusters[RAM initiale (Go)],$B34),"")</f>
        <v>2304</v>
      </c>
      <c r="N34" s="14" t="n">
        <f aca="false">IF($D34=1,INDEX(TblClusters[CPU min (vCPU)],$B34),"")</f>
        <v>96</v>
      </c>
      <c r="O34" s="14" t="n">
        <f aca="false">IF($D34=1,INDEX(TblClusters[RAM min (Go)],$B34),"")</f>
        <v>384</v>
      </c>
      <c r="P34" s="14" t="n">
        <f aca="false">IF($D34&lt;&gt;1,"",IF($G34="ROKS",SUMIFS(TblApplications[Besoin ROKS CPU (vCPU)],TblApplications[Cluster ROKS cible],$F34,TblApplications[Action],"À migrer",TblApplications[Déjà incluse ROKS],"Non",TblApplications[Mois prov (calc)],"&lt;="&amp;$E34),SUMIFS(TblApplications[CPU IKS libérable (vCPU)],TblApplications[Cluster IKS source],$F34,TblApplications[Mois lib (calc)],"&lt;="&amp;$E34)))</f>
        <v>480</v>
      </c>
      <c r="Q34" s="14" t="n">
        <f aca="false">IF($D34&lt;&gt;1,"",IF($G34="ROKS",SUMIFS(TblApplications[Besoin ROKS RAM (Go)],TblApplications[Cluster ROKS cible],$F34,TblApplications[Action],"À migrer",TblApplications[Déjà incluse ROKS],"Non",TblApplications[Mois prov (calc)],"&lt;="&amp;$E34),SUMIFS(TblApplications[RAM IKS libérable (Go)],TblApplications[Cluster IKS source],$F34,TblApplications[Mois lib (calc)],"&lt;="&amp;$E34)))</f>
        <v>1920</v>
      </c>
      <c r="R34" s="14" t="n">
        <f aca="false">IF($D34&lt;&gt;1,"",IF($G34="ROKS",$L34+$P34,IF($AI34=1,0,MAX($N34,$L34-$P34))))</f>
        <v>0</v>
      </c>
      <c r="S34" s="14" t="n">
        <f aca="false">IF($D34&lt;&gt;1,"",IF($G34="ROKS",$M34+$Q34,IF($AI34=1,0,MAX($O34,$M34-$Q34))))</f>
        <v>0</v>
      </c>
      <c r="T34" s="14" t="n">
        <f aca="false">IF($D34&lt;&gt;1,"",IF($AI34=1,0,MAX($J34,ROUNDUP(MAX($R34/$H34,$S34/$I34),0))))</f>
        <v>0</v>
      </c>
      <c r="U34" s="14" t="n">
        <f aca="false">IF($D34&lt;&gt;1,"",IF(p_mode="Nœud",$T34*$H34,$R34))</f>
        <v>0</v>
      </c>
      <c r="V34" s="14" t="n">
        <f aca="false">IF($D34&lt;&gt;1,"",IF(p_mode="Nœud",$T34*$I34,$S34))</f>
        <v>0</v>
      </c>
      <c r="W34" s="84" t="n">
        <f aca="false">IF($D34&lt;&gt;1,"",IF(p_mode="Nœud",$T34*$K34,$R34*IF($G34="IKS",p_iks_cpu,p_roks_cpu)+$S34*IF($G34="IKS",p_iks_ram,p_roks_ram))*p_facteur)</f>
        <v>0</v>
      </c>
      <c r="X34" s="14" t="n">
        <f aca="false">IF($D34&lt;&gt;1,"",IF($G34="ROKS",$R34,IF($AI34=1,0,MAX($N34,$L34-SUMIFS(TblApplications[CPU IKS libérable (vCPU)],TblApplications[Cluster IKS source],$F34,TblApplications[Action],"À migrer",TblApplications[Mois prov (calc)],"&lt;="&amp;$E34)-SUMIFS(TblApplications[CPU IKS libérable (vCPU)],TblApplications[Cluster IKS source],$F34,TblApplications[Action],"À décommissionner",TblApplications[Mois lib (calc)],"&lt;="&amp;$E34)))))</f>
        <v>0</v>
      </c>
      <c r="Y34" s="14" t="n">
        <f aca="false">IF($D34&lt;&gt;1,"",IF($G34="ROKS",$S34,IF($AI34=1,0,MAX($O34,$M34-SUMIFS(TblApplications[RAM IKS libérable (Go)],TblApplications[Cluster IKS source],$F34,TblApplications[Action],"À migrer",TblApplications[Mois prov (calc)],"&lt;="&amp;$E34)-SUMIFS(TblApplications[RAM IKS libérable (Go)],TblApplications[Cluster IKS source],$F34,TblApplications[Action],"À décommissionner",TblApplications[Mois lib (calc)],"&lt;="&amp;$E34)))))</f>
        <v>0</v>
      </c>
      <c r="Z34" s="14" t="n">
        <f aca="false">IF($D34&lt;&gt;1,"",IF($AI34=1,0,MAX($J34,ROUNDUP(MAX($X34/$H34,$Y34/$I34),0))))</f>
        <v>0</v>
      </c>
      <c r="AA34" s="84" t="n">
        <f aca="false">IF($D34&lt;&gt;1,"",IF(p_mode="Nœud",$Z34*$K34,$X34*IF($G34="IKS",p_iks_cpu,p_roks_cpu)+$Y34*IF($G34="IKS",p_iks_ram,p_roks_ram))*p_facteur)</f>
        <v>0</v>
      </c>
      <c r="AB34" s="14" t="n">
        <f aca="false">IF($D34&lt;&gt;1,"",MAX($J34,ROUNDUP(MAX($L34/$H34,$M34/$I34),0)))</f>
        <v>18</v>
      </c>
      <c r="AC34" s="84" t="n">
        <f aca="false">IF($D34&lt;&gt;1,"",IF(p_mode="Nœud",$AB34*$K34,$L34*IF($G34="IKS",p_iks_cpu,p_roks_cpu)+$M34*IF($G34="IKS",p_iks_ram,p_roks_ram))*p_facteur)</f>
        <v>19116</v>
      </c>
      <c r="AD34" s="14" t="n">
        <f aca="false">IF($D34&lt;&gt;1,"",IF(AND($G34="IKS",$AI34&lt;&gt;1,OR($L34-$P34&lt;$N34,$M34-$Q34&lt;$O34)),1,0))</f>
        <v>0</v>
      </c>
      <c r="AE34" s="14" t="n">
        <f aca="false">IF($D34&lt;&gt;1,"",IF(AND($G34="ROKS",$T34&gt;p_maxworkers),1,0))</f>
        <v>0</v>
      </c>
      <c r="AF34" s="14" t="str">
        <f aca="false">IF($D34&lt;&gt;1,"",IF(INDEX(TblClusters[Environnement],$B34)="","(vide)",INDEX(TblClusters[Environnement],$B34)))</f>
        <v>PRD</v>
      </c>
      <c r="AG34" s="14" t="n">
        <f aca="false">IF($D34&lt;&gt;1,"",$R34+p_poidsram*$S34)</f>
        <v>0</v>
      </c>
      <c r="AH34" s="14" t="n">
        <f aca="false">IF($D34&lt;&gt;1,"",IFERROR($W34/$AG34,0))</f>
        <v>0</v>
      </c>
      <c r="AI34" s="14" t="n">
        <f aca="false">IF($D34&lt;&gt;1,"",IF(AND($G34="IKS",ISNUMBER(INDEX(TblClusters[Fermeture retenue],$B34))),IF($E34&gt;=INDEX(TblClusters[Fermeture retenue],$B34),1,0),0))</f>
        <v>1</v>
      </c>
    </row>
    <row r="35" customFormat="false" ht="15" hidden="false" customHeight="false" outlineLevel="0" collapsed="false">
      <c r="A35" s="14" t="n">
        <v>30</v>
      </c>
      <c r="B35" s="14" t="n">
        <f aca="false">INT(($A35-1)/36)+1</f>
        <v>1</v>
      </c>
      <c r="C35" s="14" t="n">
        <f aca="false">MOD($A35-1,36)+1</f>
        <v>30</v>
      </c>
      <c r="D35" s="14" t="n">
        <f aca="false">IF($C35&gt;p_horizon,0,IFERROR(IF(AND(INDEX(TblClusters[Cluster],$B35)&lt;&gt;"",ISNUMBER(INDEX(TblClusters[CPU initial (vCPU)],$B35)),ISNUMBER(INDEX(TblClusters[CPU min (vCPU)],$B35)),OR(INDEX(TblClusters[Plateforme],$B35)="IKS",INDEX(TblClusters[Plateforme],$B35)="ROKS")),1,0),0))</f>
        <v>1</v>
      </c>
      <c r="E35" s="83" t="n">
        <f aca="false">IF($D35=1,EDATE(p_debut,$C35-1),"")</f>
        <v>47178</v>
      </c>
      <c r="F35" s="14" t="str">
        <f aca="false">IF($D35=1,INDEX(TblClusters[Cluster],$B35),"")</f>
        <v>IKS-PRD-01</v>
      </c>
      <c r="G35" s="14" t="str">
        <f aca="false">IF($D35=1,INDEX(TblClusters[Plateforme],$B35),"")</f>
        <v>IKS</v>
      </c>
      <c r="H35" s="14" t="n">
        <f aca="false">IF($D35=1,INDEX(TblClusters[vCPU par nœud],$B35),"")</f>
        <v>32</v>
      </c>
      <c r="I35" s="14" t="n">
        <f aca="false">IF($D35=1,INDEX(TblClusters[RAM par nœud (Go)],$B35),"")</f>
        <v>128</v>
      </c>
      <c r="J35" s="14" t="n">
        <f aca="false">IF($D35=1,INDEX(TblClusters[Workers min],$B35),"")</f>
        <v>3</v>
      </c>
      <c r="K35" s="84" t="n">
        <f aca="false">IF($D35=1,INDEX(TblClusters[Tarif par nœud],$B35),"")</f>
        <v>1062</v>
      </c>
      <c r="L35" s="14" t="n">
        <f aca="false">IF($D35=1,INDEX(TblClusters[CPU initial (vCPU)],$B35),"")</f>
        <v>576</v>
      </c>
      <c r="M35" s="14" t="n">
        <f aca="false">IF($D35=1,INDEX(TblClusters[RAM initiale (Go)],$B35),"")</f>
        <v>2304</v>
      </c>
      <c r="N35" s="14" t="n">
        <f aca="false">IF($D35=1,INDEX(TblClusters[CPU min (vCPU)],$B35),"")</f>
        <v>96</v>
      </c>
      <c r="O35" s="14" t="n">
        <f aca="false">IF($D35=1,INDEX(TblClusters[RAM min (Go)],$B35),"")</f>
        <v>384</v>
      </c>
      <c r="P35" s="14" t="n">
        <f aca="false">IF($D35&lt;&gt;1,"",IF($G35="ROKS",SUMIFS(TblApplications[Besoin ROKS CPU (vCPU)],TblApplications[Cluster ROKS cible],$F35,TblApplications[Action],"À migrer",TblApplications[Déjà incluse ROKS],"Non",TblApplications[Mois prov (calc)],"&lt;="&amp;$E35),SUMIFS(TblApplications[CPU IKS libérable (vCPU)],TblApplications[Cluster IKS source],$F35,TblApplications[Mois lib (calc)],"&lt;="&amp;$E35)))</f>
        <v>480</v>
      </c>
      <c r="Q35" s="14" t="n">
        <f aca="false">IF($D35&lt;&gt;1,"",IF($G35="ROKS",SUMIFS(TblApplications[Besoin ROKS RAM (Go)],TblApplications[Cluster ROKS cible],$F35,TblApplications[Action],"À migrer",TblApplications[Déjà incluse ROKS],"Non",TblApplications[Mois prov (calc)],"&lt;="&amp;$E35),SUMIFS(TblApplications[RAM IKS libérable (Go)],TblApplications[Cluster IKS source],$F35,TblApplications[Mois lib (calc)],"&lt;="&amp;$E35)))</f>
        <v>1920</v>
      </c>
      <c r="R35" s="14" t="n">
        <f aca="false">IF($D35&lt;&gt;1,"",IF($G35="ROKS",$L35+$P35,IF($AI35=1,0,MAX($N35,$L35-$P35))))</f>
        <v>0</v>
      </c>
      <c r="S35" s="14" t="n">
        <f aca="false">IF($D35&lt;&gt;1,"",IF($G35="ROKS",$M35+$Q35,IF($AI35=1,0,MAX($O35,$M35-$Q35))))</f>
        <v>0</v>
      </c>
      <c r="T35" s="14" t="n">
        <f aca="false">IF($D35&lt;&gt;1,"",IF($AI35=1,0,MAX($J35,ROUNDUP(MAX($R35/$H35,$S35/$I35),0))))</f>
        <v>0</v>
      </c>
      <c r="U35" s="14" t="n">
        <f aca="false">IF($D35&lt;&gt;1,"",IF(p_mode="Nœud",$T35*$H35,$R35))</f>
        <v>0</v>
      </c>
      <c r="V35" s="14" t="n">
        <f aca="false">IF($D35&lt;&gt;1,"",IF(p_mode="Nœud",$T35*$I35,$S35))</f>
        <v>0</v>
      </c>
      <c r="W35" s="84" t="n">
        <f aca="false">IF($D35&lt;&gt;1,"",IF(p_mode="Nœud",$T35*$K35,$R35*IF($G35="IKS",p_iks_cpu,p_roks_cpu)+$S35*IF($G35="IKS",p_iks_ram,p_roks_ram))*p_facteur)</f>
        <v>0</v>
      </c>
      <c r="X35" s="14" t="n">
        <f aca="false">IF($D35&lt;&gt;1,"",IF($G35="ROKS",$R35,IF($AI35=1,0,MAX($N35,$L35-SUMIFS(TblApplications[CPU IKS libérable (vCPU)],TblApplications[Cluster IKS source],$F35,TblApplications[Action],"À migrer",TblApplications[Mois prov (calc)],"&lt;="&amp;$E35)-SUMIFS(TblApplications[CPU IKS libérable (vCPU)],TblApplications[Cluster IKS source],$F35,TblApplications[Action],"À décommissionner",TblApplications[Mois lib (calc)],"&lt;="&amp;$E35)))))</f>
        <v>0</v>
      </c>
      <c r="Y35" s="14" t="n">
        <f aca="false">IF($D35&lt;&gt;1,"",IF($G35="ROKS",$S35,IF($AI35=1,0,MAX($O35,$M35-SUMIFS(TblApplications[RAM IKS libérable (Go)],TblApplications[Cluster IKS source],$F35,TblApplications[Action],"À migrer",TblApplications[Mois prov (calc)],"&lt;="&amp;$E35)-SUMIFS(TblApplications[RAM IKS libérable (Go)],TblApplications[Cluster IKS source],$F35,TblApplications[Action],"À décommissionner",TblApplications[Mois lib (calc)],"&lt;="&amp;$E35)))))</f>
        <v>0</v>
      </c>
      <c r="Z35" s="14" t="n">
        <f aca="false">IF($D35&lt;&gt;1,"",IF($AI35=1,0,MAX($J35,ROUNDUP(MAX($X35/$H35,$Y35/$I35),0))))</f>
        <v>0</v>
      </c>
      <c r="AA35" s="84" t="n">
        <f aca="false">IF($D35&lt;&gt;1,"",IF(p_mode="Nœud",$Z35*$K35,$X35*IF($G35="IKS",p_iks_cpu,p_roks_cpu)+$Y35*IF($G35="IKS",p_iks_ram,p_roks_ram))*p_facteur)</f>
        <v>0</v>
      </c>
      <c r="AB35" s="14" t="n">
        <f aca="false">IF($D35&lt;&gt;1,"",MAX($J35,ROUNDUP(MAX($L35/$H35,$M35/$I35),0)))</f>
        <v>18</v>
      </c>
      <c r="AC35" s="84" t="n">
        <f aca="false">IF($D35&lt;&gt;1,"",IF(p_mode="Nœud",$AB35*$K35,$L35*IF($G35="IKS",p_iks_cpu,p_roks_cpu)+$M35*IF($G35="IKS",p_iks_ram,p_roks_ram))*p_facteur)</f>
        <v>19116</v>
      </c>
      <c r="AD35" s="14" t="n">
        <f aca="false">IF($D35&lt;&gt;1,"",IF(AND($G35="IKS",$AI35&lt;&gt;1,OR($L35-$P35&lt;$N35,$M35-$Q35&lt;$O35)),1,0))</f>
        <v>0</v>
      </c>
      <c r="AE35" s="14" t="n">
        <f aca="false">IF($D35&lt;&gt;1,"",IF(AND($G35="ROKS",$T35&gt;p_maxworkers),1,0))</f>
        <v>0</v>
      </c>
      <c r="AF35" s="14" t="str">
        <f aca="false">IF($D35&lt;&gt;1,"",IF(INDEX(TblClusters[Environnement],$B35)="","(vide)",INDEX(TblClusters[Environnement],$B35)))</f>
        <v>PRD</v>
      </c>
      <c r="AG35" s="14" t="n">
        <f aca="false">IF($D35&lt;&gt;1,"",$R35+p_poidsram*$S35)</f>
        <v>0</v>
      </c>
      <c r="AH35" s="14" t="n">
        <f aca="false">IF($D35&lt;&gt;1,"",IFERROR($W35/$AG35,0))</f>
        <v>0</v>
      </c>
      <c r="AI35" s="14" t="n">
        <f aca="false">IF($D35&lt;&gt;1,"",IF(AND($G35="IKS",ISNUMBER(INDEX(TblClusters[Fermeture retenue],$B35))),IF($E35&gt;=INDEX(TblClusters[Fermeture retenue],$B35),1,0),0))</f>
        <v>1</v>
      </c>
    </row>
    <row r="36" customFormat="false" ht="15" hidden="false" customHeight="false" outlineLevel="0" collapsed="false">
      <c r="A36" s="14" t="n">
        <v>31</v>
      </c>
      <c r="B36" s="14" t="n">
        <f aca="false">INT(($A36-1)/36)+1</f>
        <v>1</v>
      </c>
      <c r="C36" s="14" t="n">
        <f aca="false">MOD($A36-1,36)+1</f>
        <v>31</v>
      </c>
      <c r="D36" s="14" t="n">
        <f aca="false">IF($C36&gt;p_horizon,0,IFERROR(IF(AND(INDEX(TblClusters[Cluster],$B36)&lt;&gt;"",ISNUMBER(INDEX(TblClusters[CPU initial (vCPU)],$B36)),ISNUMBER(INDEX(TblClusters[CPU min (vCPU)],$B36)),OR(INDEX(TblClusters[Plateforme],$B36)="IKS",INDEX(TblClusters[Plateforme],$B36)="ROKS")),1,0),0))</f>
        <v>1</v>
      </c>
      <c r="E36" s="83" t="n">
        <f aca="false">IF($D36=1,EDATE(p_debut,$C36-1),"")</f>
        <v>47209</v>
      </c>
      <c r="F36" s="14" t="str">
        <f aca="false">IF($D36=1,INDEX(TblClusters[Cluster],$B36),"")</f>
        <v>IKS-PRD-01</v>
      </c>
      <c r="G36" s="14" t="str">
        <f aca="false">IF($D36=1,INDEX(TblClusters[Plateforme],$B36),"")</f>
        <v>IKS</v>
      </c>
      <c r="H36" s="14" t="n">
        <f aca="false">IF($D36=1,INDEX(TblClusters[vCPU par nœud],$B36),"")</f>
        <v>32</v>
      </c>
      <c r="I36" s="14" t="n">
        <f aca="false">IF($D36=1,INDEX(TblClusters[RAM par nœud (Go)],$B36),"")</f>
        <v>128</v>
      </c>
      <c r="J36" s="14" t="n">
        <f aca="false">IF($D36=1,INDEX(TblClusters[Workers min],$B36),"")</f>
        <v>3</v>
      </c>
      <c r="K36" s="84" t="n">
        <f aca="false">IF($D36=1,INDEX(TblClusters[Tarif par nœud],$B36),"")</f>
        <v>1062</v>
      </c>
      <c r="L36" s="14" t="n">
        <f aca="false">IF($D36=1,INDEX(TblClusters[CPU initial (vCPU)],$B36),"")</f>
        <v>576</v>
      </c>
      <c r="M36" s="14" t="n">
        <f aca="false">IF($D36=1,INDEX(TblClusters[RAM initiale (Go)],$B36),"")</f>
        <v>2304</v>
      </c>
      <c r="N36" s="14" t="n">
        <f aca="false">IF($D36=1,INDEX(TblClusters[CPU min (vCPU)],$B36),"")</f>
        <v>96</v>
      </c>
      <c r="O36" s="14" t="n">
        <f aca="false">IF($D36=1,INDEX(TblClusters[RAM min (Go)],$B36),"")</f>
        <v>384</v>
      </c>
      <c r="P36" s="14" t="n">
        <f aca="false">IF($D36&lt;&gt;1,"",IF($G36="ROKS",SUMIFS(TblApplications[Besoin ROKS CPU (vCPU)],TblApplications[Cluster ROKS cible],$F36,TblApplications[Action],"À migrer",TblApplications[Déjà incluse ROKS],"Non",TblApplications[Mois prov (calc)],"&lt;="&amp;$E36),SUMIFS(TblApplications[CPU IKS libérable (vCPU)],TblApplications[Cluster IKS source],$F36,TblApplications[Mois lib (calc)],"&lt;="&amp;$E36)))</f>
        <v>480</v>
      </c>
      <c r="Q36" s="14" t="n">
        <f aca="false">IF($D36&lt;&gt;1,"",IF($G36="ROKS",SUMIFS(TblApplications[Besoin ROKS RAM (Go)],TblApplications[Cluster ROKS cible],$F36,TblApplications[Action],"À migrer",TblApplications[Déjà incluse ROKS],"Non",TblApplications[Mois prov (calc)],"&lt;="&amp;$E36),SUMIFS(TblApplications[RAM IKS libérable (Go)],TblApplications[Cluster IKS source],$F36,TblApplications[Mois lib (calc)],"&lt;="&amp;$E36)))</f>
        <v>1920</v>
      </c>
      <c r="R36" s="14" t="n">
        <f aca="false">IF($D36&lt;&gt;1,"",IF($G36="ROKS",$L36+$P36,IF($AI36=1,0,MAX($N36,$L36-$P36))))</f>
        <v>0</v>
      </c>
      <c r="S36" s="14" t="n">
        <f aca="false">IF($D36&lt;&gt;1,"",IF($G36="ROKS",$M36+$Q36,IF($AI36=1,0,MAX($O36,$M36-$Q36))))</f>
        <v>0</v>
      </c>
      <c r="T36" s="14" t="n">
        <f aca="false">IF($D36&lt;&gt;1,"",IF($AI36=1,0,MAX($J36,ROUNDUP(MAX($R36/$H36,$S36/$I36),0))))</f>
        <v>0</v>
      </c>
      <c r="U36" s="14" t="n">
        <f aca="false">IF($D36&lt;&gt;1,"",IF(p_mode="Nœud",$T36*$H36,$R36))</f>
        <v>0</v>
      </c>
      <c r="V36" s="14" t="n">
        <f aca="false">IF($D36&lt;&gt;1,"",IF(p_mode="Nœud",$T36*$I36,$S36))</f>
        <v>0</v>
      </c>
      <c r="W36" s="84" t="n">
        <f aca="false">IF($D36&lt;&gt;1,"",IF(p_mode="Nœud",$T36*$K36,$R36*IF($G36="IKS",p_iks_cpu,p_roks_cpu)+$S36*IF($G36="IKS",p_iks_ram,p_roks_ram))*p_facteur)</f>
        <v>0</v>
      </c>
      <c r="X36" s="14" t="n">
        <f aca="false">IF($D36&lt;&gt;1,"",IF($G36="ROKS",$R36,IF($AI36=1,0,MAX($N36,$L36-SUMIFS(TblApplications[CPU IKS libérable (vCPU)],TblApplications[Cluster IKS source],$F36,TblApplications[Action],"À migrer",TblApplications[Mois prov (calc)],"&lt;="&amp;$E36)-SUMIFS(TblApplications[CPU IKS libérable (vCPU)],TblApplications[Cluster IKS source],$F36,TblApplications[Action],"À décommissionner",TblApplications[Mois lib (calc)],"&lt;="&amp;$E36)))))</f>
        <v>0</v>
      </c>
      <c r="Y36" s="14" t="n">
        <f aca="false">IF($D36&lt;&gt;1,"",IF($G36="ROKS",$S36,IF($AI36=1,0,MAX($O36,$M36-SUMIFS(TblApplications[RAM IKS libérable (Go)],TblApplications[Cluster IKS source],$F36,TblApplications[Action],"À migrer",TblApplications[Mois prov (calc)],"&lt;="&amp;$E36)-SUMIFS(TblApplications[RAM IKS libérable (Go)],TblApplications[Cluster IKS source],$F36,TblApplications[Action],"À décommissionner",TblApplications[Mois lib (calc)],"&lt;="&amp;$E36)))))</f>
        <v>0</v>
      </c>
      <c r="Z36" s="14" t="n">
        <f aca="false">IF($D36&lt;&gt;1,"",IF($AI36=1,0,MAX($J36,ROUNDUP(MAX($X36/$H36,$Y36/$I36),0))))</f>
        <v>0</v>
      </c>
      <c r="AA36" s="84" t="n">
        <f aca="false">IF($D36&lt;&gt;1,"",IF(p_mode="Nœud",$Z36*$K36,$X36*IF($G36="IKS",p_iks_cpu,p_roks_cpu)+$Y36*IF($G36="IKS",p_iks_ram,p_roks_ram))*p_facteur)</f>
        <v>0</v>
      </c>
      <c r="AB36" s="14" t="n">
        <f aca="false">IF($D36&lt;&gt;1,"",MAX($J36,ROUNDUP(MAX($L36/$H36,$M36/$I36),0)))</f>
        <v>18</v>
      </c>
      <c r="AC36" s="84" t="n">
        <f aca="false">IF($D36&lt;&gt;1,"",IF(p_mode="Nœud",$AB36*$K36,$L36*IF($G36="IKS",p_iks_cpu,p_roks_cpu)+$M36*IF($G36="IKS",p_iks_ram,p_roks_ram))*p_facteur)</f>
        <v>19116</v>
      </c>
      <c r="AD36" s="14" t="n">
        <f aca="false">IF($D36&lt;&gt;1,"",IF(AND($G36="IKS",$AI36&lt;&gt;1,OR($L36-$P36&lt;$N36,$M36-$Q36&lt;$O36)),1,0))</f>
        <v>0</v>
      </c>
      <c r="AE36" s="14" t="n">
        <f aca="false">IF($D36&lt;&gt;1,"",IF(AND($G36="ROKS",$T36&gt;p_maxworkers),1,0))</f>
        <v>0</v>
      </c>
      <c r="AF36" s="14" t="str">
        <f aca="false">IF($D36&lt;&gt;1,"",IF(INDEX(TblClusters[Environnement],$B36)="","(vide)",INDEX(TblClusters[Environnement],$B36)))</f>
        <v>PRD</v>
      </c>
      <c r="AG36" s="14" t="n">
        <f aca="false">IF($D36&lt;&gt;1,"",$R36+p_poidsram*$S36)</f>
        <v>0</v>
      </c>
      <c r="AH36" s="14" t="n">
        <f aca="false">IF($D36&lt;&gt;1,"",IFERROR($W36/$AG36,0))</f>
        <v>0</v>
      </c>
      <c r="AI36" s="14" t="n">
        <f aca="false">IF($D36&lt;&gt;1,"",IF(AND($G36="IKS",ISNUMBER(INDEX(TblClusters[Fermeture retenue],$B36))),IF($E36&gt;=INDEX(TblClusters[Fermeture retenue],$B36),1,0),0))</f>
        <v>1</v>
      </c>
    </row>
    <row r="37" customFormat="false" ht="15" hidden="false" customHeight="false" outlineLevel="0" collapsed="false">
      <c r="A37" s="14" t="n">
        <v>32</v>
      </c>
      <c r="B37" s="14" t="n">
        <f aca="false">INT(($A37-1)/36)+1</f>
        <v>1</v>
      </c>
      <c r="C37" s="14" t="n">
        <f aca="false">MOD($A37-1,36)+1</f>
        <v>32</v>
      </c>
      <c r="D37" s="14" t="n">
        <f aca="false">IF($C37&gt;p_horizon,0,IFERROR(IF(AND(INDEX(TblClusters[Cluster],$B37)&lt;&gt;"",ISNUMBER(INDEX(TblClusters[CPU initial (vCPU)],$B37)),ISNUMBER(INDEX(TblClusters[CPU min (vCPU)],$B37)),OR(INDEX(TblClusters[Plateforme],$B37)="IKS",INDEX(TblClusters[Plateforme],$B37)="ROKS")),1,0),0))</f>
        <v>1</v>
      </c>
      <c r="E37" s="83" t="n">
        <f aca="false">IF($D37=1,EDATE(p_debut,$C37-1),"")</f>
        <v>47239</v>
      </c>
      <c r="F37" s="14" t="str">
        <f aca="false">IF($D37=1,INDEX(TblClusters[Cluster],$B37),"")</f>
        <v>IKS-PRD-01</v>
      </c>
      <c r="G37" s="14" t="str">
        <f aca="false">IF($D37=1,INDEX(TblClusters[Plateforme],$B37),"")</f>
        <v>IKS</v>
      </c>
      <c r="H37" s="14" t="n">
        <f aca="false">IF($D37=1,INDEX(TblClusters[vCPU par nœud],$B37),"")</f>
        <v>32</v>
      </c>
      <c r="I37" s="14" t="n">
        <f aca="false">IF($D37=1,INDEX(TblClusters[RAM par nœud (Go)],$B37),"")</f>
        <v>128</v>
      </c>
      <c r="J37" s="14" t="n">
        <f aca="false">IF($D37=1,INDEX(TblClusters[Workers min],$B37),"")</f>
        <v>3</v>
      </c>
      <c r="K37" s="84" t="n">
        <f aca="false">IF($D37=1,INDEX(TblClusters[Tarif par nœud],$B37),"")</f>
        <v>1062</v>
      </c>
      <c r="L37" s="14" t="n">
        <f aca="false">IF($D37=1,INDEX(TblClusters[CPU initial (vCPU)],$B37),"")</f>
        <v>576</v>
      </c>
      <c r="M37" s="14" t="n">
        <f aca="false">IF($D37=1,INDEX(TblClusters[RAM initiale (Go)],$B37),"")</f>
        <v>2304</v>
      </c>
      <c r="N37" s="14" t="n">
        <f aca="false">IF($D37=1,INDEX(TblClusters[CPU min (vCPU)],$B37),"")</f>
        <v>96</v>
      </c>
      <c r="O37" s="14" t="n">
        <f aca="false">IF($D37=1,INDEX(TblClusters[RAM min (Go)],$B37),"")</f>
        <v>384</v>
      </c>
      <c r="P37" s="14" t="n">
        <f aca="false">IF($D37&lt;&gt;1,"",IF($G37="ROKS",SUMIFS(TblApplications[Besoin ROKS CPU (vCPU)],TblApplications[Cluster ROKS cible],$F37,TblApplications[Action],"À migrer",TblApplications[Déjà incluse ROKS],"Non",TblApplications[Mois prov (calc)],"&lt;="&amp;$E37),SUMIFS(TblApplications[CPU IKS libérable (vCPU)],TblApplications[Cluster IKS source],$F37,TblApplications[Mois lib (calc)],"&lt;="&amp;$E37)))</f>
        <v>480</v>
      </c>
      <c r="Q37" s="14" t="n">
        <f aca="false">IF($D37&lt;&gt;1,"",IF($G37="ROKS",SUMIFS(TblApplications[Besoin ROKS RAM (Go)],TblApplications[Cluster ROKS cible],$F37,TblApplications[Action],"À migrer",TblApplications[Déjà incluse ROKS],"Non",TblApplications[Mois prov (calc)],"&lt;="&amp;$E37),SUMIFS(TblApplications[RAM IKS libérable (Go)],TblApplications[Cluster IKS source],$F37,TblApplications[Mois lib (calc)],"&lt;="&amp;$E37)))</f>
        <v>1920</v>
      </c>
      <c r="R37" s="14" t="n">
        <f aca="false">IF($D37&lt;&gt;1,"",IF($G37="ROKS",$L37+$P37,IF($AI37=1,0,MAX($N37,$L37-$P37))))</f>
        <v>0</v>
      </c>
      <c r="S37" s="14" t="n">
        <f aca="false">IF($D37&lt;&gt;1,"",IF($G37="ROKS",$M37+$Q37,IF($AI37=1,0,MAX($O37,$M37-$Q37))))</f>
        <v>0</v>
      </c>
      <c r="T37" s="14" t="n">
        <f aca="false">IF($D37&lt;&gt;1,"",IF($AI37=1,0,MAX($J37,ROUNDUP(MAX($R37/$H37,$S37/$I37),0))))</f>
        <v>0</v>
      </c>
      <c r="U37" s="14" t="n">
        <f aca="false">IF($D37&lt;&gt;1,"",IF(p_mode="Nœud",$T37*$H37,$R37))</f>
        <v>0</v>
      </c>
      <c r="V37" s="14" t="n">
        <f aca="false">IF($D37&lt;&gt;1,"",IF(p_mode="Nœud",$T37*$I37,$S37))</f>
        <v>0</v>
      </c>
      <c r="W37" s="84" t="n">
        <f aca="false">IF($D37&lt;&gt;1,"",IF(p_mode="Nœud",$T37*$K37,$R37*IF($G37="IKS",p_iks_cpu,p_roks_cpu)+$S37*IF($G37="IKS",p_iks_ram,p_roks_ram))*p_facteur)</f>
        <v>0</v>
      </c>
      <c r="X37" s="14" t="n">
        <f aca="false">IF($D37&lt;&gt;1,"",IF($G37="ROKS",$R37,IF($AI37=1,0,MAX($N37,$L37-SUMIFS(TblApplications[CPU IKS libérable (vCPU)],TblApplications[Cluster IKS source],$F37,TblApplications[Action],"À migrer",TblApplications[Mois prov (calc)],"&lt;="&amp;$E37)-SUMIFS(TblApplications[CPU IKS libérable (vCPU)],TblApplications[Cluster IKS source],$F37,TblApplications[Action],"À décommissionner",TblApplications[Mois lib (calc)],"&lt;="&amp;$E37)))))</f>
        <v>0</v>
      </c>
      <c r="Y37" s="14" t="n">
        <f aca="false">IF($D37&lt;&gt;1,"",IF($G37="ROKS",$S37,IF($AI37=1,0,MAX($O37,$M37-SUMIFS(TblApplications[RAM IKS libérable (Go)],TblApplications[Cluster IKS source],$F37,TblApplications[Action],"À migrer",TblApplications[Mois prov (calc)],"&lt;="&amp;$E37)-SUMIFS(TblApplications[RAM IKS libérable (Go)],TblApplications[Cluster IKS source],$F37,TblApplications[Action],"À décommissionner",TblApplications[Mois lib (calc)],"&lt;="&amp;$E37)))))</f>
        <v>0</v>
      </c>
      <c r="Z37" s="14" t="n">
        <f aca="false">IF($D37&lt;&gt;1,"",IF($AI37=1,0,MAX($J37,ROUNDUP(MAX($X37/$H37,$Y37/$I37),0))))</f>
        <v>0</v>
      </c>
      <c r="AA37" s="84" t="n">
        <f aca="false">IF($D37&lt;&gt;1,"",IF(p_mode="Nœud",$Z37*$K37,$X37*IF($G37="IKS",p_iks_cpu,p_roks_cpu)+$Y37*IF($G37="IKS",p_iks_ram,p_roks_ram))*p_facteur)</f>
        <v>0</v>
      </c>
      <c r="AB37" s="14" t="n">
        <f aca="false">IF($D37&lt;&gt;1,"",MAX($J37,ROUNDUP(MAX($L37/$H37,$M37/$I37),0)))</f>
        <v>18</v>
      </c>
      <c r="AC37" s="84" t="n">
        <f aca="false">IF($D37&lt;&gt;1,"",IF(p_mode="Nœud",$AB37*$K37,$L37*IF($G37="IKS",p_iks_cpu,p_roks_cpu)+$M37*IF($G37="IKS",p_iks_ram,p_roks_ram))*p_facteur)</f>
        <v>19116</v>
      </c>
      <c r="AD37" s="14" t="n">
        <f aca="false">IF($D37&lt;&gt;1,"",IF(AND($G37="IKS",$AI37&lt;&gt;1,OR($L37-$P37&lt;$N37,$M37-$Q37&lt;$O37)),1,0))</f>
        <v>0</v>
      </c>
      <c r="AE37" s="14" t="n">
        <f aca="false">IF($D37&lt;&gt;1,"",IF(AND($G37="ROKS",$T37&gt;p_maxworkers),1,0))</f>
        <v>0</v>
      </c>
      <c r="AF37" s="14" t="str">
        <f aca="false">IF($D37&lt;&gt;1,"",IF(INDEX(TblClusters[Environnement],$B37)="","(vide)",INDEX(TblClusters[Environnement],$B37)))</f>
        <v>PRD</v>
      </c>
      <c r="AG37" s="14" t="n">
        <f aca="false">IF($D37&lt;&gt;1,"",$R37+p_poidsram*$S37)</f>
        <v>0</v>
      </c>
      <c r="AH37" s="14" t="n">
        <f aca="false">IF($D37&lt;&gt;1,"",IFERROR($W37/$AG37,0))</f>
        <v>0</v>
      </c>
      <c r="AI37" s="14" t="n">
        <f aca="false">IF($D37&lt;&gt;1,"",IF(AND($G37="IKS",ISNUMBER(INDEX(TblClusters[Fermeture retenue],$B37))),IF($E37&gt;=INDEX(TblClusters[Fermeture retenue],$B37),1,0),0))</f>
        <v>1</v>
      </c>
    </row>
    <row r="38" customFormat="false" ht="15" hidden="false" customHeight="false" outlineLevel="0" collapsed="false">
      <c r="A38" s="14" t="n">
        <v>33</v>
      </c>
      <c r="B38" s="14" t="n">
        <f aca="false">INT(($A38-1)/36)+1</f>
        <v>1</v>
      </c>
      <c r="C38" s="14" t="n">
        <f aca="false">MOD($A38-1,36)+1</f>
        <v>33</v>
      </c>
      <c r="D38" s="14" t="n">
        <f aca="false">IF($C38&gt;p_horizon,0,IFERROR(IF(AND(INDEX(TblClusters[Cluster],$B38)&lt;&gt;"",ISNUMBER(INDEX(TblClusters[CPU initial (vCPU)],$B38)),ISNUMBER(INDEX(TblClusters[CPU min (vCPU)],$B38)),OR(INDEX(TblClusters[Plateforme],$B38)="IKS",INDEX(TblClusters[Plateforme],$B38)="ROKS")),1,0),0))</f>
        <v>1</v>
      </c>
      <c r="E38" s="83" t="n">
        <f aca="false">IF($D38=1,EDATE(p_debut,$C38-1),"")</f>
        <v>47270</v>
      </c>
      <c r="F38" s="14" t="str">
        <f aca="false">IF($D38=1,INDEX(TblClusters[Cluster],$B38),"")</f>
        <v>IKS-PRD-01</v>
      </c>
      <c r="G38" s="14" t="str">
        <f aca="false">IF($D38=1,INDEX(TblClusters[Plateforme],$B38),"")</f>
        <v>IKS</v>
      </c>
      <c r="H38" s="14" t="n">
        <f aca="false">IF($D38=1,INDEX(TblClusters[vCPU par nœud],$B38),"")</f>
        <v>32</v>
      </c>
      <c r="I38" s="14" t="n">
        <f aca="false">IF($D38=1,INDEX(TblClusters[RAM par nœud (Go)],$B38),"")</f>
        <v>128</v>
      </c>
      <c r="J38" s="14" t="n">
        <f aca="false">IF($D38=1,INDEX(TblClusters[Workers min],$B38),"")</f>
        <v>3</v>
      </c>
      <c r="K38" s="84" t="n">
        <f aca="false">IF($D38=1,INDEX(TblClusters[Tarif par nœud],$B38),"")</f>
        <v>1062</v>
      </c>
      <c r="L38" s="14" t="n">
        <f aca="false">IF($D38=1,INDEX(TblClusters[CPU initial (vCPU)],$B38),"")</f>
        <v>576</v>
      </c>
      <c r="M38" s="14" t="n">
        <f aca="false">IF($D38=1,INDEX(TblClusters[RAM initiale (Go)],$B38),"")</f>
        <v>2304</v>
      </c>
      <c r="N38" s="14" t="n">
        <f aca="false">IF($D38=1,INDEX(TblClusters[CPU min (vCPU)],$B38),"")</f>
        <v>96</v>
      </c>
      <c r="O38" s="14" t="n">
        <f aca="false">IF($D38=1,INDEX(TblClusters[RAM min (Go)],$B38),"")</f>
        <v>384</v>
      </c>
      <c r="P38" s="14" t="n">
        <f aca="false">IF($D38&lt;&gt;1,"",IF($G38="ROKS",SUMIFS(TblApplications[Besoin ROKS CPU (vCPU)],TblApplications[Cluster ROKS cible],$F38,TblApplications[Action],"À migrer",TblApplications[Déjà incluse ROKS],"Non",TblApplications[Mois prov (calc)],"&lt;="&amp;$E38),SUMIFS(TblApplications[CPU IKS libérable (vCPU)],TblApplications[Cluster IKS source],$F38,TblApplications[Mois lib (calc)],"&lt;="&amp;$E38)))</f>
        <v>480</v>
      </c>
      <c r="Q38" s="14" t="n">
        <f aca="false">IF($D38&lt;&gt;1,"",IF($G38="ROKS",SUMIFS(TblApplications[Besoin ROKS RAM (Go)],TblApplications[Cluster ROKS cible],$F38,TblApplications[Action],"À migrer",TblApplications[Déjà incluse ROKS],"Non",TblApplications[Mois prov (calc)],"&lt;="&amp;$E38),SUMIFS(TblApplications[RAM IKS libérable (Go)],TblApplications[Cluster IKS source],$F38,TblApplications[Mois lib (calc)],"&lt;="&amp;$E38)))</f>
        <v>1920</v>
      </c>
      <c r="R38" s="14" t="n">
        <f aca="false">IF($D38&lt;&gt;1,"",IF($G38="ROKS",$L38+$P38,IF($AI38=1,0,MAX($N38,$L38-$P38))))</f>
        <v>0</v>
      </c>
      <c r="S38" s="14" t="n">
        <f aca="false">IF($D38&lt;&gt;1,"",IF($G38="ROKS",$M38+$Q38,IF($AI38=1,0,MAX($O38,$M38-$Q38))))</f>
        <v>0</v>
      </c>
      <c r="T38" s="14" t="n">
        <f aca="false">IF($D38&lt;&gt;1,"",IF($AI38=1,0,MAX($J38,ROUNDUP(MAX($R38/$H38,$S38/$I38),0))))</f>
        <v>0</v>
      </c>
      <c r="U38" s="14" t="n">
        <f aca="false">IF($D38&lt;&gt;1,"",IF(p_mode="Nœud",$T38*$H38,$R38))</f>
        <v>0</v>
      </c>
      <c r="V38" s="14" t="n">
        <f aca="false">IF($D38&lt;&gt;1,"",IF(p_mode="Nœud",$T38*$I38,$S38))</f>
        <v>0</v>
      </c>
      <c r="W38" s="84" t="n">
        <f aca="false">IF($D38&lt;&gt;1,"",IF(p_mode="Nœud",$T38*$K38,$R38*IF($G38="IKS",p_iks_cpu,p_roks_cpu)+$S38*IF($G38="IKS",p_iks_ram,p_roks_ram))*p_facteur)</f>
        <v>0</v>
      </c>
      <c r="X38" s="14" t="n">
        <f aca="false">IF($D38&lt;&gt;1,"",IF($G38="ROKS",$R38,IF($AI38=1,0,MAX($N38,$L38-SUMIFS(TblApplications[CPU IKS libérable (vCPU)],TblApplications[Cluster IKS source],$F38,TblApplications[Action],"À migrer",TblApplications[Mois prov (calc)],"&lt;="&amp;$E38)-SUMIFS(TblApplications[CPU IKS libérable (vCPU)],TblApplications[Cluster IKS source],$F38,TblApplications[Action],"À décommissionner",TblApplications[Mois lib (calc)],"&lt;="&amp;$E38)))))</f>
        <v>0</v>
      </c>
      <c r="Y38" s="14" t="n">
        <f aca="false">IF($D38&lt;&gt;1,"",IF($G38="ROKS",$S38,IF($AI38=1,0,MAX($O38,$M38-SUMIFS(TblApplications[RAM IKS libérable (Go)],TblApplications[Cluster IKS source],$F38,TblApplications[Action],"À migrer",TblApplications[Mois prov (calc)],"&lt;="&amp;$E38)-SUMIFS(TblApplications[RAM IKS libérable (Go)],TblApplications[Cluster IKS source],$F38,TblApplications[Action],"À décommissionner",TblApplications[Mois lib (calc)],"&lt;="&amp;$E38)))))</f>
        <v>0</v>
      </c>
      <c r="Z38" s="14" t="n">
        <f aca="false">IF($D38&lt;&gt;1,"",IF($AI38=1,0,MAX($J38,ROUNDUP(MAX($X38/$H38,$Y38/$I38),0))))</f>
        <v>0</v>
      </c>
      <c r="AA38" s="84" t="n">
        <f aca="false">IF($D38&lt;&gt;1,"",IF(p_mode="Nœud",$Z38*$K38,$X38*IF($G38="IKS",p_iks_cpu,p_roks_cpu)+$Y38*IF($G38="IKS",p_iks_ram,p_roks_ram))*p_facteur)</f>
        <v>0</v>
      </c>
      <c r="AB38" s="14" t="n">
        <f aca="false">IF($D38&lt;&gt;1,"",MAX($J38,ROUNDUP(MAX($L38/$H38,$M38/$I38),0)))</f>
        <v>18</v>
      </c>
      <c r="AC38" s="84" t="n">
        <f aca="false">IF($D38&lt;&gt;1,"",IF(p_mode="Nœud",$AB38*$K38,$L38*IF($G38="IKS",p_iks_cpu,p_roks_cpu)+$M38*IF($G38="IKS",p_iks_ram,p_roks_ram))*p_facteur)</f>
        <v>19116</v>
      </c>
      <c r="AD38" s="14" t="n">
        <f aca="false">IF($D38&lt;&gt;1,"",IF(AND($G38="IKS",$AI38&lt;&gt;1,OR($L38-$P38&lt;$N38,$M38-$Q38&lt;$O38)),1,0))</f>
        <v>0</v>
      </c>
      <c r="AE38" s="14" t="n">
        <f aca="false">IF($D38&lt;&gt;1,"",IF(AND($G38="ROKS",$T38&gt;p_maxworkers),1,0))</f>
        <v>0</v>
      </c>
      <c r="AF38" s="14" t="str">
        <f aca="false">IF($D38&lt;&gt;1,"",IF(INDEX(TblClusters[Environnement],$B38)="","(vide)",INDEX(TblClusters[Environnement],$B38)))</f>
        <v>PRD</v>
      </c>
      <c r="AG38" s="14" t="n">
        <f aca="false">IF($D38&lt;&gt;1,"",$R38+p_poidsram*$S38)</f>
        <v>0</v>
      </c>
      <c r="AH38" s="14" t="n">
        <f aca="false">IF($D38&lt;&gt;1,"",IFERROR($W38/$AG38,0))</f>
        <v>0</v>
      </c>
      <c r="AI38" s="14" t="n">
        <f aca="false">IF($D38&lt;&gt;1,"",IF(AND($G38="IKS",ISNUMBER(INDEX(TblClusters[Fermeture retenue],$B38))),IF($E38&gt;=INDEX(TblClusters[Fermeture retenue],$B38),1,0),0))</f>
        <v>1</v>
      </c>
    </row>
    <row r="39" customFormat="false" ht="15" hidden="false" customHeight="false" outlineLevel="0" collapsed="false">
      <c r="A39" s="14" t="n">
        <v>34</v>
      </c>
      <c r="B39" s="14" t="n">
        <f aca="false">INT(($A39-1)/36)+1</f>
        <v>1</v>
      </c>
      <c r="C39" s="14" t="n">
        <f aca="false">MOD($A39-1,36)+1</f>
        <v>34</v>
      </c>
      <c r="D39" s="14" t="n">
        <f aca="false">IF($C39&gt;p_horizon,0,IFERROR(IF(AND(INDEX(TblClusters[Cluster],$B39)&lt;&gt;"",ISNUMBER(INDEX(TblClusters[CPU initial (vCPU)],$B39)),ISNUMBER(INDEX(TblClusters[CPU min (vCPU)],$B39)),OR(INDEX(TblClusters[Plateforme],$B39)="IKS",INDEX(TblClusters[Plateforme],$B39)="ROKS")),1,0),0))</f>
        <v>1</v>
      </c>
      <c r="E39" s="83" t="n">
        <f aca="false">IF($D39=1,EDATE(p_debut,$C39-1),"")</f>
        <v>47300</v>
      </c>
      <c r="F39" s="14" t="str">
        <f aca="false">IF($D39=1,INDEX(TblClusters[Cluster],$B39),"")</f>
        <v>IKS-PRD-01</v>
      </c>
      <c r="G39" s="14" t="str">
        <f aca="false">IF($D39=1,INDEX(TblClusters[Plateforme],$B39),"")</f>
        <v>IKS</v>
      </c>
      <c r="H39" s="14" t="n">
        <f aca="false">IF($D39=1,INDEX(TblClusters[vCPU par nœud],$B39),"")</f>
        <v>32</v>
      </c>
      <c r="I39" s="14" t="n">
        <f aca="false">IF($D39=1,INDEX(TblClusters[RAM par nœud (Go)],$B39),"")</f>
        <v>128</v>
      </c>
      <c r="J39" s="14" t="n">
        <f aca="false">IF($D39=1,INDEX(TblClusters[Workers min],$B39),"")</f>
        <v>3</v>
      </c>
      <c r="K39" s="84" t="n">
        <f aca="false">IF($D39=1,INDEX(TblClusters[Tarif par nœud],$B39),"")</f>
        <v>1062</v>
      </c>
      <c r="L39" s="14" t="n">
        <f aca="false">IF($D39=1,INDEX(TblClusters[CPU initial (vCPU)],$B39),"")</f>
        <v>576</v>
      </c>
      <c r="M39" s="14" t="n">
        <f aca="false">IF($D39=1,INDEX(TblClusters[RAM initiale (Go)],$B39),"")</f>
        <v>2304</v>
      </c>
      <c r="N39" s="14" t="n">
        <f aca="false">IF($D39=1,INDEX(TblClusters[CPU min (vCPU)],$B39),"")</f>
        <v>96</v>
      </c>
      <c r="O39" s="14" t="n">
        <f aca="false">IF($D39=1,INDEX(TblClusters[RAM min (Go)],$B39),"")</f>
        <v>384</v>
      </c>
      <c r="P39" s="14" t="n">
        <f aca="false">IF($D39&lt;&gt;1,"",IF($G39="ROKS",SUMIFS(TblApplications[Besoin ROKS CPU (vCPU)],TblApplications[Cluster ROKS cible],$F39,TblApplications[Action],"À migrer",TblApplications[Déjà incluse ROKS],"Non",TblApplications[Mois prov (calc)],"&lt;="&amp;$E39),SUMIFS(TblApplications[CPU IKS libérable (vCPU)],TblApplications[Cluster IKS source],$F39,TblApplications[Mois lib (calc)],"&lt;="&amp;$E39)))</f>
        <v>480</v>
      </c>
      <c r="Q39" s="14" t="n">
        <f aca="false">IF($D39&lt;&gt;1,"",IF($G39="ROKS",SUMIFS(TblApplications[Besoin ROKS RAM (Go)],TblApplications[Cluster ROKS cible],$F39,TblApplications[Action],"À migrer",TblApplications[Déjà incluse ROKS],"Non",TblApplications[Mois prov (calc)],"&lt;="&amp;$E39),SUMIFS(TblApplications[RAM IKS libérable (Go)],TblApplications[Cluster IKS source],$F39,TblApplications[Mois lib (calc)],"&lt;="&amp;$E39)))</f>
        <v>1920</v>
      </c>
      <c r="R39" s="14" t="n">
        <f aca="false">IF($D39&lt;&gt;1,"",IF($G39="ROKS",$L39+$P39,IF($AI39=1,0,MAX($N39,$L39-$P39))))</f>
        <v>0</v>
      </c>
      <c r="S39" s="14" t="n">
        <f aca="false">IF($D39&lt;&gt;1,"",IF($G39="ROKS",$M39+$Q39,IF($AI39=1,0,MAX($O39,$M39-$Q39))))</f>
        <v>0</v>
      </c>
      <c r="T39" s="14" t="n">
        <f aca="false">IF($D39&lt;&gt;1,"",IF($AI39=1,0,MAX($J39,ROUNDUP(MAX($R39/$H39,$S39/$I39),0))))</f>
        <v>0</v>
      </c>
      <c r="U39" s="14" t="n">
        <f aca="false">IF($D39&lt;&gt;1,"",IF(p_mode="Nœud",$T39*$H39,$R39))</f>
        <v>0</v>
      </c>
      <c r="V39" s="14" t="n">
        <f aca="false">IF($D39&lt;&gt;1,"",IF(p_mode="Nœud",$T39*$I39,$S39))</f>
        <v>0</v>
      </c>
      <c r="W39" s="84" t="n">
        <f aca="false">IF($D39&lt;&gt;1,"",IF(p_mode="Nœud",$T39*$K39,$R39*IF($G39="IKS",p_iks_cpu,p_roks_cpu)+$S39*IF($G39="IKS",p_iks_ram,p_roks_ram))*p_facteur)</f>
        <v>0</v>
      </c>
      <c r="X39" s="14" t="n">
        <f aca="false">IF($D39&lt;&gt;1,"",IF($G39="ROKS",$R39,IF($AI39=1,0,MAX($N39,$L39-SUMIFS(TblApplications[CPU IKS libérable (vCPU)],TblApplications[Cluster IKS source],$F39,TblApplications[Action],"À migrer",TblApplications[Mois prov (calc)],"&lt;="&amp;$E39)-SUMIFS(TblApplications[CPU IKS libérable (vCPU)],TblApplications[Cluster IKS source],$F39,TblApplications[Action],"À décommissionner",TblApplications[Mois lib (calc)],"&lt;="&amp;$E39)))))</f>
        <v>0</v>
      </c>
      <c r="Y39" s="14" t="n">
        <f aca="false">IF($D39&lt;&gt;1,"",IF($G39="ROKS",$S39,IF($AI39=1,0,MAX($O39,$M39-SUMIFS(TblApplications[RAM IKS libérable (Go)],TblApplications[Cluster IKS source],$F39,TblApplications[Action],"À migrer",TblApplications[Mois prov (calc)],"&lt;="&amp;$E39)-SUMIFS(TblApplications[RAM IKS libérable (Go)],TblApplications[Cluster IKS source],$F39,TblApplications[Action],"À décommissionner",TblApplications[Mois lib (calc)],"&lt;="&amp;$E39)))))</f>
        <v>0</v>
      </c>
      <c r="Z39" s="14" t="n">
        <f aca="false">IF($D39&lt;&gt;1,"",IF($AI39=1,0,MAX($J39,ROUNDUP(MAX($X39/$H39,$Y39/$I39),0))))</f>
        <v>0</v>
      </c>
      <c r="AA39" s="84" t="n">
        <f aca="false">IF($D39&lt;&gt;1,"",IF(p_mode="Nœud",$Z39*$K39,$X39*IF($G39="IKS",p_iks_cpu,p_roks_cpu)+$Y39*IF($G39="IKS",p_iks_ram,p_roks_ram))*p_facteur)</f>
        <v>0</v>
      </c>
      <c r="AB39" s="14" t="n">
        <f aca="false">IF($D39&lt;&gt;1,"",MAX($J39,ROUNDUP(MAX($L39/$H39,$M39/$I39),0)))</f>
        <v>18</v>
      </c>
      <c r="AC39" s="84" t="n">
        <f aca="false">IF($D39&lt;&gt;1,"",IF(p_mode="Nœud",$AB39*$K39,$L39*IF($G39="IKS",p_iks_cpu,p_roks_cpu)+$M39*IF($G39="IKS",p_iks_ram,p_roks_ram))*p_facteur)</f>
        <v>19116</v>
      </c>
      <c r="AD39" s="14" t="n">
        <f aca="false">IF($D39&lt;&gt;1,"",IF(AND($G39="IKS",$AI39&lt;&gt;1,OR($L39-$P39&lt;$N39,$M39-$Q39&lt;$O39)),1,0))</f>
        <v>0</v>
      </c>
      <c r="AE39" s="14" t="n">
        <f aca="false">IF($D39&lt;&gt;1,"",IF(AND($G39="ROKS",$T39&gt;p_maxworkers),1,0))</f>
        <v>0</v>
      </c>
      <c r="AF39" s="14" t="str">
        <f aca="false">IF($D39&lt;&gt;1,"",IF(INDEX(TblClusters[Environnement],$B39)="","(vide)",INDEX(TblClusters[Environnement],$B39)))</f>
        <v>PRD</v>
      </c>
      <c r="AG39" s="14" t="n">
        <f aca="false">IF($D39&lt;&gt;1,"",$R39+p_poidsram*$S39)</f>
        <v>0</v>
      </c>
      <c r="AH39" s="14" t="n">
        <f aca="false">IF($D39&lt;&gt;1,"",IFERROR($W39/$AG39,0))</f>
        <v>0</v>
      </c>
      <c r="AI39" s="14" t="n">
        <f aca="false">IF($D39&lt;&gt;1,"",IF(AND($G39="IKS",ISNUMBER(INDEX(TblClusters[Fermeture retenue],$B39))),IF($E39&gt;=INDEX(TblClusters[Fermeture retenue],$B39),1,0),0))</f>
        <v>1</v>
      </c>
    </row>
    <row r="40" customFormat="false" ht="15" hidden="false" customHeight="false" outlineLevel="0" collapsed="false">
      <c r="A40" s="14" t="n">
        <v>35</v>
      </c>
      <c r="B40" s="14" t="n">
        <f aca="false">INT(($A40-1)/36)+1</f>
        <v>1</v>
      </c>
      <c r="C40" s="14" t="n">
        <f aca="false">MOD($A40-1,36)+1</f>
        <v>35</v>
      </c>
      <c r="D40" s="14" t="n">
        <f aca="false">IF($C40&gt;p_horizon,0,IFERROR(IF(AND(INDEX(TblClusters[Cluster],$B40)&lt;&gt;"",ISNUMBER(INDEX(TblClusters[CPU initial (vCPU)],$B40)),ISNUMBER(INDEX(TblClusters[CPU min (vCPU)],$B40)),OR(INDEX(TblClusters[Plateforme],$B40)="IKS",INDEX(TblClusters[Plateforme],$B40)="ROKS")),1,0),0))</f>
        <v>1</v>
      </c>
      <c r="E40" s="83" t="n">
        <f aca="false">IF($D40=1,EDATE(p_debut,$C40-1),"")</f>
        <v>47331</v>
      </c>
      <c r="F40" s="14" t="str">
        <f aca="false">IF($D40=1,INDEX(TblClusters[Cluster],$B40),"")</f>
        <v>IKS-PRD-01</v>
      </c>
      <c r="G40" s="14" t="str">
        <f aca="false">IF($D40=1,INDEX(TblClusters[Plateforme],$B40),"")</f>
        <v>IKS</v>
      </c>
      <c r="H40" s="14" t="n">
        <f aca="false">IF($D40=1,INDEX(TblClusters[vCPU par nœud],$B40),"")</f>
        <v>32</v>
      </c>
      <c r="I40" s="14" t="n">
        <f aca="false">IF($D40=1,INDEX(TblClusters[RAM par nœud (Go)],$B40),"")</f>
        <v>128</v>
      </c>
      <c r="J40" s="14" t="n">
        <f aca="false">IF($D40=1,INDEX(TblClusters[Workers min],$B40),"")</f>
        <v>3</v>
      </c>
      <c r="K40" s="84" t="n">
        <f aca="false">IF($D40=1,INDEX(TblClusters[Tarif par nœud],$B40),"")</f>
        <v>1062</v>
      </c>
      <c r="L40" s="14" t="n">
        <f aca="false">IF($D40=1,INDEX(TblClusters[CPU initial (vCPU)],$B40),"")</f>
        <v>576</v>
      </c>
      <c r="M40" s="14" t="n">
        <f aca="false">IF($D40=1,INDEX(TblClusters[RAM initiale (Go)],$B40),"")</f>
        <v>2304</v>
      </c>
      <c r="N40" s="14" t="n">
        <f aca="false">IF($D40=1,INDEX(TblClusters[CPU min (vCPU)],$B40),"")</f>
        <v>96</v>
      </c>
      <c r="O40" s="14" t="n">
        <f aca="false">IF($D40=1,INDEX(TblClusters[RAM min (Go)],$B40),"")</f>
        <v>384</v>
      </c>
      <c r="P40" s="14" t="n">
        <f aca="false">IF($D40&lt;&gt;1,"",IF($G40="ROKS",SUMIFS(TblApplications[Besoin ROKS CPU (vCPU)],TblApplications[Cluster ROKS cible],$F40,TblApplications[Action],"À migrer",TblApplications[Déjà incluse ROKS],"Non",TblApplications[Mois prov (calc)],"&lt;="&amp;$E40),SUMIFS(TblApplications[CPU IKS libérable (vCPU)],TblApplications[Cluster IKS source],$F40,TblApplications[Mois lib (calc)],"&lt;="&amp;$E40)))</f>
        <v>480</v>
      </c>
      <c r="Q40" s="14" t="n">
        <f aca="false">IF($D40&lt;&gt;1,"",IF($G40="ROKS",SUMIFS(TblApplications[Besoin ROKS RAM (Go)],TblApplications[Cluster ROKS cible],$F40,TblApplications[Action],"À migrer",TblApplications[Déjà incluse ROKS],"Non",TblApplications[Mois prov (calc)],"&lt;="&amp;$E40),SUMIFS(TblApplications[RAM IKS libérable (Go)],TblApplications[Cluster IKS source],$F40,TblApplications[Mois lib (calc)],"&lt;="&amp;$E40)))</f>
        <v>1920</v>
      </c>
      <c r="R40" s="14" t="n">
        <f aca="false">IF($D40&lt;&gt;1,"",IF($G40="ROKS",$L40+$P40,IF($AI40=1,0,MAX($N40,$L40-$P40))))</f>
        <v>0</v>
      </c>
      <c r="S40" s="14" t="n">
        <f aca="false">IF($D40&lt;&gt;1,"",IF($G40="ROKS",$M40+$Q40,IF($AI40=1,0,MAX($O40,$M40-$Q40))))</f>
        <v>0</v>
      </c>
      <c r="T40" s="14" t="n">
        <f aca="false">IF($D40&lt;&gt;1,"",IF($AI40=1,0,MAX($J40,ROUNDUP(MAX($R40/$H40,$S40/$I40),0))))</f>
        <v>0</v>
      </c>
      <c r="U40" s="14" t="n">
        <f aca="false">IF($D40&lt;&gt;1,"",IF(p_mode="Nœud",$T40*$H40,$R40))</f>
        <v>0</v>
      </c>
      <c r="V40" s="14" t="n">
        <f aca="false">IF($D40&lt;&gt;1,"",IF(p_mode="Nœud",$T40*$I40,$S40))</f>
        <v>0</v>
      </c>
      <c r="W40" s="84" t="n">
        <f aca="false">IF($D40&lt;&gt;1,"",IF(p_mode="Nœud",$T40*$K40,$R40*IF($G40="IKS",p_iks_cpu,p_roks_cpu)+$S40*IF($G40="IKS",p_iks_ram,p_roks_ram))*p_facteur)</f>
        <v>0</v>
      </c>
      <c r="X40" s="14" t="n">
        <f aca="false">IF($D40&lt;&gt;1,"",IF($G40="ROKS",$R40,IF($AI40=1,0,MAX($N40,$L40-SUMIFS(TblApplications[CPU IKS libérable (vCPU)],TblApplications[Cluster IKS source],$F40,TblApplications[Action],"À migrer",TblApplications[Mois prov (calc)],"&lt;="&amp;$E40)-SUMIFS(TblApplications[CPU IKS libérable (vCPU)],TblApplications[Cluster IKS source],$F40,TblApplications[Action],"À décommissionner",TblApplications[Mois lib (calc)],"&lt;="&amp;$E40)))))</f>
        <v>0</v>
      </c>
      <c r="Y40" s="14" t="n">
        <f aca="false">IF($D40&lt;&gt;1,"",IF($G40="ROKS",$S40,IF($AI40=1,0,MAX($O40,$M40-SUMIFS(TblApplications[RAM IKS libérable (Go)],TblApplications[Cluster IKS source],$F40,TblApplications[Action],"À migrer",TblApplications[Mois prov (calc)],"&lt;="&amp;$E40)-SUMIFS(TblApplications[RAM IKS libérable (Go)],TblApplications[Cluster IKS source],$F40,TblApplications[Action],"À décommissionner",TblApplications[Mois lib (calc)],"&lt;="&amp;$E40)))))</f>
        <v>0</v>
      </c>
      <c r="Z40" s="14" t="n">
        <f aca="false">IF($D40&lt;&gt;1,"",IF($AI40=1,0,MAX($J40,ROUNDUP(MAX($X40/$H40,$Y40/$I40),0))))</f>
        <v>0</v>
      </c>
      <c r="AA40" s="84" t="n">
        <f aca="false">IF($D40&lt;&gt;1,"",IF(p_mode="Nœud",$Z40*$K40,$X40*IF($G40="IKS",p_iks_cpu,p_roks_cpu)+$Y40*IF($G40="IKS",p_iks_ram,p_roks_ram))*p_facteur)</f>
        <v>0</v>
      </c>
      <c r="AB40" s="14" t="n">
        <f aca="false">IF($D40&lt;&gt;1,"",MAX($J40,ROUNDUP(MAX($L40/$H40,$M40/$I40),0)))</f>
        <v>18</v>
      </c>
      <c r="AC40" s="84" t="n">
        <f aca="false">IF($D40&lt;&gt;1,"",IF(p_mode="Nœud",$AB40*$K40,$L40*IF($G40="IKS",p_iks_cpu,p_roks_cpu)+$M40*IF($G40="IKS",p_iks_ram,p_roks_ram))*p_facteur)</f>
        <v>19116</v>
      </c>
      <c r="AD40" s="14" t="n">
        <f aca="false">IF($D40&lt;&gt;1,"",IF(AND($G40="IKS",$AI40&lt;&gt;1,OR($L40-$P40&lt;$N40,$M40-$Q40&lt;$O40)),1,0))</f>
        <v>0</v>
      </c>
      <c r="AE40" s="14" t="n">
        <f aca="false">IF($D40&lt;&gt;1,"",IF(AND($G40="ROKS",$T40&gt;p_maxworkers),1,0))</f>
        <v>0</v>
      </c>
      <c r="AF40" s="14" t="str">
        <f aca="false">IF($D40&lt;&gt;1,"",IF(INDEX(TblClusters[Environnement],$B40)="","(vide)",INDEX(TblClusters[Environnement],$B40)))</f>
        <v>PRD</v>
      </c>
      <c r="AG40" s="14" t="n">
        <f aca="false">IF($D40&lt;&gt;1,"",$R40+p_poidsram*$S40)</f>
        <v>0</v>
      </c>
      <c r="AH40" s="14" t="n">
        <f aca="false">IF($D40&lt;&gt;1,"",IFERROR($W40/$AG40,0))</f>
        <v>0</v>
      </c>
      <c r="AI40" s="14" t="n">
        <f aca="false">IF($D40&lt;&gt;1,"",IF(AND($G40="IKS",ISNUMBER(INDEX(TblClusters[Fermeture retenue],$B40))),IF($E40&gt;=INDEX(TblClusters[Fermeture retenue],$B40),1,0),0))</f>
        <v>1</v>
      </c>
    </row>
    <row r="41" customFormat="false" ht="15" hidden="false" customHeight="false" outlineLevel="0" collapsed="false">
      <c r="A41" s="14" t="n">
        <v>36</v>
      </c>
      <c r="B41" s="14" t="n">
        <f aca="false">INT(($A41-1)/36)+1</f>
        <v>1</v>
      </c>
      <c r="C41" s="14" t="n">
        <f aca="false">MOD($A41-1,36)+1</f>
        <v>36</v>
      </c>
      <c r="D41" s="14" t="n">
        <f aca="false">IF($C41&gt;p_horizon,0,IFERROR(IF(AND(INDEX(TblClusters[Cluster],$B41)&lt;&gt;"",ISNUMBER(INDEX(TblClusters[CPU initial (vCPU)],$B41)),ISNUMBER(INDEX(TblClusters[CPU min (vCPU)],$B41)),OR(INDEX(TblClusters[Plateforme],$B41)="IKS",INDEX(TblClusters[Plateforme],$B41)="ROKS")),1,0),0))</f>
        <v>1</v>
      </c>
      <c r="E41" s="83" t="n">
        <f aca="false">IF($D41=1,EDATE(p_debut,$C41-1),"")</f>
        <v>47362</v>
      </c>
      <c r="F41" s="14" t="str">
        <f aca="false">IF($D41=1,INDEX(TblClusters[Cluster],$B41),"")</f>
        <v>IKS-PRD-01</v>
      </c>
      <c r="G41" s="14" t="str">
        <f aca="false">IF($D41=1,INDEX(TblClusters[Plateforme],$B41),"")</f>
        <v>IKS</v>
      </c>
      <c r="H41" s="14" t="n">
        <f aca="false">IF($D41=1,INDEX(TblClusters[vCPU par nœud],$B41),"")</f>
        <v>32</v>
      </c>
      <c r="I41" s="14" t="n">
        <f aca="false">IF($D41=1,INDEX(TblClusters[RAM par nœud (Go)],$B41),"")</f>
        <v>128</v>
      </c>
      <c r="J41" s="14" t="n">
        <f aca="false">IF($D41=1,INDEX(TblClusters[Workers min],$B41),"")</f>
        <v>3</v>
      </c>
      <c r="K41" s="84" t="n">
        <f aca="false">IF($D41=1,INDEX(TblClusters[Tarif par nœud],$B41),"")</f>
        <v>1062</v>
      </c>
      <c r="L41" s="14" t="n">
        <f aca="false">IF($D41=1,INDEX(TblClusters[CPU initial (vCPU)],$B41),"")</f>
        <v>576</v>
      </c>
      <c r="M41" s="14" t="n">
        <f aca="false">IF($D41=1,INDEX(TblClusters[RAM initiale (Go)],$B41),"")</f>
        <v>2304</v>
      </c>
      <c r="N41" s="14" t="n">
        <f aca="false">IF($D41=1,INDEX(TblClusters[CPU min (vCPU)],$B41),"")</f>
        <v>96</v>
      </c>
      <c r="O41" s="14" t="n">
        <f aca="false">IF($D41=1,INDEX(TblClusters[RAM min (Go)],$B41),"")</f>
        <v>384</v>
      </c>
      <c r="P41" s="14" t="n">
        <f aca="false">IF($D41&lt;&gt;1,"",IF($G41="ROKS",SUMIFS(TblApplications[Besoin ROKS CPU (vCPU)],TblApplications[Cluster ROKS cible],$F41,TblApplications[Action],"À migrer",TblApplications[Déjà incluse ROKS],"Non",TblApplications[Mois prov (calc)],"&lt;="&amp;$E41),SUMIFS(TblApplications[CPU IKS libérable (vCPU)],TblApplications[Cluster IKS source],$F41,TblApplications[Mois lib (calc)],"&lt;="&amp;$E41)))</f>
        <v>480</v>
      </c>
      <c r="Q41" s="14" t="n">
        <f aca="false">IF($D41&lt;&gt;1,"",IF($G41="ROKS",SUMIFS(TblApplications[Besoin ROKS RAM (Go)],TblApplications[Cluster ROKS cible],$F41,TblApplications[Action],"À migrer",TblApplications[Déjà incluse ROKS],"Non",TblApplications[Mois prov (calc)],"&lt;="&amp;$E41),SUMIFS(TblApplications[RAM IKS libérable (Go)],TblApplications[Cluster IKS source],$F41,TblApplications[Mois lib (calc)],"&lt;="&amp;$E41)))</f>
        <v>1920</v>
      </c>
      <c r="R41" s="14" t="n">
        <f aca="false">IF($D41&lt;&gt;1,"",IF($G41="ROKS",$L41+$P41,IF($AI41=1,0,MAX($N41,$L41-$P41))))</f>
        <v>0</v>
      </c>
      <c r="S41" s="14" t="n">
        <f aca="false">IF($D41&lt;&gt;1,"",IF($G41="ROKS",$M41+$Q41,IF($AI41=1,0,MAX($O41,$M41-$Q41))))</f>
        <v>0</v>
      </c>
      <c r="T41" s="14" t="n">
        <f aca="false">IF($D41&lt;&gt;1,"",IF($AI41=1,0,MAX($J41,ROUNDUP(MAX($R41/$H41,$S41/$I41),0))))</f>
        <v>0</v>
      </c>
      <c r="U41" s="14" t="n">
        <f aca="false">IF($D41&lt;&gt;1,"",IF(p_mode="Nœud",$T41*$H41,$R41))</f>
        <v>0</v>
      </c>
      <c r="V41" s="14" t="n">
        <f aca="false">IF($D41&lt;&gt;1,"",IF(p_mode="Nœud",$T41*$I41,$S41))</f>
        <v>0</v>
      </c>
      <c r="W41" s="84" t="n">
        <f aca="false">IF($D41&lt;&gt;1,"",IF(p_mode="Nœud",$T41*$K41,$R41*IF($G41="IKS",p_iks_cpu,p_roks_cpu)+$S41*IF($G41="IKS",p_iks_ram,p_roks_ram))*p_facteur)</f>
        <v>0</v>
      </c>
      <c r="X41" s="14" t="n">
        <f aca="false">IF($D41&lt;&gt;1,"",IF($G41="ROKS",$R41,IF($AI41=1,0,MAX($N41,$L41-SUMIFS(TblApplications[CPU IKS libérable (vCPU)],TblApplications[Cluster IKS source],$F41,TblApplications[Action],"À migrer",TblApplications[Mois prov (calc)],"&lt;="&amp;$E41)-SUMIFS(TblApplications[CPU IKS libérable (vCPU)],TblApplications[Cluster IKS source],$F41,TblApplications[Action],"À décommissionner",TblApplications[Mois lib (calc)],"&lt;="&amp;$E41)))))</f>
        <v>0</v>
      </c>
      <c r="Y41" s="14" t="n">
        <f aca="false">IF($D41&lt;&gt;1,"",IF($G41="ROKS",$S41,IF($AI41=1,0,MAX($O41,$M41-SUMIFS(TblApplications[RAM IKS libérable (Go)],TblApplications[Cluster IKS source],$F41,TblApplications[Action],"À migrer",TblApplications[Mois prov (calc)],"&lt;="&amp;$E41)-SUMIFS(TblApplications[RAM IKS libérable (Go)],TblApplications[Cluster IKS source],$F41,TblApplications[Action],"À décommissionner",TblApplications[Mois lib (calc)],"&lt;="&amp;$E41)))))</f>
        <v>0</v>
      </c>
      <c r="Z41" s="14" t="n">
        <f aca="false">IF($D41&lt;&gt;1,"",IF($AI41=1,0,MAX($J41,ROUNDUP(MAX($X41/$H41,$Y41/$I41),0))))</f>
        <v>0</v>
      </c>
      <c r="AA41" s="84" t="n">
        <f aca="false">IF($D41&lt;&gt;1,"",IF(p_mode="Nœud",$Z41*$K41,$X41*IF($G41="IKS",p_iks_cpu,p_roks_cpu)+$Y41*IF($G41="IKS",p_iks_ram,p_roks_ram))*p_facteur)</f>
        <v>0</v>
      </c>
      <c r="AB41" s="14" t="n">
        <f aca="false">IF($D41&lt;&gt;1,"",MAX($J41,ROUNDUP(MAX($L41/$H41,$M41/$I41),0)))</f>
        <v>18</v>
      </c>
      <c r="AC41" s="84" t="n">
        <f aca="false">IF($D41&lt;&gt;1,"",IF(p_mode="Nœud",$AB41*$K41,$L41*IF($G41="IKS",p_iks_cpu,p_roks_cpu)+$M41*IF($G41="IKS",p_iks_ram,p_roks_ram))*p_facteur)</f>
        <v>19116</v>
      </c>
      <c r="AD41" s="14" t="n">
        <f aca="false">IF($D41&lt;&gt;1,"",IF(AND($G41="IKS",$AI41&lt;&gt;1,OR($L41-$P41&lt;$N41,$M41-$Q41&lt;$O41)),1,0))</f>
        <v>0</v>
      </c>
      <c r="AE41" s="14" t="n">
        <f aca="false">IF($D41&lt;&gt;1,"",IF(AND($G41="ROKS",$T41&gt;p_maxworkers),1,0))</f>
        <v>0</v>
      </c>
      <c r="AF41" s="14" t="str">
        <f aca="false">IF($D41&lt;&gt;1,"",IF(INDEX(TblClusters[Environnement],$B41)="","(vide)",INDEX(TblClusters[Environnement],$B41)))</f>
        <v>PRD</v>
      </c>
      <c r="AG41" s="14" t="n">
        <f aca="false">IF($D41&lt;&gt;1,"",$R41+p_poidsram*$S41)</f>
        <v>0</v>
      </c>
      <c r="AH41" s="14" t="n">
        <f aca="false">IF($D41&lt;&gt;1,"",IFERROR($W41/$AG41,0))</f>
        <v>0</v>
      </c>
      <c r="AI41" s="14" t="n">
        <f aca="false">IF($D41&lt;&gt;1,"",IF(AND($G41="IKS",ISNUMBER(INDEX(TblClusters[Fermeture retenue],$B41))),IF($E41&gt;=INDEX(TblClusters[Fermeture retenue],$B41),1,0),0))</f>
        <v>1</v>
      </c>
    </row>
    <row r="42" customFormat="false" ht="15" hidden="false" customHeight="false" outlineLevel="0" collapsed="false">
      <c r="A42" s="14" t="n">
        <v>37</v>
      </c>
      <c r="B42" s="14" t="n">
        <f aca="false">INT(($A42-1)/36)+1</f>
        <v>2</v>
      </c>
      <c r="C42" s="14" t="n">
        <f aca="false">MOD($A42-1,36)+1</f>
        <v>1</v>
      </c>
      <c r="D42" s="14" t="n">
        <f aca="false">IF($C42&gt;p_horizon,0,IFERROR(IF(AND(INDEX(TblClusters[Cluster],$B42)&lt;&gt;"",ISNUMBER(INDEX(TblClusters[CPU initial (vCPU)],$B42)),ISNUMBER(INDEX(TblClusters[CPU min (vCPU)],$B42)),OR(INDEX(TblClusters[Plateforme],$B42)="IKS",INDEX(TblClusters[Plateforme],$B42)="ROKS")),1,0),0))</f>
        <v>1</v>
      </c>
      <c r="E42" s="83" t="n">
        <f aca="false">IF($D42=1,EDATE(p_debut,$C42-1),"")</f>
        <v>46296</v>
      </c>
      <c r="F42" s="14" t="str">
        <f aca="false">IF($D42=1,INDEX(TblClusters[Cluster],$B42),"")</f>
        <v>IKS-NPR-01</v>
      </c>
      <c r="G42" s="14" t="str">
        <f aca="false">IF($D42=1,INDEX(TblClusters[Plateforme],$B42),"")</f>
        <v>IKS</v>
      </c>
      <c r="H42" s="14" t="n">
        <f aca="false">IF($D42=1,INDEX(TblClusters[vCPU par nœud],$B42),"")</f>
        <v>16</v>
      </c>
      <c r="I42" s="14" t="n">
        <f aca="false">IF($D42=1,INDEX(TblClusters[RAM par nœud (Go)],$B42),"")</f>
        <v>64</v>
      </c>
      <c r="J42" s="14" t="n">
        <f aca="false">IF($D42=1,INDEX(TblClusters[Workers min],$B42),"")</f>
        <v>3</v>
      </c>
      <c r="K42" s="84" t="n">
        <f aca="false">IF($D42=1,INDEX(TblClusters[Tarif par nœud],$B42),"")</f>
        <v>531</v>
      </c>
      <c r="L42" s="14" t="n">
        <f aca="false">IF($D42=1,INDEX(TblClusters[CPU initial (vCPU)],$B42),"")</f>
        <v>320</v>
      </c>
      <c r="M42" s="14" t="n">
        <f aca="false">IF($D42=1,INDEX(TblClusters[RAM initiale (Go)],$B42),"")</f>
        <v>1280</v>
      </c>
      <c r="N42" s="14" t="n">
        <f aca="false">IF($D42=1,INDEX(TblClusters[CPU min (vCPU)],$B42),"")</f>
        <v>48</v>
      </c>
      <c r="O42" s="14" t="n">
        <f aca="false">IF($D42=1,INDEX(TblClusters[RAM min (Go)],$B42),"")</f>
        <v>192</v>
      </c>
      <c r="P42" s="14" t="n">
        <f aca="false">IF($D42&lt;&gt;1,"",IF($G42="ROKS",SUMIFS(TblApplications[Besoin ROKS CPU (vCPU)],TblApplications[Cluster ROKS cible],$F42,TblApplications[Action],"À migrer",TblApplications[Déjà incluse ROKS],"Non",TblApplications[Mois prov (calc)],"&lt;="&amp;$E42),SUMIFS(TblApplications[CPU IKS libérable (vCPU)],TblApplications[Cluster IKS source],$F42,TblApplications[Mois lib (calc)],"&lt;="&amp;$E42)))</f>
        <v>0</v>
      </c>
      <c r="Q42" s="14" t="n">
        <f aca="false">IF($D42&lt;&gt;1,"",IF($G42="ROKS",SUMIFS(TblApplications[Besoin ROKS RAM (Go)],TblApplications[Cluster ROKS cible],$F42,TblApplications[Action],"À migrer",TblApplications[Déjà incluse ROKS],"Non",TblApplications[Mois prov (calc)],"&lt;="&amp;$E42),SUMIFS(TblApplications[RAM IKS libérable (Go)],TblApplications[Cluster IKS source],$F42,TblApplications[Mois lib (calc)],"&lt;="&amp;$E42)))</f>
        <v>0</v>
      </c>
      <c r="R42" s="14" t="n">
        <f aca="false">IF($D42&lt;&gt;1,"",IF($G42="ROKS",$L42+$P42,IF($AI42=1,0,MAX($N42,$L42-$P42))))</f>
        <v>320</v>
      </c>
      <c r="S42" s="14" t="n">
        <f aca="false">IF($D42&lt;&gt;1,"",IF($G42="ROKS",$M42+$Q42,IF($AI42=1,0,MAX($O42,$M42-$Q42))))</f>
        <v>1280</v>
      </c>
      <c r="T42" s="14" t="n">
        <f aca="false">IF($D42&lt;&gt;1,"",IF($AI42=1,0,MAX($J42,ROUNDUP(MAX($R42/$H42,$S42/$I42),0))))</f>
        <v>20</v>
      </c>
      <c r="U42" s="14" t="n">
        <f aca="false">IF($D42&lt;&gt;1,"",IF(p_mode="Nœud",$T42*$H42,$R42))</f>
        <v>320</v>
      </c>
      <c r="V42" s="14" t="n">
        <f aca="false">IF($D42&lt;&gt;1,"",IF(p_mode="Nœud",$T42*$I42,$S42))</f>
        <v>1280</v>
      </c>
      <c r="W42" s="84" t="n">
        <f aca="false">IF($D42&lt;&gt;1,"",IF(p_mode="Nœud",$T42*$K42,$R42*IF($G42="IKS",p_iks_cpu,p_roks_cpu)+$S42*IF($G42="IKS",p_iks_ram,p_roks_ram))*p_facteur)</f>
        <v>10620</v>
      </c>
      <c r="X42" s="14" t="n">
        <f aca="false">IF($D42&lt;&gt;1,"",IF($G42="ROKS",$R42,IF($AI42=1,0,MAX($N42,$L42-SUMIFS(TblApplications[CPU IKS libérable (vCPU)],TblApplications[Cluster IKS source],$F42,TblApplications[Action],"À migrer",TblApplications[Mois prov (calc)],"&lt;="&amp;$E42)-SUMIFS(TblApplications[CPU IKS libérable (vCPU)],TblApplications[Cluster IKS source],$F42,TblApplications[Action],"À décommissionner",TblApplications[Mois lib (calc)],"&lt;="&amp;$E42)))))</f>
        <v>320</v>
      </c>
      <c r="Y42" s="14" t="n">
        <f aca="false">IF($D42&lt;&gt;1,"",IF($G42="ROKS",$S42,IF($AI42=1,0,MAX($O42,$M42-SUMIFS(TblApplications[RAM IKS libérable (Go)],TblApplications[Cluster IKS source],$F42,TblApplications[Action],"À migrer",TblApplications[Mois prov (calc)],"&lt;="&amp;$E42)-SUMIFS(TblApplications[RAM IKS libérable (Go)],TblApplications[Cluster IKS source],$F42,TblApplications[Action],"À décommissionner",TblApplications[Mois lib (calc)],"&lt;="&amp;$E42)))))</f>
        <v>1280</v>
      </c>
      <c r="Z42" s="14" t="n">
        <f aca="false">IF($D42&lt;&gt;1,"",IF($AI42=1,0,MAX($J42,ROUNDUP(MAX($X42/$H42,$Y42/$I42),0))))</f>
        <v>20</v>
      </c>
      <c r="AA42" s="84" t="n">
        <f aca="false">IF($D42&lt;&gt;1,"",IF(p_mode="Nœud",$Z42*$K42,$X42*IF($G42="IKS",p_iks_cpu,p_roks_cpu)+$Y42*IF($G42="IKS",p_iks_ram,p_roks_ram))*p_facteur)</f>
        <v>10620</v>
      </c>
      <c r="AB42" s="14" t="n">
        <f aca="false">IF($D42&lt;&gt;1,"",MAX($J42,ROUNDUP(MAX($L42/$H42,$M42/$I42),0)))</f>
        <v>20</v>
      </c>
      <c r="AC42" s="84" t="n">
        <f aca="false">IF($D42&lt;&gt;1,"",IF(p_mode="Nœud",$AB42*$K42,$L42*IF($G42="IKS",p_iks_cpu,p_roks_cpu)+$M42*IF($G42="IKS",p_iks_ram,p_roks_ram))*p_facteur)</f>
        <v>10620</v>
      </c>
      <c r="AD42" s="14" t="n">
        <f aca="false">IF($D42&lt;&gt;1,"",IF(AND($G42="IKS",$AI42&lt;&gt;1,OR($L42-$P42&lt;$N42,$M42-$Q42&lt;$O42)),1,0))</f>
        <v>0</v>
      </c>
      <c r="AE42" s="14" t="n">
        <f aca="false">IF($D42&lt;&gt;1,"",IF(AND($G42="ROKS",$T42&gt;p_maxworkers),1,0))</f>
        <v>0</v>
      </c>
      <c r="AF42" s="14" t="str">
        <f aca="false">IF($D42&lt;&gt;1,"",IF(INDEX(TblClusters[Environnement],$B42)="","(vide)",INDEX(TblClusters[Environnement],$B42)))</f>
        <v>NPRD</v>
      </c>
      <c r="AG42" s="14" t="n">
        <f aca="false">IF($D42&lt;&gt;1,"",$R42+p_poidsram*$S42)</f>
        <v>448</v>
      </c>
      <c r="AH42" s="14" t="n">
        <f aca="false">IF($D42&lt;&gt;1,"",IFERROR($W42/$AG42,0))</f>
        <v>23.7053571428571</v>
      </c>
      <c r="AI42" s="14" t="n">
        <f aca="false">IF($D42&lt;&gt;1,"",IF(AND($G42="IKS",ISNUMBER(INDEX(TblClusters[Fermeture retenue],$B42))),IF($E42&gt;=INDEX(TblClusters[Fermeture retenue],$B42),1,0),0))</f>
        <v>0</v>
      </c>
    </row>
    <row r="43" customFormat="false" ht="15" hidden="false" customHeight="false" outlineLevel="0" collapsed="false">
      <c r="A43" s="14" t="n">
        <v>38</v>
      </c>
      <c r="B43" s="14" t="n">
        <f aca="false">INT(($A43-1)/36)+1</f>
        <v>2</v>
      </c>
      <c r="C43" s="14" t="n">
        <f aca="false">MOD($A43-1,36)+1</f>
        <v>2</v>
      </c>
      <c r="D43" s="14" t="n">
        <f aca="false">IF($C43&gt;p_horizon,0,IFERROR(IF(AND(INDEX(TblClusters[Cluster],$B43)&lt;&gt;"",ISNUMBER(INDEX(TblClusters[CPU initial (vCPU)],$B43)),ISNUMBER(INDEX(TblClusters[CPU min (vCPU)],$B43)),OR(INDEX(TblClusters[Plateforme],$B43)="IKS",INDEX(TblClusters[Plateforme],$B43)="ROKS")),1,0),0))</f>
        <v>1</v>
      </c>
      <c r="E43" s="83" t="n">
        <f aca="false">IF($D43=1,EDATE(p_debut,$C43-1),"")</f>
        <v>46327</v>
      </c>
      <c r="F43" s="14" t="str">
        <f aca="false">IF($D43=1,INDEX(TblClusters[Cluster],$B43),"")</f>
        <v>IKS-NPR-01</v>
      </c>
      <c r="G43" s="14" t="str">
        <f aca="false">IF($D43=1,INDEX(TblClusters[Plateforme],$B43),"")</f>
        <v>IKS</v>
      </c>
      <c r="H43" s="14" t="n">
        <f aca="false">IF($D43=1,INDEX(TblClusters[vCPU par nœud],$B43),"")</f>
        <v>16</v>
      </c>
      <c r="I43" s="14" t="n">
        <f aca="false">IF($D43=1,INDEX(TblClusters[RAM par nœud (Go)],$B43),"")</f>
        <v>64</v>
      </c>
      <c r="J43" s="14" t="n">
        <f aca="false">IF($D43=1,INDEX(TblClusters[Workers min],$B43),"")</f>
        <v>3</v>
      </c>
      <c r="K43" s="84" t="n">
        <f aca="false">IF($D43=1,INDEX(TblClusters[Tarif par nœud],$B43),"")</f>
        <v>531</v>
      </c>
      <c r="L43" s="14" t="n">
        <f aca="false">IF($D43=1,INDEX(TblClusters[CPU initial (vCPU)],$B43),"")</f>
        <v>320</v>
      </c>
      <c r="M43" s="14" t="n">
        <f aca="false">IF($D43=1,INDEX(TblClusters[RAM initiale (Go)],$B43),"")</f>
        <v>1280</v>
      </c>
      <c r="N43" s="14" t="n">
        <f aca="false">IF($D43=1,INDEX(TblClusters[CPU min (vCPU)],$B43),"")</f>
        <v>48</v>
      </c>
      <c r="O43" s="14" t="n">
        <f aca="false">IF($D43=1,INDEX(TblClusters[RAM min (Go)],$B43),"")</f>
        <v>192</v>
      </c>
      <c r="P43" s="14" t="n">
        <f aca="false">IF($D43&lt;&gt;1,"",IF($G43="ROKS",SUMIFS(TblApplications[Besoin ROKS CPU (vCPU)],TblApplications[Cluster ROKS cible],$F43,TblApplications[Action],"À migrer",TblApplications[Déjà incluse ROKS],"Non",TblApplications[Mois prov (calc)],"&lt;="&amp;$E43),SUMIFS(TblApplications[CPU IKS libérable (vCPU)],TblApplications[Cluster IKS source],$F43,TblApplications[Mois lib (calc)],"&lt;="&amp;$E43)))</f>
        <v>0</v>
      </c>
      <c r="Q43" s="14" t="n">
        <f aca="false">IF($D43&lt;&gt;1,"",IF($G43="ROKS",SUMIFS(TblApplications[Besoin ROKS RAM (Go)],TblApplications[Cluster ROKS cible],$F43,TblApplications[Action],"À migrer",TblApplications[Déjà incluse ROKS],"Non",TblApplications[Mois prov (calc)],"&lt;="&amp;$E43),SUMIFS(TblApplications[RAM IKS libérable (Go)],TblApplications[Cluster IKS source],$F43,TblApplications[Mois lib (calc)],"&lt;="&amp;$E43)))</f>
        <v>0</v>
      </c>
      <c r="R43" s="14" t="n">
        <f aca="false">IF($D43&lt;&gt;1,"",IF($G43="ROKS",$L43+$P43,IF($AI43=1,0,MAX($N43,$L43-$P43))))</f>
        <v>320</v>
      </c>
      <c r="S43" s="14" t="n">
        <f aca="false">IF($D43&lt;&gt;1,"",IF($G43="ROKS",$M43+$Q43,IF($AI43=1,0,MAX($O43,$M43-$Q43))))</f>
        <v>1280</v>
      </c>
      <c r="T43" s="14" t="n">
        <f aca="false">IF($D43&lt;&gt;1,"",IF($AI43=1,0,MAX($J43,ROUNDUP(MAX($R43/$H43,$S43/$I43),0))))</f>
        <v>20</v>
      </c>
      <c r="U43" s="14" t="n">
        <f aca="false">IF($D43&lt;&gt;1,"",IF(p_mode="Nœud",$T43*$H43,$R43))</f>
        <v>320</v>
      </c>
      <c r="V43" s="14" t="n">
        <f aca="false">IF($D43&lt;&gt;1,"",IF(p_mode="Nœud",$T43*$I43,$S43))</f>
        <v>1280</v>
      </c>
      <c r="W43" s="84" t="n">
        <f aca="false">IF($D43&lt;&gt;1,"",IF(p_mode="Nœud",$T43*$K43,$R43*IF($G43="IKS",p_iks_cpu,p_roks_cpu)+$S43*IF($G43="IKS",p_iks_ram,p_roks_ram))*p_facteur)</f>
        <v>10620</v>
      </c>
      <c r="X43" s="14" t="n">
        <f aca="false">IF($D43&lt;&gt;1,"",IF($G43="ROKS",$R43,IF($AI43=1,0,MAX($N43,$L43-SUMIFS(TblApplications[CPU IKS libérable (vCPU)],TblApplications[Cluster IKS source],$F43,TblApplications[Action],"À migrer",TblApplications[Mois prov (calc)],"&lt;="&amp;$E43)-SUMIFS(TblApplications[CPU IKS libérable (vCPU)],TblApplications[Cluster IKS source],$F43,TblApplications[Action],"À décommissionner",TblApplications[Mois lib (calc)],"&lt;="&amp;$E43)))))</f>
        <v>320</v>
      </c>
      <c r="Y43" s="14" t="n">
        <f aca="false">IF($D43&lt;&gt;1,"",IF($G43="ROKS",$S43,IF($AI43=1,0,MAX($O43,$M43-SUMIFS(TblApplications[RAM IKS libérable (Go)],TblApplications[Cluster IKS source],$F43,TblApplications[Action],"À migrer",TblApplications[Mois prov (calc)],"&lt;="&amp;$E43)-SUMIFS(TblApplications[RAM IKS libérable (Go)],TblApplications[Cluster IKS source],$F43,TblApplications[Action],"À décommissionner",TblApplications[Mois lib (calc)],"&lt;="&amp;$E43)))))</f>
        <v>1280</v>
      </c>
      <c r="Z43" s="14" t="n">
        <f aca="false">IF($D43&lt;&gt;1,"",IF($AI43=1,0,MAX($J43,ROUNDUP(MAX($X43/$H43,$Y43/$I43),0))))</f>
        <v>20</v>
      </c>
      <c r="AA43" s="84" t="n">
        <f aca="false">IF($D43&lt;&gt;1,"",IF(p_mode="Nœud",$Z43*$K43,$X43*IF($G43="IKS",p_iks_cpu,p_roks_cpu)+$Y43*IF($G43="IKS",p_iks_ram,p_roks_ram))*p_facteur)</f>
        <v>10620</v>
      </c>
      <c r="AB43" s="14" t="n">
        <f aca="false">IF($D43&lt;&gt;1,"",MAX($J43,ROUNDUP(MAX($L43/$H43,$M43/$I43),0)))</f>
        <v>20</v>
      </c>
      <c r="AC43" s="84" t="n">
        <f aca="false">IF($D43&lt;&gt;1,"",IF(p_mode="Nœud",$AB43*$K43,$L43*IF($G43="IKS",p_iks_cpu,p_roks_cpu)+$M43*IF($G43="IKS",p_iks_ram,p_roks_ram))*p_facteur)</f>
        <v>10620</v>
      </c>
      <c r="AD43" s="14" t="n">
        <f aca="false">IF($D43&lt;&gt;1,"",IF(AND($G43="IKS",$AI43&lt;&gt;1,OR($L43-$P43&lt;$N43,$M43-$Q43&lt;$O43)),1,0))</f>
        <v>0</v>
      </c>
      <c r="AE43" s="14" t="n">
        <f aca="false">IF($D43&lt;&gt;1,"",IF(AND($G43="ROKS",$T43&gt;p_maxworkers),1,0))</f>
        <v>0</v>
      </c>
      <c r="AF43" s="14" t="str">
        <f aca="false">IF($D43&lt;&gt;1,"",IF(INDEX(TblClusters[Environnement],$B43)="","(vide)",INDEX(TblClusters[Environnement],$B43)))</f>
        <v>NPRD</v>
      </c>
      <c r="AG43" s="14" t="n">
        <f aca="false">IF($D43&lt;&gt;1,"",$R43+p_poidsram*$S43)</f>
        <v>448</v>
      </c>
      <c r="AH43" s="14" t="n">
        <f aca="false">IF($D43&lt;&gt;1,"",IFERROR($W43/$AG43,0))</f>
        <v>23.7053571428571</v>
      </c>
      <c r="AI43" s="14" t="n">
        <f aca="false">IF($D43&lt;&gt;1,"",IF(AND($G43="IKS",ISNUMBER(INDEX(TblClusters[Fermeture retenue],$B43))),IF($E43&gt;=INDEX(TblClusters[Fermeture retenue],$B43),1,0),0))</f>
        <v>0</v>
      </c>
    </row>
    <row r="44" customFormat="false" ht="15" hidden="false" customHeight="false" outlineLevel="0" collapsed="false">
      <c r="A44" s="14" t="n">
        <v>39</v>
      </c>
      <c r="B44" s="14" t="n">
        <f aca="false">INT(($A44-1)/36)+1</f>
        <v>2</v>
      </c>
      <c r="C44" s="14" t="n">
        <f aca="false">MOD($A44-1,36)+1</f>
        <v>3</v>
      </c>
      <c r="D44" s="14" t="n">
        <f aca="false">IF($C44&gt;p_horizon,0,IFERROR(IF(AND(INDEX(TblClusters[Cluster],$B44)&lt;&gt;"",ISNUMBER(INDEX(TblClusters[CPU initial (vCPU)],$B44)),ISNUMBER(INDEX(TblClusters[CPU min (vCPU)],$B44)),OR(INDEX(TblClusters[Plateforme],$B44)="IKS",INDEX(TblClusters[Plateforme],$B44)="ROKS")),1,0),0))</f>
        <v>1</v>
      </c>
      <c r="E44" s="83" t="n">
        <f aca="false">IF($D44=1,EDATE(p_debut,$C44-1),"")</f>
        <v>46357</v>
      </c>
      <c r="F44" s="14" t="str">
        <f aca="false">IF($D44=1,INDEX(TblClusters[Cluster],$B44),"")</f>
        <v>IKS-NPR-01</v>
      </c>
      <c r="G44" s="14" t="str">
        <f aca="false">IF($D44=1,INDEX(TblClusters[Plateforme],$B44),"")</f>
        <v>IKS</v>
      </c>
      <c r="H44" s="14" t="n">
        <f aca="false">IF($D44=1,INDEX(TblClusters[vCPU par nœud],$B44),"")</f>
        <v>16</v>
      </c>
      <c r="I44" s="14" t="n">
        <f aca="false">IF($D44=1,INDEX(TblClusters[RAM par nœud (Go)],$B44),"")</f>
        <v>64</v>
      </c>
      <c r="J44" s="14" t="n">
        <f aca="false">IF($D44=1,INDEX(TblClusters[Workers min],$B44),"")</f>
        <v>3</v>
      </c>
      <c r="K44" s="84" t="n">
        <f aca="false">IF($D44=1,INDEX(TblClusters[Tarif par nœud],$B44),"")</f>
        <v>531</v>
      </c>
      <c r="L44" s="14" t="n">
        <f aca="false">IF($D44=1,INDEX(TblClusters[CPU initial (vCPU)],$B44),"")</f>
        <v>320</v>
      </c>
      <c r="M44" s="14" t="n">
        <f aca="false">IF($D44=1,INDEX(TblClusters[RAM initiale (Go)],$B44),"")</f>
        <v>1280</v>
      </c>
      <c r="N44" s="14" t="n">
        <f aca="false">IF($D44=1,INDEX(TblClusters[CPU min (vCPU)],$B44),"")</f>
        <v>48</v>
      </c>
      <c r="O44" s="14" t="n">
        <f aca="false">IF($D44=1,INDEX(TblClusters[RAM min (Go)],$B44),"")</f>
        <v>192</v>
      </c>
      <c r="P44" s="14" t="n">
        <f aca="false">IF($D44&lt;&gt;1,"",IF($G44="ROKS",SUMIFS(TblApplications[Besoin ROKS CPU (vCPU)],TblApplications[Cluster ROKS cible],$F44,TblApplications[Action],"À migrer",TblApplications[Déjà incluse ROKS],"Non",TblApplications[Mois prov (calc)],"&lt;="&amp;$E44),SUMIFS(TblApplications[CPU IKS libérable (vCPU)],TblApplications[Cluster IKS source],$F44,TblApplications[Mois lib (calc)],"&lt;="&amp;$E44)))</f>
        <v>0</v>
      </c>
      <c r="Q44" s="14" t="n">
        <f aca="false">IF($D44&lt;&gt;1,"",IF($G44="ROKS",SUMIFS(TblApplications[Besoin ROKS RAM (Go)],TblApplications[Cluster ROKS cible],$F44,TblApplications[Action],"À migrer",TblApplications[Déjà incluse ROKS],"Non",TblApplications[Mois prov (calc)],"&lt;="&amp;$E44),SUMIFS(TblApplications[RAM IKS libérable (Go)],TblApplications[Cluster IKS source],$F44,TblApplications[Mois lib (calc)],"&lt;="&amp;$E44)))</f>
        <v>0</v>
      </c>
      <c r="R44" s="14" t="n">
        <f aca="false">IF($D44&lt;&gt;1,"",IF($G44="ROKS",$L44+$P44,IF($AI44=1,0,MAX($N44,$L44-$P44))))</f>
        <v>320</v>
      </c>
      <c r="S44" s="14" t="n">
        <f aca="false">IF($D44&lt;&gt;1,"",IF($G44="ROKS",$M44+$Q44,IF($AI44=1,0,MAX($O44,$M44-$Q44))))</f>
        <v>1280</v>
      </c>
      <c r="T44" s="14" t="n">
        <f aca="false">IF($D44&lt;&gt;1,"",IF($AI44=1,0,MAX($J44,ROUNDUP(MAX($R44/$H44,$S44/$I44),0))))</f>
        <v>20</v>
      </c>
      <c r="U44" s="14" t="n">
        <f aca="false">IF($D44&lt;&gt;1,"",IF(p_mode="Nœud",$T44*$H44,$R44))</f>
        <v>320</v>
      </c>
      <c r="V44" s="14" t="n">
        <f aca="false">IF($D44&lt;&gt;1,"",IF(p_mode="Nœud",$T44*$I44,$S44))</f>
        <v>1280</v>
      </c>
      <c r="W44" s="84" t="n">
        <f aca="false">IF($D44&lt;&gt;1,"",IF(p_mode="Nœud",$T44*$K44,$R44*IF($G44="IKS",p_iks_cpu,p_roks_cpu)+$S44*IF($G44="IKS",p_iks_ram,p_roks_ram))*p_facteur)</f>
        <v>10620</v>
      </c>
      <c r="X44" s="14" t="n">
        <f aca="false">IF($D44&lt;&gt;1,"",IF($G44="ROKS",$R44,IF($AI44=1,0,MAX($N44,$L44-SUMIFS(TblApplications[CPU IKS libérable (vCPU)],TblApplications[Cluster IKS source],$F44,TblApplications[Action],"À migrer",TblApplications[Mois prov (calc)],"&lt;="&amp;$E44)-SUMIFS(TblApplications[CPU IKS libérable (vCPU)],TblApplications[Cluster IKS source],$F44,TblApplications[Action],"À décommissionner",TblApplications[Mois lib (calc)],"&lt;="&amp;$E44)))))</f>
        <v>320</v>
      </c>
      <c r="Y44" s="14" t="n">
        <f aca="false">IF($D44&lt;&gt;1,"",IF($G44="ROKS",$S44,IF($AI44=1,0,MAX($O44,$M44-SUMIFS(TblApplications[RAM IKS libérable (Go)],TblApplications[Cluster IKS source],$F44,TblApplications[Action],"À migrer",TblApplications[Mois prov (calc)],"&lt;="&amp;$E44)-SUMIFS(TblApplications[RAM IKS libérable (Go)],TblApplications[Cluster IKS source],$F44,TblApplications[Action],"À décommissionner",TblApplications[Mois lib (calc)],"&lt;="&amp;$E44)))))</f>
        <v>1280</v>
      </c>
      <c r="Z44" s="14" t="n">
        <f aca="false">IF($D44&lt;&gt;1,"",IF($AI44=1,0,MAX($J44,ROUNDUP(MAX($X44/$H44,$Y44/$I44),0))))</f>
        <v>20</v>
      </c>
      <c r="AA44" s="84" t="n">
        <f aca="false">IF($D44&lt;&gt;1,"",IF(p_mode="Nœud",$Z44*$K44,$X44*IF($G44="IKS",p_iks_cpu,p_roks_cpu)+$Y44*IF($G44="IKS",p_iks_ram,p_roks_ram))*p_facteur)</f>
        <v>10620</v>
      </c>
      <c r="AB44" s="14" t="n">
        <f aca="false">IF($D44&lt;&gt;1,"",MAX($J44,ROUNDUP(MAX($L44/$H44,$M44/$I44),0)))</f>
        <v>20</v>
      </c>
      <c r="AC44" s="84" t="n">
        <f aca="false">IF($D44&lt;&gt;1,"",IF(p_mode="Nœud",$AB44*$K44,$L44*IF($G44="IKS",p_iks_cpu,p_roks_cpu)+$M44*IF($G44="IKS",p_iks_ram,p_roks_ram))*p_facteur)</f>
        <v>10620</v>
      </c>
      <c r="AD44" s="14" t="n">
        <f aca="false">IF($D44&lt;&gt;1,"",IF(AND($G44="IKS",$AI44&lt;&gt;1,OR($L44-$P44&lt;$N44,$M44-$Q44&lt;$O44)),1,0))</f>
        <v>0</v>
      </c>
      <c r="AE44" s="14" t="n">
        <f aca="false">IF($D44&lt;&gt;1,"",IF(AND($G44="ROKS",$T44&gt;p_maxworkers),1,0))</f>
        <v>0</v>
      </c>
      <c r="AF44" s="14" t="str">
        <f aca="false">IF($D44&lt;&gt;1,"",IF(INDEX(TblClusters[Environnement],$B44)="","(vide)",INDEX(TblClusters[Environnement],$B44)))</f>
        <v>NPRD</v>
      </c>
      <c r="AG44" s="14" t="n">
        <f aca="false">IF($D44&lt;&gt;1,"",$R44+p_poidsram*$S44)</f>
        <v>448</v>
      </c>
      <c r="AH44" s="14" t="n">
        <f aca="false">IF($D44&lt;&gt;1,"",IFERROR($W44/$AG44,0))</f>
        <v>23.7053571428571</v>
      </c>
      <c r="AI44" s="14" t="n">
        <f aca="false">IF($D44&lt;&gt;1,"",IF(AND($G44="IKS",ISNUMBER(INDEX(TblClusters[Fermeture retenue],$B44))),IF($E44&gt;=INDEX(TblClusters[Fermeture retenue],$B44),1,0),0))</f>
        <v>0</v>
      </c>
    </row>
    <row r="45" customFormat="false" ht="15" hidden="false" customHeight="false" outlineLevel="0" collapsed="false">
      <c r="A45" s="14" t="n">
        <v>40</v>
      </c>
      <c r="B45" s="14" t="n">
        <f aca="false">INT(($A45-1)/36)+1</f>
        <v>2</v>
      </c>
      <c r="C45" s="14" t="n">
        <f aca="false">MOD($A45-1,36)+1</f>
        <v>4</v>
      </c>
      <c r="D45" s="14" t="n">
        <f aca="false">IF($C45&gt;p_horizon,0,IFERROR(IF(AND(INDEX(TblClusters[Cluster],$B45)&lt;&gt;"",ISNUMBER(INDEX(TblClusters[CPU initial (vCPU)],$B45)),ISNUMBER(INDEX(TblClusters[CPU min (vCPU)],$B45)),OR(INDEX(TblClusters[Plateforme],$B45)="IKS",INDEX(TblClusters[Plateforme],$B45)="ROKS")),1,0),0))</f>
        <v>1</v>
      </c>
      <c r="E45" s="83" t="n">
        <f aca="false">IF($D45=1,EDATE(p_debut,$C45-1),"")</f>
        <v>46388</v>
      </c>
      <c r="F45" s="14" t="str">
        <f aca="false">IF($D45=1,INDEX(TblClusters[Cluster],$B45),"")</f>
        <v>IKS-NPR-01</v>
      </c>
      <c r="G45" s="14" t="str">
        <f aca="false">IF($D45=1,INDEX(TblClusters[Plateforme],$B45),"")</f>
        <v>IKS</v>
      </c>
      <c r="H45" s="14" t="n">
        <f aca="false">IF($D45=1,INDEX(TblClusters[vCPU par nœud],$B45),"")</f>
        <v>16</v>
      </c>
      <c r="I45" s="14" t="n">
        <f aca="false">IF($D45=1,INDEX(TblClusters[RAM par nœud (Go)],$B45),"")</f>
        <v>64</v>
      </c>
      <c r="J45" s="14" t="n">
        <f aca="false">IF($D45=1,INDEX(TblClusters[Workers min],$B45),"")</f>
        <v>3</v>
      </c>
      <c r="K45" s="84" t="n">
        <f aca="false">IF($D45=1,INDEX(TblClusters[Tarif par nœud],$B45),"")</f>
        <v>531</v>
      </c>
      <c r="L45" s="14" t="n">
        <f aca="false">IF($D45=1,INDEX(TblClusters[CPU initial (vCPU)],$B45),"")</f>
        <v>320</v>
      </c>
      <c r="M45" s="14" t="n">
        <f aca="false">IF($D45=1,INDEX(TblClusters[RAM initiale (Go)],$B45),"")</f>
        <v>1280</v>
      </c>
      <c r="N45" s="14" t="n">
        <f aca="false">IF($D45=1,INDEX(TblClusters[CPU min (vCPU)],$B45),"")</f>
        <v>48</v>
      </c>
      <c r="O45" s="14" t="n">
        <f aca="false">IF($D45=1,INDEX(TblClusters[RAM min (Go)],$B45),"")</f>
        <v>192</v>
      </c>
      <c r="P45" s="14" t="n">
        <f aca="false">IF($D45&lt;&gt;1,"",IF($G45="ROKS",SUMIFS(TblApplications[Besoin ROKS CPU (vCPU)],TblApplications[Cluster ROKS cible],$F45,TblApplications[Action],"À migrer",TblApplications[Déjà incluse ROKS],"Non",TblApplications[Mois prov (calc)],"&lt;="&amp;$E45),SUMIFS(TblApplications[CPU IKS libérable (vCPU)],TblApplications[Cluster IKS source],$F45,TblApplications[Mois lib (calc)],"&lt;="&amp;$E45)))</f>
        <v>0</v>
      </c>
      <c r="Q45" s="14" t="n">
        <f aca="false">IF($D45&lt;&gt;1,"",IF($G45="ROKS",SUMIFS(TblApplications[Besoin ROKS RAM (Go)],TblApplications[Cluster ROKS cible],$F45,TblApplications[Action],"À migrer",TblApplications[Déjà incluse ROKS],"Non",TblApplications[Mois prov (calc)],"&lt;="&amp;$E45),SUMIFS(TblApplications[RAM IKS libérable (Go)],TblApplications[Cluster IKS source],$F45,TblApplications[Mois lib (calc)],"&lt;="&amp;$E45)))</f>
        <v>0</v>
      </c>
      <c r="R45" s="14" t="n">
        <f aca="false">IF($D45&lt;&gt;1,"",IF($G45="ROKS",$L45+$P45,IF($AI45=1,0,MAX($N45,$L45-$P45))))</f>
        <v>320</v>
      </c>
      <c r="S45" s="14" t="n">
        <f aca="false">IF($D45&lt;&gt;1,"",IF($G45="ROKS",$M45+$Q45,IF($AI45=1,0,MAX($O45,$M45-$Q45))))</f>
        <v>1280</v>
      </c>
      <c r="T45" s="14" t="n">
        <f aca="false">IF($D45&lt;&gt;1,"",IF($AI45=1,0,MAX($J45,ROUNDUP(MAX($R45/$H45,$S45/$I45),0))))</f>
        <v>20</v>
      </c>
      <c r="U45" s="14" t="n">
        <f aca="false">IF($D45&lt;&gt;1,"",IF(p_mode="Nœud",$T45*$H45,$R45))</f>
        <v>320</v>
      </c>
      <c r="V45" s="14" t="n">
        <f aca="false">IF($D45&lt;&gt;1,"",IF(p_mode="Nœud",$T45*$I45,$S45))</f>
        <v>1280</v>
      </c>
      <c r="W45" s="84" t="n">
        <f aca="false">IF($D45&lt;&gt;1,"",IF(p_mode="Nœud",$T45*$K45,$R45*IF($G45="IKS",p_iks_cpu,p_roks_cpu)+$S45*IF($G45="IKS",p_iks_ram,p_roks_ram))*p_facteur)</f>
        <v>10620</v>
      </c>
      <c r="X45" s="14" t="n">
        <f aca="false">IF($D45&lt;&gt;1,"",IF($G45="ROKS",$R45,IF($AI45=1,0,MAX($N45,$L45-SUMIFS(TblApplications[CPU IKS libérable (vCPU)],TblApplications[Cluster IKS source],$F45,TblApplications[Action],"À migrer",TblApplications[Mois prov (calc)],"&lt;="&amp;$E45)-SUMIFS(TblApplications[CPU IKS libérable (vCPU)],TblApplications[Cluster IKS source],$F45,TblApplications[Action],"À décommissionner",TblApplications[Mois lib (calc)],"&lt;="&amp;$E45)))))</f>
        <v>272</v>
      </c>
      <c r="Y45" s="14" t="n">
        <f aca="false">IF($D45&lt;&gt;1,"",IF($G45="ROKS",$S45,IF($AI45=1,0,MAX($O45,$M45-SUMIFS(TblApplications[RAM IKS libérable (Go)],TblApplications[Cluster IKS source],$F45,TblApplications[Action],"À migrer",TblApplications[Mois prov (calc)],"&lt;="&amp;$E45)-SUMIFS(TblApplications[RAM IKS libérable (Go)],TblApplications[Cluster IKS source],$F45,TblApplications[Action],"À décommissionner",TblApplications[Mois lib (calc)],"&lt;="&amp;$E45)))))</f>
        <v>1088</v>
      </c>
      <c r="Z45" s="14" t="n">
        <f aca="false">IF($D45&lt;&gt;1,"",IF($AI45=1,0,MAX($J45,ROUNDUP(MAX($X45/$H45,$Y45/$I45),0))))</f>
        <v>17</v>
      </c>
      <c r="AA45" s="84" t="n">
        <f aca="false">IF($D45&lt;&gt;1,"",IF(p_mode="Nœud",$Z45*$K45,$X45*IF($G45="IKS",p_iks_cpu,p_roks_cpu)+$Y45*IF($G45="IKS",p_iks_ram,p_roks_ram))*p_facteur)</f>
        <v>9027</v>
      </c>
      <c r="AB45" s="14" t="n">
        <f aca="false">IF($D45&lt;&gt;1,"",MAX($J45,ROUNDUP(MAX($L45/$H45,$M45/$I45),0)))</f>
        <v>20</v>
      </c>
      <c r="AC45" s="84" t="n">
        <f aca="false">IF($D45&lt;&gt;1,"",IF(p_mode="Nœud",$AB45*$K45,$L45*IF($G45="IKS",p_iks_cpu,p_roks_cpu)+$M45*IF($G45="IKS",p_iks_ram,p_roks_ram))*p_facteur)</f>
        <v>10620</v>
      </c>
      <c r="AD45" s="14" t="n">
        <f aca="false">IF($D45&lt;&gt;1,"",IF(AND($G45="IKS",$AI45&lt;&gt;1,OR($L45-$P45&lt;$N45,$M45-$Q45&lt;$O45)),1,0))</f>
        <v>0</v>
      </c>
      <c r="AE45" s="14" t="n">
        <f aca="false">IF($D45&lt;&gt;1,"",IF(AND($G45="ROKS",$T45&gt;p_maxworkers),1,0))</f>
        <v>0</v>
      </c>
      <c r="AF45" s="14" t="str">
        <f aca="false">IF($D45&lt;&gt;1,"",IF(INDEX(TblClusters[Environnement],$B45)="","(vide)",INDEX(TblClusters[Environnement],$B45)))</f>
        <v>NPRD</v>
      </c>
      <c r="AG45" s="14" t="n">
        <f aca="false">IF($D45&lt;&gt;1,"",$R45+p_poidsram*$S45)</f>
        <v>448</v>
      </c>
      <c r="AH45" s="14" t="n">
        <f aca="false">IF($D45&lt;&gt;1,"",IFERROR($W45/$AG45,0))</f>
        <v>23.7053571428571</v>
      </c>
      <c r="AI45" s="14" t="n">
        <f aca="false">IF($D45&lt;&gt;1,"",IF(AND($G45="IKS",ISNUMBER(INDEX(TblClusters[Fermeture retenue],$B45))),IF($E45&gt;=INDEX(TblClusters[Fermeture retenue],$B45),1,0),0))</f>
        <v>0</v>
      </c>
    </row>
    <row r="46" customFormat="false" ht="15" hidden="false" customHeight="false" outlineLevel="0" collapsed="false">
      <c r="A46" s="14" t="n">
        <v>41</v>
      </c>
      <c r="B46" s="14" t="n">
        <f aca="false">INT(($A46-1)/36)+1</f>
        <v>2</v>
      </c>
      <c r="C46" s="14" t="n">
        <f aca="false">MOD($A46-1,36)+1</f>
        <v>5</v>
      </c>
      <c r="D46" s="14" t="n">
        <f aca="false">IF($C46&gt;p_horizon,0,IFERROR(IF(AND(INDEX(TblClusters[Cluster],$B46)&lt;&gt;"",ISNUMBER(INDEX(TblClusters[CPU initial (vCPU)],$B46)),ISNUMBER(INDEX(TblClusters[CPU min (vCPU)],$B46)),OR(INDEX(TblClusters[Plateforme],$B46)="IKS",INDEX(TblClusters[Plateforme],$B46)="ROKS")),1,0),0))</f>
        <v>1</v>
      </c>
      <c r="E46" s="83" t="n">
        <f aca="false">IF($D46=1,EDATE(p_debut,$C46-1),"")</f>
        <v>46419</v>
      </c>
      <c r="F46" s="14" t="str">
        <f aca="false">IF($D46=1,INDEX(TblClusters[Cluster],$B46),"")</f>
        <v>IKS-NPR-01</v>
      </c>
      <c r="G46" s="14" t="str">
        <f aca="false">IF($D46=1,INDEX(TblClusters[Plateforme],$B46),"")</f>
        <v>IKS</v>
      </c>
      <c r="H46" s="14" t="n">
        <f aca="false">IF($D46=1,INDEX(TblClusters[vCPU par nœud],$B46),"")</f>
        <v>16</v>
      </c>
      <c r="I46" s="14" t="n">
        <f aca="false">IF($D46=1,INDEX(TblClusters[RAM par nœud (Go)],$B46),"")</f>
        <v>64</v>
      </c>
      <c r="J46" s="14" t="n">
        <f aca="false">IF($D46=1,INDEX(TblClusters[Workers min],$B46),"")</f>
        <v>3</v>
      </c>
      <c r="K46" s="84" t="n">
        <f aca="false">IF($D46=1,INDEX(TblClusters[Tarif par nœud],$B46),"")</f>
        <v>531</v>
      </c>
      <c r="L46" s="14" t="n">
        <f aca="false">IF($D46=1,INDEX(TblClusters[CPU initial (vCPU)],$B46),"")</f>
        <v>320</v>
      </c>
      <c r="M46" s="14" t="n">
        <f aca="false">IF($D46=1,INDEX(TblClusters[RAM initiale (Go)],$B46),"")</f>
        <v>1280</v>
      </c>
      <c r="N46" s="14" t="n">
        <f aca="false">IF($D46=1,INDEX(TblClusters[CPU min (vCPU)],$B46),"")</f>
        <v>48</v>
      </c>
      <c r="O46" s="14" t="n">
        <f aca="false">IF($D46=1,INDEX(TblClusters[RAM min (Go)],$B46),"")</f>
        <v>192</v>
      </c>
      <c r="P46" s="14" t="n">
        <f aca="false">IF($D46&lt;&gt;1,"",IF($G46="ROKS",SUMIFS(TblApplications[Besoin ROKS CPU (vCPU)],TblApplications[Cluster ROKS cible],$F46,TblApplications[Action],"À migrer",TblApplications[Déjà incluse ROKS],"Non",TblApplications[Mois prov (calc)],"&lt;="&amp;$E46),SUMIFS(TblApplications[CPU IKS libérable (vCPU)],TblApplications[Cluster IKS source],$F46,TblApplications[Mois lib (calc)],"&lt;="&amp;$E46)))</f>
        <v>16</v>
      </c>
      <c r="Q46" s="14" t="n">
        <f aca="false">IF($D46&lt;&gt;1,"",IF($G46="ROKS",SUMIFS(TblApplications[Besoin ROKS RAM (Go)],TblApplications[Cluster ROKS cible],$F46,TblApplications[Action],"À migrer",TblApplications[Déjà incluse ROKS],"Non",TblApplications[Mois prov (calc)],"&lt;="&amp;$E46),SUMIFS(TblApplications[RAM IKS libérable (Go)],TblApplications[Cluster IKS source],$F46,TblApplications[Mois lib (calc)],"&lt;="&amp;$E46)))</f>
        <v>64</v>
      </c>
      <c r="R46" s="14" t="n">
        <f aca="false">IF($D46&lt;&gt;1,"",IF($G46="ROKS",$L46+$P46,IF($AI46=1,0,MAX($N46,$L46-$P46))))</f>
        <v>304</v>
      </c>
      <c r="S46" s="14" t="n">
        <f aca="false">IF($D46&lt;&gt;1,"",IF($G46="ROKS",$M46+$Q46,IF($AI46=1,0,MAX($O46,$M46-$Q46))))</f>
        <v>1216</v>
      </c>
      <c r="T46" s="14" t="n">
        <f aca="false">IF($D46&lt;&gt;1,"",IF($AI46=1,0,MAX($J46,ROUNDUP(MAX($R46/$H46,$S46/$I46),0))))</f>
        <v>19</v>
      </c>
      <c r="U46" s="14" t="n">
        <f aca="false">IF($D46&lt;&gt;1,"",IF(p_mode="Nœud",$T46*$H46,$R46))</f>
        <v>304</v>
      </c>
      <c r="V46" s="14" t="n">
        <f aca="false">IF($D46&lt;&gt;1,"",IF(p_mode="Nœud",$T46*$I46,$S46))</f>
        <v>1216</v>
      </c>
      <c r="W46" s="84" t="n">
        <f aca="false">IF($D46&lt;&gt;1,"",IF(p_mode="Nœud",$T46*$K46,$R46*IF($G46="IKS",p_iks_cpu,p_roks_cpu)+$S46*IF($G46="IKS",p_iks_ram,p_roks_ram))*p_facteur)</f>
        <v>10089</v>
      </c>
      <c r="X46" s="14" t="n">
        <f aca="false">IF($D46&lt;&gt;1,"",IF($G46="ROKS",$R46,IF($AI46=1,0,MAX($N46,$L46-SUMIFS(TblApplications[CPU IKS libérable (vCPU)],TblApplications[Cluster IKS source],$F46,TblApplications[Action],"À migrer",TblApplications[Mois prov (calc)],"&lt;="&amp;$E46)-SUMIFS(TblApplications[CPU IKS libérable (vCPU)],TblApplications[Cluster IKS source],$F46,TblApplications[Action],"À décommissionner",TblApplications[Mois lib (calc)],"&lt;="&amp;$E46)))))</f>
        <v>272</v>
      </c>
      <c r="Y46" s="14" t="n">
        <f aca="false">IF($D46&lt;&gt;1,"",IF($G46="ROKS",$S46,IF($AI46=1,0,MAX($O46,$M46-SUMIFS(TblApplications[RAM IKS libérable (Go)],TblApplications[Cluster IKS source],$F46,TblApplications[Action],"À migrer",TblApplications[Mois prov (calc)],"&lt;="&amp;$E46)-SUMIFS(TblApplications[RAM IKS libérable (Go)],TblApplications[Cluster IKS source],$F46,TblApplications[Action],"À décommissionner",TblApplications[Mois lib (calc)],"&lt;="&amp;$E46)))))</f>
        <v>1088</v>
      </c>
      <c r="Z46" s="14" t="n">
        <f aca="false">IF($D46&lt;&gt;1,"",IF($AI46=1,0,MAX($J46,ROUNDUP(MAX($X46/$H46,$Y46/$I46),0))))</f>
        <v>17</v>
      </c>
      <c r="AA46" s="84" t="n">
        <f aca="false">IF($D46&lt;&gt;1,"",IF(p_mode="Nœud",$Z46*$K46,$X46*IF($G46="IKS",p_iks_cpu,p_roks_cpu)+$Y46*IF($G46="IKS",p_iks_ram,p_roks_ram))*p_facteur)</f>
        <v>9027</v>
      </c>
      <c r="AB46" s="14" t="n">
        <f aca="false">IF($D46&lt;&gt;1,"",MAX($J46,ROUNDUP(MAX($L46/$H46,$M46/$I46),0)))</f>
        <v>20</v>
      </c>
      <c r="AC46" s="84" t="n">
        <f aca="false">IF($D46&lt;&gt;1,"",IF(p_mode="Nœud",$AB46*$K46,$L46*IF($G46="IKS",p_iks_cpu,p_roks_cpu)+$M46*IF($G46="IKS",p_iks_ram,p_roks_ram))*p_facteur)</f>
        <v>10620</v>
      </c>
      <c r="AD46" s="14" t="n">
        <f aca="false">IF($D46&lt;&gt;1,"",IF(AND($G46="IKS",$AI46&lt;&gt;1,OR($L46-$P46&lt;$N46,$M46-$Q46&lt;$O46)),1,0))</f>
        <v>0</v>
      </c>
      <c r="AE46" s="14" t="n">
        <f aca="false">IF($D46&lt;&gt;1,"",IF(AND($G46="ROKS",$T46&gt;p_maxworkers),1,0))</f>
        <v>0</v>
      </c>
      <c r="AF46" s="14" t="str">
        <f aca="false">IF($D46&lt;&gt;1,"",IF(INDEX(TblClusters[Environnement],$B46)="","(vide)",INDEX(TblClusters[Environnement],$B46)))</f>
        <v>NPRD</v>
      </c>
      <c r="AG46" s="14" t="n">
        <f aca="false">IF($D46&lt;&gt;1,"",$R46+p_poidsram*$S46)</f>
        <v>425.6</v>
      </c>
      <c r="AH46" s="14" t="n">
        <f aca="false">IF($D46&lt;&gt;1,"",IFERROR($W46/$AG46,0))</f>
        <v>23.7053571428571</v>
      </c>
      <c r="AI46" s="14" t="n">
        <f aca="false">IF($D46&lt;&gt;1,"",IF(AND($G46="IKS",ISNUMBER(INDEX(TblClusters[Fermeture retenue],$B46))),IF($E46&gt;=INDEX(TblClusters[Fermeture retenue],$B46),1,0),0))</f>
        <v>0</v>
      </c>
    </row>
    <row r="47" customFormat="false" ht="15" hidden="false" customHeight="false" outlineLevel="0" collapsed="false">
      <c r="A47" s="14" t="n">
        <v>42</v>
      </c>
      <c r="B47" s="14" t="n">
        <f aca="false">INT(($A47-1)/36)+1</f>
        <v>2</v>
      </c>
      <c r="C47" s="14" t="n">
        <f aca="false">MOD($A47-1,36)+1</f>
        <v>6</v>
      </c>
      <c r="D47" s="14" t="n">
        <f aca="false">IF($C47&gt;p_horizon,0,IFERROR(IF(AND(INDEX(TblClusters[Cluster],$B47)&lt;&gt;"",ISNUMBER(INDEX(TblClusters[CPU initial (vCPU)],$B47)),ISNUMBER(INDEX(TblClusters[CPU min (vCPU)],$B47)),OR(INDEX(TblClusters[Plateforme],$B47)="IKS",INDEX(TblClusters[Plateforme],$B47)="ROKS")),1,0),0))</f>
        <v>1</v>
      </c>
      <c r="E47" s="83" t="n">
        <f aca="false">IF($D47=1,EDATE(p_debut,$C47-1),"")</f>
        <v>46447</v>
      </c>
      <c r="F47" s="14" t="str">
        <f aca="false">IF($D47=1,INDEX(TblClusters[Cluster],$B47),"")</f>
        <v>IKS-NPR-01</v>
      </c>
      <c r="G47" s="14" t="str">
        <f aca="false">IF($D47=1,INDEX(TblClusters[Plateforme],$B47),"")</f>
        <v>IKS</v>
      </c>
      <c r="H47" s="14" t="n">
        <f aca="false">IF($D47=1,INDEX(TblClusters[vCPU par nœud],$B47),"")</f>
        <v>16</v>
      </c>
      <c r="I47" s="14" t="n">
        <f aca="false">IF($D47=1,INDEX(TblClusters[RAM par nœud (Go)],$B47),"")</f>
        <v>64</v>
      </c>
      <c r="J47" s="14" t="n">
        <f aca="false">IF($D47=1,INDEX(TblClusters[Workers min],$B47),"")</f>
        <v>3</v>
      </c>
      <c r="K47" s="84" t="n">
        <f aca="false">IF($D47=1,INDEX(TblClusters[Tarif par nœud],$B47),"")</f>
        <v>531</v>
      </c>
      <c r="L47" s="14" t="n">
        <f aca="false">IF($D47=1,INDEX(TblClusters[CPU initial (vCPU)],$B47),"")</f>
        <v>320</v>
      </c>
      <c r="M47" s="14" t="n">
        <f aca="false">IF($D47=1,INDEX(TblClusters[RAM initiale (Go)],$B47),"")</f>
        <v>1280</v>
      </c>
      <c r="N47" s="14" t="n">
        <f aca="false">IF($D47=1,INDEX(TblClusters[CPU min (vCPU)],$B47),"")</f>
        <v>48</v>
      </c>
      <c r="O47" s="14" t="n">
        <f aca="false">IF($D47=1,INDEX(TblClusters[RAM min (Go)],$B47),"")</f>
        <v>192</v>
      </c>
      <c r="P47" s="14" t="n">
        <f aca="false">IF($D47&lt;&gt;1,"",IF($G47="ROKS",SUMIFS(TblApplications[Besoin ROKS CPU (vCPU)],TblApplications[Cluster ROKS cible],$F47,TblApplications[Action],"À migrer",TblApplications[Déjà incluse ROKS],"Non",TblApplications[Mois prov (calc)],"&lt;="&amp;$E47),SUMIFS(TblApplications[CPU IKS libérable (vCPU)],TblApplications[Cluster IKS source],$F47,TblApplications[Mois lib (calc)],"&lt;="&amp;$E47)))</f>
        <v>48</v>
      </c>
      <c r="Q47" s="14" t="n">
        <f aca="false">IF($D47&lt;&gt;1,"",IF($G47="ROKS",SUMIFS(TblApplications[Besoin ROKS RAM (Go)],TblApplications[Cluster ROKS cible],$F47,TblApplications[Action],"À migrer",TblApplications[Déjà incluse ROKS],"Non",TblApplications[Mois prov (calc)],"&lt;="&amp;$E47),SUMIFS(TblApplications[RAM IKS libérable (Go)],TblApplications[Cluster IKS source],$F47,TblApplications[Mois lib (calc)],"&lt;="&amp;$E47)))</f>
        <v>192</v>
      </c>
      <c r="R47" s="14" t="n">
        <f aca="false">IF($D47&lt;&gt;1,"",IF($G47="ROKS",$L47+$P47,IF($AI47=1,0,MAX($N47,$L47-$P47))))</f>
        <v>272</v>
      </c>
      <c r="S47" s="14" t="n">
        <f aca="false">IF($D47&lt;&gt;1,"",IF($G47="ROKS",$M47+$Q47,IF($AI47=1,0,MAX($O47,$M47-$Q47))))</f>
        <v>1088</v>
      </c>
      <c r="T47" s="14" t="n">
        <f aca="false">IF($D47&lt;&gt;1,"",IF($AI47=1,0,MAX($J47,ROUNDUP(MAX($R47/$H47,$S47/$I47),0))))</f>
        <v>17</v>
      </c>
      <c r="U47" s="14" t="n">
        <f aca="false">IF($D47&lt;&gt;1,"",IF(p_mode="Nœud",$T47*$H47,$R47))</f>
        <v>272</v>
      </c>
      <c r="V47" s="14" t="n">
        <f aca="false">IF($D47&lt;&gt;1,"",IF(p_mode="Nœud",$T47*$I47,$S47))</f>
        <v>1088</v>
      </c>
      <c r="W47" s="84" t="n">
        <f aca="false">IF($D47&lt;&gt;1,"",IF(p_mode="Nœud",$T47*$K47,$R47*IF($G47="IKS",p_iks_cpu,p_roks_cpu)+$S47*IF($G47="IKS",p_iks_ram,p_roks_ram))*p_facteur)</f>
        <v>9027</v>
      </c>
      <c r="X47" s="14" t="n">
        <f aca="false">IF($D47&lt;&gt;1,"",IF($G47="ROKS",$R47,IF($AI47=1,0,MAX($N47,$L47-SUMIFS(TblApplications[CPU IKS libérable (vCPU)],TblApplications[Cluster IKS source],$F47,TblApplications[Action],"À migrer",TblApplications[Mois prov (calc)],"&lt;="&amp;$E47)-SUMIFS(TblApplications[CPU IKS libérable (vCPU)],TblApplications[Cluster IKS source],$F47,TblApplications[Action],"À décommissionner",TblApplications[Mois lib (calc)],"&lt;="&amp;$E47)))))</f>
        <v>272</v>
      </c>
      <c r="Y47" s="14" t="n">
        <f aca="false">IF($D47&lt;&gt;1,"",IF($G47="ROKS",$S47,IF($AI47=1,0,MAX($O47,$M47-SUMIFS(TblApplications[RAM IKS libérable (Go)],TblApplications[Cluster IKS source],$F47,TblApplications[Action],"À migrer",TblApplications[Mois prov (calc)],"&lt;="&amp;$E47)-SUMIFS(TblApplications[RAM IKS libérable (Go)],TblApplications[Cluster IKS source],$F47,TblApplications[Action],"À décommissionner",TblApplications[Mois lib (calc)],"&lt;="&amp;$E47)))))</f>
        <v>1088</v>
      </c>
      <c r="Z47" s="14" t="n">
        <f aca="false">IF($D47&lt;&gt;1,"",IF($AI47=1,0,MAX($J47,ROUNDUP(MAX($X47/$H47,$Y47/$I47),0))))</f>
        <v>17</v>
      </c>
      <c r="AA47" s="84" t="n">
        <f aca="false">IF($D47&lt;&gt;1,"",IF(p_mode="Nœud",$Z47*$K47,$X47*IF($G47="IKS",p_iks_cpu,p_roks_cpu)+$Y47*IF($G47="IKS",p_iks_ram,p_roks_ram))*p_facteur)</f>
        <v>9027</v>
      </c>
      <c r="AB47" s="14" t="n">
        <f aca="false">IF($D47&lt;&gt;1,"",MAX($J47,ROUNDUP(MAX($L47/$H47,$M47/$I47),0)))</f>
        <v>20</v>
      </c>
      <c r="AC47" s="84" t="n">
        <f aca="false">IF($D47&lt;&gt;1,"",IF(p_mode="Nœud",$AB47*$K47,$L47*IF($G47="IKS",p_iks_cpu,p_roks_cpu)+$M47*IF($G47="IKS",p_iks_ram,p_roks_ram))*p_facteur)</f>
        <v>10620</v>
      </c>
      <c r="AD47" s="14" t="n">
        <f aca="false">IF($D47&lt;&gt;1,"",IF(AND($G47="IKS",$AI47&lt;&gt;1,OR($L47-$P47&lt;$N47,$M47-$Q47&lt;$O47)),1,0))</f>
        <v>0</v>
      </c>
      <c r="AE47" s="14" t="n">
        <f aca="false">IF($D47&lt;&gt;1,"",IF(AND($G47="ROKS",$T47&gt;p_maxworkers),1,0))</f>
        <v>0</v>
      </c>
      <c r="AF47" s="14" t="str">
        <f aca="false">IF($D47&lt;&gt;1,"",IF(INDEX(TblClusters[Environnement],$B47)="","(vide)",INDEX(TblClusters[Environnement],$B47)))</f>
        <v>NPRD</v>
      </c>
      <c r="AG47" s="14" t="n">
        <f aca="false">IF($D47&lt;&gt;1,"",$R47+p_poidsram*$S47)</f>
        <v>380.8</v>
      </c>
      <c r="AH47" s="14" t="n">
        <f aca="false">IF($D47&lt;&gt;1,"",IFERROR($W47/$AG47,0))</f>
        <v>23.7053571428571</v>
      </c>
      <c r="AI47" s="14" t="n">
        <f aca="false">IF($D47&lt;&gt;1,"",IF(AND($G47="IKS",ISNUMBER(INDEX(TblClusters[Fermeture retenue],$B47))),IF($E47&gt;=INDEX(TblClusters[Fermeture retenue],$B47),1,0),0))</f>
        <v>0</v>
      </c>
    </row>
    <row r="48" customFormat="false" ht="15" hidden="false" customHeight="false" outlineLevel="0" collapsed="false">
      <c r="A48" s="14" t="n">
        <v>43</v>
      </c>
      <c r="B48" s="14" t="n">
        <f aca="false">INT(($A48-1)/36)+1</f>
        <v>2</v>
      </c>
      <c r="C48" s="14" t="n">
        <f aca="false">MOD($A48-1,36)+1</f>
        <v>7</v>
      </c>
      <c r="D48" s="14" t="n">
        <f aca="false">IF($C48&gt;p_horizon,0,IFERROR(IF(AND(INDEX(TblClusters[Cluster],$B48)&lt;&gt;"",ISNUMBER(INDEX(TblClusters[CPU initial (vCPU)],$B48)),ISNUMBER(INDEX(TblClusters[CPU min (vCPU)],$B48)),OR(INDEX(TblClusters[Plateforme],$B48)="IKS",INDEX(TblClusters[Plateforme],$B48)="ROKS")),1,0),0))</f>
        <v>1</v>
      </c>
      <c r="E48" s="83" t="n">
        <f aca="false">IF($D48=1,EDATE(p_debut,$C48-1),"")</f>
        <v>46478</v>
      </c>
      <c r="F48" s="14" t="str">
        <f aca="false">IF($D48=1,INDEX(TblClusters[Cluster],$B48),"")</f>
        <v>IKS-NPR-01</v>
      </c>
      <c r="G48" s="14" t="str">
        <f aca="false">IF($D48=1,INDEX(TblClusters[Plateforme],$B48),"")</f>
        <v>IKS</v>
      </c>
      <c r="H48" s="14" t="n">
        <f aca="false">IF($D48=1,INDEX(TblClusters[vCPU par nœud],$B48),"")</f>
        <v>16</v>
      </c>
      <c r="I48" s="14" t="n">
        <f aca="false">IF($D48=1,INDEX(TblClusters[RAM par nœud (Go)],$B48),"")</f>
        <v>64</v>
      </c>
      <c r="J48" s="14" t="n">
        <f aca="false">IF($D48=1,INDEX(TblClusters[Workers min],$B48),"")</f>
        <v>3</v>
      </c>
      <c r="K48" s="84" t="n">
        <f aca="false">IF($D48=1,INDEX(TblClusters[Tarif par nœud],$B48),"")</f>
        <v>531</v>
      </c>
      <c r="L48" s="14" t="n">
        <f aca="false">IF($D48=1,INDEX(TblClusters[CPU initial (vCPU)],$B48),"")</f>
        <v>320</v>
      </c>
      <c r="M48" s="14" t="n">
        <f aca="false">IF($D48=1,INDEX(TblClusters[RAM initiale (Go)],$B48),"")</f>
        <v>1280</v>
      </c>
      <c r="N48" s="14" t="n">
        <f aca="false">IF($D48=1,INDEX(TblClusters[CPU min (vCPU)],$B48),"")</f>
        <v>48</v>
      </c>
      <c r="O48" s="14" t="n">
        <f aca="false">IF($D48=1,INDEX(TblClusters[RAM min (Go)],$B48),"")</f>
        <v>192</v>
      </c>
      <c r="P48" s="14" t="n">
        <f aca="false">IF($D48&lt;&gt;1,"",IF($G48="ROKS",SUMIFS(TblApplications[Besoin ROKS CPU (vCPU)],TblApplications[Cluster ROKS cible],$F48,TblApplications[Action],"À migrer",TblApplications[Déjà incluse ROKS],"Non",TblApplications[Mois prov (calc)],"&lt;="&amp;$E48),SUMIFS(TblApplications[CPU IKS libérable (vCPU)],TblApplications[Cluster IKS source],$F48,TblApplications[Mois lib (calc)],"&lt;="&amp;$E48)))</f>
        <v>48</v>
      </c>
      <c r="Q48" s="14" t="n">
        <f aca="false">IF($D48&lt;&gt;1,"",IF($G48="ROKS",SUMIFS(TblApplications[Besoin ROKS RAM (Go)],TblApplications[Cluster ROKS cible],$F48,TblApplications[Action],"À migrer",TblApplications[Déjà incluse ROKS],"Non",TblApplications[Mois prov (calc)],"&lt;="&amp;$E48),SUMIFS(TblApplications[RAM IKS libérable (Go)],TblApplications[Cluster IKS source],$F48,TblApplications[Mois lib (calc)],"&lt;="&amp;$E48)))</f>
        <v>192</v>
      </c>
      <c r="R48" s="14" t="n">
        <f aca="false">IF($D48&lt;&gt;1,"",IF($G48="ROKS",$L48+$P48,IF($AI48=1,0,MAX($N48,$L48-$P48))))</f>
        <v>272</v>
      </c>
      <c r="S48" s="14" t="n">
        <f aca="false">IF($D48&lt;&gt;1,"",IF($G48="ROKS",$M48+$Q48,IF($AI48=1,0,MAX($O48,$M48-$Q48))))</f>
        <v>1088</v>
      </c>
      <c r="T48" s="14" t="n">
        <f aca="false">IF($D48&lt;&gt;1,"",IF($AI48=1,0,MAX($J48,ROUNDUP(MAX($R48/$H48,$S48/$I48),0))))</f>
        <v>17</v>
      </c>
      <c r="U48" s="14" t="n">
        <f aca="false">IF($D48&lt;&gt;1,"",IF(p_mode="Nœud",$T48*$H48,$R48))</f>
        <v>272</v>
      </c>
      <c r="V48" s="14" t="n">
        <f aca="false">IF($D48&lt;&gt;1,"",IF(p_mode="Nœud",$T48*$I48,$S48))</f>
        <v>1088</v>
      </c>
      <c r="W48" s="84" t="n">
        <f aca="false">IF($D48&lt;&gt;1,"",IF(p_mode="Nœud",$T48*$K48,$R48*IF($G48="IKS",p_iks_cpu,p_roks_cpu)+$S48*IF($G48="IKS",p_iks_ram,p_roks_ram))*p_facteur)</f>
        <v>9027</v>
      </c>
      <c r="X48" s="14" t="n">
        <f aca="false">IF($D48&lt;&gt;1,"",IF($G48="ROKS",$R48,IF($AI48=1,0,MAX($N48,$L48-SUMIFS(TblApplications[CPU IKS libérable (vCPU)],TblApplications[Cluster IKS source],$F48,TblApplications[Action],"À migrer",TblApplications[Mois prov (calc)],"&lt;="&amp;$E48)-SUMIFS(TblApplications[CPU IKS libérable (vCPU)],TblApplications[Cluster IKS source],$F48,TblApplications[Action],"À décommissionner",TblApplications[Mois lib (calc)],"&lt;="&amp;$E48)))))</f>
        <v>272</v>
      </c>
      <c r="Y48" s="14" t="n">
        <f aca="false">IF($D48&lt;&gt;1,"",IF($G48="ROKS",$S48,IF($AI48=1,0,MAX($O48,$M48-SUMIFS(TblApplications[RAM IKS libérable (Go)],TblApplications[Cluster IKS source],$F48,TblApplications[Action],"À migrer",TblApplications[Mois prov (calc)],"&lt;="&amp;$E48)-SUMIFS(TblApplications[RAM IKS libérable (Go)],TblApplications[Cluster IKS source],$F48,TblApplications[Action],"À décommissionner",TblApplications[Mois lib (calc)],"&lt;="&amp;$E48)))))</f>
        <v>1088</v>
      </c>
      <c r="Z48" s="14" t="n">
        <f aca="false">IF($D48&lt;&gt;1,"",IF($AI48=1,0,MAX($J48,ROUNDUP(MAX($X48/$H48,$Y48/$I48),0))))</f>
        <v>17</v>
      </c>
      <c r="AA48" s="84" t="n">
        <f aca="false">IF($D48&lt;&gt;1,"",IF(p_mode="Nœud",$Z48*$K48,$X48*IF($G48="IKS",p_iks_cpu,p_roks_cpu)+$Y48*IF($G48="IKS",p_iks_ram,p_roks_ram))*p_facteur)</f>
        <v>9027</v>
      </c>
      <c r="AB48" s="14" t="n">
        <f aca="false">IF($D48&lt;&gt;1,"",MAX($J48,ROUNDUP(MAX($L48/$H48,$M48/$I48),0)))</f>
        <v>20</v>
      </c>
      <c r="AC48" s="84" t="n">
        <f aca="false">IF($D48&lt;&gt;1,"",IF(p_mode="Nœud",$AB48*$K48,$L48*IF($G48="IKS",p_iks_cpu,p_roks_cpu)+$M48*IF($G48="IKS",p_iks_ram,p_roks_ram))*p_facteur)</f>
        <v>10620</v>
      </c>
      <c r="AD48" s="14" t="n">
        <f aca="false">IF($D48&lt;&gt;1,"",IF(AND($G48="IKS",$AI48&lt;&gt;1,OR($L48-$P48&lt;$N48,$M48-$Q48&lt;$O48)),1,0))</f>
        <v>0</v>
      </c>
      <c r="AE48" s="14" t="n">
        <f aca="false">IF($D48&lt;&gt;1,"",IF(AND($G48="ROKS",$T48&gt;p_maxworkers),1,0))</f>
        <v>0</v>
      </c>
      <c r="AF48" s="14" t="str">
        <f aca="false">IF($D48&lt;&gt;1,"",IF(INDEX(TblClusters[Environnement],$B48)="","(vide)",INDEX(TblClusters[Environnement],$B48)))</f>
        <v>NPRD</v>
      </c>
      <c r="AG48" s="14" t="n">
        <f aca="false">IF($D48&lt;&gt;1,"",$R48+p_poidsram*$S48)</f>
        <v>380.8</v>
      </c>
      <c r="AH48" s="14" t="n">
        <f aca="false">IF($D48&lt;&gt;1,"",IFERROR($W48/$AG48,0))</f>
        <v>23.7053571428571</v>
      </c>
      <c r="AI48" s="14" t="n">
        <f aca="false">IF($D48&lt;&gt;1,"",IF(AND($G48="IKS",ISNUMBER(INDEX(TblClusters[Fermeture retenue],$B48))),IF($E48&gt;=INDEX(TblClusters[Fermeture retenue],$B48),1,0),0))</f>
        <v>0</v>
      </c>
    </row>
    <row r="49" customFormat="false" ht="15" hidden="false" customHeight="false" outlineLevel="0" collapsed="false">
      <c r="A49" s="14" t="n">
        <v>44</v>
      </c>
      <c r="B49" s="14" t="n">
        <f aca="false">INT(($A49-1)/36)+1</f>
        <v>2</v>
      </c>
      <c r="C49" s="14" t="n">
        <f aca="false">MOD($A49-1,36)+1</f>
        <v>8</v>
      </c>
      <c r="D49" s="14" t="n">
        <f aca="false">IF($C49&gt;p_horizon,0,IFERROR(IF(AND(INDEX(TblClusters[Cluster],$B49)&lt;&gt;"",ISNUMBER(INDEX(TblClusters[CPU initial (vCPU)],$B49)),ISNUMBER(INDEX(TblClusters[CPU min (vCPU)],$B49)),OR(INDEX(TblClusters[Plateforme],$B49)="IKS",INDEX(TblClusters[Plateforme],$B49)="ROKS")),1,0),0))</f>
        <v>1</v>
      </c>
      <c r="E49" s="83" t="n">
        <f aca="false">IF($D49=1,EDATE(p_debut,$C49-1),"")</f>
        <v>46508</v>
      </c>
      <c r="F49" s="14" t="str">
        <f aca="false">IF($D49=1,INDEX(TblClusters[Cluster],$B49),"")</f>
        <v>IKS-NPR-01</v>
      </c>
      <c r="G49" s="14" t="str">
        <f aca="false">IF($D49=1,INDEX(TblClusters[Plateforme],$B49),"")</f>
        <v>IKS</v>
      </c>
      <c r="H49" s="14" t="n">
        <f aca="false">IF($D49=1,INDEX(TblClusters[vCPU par nœud],$B49),"")</f>
        <v>16</v>
      </c>
      <c r="I49" s="14" t="n">
        <f aca="false">IF($D49=1,INDEX(TblClusters[RAM par nœud (Go)],$B49),"")</f>
        <v>64</v>
      </c>
      <c r="J49" s="14" t="n">
        <f aca="false">IF($D49=1,INDEX(TblClusters[Workers min],$B49),"")</f>
        <v>3</v>
      </c>
      <c r="K49" s="84" t="n">
        <f aca="false">IF($D49=1,INDEX(TblClusters[Tarif par nœud],$B49),"")</f>
        <v>531</v>
      </c>
      <c r="L49" s="14" t="n">
        <f aca="false">IF($D49=1,INDEX(TblClusters[CPU initial (vCPU)],$B49),"")</f>
        <v>320</v>
      </c>
      <c r="M49" s="14" t="n">
        <f aca="false">IF($D49=1,INDEX(TblClusters[RAM initiale (Go)],$B49),"")</f>
        <v>1280</v>
      </c>
      <c r="N49" s="14" t="n">
        <f aca="false">IF($D49=1,INDEX(TblClusters[CPU min (vCPU)],$B49),"")</f>
        <v>48</v>
      </c>
      <c r="O49" s="14" t="n">
        <f aca="false">IF($D49=1,INDEX(TblClusters[RAM min (Go)],$B49),"")</f>
        <v>192</v>
      </c>
      <c r="P49" s="14" t="n">
        <f aca="false">IF($D49&lt;&gt;1,"",IF($G49="ROKS",SUMIFS(TblApplications[Besoin ROKS CPU (vCPU)],TblApplications[Cluster ROKS cible],$F49,TblApplications[Action],"À migrer",TblApplications[Déjà incluse ROKS],"Non",TblApplications[Mois prov (calc)],"&lt;="&amp;$E49),SUMIFS(TblApplications[CPU IKS libérable (vCPU)],TblApplications[Cluster IKS source],$F49,TblApplications[Mois lib (calc)],"&lt;="&amp;$E49)))</f>
        <v>48</v>
      </c>
      <c r="Q49" s="14" t="n">
        <f aca="false">IF($D49&lt;&gt;1,"",IF($G49="ROKS",SUMIFS(TblApplications[Besoin ROKS RAM (Go)],TblApplications[Cluster ROKS cible],$F49,TblApplications[Action],"À migrer",TblApplications[Déjà incluse ROKS],"Non",TblApplications[Mois prov (calc)],"&lt;="&amp;$E49),SUMIFS(TblApplications[RAM IKS libérable (Go)],TblApplications[Cluster IKS source],$F49,TblApplications[Mois lib (calc)],"&lt;="&amp;$E49)))</f>
        <v>192</v>
      </c>
      <c r="R49" s="14" t="n">
        <f aca="false">IF($D49&lt;&gt;1,"",IF($G49="ROKS",$L49+$P49,IF($AI49=1,0,MAX($N49,$L49-$P49))))</f>
        <v>272</v>
      </c>
      <c r="S49" s="14" t="n">
        <f aca="false">IF($D49&lt;&gt;1,"",IF($G49="ROKS",$M49+$Q49,IF($AI49=1,0,MAX($O49,$M49-$Q49))))</f>
        <v>1088</v>
      </c>
      <c r="T49" s="14" t="n">
        <f aca="false">IF($D49&lt;&gt;1,"",IF($AI49=1,0,MAX($J49,ROUNDUP(MAX($R49/$H49,$S49/$I49),0))))</f>
        <v>17</v>
      </c>
      <c r="U49" s="14" t="n">
        <f aca="false">IF($D49&lt;&gt;1,"",IF(p_mode="Nœud",$T49*$H49,$R49))</f>
        <v>272</v>
      </c>
      <c r="V49" s="14" t="n">
        <f aca="false">IF($D49&lt;&gt;1,"",IF(p_mode="Nœud",$T49*$I49,$S49))</f>
        <v>1088</v>
      </c>
      <c r="W49" s="84" t="n">
        <f aca="false">IF($D49&lt;&gt;1,"",IF(p_mode="Nœud",$T49*$K49,$R49*IF($G49="IKS",p_iks_cpu,p_roks_cpu)+$S49*IF($G49="IKS",p_iks_ram,p_roks_ram))*p_facteur)</f>
        <v>9027</v>
      </c>
      <c r="X49" s="14" t="n">
        <f aca="false">IF($D49&lt;&gt;1,"",IF($G49="ROKS",$R49,IF($AI49=1,0,MAX($N49,$L49-SUMIFS(TblApplications[CPU IKS libérable (vCPU)],TblApplications[Cluster IKS source],$F49,TblApplications[Action],"À migrer",TblApplications[Mois prov (calc)],"&lt;="&amp;$E49)-SUMIFS(TblApplications[CPU IKS libérable (vCPU)],TblApplications[Cluster IKS source],$F49,TblApplications[Action],"À décommissionner",TblApplications[Mois lib (calc)],"&lt;="&amp;$E49)))))</f>
        <v>272</v>
      </c>
      <c r="Y49" s="14" t="n">
        <f aca="false">IF($D49&lt;&gt;1,"",IF($G49="ROKS",$S49,IF($AI49=1,0,MAX($O49,$M49-SUMIFS(TblApplications[RAM IKS libérable (Go)],TblApplications[Cluster IKS source],$F49,TblApplications[Action],"À migrer",TblApplications[Mois prov (calc)],"&lt;="&amp;$E49)-SUMIFS(TblApplications[RAM IKS libérable (Go)],TblApplications[Cluster IKS source],$F49,TblApplications[Action],"À décommissionner",TblApplications[Mois lib (calc)],"&lt;="&amp;$E49)))))</f>
        <v>1088</v>
      </c>
      <c r="Z49" s="14" t="n">
        <f aca="false">IF($D49&lt;&gt;1,"",IF($AI49=1,0,MAX($J49,ROUNDUP(MAX($X49/$H49,$Y49/$I49),0))))</f>
        <v>17</v>
      </c>
      <c r="AA49" s="84" t="n">
        <f aca="false">IF($D49&lt;&gt;1,"",IF(p_mode="Nœud",$Z49*$K49,$X49*IF($G49="IKS",p_iks_cpu,p_roks_cpu)+$Y49*IF($G49="IKS",p_iks_ram,p_roks_ram))*p_facteur)</f>
        <v>9027</v>
      </c>
      <c r="AB49" s="14" t="n">
        <f aca="false">IF($D49&lt;&gt;1,"",MAX($J49,ROUNDUP(MAX($L49/$H49,$M49/$I49),0)))</f>
        <v>20</v>
      </c>
      <c r="AC49" s="84" t="n">
        <f aca="false">IF($D49&lt;&gt;1,"",IF(p_mode="Nœud",$AB49*$K49,$L49*IF($G49="IKS",p_iks_cpu,p_roks_cpu)+$M49*IF($G49="IKS",p_iks_ram,p_roks_ram))*p_facteur)</f>
        <v>10620</v>
      </c>
      <c r="AD49" s="14" t="n">
        <f aca="false">IF($D49&lt;&gt;1,"",IF(AND($G49="IKS",$AI49&lt;&gt;1,OR($L49-$P49&lt;$N49,$M49-$Q49&lt;$O49)),1,0))</f>
        <v>0</v>
      </c>
      <c r="AE49" s="14" t="n">
        <f aca="false">IF($D49&lt;&gt;1,"",IF(AND($G49="ROKS",$T49&gt;p_maxworkers),1,0))</f>
        <v>0</v>
      </c>
      <c r="AF49" s="14" t="str">
        <f aca="false">IF($D49&lt;&gt;1,"",IF(INDEX(TblClusters[Environnement],$B49)="","(vide)",INDEX(TblClusters[Environnement],$B49)))</f>
        <v>NPRD</v>
      </c>
      <c r="AG49" s="14" t="n">
        <f aca="false">IF($D49&lt;&gt;1,"",$R49+p_poidsram*$S49)</f>
        <v>380.8</v>
      </c>
      <c r="AH49" s="14" t="n">
        <f aca="false">IF($D49&lt;&gt;1,"",IFERROR($W49/$AG49,0))</f>
        <v>23.7053571428571</v>
      </c>
      <c r="AI49" s="14" t="n">
        <f aca="false">IF($D49&lt;&gt;1,"",IF(AND($G49="IKS",ISNUMBER(INDEX(TblClusters[Fermeture retenue],$B49))),IF($E49&gt;=INDEX(TblClusters[Fermeture retenue],$B49),1,0),0))</f>
        <v>0</v>
      </c>
    </row>
    <row r="50" customFormat="false" ht="15" hidden="false" customHeight="false" outlineLevel="0" collapsed="false">
      <c r="A50" s="14" t="n">
        <v>45</v>
      </c>
      <c r="B50" s="14" t="n">
        <f aca="false">INT(($A50-1)/36)+1</f>
        <v>2</v>
      </c>
      <c r="C50" s="14" t="n">
        <f aca="false">MOD($A50-1,36)+1</f>
        <v>9</v>
      </c>
      <c r="D50" s="14" t="n">
        <f aca="false">IF($C50&gt;p_horizon,0,IFERROR(IF(AND(INDEX(TblClusters[Cluster],$B50)&lt;&gt;"",ISNUMBER(INDEX(TblClusters[CPU initial (vCPU)],$B50)),ISNUMBER(INDEX(TblClusters[CPU min (vCPU)],$B50)),OR(INDEX(TblClusters[Plateforme],$B50)="IKS",INDEX(TblClusters[Plateforme],$B50)="ROKS")),1,0),0))</f>
        <v>1</v>
      </c>
      <c r="E50" s="83" t="n">
        <f aca="false">IF($D50=1,EDATE(p_debut,$C50-1),"")</f>
        <v>46539</v>
      </c>
      <c r="F50" s="14" t="str">
        <f aca="false">IF($D50=1,INDEX(TblClusters[Cluster],$B50),"")</f>
        <v>IKS-NPR-01</v>
      </c>
      <c r="G50" s="14" t="str">
        <f aca="false">IF($D50=1,INDEX(TblClusters[Plateforme],$B50),"")</f>
        <v>IKS</v>
      </c>
      <c r="H50" s="14" t="n">
        <f aca="false">IF($D50=1,INDEX(TblClusters[vCPU par nœud],$B50),"")</f>
        <v>16</v>
      </c>
      <c r="I50" s="14" t="n">
        <f aca="false">IF($D50=1,INDEX(TblClusters[RAM par nœud (Go)],$B50),"")</f>
        <v>64</v>
      </c>
      <c r="J50" s="14" t="n">
        <f aca="false">IF($D50=1,INDEX(TblClusters[Workers min],$B50),"")</f>
        <v>3</v>
      </c>
      <c r="K50" s="84" t="n">
        <f aca="false">IF($D50=1,INDEX(TblClusters[Tarif par nœud],$B50),"")</f>
        <v>531</v>
      </c>
      <c r="L50" s="14" t="n">
        <f aca="false">IF($D50=1,INDEX(TblClusters[CPU initial (vCPU)],$B50),"")</f>
        <v>320</v>
      </c>
      <c r="M50" s="14" t="n">
        <f aca="false">IF($D50=1,INDEX(TblClusters[RAM initiale (Go)],$B50),"")</f>
        <v>1280</v>
      </c>
      <c r="N50" s="14" t="n">
        <f aca="false">IF($D50=1,INDEX(TblClusters[CPU min (vCPU)],$B50),"")</f>
        <v>48</v>
      </c>
      <c r="O50" s="14" t="n">
        <f aca="false">IF($D50=1,INDEX(TblClusters[RAM min (Go)],$B50),"")</f>
        <v>192</v>
      </c>
      <c r="P50" s="14" t="n">
        <f aca="false">IF($D50&lt;&gt;1,"",IF($G50="ROKS",SUMIFS(TblApplications[Besoin ROKS CPU (vCPU)],TblApplications[Cluster ROKS cible],$F50,TblApplications[Action],"À migrer",TblApplications[Déjà incluse ROKS],"Non",TblApplications[Mois prov (calc)],"&lt;="&amp;$E50),SUMIFS(TblApplications[CPU IKS libérable (vCPU)],TblApplications[Cluster IKS source],$F50,TblApplications[Mois lib (calc)],"&lt;="&amp;$E50)))</f>
        <v>64</v>
      </c>
      <c r="Q50" s="14" t="n">
        <f aca="false">IF($D50&lt;&gt;1,"",IF($G50="ROKS",SUMIFS(TblApplications[Besoin ROKS RAM (Go)],TblApplications[Cluster ROKS cible],$F50,TblApplications[Action],"À migrer",TblApplications[Déjà incluse ROKS],"Non",TblApplications[Mois prov (calc)],"&lt;="&amp;$E50),SUMIFS(TblApplications[RAM IKS libérable (Go)],TblApplications[Cluster IKS source],$F50,TblApplications[Mois lib (calc)],"&lt;="&amp;$E50)))</f>
        <v>256</v>
      </c>
      <c r="R50" s="14" t="n">
        <f aca="false">IF($D50&lt;&gt;1,"",IF($G50="ROKS",$L50+$P50,IF($AI50=1,0,MAX($N50,$L50-$P50))))</f>
        <v>256</v>
      </c>
      <c r="S50" s="14" t="n">
        <f aca="false">IF($D50&lt;&gt;1,"",IF($G50="ROKS",$M50+$Q50,IF($AI50=1,0,MAX($O50,$M50-$Q50))))</f>
        <v>1024</v>
      </c>
      <c r="T50" s="14" t="n">
        <f aca="false">IF($D50&lt;&gt;1,"",IF($AI50=1,0,MAX($J50,ROUNDUP(MAX($R50/$H50,$S50/$I50),0))))</f>
        <v>16</v>
      </c>
      <c r="U50" s="14" t="n">
        <f aca="false">IF($D50&lt;&gt;1,"",IF(p_mode="Nœud",$T50*$H50,$R50))</f>
        <v>256</v>
      </c>
      <c r="V50" s="14" t="n">
        <f aca="false">IF($D50&lt;&gt;1,"",IF(p_mode="Nœud",$T50*$I50,$S50))</f>
        <v>1024</v>
      </c>
      <c r="W50" s="84" t="n">
        <f aca="false">IF($D50&lt;&gt;1,"",IF(p_mode="Nœud",$T50*$K50,$R50*IF($G50="IKS",p_iks_cpu,p_roks_cpu)+$S50*IF($G50="IKS",p_iks_ram,p_roks_ram))*p_facteur)</f>
        <v>8496</v>
      </c>
      <c r="X50" s="14" t="n">
        <f aca="false">IF($D50&lt;&gt;1,"",IF($G50="ROKS",$R50,IF($AI50=1,0,MAX($N50,$L50-SUMIFS(TblApplications[CPU IKS libérable (vCPU)],TblApplications[Cluster IKS source],$F50,TblApplications[Action],"À migrer",TblApplications[Mois prov (calc)],"&lt;="&amp;$E50)-SUMIFS(TblApplications[CPU IKS libérable (vCPU)],TblApplications[Cluster IKS source],$F50,TblApplications[Action],"À décommissionner",TblApplications[Mois lib (calc)],"&lt;="&amp;$E50)))))</f>
        <v>256</v>
      </c>
      <c r="Y50" s="14" t="n">
        <f aca="false">IF($D50&lt;&gt;1,"",IF($G50="ROKS",$S50,IF($AI50=1,0,MAX($O50,$M50-SUMIFS(TblApplications[RAM IKS libérable (Go)],TblApplications[Cluster IKS source],$F50,TblApplications[Action],"À migrer",TblApplications[Mois prov (calc)],"&lt;="&amp;$E50)-SUMIFS(TblApplications[RAM IKS libérable (Go)],TblApplications[Cluster IKS source],$F50,TblApplications[Action],"À décommissionner",TblApplications[Mois lib (calc)],"&lt;="&amp;$E50)))))</f>
        <v>1024</v>
      </c>
      <c r="Z50" s="14" t="n">
        <f aca="false">IF($D50&lt;&gt;1,"",IF($AI50=1,0,MAX($J50,ROUNDUP(MAX($X50/$H50,$Y50/$I50),0))))</f>
        <v>16</v>
      </c>
      <c r="AA50" s="84" t="n">
        <f aca="false">IF($D50&lt;&gt;1,"",IF(p_mode="Nœud",$Z50*$K50,$X50*IF($G50="IKS",p_iks_cpu,p_roks_cpu)+$Y50*IF($G50="IKS",p_iks_ram,p_roks_ram))*p_facteur)</f>
        <v>8496</v>
      </c>
      <c r="AB50" s="14" t="n">
        <f aca="false">IF($D50&lt;&gt;1,"",MAX($J50,ROUNDUP(MAX($L50/$H50,$M50/$I50),0)))</f>
        <v>20</v>
      </c>
      <c r="AC50" s="84" t="n">
        <f aca="false">IF($D50&lt;&gt;1,"",IF(p_mode="Nœud",$AB50*$K50,$L50*IF($G50="IKS",p_iks_cpu,p_roks_cpu)+$M50*IF($G50="IKS",p_iks_ram,p_roks_ram))*p_facteur)</f>
        <v>10620</v>
      </c>
      <c r="AD50" s="14" t="n">
        <f aca="false">IF($D50&lt;&gt;1,"",IF(AND($G50="IKS",$AI50&lt;&gt;1,OR($L50-$P50&lt;$N50,$M50-$Q50&lt;$O50)),1,0))</f>
        <v>0</v>
      </c>
      <c r="AE50" s="14" t="n">
        <f aca="false">IF($D50&lt;&gt;1,"",IF(AND($G50="ROKS",$T50&gt;p_maxworkers),1,0))</f>
        <v>0</v>
      </c>
      <c r="AF50" s="14" t="str">
        <f aca="false">IF($D50&lt;&gt;1,"",IF(INDEX(TblClusters[Environnement],$B50)="","(vide)",INDEX(TblClusters[Environnement],$B50)))</f>
        <v>NPRD</v>
      </c>
      <c r="AG50" s="14" t="n">
        <f aca="false">IF($D50&lt;&gt;1,"",$R50+p_poidsram*$S50)</f>
        <v>358.4</v>
      </c>
      <c r="AH50" s="14" t="n">
        <f aca="false">IF($D50&lt;&gt;1,"",IFERROR($W50/$AG50,0))</f>
        <v>23.7053571428571</v>
      </c>
      <c r="AI50" s="14" t="n">
        <f aca="false">IF($D50&lt;&gt;1,"",IF(AND($G50="IKS",ISNUMBER(INDEX(TblClusters[Fermeture retenue],$B50))),IF($E50&gt;=INDEX(TblClusters[Fermeture retenue],$B50),1,0),0))</f>
        <v>0</v>
      </c>
    </row>
    <row r="51" customFormat="false" ht="15" hidden="false" customHeight="false" outlineLevel="0" collapsed="false">
      <c r="A51" s="14" t="n">
        <v>46</v>
      </c>
      <c r="B51" s="14" t="n">
        <f aca="false">INT(($A51-1)/36)+1</f>
        <v>2</v>
      </c>
      <c r="C51" s="14" t="n">
        <f aca="false">MOD($A51-1,36)+1</f>
        <v>10</v>
      </c>
      <c r="D51" s="14" t="n">
        <f aca="false">IF($C51&gt;p_horizon,0,IFERROR(IF(AND(INDEX(TblClusters[Cluster],$B51)&lt;&gt;"",ISNUMBER(INDEX(TblClusters[CPU initial (vCPU)],$B51)),ISNUMBER(INDEX(TblClusters[CPU min (vCPU)],$B51)),OR(INDEX(TblClusters[Plateforme],$B51)="IKS",INDEX(TblClusters[Plateforme],$B51)="ROKS")),1,0),0))</f>
        <v>1</v>
      </c>
      <c r="E51" s="83" t="n">
        <f aca="false">IF($D51=1,EDATE(p_debut,$C51-1),"")</f>
        <v>46569</v>
      </c>
      <c r="F51" s="14" t="str">
        <f aca="false">IF($D51=1,INDEX(TblClusters[Cluster],$B51),"")</f>
        <v>IKS-NPR-01</v>
      </c>
      <c r="G51" s="14" t="str">
        <f aca="false">IF($D51=1,INDEX(TblClusters[Plateforme],$B51),"")</f>
        <v>IKS</v>
      </c>
      <c r="H51" s="14" t="n">
        <f aca="false">IF($D51=1,INDEX(TblClusters[vCPU par nœud],$B51),"")</f>
        <v>16</v>
      </c>
      <c r="I51" s="14" t="n">
        <f aca="false">IF($D51=1,INDEX(TblClusters[RAM par nœud (Go)],$B51),"")</f>
        <v>64</v>
      </c>
      <c r="J51" s="14" t="n">
        <f aca="false">IF($D51=1,INDEX(TblClusters[Workers min],$B51),"")</f>
        <v>3</v>
      </c>
      <c r="K51" s="84" t="n">
        <f aca="false">IF($D51=1,INDEX(TblClusters[Tarif par nœud],$B51),"")</f>
        <v>531</v>
      </c>
      <c r="L51" s="14" t="n">
        <f aca="false">IF($D51=1,INDEX(TblClusters[CPU initial (vCPU)],$B51),"")</f>
        <v>320</v>
      </c>
      <c r="M51" s="14" t="n">
        <f aca="false">IF($D51=1,INDEX(TblClusters[RAM initiale (Go)],$B51),"")</f>
        <v>1280</v>
      </c>
      <c r="N51" s="14" t="n">
        <f aca="false">IF($D51=1,INDEX(TblClusters[CPU min (vCPU)],$B51),"")</f>
        <v>48</v>
      </c>
      <c r="O51" s="14" t="n">
        <f aca="false">IF($D51=1,INDEX(TblClusters[RAM min (Go)],$B51),"")</f>
        <v>192</v>
      </c>
      <c r="P51" s="14" t="n">
        <f aca="false">IF($D51&lt;&gt;1,"",IF($G51="ROKS",SUMIFS(TblApplications[Besoin ROKS CPU (vCPU)],TblApplications[Cluster ROKS cible],$F51,TblApplications[Action],"À migrer",TblApplications[Déjà incluse ROKS],"Non",TblApplications[Mois prov (calc)],"&lt;="&amp;$E51),SUMIFS(TblApplications[CPU IKS libérable (vCPU)],TblApplications[Cluster IKS source],$F51,TblApplications[Mois lib (calc)],"&lt;="&amp;$E51)))</f>
        <v>64</v>
      </c>
      <c r="Q51" s="14" t="n">
        <f aca="false">IF($D51&lt;&gt;1,"",IF($G51="ROKS",SUMIFS(TblApplications[Besoin ROKS RAM (Go)],TblApplications[Cluster ROKS cible],$F51,TblApplications[Action],"À migrer",TblApplications[Déjà incluse ROKS],"Non",TblApplications[Mois prov (calc)],"&lt;="&amp;$E51),SUMIFS(TblApplications[RAM IKS libérable (Go)],TblApplications[Cluster IKS source],$F51,TblApplications[Mois lib (calc)],"&lt;="&amp;$E51)))</f>
        <v>256</v>
      </c>
      <c r="R51" s="14" t="n">
        <f aca="false">IF($D51&lt;&gt;1,"",IF($G51="ROKS",$L51+$P51,IF($AI51=1,0,MAX($N51,$L51-$P51))))</f>
        <v>256</v>
      </c>
      <c r="S51" s="14" t="n">
        <f aca="false">IF($D51&lt;&gt;1,"",IF($G51="ROKS",$M51+$Q51,IF($AI51=1,0,MAX($O51,$M51-$Q51))))</f>
        <v>1024</v>
      </c>
      <c r="T51" s="14" t="n">
        <f aca="false">IF($D51&lt;&gt;1,"",IF($AI51=1,0,MAX($J51,ROUNDUP(MAX($R51/$H51,$S51/$I51),0))))</f>
        <v>16</v>
      </c>
      <c r="U51" s="14" t="n">
        <f aca="false">IF($D51&lt;&gt;1,"",IF(p_mode="Nœud",$T51*$H51,$R51))</f>
        <v>256</v>
      </c>
      <c r="V51" s="14" t="n">
        <f aca="false">IF($D51&lt;&gt;1,"",IF(p_mode="Nœud",$T51*$I51,$S51))</f>
        <v>1024</v>
      </c>
      <c r="W51" s="84" t="n">
        <f aca="false">IF($D51&lt;&gt;1,"",IF(p_mode="Nœud",$T51*$K51,$R51*IF($G51="IKS",p_iks_cpu,p_roks_cpu)+$S51*IF($G51="IKS",p_iks_ram,p_roks_ram))*p_facteur)</f>
        <v>8496</v>
      </c>
      <c r="X51" s="14" t="n">
        <f aca="false">IF($D51&lt;&gt;1,"",IF($G51="ROKS",$R51,IF($AI51=1,0,MAX($N51,$L51-SUMIFS(TblApplications[CPU IKS libérable (vCPU)],TblApplications[Cluster IKS source],$F51,TblApplications[Action],"À migrer",TblApplications[Mois prov (calc)],"&lt;="&amp;$E51)-SUMIFS(TblApplications[CPU IKS libérable (vCPU)],TblApplications[Cluster IKS source],$F51,TblApplications[Action],"À décommissionner",TblApplications[Mois lib (calc)],"&lt;="&amp;$E51)))))</f>
        <v>256</v>
      </c>
      <c r="Y51" s="14" t="n">
        <f aca="false">IF($D51&lt;&gt;1,"",IF($G51="ROKS",$S51,IF($AI51=1,0,MAX($O51,$M51-SUMIFS(TblApplications[RAM IKS libérable (Go)],TblApplications[Cluster IKS source],$F51,TblApplications[Action],"À migrer",TblApplications[Mois prov (calc)],"&lt;="&amp;$E51)-SUMIFS(TblApplications[RAM IKS libérable (Go)],TblApplications[Cluster IKS source],$F51,TblApplications[Action],"À décommissionner",TblApplications[Mois lib (calc)],"&lt;="&amp;$E51)))))</f>
        <v>1024</v>
      </c>
      <c r="Z51" s="14" t="n">
        <f aca="false">IF($D51&lt;&gt;1,"",IF($AI51=1,0,MAX($J51,ROUNDUP(MAX($X51/$H51,$Y51/$I51),0))))</f>
        <v>16</v>
      </c>
      <c r="AA51" s="84" t="n">
        <f aca="false">IF($D51&lt;&gt;1,"",IF(p_mode="Nœud",$Z51*$K51,$X51*IF($G51="IKS",p_iks_cpu,p_roks_cpu)+$Y51*IF($G51="IKS",p_iks_ram,p_roks_ram))*p_facteur)</f>
        <v>8496</v>
      </c>
      <c r="AB51" s="14" t="n">
        <f aca="false">IF($D51&lt;&gt;1,"",MAX($J51,ROUNDUP(MAX($L51/$H51,$M51/$I51),0)))</f>
        <v>20</v>
      </c>
      <c r="AC51" s="84" t="n">
        <f aca="false">IF($D51&lt;&gt;1,"",IF(p_mode="Nœud",$AB51*$K51,$L51*IF($G51="IKS",p_iks_cpu,p_roks_cpu)+$M51*IF($G51="IKS",p_iks_ram,p_roks_ram))*p_facteur)</f>
        <v>10620</v>
      </c>
      <c r="AD51" s="14" t="n">
        <f aca="false">IF($D51&lt;&gt;1,"",IF(AND($G51="IKS",$AI51&lt;&gt;1,OR($L51-$P51&lt;$N51,$M51-$Q51&lt;$O51)),1,0))</f>
        <v>0</v>
      </c>
      <c r="AE51" s="14" t="n">
        <f aca="false">IF($D51&lt;&gt;1,"",IF(AND($G51="ROKS",$T51&gt;p_maxworkers),1,0))</f>
        <v>0</v>
      </c>
      <c r="AF51" s="14" t="str">
        <f aca="false">IF($D51&lt;&gt;1,"",IF(INDEX(TblClusters[Environnement],$B51)="","(vide)",INDEX(TblClusters[Environnement],$B51)))</f>
        <v>NPRD</v>
      </c>
      <c r="AG51" s="14" t="n">
        <f aca="false">IF($D51&lt;&gt;1,"",$R51+p_poidsram*$S51)</f>
        <v>358.4</v>
      </c>
      <c r="AH51" s="14" t="n">
        <f aca="false">IF($D51&lt;&gt;1,"",IFERROR($W51/$AG51,0))</f>
        <v>23.7053571428571</v>
      </c>
      <c r="AI51" s="14" t="n">
        <f aca="false">IF($D51&lt;&gt;1,"",IF(AND($G51="IKS",ISNUMBER(INDEX(TblClusters[Fermeture retenue],$B51))),IF($E51&gt;=INDEX(TblClusters[Fermeture retenue],$B51),1,0),0))</f>
        <v>0</v>
      </c>
    </row>
    <row r="52" customFormat="false" ht="15" hidden="false" customHeight="false" outlineLevel="0" collapsed="false">
      <c r="A52" s="14" t="n">
        <v>47</v>
      </c>
      <c r="B52" s="14" t="n">
        <f aca="false">INT(($A52-1)/36)+1</f>
        <v>2</v>
      </c>
      <c r="C52" s="14" t="n">
        <f aca="false">MOD($A52-1,36)+1</f>
        <v>11</v>
      </c>
      <c r="D52" s="14" t="n">
        <f aca="false">IF($C52&gt;p_horizon,0,IFERROR(IF(AND(INDEX(TblClusters[Cluster],$B52)&lt;&gt;"",ISNUMBER(INDEX(TblClusters[CPU initial (vCPU)],$B52)),ISNUMBER(INDEX(TblClusters[CPU min (vCPU)],$B52)),OR(INDEX(TblClusters[Plateforme],$B52)="IKS",INDEX(TblClusters[Plateforme],$B52)="ROKS")),1,0),0))</f>
        <v>1</v>
      </c>
      <c r="E52" s="83" t="n">
        <f aca="false">IF($D52=1,EDATE(p_debut,$C52-1),"")</f>
        <v>46600</v>
      </c>
      <c r="F52" s="14" t="str">
        <f aca="false">IF($D52=1,INDEX(TblClusters[Cluster],$B52),"")</f>
        <v>IKS-NPR-01</v>
      </c>
      <c r="G52" s="14" t="str">
        <f aca="false">IF($D52=1,INDEX(TblClusters[Plateforme],$B52),"")</f>
        <v>IKS</v>
      </c>
      <c r="H52" s="14" t="n">
        <f aca="false">IF($D52=1,INDEX(TblClusters[vCPU par nœud],$B52),"")</f>
        <v>16</v>
      </c>
      <c r="I52" s="14" t="n">
        <f aca="false">IF($D52=1,INDEX(TblClusters[RAM par nœud (Go)],$B52),"")</f>
        <v>64</v>
      </c>
      <c r="J52" s="14" t="n">
        <f aca="false">IF($D52=1,INDEX(TblClusters[Workers min],$B52),"")</f>
        <v>3</v>
      </c>
      <c r="K52" s="84" t="n">
        <f aca="false">IF($D52=1,INDEX(TblClusters[Tarif par nœud],$B52),"")</f>
        <v>531</v>
      </c>
      <c r="L52" s="14" t="n">
        <f aca="false">IF($D52=1,INDEX(TblClusters[CPU initial (vCPU)],$B52),"")</f>
        <v>320</v>
      </c>
      <c r="M52" s="14" t="n">
        <f aca="false">IF($D52=1,INDEX(TblClusters[RAM initiale (Go)],$B52),"")</f>
        <v>1280</v>
      </c>
      <c r="N52" s="14" t="n">
        <f aca="false">IF($D52=1,INDEX(TblClusters[CPU min (vCPU)],$B52),"")</f>
        <v>48</v>
      </c>
      <c r="O52" s="14" t="n">
        <f aca="false">IF($D52=1,INDEX(TblClusters[RAM min (Go)],$B52),"")</f>
        <v>192</v>
      </c>
      <c r="P52" s="14" t="n">
        <f aca="false">IF($D52&lt;&gt;1,"",IF($G52="ROKS",SUMIFS(TblApplications[Besoin ROKS CPU (vCPU)],TblApplications[Cluster ROKS cible],$F52,TblApplications[Action],"À migrer",TblApplications[Déjà incluse ROKS],"Non",TblApplications[Mois prov (calc)],"&lt;="&amp;$E52),SUMIFS(TblApplications[CPU IKS libérable (vCPU)],TblApplications[Cluster IKS source],$F52,TblApplications[Mois lib (calc)],"&lt;="&amp;$E52)))</f>
        <v>64</v>
      </c>
      <c r="Q52" s="14" t="n">
        <f aca="false">IF($D52&lt;&gt;1,"",IF($G52="ROKS",SUMIFS(TblApplications[Besoin ROKS RAM (Go)],TblApplications[Cluster ROKS cible],$F52,TblApplications[Action],"À migrer",TblApplications[Déjà incluse ROKS],"Non",TblApplications[Mois prov (calc)],"&lt;="&amp;$E52),SUMIFS(TblApplications[RAM IKS libérable (Go)],TblApplications[Cluster IKS source],$F52,TblApplications[Mois lib (calc)],"&lt;="&amp;$E52)))</f>
        <v>256</v>
      </c>
      <c r="R52" s="14" t="n">
        <f aca="false">IF($D52&lt;&gt;1,"",IF($G52="ROKS",$L52+$P52,IF($AI52=1,0,MAX($N52,$L52-$P52))))</f>
        <v>256</v>
      </c>
      <c r="S52" s="14" t="n">
        <f aca="false">IF($D52&lt;&gt;1,"",IF($G52="ROKS",$M52+$Q52,IF($AI52=1,0,MAX($O52,$M52-$Q52))))</f>
        <v>1024</v>
      </c>
      <c r="T52" s="14" t="n">
        <f aca="false">IF($D52&lt;&gt;1,"",IF($AI52=1,0,MAX($J52,ROUNDUP(MAX($R52/$H52,$S52/$I52),0))))</f>
        <v>16</v>
      </c>
      <c r="U52" s="14" t="n">
        <f aca="false">IF($D52&lt;&gt;1,"",IF(p_mode="Nœud",$T52*$H52,$R52))</f>
        <v>256</v>
      </c>
      <c r="V52" s="14" t="n">
        <f aca="false">IF($D52&lt;&gt;1,"",IF(p_mode="Nœud",$T52*$I52,$S52))</f>
        <v>1024</v>
      </c>
      <c r="W52" s="84" t="n">
        <f aca="false">IF($D52&lt;&gt;1,"",IF(p_mode="Nœud",$T52*$K52,$R52*IF($G52="IKS",p_iks_cpu,p_roks_cpu)+$S52*IF($G52="IKS",p_iks_ram,p_roks_ram))*p_facteur)</f>
        <v>8496</v>
      </c>
      <c r="X52" s="14" t="n">
        <f aca="false">IF($D52&lt;&gt;1,"",IF($G52="ROKS",$R52,IF($AI52=1,0,MAX($N52,$L52-SUMIFS(TblApplications[CPU IKS libérable (vCPU)],TblApplications[Cluster IKS source],$F52,TblApplications[Action],"À migrer",TblApplications[Mois prov (calc)],"&lt;="&amp;$E52)-SUMIFS(TblApplications[CPU IKS libérable (vCPU)],TblApplications[Cluster IKS source],$F52,TblApplications[Action],"À décommissionner",TblApplications[Mois lib (calc)],"&lt;="&amp;$E52)))))</f>
        <v>256</v>
      </c>
      <c r="Y52" s="14" t="n">
        <f aca="false">IF($D52&lt;&gt;1,"",IF($G52="ROKS",$S52,IF($AI52=1,0,MAX($O52,$M52-SUMIFS(TblApplications[RAM IKS libérable (Go)],TblApplications[Cluster IKS source],$F52,TblApplications[Action],"À migrer",TblApplications[Mois prov (calc)],"&lt;="&amp;$E52)-SUMIFS(TblApplications[RAM IKS libérable (Go)],TblApplications[Cluster IKS source],$F52,TblApplications[Action],"À décommissionner",TblApplications[Mois lib (calc)],"&lt;="&amp;$E52)))))</f>
        <v>1024</v>
      </c>
      <c r="Z52" s="14" t="n">
        <f aca="false">IF($D52&lt;&gt;1,"",IF($AI52=1,0,MAX($J52,ROUNDUP(MAX($X52/$H52,$Y52/$I52),0))))</f>
        <v>16</v>
      </c>
      <c r="AA52" s="84" t="n">
        <f aca="false">IF($D52&lt;&gt;1,"",IF(p_mode="Nœud",$Z52*$K52,$X52*IF($G52="IKS",p_iks_cpu,p_roks_cpu)+$Y52*IF($G52="IKS",p_iks_ram,p_roks_ram))*p_facteur)</f>
        <v>8496</v>
      </c>
      <c r="AB52" s="14" t="n">
        <f aca="false">IF($D52&lt;&gt;1,"",MAX($J52,ROUNDUP(MAX($L52/$H52,$M52/$I52),0)))</f>
        <v>20</v>
      </c>
      <c r="AC52" s="84" t="n">
        <f aca="false">IF($D52&lt;&gt;1,"",IF(p_mode="Nœud",$AB52*$K52,$L52*IF($G52="IKS",p_iks_cpu,p_roks_cpu)+$M52*IF($G52="IKS",p_iks_ram,p_roks_ram))*p_facteur)</f>
        <v>10620</v>
      </c>
      <c r="AD52" s="14" t="n">
        <f aca="false">IF($D52&lt;&gt;1,"",IF(AND($G52="IKS",$AI52&lt;&gt;1,OR($L52-$P52&lt;$N52,$M52-$Q52&lt;$O52)),1,0))</f>
        <v>0</v>
      </c>
      <c r="AE52" s="14" t="n">
        <f aca="false">IF($D52&lt;&gt;1,"",IF(AND($G52="ROKS",$T52&gt;p_maxworkers),1,0))</f>
        <v>0</v>
      </c>
      <c r="AF52" s="14" t="str">
        <f aca="false">IF($D52&lt;&gt;1,"",IF(INDEX(TblClusters[Environnement],$B52)="","(vide)",INDEX(TblClusters[Environnement],$B52)))</f>
        <v>NPRD</v>
      </c>
      <c r="AG52" s="14" t="n">
        <f aca="false">IF($D52&lt;&gt;1,"",$R52+p_poidsram*$S52)</f>
        <v>358.4</v>
      </c>
      <c r="AH52" s="14" t="n">
        <f aca="false">IF($D52&lt;&gt;1,"",IFERROR($W52/$AG52,0))</f>
        <v>23.7053571428571</v>
      </c>
      <c r="AI52" s="14" t="n">
        <f aca="false">IF($D52&lt;&gt;1,"",IF(AND($G52="IKS",ISNUMBER(INDEX(TblClusters[Fermeture retenue],$B52))),IF($E52&gt;=INDEX(TblClusters[Fermeture retenue],$B52),1,0),0))</f>
        <v>0</v>
      </c>
    </row>
    <row r="53" customFormat="false" ht="15" hidden="false" customHeight="false" outlineLevel="0" collapsed="false">
      <c r="A53" s="14" t="n">
        <v>48</v>
      </c>
      <c r="B53" s="14" t="n">
        <f aca="false">INT(($A53-1)/36)+1</f>
        <v>2</v>
      </c>
      <c r="C53" s="14" t="n">
        <f aca="false">MOD($A53-1,36)+1</f>
        <v>12</v>
      </c>
      <c r="D53" s="14" t="n">
        <f aca="false">IF($C53&gt;p_horizon,0,IFERROR(IF(AND(INDEX(TblClusters[Cluster],$B53)&lt;&gt;"",ISNUMBER(INDEX(TblClusters[CPU initial (vCPU)],$B53)),ISNUMBER(INDEX(TblClusters[CPU min (vCPU)],$B53)),OR(INDEX(TblClusters[Plateforme],$B53)="IKS",INDEX(TblClusters[Plateforme],$B53)="ROKS")),1,0),0))</f>
        <v>1</v>
      </c>
      <c r="E53" s="83" t="n">
        <f aca="false">IF($D53=1,EDATE(p_debut,$C53-1),"")</f>
        <v>46631</v>
      </c>
      <c r="F53" s="14" t="str">
        <f aca="false">IF($D53=1,INDEX(TblClusters[Cluster],$B53),"")</f>
        <v>IKS-NPR-01</v>
      </c>
      <c r="G53" s="14" t="str">
        <f aca="false">IF($D53=1,INDEX(TblClusters[Plateforme],$B53),"")</f>
        <v>IKS</v>
      </c>
      <c r="H53" s="14" t="n">
        <f aca="false">IF($D53=1,INDEX(TblClusters[vCPU par nœud],$B53),"")</f>
        <v>16</v>
      </c>
      <c r="I53" s="14" t="n">
        <f aca="false">IF($D53=1,INDEX(TblClusters[RAM par nœud (Go)],$B53),"")</f>
        <v>64</v>
      </c>
      <c r="J53" s="14" t="n">
        <f aca="false">IF($D53=1,INDEX(TblClusters[Workers min],$B53),"")</f>
        <v>3</v>
      </c>
      <c r="K53" s="84" t="n">
        <f aca="false">IF($D53=1,INDEX(TblClusters[Tarif par nœud],$B53),"")</f>
        <v>531</v>
      </c>
      <c r="L53" s="14" t="n">
        <f aca="false">IF($D53=1,INDEX(TblClusters[CPU initial (vCPU)],$B53),"")</f>
        <v>320</v>
      </c>
      <c r="M53" s="14" t="n">
        <f aca="false">IF($D53=1,INDEX(TblClusters[RAM initiale (Go)],$B53),"")</f>
        <v>1280</v>
      </c>
      <c r="N53" s="14" t="n">
        <f aca="false">IF($D53=1,INDEX(TblClusters[CPU min (vCPU)],$B53),"")</f>
        <v>48</v>
      </c>
      <c r="O53" s="14" t="n">
        <f aca="false">IF($D53=1,INDEX(TblClusters[RAM min (Go)],$B53),"")</f>
        <v>192</v>
      </c>
      <c r="P53" s="14" t="n">
        <f aca="false">IF($D53&lt;&gt;1,"",IF($G53="ROKS",SUMIFS(TblApplications[Besoin ROKS CPU (vCPU)],TblApplications[Cluster ROKS cible],$F53,TblApplications[Action],"À migrer",TblApplications[Déjà incluse ROKS],"Non",TblApplications[Mois prov (calc)],"&lt;="&amp;$E53),SUMIFS(TblApplications[CPU IKS libérable (vCPU)],TblApplications[Cluster IKS source],$F53,TblApplications[Mois lib (calc)],"&lt;="&amp;$E53)))</f>
        <v>64</v>
      </c>
      <c r="Q53" s="14" t="n">
        <f aca="false">IF($D53&lt;&gt;1,"",IF($G53="ROKS",SUMIFS(TblApplications[Besoin ROKS RAM (Go)],TblApplications[Cluster ROKS cible],$F53,TblApplications[Action],"À migrer",TblApplications[Déjà incluse ROKS],"Non",TblApplications[Mois prov (calc)],"&lt;="&amp;$E53),SUMIFS(TblApplications[RAM IKS libérable (Go)],TblApplications[Cluster IKS source],$F53,TblApplications[Mois lib (calc)],"&lt;="&amp;$E53)))</f>
        <v>256</v>
      </c>
      <c r="R53" s="14" t="n">
        <f aca="false">IF($D53&lt;&gt;1,"",IF($G53="ROKS",$L53+$P53,IF($AI53=1,0,MAX($N53,$L53-$P53))))</f>
        <v>256</v>
      </c>
      <c r="S53" s="14" t="n">
        <f aca="false">IF($D53&lt;&gt;1,"",IF($G53="ROKS",$M53+$Q53,IF($AI53=1,0,MAX($O53,$M53-$Q53))))</f>
        <v>1024</v>
      </c>
      <c r="T53" s="14" t="n">
        <f aca="false">IF($D53&lt;&gt;1,"",IF($AI53=1,0,MAX($J53,ROUNDUP(MAX($R53/$H53,$S53/$I53),0))))</f>
        <v>16</v>
      </c>
      <c r="U53" s="14" t="n">
        <f aca="false">IF($D53&lt;&gt;1,"",IF(p_mode="Nœud",$T53*$H53,$R53))</f>
        <v>256</v>
      </c>
      <c r="V53" s="14" t="n">
        <f aca="false">IF($D53&lt;&gt;1,"",IF(p_mode="Nœud",$T53*$I53,$S53))</f>
        <v>1024</v>
      </c>
      <c r="W53" s="84" t="n">
        <f aca="false">IF($D53&lt;&gt;1,"",IF(p_mode="Nœud",$T53*$K53,$R53*IF($G53="IKS",p_iks_cpu,p_roks_cpu)+$S53*IF($G53="IKS",p_iks_ram,p_roks_ram))*p_facteur)</f>
        <v>8496</v>
      </c>
      <c r="X53" s="14" t="n">
        <f aca="false">IF($D53&lt;&gt;1,"",IF($G53="ROKS",$R53,IF($AI53=1,0,MAX($N53,$L53-SUMIFS(TblApplications[CPU IKS libérable (vCPU)],TblApplications[Cluster IKS source],$F53,TblApplications[Action],"À migrer",TblApplications[Mois prov (calc)],"&lt;="&amp;$E53)-SUMIFS(TblApplications[CPU IKS libérable (vCPU)],TblApplications[Cluster IKS source],$F53,TblApplications[Action],"À décommissionner",TblApplications[Mois lib (calc)],"&lt;="&amp;$E53)))))</f>
        <v>224</v>
      </c>
      <c r="Y53" s="14" t="n">
        <f aca="false">IF($D53&lt;&gt;1,"",IF($G53="ROKS",$S53,IF($AI53=1,0,MAX($O53,$M53-SUMIFS(TblApplications[RAM IKS libérable (Go)],TblApplications[Cluster IKS source],$F53,TblApplications[Action],"À migrer",TblApplications[Mois prov (calc)],"&lt;="&amp;$E53)-SUMIFS(TblApplications[RAM IKS libérable (Go)],TblApplications[Cluster IKS source],$F53,TblApplications[Action],"À décommissionner",TblApplications[Mois lib (calc)],"&lt;="&amp;$E53)))))</f>
        <v>896</v>
      </c>
      <c r="Z53" s="14" t="n">
        <f aca="false">IF($D53&lt;&gt;1,"",IF($AI53=1,0,MAX($J53,ROUNDUP(MAX($X53/$H53,$Y53/$I53),0))))</f>
        <v>14</v>
      </c>
      <c r="AA53" s="84" t="n">
        <f aca="false">IF($D53&lt;&gt;1,"",IF(p_mode="Nœud",$Z53*$K53,$X53*IF($G53="IKS",p_iks_cpu,p_roks_cpu)+$Y53*IF($G53="IKS",p_iks_ram,p_roks_ram))*p_facteur)</f>
        <v>7434</v>
      </c>
      <c r="AB53" s="14" t="n">
        <f aca="false">IF($D53&lt;&gt;1,"",MAX($J53,ROUNDUP(MAX($L53/$H53,$M53/$I53),0)))</f>
        <v>20</v>
      </c>
      <c r="AC53" s="84" t="n">
        <f aca="false">IF($D53&lt;&gt;1,"",IF(p_mode="Nœud",$AB53*$K53,$L53*IF($G53="IKS",p_iks_cpu,p_roks_cpu)+$M53*IF($G53="IKS",p_iks_ram,p_roks_ram))*p_facteur)</f>
        <v>10620</v>
      </c>
      <c r="AD53" s="14" t="n">
        <f aca="false">IF($D53&lt;&gt;1,"",IF(AND($G53="IKS",$AI53&lt;&gt;1,OR($L53-$P53&lt;$N53,$M53-$Q53&lt;$O53)),1,0))</f>
        <v>0</v>
      </c>
      <c r="AE53" s="14" t="n">
        <f aca="false">IF($D53&lt;&gt;1,"",IF(AND($G53="ROKS",$T53&gt;p_maxworkers),1,0))</f>
        <v>0</v>
      </c>
      <c r="AF53" s="14" t="str">
        <f aca="false">IF($D53&lt;&gt;1,"",IF(INDEX(TblClusters[Environnement],$B53)="","(vide)",INDEX(TblClusters[Environnement],$B53)))</f>
        <v>NPRD</v>
      </c>
      <c r="AG53" s="14" t="n">
        <f aca="false">IF($D53&lt;&gt;1,"",$R53+p_poidsram*$S53)</f>
        <v>358.4</v>
      </c>
      <c r="AH53" s="14" t="n">
        <f aca="false">IF($D53&lt;&gt;1,"",IFERROR($W53/$AG53,0))</f>
        <v>23.7053571428571</v>
      </c>
      <c r="AI53" s="14" t="n">
        <f aca="false">IF($D53&lt;&gt;1,"",IF(AND($G53="IKS",ISNUMBER(INDEX(TblClusters[Fermeture retenue],$B53))),IF($E53&gt;=INDEX(TblClusters[Fermeture retenue],$B53),1,0),0))</f>
        <v>0</v>
      </c>
    </row>
    <row r="54" customFormat="false" ht="15" hidden="false" customHeight="false" outlineLevel="0" collapsed="false">
      <c r="A54" s="14" t="n">
        <v>49</v>
      </c>
      <c r="B54" s="14" t="n">
        <f aca="false">INT(($A54-1)/36)+1</f>
        <v>2</v>
      </c>
      <c r="C54" s="14" t="n">
        <f aca="false">MOD($A54-1,36)+1</f>
        <v>13</v>
      </c>
      <c r="D54" s="14" t="n">
        <f aca="false">IF($C54&gt;p_horizon,0,IFERROR(IF(AND(INDEX(TblClusters[Cluster],$B54)&lt;&gt;"",ISNUMBER(INDEX(TblClusters[CPU initial (vCPU)],$B54)),ISNUMBER(INDEX(TblClusters[CPU min (vCPU)],$B54)),OR(INDEX(TblClusters[Plateforme],$B54)="IKS",INDEX(TblClusters[Plateforme],$B54)="ROKS")),1,0),0))</f>
        <v>1</v>
      </c>
      <c r="E54" s="83" t="n">
        <f aca="false">IF($D54=1,EDATE(p_debut,$C54-1),"")</f>
        <v>46661</v>
      </c>
      <c r="F54" s="14" t="str">
        <f aca="false">IF($D54=1,INDEX(TblClusters[Cluster],$B54),"")</f>
        <v>IKS-NPR-01</v>
      </c>
      <c r="G54" s="14" t="str">
        <f aca="false">IF($D54=1,INDEX(TblClusters[Plateforme],$B54),"")</f>
        <v>IKS</v>
      </c>
      <c r="H54" s="14" t="n">
        <f aca="false">IF($D54=1,INDEX(TblClusters[vCPU par nœud],$B54),"")</f>
        <v>16</v>
      </c>
      <c r="I54" s="14" t="n">
        <f aca="false">IF($D54=1,INDEX(TblClusters[RAM par nœud (Go)],$B54),"")</f>
        <v>64</v>
      </c>
      <c r="J54" s="14" t="n">
        <f aca="false">IF($D54=1,INDEX(TblClusters[Workers min],$B54),"")</f>
        <v>3</v>
      </c>
      <c r="K54" s="84" t="n">
        <f aca="false">IF($D54=1,INDEX(TblClusters[Tarif par nœud],$B54),"")</f>
        <v>531</v>
      </c>
      <c r="L54" s="14" t="n">
        <f aca="false">IF($D54=1,INDEX(TblClusters[CPU initial (vCPU)],$B54),"")</f>
        <v>320</v>
      </c>
      <c r="M54" s="14" t="n">
        <f aca="false">IF($D54=1,INDEX(TblClusters[RAM initiale (Go)],$B54),"")</f>
        <v>1280</v>
      </c>
      <c r="N54" s="14" t="n">
        <f aca="false">IF($D54=1,INDEX(TblClusters[CPU min (vCPU)],$B54),"")</f>
        <v>48</v>
      </c>
      <c r="O54" s="14" t="n">
        <f aca="false">IF($D54=1,INDEX(TblClusters[RAM min (Go)],$B54),"")</f>
        <v>192</v>
      </c>
      <c r="P54" s="14" t="n">
        <f aca="false">IF($D54&lt;&gt;1,"",IF($G54="ROKS",SUMIFS(TblApplications[Besoin ROKS CPU (vCPU)],TblApplications[Cluster ROKS cible],$F54,TblApplications[Action],"À migrer",TblApplications[Déjà incluse ROKS],"Non",TblApplications[Mois prov (calc)],"&lt;="&amp;$E54),SUMIFS(TblApplications[CPU IKS libérable (vCPU)],TblApplications[Cluster IKS source],$F54,TblApplications[Mois lib (calc)],"&lt;="&amp;$E54)))</f>
        <v>96</v>
      </c>
      <c r="Q54" s="14" t="n">
        <f aca="false">IF($D54&lt;&gt;1,"",IF($G54="ROKS",SUMIFS(TblApplications[Besoin ROKS RAM (Go)],TblApplications[Cluster ROKS cible],$F54,TblApplications[Action],"À migrer",TblApplications[Déjà incluse ROKS],"Non",TblApplications[Mois prov (calc)],"&lt;="&amp;$E54),SUMIFS(TblApplications[RAM IKS libérable (Go)],TblApplications[Cluster IKS source],$F54,TblApplications[Mois lib (calc)],"&lt;="&amp;$E54)))</f>
        <v>384</v>
      </c>
      <c r="R54" s="14" t="n">
        <f aca="false">IF($D54&lt;&gt;1,"",IF($G54="ROKS",$L54+$P54,IF($AI54=1,0,MAX($N54,$L54-$P54))))</f>
        <v>224</v>
      </c>
      <c r="S54" s="14" t="n">
        <f aca="false">IF($D54&lt;&gt;1,"",IF($G54="ROKS",$M54+$Q54,IF($AI54=1,0,MAX($O54,$M54-$Q54))))</f>
        <v>896</v>
      </c>
      <c r="T54" s="14" t="n">
        <f aca="false">IF($D54&lt;&gt;1,"",IF($AI54=1,0,MAX($J54,ROUNDUP(MAX($R54/$H54,$S54/$I54),0))))</f>
        <v>14</v>
      </c>
      <c r="U54" s="14" t="n">
        <f aca="false">IF($D54&lt;&gt;1,"",IF(p_mode="Nœud",$T54*$H54,$R54))</f>
        <v>224</v>
      </c>
      <c r="V54" s="14" t="n">
        <f aca="false">IF($D54&lt;&gt;1,"",IF(p_mode="Nœud",$T54*$I54,$S54))</f>
        <v>896</v>
      </c>
      <c r="W54" s="84" t="n">
        <f aca="false">IF($D54&lt;&gt;1,"",IF(p_mode="Nœud",$T54*$K54,$R54*IF($G54="IKS",p_iks_cpu,p_roks_cpu)+$S54*IF($G54="IKS",p_iks_ram,p_roks_ram))*p_facteur)</f>
        <v>7434</v>
      </c>
      <c r="X54" s="14" t="n">
        <f aca="false">IF($D54&lt;&gt;1,"",IF($G54="ROKS",$R54,IF($AI54=1,0,MAX($N54,$L54-SUMIFS(TblApplications[CPU IKS libérable (vCPU)],TblApplications[Cluster IKS source],$F54,TblApplications[Action],"À migrer",TblApplications[Mois prov (calc)],"&lt;="&amp;$E54)-SUMIFS(TblApplications[CPU IKS libérable (vCPU)],TblApplications[Cluster IKS source],$F54,TblApplications[Action],"À décommissionner",TblApplications[Mois lib (calc)],"&lt;="&amp;$E54)))))</f>
        <v>192</v>
      </c>
      <c r="Y54" s="14" t="n">
        <f aca="false">IF($D54&lt;&gt;1,"",IF($G54="ROKS",$S54,IF($AI54=1,0,MAX($O54,$M54-SUMIFS(TblApplications[RAM IKS libérable (Go)],TblApplications[Cluster IKS source],$F54,TblApplications[Action],"À migrer",TblApplications[Mois prov (calc)],"&lt;="&amp;$E54)-SUMIFS(TblApplications[RAM IKS libérable (Go)],TblApplications[Cluster IKS source],$F54,TblApplications[Action],"À décommissionner",TblApplications[Mois lib (calc)],"&lt;="&amp;$E54)))))</f>
        <v>768</v>
      </c>
      <c r="Z54" s="14" t="n">
        <f aca="false">IF($D54&lt;&gt;1,"",IF($AI54=1,0,MAX($J54,ROUNDUP(MAX($X54/$H54,$Y54/$I54),0))))</f>
        <v>12</v>
      </c>
      <c r="AA54" s="84" t="n">
        <f aca="false">IF($D54&lt;&gt;1,"",IF(p_mode="Nœud",$Z54*$K54,$X54*IF($G54="IKS",p_iks_cpu,p_roks_cpu)+$Y54*IF($G54="IKS",p_iks_ram,p_roks_ram))*p_facteur)</f>
        <v>6372</v>
      </c>
      <c r="AB54" s="14" t="n">
        <f aca="false">IF($D54&lt;&gt;1,"",MAX($J54,ROUNDUP(MAX($L54/$H54,$M54/$I54),0)))</f>
        <v>20</v>
      </c>
      <c r="AC54" s="84" t="n">
        <f aca="false">IF($D54&lt;&gt;1,"",IF(p_mode="Nœud",$AB54*$K54,$L54*IF($G54="IKS",p_iks_cpu,p_roks_cpu)+$M54*IF($G54="IKS",p_iks_ram,p_roks_ram))*p_facteur)</f>
        <v>10620</v>
      </c>
      <c r="AD54" s="14" t="n">
        <f aca="false">IF($D54&lt;&gt;1,"",IF(AND($G54="IKS",$AI54&lt;&gt;1,OR($L54-$P54&lt;$N54,$M54-$Q54&lt;$O54)),1,0))</f>
        <v>0</v>
      </c>
      <c r="AE54" s="14" t="n">
        <f aca="false">IF($D54&lt;&gt;1,"",IF(AND($G54="ROKS",$T54&gt;p_maxworkers),1,0))</f>
        <v>0</v>
      </c>
      <c r="AF54" s="14" t="str">
        <f aca="false">IF($D54&lt;&gt;1,"",IF(INDEX(TblClusters[Environnement],$B54)="","(vide)",INDEX(TblClusters[Environnement],$B54)))</f>
        <v>NPRD</v>
      </c>
      <c r="AG54" s="14" t="n">
        <f aca="false">IF($D54&lt;&gt;1,"",$R54+p_poidsram*$S54)</f>
        <v>313.6</v>
      </c>
      <c r="AH54" s="14" t="n">
        <f aca="false">IF($D54&lt;&gt;1,"",IFERROR($W54/$AG54,0))</f>
        <v>23.7053571428571</v>
      </c>
      <c r="AI54" s="14" t="n">
        <f aca="false">IF($D54&lt;&gt;1,"",IF(AND($G54="IKS",ISNUMBER(INDEX(TblClusters[Fermeture retenue],$B54))),IF($E54&gt;=INDEX(TblClusters[Fermeture retenue],$B54),1,0),0))</f>
        <v>0</v>
      </c>
    </row>
    <row r="55" customFormat="false" ht="15" hidden="false" customHeight="false" outlineLevel="0" collapsed="false">
      <c r="A55" s="14" t="n">
        <v>50</v>
      </c>
      <c r="B55" s="14" t="n">
        <f aca="false">INT(($A55-1)/36)+1</f>
        <v>2</v>
      </c>
      <c r="C55" s="14" t="n">
        <f aca="false">MOD($A55-1,36)+1</f>
        <v>14</v>
      </c>
      <c r="D55" s="14" t="n">
        <f aca="false">IF($C55&gt;p_horizon,0,IFERROR(IF(AND(INDEX(TblClusters[Cluster],$B55)&lt;&gt;"",ISNUMBER(INDEX(TblClusters[CPU initial (vCPU)],$B55)),ISNUMBER(INDEX(TblClusters[CPU min (vCPU)],$B55)),OR(INDEX(TblClusters[Plateforme],$B55)="IKS",INDEX(TblClusters[Plateforme],$B55)="ROKS")),1,0),0))</f>
        <v>1</v>
      </c>
      <c r="E55" s="83" t="n">
        <f aca="false">IF($D55=1,EDATE(p_debut,$C55-1),"")</f>
        <v>46692</v>
      </c>
      <c r="F55" s="14" t="str">
        <f aca="false">IF($D55=1,INDEX(TblClusters[Cluster],$B55),"")</f>
        <v>IKS-NPR-01</v>
      </c>
      <c r="G55" s="14" t="str">
        <f aca="false">IF($D55=1,INDEX(TblClusters[Plateforme],$B55),"")</f>
        <v>IKS</v>
      </c>
      <c r="H55" s="14" t="n">
        <f aca="false">IF($D55=1,INDEX(TblClusters[vCPU par nœud],$B55),"")</f>
        <v>16</v>
      </c>
      <c r="I55" s="14" t="n">
        <f aca="false">IF($D55=1,INDEX(TblClusters[RAM par nœud (Go)],$B55),"")</f>
        <v>64</v>
      </c>
      <c r="J55" s="14" t="n">
        <f aca="false">IF($D55=1,INDEX(TblClusters[Workers min],$B55),"")</f>
        <v>3</v>
      </c>
      <c r="K55" s="84" t="n">
        <f aca="false">IF($D55=1,INDEX(TblClusters[Tarif par nœud],$B55),"")</f>
        <v>531</v>
      </c>
      <c r="L55" s="14" t="n">
        <f aca="false">IF($D55=1,INDEX(TblClusters[CPU initial (vCPU)],$B55),"")</f>
        <v>320</v>
      </c>
      <c r="M55" s="14" t="n">
        <f aca="false">IF($D55=1,INDEX(TblClusters[RAM initiale (Go)],$B55),"")</f>
        <v>1280</v>
      </c>
      <c r="N55" s="14" t="n">
        <f aca="false">IF($D55=1,INDEX(TblClusters[CPU min (vCPU)],$B55),"")</f>
        <v>48</v>
      </c>
      <c r="O55" s="14" t="n">
        <f aca="false">IF($D55=1,INDEX(TblClusters[RAM min (Go)],$B55),"")</f>
        <v>192</v>
      </c>
      <c r="P55" s="14" t="n">
        <f aca="false">IF($D55&lt;&gt;1,"",IF($G55="ROKS",SUMIFS(TblApplications[Besoin ROKS CPU (vCPU)],TblApplications[Cluster ROKS cible],$F55,TblApplications[Action],"À migrer",TblApplications[Déjà incluse ROKS],"Non",TblApplications[Mois prov (calc)],"&lt;="&amp;$E55),SUMIFS(TblApplications[CPU IKS libérable (vCPU)],TblApplications[Cluster IKS source],$F55,TblApplications[Mois lib (calc)],"&lt;="&amp;$E55)))</f>
        <v>128</v>
      </c>
      <c r="Q55" s="14" t="n">
        <f aca="false">IF($D55&lt;&gt;1,"",IF($G55="ROKS",SUMIFS(TblApplications[Besoin ROKS RAM (Go)],TblApplications[Cluster ROKS cible],$F55,TblApplications[Action],"À migrer",TblApplications[Déjà incluse ROKS],"Non",TblApplications[Mois prov (calc)],"&lt;="&amp;$E55),SUMIFS(TblApplications[RAM IKS libérable (Go)],TblApplications[Cluster IKS source],$F55,TblApplications[Mois lib (calc)],"&lt;="&amp;$E55)))</f>
        <v>512</v>
      </c>
      <c r="R55" s="14" t="n">
        <f aca="false">IF($D55&lt;&gt;1,"",IF($G55="ROKS",$L55+$P55,IF($AI55=1,0,MAX($N55,$L55-$P55))))</f>
        <v>192</v>
      </c>
      <c r="S55" s="14" t="n">
        <f aca="false">IF($D55&lt;&gt;1,"",IF($G55="ROKS",$M55+$Q55,IF($AI55=1,0,MAX($O55,$M55-$Q55))))</f>
        <v>768</v>
      </c>
      <c r="T55" s="14" t="n">
        <f aca="false">IF($D55&lt;&gt;1,"",IF($AI55=1,0,MAX($J55,ROUNDUP(MAX($R55/$H55,$S55/$I55),0))))</f>
        <v>12</v>
      </c>
      <c r="U55" s="14" t="n">
        <f aca="false">IF($D55&lt;&gt;1,"",IF(p_mode="Nœud",$T55*$H55,$R55))</f>
        <v>192</v>
      </c>
      <c r="V55" s="14" t="n">
        <f aca="false">IF($D55&lt;&gt;1,"",IF(p_mode="Nœud",$T55*$I55,$S55))</f>
        <v>768</v>
      </c>
      <c r="W55" s="84" t="n">
        <f aca="false">IF($D55&lt;&gt;1,"",IF(p_mode="Nœud",$T55*$K55,$R55*IF($G55="IKS",p_iks_cpu,p_roks_cpu)+$S55*IF($G55="IKS",p_iks_ram,p_roks_ram))*p_facteur)</f>
        <v>6372</v>
      </c>
      <c r="X55" s="14" t="n">
        <f aca="false">IF($D55&lt;&gt;1,"",IF($G55="ROKS",$R55,IF($AI55=1,0,MAX($N55,$L55-SUMIFS(TblApplications[CPU IKS libérable (vCPU)],TblApplications[Cluster IKS source],$F55,TblApplications[Action],"À migrer",TblApplications[Mois prov (calc)],"&lt;="&amp;$E55)-SUMIFS(TblApplications[CPU IKS libérable (vCPU)],TblApplications[Cluster IKS source],$F55,TblApplications[Action],"À décommissionner",TblApplications[Mois lib (calc)],"&lt;="&amp;$E55)))))</f>
        <v>192</v>
      </c>
      <c r="Y55" s="14" t="n">
        <f aca="false">IF($D55&lt;&gt;1,"",IF($G55="ROKS",$S55,IF($AI55=1,0,MAX($O55,$M55-SUMIFS(TblApplications[RAM IKS libérable (Go)],TblApplications[Cluster IKS source],$F55,TblApplications[Action],"À migrer",TblApplications[Mois prov (calc)],"&lt;="&amp;$E55)-SUMIFS(TblApplications[RAM IKS libérable (Go)],TblApplications[Cluster IKS source],$F55,TblApplications[Action],"À décommissionner",TblApplications[Mois lib (calc)],"&lt;="&amp;$E55)))))</f>
        <v>768</v>
      </c>
      <c r="Z55" s="14" t="n">
        <f aca="false">IF($D55&lt;&gt;1,"",IF($AI55=1,0,MAX($J55,ROUNDUP(MAX($X55/$H55,$Y55/$I55),0))))</f>
        <v>12</v>
      </c>
      <c r="AA55" s="84" t="n">
        <f aca="false">IF($D55&lt;&gt;1,"",IF(p_mode="Nœud",$Z55*$K55,$X55*IF($G55="IKS",p_iks_cpu,p_roks_cpu)+$Y55*IF($G55="IKS",p_iks_ram,p_roks_ram))*p_facteur)</f>
        <v>6372</v>
      </c>
      <c r="AB55" s="14" t="n">
        <f aca="false">IF($D55&lt;&gt;1,"",MAX($J55,ROUNDUP(MAX($L55/$H55,$M55/$I55),0)))</f>
        <v>20</v>
      </c>
      <c r="AC55" s="84" t="n">
        <f aca="false">IF($D55&lt;&gt;1,"",IF(p_mode="Nœud",$AB55*$K55,$L55*IF($G55="IKS",p_iks_cpu,p_roks_cpu)+$M55*IF($G55="IKS",p_iks_ram,p_roks_ram))*p_facteur)</f>
        <v>10620</v>
      </c>
      <c r="AD55" s="14" t="n">
        <f aca="false">IF($D55&lt;&gt;1,"",IF(AND($G55="IKS",$AI55&lt;&gt;1,OR($L55-$P55&lt;$N55,$M55-$Q55&lt;$O55)),1,0))</f>
        <v>0</v>
      </c>
      <c r="AE55" s="14" t="n">
        <f aca="false">IF($D55&lt;&gt;1,"",IF(AND($G55="ROKS",$T55&gt;p_maxworkers),1,0))</f>
        <v>0</v>
      </c>
      <c r="AF55" s="14" t="str">
        <f aca="false">IF($D55&lt;&gt;1,"",IF(INDEX(TblClusters[Environnement],$B55)="","(vide)",INDEX(TblClusters[Environnement],$B55)))</f>
        <v>NPRD</v>
      </c>
      <c r="AG55" s="14" t="n">
        <f aca="false">IF($D55&lt;&gt;1,"",$R55+p_poidsram*$S55)</f>
        <v>268.8</v>
      </c>
      <c r="AH55" s="14" t="n">
        <f aca="false">IF($D55&lt;&gt;1,"",IFERROR($W55/$AG55,0))</f>
        <v>23.7053571428571</v>
      </c>
      <c r="AI55" s="14" t="n">
        <f aca="false">IF($D55&lt;&gt;1,"",IF(AND($G55="IKS",ISNUMBER(INDEX(TblClusters[Fermeture retenue],$B55))),IF($E55&gt;=INDEX(TblClusters[Fermeture retenue],$B55),1,0),0))</f>
        <v>0</v>
      </c>
    </row>
    <row r="56" customFormat="false" ht="15" hidden="false" customHeight="false" outlineLevel="0" collapsed="false">
      <c r="A56" s="14" t="n">
        <v>51</v>
      </c>
      <c r="B56" s="14" t="n">
        <f aca="false">INT(($A56-1)/36)+1</f>
        <v>2</v>
      </c>
      <c r="C56" s="14" t="n">
        <f aca="false">MOD($A56-1,36)+1</f>
        <v>15</v>
      </c>
      <c r="D56" s="14" t="n">
        <f aca="false">IF($C56&gt;p_horizon,0,IFERROR(IF(AND(INDEX(TblClusters[Cluster],$B56)&lt;&gt;"",ISNUMBER(INDEX(TblClusters[CPU initial (vCPU)],$B56)),ISNUMBER(INDEX(TblClusters[CPU min (vCPU)],$B56)),OR(INDEX(TblClusters[Plateforme],$B56)="IKS",INDEX(TblClusters[Plateforme],$B56)="ROKS")),1,0),0))</f>
        <v>1</v>
      </c>
      <c r="E56" s="83" t="n">
        <f aca="false">IF($D56=1,EDATE(p_debut,$C56-1),"")</f>
        <v>46722</v>
      </c>
      <c r="F56" s="14" t="str">
        <f aca="false">IF($D56=1,INDEX(TblClusters[Cluster],$B56),"")</f>
        <v>IKS-NPR-01</v>
      </c>
      <c r="G56" s="14" t="str">
        <f aca="false">IF($D56=1,INDEX(TblClusters[Plateforme],$B56),"")</f>
        <v>IKS</v>
      </c>
      <c r="H56" s="14" t="n">
        <f aca="false">IF($D56=1,INDEX(TblClusters[vCPU par nœud],$B56),"")</f>
        <v>16</v>
      </c>
      <c r="I56" s="14" t="n">
        <f aca="false">IF($D56=1,INDEX(TblClusters[RAM par nœud (Go)],$B56),"")</f>
        <v>64</v>
      </c>
      <c r="J56" s="14" t="n">
        <f aca="false">IF($D56=1,INDEX(TblClusters[Workers min],$B56),"")</f>
        <v>3</v>
      </c>
      <c r="K56" s="84" t="n">
        <f aca="false">IF($D56=1,INDEX(TblClusters[Tarif par nœud],$B56),"")</f>
        <v>531</v>
      </c>
      <c r="L56" s="14" t="n">
        <f aca="false">IF($D56=1,INDEX(TblClusters[CPU initial (vCPU)],$B56),"")</f>
        <v>320</v>
      </c>
      <c r="M56" s="14" t="n">
        <f aca="false">IF($D56=1,INDEX(TblClusters[RAM initiale (Go)],$B56),"")</f>
        <v>1280</v>
      </c>
      <c r="N56" s="14" t="n">
        <f aca="false">IF($D56=1,INDEX(TblClusters[CPU min (vCPU)],$B56),"")</f>
        <v>48</v>
      </c>
      <c r="O56" s="14" t="n">
        <f aca="false">IF($D56=1,INDEX(TblClusters[RAM min (Go)],$B56),"")</f>
        <v>192</v>
      </c>
      <c r="P56" s="14" t="n">
        <f aca="false">IF($D56&lt;&gt;1,"",IF($G56="ROKS",SUMIFS(TblApplications[Besoin ROKS CPU (vCPU)],TblApplications[Cluster ROKS cible],$F56,TblApplications[Action],"À migrer",TblApplications[Déjà incluse ROKS],"Non",TblApplications[Mois prov (calc)],"&lt;="&amp;$E56),SUMIFS(TblApplications[CPU IKS libérable (vCPU)],TblApplications[Cluster IKS source],$F56,TblApplications[Mois lib (calc)],"&lt;="&amp;$E56)))</f>
        <v>128</v>
      </c>
      <c r="Q56" s="14" t="n">
        <f aca="false">IF($D56&lt;&gt;1,"",IF($G56="ROKS",SUMIFS(TblApplications[Besoin ROKS RAM (Go)],TblApplications[Cluster ROKS cible],$F56,TblApplications[Action],"À migrer",TblApplications[Déjà incluse ROKS],"Non",TblApplications[Mois prov (calc)],"&lt;="&amp;$E56),SUMIFS(TblApplications[RAM IKS libérable (Go)],TblApplications[Cluster IKS source],$F56,TblApplications[Mois lib (calc)],"&lt;="&amp;$E56)))</f>
        <v>512</v>
      </c>
      <c r="R56" s="14" t="n">
        <f aca="false">IF($D56&lt;&gt;1,"",IF($G56="ROKS",$L56+$P56,IF($AI56=1,0,MAX($N56,$L56-$P56))))</f>
        <v>192</v>
      </c>
      <c r="S56" s="14" t="n">
        <f aca="false">IF($D56&lt;&gt;1,"",IF($G56="ROKS",$M56+$Q56,IF($AI56=1,0,MAX($O56,$M56-$Q56))))</f>
        <v>768</v>
      </c>
      <c r="T56" s="14" t="n">
        <f aca="false">IF($D56&lt;&gt;1,"",IF($AI56=1,0,MAX($J56,ROUNDUP(MAX($R56/$H56,$S56/$I56),0))))</f>
        <v>12</v>
      </c>
      <c r="U56" s="14" t="n">
        <f aca="false">IF($D56&lt;&gt;1,"",IF(p_mode="Nœud",$T56*$H56,$R56))</f>
        <v>192</v>
      </c>
      <c r="V56" s="14" t="n">
        <f aca="false">IF($D56&lt;&gt;1,"",IF(p_mode="Nœud",$T56*$I56,$S56))</f>
        <v>768</v>
      </c>
      <c r="W56" s="84" t="n">
        <f aca="false">IF($D56&lt;&gt;1,"",IF(p_mode="Nœud",$T56*$K56,$R56*IF($G56="IKS",p_iks_cpu,p_roks_cpu)+$S56*IF($G56="IKS",p_iks_ram,p_roks_ram))*p_facteur)</f>
        <v>6372</v>
      </c>
      <c r="X56" s="14" t="n">
        <f aca="false">IF($D56&lt;&gt;1,"",IF($G56="ROKS",$R56,IF($AI56=1,0,MAX($N56,$L56-SUMIFS(TblApplications[CPU IKS libérable (vCPU)],TblApplications[Cluster IKS source],$F56,TblApplications[Action],"À migrer",TblApplications[Mois prov (calc)],"&lt;="&amp;$E56)-SUMIFS(TblApplications[CPU IKS libérable (vCPU)],TblApplications[Cluster IKS source],$F56,TblApplications[Action],"À décommissionner",TblApplications[Mois lib (calc)],"&lt;="&amp;$E56)))))</f>
        <v>192</v>
      </c>
      <c r="Y56" s="14" t="n">
        <f aca="false">IF($D56&lt;&gt;1,"",IF($G56="ROKS",$S56,IF($AI56=1,0,MAX($O56,$M56-SUMIFS(TblApplications[RAM IKS libérable (Go)],TblApplications[Cluster IKS source],$F56,TblApplications[Action],"À migrer",TblApplications[Mois prov (calc)],"&lt;="&amp;$E56)-SUMIFS(TblApplications[RAM IKS libérable (Go)],TblApplications[Cluster IKS source],$F56,TblApplications[Action],"À décommissionner",TblApplications[Mois lib (calc)],"&lt;="&amp;$E56)))))</f>
        <v>768</v>
      </c>
      <c r="Z56" s="14" t="n">
        <f aca="false">IF($D56&lt;&gt;1,"",IF($AI56=1,0,MAX($J56,ROUNDUP(MAX($X56/$H56,$Y56/$I56),0))))</f>
        <v>12</v>
      </c>
      <c r="AA56" s="84" t="n">
        <f aca="false">IF($D56&lt;&gt;1,"",IF(p_mode="Nœud",$Z56*$K56,$X56*IF($G56="IKS",p_iks_cpu,p_roks_cpu)+$Y56*IF($G56="IKS",p_iks_ram,p_roks_ram))*p_facteur)</f>
        <v>6372</v>
      </c>
      <c r="AB56" s="14" t="n">
        <f aca="false">IF($D56&lt;&gt;1,"",MAX($J56,ROUNDUP(MAX($L56/$H56,$M56/$I56),0)))</f>
        <v>20</v>
      </c>
      <c r="AC56" s="84" t="n">
        <f aca="false">IF($D56&lt;&gt;1,"",IF(p_mode="Nœud",$AB56*$K56,$L56*IF($G56="IKS",p_iks_cpu,p_roks_cpu)+$M56*IF($G56="IKS",p_iks_ram,p_roks_ram))*p_facteur)</f>
        <v>10620</v>
      </c>
      <c r="AD56" s="14" t="n">
        <f aca="false">IF($D56&lt;&gt;1,"",IF(AND($G56="IKS",$AI56&lt;&gt;1,OR($L56-$P56&lt;$N56,$M56-$Q56&lt;$O56)),1,0))</f>
        <v>0</v>
      </c>
      <c r="AE56" s="14" t="n">
        <f aca="false">IF($D56&lt;&gt;1,"",IF(AND($G56="ROKS",$T56&gt;p_maxworkers),1,0))</f>
        <v>0</v>
      </c>
      <c r="AF56" s="14" t="str">
        <f aca="false">IF($D56&lt;&gt;1,"",IF(INDEX(TblClusters[Environnement],$B56)="","(vide)",INDEX(TblClusters[Environnement],$B56)))</f>
        <v>NPRD</v>
      </c>
      <c r="AG56" s="14" t="n">
        <f aca="false">IF($D56&lt;&gt;1,"",$R56+p_poidsram*$S56)</f>
        <v>268.8</v>
      </c>
      <c r="AH56" s="14" t="n">
        <f aca="false">IF($D56&lt;&gt;1,"",IFERROR($W56/$AG56,0))</f>
        <v>23.7053571428571</v>
      </c>
      <c r="AI56" s="14" t="n">
        <f aca="false">IF($D56&lt;&gt;1,"",IF(AND($G56="IKS",ISNUMBER(INDEX(TblClusters[Fermeture retenue],$B56))),IF($E56&gt;=INDEX(TblClusters[Fermeture retenue],$B56),1,0),0))</f>
        <v>0</v>
      </c>
    </row>
    <row r="57" customFormat="false" ht="15" hidden="false" customHeight="false" outlineLevel="0" collapsed="false">
      <c r="A57" s="14" t="n">
        <v>52</v>
      </c>
      <c r="B57" s="14" t="n">
        <f aca="false">INT(($A57-1)/36)+1</f>
        <v>2</v>
      </c>
      <c r="C57" s="14" t="n">
        <f aca="false">MOD($A57-1,36)+1</f>
        <v>16</v>
      </c>
      <c r="D57" s="14" t="n">
        <f aca="false">IF($C57&gt;p_horizon,0,IFERROR(IF(AND(INDEX(TblClusters[Cluster],$B57)&lt;&gt;"",ISNUMBER(INDEX(TblClusters[CPU initial (vCPU)],$B57)),ISNUMBER(INDEX(TblClusters[CPU min (vCPU)],$B57)),OR(INDEX(TblClusters[Plateforme],$B57)="IKS",INDEX(TblClusters[Plateforme],$B57)="ROKS")),1,0),0))</f>
        <v>1</v>
      </c>
      <c r="E57" s="83" t="n">
        <f aca="false">IF($D57=1,EDATE(p_debut,$C57-1),"")</f>
        <v>46753</v>
      </c>
      <c r="F57" s="14" t="str">
        <f aca="false">IF($D57=1,INDEX(TblClusters[Cluster],$B57),"")</f>
        <v>IKS-NPR-01</v>
      </c>
      <c r="G57" s="14" t="str">
        <f aca="false">IF($D57=1,INDEX(TblClusters[Plateforme],$B57),"")</f>
        <v>IKS</v>
      </c>
      <c r="H57" s="14" t="n">
        <f aca="false">IF($D57=1,INDEX(TblClusters[vCPU par nœud],$B57),"")</f>
        <v>16</v>
      </c>
      <c r="I57" s="14" t="n">
        <f aca="false">IF($D57=1,INDEX(TblClusters[RAM par nœud (Go)],$B57),"")</f>
        <v>64</v>
      </c>
      <c r="J57" s="14" t="n">
        <f aca="false">IF($D57=1,INDEX(TblClusters[Workers min],$B57),"")</f>
        <v>3</v>
      </c>
      <c r="K57" s="84" t="n">
        <f aca="false">IF($D57=1,INDEX(TblClusters[Tarif par nœud],$B57),"")</f>
        <v>531</v>
      </c>
      <c r="L57" s="14" t="n">
        <f aca="false">IF($D57=1,INDEX(TblClusters[CPU initial (vCPU)],$B57),"")</f>
        <v>320</v>
      </c>
      <c r="M57" s="14" t="n">
        <f aca="false">IF($D57=1,INDEX(TblClusters[RAM initiale (Go)],$B57),"")</f>
        <v>1280</v>
      </c>
      <c r="N57" s="14" t="n">
        <f aca="false">IF($D57=1,INDEX(TblClusters[CPU min (vCPU)],$B57),"")</f>
        <v>48</v>
      </c>
      <c r="O57" s="14" t="n">
        <f aca="false">IF($D57=1,INDEX(TblClusters[RAM min (Go)],$B57),"")</f>
        <v>192</v>
      </c>
      <c r="P57" s="14" t="n">
        <f aca="false">IF($D57&lt;&gt;1,"",IF($G57="ROKS",SUMIFS(TblApplications[Besoin ROKS CPU (vCPU)],TblApplications[Cluster ROKS cible],$F57,TblApplications[Action],"À migrer",TblApplications[Déjà incluse ROKS],"Non",TblApplications[Mois prov (calc)],"&lt;="&amp;$E57),SUMIFS(TblApplications[CPU IKS libérable (vCPU)],TblApplications[Cluster IKS source],$F57,TblApplications[Mois lib (calc)],"&lt;="&amp;$E57)))</f>
        <v>128</v>
      </c>
      <c r="Q57" s="14" t="n">
        <f aca="false">IF($D57&lt;&gt;1,"",IF($G57="ROKS",SUMIFS(TblApplications[Besoin ROKS RAM (Go)],TblApplications[Cluster ROKS cible],$F57,TblApplications[Action],"À migrer",TblApplications[Déjà incluse ROKS],"Non",TblApplications[Mois prov (calc)],"&lt;="&amp;$E57),SUMIFS(TblApplications[RAM IKS libérable (Go)],TblApplications[Cluster IKS source],$F57,TblApplications[Mois lib (calc)],"&lt;="&amp;$E57)))</f>
        <v>512</v>
      </c>
      <c r="R57" s="14" t="n">
        <f aca="false">IF($D57&lt;&gt;1,"",IF($G57="ROKS",$L57+$P57,IF($AI57=1,0,MAX($N57,$L57-$P57))))</f>
        <v>192</v>
      </c>
      <c r="S57" s="14" t="n">
        <f aca="false">IF($D57&lt;&gt;1,"",IF($G57="ROKS",$M57+$Q57,IF($AI57=1,0,MAX($O57,$M57-$Q57))))</f>
        <v>768</v>
      </c>
      <c r="T57" s="14" t="n">
        <f aca="false">IF($D57&lt;&gt;1,"",IF($AI57=1,0,MAX($J57,ROUNDUP(MAX($R57/$H57,$S57/$I57),0))))</f>
        <v>12</v>
      </c>
      <c r="U57" s="14" t="n">
        <f aca="false">IF($D57&lt;&gt;1,"",IF(p_mode="Nœud",$T57*$H57,$R57))</f>
        <v>192</v>
      </c>
      <c r="V57" s="14" t="n">
        <f aca="false">IF($D57&lt;&gt;1,"",IF(p_mode="Nœud",$T57*$I57,$S57))</f>
        <v>768</v>
      </c>
      <c r="W57" s="84" t="n">
        <f aca="false">IF($D57&lt;&gt;1,"",IF(p_mode="Nœud",$T57*$K57,$R57*IF($G57="IKS",p_iks_cpu,p_roks_cpu)+$S57*IF($G57="IKS",p_iks_ram,p_roks_ram))*p_facteur)</f>
        <v>6372</v>
      </c>
      <c r="X57" s="14" t="n">
        <f aca="false">IF($D57&lt;&gt;1,"",IF($G57="ROKS",$R57,IF($AI57=1,0,MAX($N57,$L57-SUMIFS(TblApplications[CPU IKS libérable (vCPU)],TblApplications[Cluster IKS source],$F57,TblApplications[Action],"À migrer",TblApplications[Mois prov (calc)],"&lt;="&amp;$E57)-SUMIFS(TblApplications[CPU IKS libérable (vCPU)],TblApplications[Cluster IKS source],$F57,TblApplications[Action],"À décommissionner",TblApplications[Mois lib (calc)],"&lt;="&amp;$E57)))))</f>
        <v>192</v>
      </c>
      <c r="Y57" s="14" t="n">
        <f aca="false">IF($D57&lt;&gt;1,"",IF($G57="ROKS",$S57,IF($AI57=1,0,MAX($O57,$M57-SUMIFS(TblApplications[RAM IKS libérable (Go)],TblApplications[Cluster IKS source],$F57,TblApplications[Action],"À migrer",TblApplications[Mois prov (calc)],"&lt;="&amp;$E57)-SUMIFS(TblApplications[RAM IKS libérable (Go)],TblApplications[Cluster IKS source],$F57,TblApplications[Action],"À décommissionner",TblApplications[Mois lib (calc)],"&lt;="&amp;$E57)))))</f>
        <v>768</v>
      </c>
      <c r="Z57" s="14" t="n">
        <f aca="false">IF($D57&lt;&gt;1,"",IF($AI57=1,0,MAX($J57,ROUNDUP(MAX($X57/$H57,$Y57/$I57),0))))</f>
        <v>12</v>
      </c>
      <c r="AA57" s="84" t="n">
        <f aca="false">IF($D57&lt;&gt;1,"",IF(p_mode="Nœud",$Z57*$K57,$X57*IF($G57="IKS",p_iks_cpu,p_roks_cpu)+$Y57*IF($G57="IKS",p_iks_ram,p_roks_ram))*p_facteur)</f>
        <v>6372</v>
      </c>
      <c r="AB57" s="14" t="n">
        <f aca="false">IF($D57&lt;&gt;1,"",MAX($J57,ROUNDUP(MAX($L57/$H57,$M57/$I57),0)))</f>
        <v>20</v>
      </c>
      <c r="AC57" s="84" t="n">
        <f aca="false">IF($D57&lt;&gt;1,"",IF(p_mode="Nœud",$AB57*$K57,$L57*IF($G57="IKS",p_iks_cpu,p_roks_cpu)+$M57*IF($G57="IKS",p_iks_ram,p_roks_ram))*p_facteur)</f>
        <v>10620</v>
      </c>
      <c r="AD57" s="14" t="n">
        <f aca="false">IF($D57&lt;&gt;1,"",IF(AND($G57="IKS",$AI57&lt;&gt;1,OR($L57-$P57&lt;$N57,$M57-$Q57&lt;$O57)),1,0))</f>
        <v>0</v>
      </c>
      <c r="AE57" s="14" t="n">
        <f aca="false">IF($D57&lt;&gt;1,"",IF(AND($G57="ROKS",$T57&gt;p_maxworkers),1,0))</f>
        <v>0</v>
      </c>
      <c r="AF57" s="14" t="str">
        <f aca="false">IF($D57&lt;&gt;1,"",IF(INDEX(TblClusters[Environnement],$B57)="","(vide)",INDEX(TblClusters[Environnement],$B57)))</f>
        <v>NPRD</v>
      </c>
      <c r="AG57" s="14" t="n">
        <f aca="false">IF($D57&lt;&gt;1,"",$R57+p_poidsram*$S57)</f>
        <v>268.8</v>
      </c>
      <c r="AH57" s="14" t="n">
        <f aca="false">IF($D57&lt;&gt;1,"",IFERROR($W57/$AG57,0))</f>
        <v>23.7053571428571</v>
      </c>
      <c r="AI57" s="14" t="n">
        <f aca="false">IF($D57&lt;&gt;1,"",IF(AND($G57="IKS",ISNUMBER(INDEX(TblClusters[Fermeture retenue],$B57))),IF($E57&gt;=INDEX(TblClusters[Fermeture retenue],$B57),1,0),0))</f>
        <v>0</v>
      </c>
    </row>
    <row r="58" customFormat="false" ht="15" hidden="false" customHeight="false" outlineLevel="0" collapsed="false">
      <c r="A58" s="14" t="n">
        <v>53</v>
      </c>
      <c r="B58" s="14" t="n">
        <f aca="false">INT(($A58-1)/36)+1</f>
        <v>2</v>
      </c>
      <c r="C58" s="14" t="n">
        <f aca="false">MOD($A58-1,36)+1</f>
        <v>17</v>
      </c>
      <c r="D58" s="14" t="n">
        <f aca="false">IF($C58&gt;p_horizon,0,IFERROR(IF(AND(INDEX(TblClusters[Cluster],$B58)&lt;&gt;"",ISNUMBER(INDEX(TblClusters[CPU initial (vCPU)],$B58)),ISNUMBER(INDEX(TblClusters[CPU min (vCPU)],$B58)),OR(INDEX(TblClusters[Plateforme],$B58)="IKS",INDEX(TblClusters[Plateforme],$B58)="ROKS")),1,0),0))</f>
        <v>1</v>
      </c>
      <c r="E58" s="83" t="n">
        <f aca="false">IF($D58=1,EDATE(p_debut,$C58-1),"")</f>
        <v>46784</v>
      </c>
      <c r="F58" s="14" t="str">
        <f aca="false">IF($D58=1,INDEX(TblClusters[Cluster],$B58),"")</f>
        <v>IKS-NPR-01</v>
      </c>
      <c r="G58" s="14" t="str">
        <f aca="false">IF($D58=1,INDEX(TblClusters[Plateforme],$B58),"")</f>
        <v>IKS</v>
      </c>
      <c r="H58" s="14" t="n">
        <f aca="false">IF($D58=1,INDEX(TblClusters[vCPU par nœud],$B58),"")</f>
        <v>16</v>
      </c>
      <c r="I58" s="14" t="n">
        <f aca="false">IF($D58=1,INDEX(TblClusters[RAM par nœud (Go)],$B58),"")</f>
        <v>64</v>
      </c>
      <c r="J58" s="14" t="n">
        <f aca="false">IF($D58=1,INDEX(TblClusters[Workers min],$B58),"")</f>
        <v>3</v>
      </c>
      <c r="K58" s="84" t="n">
        <f aca="false">IF($D58=1,INDEX(TblClusters[Tarif par nœud],$B58),"")</f>
        <v>531</v>
      </c>
      <c r="L58" s="14" t="n">
        <f aca="false">IF($D58=1,INDEX(TblClusters[CPU initial (vCPU)],$B58),"")</f>
        <v>320</v>
      </c>
      <c r="M58" s="14" t="n">
        <f aca="false">IF($D58=1,INDEX(TblClusters[RAM initiale (Go)],$B58),"")</f>
        <v>1280</v>
      </c>
      <c r="N58" s="14" t="n">
        <f aca="false">IF($D58=1,INDEX(TblClusters[CPU min (vCPU)],$B58),"")</f>
        <v>48</v>
      </c>
      <c r="O58" s="14" t="n">
        <f aca="false">IF($D58=1,INDEX(TblClusters[RAM min (Go)],$B58),"")</f>
        <v>192</v>
      </c>
      <c r="P58" s="14" t="n">
        <f aca="false">IF($D58&lt;&gt;1,"",IF($G58="ROKS",SUMIFS(TblApplications[Besoin ROKS CPU (vCPU)],TblApplications[Cluster ROKS cible],$F58,TblApplications[Action],"À migrer",TblApplications[Déjà incluse ROKS],"Non",TblApplications[Mois prov (calc)],"&lt;="&amp;$E58),SUMIFS(TblApplications[CPU IKS libérable (vCPU)],TblApplications[Cluster IKS source],$F58,TblApplications[Mois lib (calc)],"&lt;="&amp;$E58)))</f>
        <v>128</v>
      </c>
      <c r="Q58" s="14" t="n">
        <f aca="false">IF($D58&lt;&gt;1,"",IF($G58="ROKS",SUMIFS(TblApplications[Besoin ROKS RAM (Go)],TblApplications[Cluster ROKS cible],$F58,TblApplications[Action],"À migrer",TblApplications[Déjà incluse ROKS],"Non",TblApplications[Mois prov (calc)],"&lt;="&amp;$E58),SUMIFS(TblApplications[RAM IKS libérable (Go)],TblApplications[Cluster IKS source],$F58,TblApplications[Mois lib (calc)],"&lt;="&amp;$E58)))</f>
        <v>512</v>
      </c>
      <c r="R58" s="14" t="n">
        <f aca="false">IF($D58&lt;&gt;1,"",IF($G58="ROKS",$L58+$P58,IF($AI58=1,0,MAX($N58,$L58-$P58))))</f>
        <v>192</v>
      </c>
      <c r="S58" s="14" t="n">
        <f aca="false">IF($D58&lt;&gt;1,"",IF($G58="ROKS",$M58+$Q58,IF($AI58=1,0,MAX($O58,$M58-$Q58))))</f>
        <v>768</v>
      </c>
      <c r="T58" s="14" t="n">
        <f aca="false">IF($D58&lt;&gt;1,"",IF($AI58=1,0,MAX($J58,ROUNDUP(MAX($R58/$H58,$S58/$I58),0))))</f>
        <v>12</v>
      </c>
      <c r="U58" s="14" t="n">
        <f aca="false">IF($D58&lt;&gt;1,"",IF(p_mode="Nœud",$T58*$H58,$R58))</f>
        <v>192</v>
      </c>
      <c r="V58" s="14" t="n">
        <f aca="false">IF($D58&lt;&gt;1,"",IF(p_mode="Nœud",$T58*$I58,$S58))</f>
        <v>768</v>
      </c>
      <c r="W58" s="84" t="n">
        <f aca="false">IF($D58&lt;&gt;1,"",IF(p_mode="Nœud",$T58*$K58,$R58*IF($G58="IKS",p_iks_cpu,p_roks_cpu)+$S58*IF($G58="IKS",p_iks_ram,p_roks_ram))*p_facteur)</f>
        <v>6372</v>
      </c>
      <c r="X58" s="14" t="n">
        <f aca="false">IF($D58&lt;&gt;1,"",IF($G58="ROKS",$R58,IF($AI58=1,0,MAX($N58,$L58-SUMIFS(TblApplications[CPU IKS libérable (vCPU)],TblApplications[Cluster IKS source],$F58,TblApplications[Action],"À migrer",TblApplications[Mois prov (calc)],"&lt;="&amp;$E58)-SUMIFS(TblApplications[CPU IKS libérable (vCPU)],TblApplications[Cluster IKS source],$F58,TblApplications[Action],"À décommissionner",TblApplications[Mois lib (calc)],"&lt;="&amp;$E58)))))</f>
        <v>192</v>
      </c>
      <c r="Y58" s="14" t="n">
        <f aca="false">IF($D58&lt;&gt;1,"",IF($G58="ROKS",$S58,IF($AI58=1,0,MAX($O58,$M58-SUMIFS(TblApplications[RAM IKS libérable (Go)],TblApplications[Cluster IKS source],$F58,TblApplications[Action],"À migrer",TblApplications[Mois prov (calc)],"&lt;="&amp;$E58)-SUMIFS(TblApplications[RAM IKS libérable (Go)],TblApplications[Cluster IKS source],$F58,TblApplications[Action],"À décommissionner",TblApplications[Mois lib (calc)],"&lt;="&amp;$E58)))))</f>
        <v>768</v>
      </c>
      <c r="Z58" s="14" t="n">
        <f aca="false">IF($D58&lt;&gt;1,"",IF($AI58=1,0,MAX($J58,ROUNDUP(MAX($X58/$H58,$Y58/$I58),0))))</f>
        <v>12</v>
      </c>
      <c r="AA58" s="84" t="n">
        <f aca="false">IF($D58&lt;&gt;1,"",IF(p_mode="Nœud",$Z58*$K58,$X58*IF($G58="IKS",p_iks_cpu,p_roks_cpu)+$Y58*IF($G58="IKS",p_iks_ram,p_roks_ram))*p_facteur)</f>
        <v>6372</v>
      </c>
      <c r="AB58" s="14" t="n">
        <f aca="false">IF($D58&lt;&gt;1,"",MAX($J58,ROUNDUP(MAX($L58/$H58,$M58/$I58),0)))</f>
        <v>20</v>
      </c>
      <c r="AC58" s="84" t="n">
        <f aca="false">IF($D58&lt;&gt;1,"",IF(p_mode="Nœud",$AB58*$K58,$L58*IF($G58="IKS",p_iks_cpu,p_roks_cpu)+$M58*IF($G58="IKS",p_iks_ram,p_roks_ram))*p_facteur)</f>
        <v>10620</v>
      </c>
      <c r="AD58" s="14" t="n">
        <f aca="false">IF($D58&lt;&gt;1,"",IF(AND($G58="IKS",$AI58&lt;&gt;1,OR($L58-$P58&lt;$N58,$M58-$Q58&lt;$O58)),1,0))</f>
        <v>0</v>
      </c>
      <c r="AE58" s="14" t="n">
        <f aca="false">IF($D58&lt;&gt;1,"",IF(AND($G58="ROKS",$T58&gt;p_maxworkers),1,0))</f>
        <v>0</v>
      </c>
      <c r="AF58" s="14" t="str">
        <f aca="false">IF($D58&lt;&gt;1,"",IF(INDEX(TblClusters[Environnement],$B58)="","(vide)",INDEX(TblClusters[Environnement],$B58)))</f>
        <v>NPRD</v>
      </c>
      <c r="AG58" s="14" t="n">
        <f aca="false">IF($D58&lt;&gt;1,"",$R58+p_poidsram*$S58)</f>
        <v>268.8</v>
      </c>
      <c r="AH58" s="14" t="n">
        <f aca="false">IF($D58&lt;&gt;1,"",IFERROR($W58/$AG58,0))</f>
        <v>23.7053571428571</v>
      </c>
      <c r="AI58" s="14" t="n">
        <f aca="false">IF($D58&lt;&gt;1,"",IF(AND($G58="IKS",ISNUMBER(INDEX(TblClusters[Fermeture retenue],$B58))),IF($E58&gt;=INDEX(TblClusters[Fermeture retenue],$B58),1,0),0))</f>
        <v>0</v>
      </c>
    </row>
    <row r="59" customFormat="false" ht="15" hidden="false" customHeight="false" outlineLevel="0" collapsed="false">
      <c r="A59" s="14" t="n">
        <v>54</v>
      </c>
      <c r="B59" s="14" t="n">
        <f aca="false">INT(($A59-1)/36)+1</f>
        <v>2</v>
      </c>
      <c r="C59" s="14" t="n">
        <f aca="false">MOD($A59-1,36)+1</f>
        <v>18</v>
      </c>
      <c r="D59" s="14" t="n">
        <f aca="false">IF($C59&gt;p_horizon,0,IFERROR(IF(AND(INDEX(TblClusters[Cluster],$B59)&lt;&gt;"",ISNUMBER(INDEX(TblClusters[CPU initial (vCPU)],$B59)),ISNUMBER(INDEX(TblClusters[CPU min (vCPU)],$B59)),OR(INDEX(TblClusters[Plateforme],$B59)="IKS",INDEX(TblClusters[Plateforme],$B59)="ROKS")),1,0),0))</f>
        <v>1</v>
      </c>
      <c r="E59" s="83" t="n">
        <f aca="false">IF($D59=1,EDATE(p_debut,$C59-1),"")</f>
        <v>46813</v>
      </c>
      <c r="F59" s="14" t="str">
        <f aca="false">IF($D59=1,INDEX(TblClusters[Cluster],$B59),"")</f>
        <v>IKS-NPR-01</v>
      </c>
      <c r="G59" s="14" t="str">
        <f aca="false">IF($D59=1,INDEX(TblClusters[Plateforme],$B59),"")</f>
        <v>IKS</v>
      </c>
      <c r="H59" s="14" t="n">
        <f aca="false">IF($D59=1,INDEX(TblClusters[vCPU par nœud],$B59),"")</f>
        <v>16</v>
      </c>
      <c r="I59" s="14" t="n">
        <f aca="false">IF($D59=1,INDEX(TblClusters[RAM par nœud (Go)],$B59),"")</f>
        <v>64</v>
      </c>
      <c r="J59" s="14" t="n">
        <f aca="false">IF($D59=1,INDEX(TblClusters[Workers min],$B59),"")</f>
        <v>3</v>
      </c>
      <c r="K59" s="84" t="n">
        <f aca="false">IF($D59=1,INDEX(TblClusters[Tarif par nœud],$B59),"")</f>
        <v>531</v>
      </c>
      <c r="L59" s="14" t="n">
        <f aca="false">IF($D59=1,INDEX(TblClusters[CPU initial (vCPU)],$B59),"")</f>
        <v>320</v>
      </c>
      <c r="M59" s="14" t="n">
        <f aca="false">IF($D59=1,INDEX(TblClusters[RAM initiale (Go)],$B59),"")</f>
        <v>1280</v>
      </c>
      <c r="N59" s="14" t="n">
        <f aca="false">IF($D59=1,INDEX(TblClusters[CPU min (vCPU)],$B59),"")</f>
        <v>48</v>
      </c>
      <c r="O59" s="14" t="n">
        <f aca="false">IF($D59=1,INDEX(TblClusters[RAM min (Go)],$B59),"")</f>
        <v>192</v>
      </c>
      <c r="P59" s="14" t="n">
        <f aca="false">IF($D59&lt;&gt;1,"",IF($G59="ROKS",SUMIFS(TblApplications[Besoin ROKS CPU (vCPU)],TblApplications[Cluster ROKS cible],$F59,TblApplications[Action],"À migrer",TblApplications[Déjà incluse ROKS],"Non",TblApplications[Mois prov (calc)],"&lt;="&amp;$E59),SUMIFS(TblApplications[CPU IKS libérable (vCPU)],TblApplications[Cluster IKS source],$F59,TblApplications[Mois lib (calc)],"&lt;="&amp;$E59)))</f>
        <v>128</v>
      </c>
      <c r="Q59" s="14" t="n">
        <f aca="false">IF($D59&lt;&gt;1,"",IF($G59="ROKS",SUMIFS(TblApplications[Besoin ROKS RAM (Go)],TblApplications[Cluster ROKS cible],$F59,TblApplications[Action],"À migrer",TblApplications[Déjà incluse ROKS],"Non",TblApplications[Mois prov (calc)],"&lt;="&amp;$E59),SUMIFS(TblApplications[RAM IKS libérable (Go)],TblApplications[Cluster IKS source],$F59,TblApplications[Mois lib (calc)],"&lt;="&amp;$E59)))</f>
        <v>512</v>
      </c>
      <c r="R59" s="14" t="n">
        <f aca="false">IF($D59&lt;&gt;1,"",IF($G59="ROKS",$L59+$P59,IF($AI59=1,0,MAX($N59,$L59-$P59))))</f>
        <v>192</v>
      </c>
      <c r="S59" s="14" t="n">
        <f aca="false">IF($D59&lt;&gt;1,"",IF($G59="ROKS",$M59+$Q59,IF($AI59=1,0,MAX($O59,$M59-$Q59))))</f>
        <v>768</v>
      </c>
      <c r="T59" s="14" t="n">
        <f aca="false">IF($D59&lt;&gt;1,"",IF($AI59=1,0,MAX($J59,ROUNDUP(MAX($R59/$H59,$S59/$I59),0))))</f>
        <v>12</v>
      </c>
      <c r="U59" s="14" t="n">
        <f aca="false">IF($D59&lt;&gt;1,"",IF(p_mode="Nœud",$T59*$H59,$R59))</f>
        <v>192</v>
      </c>
      <c r="V59" s="14" t="n">
        <f aca="false">IF($D59&lt;&gt;1,"",IF(p_mode="Nœud",$T59*$I59,$S59))</f>
        <v>768</v>
      </c>
      <c r="W59" s="84" t="n">
        <f aca="false">IF($D59&lt;&gt;1,"",IF(p_mode="Nœud",$T59*$K59,$R59*IF($G59="IKS",p_iks_cpu,p_roks_cpu)+$S59*IF($G59="IKS",p_iks_ram,p_roks_ram))*p_facteur)</f>
        <v>6372</v>
      </c>
      <c r="X59" s="14" t="n">
        <f aca="false">IF($D59&lt;&gt;1,"",IF($G59="ROKS",$R59,IF($AI59=1,0,MAX($N59,$L59-SUMIFS(TblApplications[CPU IKS libérable (vCPU)],TblApplications[Cluster IKS source],$F59,TblApplications[Action],"À migrer",TblApplications[Mois prov (calc)],"&lt;="&amp;$E59)-SUMIFS(TblApplications[CPU IKS libérable (vCPU)],TblApplications[Cluster IKS source],$F59,TblApplications[Action],"À décommissionner",TblApplications[Mois lib (calc)],"&lt;="&amp;$E59)))))</f>
        <v>192</v>
      </c>
      <c r="Y59" s="14" t="n">
        <f aca="false">IF($D59&lt;&gt;1,"",IF($G59="ROKS",$S59,IF($AI59=1,0,MAX($O59,$M59-SUMIFS(TblApplications[RAM IKS libérable (Go)],TblApplications[Cluster IKS source],$F59,TblApplications[Action],"À migrer",TblApplications[Mois prov (calc)],"&lt;="&amp;$E59)-SUMIFS(TblApplications[RAM IKS libérable (Go)],TblApplications[Cluster IKS source],$F59,TblApplications[Action],"À décommissionner",TblApplications[Mois lib (calc)],"&lt;="&amp;$E59)))))</f>
        <v>768</v>
      </c>
      <c r="Z59" s="14" t="n">
        <f aca="false">IF($D59&lt;&gt;1,"",IF($AI59=1,0,MAX($J59,ROUNDUP(MAX($X59/$H59,$Y59/$I59),0))))</f>
        <v>12</v>
      </c>
      <c r="AA59" s="84" t="n">
        <f aca="false">IF($D59&lt;&gt;1,"",IF(p_mode="Nœud",$Z59*$K59,$X59*IF($G59="IKS",p_iks_cpu,p_roks_cpu)+$Y59*IF($G59="IKS",p_iks_ram,p_roks_ram))*p_facteur)</f>
        <v>6372</v>
      </c>
      <c r="AB59" s="14" t="n">
        <f aca="false">IF($D59&lt;&gt;1,"",MAX($J59,ROUNDUP(MAX($L59/$H59,$M59/$I59),0)))</f>
        <v>20</v>
      </c>
      <c r="AC59" s="84" t="n">
        <f aca="false">IF($D59&lt;&gt;1,"",IF(p_mode="Nœud",$AB59*$K59,$L59*IF($G59="IKS",p_iks_cpu,p_roks_cpu)+$M59*IF($G59="IKS",p_iks_ram,p_roks_ram))*p_facteur)</f>
        <v>10620</v>
      </c>
      <c r="AD59" s="14" t="n">
        <f aca="false">IF($D59&lt;&gt;1,"",IF(AND($G59="IKS",$AI59&lt;&gt;1,OR($L59-$P59&lt;$N59,$M59-$Q59&lt;$O59)),1,0))</f>
        <v>0</v>
      </c>
      <c r="AE59" s="14" t="n">
        <f aca="false">IF($D59&lt;&gt;1,"",IF(AND($G59="ROKS",$T59&gt;p_maxworkers),1,0))</f>
        <v>0</v>
      </c>
      <c r="AF59" s="14" t="str">
        <f aca="false">IF($D59&lt;&gt;1,"",IF(INDEX(TblClusters[Environnement],$B59)="","(vide)",INDEX(TblClusters[Environnement],$B59)))</f>
        <v>NPRD</v>
      </c>
      <c r="AG59" s="14" t="n">
        <f aca="false">IF($D59&lt;&gt;1,"",$R59+p_poidsram*$S59)</f>
        <v>268.8</v>
      </c>
      <c r="AH59" s="14" t="n">
        <f aca="false">IF($D59&lt;&gt;1,"",IFERROR($W59/$AG59,0))</f>
        <v>23.7053571428571</v>
      </c>
      <c r="AI59" s="14" t="n">
        <f aca="false">IF($D59&lt;&gt;1,"",IF(AND($G59="IKS",ISNUMBER(INDEX(TblClusters[Fermeture retenue],$B59))),IF($E59&gt;=INDEX(TblClusters[Fermeture retenue],$B59),1,0),0))</f>
        <v>0</v>
      </c>
    </row>
    <row r="60" customFormat="false" ht="15" hidden="false" customHeight="false" outlineLevel="0" collapsed="false">
      <c r="A60" s="14" t="n">
        <v>55</v>
      </c>
      <c r="B60" s="14" t="n">
        <f aca="false">INT(($A60-1)/36)+1</f>
        <v>2</v>
      </c>
      <c r="C60" s="14" t="n">
        <f aca="false">MOD($A60-1,36)+1</f>
        <v>19</v>
      </c>
      <c r="D60" s="14" t="n">
        <f aca="false">IF($C60&gt;p_horizon,0,IFERROR(IF(AND(INDEX(TblClusters[Cluster],$B60)&lt;&gt;"",ISNUMBER(INDEX(TblClusters[CPU initial (vCPU)],$B60)),ISNUMBER(INDEX(TblClusters[CPU min (vCPU)],$B60)),OR(INDEX(TblClusters[Plateforme],$B60)="IKS",INDEX(TblClusters[Plateforme],$B60)="ROKS")),1,0),0))</f>
        <v>1</v>
      </c>
      <c r="E60" s="83" t="n">
        <f aca="false">IF($D60=1,EDATE(p_debut,$C60-1),"")</f>
        <v>46844</v>
      </c>
      <c r="F60" s="14" t="str">
        <f aca="false">IF($D60=1,INDEX(TblClusters[Cluster],$B60),"")</f>
        <v>IKS-NPR-01</v>
      </c>
      <c r="G60" s="14" t="str">
        <f aca="false">IF($D60=1,INDEX(TblClusters[Plateforme],$B60),"")</f>
        <v>IKS</v>
      </c>
      <c r="H60" s="14" t="n">
        <f aca="false">IF($D60=1,INDEX(TblClusters[vCPU par nœud],$B60),"")</f>
        <v>16</v>
      </c>
      <c r="I60" s="14" t="n">
        <f aca="false">IF($D60=1,INDEX(TblClusters[RAM par nœud (Go)],$B60),"")</f>
        <v>64</v>
      </c>
      <c r="J60" s="14" t="n">
        <f aca="false">IF($D60=1,INDEX(TblClusters[Workers min],$B60),"")</f>
        <v>3</v>
      </c>
      <c r="K60" s="84" t="n">
        <f aca="false">IF($D60=1,INDEX(TblClusters[Tarif par nœud],$B60),"")</f>
        <v>531</v>
      </c>
      <c r="L60" s="14" t="n">
        <f aca="false">IF($D60=1,INDEX(TblClusters[CPU initial (vCPU)],$B60),"")</f>
        <v>320</v>
      </c>
      <c r="M60" s="14" t="n">
        <f aca="false">IF($D60=1,INDEX(TblClusters[RAM initiale (Go)],$B60),"")</f>
        <v>1280</v>
      </c>
      <c r="N60" s="14" t="n">
        <f aca="false">IF($D60=1,INDEX(TblClusters[CPU min (vCPU)],$B60),"")</f>
        <v>48</v>
      </c>
      <c r="O60" s="14" t="n">
        <f aca="false">IF($D60=1,INDEX(TblClusters[RAM min (Go)],$B60),"")</f>
        <v>192</v>
      </c>
      <c r="P60" s="14" t="n">
        <f aca="false">IF($D60&lt;&gt;1,"",IF($G60="ROKS",SUMIFS(TblApplications[Besoin ROKS CPU (vCPU)],TblApplications[Cluster ROKS cible],$F60,TblApplications[Action],"À migrer",TblApplications[Déjà incluse ROKS],"Non",TblApplications[Mois prov (calc)],"&lt;="&amp;$E60),SUMIFS(TblApplications[CPU IKS libérable (vCPU)],TblApplications[Cluster IKS source],$F60,TblApplications[Mois lib (calc)],"&lt;="&amp;$E60)))</f>
        <v>128</v>
      </c>
      <c r="Q60" s="14" t="n">
        <f aca="false">IF($D60&lt;&gt;1,"",IF($G60="ROKS",SUMIFS(TblApplications[Besoin ROKS RAM (Go)],TblApplications[Cluster ROKS cible],$F60,TblApplications[Action],"À migrer",TblApplications[Déjà incluse ROKS],"Non",TblApplications[Mois prov (calc)],"&lt;="&amp;$E60),SUMIFS(TblApplications[RAM IKS libérable (Go)],TblApplications[Cluster IKS source],$F60,TblApplications[Mois lib (calc)],"&lt;="&amp;$E60)))</f>
        <v>512</v>
      </c>
      <c r="R60" s="14" t="n">
        <f aca="false">IF($D60&lt;&gt;1,"",IF($G60="ROKS",$L60+$P60,IF($AI60=1,0,MAX($N60,$L60-$P60))))</f>
        <v>192</v>
      </c>
      <c r="S60" s="14" t="n">
        <f aca="false">IF($D60&lt;&gt;1,"",IF($G60="ROKS",$M60+$Q60,IF($AI60=1,0,MAX($O60,$M60-$Q60))))</f>
        <v>768</v>
      </c>
      <c r="T60" s="14" t="n">
        <f aca="false">IF($D60&lt;&gt;1,"",IF($AI60=1,0,MAX($J60,ROUNDUP(MAX($R60/$H60,$S60/$I60),0))))</f>
        <v>12</v>
      </c>
      <c r="U60" s="14" t="n">
        <f aca="false">IF($D60&lt;&gt;1,"",IF(p_mode="Nœud",$T60*$H60,$R60))</f>
        <v>192</v>
      </c>
      <c r="V60" s="14" t="n">
        <f aca="false">IF($D60&lt;&gt;1,"",IF(p_mode="Nœud",$T60*$I60,$S60))</f>
        <v>768</v>
      </c>
      <c r="W60" s="84" t="n">
        <f aca="false">IF($D60&lt;&gt;1,"",IF(p_mode="Nœud",$T60*$K60,$R60*IF($G60="IKS",p_iks_cpu,p_roks_cpu)+$S60*IF($G60="IKS",p_iks_ram,p_roks_ram))*p_facteur)</f>
        <v>6372</v>
      </c>
      <c r="X60" s="14" t="n">
        <f aca="false">IF($D60&lt;&gt;1,"",IF($G60="ROKS",$R60,IF($AI60=1,0,MAX($N60,$L60-SUMIFS(TblApplications[CPU IKS libérable (vCPU)],TblApplications[Cluster IKS source],$F60,TblApplications[Action],"À migrer",TblApplications[Mois prov (calc)],"&lt;="&amp;$E60)-SUMIFS(TblApplications[CPU IKS libérable (vCPU)],TblApplications[Cluster IKS source],$F60,TblApplications[Action],"À décommissionner",TblApplications[Mois lib (calc)],"&lt;="&amp;$E60)))))</f>
        <v>128</v>
      </c>
      <c r="Y60" s="14" t="n">
        <f aca="false">IF($D60&lt;&gt;1,"",IF($G60="ROKS",$S60,IF($AI60=1,0,MAX($O60,$M60-SUMIFS(TblApplications[RAM IKS libérable (Go)],TblApplications[Cluster IKS source],$F60,TblApplications[Action],"À migrer",TblApplications[Mois prov (calc)],"&lt;="&amp;$E60)-SUMIFS(TblApplications[RAM IKS libérable (Go)],TblApplications[Cluster IKS source],$F60,TblApplications[Action],"À décommissionner",TblApplications[Mois lib (calc)],"&lt;="&amp;$E60)))))</f>
        <v>512</v>
      </c>
      <c r="Z60" s="14" t="n">
        <f aca="false">IF($D60&lt;&gt;1,"",IF($AI60=1,0,MAX($J60,ROUNDUP(MAX($X60/$H60,$Y60/$I60),0))))</f>
        <v>8</v>
      </c>
      <c r="AA60" s="84" t="n">
        <f aca="false">IF($D60&lt;&gt;1,"",IF(p_mode="Nœud",$Z60*$K60,$X60*IF($G60="IKS",p_iks_cpu,p_roks_cpu)+$Y60*IF($G60="IKS",p_iks_ram,p_roks_ram))*p_facteur)</f>
        <v>4248</v>
      </c>
      <c r="AB60" s="14" t="n">
        <f aca="false">IF($D60&lt;&gt;1,"",MAX($J60,ROUNDUP(MAX($L60/$H60,$M60/$I60),0)))</f>
        <v>20</v>
      </c>
      <c r="AC60" s="84" t="n">
        <f aca="false">IF($D60&lt;&gt;1,"",IF(p_mode="Nœud",$AB60*$K60,$L60*IF($G60="IKS",p_iks_cpu,p_roks_cpu)+$M60*IF($G60="IKS",p_iks_ram,p_roks_ram))*p_facteur)</f>
        <v>10620</v>
      </c>
      <c r="AD60" s="14" t="n">
        <f aca="false">IF($D60&lt;&gt;1,"",IF(AND($G60="IKS",$AI60&lt;&gt;1,OR($L60-$P60&lt;$N60,$M60-$Q60&lt;$O60)),1,0))</f>
        <v>0</v>
      </c>
      <c r="AE60" s="14" t="n">
        <f aca="false">IF($D60&lt;&gt;1,"",IF(AND($G60="ROKS",$T60&gt;p_maxworkers),1,0))</f>
        <v>0</v>
      </c>
      <c r="AF60" s="14" t="str">
        <f aca="false">IF($D60&lt;&gt;1,"",IF(INDEX(TblClusters[Environnement],$B60)="","(vide)",INDEX(TblClusters[Environnement],$B60)))</f>
        <v>NPRD</v>
      </c>
      <c r="AG60" s="14" t="n">
        <f aca="false">IF($D60&lt;&gt;1,"",$R60+p_poidsram*$S60)</f>
        <v>268.8</v>
      </c>
      <c r="AH60" s="14" t="n">
        <f aca="false">IF($D60&lt;&gt;1,"",IFERROR($W60/$AG60,0))</f>
        <v>23.7053571428571</v>
      </c>
      <c r="AI60" s="14" t="n">
        <f aca="false">IF($D60&lt;&gt;1,"",IF(AND($G60="IKS",ISNUMBER(INDEX(TblClusters[Fermeture retenue],$B60))),IF($E60&gt;=INDEX(TblClusters[Fermeture retenue],$B60),1,0),0))</f>
        <v>0</v>
      </c>
    </row>
    <row r="61" customFormat="false" ht="15" hidden="false" customHeight="false" outlineLevel="0" collapsed="false">
      <c r="A61" s="14" t="n">
        <v>56</v>
      </c>
      <c r="B61" s="14" t="n">
        <f aca="false">INT(($A61-1)/36)+1</f>
        <v>2</v>
      </c>
      <c r="C61" s="14" t="n">
        <f aca="false">MOD($A61-1,36)+1</f>
        <v>20</v>
      </c>
      <c r="D61" s="14" t="n">
        <f aca="false">IF($C61&gt;p_horizon,0,IFERROR(IF(AND(INDEX(TblClusters[Cluster],$B61)&lt;&gt;"",ISNUMBER(INDEX(TblClusters[CPU initial (vCPU)],$B61)),ISNUMBER(INDEX(TblClusters[CPU min (vCPU)],$B61)),OR(INDEX(TblClusters[Plateforme],$B61)="IKS",INDEX(TblClusters[Plateforme],$B61)="ROKS")),1,0),0))</f>
        <v>1</v>
      </c>
      <c r="E61" s="83" t="n">
        <f aca="false">IF($D61=1,EDATE(p_debut,$C61-1),"")</f>
        <v>46874</v>
      </c>
      <c r="F61" s="14" t="str">
        <f aca="false">IF($D61=1,INDEX(TblClusters[Cluster],$B61),"")</f>
        <v>IKS-NPR-01</v>
      </c>
      <c r="G61" s="14" t="str">
        <f aca="false">IF($D61=1,INDEX(TblClusters[Plateforme],$B61),"")</f>
        <v>IKS</v>
      </c>
      <c r="H61" s="14" t="n">
        <f aca="false">IF($D61=1,INDEX(TblClusters[vCPU par nœud],$B61),"")</f>
        <v>16</v>
      </c>
      <c r="I61" s="14" t="n">
        <f aca="false">IF($D61=1,INDEX(TblClusters[RAM par nœud (Go)],$B61),"")</f>
        <v>64</v>
      </c>
      <c r="J61" s="14" t="n">
        <f aca="false">IF($D61=1,INDEX(TblClusters[Workers min],$B61),"")</f>
        <v>3</v>
      </c>
      <c r="K61" s="84" t="n">
        <f aca="false">IF($D61=1,INDEX(TblClusters[Tarif par nœud],$B61),"")</f>
        <v>531</v>
      </c>
      <c r="L61" s="14" t="n">
        <f aca="false">IF($D61=1,INDEX(TblClusters[CPU initial (vCPU)],$B61),"")</f>
        <v>320</v>
      </c>
      <c r="M61" s="14" t="n">
        <f aca="false">IF($D61=1,INDEX(TblClusters[RAM initiale (Go)],$B61),"")</f>
        <v>1280</v>
      </c>
      <c r="N61" s="14" t="n">
        <f aca="false">IF($D61=1,INDEX(TblClusters[CPU min (vCPU)],$B61),"")</f>
        <v>48</v>
      </c>
      <c r="O61" s="14" t="n">
        <f aca="false">IF($D61=1,INDEX(TblClusters[RAM min (Go)],$B61),"")</f>
        <v>192</v>
      </c>
      <c r="P61" s="14" t="n">
        <f aca="false">IF($D61&lt;&gt;1,"",IF($G61="ROKS",SUMIFS(TblApplications[Besoin ROKS CPU (vCPU)],TblApplications[Cluster ROKS cible],$F61,TblApplications[Action],"À migrer",TblApplications[Déjà incluse ROKS],"Non",TblApplications[Mois prov (calc)],"&lt;="&amp;$E61),SUMIFS(TblApplications[CPU IKS libérable (vCPU)],TblApplications[Cluster IKS source],$F61,TblApplications[Mois lib (calc)],"&lt;="&amp;$E61)))</f>
        <v>128</v>
      </c>
      <c r="Q61" s="14" t="n">
        <f aca="false">IF($D61&lt;&gt;1,"",IF($G61="ROKS",SUMIFS(TblApplications[Besoin ROKS RAM (Go)],TblApplications[Cluster ROKS cible],$F61,TblApplications[Action],"À migrer",TblApplications[Déjà incluse ROKS],"Non",TblApplications[Mois prov (calc)],"&lt;="&amp;$E61),SUMIFS(TblApplications[RAM IKS libérable (Go)],TblApplications[Cluster IKS source],$F61,TblApplications[Mois lib (calc)],"&lt;="&amp;$E61)))</f>
        <v>512</v>
      </c>
      <c r="R61" s="14" t="n">
        <f aca="false">IF($D61&lt;&gt;1,"",IF($G61="ROKS",$L61+$P61,IF($AI61=1,0,MAX($N61,$L61-$P61))))</f>
        <v>192</v>
      </c>
      <c r="S61" s="14" t="n">
        <f aca="false">IF($D61&lt;&gt;1,"",IF($G61="ROKS",$M61+$Q61,IF($AI61=1,0,MAX($O61,$M61-$Q61))))</f>
        <v>768</v>
      </c>
      <c r="T61" s="14" t="n">
        <f aca="false">IF($D61&lt;&gt;1,"",IF($AI61=1,0,MAX($J61,ROUNDUP(MAX($R61/$H61,$S61/$I61),0))))</f>
        <v>12</v>
      </c>
      <c r="U61" s="14" t="n">
        <f aca="false">IF($D61&lt;&gt;1,"",IF(p_mode="Nœud",$T61*$H61,$R61))</f>
        <v>192</v>
      </c>
      <c r="V61" s="14" t="n">
        <f aca="false">IF($D61&lt;&gt;1,"",IF(p_mode="Nœud",$T61*$I61,$S61))</f>
        <v>768</v>
      </c>
      <c r="W61" s="84" t="n">
        <f aca="false">IF($D61&lt;&gt;1,"",IF(p_mode="Nœud",$T61*$K61,$R61*IF($G61="IKS",p_iks_cpu,p_roks_cpu)+$S61*IF($G61="IKS",p_iks_ram,p_roks_ram))*p_facteur)</f>
        <v>6372</v>
      </c>
      <c r="X61" s="14" t="n">
        <f aca="false">IF($D61&lt;&gt;1,"",IF($G61="ROKS",$R61,IF($AI61=1,0,MAX($N61,$L61-SUMIFS(TblApplications[CPU IKS libérable (vCPU)],TblApplications[Cluster IKS source],$F61,TblApplications[Action],"À migrer",TblApplications[Mois prov (calc)],"&lt;="&amp;$E61)-SUMIFS(TblApplications[CPU IKS libérable (vCPU)],TblApplications[Cluster IKS source],$F61,TblApplications[Action],"À décommissionner",TblApplications[Mois lib (calc)],"&lt;="&amp;$E61)))))</f>
        <v>128</v>
      </c>
      <c r="Y61" s="14" t="n">
        <f aca="false">IF($D61&lt;&gt;1,"",IF($G61="ROKS",$S61,IF($AI61=1,0,MAX($O61,$M61-SUMIFS(TblApplications[RAM IKS libérable (Go)],TblApplications[Cluster IKS source],$F61,TblApplications[Action],"À migrer",TblApplications[Mois prov (calc)],"&lt;="&amp;$E61)-SUMIFS(TblApplications[RAM IKS libérable (Go)],TblApplications[Cluster IKS source],$F61,TblApplications[Action],"À décommissionner",TblApplications[Mois lib (calc)],"&lt;="&amp;$E61)))))</f>
        <v>512</v>
      </c>
      <c r="Z61" s="14" t="n">
        <f aca="false">IF($D61&lt;&gt;1,"",IF($AI61=1,0,MAX($J61,ROUNDUP(MAX($X61/$H61,$Y61/$I61),0))))</f>
        <v>8</v>
      </c>
      <c r="AA61" s="84" t="n">
        <f aca="false">IF($D61&lt;&gt;1,"",IF(p_mode="Nœud",$Z61*$K61,$X61*IF($G61="IKS",p_iks_cpu,p_roks_cpu)+$Y61*IF($G61="IKS",p_iks_ram,p_roks_ram))*p_facteur)</f>
        <v>4248</v>
      </c>
      <c r="AB61" s="14" t="n">
        <f aca="false">IF($D61&lt;&gt;1,"",MAX($J61,ROUNDUP(MAX($L61/$H61,$M61/$I61),0)))</f>
        <v>20</v>
      </c>
      <c r="AC61" s="84" t="n">
        <f aca="false">IF($D61&lt;&gt;1,"",IF(p_mode="Nœud",$AB61*$K61,$L61*IF($G61="IKS",p_iks_cpu,p_roks_cpu)+$M61*IF($G61="IKS",p_iks_ram,p_roks_ram))*p_facteur)</f>
        <v>10620</v>
      </c>
      <c r="AD61" s="14" t="n">
        <f aca="false">IF($D61&lt;&gt;1,"",IF(AND($G61="IKS",$AI61&lt;&gt;1,OR($L61-$P61&lt;$N61,$M61-$Q61&lt;$O61)),1,0))</f>
        <v>0</v>
      </c>
      <c r="AE61" s="14" t="n">
        <f aca="false">IF($D61&lt;&gt;1,"",IF(AND($G61="ROKS",$T61&gt;p_maxworkers),1,0))</f>
        <v>0</v>
      </c>
      <c r="AF61" s="14" t="str">
        <f aca="false">IF($D61&lt;&gt;1,"",IF(INDEX(TblClusters[Environnement],$B61)="","(vide)",INDEX(TblClusters[Environnement],$B61)))</f>
        <v>NPRD</v>
      </c>
      <c r="AG61" s="14" t="n">
        <f aca="false">IF($D61&lt;&gt;1,"",$R61+p_poidsram*$S61)</f>
        <v>268.8</v>
      </c>
      <c r="AH61" s="14" t="n">
        <f aca="false">IF($D61&lt;&gt;1,"",IFERROR($W61/$AG61,0))</f>
        <v>23.7053571428571</v>
      </c>
      <c r="AI61" s="14" t="n">
        <f aca="false">IF($D61&lt;&gt;1,"",IF(AND($G61="IKS",ISNUMBER(INDEX(TblClusters[Fermeture retenue],$B61))),IF($E61&gt;=INDEX(TblClusters[Fermeture retenue],$B61),1,0),0))</f>
        <v>0</v>
      </c>
    </row>
    <row r="62" customFormat="false" ht="15" hidden="false" customHeight="false" outlineLevel="0" collapsed="false">
      <c r="A62" s="14" t="n">
        <v>57</v>
      </c>
      <c r="B62" s="14" t="n">
        <f aca="false">INT(($A62-1)/36)+1</f>
        <v>2</v>
      </c>
      <c r="C62" s="14" t="n">
        <f aca="false">MOD($A62-1,36)+1</f>
        <v>21</v>
      </c>
      <c r="D62" s="14" t="n">
        <f aca="false">IF($C62&gt;p_horizon,0,IFERROR(IF(AND(INDEX(TblClusters[Cluster],$B62)&lt;&gt;"",ISNUMBER(INDEX(TblClusters[CPU initial (vCPU)],$B62)),ISNUMBER(INDEX(TblClusters[CPU min (vCPU)],$B62)),OR(INDEX(TblClusters[Plateforme],$B62)="IKS",INDEX(TblClusters[Plateforme],$B62)="ROKS")),1,0),0))</f>
        <v>1</v>
      </c>
      <c r="E62" s="83" t="n">
        <f aca="false">IF($D62=1,EDATE(p_debut,$C62-1),"")</f>
        <v>46905</v>
      </c>
      <c r="F62" s="14" t="str">
        <f aca="false">IF($D62=1,INDEX(TblClusters[Cluster],$B62),"")</f>
        <v>IKS-NPR-01</v>
      </c>
      <c r="G62" s="14" t="str">
        <f aca="false">IF($D62=1,INDEX(TblClusters[Plateforme],$B62),"")</f>
        <v>IKS</v>
      </c>
      <c r="H62" s="14" t="n">
        <f aca="false">IF($D62=1,INDEX(TblClusters[vCPU par nœud],$B62),"")</f>
        <v>16</v>
      </c>
      <c r="I62" s="14" t="n">
        <f aca="false">IF($D62=1,INDEX(TblClusters[RAM par nœud (Go)],$B62),"")</f>
        <v>64</v>
      </c>
      <c r="J62" s="14" t="n">
        <f aca="false">IF($D62=1,INDEX(TblClusters[Workers min],$B62),"")</f>
        <v>3</v>
      </c>
      <c r="K62" s="84" t="n">
        <f aca="false">IF($D62=1,INDEX(TblClusters[Tarif par nœud],$B62),"")</f>
        <v>531</v>
      </c>
      <c r="L62" s="14" t="n">
        <f aca="false">IF($D62=1,INDEX(TblClusters[CPU initial (vCPU)],$B62),"")</f>
        <v>320</v>
      </c>
      <c r="M62" s="14" t="n">
        <f aca="false">IF($D62=1,INDEX(TblClusters[RAM initiale (Go)],$B62),"")</f>
        <v>1280</v>
      </c>
      <c r="N62" s="14" t="n">
        <f aca="false">IF($D62=1,INDEX(TblClusters[CPU min (vCPU)],$B62),"")</f>
        <v>48</v>
      </c>
      <c r="O62" s="14" t="n">
        <f aca="false">IF($D62=1,INDEX(TblClusters[RAM min (Go)],$B62),"")</f>
        <v>192</v>
      </c>
      <c r="P62" s="14" t="n">
        <f aca="false">IF($D62&lt;&gt;1,"",IF($G62="ROKS",SUMIFS(TblApplications[Besoin ROKS CPU (vCPU)],TblApplications[Cluster ROKS cible],$F62,TblApplications[Action],"À migrer",TblApplications[Déjà incluse ROKS],"Non",TblApplications[Mois prov (calc)],"&lt;="&amp;$E62),SUMIFS(TblApplications[CPU IKS libérable (vCPU)],TblApplications[Cluster IKS source],$F62,TblApplications[Mois lib (calc)],"&lt;="&amp;$E62)))</f>
        <v>192</v>
      </c>
      <c r="Q62" s="14" t="n">
        <f aca="false">IF($D62&lt;&gt;1,"",IF($G62="ROKS",SUMIFS(TblApplications[Besoin ROKS RAM (Go)],TblApplications[Cluster ROKS cible],$F62,TblApplications[Action],"À migrer",TblApplications[Déjà incluse ROKS],"Non",TblApplications[Mois prov (calc)],"&lt;="&amp;$E62),SUMIFS(TblApplications[RAM IKS libérable (Go)],TblApplications[Cluster IKS source],$F62,TblApplications[Mois lib (calc)],"&lt;="&amp;$E62)))</f>
        <v>768</v>
      </c>
      <c r="R62" s="14" t="n">
        <f aca="false">IF($D62&lt;&gt;1,"",IF($G62="ROKS",$L62+$P62,IF($AI62=1,0,MAX($N62,$L62-$P62))))</f>
        <v>0</v>
      </c>
      <c r="S62" s="14" t="n">
        <f aca="false">IF($D62&lt;&gt;1,"",IF($G62="ROKS",$M62+$Q62,IF($AI62=1,0,MAX($O62,$M62-$Q62))))</f>
        <v>0</v>
      </c>
      <c r="T62" s="14" t="n">
        <f aca="false">IF($D62&lt;&gt;1,"",IF($AI62=1,0,MAX($J62,ROUNDUP(MAX($R62/$H62,$S62/$I62),0))))</f>
        <v>0</v>
      </c>
      <c r="U62" s="14" t="n">
        <f aca="false">IF($D62&lt;&gt;1,"",IF(p_mode="Nœud",$T62*$H62,$R62))</f>
        <v>0</v>
      </c>
      <c r="V62" s="14" t="n">
        <f aca="false">IF($D62&lt;&gt;1,"",IF(p_mode="Nœud",$T62*$I62,$S62))</f>
        <v>0</v>
      </c>
      <c r="W62" s="84" t="n">
        <f aca="false">IF($D62&lt;&gt;1,"",IF(p_mode="Nœud",$T62*$K62,$R62*IF($G62="IKS",p_iks_cpu,p_roks_cpu)+$S62*IF($G62="IKS",p_iks_ram,p_roks_ram))*p_facteur)</f>
        <v>0</v>
      </c>
      <c r="X62" s="14" t="n">
        <f aca="false">IF($D62&lt;&gt;1,"",IF($G62="ROKS",$R62,IF($AI62=1,0,MAX($N62,$L62-SUMIFS(TblApplications[CPU IKS libérable (vCPU)],TblApplications[Cluster IKS source],$F62,TblApplications[Action],"À migrer",TblApplications[Mois prov (calc)],"&lt;="&amp;$E62)-SUMIFS(TblApplications[CPU IKS libérable (vCPU)],TblApplications[Cluster IKS source],$F62,TblApplications[Action],"À décommissionner",TblApplications[Mois lib (calc)],"&lt;="&amp;$E62)))))</f>
        <v>0</v>
      </c>
      <c r="Y62" s="14" t="n">
        <f aca="false">IF($D62&lt;&gt;1,"",IF($G62="ROKS",$S62,IF($AI62=1,0,MAX($O62,$M62-SUMIFS(TblApplications[RAM IKS libérable (Go)],TblApplications[Cluster IKS source],$F62,TblApplications[Action],"À migrer",TblApplications[Mois prov (calc)],"&lt;="&amp;$E62)-SUMIFS(TblApplications[RAM IKS libérable (Go)],TblApplications[Cluster IKS source],$F62,TblApplications[Action],"À décommissionner",TblApplications[Mois lib (calc)],"&lt;="&amp;$E62)))))</f>
        <v>0</v>
      </c>
      <c r="Z62" s="14" t="n">
        <f aca="false">IF($D62&lt;&gt;1,"",IF($AI62=1,0,MAX($J62,ROUNDUP(MAX($X62/$H62,$Y62/$I62),0))))</f>
        <v>0</v>
      </c>
      <c r="AA62" s="84" t="n">
        <f aca="false">IF($D62&lt;&gt;1,"",IF(p_mode="Nœud",$Z62*$K62,$X62*IF($G62="IKS",p_iks_cpu,p_roks_cpu)+$Y62*IF($G62="IKS",p_iks_ram,p_roks_ram))*p_facteur)</f>
        <v>0</v>
      </c>
      <c r="AB62" s="14" t="n">
        <f aca="false">IF($D62&lt;&gt;1,"",MAX($J62,ROUNDUP(MAX($L62/$H62,$M62/$I62),0)))</f>
        <v>20</v>
      </c>
      <c r="AC62" s="84" t="n">
        <f aca="false">IF($D62&lt;&gt;1,"",IF(p_mode="Nœud",$AB62*$K62,$L62*IF($G62="IKS",p_iks_cpu,p_roks_cpu)+$M62*IF($G62="IKS",p_iks_ram,p_roks_ram))*p_facteur)</f>
        <v>10620</v>
      </c>
      <c r="AD62" s="14" t="n">
        <f aca="false">IF($D62&lt;&gt;1,"",IF(AND($G62="IKS",$AI62&lt;&gt;1,OR($L62-$P62&lt;$N62,$M62-$Q62&lt;$O62)),1,0))</f>
        <v>0</v>
      </c>
      <c r="AE62" s="14" t="n">
        <f aca="false">IF($D62&lt;&gt;1,"",IF(AND($G62="ROKS",$T62&gt;p_maxworkers),1,0))</f>
        <v>0</v>
      </c>
      <c r="AF62" s="14" t="str">
        <f aca="false">IF($D62&lt;&gt;1,"",IF(INDEX(TblClusters[Environnement],$B62)="","(vide)",INDEX(TblClusters[Environnement],$B62)))</f>
        <v>NPRD</v>
      </c>
      <c r="AG62" s="14" t="n">
        <f aca="false">IF($D62&lt;&gt;1,"",$R62+p_poidsram*$S62)</f>
        <v>0</v>
      </c>
      <c r="AH62" s="14" t="n">
        <f aca="false">IF($D62&lt;&gt;1,"",IFERROR($W62/$AG62,0))</f>
        <v>0</v>
      </c>
      <c r="AI62" s="14" t="n">
        <f aca="false">IF($D62&lt;&gt;1,"",IF(AND($G62="IKS",ISNUMBER(INDEX(TblClusters[Fermeture retenue],$B62))),IF($E62&gt;=INDEX(TblClusters[Fermeture retenue],$B62),1,0),0))</f>
        <v>1</v>
      </c>
    </row>
    <row r="63" customFormat="false" ht="15" hidden="false" customHeight="false" outlineLevel="0" collapsed="false">
      <c r="A63" s="14" t="n">
        <v>58</v>
      </c>
      <c r="B63" s="14" t="n">
        <f aca="false">INT(($A63-1)/36)+1</f>
        <v>2</v>
      </c>
      <c r="C63" s="14" t="n">
        <f aca="false">MOD($A63-1,36)+1</f>
        <v>22</v>
      </c>
      <c r="D63" s="14" t="n">
        <f aca="false">IF($C63&gt;p_horizon,0,IFERROR(IF(AND(INDEX(TblClusters[Cluster],$B63)&lt;&gt;"",ISNUMBER(INDEX(TblClusters[CPU initial (vCPU)],$B63)),ISNUMBER(INDEX(TblClusters[CPU min (vCPU)],$B63)),OR(INDEX(TblClusters[Plateforme],$B63)="IKS",INDEX(TblClusters[Plateforme],$B63)="ROKS")),1,0),0))</f>
        <v>1</v>
      </c>
      <c r="E63" s="83" t="n">
        <f aca="false">IF($D63=1,EDATE(p_debut,$C63-1),"")</f>
        <v>46935</v>
      </c>
      <c r="F63" s="14" t="str">
        <f aca="false">IF($D63=1,INDEX(TblClusters[Cluster],$B63),"")</f>
        <v>IKS-NPR-01</v>
      </c>
      <c r="G63" s="14" t="str">
        <f aca="false">IF($D63=1,INDEX(TblClusters[Plateforme],$B63),"")</f>
        <v>IKS</v>
      </c>
      <c r="H63" s="14" t="n">
        <f aca="false">IF($D63=1,INDEX(TblClusters[vCPU par nœud],$B63),"")</f>
        <v>16</v>
      </c>
      <c r="I63" s="14" t="n">
        <f aca="false">IF($D63=1,INDEX(TblClusters[RAM par nœud (Go)],$B63),"")</f>
        <v>64</v>
      </c>
      <c r="J63" s="14" t="n">
        <f aca="false">IF($D63=1,INDEX(TblClusters[Workers min],$B63),"")</f>
        <v>3</v>
      </c>
      <c r="K63" s="84" t="n">
        <f aca="false">IF($D63=1,INDEX(TblClusters[Tarif par nœud],$B63),"")</f>
        <v>531</v>
      </c>
      <c r="L63" s="14" t="n">
        <f aca="false">IF($D63=1,INDEX(TblClusters[CPU initial (vCPU)],$B63),"")</f>
        <v>320</v>
      </c>
      <c r="M63" s="14" t="n">
        <f aca="false">IF($D63=1,INDEX(TblClusters[RAM initiale (Go)],$B63),"")</f>
        <v>1280</v>
      </c>
      <c r="N63" s="14" t="n">
        <f aca="false">IF($D63=1,INDEX(TblClusters[CPU min (vCPU)],$B63),"")</f>
        <v>48</v>
      </c>
      <c r="O63" s="14" t="n">
        <f aca="false">IF($D63=1,INDEX(TblClusters[RAM min (Go)],$B63),"")</f>
        <v>192</v>
      </c>
      <c r="P63" s="14" t="n">
        <f aca="false">IF($D63&lt;&gt;1,"",IF($G63="ROKS",SUMIFS(TblApplications[Besoin ROKS CPU (vCPU)],TblApplications[Cluster ROKS cible],$F63,TblApplications[Action],"À migrer",TblApplications[Déjà incluse ROKS],"Non",TblApplications[Mois prov (calc)],"&lt;="&amp;$E63),SUMIFS(TblApplications[CPU IKS libérable (vCPU)],TblApplications[Cluster IKS source],$F63,TblApplications[Mois lib (calc)],"&lt;="&amp;$E63)))</f>
        <v>192</v>
      </c>
      <c r="Q63" s="14" t="n">
        <f aca="false">IF($D63&lt;&gt;1,"",IF($G63="ROKS",SUMIFS(TblApplications[Besoin ROKS RAM (Go)],TblApplications[Cluster ROKS cible],$F63,TblApplications[Action],"À migrer",TblApplications[Déjà incluse ROKS],"Non",TblApplications[Mois prov (calc)],"&lt;="&amp;$E63),SUMIFS(TblApplications[RAM IKS libérable (Go)],TblApplications[Cluster IKS source],$F63,TblApplications[Mois lib (calc)],"&lt;="&amp;$E63)))</f>
        <v>768</v>
      </c>
      <c r="R63" s="14" t="n">
        <f aca="false">IF($D63&lt;&gt;1,"",IF($G63="ROKS",$L63+$P63,IF($AI63=1,0,MAX($N63,$L63-$P63))))</f>
        <v>0</v>
      </c>
      <c r="S63" s="14" t="n">
        <f aca="false">IF($D63&lt;&gt;1,"",IF($G63="ROKS",$M63+$Q63,IF($AI63=1,0,MAX($O63,$M63-$Q63))))</f>
        <v>0</v>
      </c>
      <c r="T63" s="14" t="n">
        <f aca="false">IF($D63&lt;&gt;1,"",IF($AI63=1,0,MAX($J63,ROUNDUP(MAX($R63/$H63,$S63/$I63),0))))</f>
        <v>0</v>
      </c>
      <c r="U63" s="14" t="n">
        <f aca="false">IF($D63&lt;&gt;1,"",IF(p_mode="Nœud",$T63*$H63,$R63))</f>
        <v>0</v>
      </c>
      <c r="V63" s="14" t="n">
        <f aca="false">IF($D63&lt;&gt;1,"",IF(p_mode="Nœud",$T63*$I63,$S63))</f>
        <v>0</v>
      </c>
      <c r="W63" s="84" t="n">
        <f aca="false">IF($D63&lt;&gt;1,"",IF(p_mode="Nœud",$T63*$K63,$R63*IF($G63="IKS",p_iks_cpu,p_roks_cpu)+$S63*IF($G63="IKS",p_iks_ram,p_roks_ram))*p_facteur)</f>
        <v>0</v>
      </c>
      <c r="X63" s="14" t="n">
        <f aca="false">IF($D63&lt;&gt;1,"",IF($G63="ROKS",$R63,IF($AI63=1,0,MAX($N63,$L63-SUMIFS(TblApplications[CPU IKS libérable (vCPU)],TblApplications[Cluster IKS source],$F63,TblApplications[Action],"À migrer",TblApplications[Mois prov (calc)],"&lt;="&amp;$E63)-SUMIFS(TblApplications[CPU IKS libérable (vCPU)],TblApplications[Cluster IKS source],$F63,TblApplications[Action],"À décommissionner",TblApplications[Mois lib (calc)],"&lt;="&amp;$E63)))))</f>
        <v>0</v>
      </c>
      <c r="Y63" s="14" t="n">
        <f aca="false">IF($D63&lt;&gt;1,"",IF($G63="ROKS",$S63,IF($AI63=1,0,MAX($O63,$M63-SUMIFS(TblApplications[RAM IKS libérable (Go)],TblApplications[Cluster IKS source],$F63,TblApplications[Action],"À migrer",TblApplications[Mois prov (calc)],"&lt;="&amp;$E63)-SUMIFS(TblApplications[RAM IKS libérable (Go)],TblApplications[Cluster IKS source],$F63,TblApplications[Action],"À décommissionner",TblApplications[Mois lib (calc)],"&lt;="&amp;$E63)))))</f>
        <v>0</v>
      </c>
      <c r="Z63" s="14" t="n">
        <f aca="false">IF($D63&lt;&gt;1,"",IF($AI63=1,0,MAX($J63,ROUNDUP(MAX($X63/$H63,$Y63/$I63),0))))</f>
        <v>0</v>
      </c>
      <c r="AA63" s="84" t="n">
        <f aca="false">IF($D63&lt;&gt;1,"",IF(p_mode="Nœud",$Z63*$K63,$X63*IF($G63="IKS",p_iks_cpu,p_roks_cpu)+$Y63*IF($G63="IKS",p_iks_ram,p_roks_ram))*p_facteur)</f>
        <v>0</v>
      </c>
      <c r="AB63" s="14" t="n">
        <f aca="false">IF($D63&lt;&gt;1,"",MAX($J63,ROUNDUP(MAX($L63/$H63,$M63/$I63),0)))</f>
        <v>20</v>
      </c>
      <c r="AC63" s="84" t="n">
        <f aca="false">IF($D63&lt;&gt;1,"",IF(p_mode="Nœud",$AB63*$K63,$L63*IF($G63="IKS",p_iks_cpu,p_roks_cpu)+$M63*IF($G63="IKS",p_iks_ram,p_roks_ram))*p_facteur)</f>
        <v>10620</v>
      </c>
      <c r="AD63" s="14" t="n">
        <f aca="false">IF($D63&lt;&gt;1,"",IF(AND($G63="IKS",$AI63&lt;&gt;1,OR($L63-$P63&lt;$N63,$M63-$Q63&lt;$O63)),1,0))</f>
        <v>0</v>
      </c>
      <c r="AE63" s="14" t="n">
        <f aca="false">IF($D63&lt;&gt;1,"",IF(AND($G63="ROKS",$T63&gt;p_maxworkers),1,0))</f>
        <v>0</v>
      </c>
      <c r="AF63" s="14" t="str">
        <f aca="false">IF($D63&lt;&gt;1,"",IF(INDEX(TblClusters[Environnement],$B63)="","(vide)",INDEX(TblClusters[Environnement],$B63)))</f>
        <v>NPRD</v>
      </c>
      <c r="AG63" s="14" t="n">
        <f aca="false">IF($D63&lt;&gt;1,"",$R63+p_poidsram*$S63)</f>
        <v>0</v>
      </c>
      <c r="AH63" s="14" t="n">
        <f aca="false">IF($D63&lt;&gt;1,"",IFERROR($W63/$AG63,0))</f>
        <v>0</v>
      </c>
      <c r="AI63" s="14" t="n">
        <f aca="false">IF($D63&lt;&gt;1,"",IF(AND($G63="IKS",ISNUMBER(INDEX(TblClusters[Fermeture retenue],$B63))),IF($E63&gt;=INDEX(TblClusters[Fermeture retenue],$B63),1,0),0))</f>
        <v>1</v>
      </c>
    </row>
    <row r="64" customFormat="false" ht="15" hidden="false" customHeight="false" outlineLevel="0" collapsed="false">
      <c r="A64" s="14" t="n">
        <v>59</v>
      </c>
      <c r="B64" s="14" t="n">
        <f aca="false">INT(($A64-1)/36)+1</f>
        <v>2</v>
      </c>
      <c r="C64" s="14" t="n">
        <f aca="false">MOD($A64-1,36)+1</f>
        <v>23</v>
      </c>
      <c r="D64" s="14" t="n">
        <f aca="false">IF($C64&gt;p_horizon,0,IFERROR(IF(AND(INDEX(TblClusters[Cluster],$B64)&lt;&gt;"",ISNUMBER(INDEX(TblClusters[CPU initial (vCPU)],$B64)),ISNUMBER(INDEX(TblClusters[CPU min (vCPU)],$B64)),OR(INDEX(TblClusters[Plateforme],$B64)="IKS",INDEX(TblClusters[Plateforme],$B64)="ROKS")),1,0),0))</f>
        <v>1</v>
      </c>
      <c r="E64" s="83" t="n">
        <f aca="false">IF($D64=1,EDATE(p_debut,$C64-1),"")</f>
        <v>46966</v>
      </c>
      <c r="F64" s="14" t="str">
        <f aca="false">IF($D64=1,INDEX(TblClusters[Cluster],$B64),"")</f>
        <v>IKS-NPR-01</v>
      </c>
      <c r="G64" s="14" t="str">
        <f aca="false">IF($D64=1,INDEX(TblClusters[Plateforme],$B64),"")</f>
        <v>IKS</v>
      </c>
      <c r="H64" s="14" t="n">
        <f aca="false">IF($D64=1,INDEX(TblClusters[vCPU par nœud],$B64),"")</f>
        <v>16</v>
      </c>
      <c r="I64" s="14" t="n">
        <f aca="false">IF($D64=1,INDEX(TblClusters[RAM par nœud (Go)],$B64),"")</f>
        <v>64</v>
      </c>
      <c r="J64" s="14" t="n">
        <f aca="false">IF($D64=1,INDEX(TblClusters[Workers min],$B64),"")</f>
        <v>3</v>
      </c>
      <c r="K64" s="84" t="n">
        <f aca="false">IF($D64=1,INDEX(TblClusters[Tarif par nœud],$B64),"")</f>
        <v>531</v>
      </c>
      <c r="L64" s="14" t="n">
        <f aca="false">IF($D64=1,INDEX(TblClusters[CPU initial (vCPU)],$B64),"")</f>
        <v>320</v>
      </c>
      <c r="M64" s="14" t="n">
        <f aca="false">IF($D64=1,INDEX(TblClusters[RAM initiale (Go)],$B64),"")</f>
        <v>1280</v>
      </c>
      <c r="N64" s="14" t="n">
        <f aca="false">IF($D64=1,INDEX(TblClusters[CPU min (vCPU)],$B64),"")</f>
        <v>48</v>
      </c>
      <c r="O64" s="14" t="n">
        <f aca="false">IF($D64=1,INDEX(TblClusters[RAM min (Go)],$B64),"")</f>
        <v>192</v>
      </c>
      <c r="P64" s="14" t="n">
        <f aca="false">IF($D64&lt;&gt;1,"",IF($G64="ROKS",SUMIFS(TblApplications[Besoin ROKS CPU (vCPU)],TblApplications[Cluster ROKS cible],$F64,TblApplications[Action],"À migrer",TblApplications[Déjà incluse ROKS],"Non",TblApplications[Mois prov (calc)],"&lt;="&amp;$E64),SUMIFS(TblApplications[CPU IKS libérable (vCPU)],TblApplications[Cluster IKS source],$F64,TblApplications[Mois lib (calc)],"&lt;="&amp;$E64)))</f>
        <v>192</v>
      </c>
      <c r="Q64" s="14" t="n">
        <f aca="false">IF($D64&lt;&gt;1,"",IF($G64="ROKS",SUMIFS(TblApplications[Besoin ROKS RAM (Go)],TblApplications[Cluster ROKS cible],$F64,TblApplications[Action],"À migrer",TblApplications[Déjà incluse ROKS],"Non",TblApplications[Mois prov (calc)],"&lt;="&amp;$E64),SUMIFS(TblApplications[RAM IKS libérable (Go)],TblApplications[Cluster IKS source],$F64,TblApplications[Mois lib (calc)],"&lt;="&amp;$E64)))</f>
        <v>768</v>
      </c>
      <c r="R64" s="14" t="n">
        <f aca="false">IF($D64&lt;&gt;1,"",IF($G64="ROKS",$L64+$P64,IF($AI64=1,0,MAX($N64,$L64-$P64))))</f>
        <v>0</v>
      </c>
      <c r="S64" s="14" t="n">
        <f aca="false">IF($D64&lt;&gt;1,"",IF($G64="ROKS",$M64+$Q64,IF($AI64=1,0,MAX($O64,$M64-$Q64))))</f>
        <v>0</v>
      </c>
      <c r="T64" s="14" t="n">
        <f aca="false">IF($D64&lt;&gt;1,"",IF($AI64=1,0,MAX($J64,ROUNDUP(MAX($R64/$H64,$S64/$I64),0))))</f>
        <v>0</v>
      </c>
      <c r="U64" s="14" t="n">
        <f aca="false">IF($D64&lt;&gt;1,"",IF(p_mode="Nœud",$T64*$H64,$R64))</f>
        <v>0</v>
      </c>
      <c r="V64" s="14" t="n">
        <f aca="false">IF($D64&lt;&gt;1,"",IF(p_mode="Nœud",$T64*$I64,$S64))</f>
        <v>0</v>
      </c>
      <c r="W64" s="84" t="n">
        <f aca="false">IF($D64&lt;&gt;1,"",IF(p_mode="Nœud",$T64*$K64,$R64*IF($G64="IKS",p_iks_cpu,p_roks_cpu)+$S64*IF($G64="IKS",p_iks_ram,p_roks_ram))*p_facteur)</f>
        <v>0</v>
      </c>
      <c r="X64" s="14" t="n">
        <f aca="false">IF($D64&lt;&gt;1,"",IF($G64="ROKS",$R64,IF($AI64=1,0,MAX($N64,$L64-SUMIFS(TblApplications[CPU IKS libérable (vCPU)],TblApplications[Cluster IKS source],$F64,TblApplications[Action],"À migrer",TblApplications[Mois prov (calc)],"&lt;="&amp;$E64)-SUMIFS(TblApplications[CPU IKS libérable (vCPU)],TblApplications[Cluster IKS source],$F64,TblApplications[Action],"À décommissionner",TblApplications[Mois lib (calc)],"&lt;="&amp;$E64)))))</f>
        <v>0</v>
      </c>
      <c r="Y64" s="14" t="n">
        <f aca="false">IF($D64&lt;&gt;1,"",IF($G64="ROKS",$S64,IF($AI64=1,0,MAX($O64,$M64-SUMIFS(TblApplications[RAM IKS libérable (Go)],TblApplications[Cluster IKS source],$F64,TblApplications[Action],"À migrer",TblApplications[Mois prov (calc)],"&lt;="&amp;$E64)-SUMIFS(TblApplications[RAM IKS libérable (Go)],TblApplications[Cluster IKS source],$F64,TblApplications[Action],"À décommissionner",TblApplications[Mois lib (calc)],"&lt;="&amp;$E64)))))</f>
        <v>0</v>
      </c>
      <c r="Z64" s="14" t="n">
        <f aca="false">IF($D64&lt;&gt;1,"",IF($AI64=1,0,MAX($J64,ROUNDUP(MAX($X64/$H64,$Y64/$I64),0))))</f>
        <v>0</v>
      </c>
      <c r="AA64" s="84" t="n">
        <f aca="false">IF($D64&lt;&gt;1,"",IF(p_mode="Nœud",$Z64*$K64,$X64*IF($G64="IKS",p_iks_cpu,p_roks_cpu)+$Y64*IF($G64="IKS",p_iks_ram,p_roks_ram))*p_facteur)</f>
        <v>0</v>
      </c>
      <c r="AB64" s="14" t="n">
        <f aca="false">IF($D64&lt;&gt;1,"",MAX($J64,ROUNDUP(MAX($L64/$H64,$M64/$I64),0)))</f>
        <v>20</v>
      </c>
      <c r="AC64" s="84" t="n">
        <f aca="false">IF($D64&lt;&gt;1,"",IF(p_mode="Nœud",$AB64*$K64,$L64*IF($G64="IKS",p_iks_cpu,p_roks_cpu)+$M64*IF($G64="IKS",p_iks_ram,p_roks_ram))*p_facteur)</f>
        <v>10620</v>
      </c>
      <c r="AD64" s="14" t="n">
        <f aca="false">IF($D64&lt;&gt;1,"",IF(AND($G64="IKS",$AI64&lt;&gt;1,OR($L64-$P64&lt;$N64,$M64-$Q64&lt;$O64)),1,0))</f>
        <v>0</v>
      </c>
      <c r="AE64" s="14" t="n">
        <f aca="false">IF($D64&lt;&gt;1,"",IF(AND($G64="ROKS",$T64&gt;p_maxworkers),1,0))</f>
        <v>0</v>
      </c>
      <c r="AF64" s="14" t="str">
        <f aca="false">IF($D64&lt;&gt;1,"",IF(INDEX(TblClusters[Environnement],$B64)="","(vide)",INDEX(TblClusters[Environnement],$B64)))</f>
        <v>NPRD</v>
      </c>
      <c r="AG64" s="14" t="n">
        <f aca="false">IF($D64&lt;&gt;1,"",$R64+p_poidsram*$S64)</f>
        <v>0</v>
      </c>
      <c r="AH64" s="14" t="n">
        <f aca="false">IF($D64&lt;&gt;1,"",IFERROR($W64/$AG64,0))</f>
        <v>0</v>
      </c>
      <c r="AI64" s="14" t="n">
        <f aca="false">IF($D64&lt;&gt;1,"",IF(AND($G64="IKS",ISNUMBER(INDEX(TblClusters[Fermeture retenue],$B64))),IF($E64&gt;=INDEX(TblClusters[Fermeture retenue],$B64),1,0),0))</f>
        <v>1</v>
      </c>
    </row>
    <row r="65" customFormat="false" ht="15" hidden="false" customHeight="false" outlineLevel="0" collapsed="false">
      <c r="A65" s="14" t="n">
        <v>60</v>
      </c>
      <c r="B65" s="14" t="n">
        <f aca="false">INT(($A65-1)/36)+1</f>
        <v>2</v>
      </c>
      <c r="C65" s="14" t="n">
        <f aca="false">MOD($A65-1,36)+1</f>
        <v>24</v>
      </c>
      <c r="D65" s="14" t="n">
        <f aca="false">IF($C65&gt;p_horizon,0,IFERROR(IF(AND(INDEX(TblClusters[Cluster],$B65)&lt;&gt;"",ISNUMBER(INDEX(TblClusters[CPU initial (vCPU)],$B65)),ISNUMBER(INDEX(TblClusters[CPU min (vCPU)],$B65)),OR(INDEX(TblClusters[Plateforme],$B65)="IKS",INDEX(TblClusters[Plateforme],$B65)="ROKS")),1,0),0))</f>
        <v>1</v>
      </c>
      <c r="E65" s="83" t="n">
        <f aca="false">IF($D65=1,EDATE(p_debut,$C65-1),"")</f>
        <v>46997</v>
      </c>
      <c r="F65" s="14" t="str">
        <f aca="false">IF($D65=1,INDEX(TblClusters[Cluster],$B65),"")</f>
        <v>IKS-NPR-01</v>
      </c>
      <c r="G65" s="14" t="str">
        <f aca="false">IF($D65=1,INDEX(TblClusters[Plateforme],$B65),"")</f>
        <v>IKS</v>
      </c>
      <c r="H65" s="14" t="n">
        <f aca="false">IF($D65=1,INDEX(TblClusters[vCPU par nœud],$B65),"")</f>
        <v>16</v>
      </c>
      <c r="I65" s="14" t="n">
        <f aca="false">IF($D65=1,INDEX(TblClusters[RAM par nœud (Go)],$B65),"")</f>
        <v>64</v>
      </c>
      <c r="J65" s="14" t="n">
        <f aca="false">IF($D65=1,INDEX(TblClusters[Workers min],$B65),"")</f>
        <v>3</v>
      </c>
      <c r="K65" s="84" t="n">
        <f aca="false">IF($D65=1,INDEX(TblClusters[Tarif par nœud],$B65),"")</f>
        <v>531</v>
      </c>
      <c r="L65" s="14" t="n">
        <f aca="false">IF($D65=1,INDEX(TblClusters[CPU initial (vCPU)],$B65),"")</f>
        <v>320</v>
      </c>
      <c r="M65" s="14" t="n">
        <f aca="false">IF($D65=1,INDEX(TblClusters[RAM initiale (Go)],$B65),"")</f>
        <v>1280</v>
      </c>
      <c r="N65" s="14" t="n">
        <f aca="false">IF($D65=1,INDEX(TblClusters[CPU min (vCPU)],$B65),"")</f>
        <v>48</v>
      </c>
      <c r="O65" s="14" t="n">
        <f aca="false">IF($D65=1,INDEX(TblClusters[RAM min (Go)],$B65),"")</f>
        <v>192</v>
      </c>
      <c r="P65" s="14" t="n">
        <f aca="false">IF($D65&lt;&gt;1,"",IF($G65="ROKS",SUMIFS(TblApplications[Besoin ROKS CPU (vCPU)],TblApplications[Cluster ROKS cible],$F65,TblApplications[Action],"À migrer",TblApplications[Déjà incluse ROKS],"Non",TblApplications[Mois prov (calc)],"&lt;="&amp;$E65),SUMIFS(TblApplications[CPU IKS libérable (vCPU)],TblApplications[Cluster IKS source],$F65,TblApplications[Mois lib (calc)],"&lt;="&amp;$E65)))</f>
        <v>192</v>
      </c>
      <c r="Q65" s="14" t="n">
        <f aca="false">IF($D65&lt;&gt;1,"",IF($G65="ROKS",SUMIFS(TblApplications[Besoin ROKS RAM (Go)],TblApplications[Cluster ROKS cible],$F65,TblApplications[Action],"À migrer",TblApplications[Déjà incluse ROKS],"Non",TblApplications[Mois prov (calc)],"&lt;="&amp;$E65),SUMIFS(TblApplications[RAM IKS libérable (Go)],TblApplications[Cluster IKS source],$F65,TblApplications[Mois lib (calc)],"&lt;="&amp;$E65)))</f>
        <v>768</v>
      </c>
      <c r="R65" s="14" t="n">
        <f aca="false">IF($D65&lt;&gt;1,"",IF($G65="ROKS",$L65+$P65,IF($AI65=1,0,MAX($N65,$L65-$P65))))</f>
        <v>0</v>
      </c>
      <c r="S65" s="14" t="n">
        <f aca="false">IF($D65&lt;&gt;1,"",IF($G65="ROKS",$M65+$Q65,IF($AI65=1,0,MAX($O65,$M65-$Q65))))</f>
        <v>0</v>
      </c>
      <c r="T65" s="14" t="n">
        <f aca="false">IF($D65&lt;&gt;1,"",IF($AI65=1,0,MAX($J65,ROUNDUP(MAX($R65/$H65,$S65/$I65),0))))</f>
        <v>0</v>
      </c>
      <c r="U65" s="14" t="n">
        <f aca="false">IF($D65&lt;&gt;1,"",IF(p_mode="Nœud",$T65*$H65,$R65))</f>
        <v>0</v>
      </c>
      <c r="V65" s="14" t="n">
        <f aca="false">IF($D65&lt;&gt;1,"",IF(p_mode="Nœud",$T65*$I65,$S65))</f>
        <v>0</v>
      </c>
      <c r="W65" s="84" t="n">
        <f aca="false">IF($D65&lt;&gt;1,"",IF(p_mode="Nœud",$T65*$K65,$R65*IF($G65="IKS",p_iks_cpu,p_roks_cpu)+$S65*IF($G65="IKS",p_iks_ram,p_roks_ram))*p_facteur)</f>
        <v>0</v>
      </c>
      <c r="X65" s="14" t="n">
        <f aca="false">IF($D65&lt;&gt;1,"",IF($G65="ROKS",$R65,IF($AI65=1,0,MAX($N65,$L65-SUMIFS(TblApplications[CPU IKS libérable (vCPU)],TblApplications[Cluster IKS source],$F65,TblApplications[Action],"À migrer",TblApplications[Mois prov (calc)],"&lt;="&amp;$E65)-SUMIFS(TblApplications[CPU IKS libérable (vCPU)],TblApplications[Cluster IKS source],$F65,TblApplications[Action],"À décommissionner",TblApplications[Mois lib (calc)],"&lt;="&amp;$E65)))))</f>
        <v>0</v>
      </c>
      <c r="Y65" s="14" t="n">
        <f aca="false">IF($D65&lt;&gt;1,"",IF($G65="ROKS",$S65,IF($AI65=1,0,MAX($O65,$M65-SUMIFS(TblApplications[RAM IKS libérable (Go)],TblApplications[Cluster IKS source],$F65,TblApplications[Action],"À migrer",TblApplications[Mois prov (calc)],"&lt;="&amp;$E65)-SUMIFS(TblApplications[RAM IKS libérable (Go)],TblApplications[Cluster IKS source],$F65,TblApplications[Action],"À décommissionner",TblApplications[Mois lib (calc)],"&lt;="&amp;$E65)))))</f>
        <v>0</v>
      </c>
      <c r="Z65" s="14" t="n">
        <f aca="false">IF($D65&lt;&gt;1,"",IF($AI65=1,0,MAX($J65,ROUNDUP(MAX($X65/$H65,$Y65/$I65),0))))</f>
        <v>0</v>
      </c>
      <c r="AA65" s="84" t="n">
        <f aca="false">IF($D65&lt;&gt;1,"",IF(p_mode="Nœud",$Z65*$K65,$X65*IF($G65="IKS",p_iks_cpu,p_roks_cpu)+$Y65*IF($G65="IKS",p_iks_ram,p_roks_ram))*p_facteur)</f>
        <v>0</v>
      </c>
      <c r="AB65" s="14" t="n">
        <f aca="false">IF($D65&lt;&gt;1,"",MAX($J65,ROUNDUP(MAX($L65/$H65,$M65/$I65),0)))</f>
        <v>20</v>
      </c>
      <c r="AC65" s="84" t="n">
        <f aca="false">IF($D65&lt;&gt;1,"",IF(p_mode="Nœud",$AB65*$K65,$L65*IF($G65="IKS",p_iks_cpu,p_roks_cpu)+$M65*IF($G65="IKS",p_iks_ram,p_roks_ram))*p_facteur)</f>
        <v>10620</v>
      </c>
      <c r="AD65" s="14" t="n">
        <f aca="false">IF($D65&lt;&gt;1,"",IF(AND($G65="IKS",$AI65&lt;&gt;1,OR($L65-$P65&lt;$N65,$M65-$Q65&lt;$O65)),1,0))</f>
        <v>0</v>
      </c>
      <c r="AE65" s="14" t="n">
        <f aca="false">IF($D65&lt;&gt;1,"",IF(AND($G65="ROKS",$T65&gt;p_maxworkers),1,0))</f>
        <v>0</v>
      </c>
      <c r="AF65" s="14" t="str">
        <f aca="false">IF($D65&lt;&gt;1,"",IF(INDEX(TblClusters[Environnement],$B65)="","(vide)",INDEX(TblClusters[Environnement],$B65)))</f>
        <v>NPRD</v>
      </c>
      <c r="AG65" s="14" t="n">
        <f aca="false">IF($D65&lt;&gt;1,"",$R65+p_poidsram*$S65)</f>
        <v>0</v>
      </c>
      <c r="AH65" s="14" t="n">
        <f aca="false">IF($D65&lt;&gt;1,"",IFERROR($W65/$AG65,0))</f>
        <v>0</v>
      </c>
      <c r="AI65" s="14" t="n">
        <f aca="false">IF($D65&lt;&gt;1,"",IF(AND($G65="IKS",ISNUMBER(INDEX(TblClusters[Fermeture retenue],$B65))),IF($E65&gt;=INDEX(TblClusters[Fermeture retenue],$B65),1,0),0))</f>
        <v>1</v>
      </c>
    </row>
    <row r="66" customFormat="false" ht="15" hidden="false" customHeight="false" outlineLevel="0" collapsed="false">
      <c r="A66" s="14" t="n">
        <v>61</v>
      </c>
      <c r="B66" s="14" t="n">
        <f aca="false">INT(($A66-1)/36)+1</f>
        <v>2</v>
      </c>
      <c r="C66" s="14" t="n">
        <f aca="false">MOD($A66-1,36)+1</f>
        <v>25</v>
      </c>
      <c r="D66" s="14" t="n">
        <f aca="false">IF($C66&gt;p_horizon,0,IFERROR(IF(AND(INDEX(TblClusters[Cluster],$B66)&lt;&gt;"",ISNUMBER(INDEX(TblClusters[CPU initial (vCPU)],$B66)),ISNUMBER(INDEX(TblClusters[CPU min (vCPU)],$B66)),OR(INDEX(TblClusters[Plateforme],$B66)="IKS",INDEX(TblClusters[Plateforme],$B66)="ROKS")),1,0),0))</f>
        <v>1</v>
      </c>
      <c r="E66" s="83" t="n">
        <f aca="false">IF($D66=1,EDATE(p_debut,$C66-1),"")</f>
        <v>47027</v>
      </c>
      <c r="F66" s="14" t="str">
        <f aca="false">IF($D66=1,INDEX(TblClusters[Cluster],$B66),"")</f>
        <v>IKS-NPR-01</v>
      </c>
      <c r="G66" s="14" t="str">
        <f aca="false">IF($D66=1,INDEX(TblClusters[Plateforme],$B66),"")</f>
        <v>IKS</v>
      </c>
      <c r="H66" s="14" t="n">
        <f aca="false">IF($D66=1,INDEX(TblClusters[vCPU par nœud],$B66),"")</f>
        <v>16</v>
      </c>
      <c r="I66" s="14" t="n">
        <f aca="false">IF($D66=1,INDEX(TblClusters[RAM par nœud (Go)],$B66),"")</f>
        <v>64</v>
      </c>
      <c r="J66" s="14" t="n">
        <f aca="false">IF($D66=1,INDEX(TblClusters[Workers min],$B66),"")</f>
        <v>3</v>
      </c>
      <c r="K66" s="84" t="n">
        <f aca="false">IF($D66=1,INDEX(TblClusters[Tarif par nœud],$B66),"")</f>
        <v>531</v>
      </c>
      <c r="L66" s="14" t="n">
        <f aca="false">IF($D66=1,INDEX(TblClusters[CPU initial (vCPU)],$B66),"")</f>
        <v>320</v>
      </c>
      <c r="M66" s="14" t="n">
        <f aca="false">IF($D66=1,INDEX(TblClusters[RAM initiale (Go)],$B66),"")</f>
        <v>1280</v>
      </c>
      <c r="N66" s="14" t="n">
        <f aca="false">IF($D66=1,INDEX(TblClusters[CPU min (vCPU)],$B66),"")</f>
        <v>48</v>
      </c>
      <c r="O66" s="14" t="n">
        <f aca="false">IF($D66=1,INDEX(TblClusters[RAM min (Go)],$B66),"")</f>
        <v>192</v>
      </c>
      <c r="P66" s="14" t="n">
        <f aca="false">IF($D66&lt;&gt;1,"",IF($G66="ROKS",SUMIFS(TblApplications[Besoin ROKS CPU (vCPU)],TblApplications[Cluster ROKS cible],$F66,TblApplications[Action],"À migrer",TblApplications[Déjà incluse ROKS],"Non",TblApplications[Mois prov (calc)],"&lt;="&amp;$E66),SUMIFS(TblApplications[CPU IKS libérable (vCPU)],TblApplications[Cluster IKS source],$F66,TblApplications[Mois lib (calc)],"&lt;="&amp;$E66)))</f>
        <v>192</v>
      </c>
      <c r="Q66" s="14" t="n">
        <f aca="false">IF($D66&lt;&gt;1,"",IF($G66="ROKS",SUMIFS(TblApplications[Besoin ROKS RAM (Go)],TblApplications[Cluster ROKS cible],$F66,TblApplications[Action],"À migrer",TblApplications[Déjà incluse ROKS],"Non",TblApplications[Mois prov (calc)],"&lt;="&amp;$E66),SUMIFS(TblApplications[RAM IKS libérable (Go)],TblApplications[Cluster IKS source],$F66,TblApplications[Mois lib (calc)],"&lt;="&amp;$E66)))</f>
        <v>768</v>
      </c>
      <c r="R66" s="14" t="n">
        <f aca="false">IF($D66&lt;&gt;1,"",IF($G66="ROKS",$L66+$P66,IF($AI66=1,0,MAX($N66,$L66-$P66))))</f>
        <v>0</v>
      </c>
      <c r="S66" s="14" t="n">
        <f aca="false">IF($D66&lt;&gt;1,"",IF($G66="ROKS",$M66+$Q66,IF($AI66=1,0,MAX($O66,$M66-$Q66))))</f>
        <v>0</v>
      </c>
      <c r="T66" s="14" t="n">
        <f aca="false">IF($D66&lt;&gt;1,"",IF($AI66=1,0,MAX($J66,ROUNDUP(MAX($R66/$H66,$S66/$I66),0))))</f>
        <v>0</v>
      </c>
      <c r="U66" s="14" t="n">
        <f aca="false">IF($D66&lt;&gt;1,"",IF(p_mode="Nœud",$T66*$H66,$R66))</f>
        <v>0</v>
      </c>
      <c r="V66" s="14" t="n">
        <f aca="false">IF($D66&lt;&gt;1,"",IF(p_mode="Nœud",$T66*$I66,$S66))</f>
        <v>0</v>
      </c>
      <c r="W66" s="84" t="n">
        <f aca="false">IF($D66&lt;&gt;1,"",IF(p_mode="Nœud",$T66*$K66,$R66*IF($G66="IKS",p_iks_cpu,p_roks_cpu)+$S66*IF($G66="IKS",p_iks_ram,p_roks_ram))*p_facteur)</f>
        <v>0</v>
      </c>
      <c r="X66" s="14" t="n">
        <f aca="false">IF($D66&lt;&gt;1,"",IF($G66="ROKS",$R66,IF($AI66=1,0,MAX($N66,$L66-SUMIFS(TblApplications[CPU IKS libérable (vCPU)],TblApplications[Cluster IKS source],$F66,TblApplications[Action],"À migrer",TblApplications[Mois prov (calc)],"&lt;="&amp;$E66)-SUMIFS(TblApplications[CPU IKS libérable (vCPU)],TblApplications[Cluster IKS source],$F66,TblApplications[Action],"À décommissionner",TblApplications[Mois lib (calc)],"&lt;="&amp;$E66)))))</f>
        <v>0</v>
      </c>
      <c r="Y66" s="14" t="n">
        <f aca="false">IF($D66&lt;&gt;1,"",IF($G66="ROKS",$S66,IF($AI66=1,0,MAX($O66,$M66-SUMIFS(TblApplications[RAM IKS libérable (Go)],TblApplications[Cluster IKS source],$F66,TblApplications[Action],"À migrer",TblApplications[Mois prov (calc)],"&lt;="&amp;$E66)-SUMIFS(TblApplications[RAM IKS libérable (Go)],TblApplications[Cluster IKS source],$F66,TblApplications[Action],"À décommissionner",TblApplications[Mois lib (calc)],"&lt;="&amp;$E66)))))</f>
        <v>0</v>
      </c>
      <c r="Z66" s="14" t="n">
        <f aca="false">IF($D66&lt;&gt;1,"",IF($AI66=1,0,MAX($J66,ROUNDUP(MAX($X66/$H66,$Y66/$I66),0))))</f>
        <v>0</v>
      </c>
      <c r="AA66" s="84" t="n">
        <f aca="false">IF($D66&lt;&gt;1,"",IF(p_mode="Nœud",$Z66*$K66,$X66*IF($G66="IKS",p_iks_cpu,p_roks_cpu)+$Y66*IF($G66="IKS",p_iks_ram,p_roks_ram))*p_facteur)</f>
        <v>0</v>
      </c>
      <c r="AB66" s="14" t="n">
        <f aca="false">IF($D66&lt;&gt;1,"",MAX($J66,ROUNDUP(MAX($L66/$H66,$M66/$I66),0)))</f>
        <v>20</v>
      </c>
      <c r="AC66" s="84" t="n">
        <f aca="false">IF($D66&lt;&gt;1,"",IF(p_mode="Nœud",$AB66*$K66,$L66*IF($G66="IKS",p_iks_cpu,p_roks_cpu)+$M66*IF($G66="IKS",p_iks_ram,p_roks_ram))*p_facteur)</f>
        <v>10620</v>
      </c>
      <c r="AD66" s="14" t="n">
        <f aca="false">IF($D66&lt;&gt;1,"",IF(AND($G66="IKS",$AI66&lt;&gt;1,OR($L66-$P66&lt;$N66,$M66-$Q66&lt;$O66)),1,0))</f>
        <v>0</v>
      </c>
      <c r="AE66" s="14" t="n">
        <f aca="false">IF($D66&lt;&gt;1,"",IF(AND($G66="ROKS",$T66&gt;p_maxworkers),1,0))</f>
        <v>0</v>
      </c>
      <c r="AF66" s="14" t="str">
        <f aca="false">IF($D66&lt;&gt;1,"",IF(INDEX(TblClusters[Environnement],$B66)="","(vide)",INDEX(TblClusters[Environnement],$B66)))</f>
        <v>NPRD</v>
      </c>
      <c r="AG66" s="14" t="n">
        <f aca="false">IF($D66&lt;&gt;1,"",$R66+p_poidsram*$S66)</f>
        <v>0</v>
      </c>
      <c r="AH66" s="14" t="n">
        <f aca="false">IF($D66&lt;&gt;1,"",IFERROR($W66/$AG66,0))</f>
        <v>0</v>
      </c>
      <c r="AI66" s="14" t="n">
        <f aca="false">IF($D66&lt;&gt;1,"",IF(AND($G66="IKS",ISNUMBER(INDEX(TblClusters[Fermeture retenue],$B66))),IF($E66&gt;=INDEX(TblClusters[Fermeture retenue],$B66),1,0),0))</f>
        <v>1</v>
      </c>
    </row>
    <row r="67" customFormat="false" ht="15" hidden="false" customHeight="false" outlineLevel="0" collapsed="false">
      <c r="A67" s="14" t="n">
        <v>62</v>
      </c>
      <c r="B67" s="14" t="n">
        <f aca="false">INT(($A67-1)/36)+1</f>
        <v>2</v>
      </c>
      <c r="C67" s="14" t="n">
        <f aca="false">MOD($A67-1,36)+1</f>
        <v>26</v>
      </c>
      <c r="D67" s="14" t="n">
        <f aca="false">IF($C67&gt;p_horizon,0,IFERROR(IF(AND(INDEX(TblClusters[Cluster],$B67)&lt;&gt;"",ISNUMBER(INDEX(TblClusters[CPU initial (vCPU)],$B67)),ISNUMBER(INDEX(TblClusters[CPU min (vCPU)],$B67)),OR(INDEX(TblClusters[Plateforme],$B67)="IKS",INDEX(TblClusters[Plateforme],$B67)="ROKS")),1,0),0))</f>
        <v>1</v>
      </c>
      <c r="E67" s="83" t="n">
        <f aca="false">IF($D67=1,EDATE(p_debut,$C67-1),"")</f>
        <v>47058</v>
      </c>
      <c r="F67" s="14" t="str">
        <f aca="false">IF($D67=1,INDEX(TblClusters[Cluster],$B67),"")</f>
        <v>IKS-NPR-01</v>
      </c>
      <c r="G67" s="14" t="str">
        <f aca="false">IF($D67=1,INDEX(TblClusters[Plateforme],$B67),"")</f>
        <v>IKS</v>
      </c>
      <c r="H67" s="14" t="n">
        <f aca="false">IF($D67=1,INDEX(TblClusters[vCPU par nœud],$B67),"")</f>
        <v>16</v>
      </c>
      <c r="I67" s="14" t="n">
        <f aca="false">IF($D67=1,INDEX(TblClusters[RAM par nœud (Go)],$B67),"")</f>
        <v>64</v>
      </c>
      <c r="J67" s="14" t="n">
        <f aca="false">IF($D67=1,INDEX(TblClusters[Workers min],$B67),"")</f>
        <v>3</v>
      </c>
      <c r="K67" s="84" t="n">
        <f aca="false">IF($D67=1,INDEX(TblClusters[Tarif par nœud],$B67),"")</f>
        <v>531</v>
      </c>
      <c r="L67" s="14" t="n">
        <f aca="false">IF($D67=1,INDEX(TblClusters[CPU initial (vCPU)],$B67),"")</f>
        <v>320</v>
      </c>
      <c r="M67" s="14" t="n">
        <f aca="false">IF($D67=1,INDEX(TblClusters[RAM initiale (Go)],$B67),"")</f>
        <v>1280</v>
      </c>
      <c r="N67" s="14" t="n">
        <f aca="false">IF($D67=1,INDEX(TblClusters[CPU min (vCPU)],$B67),"")</f>
        <v>48</v>
      </c>
      <c r="O67" s="14" t="n">
        <f aca="false">IF($D67=1,INDEX(TblClusters[RAM min (Go)],$B67),"")</f>
        <v>192</v>
      </c>
      <c r="P67" s="14" t="n">
        <f aca="false">IF($D67&lt;&gt;1,"",IF($G67="ROKS",SUMIFS(TblApplications[Besoin ROKS CPU (vCPU)],TblApplications[Cluster ROKS cible],$F67,TblApplications[Action],"À migrer",TblApplications[Déjà incluse ROKS],"Non",TblApplications[Mois prov (calc)],"&lt;="&amp;$E67),SUMIFS(TblApplications[CPU IKS libérable (vCPU)],TblApplications[Cluster IKS source],$F67,TblApplications[Mois lib (calc)],"&lt;="&amp;$E67)))</f>
        <v>192</v>
      </c>
      <c r="Q67" s="14" t="n">
        <f aca="false">IF($D67&lt;&gt;1,"",IF($G67="ROKS",SUMIFS(TblApplications[Besoin ROKS RAM (Go)],TblApplications[Cluster ROKS cible],$F67,TblApplications[Action],"À migrer",TblApplications[Déjà incluse ROKS],"Non",TblApplications[Mois prov (calc)],"&lt;="&amp;$E67),SUMIFS(TblApplications[RAM IKS libérable (Go)],TblApplications[Cluster IKS source],$F67,TblApplications[Mois lib (calc)],"&lt;="&amp;$E67)))</f>
        <v>768</v>
      </c>
      <c r="R67" s="14" t="n">
        <f aca="false">IF($D67&lt;&gt;1,"",IF($G67="ROKS",$L67+$P67,IF($AI67=1,0,MAX($N67,$L67-$P67))))</f>
        <v>0</v>
      </c>
      <c r="S67" s="14" t="n">
        <f aca="false">IF($D67&lt;&gt;1,"",IF($G67="ROKS",$M67+$Q67,IF($AI67=1,0,MAX($O67,$M67-$Q67))))</f>
        <v>0</v>
      </c>
      <c r="T67" s="14" t="n">
        <f aca="false">IF($D67&lt;&gt;1,"",IF($AI67=1,0,MAX($J67,ROUNDUP(MAX($R67/$H67,$S67/$I67),0))))</f>
        <v>0</v>
      </c>
      <c r="U67" s="14" t="n">
        <f aca="false">IF($D67&lt;&gt;1,"",IF(p_mode="Nœud",$T67*$H67,$R67))</f>
        <v>0</v>
      </c>
      <c r="V67" s="14" t="n">
        <f aca="false">IF($D67&lt;&gt;1,"",IF(p_mode="Nœud",$T67*$I67,$S67))</f>
        <v>0</v>
      </c>
      <c r="W67" s="84" t="n">
        <f aca="false">IF($D67&lt;&gt;1,"",IF(p_mode="Nœud",$T67*$K67,$R67*IF($G67="IKS",p_iks_cpu,p_roks_cpu)+$S67*IF($G67="IKS",p_iks_ram,p_roks_ram))*p_facteur)</f>
        <v>0</v>
      </c>
      <c r="X67" s="14" t="n">
        <f aca="false">IF($D67&lt;&gt;1,"",IF($G67="ROKS",$R67,IF($AI67=1,0,MAX($N67,$L67-SUMIFS(TblApplications[CPU IKS libérable (vCPU)],TblApplications[Cluster IKS source],$F67,TblApplications[Action],"À migrer",TblApplications[Mois prov (calc)],"&lt;="&amp;$E67)-SUMIFS(TblApplications[CPU IKS libérable (vCPU)],TblApplications[Cluster IKS source],$F67,TblApplications[Action],"À décommissionner",TblApplications[Mois lib (calc)],"&lt;="&amp;$E67)))))</f>
        <v>0</v>
      </c>
      <c r="Y67" s="14" t="n">
        <f aca="false">IF($D67&lt;&gt;1,"",IF($G67="ROKS",$S67,IF($AI67=1,0,MAX($O67,$M67-SUMIFS(TblApplications[RAM IKS libérable (Go)],TblApplications[Cluster IKS source],$F67,TblApplications[Action],"À migrer",TblApplications[Mois prov (calc)],"&lt;="&amp;$E67)-SUMIFS(TblApplications[RAM IKS libérable (Go)],TblApplications[Cluster IKS source],$F67,TblApplications[Action],"À décommissionner",TblApplications[Mois lib (calc)],"&lt;="&amp;$E67)))))</f>
        <v>0</v>
      </c>
      <c r="Z67" s="14" t="n">
        <f aca="false">IF($D67&lt;&gt;1,"",IF($AI67=1,0,MAX($J67,ROUNDUP(MAX($X67/$H67,$Y67/$I67),0))))</f>
        <v>0</v>
      </c>
      <c r="AA67" s="84" t="n">
        <f aca="false">IF($D67&lt;&gt;1,"",IF(p_mode="Nœud",$Z67*$K67,$X67*IF($G67="IKS",p_iks_cpu,p_roks_cpu)+$Y67*IF($G67="IKS",p_iks_ram,p_roks_ram))*p_facteur)</f>
        <v>0</v>
      </c>
      <c r="AB67" s="14" t="n">
        <f aca="false">IF($D67&lt;&gt;1,"",MAX($J67,ROUNDUP(MAX($L67/$H67,$M67/$I67),0)))</f>
        <v>20</v>
      </c>
      <c r="AC67" s="84" t="n">
        <f aca="false">IF($D67&lt;&gt;1,"",IF(p_mode="Nœud",$AB67*$K67,$L67*IF($G67="IKS",p_iks_cpu,p_roks_cpu)+$M67*IF($G67="IKS",p_iks_ram,p_roks_ram))*p_facteur)</f>
        <v>10620</v>
      </c>
      <c r="AD67" s="14" t="n">
        <f aca="false">IF($D67&lt;&gt;1,"",IF(AND($G67="IKS",$AI67&lt;&gt;1,OR($L67-$P67&lt;$N67,$M67-$Q67&lt;$O67)),1,0))</f>
        <v>0</v>
      </c>
      <c r="AE67" s="14" t="n">
        <f aca="false">IF($D67&lt;&gt;1,"",IF(AND($G67="ROKS",$T67&gt;p_maxworkers),1,0))</f>
        <v>0</v>
      </c>
      <c r="AF67" s="14" t="str">
        <f aca="false">IF($D67&lt;&gt;1,"",IF(INDEX(TblClusters[Environnement],$B67)="","(vide)",INDEX(TblClusters[Environnement],$B67)))</f>
        <v>NPRD</v>
      </c>
      <c r="AG67" s="14" t="n">
        <f aca="false">IF($D67&lt;&gt;1,"",$R67+p_poidsram*$S67)</f>
        <v>0</v>
      </c>
      <c r="AH67" s="14" t="n">
        <f aca="false">IF($D67&lt;&gt;1,"",IFERROR($W67/$AG67,0))</f>
        <v>0</v>
      </c>
      <c r="AI67" s="14" t="n">
        <f aca="false">IF($D67&lt;&gt;1,"",IF(AND($G67="IKS",ISNUMBER(INDEX(TblClusters[Fermeture retenue],$B67))),IF($E67&gt;=INDEX(TblClusters[Fermeture retenue],$B67),1,0),0))</f>
        <v>1</v>
      </c>
    </row>
    <row r="68" customFormat="false" ht="15" hidden="false" customHeight="false" outlineLevel="0" collapsed="false">
      <c r="A68" s="14" t="n">
        <v>63</v>
      </c>
      <c r="B68" s="14" t="n">
        <f aca="false">INT(($A68-1)/36)+1</f>
        <v>2</v>
      </c>
      <c r="C68" s="14" t="n">
        <f aca="false">MOD($A68-1,36)+1</f>
        <v>27</v>
      </c>
      <c r="D68" s="14" t="n">
        <f aca="false">IF($C68&gt;p_horizon,0,IFERROR(IF(AND(INDEX(TblClusters[Cluster],$B68)&lt;&gt;"",ISNUMBER(INDEX(TblClusters[CPU initial (vCPU)],$B68)),ISNUMBER(INDEX(TblClusters[CPU min (vCPU)],$B68)),OR(INDEX(TblClusters[Plateforme],$B68)="IKS",INDEX(TblClusters[Plateforme],$B68)="ROKS")),1,0),0))</f>
        <v>1</v>
      </c>
      <c r="E68" s="83" t="n">
        <f aca="false">IF($D68=1,EDATE(p_debut,$C68-1),"")</f>
        <v>47088</v>
      </c>
      <c r="F68" s="14" t="str">
        <f aca="false">IF($D68=1,INDEX(TblClusters[Cluster],$B68),"")</f>
        <v>IKS-NPR-01</v>
      </c>
      <c r="G68" s="14" t="str">
        <f aca="false">IF($D68=1,INDEX(TblClusters[Plateforme],$B68),"")</f>
        <v>IKS</v>
      </c>
      <c r="H68" s="14" t="n">
        <f aca="false">IF($D68=1,INDEX(TblClusters[vCPU par nœud],$B68),"")</f>
        <v>16</v>
      </c>
      <c r="I68" s="14" t="n">
        <f aca="false">IF($D68=1,INDEX(TblClusters[RAM par nœud (Go)],$B68),"")</f>
        <v>64</v>
      </c>
      <c r="J68" s="14" t="n">
        <f aca="false">IF($D68=1,INDEX(TblClusters[Workers min],$B68),"")</f>
        <v>3</v>
      </c>
      <c r="K68" s="84" t="n">
        <f aca="false">IF($D68=1,INDEX(TblClusters[Tarif par nœud],$B68),"")</f>
        <v>531</v>
      </c>
      <c r="L68" s="14" t="n">
        <f aca="false">IF($D68=1,INDEX(TblClusters[CPU initial (vCPU)],$B68),"")</f>
        <v>320</v>
      </c>
      <c r="M68" s="14" t="n">
        <f aca="false">IF($D68=1,INDEX(TblClusters[RAM initiale (Go)],$B68),"")</f>
        <v>1280</v>
      </c>
      <c r="N68" s="14" t="n">
        <f aca="false">IF($D68=1,INDEX(TblClusters[CPU min (vCPU)],$B68),"")</f>
        <v>48</v>
      </c>
      <c r="O68" s="14" t="n">
        <f aca="false">IF($D68=1,INDEX(TblClusters[RAM min (Go)],$B68),"")</f>
        <v>192</v>
      </c>
      <c r="P68" s="14" t="n">
        <f aca="false">IF($D68&lt;&gt;1,"",IF($G68="ROKS",SUMIFS(TblApplications[Besoin ROKS CPU (vCPU)],TblApplications[Cluster ROKS cible],$F68,TblApplications[Action],"À migrer",TblApplications[Déjà incluse ROKS],"Non",TblApplications[Mois prov (calc)],"&lt;="&amp;$E68),SUMIFS(TblApplications[CPU IKS libérable (vCPU)],TblApplications[Cluster IKS source],$F68,TblApplications[Mois lib (calc)],"&lt;="&amp;$E68)))</f>
        <v>192</v>
      </c>
      <c r="Q68" s="14" t="n">
        <f aca="false">IF($D68&lt;&gt;1,"",IF($G68="ROKS",SUMIFS(TblApplications[Besoin ROKS RAM (Go)],TblApplications[Cluster ROKS cible],$F68,TblApplications[Action],"À migrer",TblApplications[Déjà incluse ROKS],"Non",TblApplications[Mois prov (calc)],"&lt;="&amp;$E68),SUMIFS(TblApplications[RAM IKS libérable (Go)],TblApplications[Cluster IKS source],$F68,TblApplications[Mois lib (calc)],"&lt;="&amp;$E68)))</f>
        <v>768</v>
      </c>
      <c r="R68" s="14" t="n">
        <f aca="false">IF($D68&lt;&gt;1,"",IF($G68="ROKS",$L68+$P68,IF($AI68=1,0,MAX($N68,$L68-$P68))))</f>
        <v>0</v>
      </c>
      <c r="S68" s="14" t="n">
        <f aca="false">IF($D68&lt;&gt;1,"",IF($G68="ROKS",$M68+$Q68,IF($AI68=1,0,MAX($O68,$M68-$Q68))))</f>
        <v>0</v>
      </c>
      <c r="T68" s="14" t="n">
        <f aca="false">IF($D68&lt;&gt;1,"",IF($AI68=1,0,MAX($J68,ROUNDUP(MAX($R68/$H68,$S68/$I68),0))))</f>
        <v>0</v>
      </c>
      <c r="U68" s="14" t="n">
        <f aca="false">IF($D68&lt;&gt;1,"",IF(p_mode="Nœud",$T68*$H68,$R68))</f>
        <v>0</v>
      </c>
      <c r="V68" s="14" t="n">
        <f aca="false">IF($D68&lt;&gt;1,"",IF(p_mode="Nœud",$T68*$I68,$S68))</f>
        <v>0</v>
      </c>
      <c r="W68" s="84" t="n">
        <f aca="false">IF($D68&lt;&gt;1,"",IF(p_mode="Nœud",$T68*$K68,$R68*IF($G68="IKS",p_iks_cpu,p_roks_cpu)+$S68*IF($G68="IKS",p_iks_ram,p_roks_ram))*p_facteur)</f>
        <v>0</v>
      </c>
      <c r="X68" s="14" t="n">
        <f aca="false">IF($D68&lt;&gt;1,"",IF($G68="ROKS",$R68,IF($AI68=1,0,MAX($N68,$L68-SUMIFS(TblApplications[CPU IKS libérable (vCPU)],TblApplications[Cluster IKS source],$F68,TblApplications[Action],"À migrer",TblApplications[Mois prov (calc)],"&lt;="&amp;$E68)-SUMIFS(TblApplications[CPU IKS libérable (vCPU)],TblApplications[Cluster IKS source],$F68,TblApplications[Action],"À décommissionner",TblApplications[Mois lib (calc)],"&lt;="&amp;$E68)))))</f>
        <v>0</v>
      </c>
      <c r="Y68" s="14" t="n">
        <f aca="false">IF($D68&lt;&gt;1,"",IF($G68="ROKS",$S68,IF($AI68=1,0,MAX($O68,$M68-SUMIFS(TblApplications[RAM IKS libérable (Go)],TblApplications[Cluster IKS source],$F68,TblApplications[Action],"À migrer",TblApplications[Mois prov (calc)],"&lt;="&amp;$E68)-SUMIFS(TblApplications[RAM IKS libérable (Go)],TblApplications[Cluster IKS source],$F68,TblApplications[Action],"À décommissionner",TblApplications[Mois lib (calc)],"&lt;="&amp;$E68)))))</f>
        <v>0</v>
      </c>
      <c r="Z68" s="14" t="n">
        <f aca="false">IF($D68&lt;&gt;1,"",IF($AI68=1,0,MAX($J68,ROUNDUP(MAX($X68/$H68,$Y68/$I68),0))))</f>
        <v>0</v>
      </c>
      <c r="AA68" s="84" t="n">
        <f aca="false">IF($D68&lt;&gt;1,"",IF(p_mode="Nœud",$Z68*$K68,$X68*IF($G68="IKS",p_iks_cpu,p_roks_cpu)+$Y68*IF($G68="IKS",p_iks_ram,p_roks_ram))*p_facteur)</f>
        <v>0</v>
      </c>
      <c r="AB68" s="14" t="n">
        <f aca="false">IF($D68&lt;&gt;1,"",MAX($J68,ROUNDUP(MAX($L68/$H68,$M68/$I68),0)))</f>
        <v>20</v>
      </c>
      <c r="AC68" s="84" t="n">
        <f aca="false">IF($D68&lt;&gt;1,"",IF(p_mode="Nœud",$AB68*$K68,$L68*IF($G68="IKS",p_iks_cpu,p_roks_cpu)+$M68*IF($G68="IKS",p_iks_ram,p_roks_ram))*p_facteur)</f>
        <v>10620</v>
      </c>
      <c r="AD68" s="14" t="n">
        <f aca="false">IF($D68&lt;&gt;1,"",IF(AND($G68="IKS",$AI68&lt;&gt;1,OR($L68-$P68&lt;$N68,$M68-$Q68&lt;$O68)),1,0))</f>
        <v>0</v>
      </c>
      <c r="AE68" s="14" t="n">
        <f aca="false">IF($D68&lt;&gt;1,"",IF(AND($G68="ROKS",$T68&gt;p_maxworkers),1,0))</f>
        <v>0</v>
      </c>
      <c r="AF68" s="14" t="str">
        <f aca="false">IF($D68&lt;&gt;1,"",IF(INDEX(TblClusters[Environnement],$B68)="","(vide)",INDEX(TblClusters[Environnement],$B68)))</f>
        <v>NPRD</v>
      </c>
      <c r="AG68" s="14" t="n">
        <f aca="false">IF($D68&lt;&gt;1,"",$R68+p_poidsram*$S68)</f>
        <v>0</v>
      </c>
      <c r="AH68" s="14" t="n">
        <f aca="false">IF($D68&lt;&gt;1,"",IFERROR($W68/$AG68,0))</f>
        <v>0</v>
      </c>
      <c r="AI68" s="14" t="n">
        <f aca="false">IF($D68&lt;&gt;1,"",IF(AND($G68="IKS",ISNUMBER(INDEX(TblClusters[Fermeture retenue],$B68))),IF($E68&gt;=INDEX(TblClusters[Fermeture retenue],$B68),1,0),0))</f>
        <v>1</v>
      </c>
    </row>
    <row r="69" customFormat="false" ht="15" hidden="false" customHeight="false" outlineLevel="0" collapsed="false">
      <c r="A69" s="14" t="n">
        <v>64</v>
      </c>
      <c r="B69" s="14" t="n">
        <f aca="false">INT(($A69-1)/36)+1</f>
        <v>2</v>
      </c>
      <c r="C69" s="14" t="n">
        <f aca="false">MOD($A69-1,36)+1</f>
        <v>28</v>
      </c>
      <c r="D69" s="14" t="n">
        <f aca="false">IF($C69&gt;p_horizon,0,IFERROR(IF(AND(INDEX(TblClusters[Cluster],$B69)&lt;&gt;"",ISNUMBER(INDEX(TblClusters[CPU initial (vCPU)],$B69)),ISNUMBER(INDEX(TblClusters[CPU min (vCPU)],$B69)),OR(INDEX(TblClusters[Plateforme],$B69)="IKS",INDEX(TblClusters[Plateforme],$B69)="ROKS")),1,0),0))</f>
        <v>1</v>
      </c>
      <c r="E69" s="83" t="n">
        <f aca="false">IF($D69=1,EDATE(p_debut,$C69-1),"")</f>
        <v>47119</v>
      </c>
      <c r="F69" s="14" t="str">
        <f aca="false">IF($D69=1,INDEX(TblClusters[Cluster],$B69),"")</f>
        <v>IKS-NPR-01</v>
      </c>
      <c r="G69" s="14" t="str">
        <f aca="false">IF($D69=1,INDEX(TblClusters[Plateforme],$B69),"")</f>
        <v>IKS</v>
      </c>
      <c r="H69" s="14" t="n">
        <f aca="false">IF($D69=1,INDEX(TblClusters[vCPU par nœud],$B69),"")</f>
        <v>16</v>
      </c>
      <c r="I69" s="14" t="n">
        <f aca="false">IF($D69=1,INDEX(TblClusters[RAM par nœud (Go)],$B69),"")</f>
        <v>64</v>
      </c>
      <c r="J69" s="14" t="n">
        <f aca="false">IF($D69=1,INDEX(TblClusters[Workers min],$B69),"")</f>
        <v>3</v>
      </c>
      <c r="K69" s="84" t="n">
        <f aca="false">IF($D69=1,INDEX(TblClusters[Tarif par nœud],$B69),"")</f>
        <v>531</v>
      </c>
      <c r="L69" s="14" t="n">
        <f aca="false">IF($D69=1,INDEX(TblClusters[CPU initial (vCPU)],$B69),"")</f>
        <v>320</v>
      </c>
      <c r="M69" s="14" t="n">
        <f aca="false">IF($D69=1,INDEX(TblClusters[RAM initiale (Go)],$B69),"")</f>
        <v>1280</v>
      </c>
      <c r="N69" s="14" t="n">
        <f aca="false">IF($D69=1,INDEX(TblClusters[CPU min (vCPU)],$B69),"")</f>
        <v>48</v>
      </c>
      <c r="O69" s="14" t="n">
        <f aca="false">IF($D69=1,INDEX(TblClusters[RAM min (Go)],$B69),"")</f>
        <v>192</v>
      </c>
      <c r="P69" s="14" t="n">
        <f aca="false">IF($D69&lt;&gt;1,"",IF($G69="ROKS",SUMIFS(TblApplications[Besoin ROKS CPU (vCPU)],TblApplications[Cluster ROKS cible],$F69,TblApplications[Action],"À migrer",TblApplications[Déjà incluse ROKS],"Non",TblApplications[Mois prov (calc)],"&lt;="&amp;$E69),SUMIFS(TblApplications[CPU IKS libérable (vCPU)],TblApplications[Cluster IKS source],$F69,TblApplications[Mois lib (calc)],"&lt;="&amp;$E69)))</f>
        <v>192</v>
      </c>
      <c r="Q69" s="14" t="n">
        <f aca="false">IF($D69&lt;&gt;1,"",IF($G69="ROKS",SUMIFS(TblApplications[Besoin ROKS RAM (Go)],TblApplications[Cluster ROKS cible],$F69,TblApplications[Action],"À migrer",TblApplications[Déjà incluse ROKS],"Non",TblApplications[Mois prov (calc)],"&lt;="&amp;$E69),SUMIFS(TblApplications[RAM IKS libérable (Go)],TblApplications[Cluster IKS source],$F69,TblApplications[Mois lib (calc)],"&lt;="&amp;$E69)))</f>
        <v>768</v>
      </c>
      <c r="R69" s="14" t="n">
        <f aca="false">IF($D69&lt;&gt;1,"",IF($G69="ROKS",$L69+$P69,IF($AI69=1,0,MAX($N69,$L69-$P69))))</f>
        <v>0</v>
      </c>
      <c r="S69" s="14" t="n">
        <f aca="false">IF($D69&lt;&gt;1,"",IF($G69="ROKS",$M69+$Q69,IF($AI69=1,0,MAX($O69,$M69-$Q69))))</f>
        <v>0</v>
      </c>
      <c r="T69" s="14" t="n">
        <f aca="false">IF($D69&lt;&gt;1,"",IF($AI69=1,0,MAX($J69,ROUNDUP(MAX($R69/$H69,$S69/$I69),0))))</f>
        <v>0</v>
      </c>
      <c r="U69" s="14" t="n">
        <f aca="false">IF($D69&lt;&gt;1,"",IF(p_mode="Nœud",$T69*$H69,$R69))</f>
        <v>0</v>
      </c>
      <c r="V69" s="14" t="n">
        <f aca="false">IF($D69&lt;&gt;1,"",IF(p_mode="Nœud",$T69*$I69,$S69))</f>
        <v>0</v>
      </c>
      <c r="W69" s="84" t="n">
        <f aca="false">IF($D69&lt;&gt;1,"",IF(p_mode="Nœud",$T69*$K69,$R69*IF($G69="IKS",p_iks_cpu,p_roks_cpu)+$S69*IF($G69="IKS",p_iks_ram,p_roks_ram))*p_facteur)</f>
        <v>0</v>
      </c>
      <c r="X69" s="14" t="n">
        <f aca="false">IF($D69&lt;&gt;1,"",IF($G69="ROKS",$R69,IF($AI69=1,0,MAX($N69,$L69-SUMIFS(TblApplications[CPU IKS libérable (vCPU)],TblApplications[Cluster IKS source],$F69,TblApplications[Action],"À migrer",TblApplications[Mois prov (calc)],"&lt;="&amp;$E69)-SUMIFS(TblApplications[CPU IKS libérable (vCPU)],TblApplications[Cluster IKS source],$F69,TblApplications[Action],"À décommissionner",TblApplications[Mois lib (calc)],"&lt;="&amp;$E69)))))</f>
        <v>0</v>
      </c>
      <c r="Y69" s="14" t="n">
        <f aca="false">IF($D69&lt;&gt;1,"",IF($G69="ROKS",$S69,IF($AI69=1,0,MAX($O69,$M69-SUMIFS(TblApplications[RAM IKS libérable (Go)],TblApplications[Cluster IKS source],$F69,TblApplications[Action],"À migrer",TblApplications[Mois prov (calc)],"&lt;="&amp;$E69)-SUMIFS(TblApplications[RAM IKS libérable (Go)],TblApplications[Cluster IKS source],$F69,TblApplications[Action],"À décommissionner",TblApplications[Mois lib (calc)],"&lt;="&amp;$E69)))))</f>
        <v>0</v>
      </c>
      <c r="Z69" s="14" t="n">
        <f aca="false">IF($D69&lt;&gt;1,"",IF($AI69=1,0,MAX($J69,ROUNDUP(MAX($X69/$H69,$Y69/$I69),0))))</f>
        <v>0</v>
      </c>
      <c r="AA69" s="84" t="n">
        <f aca="false">IF($D69&lt;&gt;1,"",IF(p_mode="Nœud",$Z69*$K69,$X69*IF($G69="IKS",p_iks_cpu,p_roks_cpu)+$Y69*IF($G69="IKS",p_iks_ram,p_roks_ram))*p_facteur)</f>
        <v>0</v>
      </c>
      <c r="AB69" s="14" t="n">
        <f aca="false">IF($D69&lt;&gt;1,"",MAX($J69,ROUNDUP(MAX($L69/$H69,$M69/$I69),0)))</f>
        <v>20</v>
      </c>
      <c r="AC69" s="84" t="n">
        <f aca="false">IF($D69&lt;&gt;1,"",IF(p_mode="Nœud",$AB69*$K69,$L69*IF($G69="IKS",p_iks_cpu,p_roks_cpu)+$M69*IF($G69="IKS",p_iks_ram,p_roks_ram))*p_facteur)</f>
        <v>10620</v>
      </c>
      <c r="AD69" s="14" t="n">
        <f aca="false">IF($D69&lt;&gt;1,"",IF(AND($G69="IKS",$AI69&lt;&gt;1,OR($L69-$P69&lt;$N69,$M69-$Q69&lt;$O69)),1,0))</f>
        <v>0</v>
      </c>
      <c r="AE69" s="14" t="n">
        <f aca="false">IF($D69&lt;&gt;1,"",IF(AND($G69="ROKS",$T69&gt;p_maxworkers),1,0))</f>
        <v>0</v>
      </c>
      <c r="AF69" s="14" t="str">
        <f aca="false">IF($D69&lt;&gt;1,"",IF(INDEX(TblClusters[Environnement],$B69)="","(vide)",INDEX(TblClusters[Environnement],$B69)))</f>
        <v>NPRD</v>
      </c>
      <c r="AG69" s="14" t="n">
        <f aca="false">IF($D69&lt;&gt;1,"",$R69+p_poidsram*$S69)</f>
        <v>0</v>
      </c>
      <c r="AH69" s="14" t="n">
        <f aca="false">IF($D69&lt;&gt;1,"",IFERROR($W69/$AG69,0))</f>
        <v>0</v>
      </c>
      <c r="AI69" s="14" t="n">
        <f aca="false">IF($D69&lt;&gt;1,"",IF(AND($G69="IKS",ISNUMBER(INDEX(TblClusters[Fermeture retenue],$B69))),IF($E69&gt;=INDEX(TblClusters[Fermeture retenue],$B69),1,0),0))</f>
        <v>1</v>
      </c>
    </row>
    <row r="70" customFormat="false" ht="15" hidden="false" customHeight="false" outlineLevel="0" collapsed="false">
      <c r="A70" s="14" t="n">
        <v>65</v>
      </c>
      <c r="B70" s="14" t="n">
        <f aca="false">INT(($A70-1)/36)+1</f>
        <v>2</v>
      </c>
      <c r="C70" s="14" t="n">
        <f aca="false">MOD($A70-1,36)+1</f>
        <v>29</v>
      </c>
      <c r="D70" s="14" t="n">
        <f aca="false">IF($C70&gt;p_horizon,0,IFERROR(IF(AND(INDEX(TblClusters[Cluster],$B70)&lt;&gt;"",ISNUMBER(INDEX(TblClusters[CPU initial (vCPU)],$B70)),ISNUMBER(INDEX(TblClusters[CPU min (vCPU)],$B70)),OR(INDEX(TblClusters[Plateforme],$B70)="IKS",INDEX(TblClusters[Plateforme],$B70)="ROKS")),1,0),0))</f>
        <v>1</v>
      </c>
      <c r="E70" s="83" t="n">
        <f aca="false">IF($D70=1,EDATE(p_debut,$C70-1),"")</f>
        <v>47150</v>
      </c>
      <c r="F70" s="14" t="str">
        <f aca="false">IF($D70=1,INDEX(TblClusters[Cluster],$B70),"")</f>
        <v>IKS-NPR-01</v>
      </c>
      <c r="G70" s="14" t="str">
        <f aca="false">IF($D70=1,INDEX(TblClusters[Plateforme],$B70),"")</f>
        <v>IKS</v>
      </c>
      <c r="H70" s="14" t="n">
        <f aca="false">IF($D70=1,INDEX(TblClusters[vCPU par nœud],$B70),"")</f>
        <v>16</v>
      </c>
      <c r="I70" s="14" t="n">
        <f aca="false">IF($D70=1,INDEX(TblClusters[RAM par nœud (Go)],$B70),"")</f>
        <v>64</v>
      </c>
      <c r="J70" s="14" t="n">
        <f aca="false">IF($D70=1,INDEX(TblClusters[Workers min],$B70),"")</f>
        <v>3</v>
      </c>
      <c r="K70" s="84" t="n">
        <f aca="false">IF($D70=1,INDEX(TblClusters[Tarif par nœud],$B70),"")</f>
        <v>531</v>
      </c>
      <c r="L70" s="14" t="n">
        <f aca="false">IF($D70=1,INDEX(TblClusters[CPU initial (vCPU)],$B70),"")</f>
        <v>320</v>
      </c>
      <c r="M70" s="14" t="n">
        <f aca="false">IF($D70=1,INDEX(TblClusters[RAM initiale (Go)],$B70),"")</f>
        <v>1280</v>
      </c>
      <c r="N70" s="14" t="n">
        <f aca="false">IF($D70=1,INDEX(TblClusters[CPU min (vCPU)],$B70),"")</f>
        <v>48</v>
      </c>
      <c r="O70" s="14" t="n">
        <f aca="false">IF($D70=1,INDEX(TblClusters[RAM min (Go)],$B70),"")</f>
        <v>192</v>
      </c>
      <c r="P70" s="14" t="n">
        <f aca="false">IF($D70&lt;&gt;1,"",IF($G70="ROKS",SUMIFS(TblApplications[Besoin ROKS CPU (vCPU)],TblApplications[Cluster ROKS cible],$F70,TblApplications[Action],"À migrer",TblApplications[Déjà incluse ROKS],"Non",TblApplications[Mois prov (calc)],"&lt;="&amp;$E70),SUMIFS(TblApplications[CPU IKS libérable (vCPU)],TblApplications[Cluster IKS source],$F70,TblApplications[Mois lib (calc)],"&lt;="&amp;$E70)))</f>
        <v>192</v>
      </c>
      <c r="Q70" s="14" t="n">
        <f aca="false">IF($D70&lt;&gt;1,"",IF($G70="ROKS",SUMIFS(TblApplications[Besoin ROKS RAM (Go)],TblApplications[Cluster ROKS cible],$F70,TblApplications[Action],"À migrer",TblApplications[Déjà incluse ROKS],"Non",TblApplications[Mois prov (calc)],"&lt;="&amp;$E70),SUMIFS(TblApplications[RAM IKS libérable (Go)],TblApplications[Cluster IKS source],$F70,TblApplications[Mois lib (calc)],"&lt;="&amp;$E70)))</f>
        <v>768</v>
      </c>
      <c r="R70" s="14" t="n">
        <f aca="false">IF($D70&lt;&gt;1,"",IF($G70="ROKS",$L70+$P70,IF($AI70=1,0,MAX($N70,$L70-$P70))))</f>
        <v>0</v>
      </c>
      <c r="S70" s="14" t="n">
        <f aca="false">IF($D70&lt;&gt;1,"",IF($G70="ROKS",$M70+$Q70,IF($AI70=1,0,MAX($O70,$M70-$Q70))))</f>
        <v>0</v>
      </c>
      <c r="T70" s="14" t="n">
        <f aca="false">IF($D70&lt;&gt;1,"",IF($AI70=1,0,MAX($J70,ROUNDUP(MAX($R70/$H70,$S70/$I70),0))))</f>
        <v>0</v>
      </c>
      <c r="U70" s="14" t="n">
        <f aca="false">IF($D70&lt;&gt;1,"",IF(p_mode="Nœud",$T70*$H70,$R70))</f>
        <v>0</v>
      </c>
      <c r="V70" s="14" t="n">
        <f aca="false">IF($D70&lt;&gt;1,"",IF(p_mode="Nœud",$T70*$I70,$S70))</f>
        <v>0</v>
      </c>
      <c r="W70" s="84" t="n">
        <f aca="false">IF($D70&lt;&gt;1,"",IF(p_mode="Nœud",$T70*$K70,$R70*IF($G70="IKS",p_iks_cpu,p_roks_cpu)+$S70*IF($G70="IKS",p_iks_ram,p_roks_ram))*p_facteur)</f>
        <v>0</v>
      </c>
      <c r="X70" s="14" t="n">
        <f aca="false">IF($D70&lt;&gt;1,"",IF($G70="ROKS",$R70,IF($AI70=1,0,MAX($N70,$L70-SUMIFS(TblApplications[CPU IKS libérable (vCPU)],TblApplications[Cluster IKS source],$F70,TblApplications[Action],"À migrer",TblApplications[Mois prov (calc)],"&lt;="&amp;$E70)-SUMIFS(TblApplications[CPU IKS libérable (vCPU)],TblApplications[Cluster IKS source],$F70,TblApplications[Action],"À décommissionner",TblApplications[Mois lib (calc)],"&lt;="&amp;$E70)))))</f>
        <v>0</v>
      </c>
      <c r="Y70" s="14" t="n">
        <f aca="false">IF($D70&lt;&gt;1,"",IF($G70="ROKS",$S70,IF($AI70=1,0,MAX($O70,$M70-SUMIFS(TblApplications[RAM IKS libérable (Go)],TblApplications[Cluster IKS source],$F70,TblApplications[Action],"À migrer",TblApplications[Mois prov (calc)],"&lt;="&amp;$E70)-SUMIFS(TblApplications[RAM IKS libérable (Go)],TblApplications[Cluster IKS source],$F70,TblApplications[Action],"À décommissionner",TblApplications[Mois lib (calc)],"&lt;="&amp;$E70)))))</f>
        <v>0</v>
      </c>
      <c r="Z70" s="14" t="n">
        <f aca="false">IF($D70&lt;&gt;1,"",IF($AI70=1,0,MAX($J70,ROUNDUP(MAX($X70/$H70,$Y70/$I70),0))))</f>
        <v>0</v>
      </c>
      <c r="AA70" s="84" t="n">
        <f aca="false">IF($D70&lt;&gt;1,"",IF(p_mode="Nœud",$Z70*$K70,$X70*IF($G70="IKS",p_iks_cpu,p_roks_cpu)+$Y70*IF($G70="IKS",p_iks_ram,p_roks_ram))*p_facteur)</f>
        <v>0</v>
      </c>
      <c r="AB70" s="14" t="n">
        <f aca="false">IF($D70&lt;&gt;1,"",MAX($J70,ROUNDUP(MAX($L70/$H70,$M70/$I70),0)))</f>
        <v>20</v>
      </c>
      <c r="AC70" s="84" t="n">
        <f aca="false">IF($D70&lt;&gt;1,"",IF(p_mode="Nœud",$AB70*$K70,$L70*IF($G70="IKS",p_iks_cpu,p_roks_cpu)+$M70*IF($G70="IKS",p_iks_ram,p_roks_ram))*p_facteur)</f>
        <v>10620</v>
      </c>
      <c r="AD70" s="14" t="n">
        <f aca="false">IF($D70&lt;&gt;1,"",IF(AND($G70="IKS",$AI70&lt;&gt;1,OR($L70-$P70&lt;$N70,$M70-$Q70&lt;$O70)),1,0))</f>
        <v>0</v>
      </c>
      <c r="AE70" s="14" t="n">
        <f aca="false">IF($D70&lt;&gt;1,"",IF(AND($G70="ROKS",$T70&gt;p_maxworkers),1,0))</f>
        <v>0</v>
      </c>
      <c r="AF70" s="14" t="str">
        <f aca="false">IF($D70&lt;&gt;1,"",IF(INDEX(TblClusters[Environnement],$B70)="","(vide)",INDEX(TblClusters[Environnement],$B70)))</f>
        <v>NPRD</v>
      </c>
      <c r="AG70" s="14" t="n">
        <f aca="false">IF($D70&lt;&gt;1,"",$R70+p_poidsram*$S70)</f>
        <v>0</v>
      </c>
      <c r="AH70" s="14" t="n">
        <f aca="false">IF($D70&lt;&gt;1,"",IFERROR($W70/$AG70,0))</f>
        <v>0</v>
      </c>
      <c r="AI70" s="14" t="n">
        <f aca="false">IF($D70&lt;&gt;1,"",IF(AND($G70="IKS",ISNUMBER(INDEX(TblClusters[Fermeture retenue],$B70))),IF($E70&gt;=INDEX(TblClusters[Fermeture retenue],$B70),1,0),0))</f>
        <v>1</v>
      </c>
    </row>
    <row r="71" customFormat="false" ht="15" hidden="false" customHeight="false" outlineLevel="0" collapsed="false">
      <c r="A71" s="14" t="n">
        <v>66</v>
      </c>
      <c r="B71" s="14" t="n">
        <f aca="false">INT(($A71-1)/36)+1</f>
        <v>2</v>
      </c>
      <c r="C71" s="14" t="n">
        <f aca="false">MOD($A71-1,36)+1</f>
        <v>30</v>
      </c>
      <c r="D71" s="14" t="n">
        <f aca="false">IF($C71&gt;p_horizon,0,IFERROR(IF(AND(INDEX(TblClusters[Cluster],$B71)&lt;&gt;"",ISNUMBER(INDEX(TblClusters[CPU initial (vCPU)],$B71)),ISNUMBER(INDEX(TblClusters[CPU min (vCPU)],$B71)),OR(INDEX(TblClusters[Plateforme],$B71)="IKS",INDEX(TblClusters[Plateforme],$B71)="ROKS")),1,0),0))</f>
        <v>1</v>
      </c>
      <c r="E71" s="83" t="n">
        <f aca="false">IF($D71=1,EDATE(p_debut,$C71-1),"")</f>
        <v>47178</v>
      </c>
      <c r="F71" s="14" t="str">
        <f aca="false">IF($D71=1,INDEX(TblClusters[Cluster],$B71),"")</f>
        <v>IKS-NPR-01</v>
      </c>
      <c r="G71" s="14" t="str">
        <f aca="false">IF($D71=1,INDEX(TblClusters[Plateforme],$B71),"")</f>
        <v>IKS</v>
      </c>
      <c r="H71" s="14" t="n">
        <f aca="false">IF($D71=1,INDEX(TblClusters[vCPU par nœud],$B71),"")</f>
        <v>16</v>
      </c>
      <c r="I71" s="14" t="n">
        <f aca="false">IF($D71=1,INDEX(TblClusters[RAM par nœud (Go)],$B71),"")</f>
        <v>64</v>
      </c>
      <c r="J71" s="14" t="n">
        <f aca="false">IF($D71=1,INDEX(TblClusters[Workers min],$B71),"")</f>
        <v>3</v>
      </c>
      <c r="K71" s="84" t="n">
        <f aca="false">IF($D71=1,INDEX(TblClusters[Tarif par nœud],$B71),"")</f>
        <v>531</v>
      </c>
      <c r="L71" s="14" t="n">
        <f aca="false">IF($D71=1,INDEX(TblClusters[CPU initial (vCPU)],$B71),"")</f>
        <v>320</v>
      </c>
      <c r="M71" s="14" t="n">
        <f aca="false">IF($D71=1,INDEX(TblClusters[RAM initiale (Go)],$B71),"")</f>
        <v>1280</v>
      </c>
      <c r="N71" s="14" t="n">
        <f aca="false">IF($D71=1,INDEX(TblClusters[CPU min (vCPU)],$B71),"")</f>
        <v>48</v>
      </c>
      <c r="O71" s="14" t="n">
        <f aca="false">IF($D71=1,INDEX(TblClusters[RAM min (Go)],$B71),"")</f>
        <v>192</v>
      </c>
      <c r="P71" s="14" t="n">
        <f aca="false">IF($D71&lt;&gt;1,"",IF($G71="ROKS",SUMIFS(TblApplications[Besoin ROKS CPU (vCPU)],TblApplications[Cluster ROKS cible],$F71,TblApplications[Action],"À migrer",TblApplications[Déjà incluse ROKS],"Non",TblApplications[Mois prov (calc)],"&lt;="&amp;$E71),SUMIFS(TblApplications[CPU IKS libérable (vCPU)],TblApplications[Cluster IKS source],$F71,TblApplications[Mois lib (calc)],"&lt;="&amp;$E71)))</f>
        <v>192</v>
      </c>
      <c r="Q71" s="14" t="n">
        <f aca="false">IF($D71&lt;&gt;1,"",IF($G71="ROKS",SUMIFS(TblApplications[Besoin ROKS RAM (Go)],TblApplications[Cluster ROKS cible],$F71,TblApplications[Action],"À migrer",TblApplications[Déjà incluse ROKS],"Non",TblApplications[Mois prov (calc)],"&lt;="&amp;$E71),SUMIFS(TblApplications[RAM IKS libérable (Go)],TblApplications[Cluster IKS source],$F71,TblApplications[Mois lib (calc)],"&lt;="&amp;$E71)))</f>
        <v>768</v>
      </c>
      <c r="R71" s="14" t="n">
        <f aca="false">IF($D71&lt;&gt;1,"",IF($G71="ROKS",$L71+$P71,IF($AI71=1,0,MAX($N71,$L71-$P71))))</f>
        <v>0</v>
      </c>
      <c r="S71" s="14" t="n">
        <f aca="false">IF($D71&lt;&gt;1,"",IF($G71="ROKS",$M71+$Q71,IF($AI71=1,0,MAX($O71,$M71-$Q71))))</f>
        <v>0</v>
      </c>
      <c r="T71" s="14" t="n">
        <f aca="false">IF($D71&lt;&gt;1,"",IF($AI71=1,0,MAX($J71,ROUNDUP(MAX($R71/$H71,$S71/$I71),0))))</f>
        <v>0</v>
      </c>
      <c r="U71" s="14" t="n">
        <f aca="false">IF($D71&lt;&gt;1,"",IF(p_mode="Nœud",$T71*$H71,$R71))</f>
        <v>0</v>
      </c>
      <c r="V71" s="14" t="n">
        <f aca="false">IF($D71&lt;&gt;1,"",IF(p_mode="Nœud",$T71*$I71,$S71))</f>
        <v>0</v>
      </c>
      <c r="W71" s="84" t="n">
        <f aca="false">IF($D71&lt;&gt;1,"",IF(p_mode="Nœud",$T71*$K71,$R71*IF($G71="IKS",p_iks_cpu,p_roks_cpu)+$S71*IF($G71="IKS",p_iks_ram,p_roks_ram))*p_facteur)</f>
        <v>0</v>
      </c>
      <c r="X71" s="14" t="n">
        <f aca="false">IF($D71&lt;&gt;1,"",IF($G71="ROKS",$R71,IF($AI71=1,0,MAX($N71,$L71-SUMIFS(TblApplications[CPU IKS libérable (vCPU)],TblApplications[Cluster IKS source],$F71,TblApplications[Action],"À migrer",TblApplications[Mois prov (calc)],"&lt;="&amp;$E71)-SUMIFS(TblApplications[CPU IKS libérable (vCPU)],TblApplications[Cluster IKS source],$F71,TblApplications[Action],"À décommissionner",TblApplications[Mois lib (calc)],"&lt;="&amp;$E71)))))</f>
        <v>0</v>
      </c>
      <c r="Y71" s="14" t="n">
        <f aca="false">IF($D71&lt;&gt;1,"",IF($G71="ROKS",$S71,IF($AI71=1,0,MAX($O71,$M71-SUMIFS(TblApplications[RAM IKS libérable (Go)],TblApplications[Cluster IKS source],$F71,TblApplications[Action],"À migrer",TblApplications[Mois prov (calc)],"&lt;="&amp;$E71)-SUMIFS(TblApplications[RAM IKS libérable (Go)],TblApplications[Cluster IKS source],$F71,TblApplications[Action],"À décommissionner",TblApplications[Mois lib (calc)],"&lt;="&amp;$E71)))))</f>
        <v>0</v>
      </c>
      <c r="Z71" s="14" t="n">
        <f aca="false">IF($D71&lt;&gt;1,"",IF($AI71=1,0,MAX($J71,ROUNDUP(MAX($X71/$H71,$Y71/$I71),0))))</f>
        <v>0</v>
      </c>
      <c r="AA71" s="84" t="n">
        <f aca="false">IF($D71&lt;&gt;1,"",IF(p_mode="Nœud",$Z71*$K71,$X71*IF($G71="IKS",p_iks_cpu,p_roks_cpu)+$Y71*IF($G71="IKS",p_iks_ram,p_roks_ram))*p_facteur)</f>
        <v>0</v>
      </c>
      <c r="AB71" s="14" t="n">
        <f aca="false">IF($D71&lt;&gt;1,"",MAX($J71,ROUNDUP(MAX($L71/$H71,$M71/$I71),0)))</f>
        <v>20</v>
      </c>
      <c r="AC71" s="84" t="n">
        <f aca="false">IF($D71&lt;&gt;1,"",IF(p_mode="Nœud",$AB71*$K71,$L71*IF($G71="IKS",p_iks_cpu,p_roks_cpu)+$M71*IF($G71="IKS",p_iks_ram,p_roks_ram))*p_facteur)</f>
        <v>10620</v>
      </c>
      <c r="AD71" s="14" t="n">
        <f aca="false">IF($D71&lt;&gt;1,"",IF(AND($G71="IKS",$AI71&lt;&gt;1,OR($L71-$P71&lt;$N71,$M71-$Q71&lt;$O71)),1,0))</f>
        <v>0</v>
      </c>
      <c r="AE71" s="14" t="n">
        <f aca="false">IF($D71&lt;&gt;1,"",IF(AND($G71="ROKS",$T71&gt;p_maxworkers),1,0))</f>
        <v>0</v>
      </c>
      <c r="AF71" s="14" t="str">
        <f aca="false">IF($D71&lt;&gt;1,"",IF(INDEX(TblClusters[Environnement],$B71)="","(vide)",INDEX(TblClusters[Environnement],$B71)))</f>
        <v>NPRD</v>
      </c>
      <c r="AG71" s="14" t="n">
        <f aca="false">IF($D71&lt;&gt;1,"",$R71+p_poidsram*$S71)</f>
        <v>0</v>
      </c>
      <c r="AH71" s="14" t="n">
        <f aca="false">IF($D71&lt;&gt;1,"",IFERROR($W71/$AG71,0))</f>
        <v>0</v>
      </c>
      <c r="AI71" s="14" t="n">
        <f aca="false">IF($D71&lt;&gt;1,"",IF(AND($G71="IKS",ISNUMBER(INDEX(TblClusters[Fermeture retenue],$B71))),IF($E71&gt;=INDEX(TblClusters[Fermeture retenue],$B71),1,0),0))</f>
        <v>1</v>
      </c>
    </row>
    <row r="72" customFormat="false" ht="15" hidden="false" customHeight="false" outlineLevel="0" collapsed="false">
      <c r="A72" s="14" t="n">
        <v>67</v>
      </c>
      <c r="B72" s="14" t="n">
        <f aca="false">INT(($A72-1)/36)+1</f>
        <v>2</v>
      </c>
      <c r="C72" s="14" t="n">
        <f aca="false">MOD($A72-1,36)+1</f>
        <v>31</v>
      </c>
      <c r="D72" s="14" t="n">
        <f aca="false">IF($C72&gt;p_horizon,0,IFERROR(IF(AND(INDEX(TblClusters[Cluster],$B72)&lt;&gt;"",ISNUMBER(INDEX(TblClusters[CPU initial (vCPU)],$B72)),ISNUMBER(INDEX(TblClusters[CPU min (vCPU)],$B72)),OR(INDEX(TblClusters[Plateforme],$B72)="IKS",INDEX(TblClusters[Plateforme],$B72)="ROKS")),1,0),0))</f>
        <v>1</v>
      </c>
      <c r="E72" s="83" t="n">
        <f aca="false">IF($D72=1,EDATE(p_debut,$C72-1),"")</f>
        <v>47209</v>
      </c>
      <c r="F72" s="14" t="str">
        <f aca="false">IF($D72=1,INDEX(TblClusters[Cluster],$B72),"")</f>
        <v>IKS-NPR-01</v>
      </c>
      <c r="G72" s="14" t="str">
        <f aca="false">IF($D72=1,INDEX(TblClusters[Plateforme],$B72),"")</f>
        <v>IKS</v>
      </c>
      <c r="H72" s="14" t="n">
        <f aca="false">IF($D72=1,INDEX(TblClusters[vCPU par nœud],$B72),"")</f>
        <v>16</v>
      </c>
      <c r="I72" s="14" t="n">
        <f aca="false">IF($D72=1,INDEX(TblClusters[RAM par nœud (Go)],$B72),"")</f>
        <v>64</v>
      </c>
      <c r="J72" s="14" t="n">
        <f aca="false">IF($D72=1,INDEX(TblClusters[Workers min],$B72),"")</f>
        <v>3</v>
      </c>
      <c r="K72" s="84" t="n">
        <f aca="false">IF($D72=1,INDEX(TblClusters[Tarif par nœud],$B72),"")</f>
        <v>531</v>
      </c>
      <c r="L72" s="14" t="n">
        <f aca="false">IF($D72=1,INDEX(TblClusters[CPU initial (vCPU)],$B72),"")</f>
        <v>320</v>
      </c>
      <c r="M72" s="14" t="n">
        <f aca="false">IF($D72=1,INDEX(TblClusters[RAM initiale (Go)],$B72),"")</f>
        <v>1280</v>
      </c>
      <c r="N72" s="14" t="n">
        <f aca="false">IF($D72=1,INDEX(TblClusters[CPU min (vCPU)],$B72),"")</f>
        <v>48</v>
      </c>
      <c r="O72" s="14" t="n">
        <f aca="false">IF($D72=1,INDEX(TblClusters[RAM min (Go)],$B72),"")</f>
        <v>192</v>
      </c>
      <c r="P72" s="14" t="n">
        <f aca="false">IF($D72&lt;&gt;1,"",IF($G72="ROKS",SUMIFS(TblApplications[Besoin ROKS CPU (vCPU)],TblApplications[Cluster ROKS cible],$F72,TblApplications[Action],"À migrer",TblApplications[Déjà incluse ROKS],"Non",TblApplications[Mois prov (calc)],"&lt;="&amp;$E72),SUMIFS(TblApplications[CPU IKS libérable (vCPU)],TblApplications[Cluster IKS source],$F72,TblApplications[Mois lib (calc)],"&lt;="&amp;$E72)))</f>
        <v>192</v>
      </c>
      <c r="Q72" s="14" t="n">
        <f aca="false">IF($D72&lt;&gt;1,"",IF($G72="ROKS",SUMIFS(TblApplications[Besoin ROKS RAM (Go)],TblApplications[Cluster ROKS cible],$F72,TblApplications[Action],"À migrer",TblApplications[Déjà incluse ROKS],"Non",TblApplications[Mois prov (calc)],"&lt;="&amp;$E72),SUMIFS(TblApplications[RAM IKS libérable (Go)],TblApplications[Cluster IKS source],$F72,TblApplications[Mois lib (calc)],"&lt;="&amp;$E72)))</f>
        <v>768</v>
      </c>
      <c r="R72" s="14" t="n">
        <f aca="false">IF($D72&lt;&gt;1,"",IF($G72="ROKS",$L72+$P72,IF($AI72=1,0,MAX($N72,$L72-$P72))))</f>
        <v>0</v>
      </c>
      <c r="S72" s="14" t="n">
        <f aca="false">IF($D72&lt;&gt;1,"",IF($G72="ROKS",$M72+$Q72,IF($AI72=1,0,MAX($O72,$M72-$Q72))))</f>
        <v>0</v>
      </c>
      <c r="T72" s="14" t="n">
        <f aca="false">IF($D72&lt;&gt;1,"",IF($AI72=1,0,MAX($J72,ROUNDUP(MAX($R72/$H72,$S72/$I72),0))))</f>
        <v>0</v>
      </c>
      <c r="U72" s="14" t="n">
        <f aca="false">IF($D72&lt;&gt;1,"",IF(p_mode="Nœud",$T72*$H72,$R72))</f>
        <v>0</v>
      </c>
      <c r="V72" s="14" t="n">
        <f aca="false">IF($D72&lt;&gt;1,"",IF(p_mode="Nœud",$T72*$I72,$S72))</f>
        <v>0</v>
      </c>
      <c r="W72" s="84" t="n">
        <f aca="false">IF($D72&lt;&gt;1,"",IF(p_mode="Nœud",$T72*$K72,$R72*IF($G72="IKS",p_iks_cpu,p_roks_cpu)+$S72*IF($G72="IKS",p_iks_ram,p_roks_ram))*p_facteur)</f>
        <v>0</v>
      </c>
      <c r="X72" s="14" t="n">
        <f aca="false">IF($D72&lt;&gt;1,"",IF($G72="ROKS",$R72,IF($AI72=1,0,MAX($N72,$L72-SUMIFS(TblApplications[CPU IKS libérable (vCPU)],TblApplications[Cluster IKS source],$F72,TblApplications[Action],"À migrer",TblApplications[Mois prov (calc)],"&lt;="&amp;$E72)-SUMIFS(TblApplications[CPU IKS libérable (vCPU)],TblApplications[Cluster IKS source],$F72,TblApplications[Action],"À décommissionner",TblApplications[Mois lib (calc)],"&lt;="&amp;$E72)))))</f>
        <v>0</v>
      </c>
      <c r="Y72" s="14" t="n">
        <f aca="false">IF($D72&lt;&gt;1,"",IF($G72="ROKS",$S72,IF($AI72=1,0,MAX($O72,$M72-SUMIFS(TblApplications[RAM IKS libérable (Go)],TblApplications[Cluster IKS source],$F72,TblApplications[Action],"À migrer",TblApplications[Mois prov (calc)],"&lt;="&amp;$E72)-SUMIFS(TblApplications[RAM IKS libérable (Go)],TblApplications[Cluster IKS source],$F72,TblApplications[Action],"À décommissionner",TblApplications[Mois lib (calc)],"&lt;="&amp;$E72)))))</f>
        <v>0</v>
      </c>
      <c r="Z72" s="14" t="n">
        <f aca="false">IF($D72&lt;&gt;1,"",IF($AI72=1,0,MAX($J72,ROUNDUP(MAX($X72/$H72,$Y72/$I72),0))))</f>
        <v>0</v>
      </c>
      <c r="AA72" s="84" t="n">
        <f aca="false">IF($D72&lt;&gt;1,"",IF(p_mode="Nœud",$Z72*$K72,$X72*IF($G72="IKS",p_iks_cpu,p_roks_cpu)+$Y72*IF($G72="IKS",p_iks_ram,p_roks_ram))*p_facteur)</f>
        <v>0</v>
      </c>
      <c r="AB72" s="14" t="n">
        <f aca="false">IF($D72&lt;&gt;1,"",MAX($J72,ROUNDUP(MAX($L72/$H72,$M72/$I72),0)))</f>
        <v>20</v>
      </c>
      <c r="AC72" s="84" t="n">
        <f aca="false">IF($D72&lt;&gt;1,"",IF(p_mode="Nœud",$AB72*$K72,$L72*IF($G72="IKS",p_iks_cpu,p_roks_cpu)+$M72*IF($G72="IKS",p_iks_ram,p_roks_ram))*p_facteur)</f>
        <v>10620</v>
      </c>
      <c r="AD72" s="14" t="n">
        <f aca="false">IF($D72&lt;&gt;1,"",IF(AND($G72="IKS",$AI72&lt;&gt;1,OR($L72-$P72&lt;$N72,$M72-$Q72&lt;$O72)),1,0))</f>
        <v>0</v>
      </c>
      <c r="AE72" s="14" t="n">
        <f aca="false">IF($D72&lt;&gt;1,"",IF(AND($G72="ROKS",$T72&gt;p_maxworkers),1,0))</f>
        <v>0</v>
      </c>
      <c r="AF72" s="14" t="str">
        <f aca="false">IF($D72&lt;&gt;1,"",IF(INDEX(TblClusters[Environnement],$B72)="","(vide)",INDEX(TblClusters[Environnement],$B72)))</f>
        <v>NPRD</v>
      </c>
      <c r="AG72" s="14" t="n">
        <f aca="false">IF($D72&lt;&gt;1,"",$R72+p_poidsram*$S72)</f>
        <v>0</v>
      </c>
      <c r="AH72" s="14" t="n">
        <f aca="false">IF($D72&lt;&gt;1,"",IFERROR($W72/$AG72,0))</f>
        <v>0</v>
      </c>
      <c r="AI72" s="14" t="n">
        <f aca="false">IF($D72&lt;&gt;1,"",IF(AND($G72="IKS",ISNUMBER(INDEX(TblClusters[Fermeture retenue],$B72))),IF($E72&gt;=INDEX(TblClusters[Fermeture retenue],$B72),1,0),0))</f>
        <v>1</v>
      </c>
    </row>
    <row r="73" customFormat="false" ht="15" hidden="false" customHeight="false" outlineLevel="0" collapsed="false">
      <c r="A73" s="14" t="n">
        <v>68</v>
      </c>
      <c r="B73" s="14" t="n">
        <f aca="false">INT(($A73-1)/36)+1</f>
        <v>2</v>
      </c>
      <c r="C73" s="14" t="n">
        <f aca="false">MOD($A73-1,36)+1</f>
        <v>32</v>
      </c>
      <c r="D73" s="14" t="n">
        <f aca="false">IF($C73&gt;p_horizon,0,IFERROR(IF(AND(INDEX(TblClusters[Cluster],$B73)&lt;&gt;"",ISNUMBER(INDEX(TblClusters[CPU initial (vCPU)],$B73)),ISNUMBER(INDEX(TblClusters[CPU min (vCPU)],$B73)),OR(INDEX(TblClusters[Plateforme],$B73)="IKS",INDEX(TblClusters[Plateforme],$B73)="ROKS")),1,0),0))</f>
        <v>1</v>
      </c>
      <c r="E73" s="83" t="n">
        <f aca="false">IF($D73=1,EDATE(p_debut,$C73-1),"")</f>
        <v>47239</v>
      </c>
      <c r="F73" s="14" t="str">
        <f aca="false">IF($D73=1,INDEX(TblClusters[Cluster],$B73),"")</f>
        <v>IKS-NPR-01</v>
      </c>
      <c r="G73" s="14" t="str">
        <f aca="false">IF($D73=1,INDEX(TblClusters[Plateforme],$B73),"")</f>
        <v>IKS</v>
      </c>
      <c r="H73" s="14" t="n">
        <f aca="false">IF($D73=1,INDEX(TblClusters[vCPU par nœud],$B73),"")</f>
        <v>16</v>
      </c>
      <c r="I73" s="14" t="n">
        <f aca="false">IF($D73=1,INDEX(TblClusters[RAM par nœud (Go)],$B73),"")</f>
        <v>64</v>
      </c>
      <c r="J73" s="14" t="n">
        <f aca="false">IF($D73=1,INDEX(TblClusters[Workers min],$B73),"")</f>
        <v>3</v>
      </c>
      <c r="K73" s="84" t="n">
        <f aca="false">IF($D73=1,INDEX(TblClusters[Tarif par nœud],$B73),"")</f>
        <v>531</v>
      </c>
      <c r="L73" s="14" t="n">
        <f aca="false">IF($D73=1,INDEX(TblClusters[CPU initial (vCPU)],$B73),"")</f>
        <v>320</v>
      </c>
      <c r="M73" s="14" t="n">
        <f aca="false">IF($D73=1,INDEX(TblClusters[RAM initiale (Go)],$B73),"")</f>
        <v>1280</v>
      </c>
      <c r="N73" s="14" t="n">
        <f aca="false">IF($D73=1,INDEX(TblClusters[CPU min (vCPU)],$B73),"")</f>
        <v>48</v>
      </c>
      <c r="O73" s="14" t="n">
        <f aca="false">IF($D73=1,INDEX(TblClusters[RAM min (Go)],$B73),"")</f>
        <v>192</v>
      </c>
      <c r="P73" s="14" t="n">
        <f aca="false">IF($D73&lt;&gt;1,"",IF($G73="ROKS",SUMIFS(TblApplications[Besoin ROKS CPU (vCPU)],TblApplications[Cluster ROKS cible],$F73,TblApplications[Action],"À migrer",TblApplications[Déjà incluse ROKS],"Non",TblApplications[Mois prov (calc)],"&lt;="&amp;$E73),SUMIFS(TblApplications[CPU IKS libérable (vCPU)],TblApplications[Cluster IKS source],$F73,TblApplications[Mois lib (calc)],"&lt;="&amp;$E73)))</f>
        <v>192</v>
      </c>
      <c r="Q73" s="14" t="n">
        <f aca="false">IF($D73&lt;&gt;1,"",IF($G73="ROKS",SUMIFS(TblApplications[Besoin ROKS RAM (Go)],TblApplications[Cluster ROKS cible],$F73,TblApplications[Action],"À migrer",TblApplications[Déjà incluse ROKS],"Non",TblApplications[Mois prov (calc)],"&lt;="&amp;$E73),SUMIFS(TblApplications[RAM IKS libérable (Go)],TblApplications[Cluster IKS source],$F73,TblApplications[Mois lib (calc)],"&lt;="&amp;$E73)))</f>
        <v>768</v>
      </c>
      <c r="R73" s="14" t="n">
        <f aca="false">IF($D73&lt;&gt;1,"",IF($G73="ROKS",$L73+$P73,IF($AI73=1,0,MAX($N73,$L73-$P73))))</f>
        <v>0</v>
      </c>
      <c r="S73" s="14" t="n">
        <f aca="false">IF($D73&lt;&gt;1,"",IF($G73="ROKS",$M73+$Q73,IF($AI73=1,0,MAX($O73,$M73-$Q73))))</f>
        <v>0</v>
      </c>
      <c r="T73" s="14" t="n">
        <f aca="false">IF($D73&lt;&gt;1,"",IF($AI73=1,0,MAX($J73,ROUNDUP(MAX($R73/$H73,$S73/$I73),0))))</f>
        <v>0</v>
      </c>
      <c r="U73" s="14" t="n">
        <f aca="false">IF($D73&lt;&gt;1,"",IF(p_mode="Nœud",$T73*$H73,$R73))</f>
        <v>0</v>
      </c>
      <c r="V73" s="14" t="n">
        <f aca="false">IF($D73&lt;&gt;1,"",IF(p_mode="Nœud",$T73*$I73,$S73))</f>
        <v>0</v>
      </c>
      <c r="W73" s="84" t="n">
        <f aca="false">IF($D73&lt;&gt;1,"",IF(p_mode="Nœud",$T73*$K73,$R73*IF($G73="IKS",p_iks_cpu,p_roks_cpu)+$S73*IF($G73="IKS",p_iks_ram,p_roks_ram))*p_facteur)</f>
        <v>0</v>
      </c>
      <c r="X73" s="14" t="n">
        <f aca="false">IF($D73&lt;&gt;1,"",IF($G73="ROKS",$R73,IF($AI73=1,0,MAX($N73,$L73-SUMIFS(TblApplications[CPU IKS libérable (vCPU)],TblApplications[Cluster IKS source],$F73,TblApplications[Action],"À migrer",TblApplications[Mois prov (calc)],"&lt;="&amp;$E73)-SUMIFS(TblApplications[CPU IKS libérable (vCPU)],TblApplications[Cluster IKS source],$F73,TblApplications[Action],"À décommissionner",TblApplications[Mois lib (calc)],"&lt;="&amp;$E73)))))</f>
        <v>0</v>
      </c>
      <c r="Y73" s="14" t="n">
        <f aca="false">IF($D73&lt;&gt;1,"",IF($G73="ROKS",$S73,IF($AI73=1,0,MAX($O73,$M73-SUMIFS(TblApplications[RAM IKS libérable (Go)],TblApplications[Cluster IKS source],$F73,TblApplications[Action],"À migrer",TblApplications[Mois prov (calc)],"&lt;="&amp;$E73)-SUMIFS(TblApplications[RAM IKS libérable (Go)],TblApplications[Cluster IKS source],$F73,TblApplications[Action],"À décommissionner",TblApplications[Mois lib (calc)],"&lt;="&amp;$E73)))))</f>
        <v>0</v>
      </c>
      <c r="Z73" s="14" t="n">
        <f aca="false">IF($D73&lt;&gt;1,"",IF($AI73=1,0,MAX($J73,ROUNDUP(MAX($X73/$H73,$Y73/$I73),0))))</f>
        <v>0</v>
      </c>
      <c r="AA73" s="84" t="n">
        <f aca="false">IF($D73&lt;&gt;1,"",IF(p_mode="Nœud",$Z73*$K73,$X73*IF($G73="IKS",p_iks_cpu,p_roks_cpu)+$Y73*IF($G73="IKS",p_iks_ram,p_roks_ram))*p_facteur)</f>
        <v>0</v>
      </c>
      <c r="AB73" s="14" t="n">
        <f aca="false">IF($D73&lt;&gt;1,"",MAX($J73,ROUNDUP(MAX($L73/$H73,$M73/$I73),0)))</f>
        <v>20</v>
      </c>
      <c r="AC73" s="84" t="n">
        <f aca="false">IF($D73&lt;&gt;1,"",IF(p_mode="Nœud",$AB73*$K73,$L73*IF($G73="IKS",p_iks_cpu,p_roks_cpu)+$M73*IF($G73="IKS",p_iks_ram,p_roks_ram))*p_facteur)</f>
        <v>10620</v>
      </c>
      <c r="AD73" s="14" t="n">
        <f aca="false">IF($D73&lt;&gt;1,"",IF(AND($G73="IKS",$AI73&lt;&gt;1,OR($L73-$P73&lt;$N73,$M73-$Q73&lt;$O73)),1,0))</f>
        <v>0</v>
      </c>
      <c r="AE73" s="14" t="n">
        <f aca="false">IF($D73&lt;&gt;1,"",IF(AND($G73="ROKS",$T73&gt;p_maxworkers),1,0))</f>
        <v>0</v>
      </c>
      <c r="AF73" s="14" t="str">
        <f aca="false">IF($D73&lt;&gt;1,"",IF(INDEX(TblClusters[Environnement],$B73)="","(vide)",INDEX(TblClusters[Environnement],$B73)))</f>
        <v>NPRD</v>
      </c>
      <c r="AG73" s="14" t="n">
        <f aca="false">IF($D73&lt;&gt;1,"",$R73+p_poidsram*$S73)</f>
        <v>0</v>
      </c>
      <c r="AH73" s="14" t="n">
        <f aca="false">IF($D73&lt;&gt;1,"",IFERROR($W73/$AG73,0))</f>
        <v>0</v>
      </c>
      <c r="AI73" s="14" t="n">
        <f aca="false">IF($D73&lt;&gt;1,"",IF(AND($G73="IKS",ISNUMBER(INDEX(TblClusters[Fermeture retenue],$B73))),IF($E73&gt;=INDEX(TblClusters[Fermeture retenue],$B73),1,0),0))</f>
        <v>1</v>
      </c>
    </row>
    <row r="74" customFormat="false" ht="15" hidden="false" customHeight="false" outlineLevel="0" collapsed="false">
      <c r="A74" s="14" t="n">
        <v>69</v>
      </c>
      <c r="B74" s="14" t="n">
        <f aca="false">INT(($A74-1)/36)+1</f>
        <v>2</v>
      </c>
      <c r="C74" s="14" t="n">
        <f aca="false">MOD($A74-1,36)+1</f>
        <v>33</v>
      </c>
      <c r="D74" s="14" t="n">
        <f aca="false">IF($C74&gt;p_horizon,0,IFERROR(IF(AND(INDEX(TblClusters[Cluster],$B74)&lt;&gt;"",ISNUMBER(INDEX(TblClusters[CPU initial (vCPU)],$B74)),ISNUMBER(INDEX(TblClusters[CPU min (vCPU)],$B74)),OR(INDEX(TblClusters[Plateforme],$B74)="IKS",INDEX(TblClusters[Plateforme],$B74)="ROKS")),1,0),0))</f>
        <v>1</v>
      </c>
      <c r="E74" s="83" t="n">
        <f aca="false">IF($D74=1,EDATE(p_debut,$C74-1),"")</f>
        <v>47270</v>
      </c>
      <c r="F74" s="14" t="str">
        <f aca="false">IF($D74=1,INDEX(TblClusters[Cluster],$B74),"")</f>
        <v>IKS-NPR-01</v>
      </c>
      <c r="G74" s="14" t="str">
        <f aca="false">IF($D74=1,INDEX(TblClusters[Plateforme],$B74),"")</f>
        <v>IKS</v>
      </c>
      <c r="H74" s="14" t="n">
        <f aca="false">IF($D74=1,INDEX(TblClusters[vCPU par nœud],$B74),"")</f>
        <v>16</v>
      </c>
      <c r="I74" s="14" t="n">
        <f aca="false">IF($D74=1,INDEX(TblClusters[RAM par nœud (Go)],$B74),"")</f>
        <v>64</v>
      </c>
      <c r="J74" s="14" t="n">
        <f aca="false">IF($D74=1,INDEX(TblClusters[Workers min],$B74),"")</f>
        <v>3</v>
      </c>
      <c r="K74" s="84" t="n">
        <f aca="false">IF($D74=1,INDEX(TblClusters[Tarif par nœud],$B74),"")</f>
        <v>531</v>
      </c>
      <c r="L74" s="14" t="n">
        <f aca="false">IF($D74=1,INDEX(TblClusters[CPU initial (vCPU)],$B74),"")</f>
        <v>320</v>
      </c>
      <c r="M74" s="14" t="n">
        <f aca="false">IF($D74=1,INDEX(TblClusters[RAM initiale (Go)],$B74),"")</f>
        <v>1280</v>
      </c>
      <c r="N74" s="14" t="n">
        <f aca="false">IF($D74=1,INDEX(TblClusters[CPU min (vCPU)],$B74),"")</f>
        <v>48</v>
      </c>
      <c r="O74" s="14" t="n">
        <f aca="false">IF($D74=1,INDEX(TblClusters[RAM min (Go)],$B74),"")</f>
        <v>192</v>
      </c>
      <c r="P74" s="14" t="n">
        <f aca="false">IF($D74&lt;&gt;1,"",IF($G74="ROKS",SUMIFS(TblApplications[Besoin ROKS CPU (vCPU)],TblApplications[Cluster ROKS cible],$F74,TblApplications[Action],"À migrer",TblApplications[Déjà incluse ROKS],"Non",TblApplications[Mois prov (calc)],"&lt;="&amp;$E74),SUMIFS(TblApplications[CPU IKS libérable (vCPU)],TblApplications[Cluster IKS source],$F74,TblApplications[Mois lib (calc)],"&lt;="&amp;$E74)))</f>
        <v>192</v>
      </c>
      <c r="Q74" s="14" t="n">
        <f aca="false">IF($D74&lt;&gt;1,"",IF($G74="ROKS",SUMIFS(TblApplications[Besoin ROKS RAM (Go)],TblApplications[Cluster ROKS cible],$F74,TblApplications[Action],"À migrer",TblApplications[Déjà incluse ROKS],"Non",TblApplications[Mois prov (calc)],"&lt;="&amp;$E74),SUMIFS(TblApplications[RAM IKS libérable (Go)],TblApplications[Cluster IKS source],$F74,TblApplications[Mois lib (calc)],"&lt;="&amp;$E74)))</f>
        <v>768</v>
      </c>
      <c r="R74" s="14" t="n">
        <f aca="false">IF($D74&lt;&gt;1,"",IF($G74="ROKS",$L74+$P74,IF($AI74=1,0,MAX($N74,$L74-$P74))))</f>
        <v>0</v>
      </c>
      <c r="S74" s="14" t="n">
        <f aca="false">IF($D74&lt;&gt;1,"",IF($G74="ROKS",$M74+$Q74,IF($AI74=1,0,MAX($O74,$M74-$Q74))))</f>
        <v>0</v>
      </c>
      <c r="T74" s="14" t="n">
        <f aca="false">IF($D74&lt;&gt;1,"",IF($AI74=1,0,MAX($J74,ROUNDUP(MAX($R74/$H74,$S74/$I74),0))))</f>
        <v>0</v>
      </c>
      <c r="U74" s="14" t="n">
        <f aca="false">IF($D74&lt;&gt;1,"",IF(p_mode="Nœud",$T74*$H74,$R74))</f>
        <v>0</v>
      </c>
      <c r="V74" s="14" t="n">
        <f aca="false">IF($D74&lt;&gt;1,"",IF(p_mode="Nœud",$T74*$I74,$S74))</f>
        <v>0</v>
      </c>
      <c r="W74" s="84" t="n">
        <f aca="false">IF($D74&lt;&gt;1,"",IF(p_mode="Nœud",$T74*$K74,$R74*IF($G74="IKS",p_iks_cpu,p_roks_cpu)+$S74*IF($G74="IKS",p_iks_ram,p_roks_ram))*p_facteur)</f>
        <v>0</v>
      </c>
      <c r="X74" s="14" t="n">
        <f aca="false">IF($D74&lt;&gt;1,"",IF($G74="ROKS",$R74,IF($AI74=1,0,MAX($N74,$L74-SUMIFS(TblApplications[CPU IKS libérable (vCPU)],TblApplications[Cluster IKS source],$F74,TblApplications[Action],"À migrer",TblApplications[Mois prov (calc)],"&lt;="&amp;$E74)-SUMIFS(TblApplications[CPU IKS libérable (vCPU)],TblApplications[Cluster IKS source],$F74,TblApplications[Action],"À décommissionner",TblApplications[Mois lib (calc)],"&lt;="&amp;$E74)))))</f>
        <v>0</v>
      </c>
      <c r="Y74" s="14" t="n">
        <f aca="false">IF($D74&lt;&gt;1,"",IF($G74="ROKS",$S74,IF($AI74=1,0,MAX($O74,$M74-SUMIFS(TblApplications[RAM IKS libérable (Go)],TblApplications[Cluster IKS source],$F74,TblApplications[Action],"À migrer",TblApplications[Mois prov (calc)],"&lt;="&amp;$E74)-SUMIFS(TblApplications[RAM IKS libérable (Go)],TblApplications[Cluster IKS source],$F74,TblApplications[Action],"À décommissionner",TblApplications[Mois lib (calc)],"&lt;="&amp;$E74)))))</f>
        <v>0</v>
      </c>
      <c r="Z74" s="14" t="n">
        <f aca="false">IF($D74&lt;&gt;1,"",IF($AI74=1,0,MAX($J74,ROUNDUP(MAX($X74/$H74,$Y74/$I74),0))))</f>
        <v>0</v>
      </c>
      <c r="AA74" s="84" t="n">
        <f aca="false">IF($D74&lt;&gt;1,"",IF(p_mode="Nœud",$Z74*$K74,$X74*IF($G74="IKS",p_iks_cpu,p_roks_cpu)+$Y74*IF($G74="IKS",p_iks_ram,p_roks_ram))*p_facteur)</f>
        <v>0</v>
      </c>
      <c r="AB74" s="14" t="n">
        <f aca="false">IF($D74&lt;&gt;1,"",MAX($J74,ROUNDUP(MAX($L74/$H74,$M74/$I74),0)))</f>
        <v>20</v>
      </c>
      <c r="AC74" s="84" t="n">
        <f aca="false">IF($D74&lt;&gt;1,"",IF(p_mode="Nœud",$AB74*$K74,$L74*IF($G74="IKS",p_iks_cpu,p_roks_cpu)+$M74*IF($G74="IKS",p_iks_ram,p_roks_ram))*p_facteur)</f>
        <v>10620</v>
      </c>
      <c r="AD74" s="14" t="n">
        <f aca="false">IF($D74&lt;&gt;1,"",IF(AND($G74="IKS",$AI74&lt;&gt;1,OR($L74-$P74&lt;$N74,$M74-$Q74&lt;$O74)),1,0))</f>
        <v>0</v>
      </c>
      <c r="AE74" s="14" t="n">
        <f aca="false">IF($D74&lt;&gt;1,"",IF(AND($G74="ROKS",$T74&gt;p_maxworkers),1,0))</f>
        <v>0</v>
      </c>
      <c r="AF74" s="14" t="str">
        <f aca="false">IF($D74&lt;&gt;1,"",IF(INDEX(TblClusters[Environnement],$B74)="","(vide)",INDEX(TblClusters[Environnement],$B74)))</f>
        <v>NPRD</v>
      </c>
      <c r="AG74" s="14" t="n">
        <f aca="false">IF($D74&lt;&gt;1,"",$R74+p_poidsram*$S74)</f>
        <v>0</v>
      </c>
      <c r="AH74" s="14" t="n">
        <f aca="false">IF($D74&lt;&gt;1,"",IFERROR($W74/$AG74,0))</f>
        <v>0</v>
      </c>
      <c r="AI74" s="14" t="n">
        <f aca="false">IF($D74&lt;&gt;1,"",IF(AND($G74="IKS",ISNUMBER(INDEX(TblClusters[Fermeture retenue],$B74))),IF($E74&gt;=INDEX(TblClusters[Fermeture retenue],$B74),1,0),0))</f>
        <v>1</v>
      </c>
    </row>
    <row r="75" customFormat="false" ht="15" hidden="false" customHeight="false" outlineLevel="0" collapsed="false">
      <c r="A75" s="14" t="n">
        <v>70</v>
      </c>
      <c r="B75" s="14" t="n">
        <f aca="false">INT(($A75-1)/36)+1</f>
        <v>2</v>
      </c>
      <c r="C75" s="14" t="n">
        <f aca="false">MOD($A75-1,36)+1</f>
        <v>34</v>
      </c>
      <c r="D75" s="14" t="n">
        <f aca="false">IF($C75&gt;p_horizon,0,IFERROR(IF(AND(INDEX(TblClusters[Cluster],$B75)&lt;&gt;"",ISNUMBER(INDEX(TblClusters[CPU initial (vCPU)],$B75)),ISNUMBER(INDEX(TblClusters[CPU min (vCPU)],$B75)),OR(INDEX(TblClusters[Plateforme],$B75)="IKS",INDEX(TblClusters[Plateforme],$B75)="ROKS")),1,0),0))</f>
        <v>1</v>
      </c>
      <c r="E75" s="83" t="n">
        <f aca="false">IF($D75=1,EDATE(p_debut,$C75-1),"")</f>
        <v>47300</v>
      </c>
      <c r="F75" s="14" t="str">
        <f aca="false">IF($D75=1,INDEX(TblClusters[Cluster],$B75),"")</f>
        <v>IKS-NPR-01</v>
      </c>
      <c r="G75" s="14" t="str">
        <f aca="false">IF($D75=1,INDEX(TblClusters[Plateforme],$B75),"")</f>
        <v>IKS</v>
      </c>
      <c r="H75" s="14" t="n">
        <f aca="false">IF($D75=1,INDEX(TblClusters[vCPU par nœud],$B75),"")</f>
        <v>16</v>
      </c>
      <c r="I75" s="14" t="n">
        <f aca="false">IF($D75=1,INDEX(TblClusters[RAM par nœud (Go)],$B75),"")</f>
        <v>64</v>
      </c>
      <c r="J75" s="14" t="n">
        <f aca="false">IF($D75=1,INDEX(TblClusters[Workers min],$B75),"")</f>
        <v>3</v>
      </c>
      <c r="K75" s="84" t="n">
        <f aca="false">IF($D75=1,INDEX(TblClusters[Tarif par nœud],$B75),"")</f>
        <v>531</v>
      </c>
      <c r="L75" s="14" t="n">
        <f aca="false">IF($D75=1,INDEX(TblClusters[CPU initial (vCPU)],$B75),"")</f>
        <v>320</v>
      </c>
      <c r="M75" s="14" t="n">
        <f aca="false">IF($D75=1,INDEX(TblClusters[RAM initiale (Go)],$B75),"")</f>
        <v>1280</v>
      </c>
      <c r="N75" s="14" t="n">
        <f aca="false">IF($D75=1,INDEX(TblClusters[CPU min (vCPU)],$B75),"")</f>
        <v>48</v>
      </c>
      <c r="O75" s="14" t="n">
        <f aca="false">IF($D75=1,INDEX(TblClusters[RAM min (Go)],$B75),"")</f>
        <v>192</v>
      </c>
      <c r="P75" s="14" t="n">
        <f aca="false">IF($D75&lt;&gt;1,"",IF($G75="ROKS",SUMIFS(TblApplications[Besoin ROKS CPU (vCPU)],TblApplications[Cluster ROKS cible],$F75,TblApplications[Action],"À migrer",TblApplications[Déjà incluse ROKS],"Non",TblApplications[Mois prov (calc)],"&lt;="&amp;$E75),SUMIFS(TblApplications[CPU IKS libérable (vCPU)],TblApplications[Cluster IKS source],$F75,TblApplications[Mois lib (calc)],"&lt;="&amp;$E75)))</f>
        <v>192</v>
      </c>
      <c r="Q75" s="14" t="n">
        <f aca="false">IF($D75&lt;&gt;1,"",IF($G75="ROKS",SUMIFS(TblApplications[Besoin ROKS RAM (Go)],TblApplications[Cluster ROKS cible],$F75,TblApplications[Action],"À migrer",TblApplications[Déjà incluse ROKS],"Non",TblApplications[Mois prov (calc)],"&lt;="&amp;$E75),SUMIFS(TblApplications[RAM IKS libérable (Go)],TblApplications[Cluster IKS source],$F75,TblApplications[Mois lib (calc)],"&lt;="&amp;$E75)))</f>
        <v>768</v>
      </c>
      <c r="R75" s="14" t="n">
        <f aca="false">IF($D75&lt;&gt;1,"",IF($G75="ROKS",$L75+$P75,IF($AI75=1,0,MAX($N75,$L75-$P75))))</f>
        <v>0</v>
      </c>
      <c r="S75" s="14" t="n">
        <f aca="false">IF($D75&lt;&gt;1,"",IF($G75="ROKS",$M75+$Q75,IF($AI75=1,0,MAX($O75,$M75-$Q75))))</f>
        <v>0</v>
      </c>
      <c r="T75" s="14" t="n">
        <f aca="false">IF($D75&lt;&gt;1,"",IF($AI75=1,0,MAX($J75,ROUNDUP(MAX($R75/$H75,$S75/$I75),0))))</f>
        <v>0</v>
      </c>
      <c r="U75" s="14" t="n">
        <f aca="false">IF($D75&lt;&gt;1,"",IF(p_mode="Nœud",$T75*$H75,$R75))</f>
        <v>0</v>
      </c>
      <c r="V75" s="14" t="n">
        <f aca="false">IF($D75&lt;&gt;1,"",IF(p_mode="Nœud",$T75*$I75,$S75))</f>
        <v>0</v>
      </c>
      <c r="W75" s="84" t="n">
        <f aca="false">IF($D75&lt;&gt;1,"",IF(p_mode="Nœud",$T75*$K75,$R75*IF($G75="IKS",p_iks_cpu,p_roks_cpu)+$S75*IF($G75="IKS",p_iks_ram,p_roks_ram))*p_facteur)</f>
        <v>0</v>
      </c>
      <c r="X75" s="14" t="n">
        <f aca="false">IF($D75&lt;&gt;1,"",IF($G75="ROKS",$R75,IF($AI75=1,0,MAX($N75,$L75-SUMIFS(TblApplications[CPU IKS libérable (vCPU)],TblApplications[Cluster IKS source],$F75,TblApplications[Action],"À migrer",TblApplications[Mois prov (calc)],"&lt;="&amp;$E75)-SUMIFS(TblApplications[CPU IKS libérable (vCPU)],TblApplications[Cluster IKS source],$F75,TblApplications[Action],"À décommissionner",TblApplications[Mois lib (calc)],"&lt;="&amp;$E75)))))</f>
        <v>0</v>
      </c>
      <c r="Y75" s="14" t="n">
        <f aca="false">IF($D75&lt;&gt;1,"",IF($G75="ROKS",$S75,IF($AI75=1,0,MAX($O75,$M75-SUMIFS(TblApplications[RAM IKS libérable (Go)],TblApplications[Cluster IKS source],$F75,TblApplications[Action],"À migrer",TblApplications[Mois prov (calc)],"&lt;="&amp;$E75)-SUMIFS(TblApplications[RAM IKS libérable (Go)],TblApplications[Cluster IKS source],$F75,TblApplications[Action],"À décommissionner",TblApplications[Mois lib (calc)],"&lt;="&amp;$E75)))))</f>
        <v>0</v>
      </c>
      <c r="Z75" s="14" t="n">
        <f aca="false">IF($D75&lt;&gt;1,"",IF($AI75=1,0,MAX($J75,ROUNDUP(MAX($X75/$H75,$Y75/$I75),0))))</f>
        <v>0</v>
      </c>
      <c r="AA75" s="84" t="n">
        <f aca="false">IF($D75&lt;&gt;1,"",IF(p_mode="Nœud",$Z75*$K75,$X75*IF($G75="IKS",p_iks_cpu,p_roks_cpu)+$Y75*IF($G75="IKS",p_iks_ram,p_roks_ram))*p_facteur)</f>
        <v>0</v>
      </c>
      <c r="AB75" s="14" t="n">
        <f aca="false">IF($D75&lt;&gt;1,"",MAX($J75,ROUNDUP(MAX($L75/$H75,$M75/$I75),0)))</f>
        <v>20</v>
      </c>
      <c r="AC75" s="84" t="n">
        <f aca="false">IF($D75&lt;&gt;1,"",IF(p_mode="Nœud",$AB75*$K75,$L75*IF($G75="IKS",p_iks_cpu,p_roks_cpu)+$M75*IF($G75="IKS",p_iks_ram,p_roks_ram))*p_facteur)</f>
        <v>10620</v>
      </c>
      <c r="AD75" s="14" t="n">
        <f aca="false">IF($D75&lt;&gt;1,"",IF(AND($G75="IKS",$AI75&lt;&gt;1,OR($L75-$P75&lt;$N75,$M75-$Q75&lt;$O75)),1,0))</f>
        <v>0</v>
      </c>
      <c r="AE75" s="14" t="n">
        <f aca="false">IF($D75&lt;&gt;1,"",IF(AND($G75="ROKS",$T75&gt;p_maxworkers),1,0))</f>
        <v>0</v>
      </c>
      <c r="AF75" s="14" t="str">
        <f aca="false">IF($D75&lt;&gt;1,"",IF(INDEX(TblClusters[Environnement],$B75)="","(vide)",INDEX(TblClusters[Environnement],$B75)))</f>
        <v>NPRD</v>
      </c>
      <c r="AG75" s="14" t="n">
        <f aca="false">IF($D75&lt;&gt;1,"",$R75+p_poidsram*$S75)</f>
        <v>0</v>
      </c>
      <c r="AH75" s="14" t="n">
        <f aca="false">IF($D75&lt;&gt;1,"",IFERROR($W75/$AG75,0))</f>
        <v>0</v>
      </c>
      <c r="AI75" s="14" t="n">
        <f aca="false">IF($D75&lt;&gt;1,"",IF(AND($G75="IKS",ISNUMBER(INDEX(TblClusters[Fermeture retenue],$B75))),IF($E75&gt;=INDEX(TblClusters[Fermeture retenue],$B75),1,0),0))</f>
        <v>1</v>
      </c>
    </row>
    <row r="76" customFormat="false" ht="15" hidden="false" customHeight="false" outlineLevel="0" collapsed="false">
      <c r="A76" s="14" t="n">
        <v>71</v>
      </c>
      <c r="B76" s="14" t="n">
        <f aca="false">INT(($A76-1)/36)+1</f>
        <v>2</v>
      </c>
      <c r="C76" s="14" t="n">
        <f aca="false">MOD($A76-1,36)+1</f>
        <v>35</v>
      </c>
      <c r="D76" s="14" t="n">
        <f aca="false">IF($C76&gt;p_horizon,0,IFERROR(IF(AND(INDEX(TblClusters[Cluster],$B76)&lt;&gt;"",ISNUMBER(INDEX(TblClusters[CPU initial (vCPU)],$B76)),ISNUMBER(INDEX(TblClusters[CPU min (vCPU)],$B76)),OR(INDEX(TblClusters[Plateforme],$B76)="IKS",INDEX(TblClusters[Plateforme],$B76)="ROKS")),1,0),0))</f>
        <v>1</v>
      </c>
      <c r="E76" s="83" t="n">
        <f aca="false">IF($D76=1,EDATE(p_debut,$C76-1),"")</f>
        <v>47331</v>
      </c>
      <c r="F76" s="14" t="str">
        <f aca="false">IF($D76=1,INDEX(TblClusters[Cluster],$B76),"")</f>
        <v>IKS-NPR-01</v>
      </c>
      <c r="G76" s="14" t="str">
        <f aca="false">IF($D76=1,INDEX(TblClusters[Plateforme],$B76),"")</f>
        <v>IKS</v>
      </c>
      <c r="H76" s="14" t="n">
        <f aca="false">IF($D76=1,INDEX(TblClusters[vCPU par nœud],$B76),"")</f>
        <v>16</v>
      </c>
      <c r="I76" s="14" t="n">
        <f aca="false">IF($D76=1,INDEX(TblClusters[RAM par nœud (Go)],$B76),"")</f>
        <v>64</v>
      </c>
      <c r="J76" s="14" t="n">
        <f aca="false">IF($D76=1,INDEX(TblClusters[Workers min],$B76),"")</f>
        <v>3</v>
      </c>
      <c r="K76" s="84" t="n">
        <f aca="false">IF($D76=1,INDEX(TblClusters[Tarif par nœud],$B76),"")</f>
        <v>531</v>
      </c>
      <c r="L76" s="14" t="n">
        <f aca="false">IF($D76=1,INDEX(TblClusters[CPU initial (vCPU)],$B76),"")</f>
        <v>320</v>
      </c>
      <c r="M76" s="14" t="n">
        <f aca="false">IF($D76=1,INDEX(TblClusters[RAM initiale (Go)],$B76),"")</f>
        <v>1280</v>
      </c>
      <c r="N76" s="14" t="n">
        <f aca="false">IF($D76=1,INDEX(TblClusters[CPU min (vCPU)],$B76),"")</f>
        <v>48</v>
      </c>
      <c r="O76" s="14" t="n">
        <f aca="false">IF($D76=1,INDEX(TblClusters[RAM min (Go)],$B76),"")</f>
        <v>192</v>
      </c>
      <c r="P76" s="14" t="n">
        <f aca="false">IF($D76&lt;&gt;1,"",IF($G76="ROKS",SUMIFS(TblApplications[Besoin ROKS CPU (vCPU)],TblApplications[Cluster ROKS cible],$F76,TblApplications[Action],"À migrer",TblApplications[Déjà incluse ROKS],"Non",TblApplications[Mois prov (calc)],"&lt;="&amp;$E76),SUMIFS(TblApplications[CPU IKS libérable (vCPU)],TblApplications[Cluster IKS source],$F76,TblApplications[Mois lib (calc)],"&lt;="&amp;$E76)))</f>
        <v>192</v>
      </c>
      <c r="Q76" s="14" t="n">
        <f aca="false">IF($D76&lt;&gt;1,"",IF($G76="ROKS",SUMIFS(TblApplications[Besoin ROKS RAM (Go)],TblApplications[Cluster ROKS cible],$F76,TblApplications[Action],"À migrer",TblApplications[Déjà incluse ROKS],"Non",TblApplications[Mois prov (calc)],"&lt;="&amp;$E76),SUMIFS(TblApplications[RAM IKS libérable (Go)],TblApplications[Cluster IKS source],$F76,TblApplications[Mois lib (calc)],"&lt;="&amp;$E76)))</f>
        <v>768</v>
      </c>
      <c r="R76" s="14" t="n">
        <f aca="false">IF($D76&lt;&gt;1,"",IF($G76="ROKS",$L76+$P76,IF($AI76=1,0,MAX($N76,$L76-$P76))))</f>
        <v>0</v>
      </c>
      <c r="S76" s="14" t="n">
        <f aca="false">IF($D76&lt;&gt;1,"",IF($G76="ROKS",$M76+$Q76,IF($AI76=1,0,MAX($O76,$M76-$Q76))))</f>
        <v>0</v>
      </c>
      <c r="T76" s="14" t="n">
        <f aca="false">IF($D76&lt;&gt;1,"",IF($AI76=1,0,MAX($J76,ROUNDUP(MAX($R76/$H76,$S76/$I76),0))))</f>
        <v>0</v>
      </c>
      <c r="U76" s="14" t="n">
        <f aca="false">IF($D76&lt;&gt;1,"",IF(p_mode="Nœud",$T76*$H76,$R76))</f>
        <v>0</v>
      </c>
      <c r="V76" s="14" t="n">
        <f aca="false">IF($D76&lt;&gt;1,"",IF(p_mode="Nœud",$T76*$I76,$S76))</f>
        <v>0</v>
      </c>
      <c r="W76" s="84" t="n">
        <f aca="false">IF($D76&lt;&gt;1,"",IF(p_mode="Nœud",$T76*$K76,$R76*IF($G76="IKS",p_iks_cpu,p_roks_cpu)+$S76*IF($G76="IKS",p_iks_ram,p_roks_ram))*p_facteur)</f>
        <v>0</v>
      </c>
      <c r="X76" s="14" t="n">
        <f aca="false">IF($D76&lt;&gt;1,"",IF($G76="ROKS",$R76,IF($AI76=1,0,MAX($N76,$L76-SUMIFS(TblApplications[CPU IKS libérable (vCPU)],TblApplications[Cluster IKS source],$F76,TblApplications[Action],"À migrer",TblApplications[Mois prov (calc)],"&lt;="&amp;$E76)-SUMIFS(TblApplications[CPU IKS libérable (vCPU)],TblApplications[Cluster IKS source],$F76,TblApplications[Action],"À décommissionner",TblApplications[Mois lib (calc)],"&lt;="&amp;$E76)))))</f>
        <v>0</v>
      </c>
      <c r="Y76" s="14" t="n">
        <f aca="false">IF($D76&lt;&gt;1,"",IF($G76="ROKS",$S76,IF($AI76=1,0,MAX($O76,$M76-SUMIFS(TblApplications[RAM IKS libérable (Go)],TblApplications[Cluster IKS source],$F76,TblApplications[Action],"À migrer",TblApplications[Mois prov (calc)],"&lt;="&amp;$E76)-SUMIFS(TblApplications[RAM IKS libérable (Go)],TblApplications[Cluster IKS source],$F76,TblApplications[Action],"À décommissionner",TblApplications[Mois lib (calc)],"&lt;="&amp;$E76)))))</f>
        <v>0</v>
      </c>
      <c r="Z76" s="14" t="n">
        <f aca="false">IF($D76&lt;&gt;1,"",IF($AI76=1,0,MAX($J76,ROUNDUP(MAX($X76/$H76,$Y76/$I76),0))))</f>
        <v>0</v>
      </c>
      <c r="AA76" s="84" t="n">
        <f aca="false">IF($D76&lt;&gt;1,"",IF(p_mode="Nœud",$Z76*$K76,$X76*IF($G76="IKS",p_iks_cpu,p_roks_cpu)+$Y76*IF($G76="IKS",p_iks_ram,p_roks_ram))*p_facteur)</f>
        <v>0</v>
      </c>
      <c r="AB76" s="14" t="n">
        <f aca="false">IF($D76&lt;&gt;1,"",MAX($J76,ROUNDUP(MAX($L76/$H76,$M76/$I76),0)))</f>
        <v>20</v>
      </c>
      <c r="AC76" s="84" t="n">
        <f aca="false">IF($D76&lt;&gt;1,"",IF(p_mode="Nœud",$AB76*$K76,$L76*IF($G76="IKS",p_iks_cpu,p_roks_cpu)+$M76*IF($G76="IKS",p_iks_ram,p_roks_ram))*p_facteur)</f>
        <v>10620</v>
      </c>
      <c r="AD76" s="14" t="n">
        <f aca="false">IF($D76&lt;&gt;1,"",IF(AND($G76="IKS",$AI76&lt;&gt;1,OR($L76-$P76&lt;$N76,$M76-$Q76&lt;$O76)),1,0))</f>
        <v>0</v>
      </c>
      <c r="AE76" s="14" t="n">
        <f aca="false">IF($D76&lt;&gt;1,"",IF(AND($G76="ROKS",$T76&gt;p_maxworkers),1,0))</f>
        <v>0</v>
      </c>
      <c r="AF76" s="14" t="str">
        <f aca="false">IF($D76&lt;&gt;1,"",IF(INDEX(TblClusters[Environnement],$B76)="","(vide)",INDEX(TblClusters[Environnement],$B76)))</f>
        <v>NPRD</v>
      </c>
      <c r="AG76" s="14" t="n">
        <f aca="false">IF($D76&lt;&gt;1,"",$R76+p_poidsram*$S76)</f>
        <v>0</v>
      </c>
      <c r="AH76" s="14" t="n">
        <f aca="false">IF($D76&lt;&gt;1,"",IFERROR($W76/$AG76,0))</f>
        <v>0</v>
      </c>
      <c r="AI76" s="14" t="n">
        <f aca="false">IF($D76&lt;&gt;1,"",IF(AND($G76="IKS",ISNUMBER(INDEX(TblClusters[Fermeture retenue],$B76))),IF($E76&gt;=INDEX(TblClusters[Fermeture retenue],$B76),1,0),0))</f>
        <v>1</v>
      </c>
    </row>
    <row r="77" customFormat="false" ht="15" hidden="false" customHeight="false" outlineLevel="0" collapsed="false">
      <c r="A77" s="14" t="n">
        <v>72</v>
      </c>
      <c r="B77" s="14" t="n">
        <f aca="false">INT(($A77-1)/36)+1</f>
        <v>2</v>
      </c>
      <c r="C77" s="14" t="n">
        <f aca="false">MOD($A77-1,36)+1</f>
        <v>36</v>
      </c>
      <c r="D77" s="14" t="n">
        <f aca="false">IF($C77&gt;p_horizon,0,IFERROR(IF(AND(INDEX(TblClusters[Cluster],$B77)&lt;&gt;"",ISNUMBER(INDEX(TblClusters[CPU initial (vCPU)],$B77)),ISNUMBER(INDEX(TblClusters[CPU min (vCPU)],$B77)),OR(INDEX(TblClusters[Plateforme],$B77)="IKS",INDEX(TblClusters[Plateforme],$B77)="ROKS")),1,0),0))</f>
        <v>1</v>
      </c>
      <c r="E77" s="83" t="n">
        <f aca="false">IF($D77=1,EDATE(p_debut,$C77-1),"")</f>
        <v>47362</v>
      </c>
      <c r="F77" s="14" t="str">
        <f aca="false">IF($D77=1,INDEX(TblClusters[Cluster],$B77),"")</f>
        <v>IKS-NPR-01</v>
      </c>
      <c r="G77" s="14" t="str">
        <f aca="false">IF($D77=1,INDEX(TblClusters[Plateforme],$B77),"")</f>
        <v>IKS</v>
      </c>
      <c r="H77" s="14" t="n">
        <f aca="false">IF($D77=1,INDEX(TblClusters[vCPU par nœud],$B77),"")</f>
        <v>16</v>
      </c>
      <c r="I77" s="14" t="n">
        <f aca="false">IF($D77=1,INDEX(TblClusters[RAM par nœud (Go)],$B77),"")</f>
        <v>64</v>
      </c>
      <c r="J77" s="14" t="n">
        <f aca="false">IF($D77=1,INDEX(TblClusters[Workers min],$B77),"")</f>
        <v>3</v>
      </c>
      <c r="K77" s="84" t="n">
        <f aca="false">IF($D77=1,INDEX(TblClusters[Tarif par nœud],$B77),"")</f>
        <v>531</v>
      </c>
      <c r="L77" s="14" t="n">
        <f aca="false">IF($D77=1,INDEX(TblClusters[CPU initial (vCPU)],$B77),"")</f>
        <v>320</v>
      </c>
      <c r="M77" s="14" t="n">
        <f aca="false">IF($D77=1,INDEX(TblClusters[RAM initiale (Go)],$B77),"")</f>
        <v>1280</v>
      </c>
      <c r="N77" s="14" t="n">
        <f aca="false">IF($D77=1,INDEX(TblClusters[CPU min (vCPU)],$B77),"")</f>
        <v>48</v>
      </c>
      <c r="O77" s="14" t="n">
        <f aca="false">IF($D77=1,INDEX(TblClusters[RAM min (Go)],$B77),"")</f>
        <v>192</v>
      </c>
      <c r="P77" s="14" t="n">
        <f aca="false">IF($D77&lt;&gt;1,"",IF($G77="ROKS",SUMIFS(TblApplications[Besoin ROKS CPU (vCPU)],TblApplications[Cluster ROKS cible],$F77,TblApplications[Action],"À migrer",TblApplications[Déjà incluse ROKS],"Non",TblApplications[Mois prov (calc)],"&lt;="&amp;$E77),SUMIFS(TblApplications[CPU IKS libérable (vCPU)],TblApplications[Cluster IKS source],$F77,TblApplications[Mois lib (calc)],"&lt;="&amp;$E77)))</f>
        <v>192</v>
      </c>
      <c r="Q77" s="14" t="n">
        <f aca="false">IF($D77&lt;&gt;1,"",IF($G77="ROKS",SUMIFS(TblApplications[Besoin ROKS RAM (Go)],TblApplications[Cluster ROKS cible],$F77,TblApplications[Action],"À migrer",TblApplications[Déjà incluse ROKS],"Non",TblApplications[Mois prov (calc)],"&lt;="&amp;$E77),SUMIFS(TblApplications[RAM IKS libérable (Go)],TblApplications[Cluster IKS source],$F77,TblApplications[Mois lib (calc)],"&lt;="&amp;$E77)))</f>
        <v>768</v>
      </c>
      <c r="R77" s="14" t="n">
        <f aca="false">IF($D77&lt;&gt;1,"",IF($G77="ROKS",$L77+$P77,IF($AI77=1,0,MAX($N77,$L77-$P77))))</f>
        <v>0</v>
      </c>
      <c r="S77" s="14" t="n">
        <f aca="false">IF($D77&lt;&gt;1,"",IF($G77="ROKS",$M77+$Q77,IF($AI77=1,0,MAX($O77,$M77-$Q77))))</f>
        <v>0</v>
      </c>
      <c r="T77" s="14" t="n">
        <f aca="false">IF($D77&lt;&gt;1,"",IF($AI77=1,0,MAX($J77,ROUNDUP(MAX($R77/$H77,$S77/$I77),0))))</f>
        <v>0</v>
      </c>
      <c r="U77" s="14" t="n">
        <f aca="false">IF($D77&lt;&gt;1,"",IF(p_mode="Nœud",$T77*$H77,$R77))</f>
        <v>0</v>
      </c>
      <c r="V77" s="14" t="n">
        <f aca="false">IF($D77&lt;&gt;1,"",IF(p_mode="Nœud",$T77*$I77,$S77))</f>
        <v>0</v>
      </c>
      <c r="W77" s="84" t="n">
        <f aca="false">IF($D77&lt;&gt;1,"",IF(p_mode="Nœud",$T77*$K77,$R77*IF($G77="IKS",p_iks_cpu,p_roks_cpu)+$S77*IF($G77="IKS",p_iks_ram,p_roks_ram))*p_facteur)</f>
        <v>0</v>
      </c>
      <c r="X77" s="14" t="n">
        <f aca="false">IF($D77&lt;&gt;1,"",IF($G77="ROKS",$R77,IF($AI77=1,0,MAX($N77,$L77-SUMIFS(TblApplications[CPU IKS libérable (vCPU)],TblApplications[Cluster IKS source],$F77,TblApplications[Action],"À migrer",TblApplications[Mois prov (calc)],"&lt;="&amp;$E77)-SUMIFS(TblApplications[CPU IKS libérable (vCPU)],TblApplications[Cluster IKS source],$F77,TblApplications[Action],"À décommissionner",TblApplications[Mois lib (calc)],"&lt;="&amp;$E77)))))</f>
        <v>0</v>
      </c>
      <c r="Y77" s="14" t="n">
        <f aca="false">IF($D77&lt;&gt;1,"",IF($G77="ROKS",$S77,IF($AI77=1,0,MAX($O77,$M77-SUMIFS(TblApplications[RAM IKS libérable (Go)],TblApplications[Cluster IKS source],$F77,TblApplications[Action],"À migrer",TblApplications[Mois prov (calc)],"&lt;="&amp;$E77)-SUMIFS(TblApplications[RAM IKS libérable (Go)],TblApplications[Cluster IKS source],$F77,TblApplications[Action],"À décommissionner",TblApplications[Mois lib (calc)],"&lt;="&amp;$E77)))))</f>
        <v>0</v>
      </c>
      <c r="Z77" s="14" t="n">
        <f aca="false">IF($D77&lt;&gt;1,"",IF($AI77=1,0,MAX($J77,ROUNDUP(MAX($X77/$H77,$Y77/$I77),0))))</f>
        <v>0</v>
      </c>
      <c r="AA77" s="84" t="n">
        <f aca="false">IF($D77&lt;&gt;1,"",IF(p_mode="Nœud",$Z77*$K77,$X77*IF($G77="IKS",p_iks_cpu,p_roks_cpu)+$Y77*IF($G77="IKS",p_iks_ram,p_roks_ram))*p_facteur)</f>
        <v>0</v>
      </c>
      <c r="AB77" s="14" t="n">
        <f aca="false">IF($D77&lt;&gt;1,"",MAX($J77,ROUNDUP(MAX($L77/$H77,$M77/$I77),0)))</f>
        <v>20</v>
      </c>
      <c r="AC77" s="84" t="n">
        <f aca="false">IF($D77&lt;&gt;1,"",IF(p_mode="Nœud",$AB77*$K77,$L77*IF($G77="IKS",p_iks_cpu,p_roks_cpu)+$M77*IF($G77="IKS",p_iks_ram,p_roks_ram))*p_facteur)</f>
        <v>10620</v>
      </c>
      <c r="AD77" s="14" t="n">
        <f aca="false">IF($D77&lt;&gt;1,"",IF(AND($G77="IKS",$AI77&lt;&gt;1,OR($L77-$P77&lt;$N77,$M77-$Q77&lt;$O77)),1,0))</f>
        <v>0</v>
      </c>
      <c r="AE77" s="14" t="n">
        <f aca="false">IF($D77&lt;&gt;1,"",IF(AND($G77="ROKS",$T77&gt;p_maxworkers),1,0))</f>
        <v>0</v>
      </c>
      <c r="AF77" s="14" t="str">
        <f aca="false">IF($D77&lt;&gt;1,"",IF(INDEX(TblClusters[Environnement],$B77)="","(vide)",INDEX(TblClusters[Environnement],$B77)))</f>
        <v>NPRD</v>
      </c>
      <c r="AG77" s="14" t="n">
        <f aca="false">IF($D77&lt;&gt;1,"",$R77+p_poidsram*$S77)</f>
        <v>0</v>
      </c>
      <c r="AH77" s="14" t="n">
        <f aca="false">IF($D77&lt;&gt;1,"",IFERROR($W77/$AG77,0))</f>
        <v>0</v>
      </c>
      <c r="AI77" s="14" t="n">
        <f aca="false">IF($D77&lt;&gt;1,"",IF(AND($G77="IKS",ISNUMBER(INDEX(TblClusters[Fermeture retenue],$B77))),IF($E77&gt;=INDEX(TblClusters[Fermeture retenue],$B77),1,0),0))</f>
        <v>1</v>
      </c>
    </row>
    <row r="78" customFormat="false" ht="15" hidden="false" customHeight="false" outlineLevel="0" collapsed="false">
      <c r="A78" s="14" t="n">
        <v>73</v>
      </c>
      <c r="B78" s="14" t="n">
        <f aca="false">INT(($A78-1)/36)+1</f>
        <v>3</v>
      </c>
      <c r="C78" s="14" t="n">
        <f aca="false">MOD($A78-1,36)+1</f>
        <v>1</v>
      </c>
      <c r="D78" s="14" t="n">
        <f aca="false">IF($C78&gt;p_horizon,0,IFERROR(IF(AND(INDEX(TblClusters[Cluster],$B78)&lt;&gt;"",ISNUMBER(INDEX(TblClusters[CPU initial (vCPU)],$B78)),ISNUMBER(INDEX(TblClusters[CPU min (vCPU)],$B78)),OR(INDEX(TblClusters[Plateforme],$B78)="IKS",INDEX(TblClusters[Plateforme],$B78)="ROKS")),1,0),0))</f>
        <v>1</v>
      </c>
      <c r="E78" s="83" t="n">
        <f aca="false">IF($D78=1,EDATE(p_debut,$C78-1),"")</f>
        <v>46296</v>
      </c>
      <c r="F78" s="14" t="str">
        <f aca="false">IF($D78=1,INDEX(TblClusters[Cluster],$B78),"")</f>
        <v>ROKS-PRD-01</v>
      </c>
      <c r="G78" s="14" t="str">
        <f aca="false">IF($D78=1,INDEX(TblClusters[Plateforme],$B78),"")</f>
        <v>ROKS</v>
      </c>
      <c r="H78" s="14" t="n">
        <f aca="false">IF($D78=1,INDEX(TblClusters[vCPU par nœud],$B78),"")</f>
        <v>32</v>
      </c>
      <c r="I78" s="14" t="n">
        <f aca="false">IF($D78=1,INDEX(TblClusters[RAM par nœud (Go)],$B78),"")</f>
        <v>160</v>
      </c>
      <c r="J78" s="14" t="n">
        <f aca="false">IF($D78=1,INDEX(TblClusters[Workers min],$B78),"")</f>
        <v>6</v>
      </c>
      <c r="K78" s="84" t="n">
        <f aca="false">IF($D78=1,INDEX(TblClusters[Tarif par nœud],$B78),"")</f>
        <v>1472</v>
      </c>
      <c r="L78" s="14" t="n">
        <f aca="false">IF($D78=1,INDEX(TblClusters[CPU initial (vCPU)],$B78),"")</f>
        <v>192</v>
      </c>
      <c r="M78" s="14" t="n">
        <f aca="false">IF($D78=1,INDEX(TblClusters[RAM initiale (Go)],$B78),"")</f>
        <v>960</v>
      </c>
      <c r="N78" s="14" t="n">
        <f aca="false">IF($D78=1,INDEX(TblClusters[CPU min (vCPU)],$B78),"")</f>
        <v>192</v>
      </c>
      <c r="O78" s="14" t="n">
        <f aca="false">IF($D78=1,INDEX(TblClusters[RAM min (Go)],$B78),"")</f>
        <v>960</v>
      </c>
      <c r="P78" s="14" t="n">
        <f aca="false">IF($D78&lt;&gt;1,"",IF($G78="ROKS",SUMIFS(TblApplications[Besoin ROKS CPU (vCPU)],TblApplications[Cluster ROKS cible],$F78,TblApplications[Action],"À migrer",TblApplications[Déjà incluse ROKS],"Non",TblApplications[Mois prov (calc)],"&lt;="&amp;$E78),SUMIFS(TblApplications[CPU IKS libérable (vCPU)],TblApplications[Cluster IKS source],$F78,TblApplications[Mois lib (calc)],"&lt;="&amp;$E78)))</f>
        <v>0</v>
      </c>
      <c r="Q78" s="14" t="n">
        <f aca="false">IF($D78&lt;&gt;1,"",IF($G78="ROKS",SUMIFS(TblApplications[Besoin ROKS RAM (Go)],TblApplications[Cluster ROKS cible],$F78,TblApplications[Action],"À migrer",TblApplications[Déjà incluse ROKS],"Non",TblApplications[Mois prov (calc)],"&lt;="&amp;$E78),SUMIFS(TblApplications[RAM IKS libérable (Go)],TblApplications[Cluster IKS source],$F78,TblApplications[Mois lib (calc)],"&lt;="&amp;$E78)))</f>
        <v>0</v>
      </c>
      <c r="R78" s="14" t="n">
        <f aca="false">IF($D78&lt;&gt;1,"",IF($G78="ROKS",$L78+$P78,IF($AI78=1,0,MAX($N78,$L78-$P78))))</f>
        <v>192</v>
      </c>
      <c r="S78" s="14" t="n">
        <f aca="false">IF($D78&lt;&gt;1,"",IF($G78="ROKS",$M78+$Q78,IF($AI78=1,0,MAX($O78,$M78-$Q78))))</f>
        <v>960</v>
      </c>
      <c r="T78" s="14" t="n">
        <f aca="false">IF($D78&lt;&gt;1,"",IF($AI78=1,0,MAX($J78,ROUNDUP(MAX($R78/$H78,$S78/$I78),0))))</f>
        <v>6</v>
      </c>
      <c r="U78" s="14" t="n">
        <f aca="false">IF($D78&lt;&gt;1,"",IF(p_mode="Nœud",$T78*$H78,$R78))</f>
        <v>192</v>
      </c>
      <c r="V78" s="14" t="n">
        <f aca="false">IF($D78&lt;&gt;1,"",IF(p_mode="Nœud",$T78*$I78,$S78))</f>
        <v>960</v>
      </c>
      <c r="W78" s="84" t="n">
        <f aca="false">IF($D78&lt;&gt;1,"",IF(p_mode="Nœud",$T78*$K78,$R78*IF($G78="IKS",p_iks_cpu,p_roks_cpu)+$S78*IF($G78="IKS",p_iks_ram,p_roks_ram))*p_facteur)</f>
        <v>8832</v>
      </c>
      <c r="X78" s="14" t="n">
        <f aca="false">IF($D78&lt;&gt;1,"",IF($G78="ROKS",$R78,IF($AI78=1,0,MAX($N78,$L78-SUMIFS(TblApplications[CPU IKS libérable (vCPU)],TblApplications[Cluster IKS source],$F78,TblApplications[Action],"À migrer",TblApplications[Mois prov (calc)],"&lt;="&amp;$E78)-SUMIFS(TblApplications[CPU IKS libérable (vCPU)],TblApplications[Cluster IKS source],$F78,TblApplications[Action],"À décommissionner",TblApplications[Mois lib (calc)],"&lt;="&amp;$E78)))))</f>
        <v>192</v>
      </c>
      <c r="Y78" s="14" t="n">
        <f aca="false">IF($D78&lt;&gt;1,"",IF($G78="ROKS",$S78,IF($AI78=1,0,MAX($O78,$M78-SUMIFS(TblApplications[RAM IKS libérable (Go)],TblApplications[Cluster IKS source],$F78,TblApplications[Action],"À migrer",TblApplications[Mois prov (calc)],"&lt;="&amp;$E78)-SUMIFS(TblApplications[RAM IKS libérable (Go)],TblApplications[Cluster IKS source],$F78,TblApplications[Action],"À décommissionner",TblApplications[Mois lib (calc)],"&lt;="&amp;$E78)))))</f>
        <v>960</v>
      </c>
      <c r="Z78" s="14" t="n">
        <f aca="false">IF($D78&lt;&gt;1,"",IF($AI78=1,0,MAX($J78,ROUNDUP(MAX($X78/$H78,$Y78/$I78),0))))</f>
        <v>6</v>
      </c>
      <c r="AA78" s="84" t="n">
        <f aca="false">IF($D78&lt;&gt;1,"",IF(p_mode="Nœud",$Z78*$K78,$X78*IF($G78="IKS",p_iks_cpu,p_roks_cpu)+$Y78*IF($G78="IKS",p_iks_ram,p_roks_ram))*p_facteur)</f>
        <v>8832</v>
      </c>
      <c r="AB78" s="14" t="n">
        <f aca="false">IF($D78&lt;&gt;1,"",MAX($J78,ROUNDUP(MAX($L78/$H78,$M78/$I78),0)))</f>
        <v>6</v>
      </c>
      <c r="AC78" s="84" t="n">
        <f aca="false">IF($D78&lt;&gt;1,"",IF(p_mode="Nœud",$AB78*$K78,$L78*IF($G78="IKS",p_iks_cpu,p_roks_cpu)+$M78*IF($G78="IKS",p_iks_ram,p_roks_ram))*p_facteur)</f>
        <v>8832</v>
      </c>
      <c r="AD78" s="14" t="n">
        <f aca="false">IF($D78&lt;&gt;1,"",IF(AND($G78="IKS",$AI78&lt;&gt;1,OR($L78-$P78&lt;$N78,$M78-$Q78&lt;$O78)),1,0))</f>
        <v>0</v>
      </c>
      <c r="AE78" s="14" t="n">
        <f aca="false">IF($D78&lt;&gt;1,"",IF(AND($G78="ROKS",$T78&gt;p_maxworkers),1,0))</f>
        <v>0</v>
      </c>
      <c r="AF78" s="14" t="str">
        <f aca="false">IF($D78&lt;&gt;1,"",IF(INDEX(TblClusters[Environnement],$B78)="","(vide)",INDEX(TblClusters[Environnement],$B78)))</f>
        <v>PRD</v>
      </c>
      <c r="AG78" s="14" t="n">
        <f aca="false">IF($D78&lt;&gt;1,"",$R78+p_poidsram*$S78)</f>
        <v>288</v>
      </c>
      <c r="AH78" s="14" t="n">
        <f aca="false">IF($D78&lt;&gt;1,"",IFERROR($W78/$AG78,0))</f>
        <v>30.6666666666667</v>
      </c>
      <c r="AI78" s="14" t="n">
        <f aca="false">IF($D78&lt;&gt;1,"",IF(AND($G78="IKS",ISNUMBER(INDEX(TblClusters[Fermeture retenue],$B78))),IF($E78&gt;=INDEX(TblClusters[Fermeture retenue],$B78),1,0),0))</f>
        <v>0</v>
      </c>
    </row>
    <row r="79" customFormat="false" ht="15" hidden="false" customHeight="false" outlineLevel="0" collapsed="false">
      <c r="A79" s="14" t="n">
        <v>74</v>
      </c>
      <c r="B79" s="14" t="n">
        <f aca="false">INT(($A79-1)/36)+1</f>
        <v>3</v>
      </c>
      <c r="C79" s="14" t="n">
        <f aca="false">MOD($A79-1,36)+1</f>
        <v>2</v>
      </c>
      <c r="D79" s="14" t="n">
        <f aca="false">IF($C79&gt;p_horizon,0,IFERROR(IF(AND(INDEX(TblClusters[Cluster],$B79)&lt;&gt;"",ISNUMBER(INDEX(TblClusters[CPU initial (vCPU)],$B79)),ISNUMBER(INDEX(TblClusters[CPU min (vCPU)],$B79)),OR(INDEX(TblClusters[Plateforme],$B79)="IKS",INDEX(TblClusters[Plateforme],$B79)="ROKS")),1,0),0))</f>
        <v>1</v>
      </c>
      <c r="E79" s="83" t="n">
        <f aca="false">IF($D79=1,EDATE(p_debut,$C79-1),"")</f>
        <v>46327</v>
      </c>
      <c r="F79" s="14" t="str">
        <f aca="false">IF($D79=1,INDEX(TblClusters[Cluster],$B79),"")</f>
        <v>ROKS-PRD-01</v>
      </c>
      <c r="G79" s="14" t="str">
        <f aca="false">IF($D79=1,INDEX(TblClusters[Plateforme],$B79),"")</f>
        <v>ROKS</v>
      </c>
      <c r="H79" s="14" t="n">
        <f aca="false">IF($D79=1,INDEX(TblClusters[vCPU par nœud],$B79),"")</f>
        <v>32</v>
      </c>
      <c r="I79" s="14" t="n">
        <f aca="false">IF($D79=1,INDEX(TblClusters[RAM par nœud (Go)],$B79),"")</f>
        <v>160</v>
      </c>
      <c r="J79" s="14" t="n">
        <f aca="false">IF($D79=1,INDEX(TblClusters[Workers min],$B79),"")</f>
        <v>6</v>
      </c>
      <c r="K79" s="84" t="n">
        <f aca="false">IF($D79=1,INDEX(TblClusters[Tarif par nœud],$B79),"")</f>
        <v>1472</v>
      </c>
      <c r="L79" s="14" t="n">
        <f aca="false">IF($D79=1,INDEX(TblClusters[CPU initial (vCPU)],$B79),"")</f>
        <v>192</v>
      </c>
      <c r="M79" s="14" t="n">
        <f aca="false">IF($D79=1,INDEX(TblClusters[RAM initiale (Go)],$B79),"")</f>
        <v>960</v>
      </c>
      <c r="N79" s="14" t="n">
        <f aca="false">IF($D79=1,INDEX(TblClusters[CPU min (vCPU)],$B79),"")</f>
        <v>192</v>
      </c>
      <c r="O79" s="14" t="n">
        <f aca="false">IF($D79=1,INDEX(TblClusters[RAM min (Go)],$B79),"")</f>
        <v>960</v>
      </c>
      <c r="P79" s="14" t="n">
        <f aca="false">IF($D79&lt;&gt;1,"",IF($G79="ROKS",SUMIFS(TblApplications[Besoin ROKS CPU (vCPU)],TblApplications[Cluster ROKS cible],$F79,TblApplications[Action],"À migrer",TblApplications[Déjà incluse ROKS],"Non",TblApplications[Mois prov (calc)],"&lt;="&amp;$E79),SUMIFS(TblApplications[CPU IKS libérable (vCPU)],TblApplications[Cluster IKS source],$F79,TblApplications[Mois lib (calc)],"&lt;="&amp;$E79)))</f>
        <v>0</v>
      </c>
      <c r="Q79" s="14" t="n">
        <f aca="false">IF($D79&lt;&gt;1,"",IF($G79="ROKS",SUMIFS(TblApplications[Besoin ROKS RAM (Go)],TblApplications[Cluster ROKS cible],$F79,TblApplications[Action],"À migrer",TblApplications[Déjà incluse ROKS],"Non",TblApplications[Mois prov (calc)],"&lt;="&amp;$E79),SUMIFS(TblApplications[RAM IKS libérable (Go)],TblApplications[Cluster IKS source],$F79,TblApplications[Mois lib (calc)],"&lt;="&amp;$E79)))</f>
        <v>0</v>
      </c>
      <c r="R79" s="14" t="n">
        <f aca="false">IF($D79&lt;&gt;1,"",IF($G79="ROKS",$L79+$P79,IF($AI79=1,0,MAX($N79,$L79-$P79))))</f>
        <v>192</v>
      </c>
      <c r="S79" s="14" t="n">
        <f aca="false">IF($D79&lt;&gt;1,"",IF($G79="ROKS",$M79+$Q79,IF($AI79=1,0,MAX($O79,$M79-$Q79))))</f>
        <v>960</v>
      </c>
      <c r="T79" s="14" t="n">
        <f aca="false">IF($D79&lt;&gt;1,"",IF($AI79=1,0,MAX($J79,ROUNDUP(MAX($R79/$H79,$S79/$I79),0))))</f>
        <v>6</v>
      </c>
      <c r="U79" s="14" t="n">
        <f aca="false">IF($D79&lt;&gt;1,"",IF(p_mode="Nœud",$T79*$H79,$R79))</f>
        <v>192</v>
      </c>
      <c r="V79" s="14" t="n">
        <f aca="false">IF($D79&lt;&gt;1,"",IF(p_mode="Nœud",$T79*$I79,$S79))</f>
        <v>960</v>
      </c>
      <c r="W79" s="84" t="n">
        <f aca="false">IF($D79&lt;&gt;1,"",IF(p_mode="Nœud",$T79*$K79,$R79*IF($G79="IKS",p_iks_cpu,p_roks_cpu)+$S79*IF($G79="IKS",p_iks_ram,p_roks_ram))*p_facteur)</f>
        <v>8832</v>
      </c>
      <c r="X79" s="14" t="n">
        <f aca="false">IF($D79&lt;&gt;1,"",IF($G79="ROKS",$R79,IF($AI79=1,0,MAX($N79,$L79-SUMIFS(TblApplications[CPU IKS libérable (vCPU)],TblApplications[Cluster IKS source],$F79,TblApplications[Action],"À migrer",TblApplications[Mois prov (calc)],"&lt;="&amp;$E79)-SUMIFS(TblApplications[CPU IKS libérable (vCPU)],TblApplications[Cluster IKS source],$F79,TblApplications[Action],"À décommissionner",TblApplications[Mois lib (calc)],"&lt;="&amp;$E79)))))</f>
        <v>192</v>
      </c>
      <c r="Y79" s="14" t="n">
        <f aca="false">IF($D79&lt;&gt;1,"",IF($G79="ROKS",$S79,IF($AI79=1,0,MAX($O79,$M79-SUMIFS(TblApplications[RAM IKS libérable (Go)],TblApplications[Cluster IKS source],$F79,TblApplications[Action],"À migrer",TblApplications[Mois prov (calc)],"&lt;="&amp;$E79)-SUMIFS(TblApplications[RAM IKS libérable (Go)],TblApplications[Cluster IKS source],$F79,TblApplications[Action],"À décommissionner",TblApplications[Mois lib (calc)],"&lt;="&amp;$E79)))))</f>
        <v>960</v>
      </c>
      <c r="Z79" s="14" t="n">
        <f aca="false">IF($D79&lt;&gt;1,"",IF($AI79=1,0,MAX($J79,ROUNDUP(MAX($X79/$H79,$Y79/$I79),0))))</f>
        <v>6</v>
      </c>
      <c r="AA79" s="84" t="n">
        <f aca="false">IF($D79&lt;&gt;1,"",IF(p_mode="Nœud",$Z79*$K79,$X79*IF($G79="IKS",p_iks_cpu,p_roks_cpu)+$Y79*IF($G79="IKS",p_iks_ram,p_roks_ram))*p_facteur)</f>
        <v>8832</v>
      </c>
      <c r="AB79" s="14" t="n">
        <f aca="false">IF($D79&lt;&gt;1,"",MAX($J79,ROUNDUP(MAX($L79/$H79,$M79/$I79),0)))</f>
        <v>6</v>
      </c>
      <c r="AC79" s="84" t="n">
        <f aca="false">IF($D79&lt;&gt;1,"",IF(p_mode="Nœud",$AB79*$K79,$L79*IF($G79="IKS",p_iks_cpu,p_roks_cpu)+$M79*IF($G79="IKS",p_iks_ram,p_roks_ram))*p_facteur)</f>
        <v>8832</v>
      </c>
      <c r="AD79" s="14" t="n">
        <f aca="false">IF($D79&lt;&gt;1,"",IF(AND($G79="IKS",$AI79&lt;&gt;1,OR($L79-$P79&lt;$N79,$M79-$Q79&lt;$O79)),1,0))</f>
        <v>0</v>
      </c>
      <c r="AE79" s="14" t="n">
        <f aca="false">IF($D79&lt;&gt;1,"",IF(AND($G79="ROKS",$T79&gt;p_maxworkers),1,0))</f>
        <v>0</v>
      </c>
      <c r="AF79" s="14" t="str">
        <f aca="false">IF($D79&lt;&gt;1,"",IF(INDEX(TblClusters[Environnement],$B79)="","(vide)",INDEX(TblClusters[Environnement],$B79)))</f>
        <v>PRD</v>
      </c>
      <c r="AG79" s="14" t="n">
        <f aca="false">IF($D79&lt;&gt;1,"",$R79+p_poidsram*$S79)</f>
        <v>288</v>
      </c>
      <c r="AH79" s="14" t="n">
        <f aca="false">IF($D79&lt;&gt;1,"",IFERROR($W79/$AG79,0))</f>
        <v>30.6666666666667</v>
      </c>
      <c r="AI79" s="14" t="n">
        <f aca="false">IF($D79&lt;&gt;1,"",IF(AND($G79="IKS",ISNUMBER(INDEX(TblClusters[Fermeture retenue],$B79))),IF($E79&gt;=INDEX(TblClusters[Fermeture retenue],$B79),1,0),0))</f>
        <v>0</v>
      </c>
    </row>
    <row r="80" customFormat="false" ht="15" hidden="false" customHeight="false" outlineLevel="0" collapsed="false">
      <c r="A80" s="14" t="n">
        <v>75</v>
      </c>
      <c r="B80" s="14" t="n">
        <f aca="false">INT(($A80-1)/36)+1</f>
        <v>3</v>
      </c>
      <c r="C80" s="14" t="n">
        <f aca="false">MOD($A80-1,36)+1</f>
        <v>3</v>
      </c>
      <c r="D80" s="14" t="n">
        <f aca="false">IF($C80&gt;p_horizon,0,IFERROR(IF(AND(INDEX(TblClusters[Cluster],$B80)&lt;&gt;"",ISNUMBER(INDEX(TblClusters[CPU initial (vCPU)],$B80)),ISNUMBER(INDEX(TblClusters[CPU min (vCPU)],$B80)),OR(INDEX(TblClusters[Plateforme],$B80)="IKS",INDEX(TblClusters[Plateforme],$B80)="ROKS")),1,0),0))</f>
        <v>1</v>
      </c>
      <c r="E80" s="83" t="n">
        <f aca="false">IF($D80=1,EDATE(p_debut,$C80-1),"")</f>
        <v>46357</v>
      </c>
      <c r="F80" s="14" t="str">
        <f aca="false">IF($D80=1,INDEX(TblClusters[Cluster],$B80),"")</f>
        <v>ROKS-PRD-01</v>
      </c>
      <c r="G80" s="14" t="str">
        <f aca="false">IF($D80=1,INDEX(TblClusters[Plateforme],$B80),"")</f>
        <v>ROKS</v>
      </c>
      <c r="H80" s="14" t="n">
        <f aca="false">IF($D80=1,INDEX(TblClusters[vCPU par nœud],$B80),"")</f>
        <v>32</v>
      </c>
      <c r="I80" s="14" t="n">
        <f aca="false">IF($D80=1,INDEX(TblClusters[RAM par nœud (Go)],$B80),"")</f>
        <v>160</v>
      </c>
      <c r="J80" s="14" t="n">
        <f aca="false">IF($D80=1,INDEX(TblClusters[Workers min],$B80),"")</f>
        <v>6</v>
      </c>
      <c r="K80" s="84" t="n">
        <f aca="false">IF($D80=1,INDEX(TblClusters[Tarif par nœud],$B80),"")</f>
        <v>1472</v>
      </c>
      <c r="L80" s="14" t="n">
        <f aca="false">IF($D80=1,INDEX(TblClusters[CPU initial (vCPU)],$B80),"")</f>
        <v>192</v>
      </c>
      <c r="M80" s="14" t="n">
        <f aca="false">IF($D80=1,INDEX(TblClusters[RAM initiale (Go)],$B80),"")</f>
        <v>960</v>
      </c>
      <c r="N80" s="14" t="n">
        <f aca="false">IF($D80=1,INDEX(TblClusters[CPU min (vCPU)],$B80),"")</f>
        <v>192</v>
      </c>
      <c r="O80" s="14" t="n">
        <f aca="false">IF($D80=1,INDEX(TblClusters[RAM min (Go)],$B80),"")</f>
        <v>960</v>
      </c>
      <c r="P80" s="14" t="n">
        <f aca="false">IF($D80&lt;&gt;1,"",IF($G80="ROKS",SUMIFS(TblApplications[Besoin ROKS CPU (vCPU)],TblApplications[Cluster ROKS cible],$F80,TblApplications[Action],"À migrer",TblApplications[Déjà incluse ROKS],"Non",TblApplications[Mois prov (calc)],"&lt;="&amp;$E80),SUMIFS(TblApplications[CPU IKS libérable (vCPU)],TblApplications[Cluster IKS source],$F80,TblApplications[Mois lib (calc)],"&lt;="&amp;$E80)))</f>
        <v>0</v>
      </c>
      <c r="Q80" s="14" t="n">
        <f aca="false">IF($D80&lt;&gt;1,"",IF($G80="ROKS",SUMIFS(TblApplications[Besoin ROKS RAM (Go)],TblApplications[Cluster ROKS cible],$F80,TblApplications[Action],"À migrer",TblApplications[Déjà incluse ROKS],"Non",TblApplications[Mois prov (calc)],"&lt;="&amp;$E80),SUMIFS(TblApplications[RAM IKS libérable (Go)],TblApplications[Cluster IKS source],$F80,TblApplications[Mois lib (calc)],"&lt;="&amp;$E80)))</f>
        <v>0</v>
      </c>
      <c r="R80" s="14" t="n">
        <f aca="false">IF($D80&lt;&gt;1,"",IF($G80="ROKS",$L80+$P80,IF($AI80=1,0,MAX($N80,$L80-$P80))))</f>
        <v>192</v>
      </c>
      <c r="S80" s="14" t="n">
        <f aca="false">IF($D80&lt;&gt;1,"",IF($G80="ROKS",$M80+$Q80,IF($AI80=1,0,MAX($O80,$M80-$Q80))))</f>
        <v>960</v>
      </c>
      <c r="T80" s="14" t="n">
        <f aca="false">IF($D80&lt;&gt;1,"",IF($AI80=1,0,MAX($J80,ROUNDUP(MAX($R80/$H80,$S80/$I80),0))))</f>
        <v>6</v>
      </c>
      <c r="U80" s="14" t="n">
        <f aca="false">IF($D80&lt;&gt;1,"",IF(p_mode="Nœud",$T80*$H80,$R80))</f>
        <v>192</v>
      </c>
      <c r="V80" s="14" t="n">
        <f aca="false">IF($D80&lt;&gt;1,"",IF(p_mode="Nœud",$T80*$I80,$S80))</f>
        <v>960</v>
      </c>
      <c r="W80" s="84" t="n">
        <f aca="false">IF($D80&lt;&gt;1,"",IF(p_mode="Nœud",$T80*$K80,$R80*IF($G80="IKS",p_iks_cpu,p_roks_cpu)+$S80*IF($G80="IKS",p_iks_ram,p_roks_ram))*p_facteur)</f>
        <v>8832</v>
      </c>
      <c r="X80" s="14" t="n">
        <f aca="false">IF($D80&lt;&gt;1,"",IF($G80="ROKS",$R80,IF($AI80=1,0,MAX($N80,$L80-SUMIFS(TblApplications[CPU IKS libérable (vCPU)],TblApplications[Cluster IKS source],$F80,TblApplications[Action],"À migrer",TblApplications[Mois prov (calc)],"&lt;="&amp;$E80)-SUMIFS(TblApplications[CPU IKS libérable (vCPU)],TblApplications[Cluster IKS source],$F80,TblApplications[Action],"À décommissionner",TblApplications[Mois lib (calc)],"&lt;="&amp;$E80)))))</f>
        <v>192</v>
      </c>
      <c r="Y80" s="14" t="n">
        <f aca="false">IF($D80&lt;&gt;1,"",IF($G80="ROKS",$S80,IF($AI80=1,0,MAX($O80,$M80-SUMIFS(TblApplications[RAM IKS libérable (Go)],TblApplications[Cluster IKS source],$F80,TblApplications[Action],"À migrer",TblApplications[Mois prov (calc)],"&lt;="&amp;$E80)-SUMIFS(TblApplications[RAM IKS libérable (Go)],TblApplications[Cluster IKS source],$F80,TblApplications[Action],"À décommissionner",TblApplications[Mois lib (calc)],"&lt;="&amp;$E80)))))</f>
        <v>960</v>
      </c>
      <c r="Z80" s="14" t="n">
        <f aca="false">IF($D80&lt;&gt;1,"",IF($AI80=1,0,MAX($J80,ROUNDUP(MAX($X80/$H80,$Y80/$I80),0))))</f>
        <v>6</v>
      </c>
      <c r="AA80" s="84" t="n">
        <f aca="false">IF($D80&lt;&gt;1,"",IF(p_mode="Nœud",$Z80*$K80,$X80*IF($G80="IKS",p_iks_cpu,p_roks_cpu)+$Y80*IF($G80="IKS",p_iks_ram,p_roks_ram))*p_facteur)</f>
        <v>8832</v>
      </c>
      <c r="AB80" s="14" t="n">
        <f aca="false">IF($D80&lt;&gt;1,"",MAX($J80,ROUNDUP(MAX($L80/$H80,$M80/$I80),0)))</f>
        <v>6</v>
      </c>
      <c r="AC80" s="84" t="n">
        <f aca="false">IF($D80&lt;&gt;1,"",IF(p_mode="Nœud",$AB80*$K80,$L80*IF($G80="IKS",p_iks_cpu,p_roks_cpu)+$M80*IF($G80="IKS",p_iks_ram,p_roks_ram))*p_facteur)</f>
        <v>8832</v>
      </c>
      <c r="AD80" s="14" t="n">
        <f aca="false">IF($D80&lt;&gt;1,"",IF(AND($G80="IKS",$AI80&lt;&gt;1,OR($L80-$P80&lt;$N80,$M80-$Q80&lt;$O80)),1,0))</f>
        <v>0</v>
      </c>
      <c r="AE80" s="14" t="n">
        <f aca="false">IF($D80&lt;&gt;1,"",IF(AND($G80="ROKS",$T80&gt;p_maxworkers),1,0))</f>
        <v>0</v>
      </c>
      <c r="AF80" s="14" t="str">
        <f aca="false">IF($D80&lt;&gt;1,"",IF(INDEX(TblClusters[Environnement],$B80)="","(vide)",INDEX(TblClusters[Environnement],$B80)))</f>
        <v>PRD</v>
      </c>
      <c r="AG80" s="14" t="n">
        <f aca="false">IF($D80&lt;&gt;1,"",$R80+p_poidsram*$S80)</f>
        <v>288</v>
      </c>
      <c r="AH80" s="14" t="n">
        <f aca="false">IF($D80&lt;&gt;1,"",IFERROR($W80/$AG80,0))</f>
        <v>30.6666666666667</v>
      </c>
      <c r="AI80" s="14" t="n">
        <f aca="false">IF($D80&lt;&gt;1,"",IF(AND($G80="IKS",ISNUMBER(INDEX(TblClusters[Fermeture retenue],$B80))),IF($E80&gt;=INDEX(TblClusters[Fermeture retenue],$B80),1,0),0))</f>
        <v>0</v>
      </c>
    </row>
    <row r="81" customFormat="false" ht="15" hidden="false" customHeight="false" outlineLevel="0" collapsed="false">
      <c r="A81" s="14" t="n">
        <v>76</v>
      </c>
      <c r="B81" s="14" t="n">
        <f aca="false">INT(($A81-1)/36)+1</f>
        <v>3</v>
      </c>
      <c r="C81" s="14" t="n">
        <f aca="false">MOD($A81-1,36)+1</f>
        <v>4</v>
      </c>
      <c r="D81" s="14" t="n">
        <f aca="false">IF($C81&gt;p_horizon,0,IFERROR(IF(AND(INDEX(TblClusters[Cluster],$B81)&lt;&gt;"",ISNUMBER(INDEX(TblClusters[CPU initial (vCPU)],$B81)),ISNUMBER(INDEX(TblClusters[CPU min (vCPU)],$B81)),OR(INDEX(TblClusters[Plateforme],$B81)="IKS",INDEX(TblClusters[Plateforme],$B81)="ROKS")),1,0),0))</f>
        <v>1</v>
      </c>
      <c r="E81" s="83" t="n">
        <f aca="false">IF($D81=1,EDATE(p_debut,$C81-1),"")</f>
        <v>46388</v>
      </c>
      <c r="F81" s="14" t="str">
        <f aca="false">IF($D81=1,INDEX(TblClusters[Cluster],$B81),"")</f>
        <v>ROKS-PRD-01</v>
      </c>
      <c r="G81" s="14" t="str">
        <f aca="false">IF($D81=1,INDEX(TblClusters[Plateforme],$B81),"")</f>
        <v>ROKS</v>
      </c>
      <c r="H81" s="14" t="n">
        <f aca="false">IF($D81=1,INDEX(TblClusters[vCPU par nœud],$B81),"")</f>
        <v>32</v>
      </c>
      <c r="I81" s="14" t="n">
        <f aca="false">IF($D81=1,INDEX(TblClusters[RAM par nœud (Go)],$B81),"")</f>
        <v>160</v>
      </c>
      <c r="J81" s="14" t="n">
        <f aca="false">IF($D81=1,INDEX(TblClusters[Workers min],$B81),"")</f>
        <v>6</v>
      </c>
      <c r="K81" s="84" t="n">
        <f aca="false">IF($D81=1,INDEX(TblClusters[Tarif par nœud],$B81),"")</f>
        <v>1472</v>
      </c>
      <c r="L81" s="14" t="n">
        <f aca="false">IF($D81=1,INDEX(TblClusters[CPU initial (vCPU)],$B81),"")</f>
        <v>192</v>
      </c>
      <c r="M81" s="14" t="n">
        <f aca="false">IF($D81=1,INDEX(TblClusters[RAM initiale (Go)],$B81),"")</f>
        <v>960</v>
      </c>
      <c r="N81" s="14" t="n">
        <f aca="false">IF($D81=1,INDEX(TblClusters[CPU min (vCPU)],$B81),"")</f>
        <v>192</v>
      </c>
      <c r="O81" s="14" t="n">
        <f aca="false">IF($D81=1,INDEX(TblClusters[RAM min (Go)],$B81),"")</f>
        <v>960</v>
      </c>
      <c r="P81" s="14" t="n">
        <f aca="false">IF($D81&lt;&gt;1,"",IF($G81="ROKS",SUMIFS(TblApplications[Besoin ROKS CPU (vCPU)],TblApplications[Cluster ROKS cible],$F81,TblApplications[Action],"À migrer",TblApplications[Déjà incluse ROKS],"Non",TblApplications[Mois prov (calc)],"&lt;="&amp;$E81),SUMIFS(TblApplications[CPU IKS libérable (vCPU)],TblApplications[Cluster IKS source],$F81,TblApplications[Mois lib (calc)],"&lt;="&amp;$E81)))</f>
        <v>0</v>
      </c>
      <c r="Q81" s="14" t="n">
        <f aca="false">IF($D81&lt;&gt;1,"",IF($G81="ROKS",SUMIFS(TblApplications[Besoin ROKS RAM (Go)],TblApplications[Cluster ROKS cible],$F81,TblApplications[Action],"À migrer",TblApplications[Déjà incluse ROKS],"Non",TblApplications[Mois prov (calc)],"&lt;="&amp;$E81),SUMIFS(TblApplications[RAM IKS libérable (Go)],TblApplications[Cluster IKS source],$F81,TblApplications[Mois lib (calc)],"&lt;="&amp;$E81)))</f>
        <v>0</v>
      </c>
      <c r="R81" s="14" t="n">
        <f aca="false">IF($D81&lt;&gt;1,"",IF($G81="ROKS",$L81+$P81,IF($AI81=1,0,MAX($N81,$L81-$P81))))</f>
        <v>192</v>
      </c>
      <c r="S81" s="14" t="n">
        <f aca="false">IF($D81&lt;&gt;1,"",IF($G81="ROKS",$M81+$Q81,IF($AI81=1,0,MAX($O81,$M81-$Q81))))</f>
        <v>960</v>
      </c>
      <c r="T81" s="14" t="n">
        <f aca="false">IF($D81&lt;&gt;1,"",IF($AI81=1,0,MAX($J81,ROUNDUP(MAX($R81/$H81,$S81/$I81),0))))</f>
        <v>6</v>
      </c>
      <c r="U81" s="14" t="n">
        <f aca="false">IF($D81&lt;&gt;1,"",IF(p_mode="Nœud",$T81*$H81,$R81))</f>
        <v>192</v>
      </c>
      <c r="V81" s="14" t="n">
        <f aca="false">IF($D81&lt;&gt;1,"",IF(p_mode="Nœud",$T81*$I81,$S81))</f>
        <v>960</v>
      </c>
      <c r="W81" s="84" t="n">
        <f aca="false">IF($D81&lt;&gt;1,"",IF(p_mode="Nœud",$T81*$K81,$R81*IF($G81="IKS",p_iks_cpu,p_roks_cpu)+$S81*IF($G81="IKS",p_iks_ram,p_roks_ram))*p_facteur)</f>
        <v>8832</v>
      </c>
      <c r="X81" s="14" t="n">
        <f aca="false">IF($D81&lt;&gt;1,"",IF($G81="ROKS",$R81,IF($AI81=1,0,MAX($N81,$L81-SUMIFS(TblApplications[CPU IKS libérable (vCPU)],TblApplications[Cluster IKS source],$F81,TblApplications[Action],"À migrer",TblApplications[Mois prov (calc)],"&lt;="&amp;$E81)-SUMIFS(TblApplications[CPU IKS libérable (vCPU)],TblApplications[Cluster IKS source],$F81,TblApplications[Action],"À décommissionner",TblApplications[Mois lib (calc)],"&lt;="&amp;$E81)))))</f>
        <v>192</v>
      </c>
      <c r="Y81" s="14" t="n">
        <f aca="false">IF($D81&lt;&gt;1,"",IF($G81="ROKS",$S81,IF($AI81=1,0,MAX($O81,$M81-SUMIFS(TblApplications[RAM IKS libérable (Go)],TblApplications[Cluster IKS source],$F81,TblApplications[Action],"À migrer",TblApplications[Mois prov (calc)],"&lt;="&amp;$E81)-SUMIFS(TblApplications[RAM IKS libérable (Go)],TblApplications[Cluster IKS source],$F81,TblApplications[Action],"À décommissionner",TblApplications[Mois lib (calc)],"&lt;="&amp;$E81)))))</f>
        <v>960</v>
      </c>
      <c r="Z81" s="14" t="n">
        <f aca="false">IF($D81&lt;&gt;1,"",IF($AI81=1,0,MAX($J81,ROUNDUP(MAX($X81/$H81,$Y81/$I81),0))))</f>
        <v>6</v>
      </c>
      <c r="AA81" s="84" t="n">
        <f aca="false">IF($D81&lt;&gt;1,"",IF(p_mode="Nœud",$Z81*$K81,$X81*IF($G81="IKS",p_iks_cpu,p_roks_cpu)+$Y81*IF($G81="IKS",p_iks_ram,p_roks_ram))*p_facteur)</f>
        <v>8832</v>
      </c>
      <c r="AB81" s="14" t="n">
        <f aca="false">IF($D81&lt;&gt;1,"",MAX($J81,ROUNDUP(MAX($L81/$H81,$M81/$I81),0)))</f>
        <v>6</v>
      </c>
      <c r="AC81" s="84" t="n">
        <f aca="false">IF($D81&lt;&gt;1,"",IF(p_mode="Nœud",$AB81*$K81,$L81*IF($G81="IKS",p_iks_cpu,p_roks_cpu)+$M81*IF($G81="IKS",p_iks_ram,p_roks_ram))*p_facteur)</f>
        <v>8832</v>
      </c>
      <c r="AD81" s="14" t="n">
        <f aca="false">IF($D81&lt;&gt;1,"",IF(AND($G81="IKS",$AI81&lt;&gt;1,OR($L81-$P81&lt;$N81,$M81-$Q81&lt;$O81)),1,0))</f>
        <v>0</v>
      </c>
      <c r="AE81" s="14" t="n">
        <f aca="false">IF($D81&lt;&gt;1,"",IF(AND($G81="ROKS",$T81&gt;p_maxworkers),1,0))</f>
        <v>0</v>
      </c>
      <c r="AF81" s="14" t="str">
        <f aca="false">IF($D81&lt;&gt;1,"",IF(INDEX(TblClusters[Environnement],$B81)="","(vide)",INDEX(TblClusters[Environnement],$B81)))</f>
        <v>PRD</v>
      </c>
      <c r="AG81" s="14" t="n">
        <f aca="false">IF($D81&lt;&gt;1,"",$R81+p_poidsram*$S81)</f>
        <v>288</v>
      </c>
      <c r="AH81" s="14" t="n">
        <f aca="false">IF($D81&lt;&gt;1,"",IFERROR($W81/$AG81,0))</f>
        <v>30.6666666666667</v>
      </c>
      <c r="AI81" s="14" t="n">
        <f aca="false">IF($D81&lt;&gt;1,"",IF(AND($G81="IKS",ISNUMBER(INDEX(TblClusters[Fermeture retenue],$B81))),IF($E81&gt;=INDEX(TblClusters[Fermeture retenue],$B81),1,0),0))</f>
        <v>0</v>
      </c>
    </row>
    <row r="82" customFormat="false" ht="15" hidden="false" customHeight="false" outlineLevel="0" collapsed="false">
      <c r="A82" s="14" t="n">
        <v>77</v>
      </c>
      <c r="B82" s="14" t="n">
        <f aca="false">INT(($A82-1)/36)+1</f>
        <v>3</v>
      </c>
      <c r="C82" s="14" t="n">
        <f aca="false">MOD($A82-1,36)+1</f>
        <v>5</v>
      </c>
      <c r="D82" s="14" t="n">
        <f aca="false">IF($C82&gt;p_horizon,0,IFERROR(IF(AND(INDEX(TblClusters[Cluster],$B82)&lt;&gt;"",ISNUMBER(INDEX(TblClusters[CPU initial (vCPU)],$B82)),ISNUMBER(INDEX(TblClusters[CPU min (vCPU)],$B82)),OR(INDEX(TblClusters[Plateforme],$B82)="IKS",INDEX(TblClusters[Plateforme],$B82)="ROKS")),1,0),0))</f>
        <v>1</v>
      </c>
      <c r="E82" s="83" t="n">
        <f aca="false">IF($D82=1,EDATE(p_debut,$C82-1),"")</f>
        <v>46419</v>
      </c>
      <c r="F82" s="14" t="str">
        <f aca="false">IF($D82=1,INDEX(TblClusters[Cluster],$B82),"")</f>
        <v>ROKS-PRD-01</v>
      </c>
      <c r="G82" s="14" t="str">
        <f aca="false">IF($D82=1,INDEX(TblClusters[Plateforme],$B82),"")</f>
        <v>ROKS</v>
      </c>
      <c r="H82" s="14" t="n">
        <f aca="false">IF($D82=1,INDEX(TblClusters[vCPU par nœud],$B82),"")</f>
        <v>32</v>
      </c>
      <c r="I82" s="14" t="n">
        <f aca="false">IF($D82=1,INDEX(TblClusters[RAM par nœud (Go)],$B82),"")</f>
        <v>160</v>
      </c>
      <c r="J82" s="14" t="n">
        <f aca="false">IF($D82=1,INDEX(TblClusters[Workers min],$B82),"")</f>
        <v>6</v>
      </c>
      <c r="K82" s="84" t="n">
        <f aca="false">IF($D82=1,INDEX(TblClusters[Tarif par nœud],$B82),"")</f>
        <v>1472</v>
      </c>
      <c r="L82" s="14" t="n">
        <f aca="false">IF($D82=1,INDEX(TblClusters[CPU initial (vCPU)],$B82),"")</f>
        <v>192</v>
      </c>
      <c r="M82" s="14" t="n">
        <f aca="false">IF($D82=1,INDEX(TblClusters[RAM initiale (Go)],$B82),"")</f>
        <v>960</v>
      </c>
      <c r="N82" s="14" t="n">
        <f aca="false">IF($D82=1,INDEX(TblClusters[CPU min (vCPU)],$B82),"")</f>
        <v>192</v>
      </c>
      <c r="O82" s="14" t="n">
        <f aca="false">IF($D82=1,INDEX(TblClusters[RAM min (Go)],$B82),"")</f>
        <v>960</v>
      </c>
      <c r="P82" s="14" t="n">
        <f aca="false">IF($D82&lt;&gt;1,"",IF($G82="ROKS",SUMIFS(TblApplications[Besoin ROKS CPU (vCPU)],TblApplications[Cluster ROKS cible],$F82,TblApplications[Action],"À migrer",TblApplications[Déjà incluse ROKS],"Non",TblApplications[Mois prov (calc)],"&lt;="&amp;$E82),SUMIFS(TblApplications[CPU IKS libérable (vCPU)],TblApplications[Cluster IKS source],$F82,TblApplications[Mois lib (calc)],"&lt;="&amp;$E82)))</f>
        <v>0</v>
      </c>
      <c r="Q82" s="14" t="n">
        <f aca="false">IF($D82&lt;&gt;1,"",IF($G82="ROKS",SUMIFS(TblApplications[Besoin ROKS RAM (Go)],TblApplications[Cluster ROKS cible],$F82,TblApplications[Action],"À migrer",TblApplications[Déjà incluse ROKS],"Non",TblApplications[Mois prov (calc)],"&lt;="&amp;$E82),SUMIFS(TblApplications[RAM IKS libérable (Go)],TblApplications[Cluster IKS source],$F82,TblApplications[Mois lib (calc)],"&lt;="&amp;$E82)))</f>
        <v>0</v>
      </c>
      <c r="R82" s="14" t="n">
        <f aca="false">IF($D82&lt;&gt;1,"",IF($G82="ROKS",$L82+$P82,IF($AI82=1,0,MAX($N82,$L82-$P82))))</f>
        <v>192</v>
      </c>
      <c r="S82" s="14" t="n">
        <f aca="false">IF($D82&lt;&gt;1,"",IF($G82="ROKS",$M82+$Q82,IF($AI82=1,0,MAX($O82,$M82-$Q82))))</f>
        <v>960</v>
      </c>
      <c r="T82" s="14" t="n">
        <f aca="false">IF($D82&lt;&gt;1,"",IF($AI82=1,0,MAX($J82,ROUNDUP(MAX($R82/$H82,$S82/$I82),0))))</f>
        <v>6</v>
      </c>
      <c r="U82" s="14" t="n">
        <f aca="false">IF($D82&lt;&gt;1,"",IF(p_mode="Nœud",$T82*$H82,$R82))</f>
        <v>192</v>
      </c>
      <c r="V82" s="14" t="n">
        <f aca="false">IF($D82&lt;&gt;1,"",IF(p_mode="Nœud",$T82*$I82,$S82))</f>
        <v>960</v>
      </c>
      <c r="W82" s="84" t="n">
        <f aca="false">IF($D82&lt;&gt;1,"",IF(p_mode="Nœud",$T82*$K82,$R82*IF($G82="IKS",p_iks_cpu,p_roks_cpu)+$S82*IF($G82="IKS",p_iks_ram,p_roks_ram))*p_facteur)</f>
        <v>8832</v>
      </c>
      <c r="X82" s="14" t="n">
        <f aca="false">IF($D82&lt;&gt;1,"",IF($G82="ROKS",$R82,IF($AI82=1,0,MAX($N82,$L82-SUMIFS(TblApplications[CPU IKS libérable (vCPU)],TblApplications[Cluster IKS source],$F82,TblApplications[Action],"À migrer",TblApplications[Mois prov (calc)],"&lt;="&amp;$E82)-SUMIFS(TblApplications[CPU IKS libérable (vCPU)],TblApplications[Cluster IKS source],$F82,TblApplications[Action],"À décommissionner",TblApplications[Mois lib (calc)],"&lt;="&amp;$E82)))))</f>
        <v>192</v>
      </c>
      <c r="Y82" s="14" t="n">
        <f aca="false">IF($D82&lt;&gt;1,"",IF($G82="ROKS",$S82,IF($AI82=1,0,MAX($O82,$M82-SUMIFS(TblApplications[RAM IKS libérable (Go)],TblApplications[Cluster IKS source],$F82,TblApplications[Action],"À migrer",TblApplications[Mois prov (calc)],"&lt;="&amp;$E82)-SUMIFS(TblApplications[RAM IKS libérable (Go)],TblApplications[Cluster IKS source],$F82,TblApplications[Action],"À décommissionner",TblApplications[Mois lib (calc)],"&lt;="&amp;$E82)))))</f>
        <v>960</v>
      </c>
      <c r="Z82" s="14" t="n">
        <f aca="false">IF($D82&lt;&gt;1,"",IF($AI82=1,0,MAX($J82,ROUNDUP(MAX($X82/$H82,$Y82/$I82),0))))</f>
        <v>6</v>
      </c>
      <c r="AA82" s="84" t="n">
        <f aca="false">IF($D82&lt;&gt;1,"",IF(p_mode="Nœud",$Z82*$K82,$X82*IF($G82="IKS",p_iks_cpu,p_roks_cpu)+$Y82*IF($G82="IKS",p_iks_ram,p_roks_ram))*p_facteur)</f>
        <v>8832</v>
      </c>
      <c r="AB82" s="14" t="n">
        <f aca="false">IF($D82&lt;&gt;1,"",MAX($J82,ROUNDUP(MAX($L82/$H82,$M82/$I82),0)))</f>
        <v>6</v>
      </c>
      <c r="AC82" s="84" t="n">
        <f aca="false">IF($D82&lt;&gt;1,"",IF(p_mode="Nœud",$AB82*$K82,$L82*IF($G82="IKS",p_iks_cpu,p_roks_cpu)+$M82*IF($G82="IKS",p_iks_ram,p_roks_ram))*p_facteur)</f>
        <v>8832</v>
      </c>
      <c r="AD82" s="14" t="n">
        <f aca="false">IF($D82&lt;&gt;1,"",IF(AND($G82="IKS",$AI82&lt;&gt;1,OR($L82-$P82&lt;$N82,$M82-$Q82&lt;$O82)),1,0))</f>
        <v>0</v>
      </c>
      <c r="AE82" s="14" t="n">
        <f aca="false">IF($D82&lt;&gt;1,"",IF(AND($G82="ROKS",$T82&gt;p_maxworkers),1,0))</f>
        <v>0</v>
      </c>
      <c r="AF82" s="14" t="str">
        <f aca="false">IF($D82&lt;&gt;1,"",IF(INDEX(TblClusters[Environnement],$B82)="","(vide)",INDEX(TblClusters[Environnement],$B82)))</f>
        <v>PRD</v>
      </c>
      <c r="AG82" s="14" t="n">
        <f aca="false">IF($D82&lt;&gt;1,"",$R82+p_poidsram*$S82)</f>
        <v>288</v>
      </c>
      <c r="AH82" s="14" t="n">
        <f aca="false">IF($D82&lt;&gt;1,"",IFERROR($W82/$AG82,0))</f>
        <v>30.6666666666667</v>
      </c>
      <c r="AI82" s="14" t="n">
        <f aca="false">IF($D82&lt;&gt;1,"",IF(AND($G82="IKS",ISNUMBER(INDEX(TblClusters[Fermeture retenue],$B82))),IF($E82&gt;=INDEX(TblClusters[Fermeture retenue],$B82),1,0),0))</f>
        <v>0</v>
      </c>
    </row>
    <row r="83" customFormat="false" ht="15" hidden="false" customHeight="false" outlineLevel="0" collapsed="false">
      <c r="A83" s="14" t="n">
        <v>78</v>
      </c>
      <c r="B83" s="14" t="n">
        <f aca="false">INT(($A83-1)/36)+1</f>
        <v>3</v>
      </c>
      <c r="C83" s="14" t="n">
        <f aca="false">MOD($A83-1,36)+1</f>
        <v>6</v>
      </c>
      <c r="D83" s="14" t="n">
        <f aca="false">IF($C83&gt;p_horizon,0,IFERROR(IF(AND(INDEX(TblClusters[Cluster],$B83)&lt;&gt;"",ISNUMBER(INDEX(TblClusters[CPU initial (vCPU)],$B83)),ISNUMBER(INDEX(TblClusters[CPU min (vCPU)],$B83)),OR(INDEX(TblClusters[Plateforme],$B83)="IKS",INDEX(TblClusters[Plateforme],$B83)="ROKS")),1,0),0))</f>
        <v>1</v>
      </c>
      <c r="E83" s="83" t="n">
        <f aca="false">IF($D83=1,EDATE(p_debut,$C83-1),"")</f>
        <v>46447</v>
      </c>
      <c r="F83" s="14" t="str">
        <f aca="false">IF($D83=1,INDEX(TblClusters[Cluster],$B83),"")</f>
        <v>ROKS-PRD-01</v>
      </c>
      <c r="G83" s="14" t="str">
        <f aca="false">IF($D83=1,INDEX(TblClusters[Plateforme],$B83),"")</f>
        <v>ROKS</v>
      </c>
      <c r="H83" s="14" t="n">
        <f aca="false">IF($D83=1,INDEX(TblClusters[vCPU par nœud],$B83),"")</f>
        <v>32</v>
      </c>
      <c r="I83" s="14" t="n">
        <f aca="false">IF($D83=1,INDEX(TblClusters[RAM par nœud (Go)],$B83),"")</f>
        <v>160</v>
      </c>
      <c r="J83" s="14" t="n">
        <f aca="false">IF($D83=1,INDEX(TblClusters[Workers min],$B83),"")</f>
        <v>6</v>
      </c>
      <c r="K83" s="84" t="n">
        <f aca="false">IF($D83=1,INDEX(TblClusters[Tarif par nœud],$B83),"")</f>
        <v>1472</v>
      </c>
      <c r="L83" s="14" t="n">
        <f aca="false">IF($D83=1,INDEX(TblClusters[CPU initial (vCPU)],$B83),"")</f>
        <v>192</v>
      </c>
      <c r="M83" s="14" t="n">
        <f aca="false">IF($D83=1,INDEX(TblClusters[RAM initiale (Go)],$B83),"")</f>
        <v>960</v>
      </c>
      <c r="N83" s="14" t="n">
        <f aca="false">IF($D83=1,INDEX(TblClusters[CPU min (vCPU)],$B83),"")</f>
        <v>192</v>
      </c>
      <c r="O83" s="14" t="n">
        <f aca="false">IF($D83=1,INDEX(TblClusters[RAM min (Go)],$B83),"")</f>
        <v>960</v>
      </c>
      <c r="P83" s="14" t="n">
        <f aca="false">IF($D83&lt;&gt;1,"",IF($G83="ROKS",SUMIFS(TblApplications[Besoin ROKS CPU (vCPU)],TblApplications[Cluster ROKS cible],$F83,TblApplications[Action],"À migrer",TblApplications[Déjà incluse ROKS],"Non",TblApplications[Mois prov (calc)],"&lt;="&amp;$E83),SUMIFS(TblApplications[CPU IKS libérable (vCPU)],TblApplications[Cluster IKS source],$F83,TblApplications[Mois lib (calc)],"&lt;="&amp;$E83)))</f>
        <v>0</v>
      </c>
      <c r="Q83" s="14" t="n">
        <f aca="false">IF($D83&lt;&gt;1,"",IF($G83="ROKS",SUMIFS(TblApplications[Besoin ROKS RAM (Go)],TblApplications[Cluster ROKS cible],$F83,TblApplications[Action],"À migrer",TblApplications[Déjà incluse ROKS],"Non",TblApplications[Mois prov (calc)],"&lt;="&amp;$E83),SUMIFS(TblApplications[RAM IKS libérable (Go)],TblApplications[Cluster IKS source],$F83,TblApplications[Mois lib (calc)],"&lt;="&amp;$E83)))</f>
        <v>0</v>
      </c>
      <c r="R83" s="14" t="n">
        <f aca="false">IF($D83&lt;&gt;1,"",IF($G83="ROKS",$L83+$P83,IF($AI83=1,0,MAX($N83,$L83-$P83))))</f>
        <v>192</v>
      </c>
      <c r="S83" s="14" t="n">
        <f aca="false">IF($D83&lt;&gt;1,"",IF($G83="ROKS",$M83+$Q83,IF($AI83=1,0,MAX($O83,$M83-$Q83))))</f>
        <v>960</v>
      </c>
      <c r="T83" s="14" t="n">
        <f aca="false">IF($D83&lt;&gt;1,"",IF($AI83=1,0,MAX($J83,ROUNDUP(MAX($R83/$H83,$S83/$I83),0))))</f>
        <v>6</v>
      </c>
      <c r="U83" s="14" t="n">
        <f aca="false">IF($D83&lt;&gt;1,"",IF(p_mode="Nœud",$T83*$H83,$R83))</f>
        <v>192</v>
      </c>
      <c r="V83" s="14" t="n">
        <f aca="false">IF($D83&lt;&gt;1,"",IF(p_mode="Nœud",$T83*$I83,$S83))</f>
        <v>960</v>
      </c>
      <c r="W83" s="84" t="n">
        <f aca="false">IF($D83&lt;&gt;1,"",IF(p_mode="Nœud",$T83*$K83,$R83*IF($G83="IKS",p_iks_cpu,p_roks_cpu)+$S83*IF($G83="IKS",p_iks_ram,p_roks_ram))*p_facteur)</f>
        <v>8832</v>
      </c>
      <c r="X83" s="14" t="n">
        <f aca="false">IF($D83&lt;&gt;1,"",IF($G83="ROKS",$R83,IF($AI83=1,0,MAX($N83,$L83-SUMIFS(TblApplications[CPU IKS libérable (vCPU)],TblApplications[Cluster IKS source],$F83,TblApplications[Action],"À migrer",TblApplications[Mois prov (calc)],"&lt;="&amp;$E83)-SUMIFS(TblApplications[CPU IKS libérable (vCPU)],TblApplications[Cluster IKS source],$F83,TblApplications[Action],"À décommissionner",TblApplications[Mois lib (calc)],"&lt;="&amp;$E83)))))</f>
        <v>192</v>
      </c>
      <c r="Y83" s="14" t="n">
        <f aca="false">IF($D83&lt;&gt;1,"",IF($G83="ROKS",$S83,IF($AI83=1,0,MAX($O83,$M83-SUMIFS(TblApplications[RAM IKS libérable (Go)],TblApplications[Cluster IKS source],$F83,TblApplications[Action],"À migrer",TblApplications[Mois prov (calc)],"&lt;="&amp;$E83)-SUMIFS(TblApplications[RAM IKS libérable (Go)],TblApplications[Cluster IKS source],$F83,TblApplications[Action],"À décommissionner",TblApplications[Mois lib (calc)],"&lt;="&amp;$E83)))))</f>
        <v>960</v>
      </c>
      <c r="Z83" s="14" t="n">
        <f aca="false">IF($D83&lt;&gt;1,"",IF($AI83=1,0,MAX($J83,ROUNDUP(MAX($X83/$H83,$Y83/$I83),0))))</f>
        <v>6</v>
      </c>
      <c r="AA83" s="84" t="n">
        <f aca="false">IF($D83&lt;&gt;1,"",IF(p_mode="Nœud",$Z83*$K83,$X83*IF($G83="IKS",p_iks_cpu,p_roks_cpu)+$Y83*IF($G83="IKS",p_iks_ram,p_roks_ram))*p_facteur)</f>
        <v>8832</v>
      </c>
      <c r="AB83" s="14" t="n">
        <f aca="false">IF($D83&lt;&gt;1,"",MAX($J83,ROUNDUP(MAX($L83/$H83,$M83/$I83),0)))</f>
        <v>6</v>
      </c>
      <c r="AC83" s="84" t="n">
        <f aca="false">IF($D83&lt;&gt;1,"",IF(p_mode="Nœud",$AB83*$K83,$L83*IF($G83="IKS",p_iks_cpu,p_roks_cpu)+$M83*IF($G83="IKS",p_iks_ram,p_roks_ram))*p_facteur)</f>
        <v>8832</v>
      </c>
      <c r="AD83" s="14" t="n">
        <f aca="false">IF($D83&lt;&gt;1,"",IF(AND($G83="IKS",$AI83&lt;&gt;1,OR($L83-$P83&lt;$N83,$M83-$Q83&lt;$O83)),1,0))</f>
        <v>0</v>
      </c>
      <c r="AE83" s="14" t="n">
        <f aca="false">IF($D83&lt;&gt;1,"",IF(AND($G83="ROKS",$T83&gt;p_maxworkers),1,0))</f>
        <v>0</v>
      </c>
      <c r="AF83" s="14" t="str">
        <f aca="false">IF($D83&lt;&gt;1,"",IF(INDEX(TblClusters[Environnement],$B83)="","(vide)",INDEX(TblClusters[Environnement],$B83)))</f>
        <v>PRD</v>
      </c>
      <c r="AG83" s="14" t="n">
        <f aca="false">IF($D83&lt;&gt;1,"",$R83+p_poidsram*$S83)</f>
        <v>288</v>
      </c>
      <c r="AH83" s="14" t="n">
        <f aca="false">IF($D83&lt;&gt;1,"",IFERROR($W83/$AG83,0))</f>
        <v>30.6666666666667</v>
      </c>
      <c r="AI83" s="14" t="n">
        <f aca="false">IF($D83&lt;&gt;1,"",IF(AND($G83="IKS",ISNUMBER(INDEX(TblClusters[Fermeture retenue],$B83))),IF($E83&gt;=INDEX(TblClusters[Fermeture retenue],$B83),1,0),0))</f>
        <v>0</v>
      </c>
    </row>
    <row r="84" customFormat="false" ht="15" hidden="false" customHeight="false" outlineLevel="0" collapsed="false">
      <c r="A84" s="14" t="n">
        <v>79</v>
      </c>
      <c r="B84" s="14" t="n">
        <f aca="false">INT(($A84-1)/36)+1</f>
        <v>3</v>
      </c>
      <c r="C84" s="14" t="n">
        <f aca="false">MOD($A84-1,36)+1</f>
        <v>7</v>
      </c>
      <c r="D84" s="14" t="n">
        <f aca="false">IF($C84&gt;p_horizon,0,IFERROR(IF(AND(INDEX(TblClusters[Cluster],$B84)&lt;&gt;"",ISNUMBER(INDEX(TblClusters[CPU initial (vCPU)],$B84)),ISNUMBER(INDEX(TblClusters[CPU min (vCPU)],$B84)),OR(INDEX(TblClusters[Plateforme],$B84)="IKS",INDEX(TblClusters[Plateforme],$B84)="ROKS")),1,0),0))</f>
        <v>1</v>
      </c>
      <c r="E84" s="83" t="n">
        <f aca="false">IF($D84=1,EDATE(p_debut,$C84-1),"")</f>
        <v>46478</v>
      </c>
      <c r="F84" s="14" t="str">
        <f aca="false">IF($D84=1,INDEX(TblClusters[Cluster],$B84),"")</f>
        <v>ROKS-PRD-01</v>
      </c>
      <c r="G84" s="14" t="str">
        <f aca="false">IF($D84=1,INDEX(TblClusters[Plateforme],$B84),"")</f>
        <v>ROKS</v>
      </c>
      <c r="H84" s="14" t="n">
        <f aca="false">IF($D84=1,INDEX(TblClusters[vCPU par nœud],$B84),"")</f>
        <v>32</v>
      </c>
      <c r="I84" s="14" t="n">
        <f aca="false">IF($D84=1,INDEX(TblClusters[RAM par nœud (Go)],$B84),"")</f>
        <v>160</v>
      </c>
      <c r="J84" s="14" t="n">
        <f aca="false">IF($D84=1,INDEX(TblClusters[Workers min],$B84),"")</f>
        <v>6</v>
      </c>
      <c r="K84" s="84" t="n">
        <f aca="false">IF($D84=1,INDEX(TblClusters[Tarif par nœud],$B84),"")</f>
        <v>1472</v>
      </c>
      <c r="L84" s="14" t="n">
        <f aca="false">IF($D84=1,INDEX(TblClusters[CPU initial (vCPU)],$B84),"")</f>
        <v>192</v>
      </c>
      <c r="M84" s="14" t="n">
        <f aca="false">IF($D84=1,INDEX(TblClusters[RAM initiale (Go)],$B84),"")</f>
        <v>960</v>
      </c>
      <c r="N84" s="14" t="n">
        <f aca="false">IF($D84=1,INDEX(TblClusters[CPU min (vCPU)],$B84),"")</f>
        <v>192</v>
      </c>
      <c r="O84" s="14" t="n">
        <f aca="false">IF($D84=1,INDEX(TblClusters[RAM min (Go)],$B84),"")</f>
        <v>960</v>
      </c>
      <c r="P84" s="14" t="n">
        <f aca="false">IF($D84&lt;&gt;1,"",IF($G84="ROKS",SUMIFS(TblApplications[Besoin ROKS CPU (vCPU)],TblApplications[Cluster ROKS cible],$F84,TblApplications[Action],"À migrer",TblApplications[Déjà incluse ROKS],"Non",TblApplications[Mois prov (calc)],"&lt;="&amp;$E84),SUMIFS(TblApplications[CPU IKS libérable (vCPU)],TblApplications[Cluster IKS source],$F84,TblApplications[Mois lib (calc)],"&lt;="&amp;$E84)))</f>
        <v>72</v>
      </c>
      <c r="Q84" s="14" t="n">
        <f aca="false">IF($D84&lt;&gt;1,"",IF($G84="ROKS",SUMIFS(TblApplications[Besoin ROKS RAM (Go)],TblApplications[Cluster ROKS cible],$F84,TblApplications[Action],"À migrer",TblApplications[Déjà incluse ROKS],"Non",TblApplications[Mois prov (calc)],"&lt;="&amp;$E84),SUMIFS(TblApplications[RAM IKS libérable (Go)],TblApplications[Cluster IKS source],$F84,TblApplications[Mois lib (calc)],"&lt;="&amp;$E84)))</f>
        <v>384</v>
      </c>
      <c r="R84" s="14" t="n">
        <f aca="false">IF($D84&lt;&gt;1,"",IF($G84="ROKS",$L84+$P84,IF($AI84=1,0,MAX($N84,$L84-$P84))))</f>
        <v>264</v>
      </c>
      <c r="S84" s="14" t="n">
        <f aca="false">IF($D84&lt;&gt;1,"",IF($G84="ROKS",$M84+$Q84,IF($AI84=1,0,MAX($O84,$M84-$Q84))))</f>
        <v>1344</v>
      </c>
      <c r="T84" s="14" t="n">
        <f aca="false">IF($D84&lt;&gt;1,"",IF($AI84=1,0,MAX($J84,ROUNDUP(MAX($R84/$H84,$S84/$I84),0))))</f>
        <v>9</v>
      </c>
      <c r="U84" s="14" t="n">
        <f aca="false">IF($D84&lt;&gt;1,"",IF(p_mode="Nœud",$T84*$H84,$R84))</f>
        <v>288</v>
      </c>
      <c r="V84" s="14" t="n">
        <f aca="false">IF($D84&lt;&gt;1,"",IF(p_mode="Nœud",$T84*$I84,$S84))</f>
        <v>1440</v>
      </c>
      <c r="W84" s="84" t="n">
        <f aca="false">IF($D84&lt;&gt;1,"",IF(p_mode="Nœud",$T84*$K84,$R84*IF($G84="IKS",p_iks_cpu,p_roks_cpu)+$S84*IF($G84="IKS",p_iks_ram,p_roks_ram))*p_facteur)</f>
        <v>13248</v>
      </c>
      <c r="X84" s="14" t="n">
        <f aca="false">IF($D84&lt;&gt;1,"",IF($G84="ROKS",$R84,IF($AI84=1,0,MAX($N84,$L84-SUMIFS(TblApplications[CPU IKS libérable (vCPU)],TblApplications[Cluster IKS source],$F84,TblApplications[Action],"À migrer",TblApplications[Mois prov (calc)],"&lt;="&amp;$E84)-SUMIFS(TblApplications[CPU IKS libérable (vCPU)],TblApplications[Cluster IKS source],$F84,TblApplications[Action],"À décommissionner",TblApplications[Mois lib (calc)],"&lt;="&amp;$E84)))))</f>
        <v>264</v>
      </c>
      <c r="Y84" s="14" t="n">
        <f aca="false">IF($D84&lt;&gt;1,"",IF($G84="ROKS",$S84,IF($AI84=1,0,MAX($O84,$M84-SUMIFS(TblApplications[RAM IKS libérable (Go)],TblApplications[Cluster IKS source],$F84,TblApplications[Action],"À migrer",TblApplications[Mois prov (calc)],"&lt;="&amp;$E84)-SUMIFS(TblApplications[RAM IKS libérable (Go)],TblApplications[Cluster IKS source],$F84,TblApplications[Action],"À décommissionner",TblApplications[Mois lib (calc)],"&lt;="&amp;$E84)))))</f>
        <v>1344</v>
      </c>
      <c r="Z84" s="14" t="n">
        <f aca="false">IF($D84&lt;&gt;1,"",IF($AI84=1,0,MAX($J84,ROUNDUP(MAX($X84/$H84,$Y84/$I84),0))))</f>
        <v>9</v>
      </c>
      <c r="AA84" s="84" t="n">
        <f aca="false">IF($D84&lt;&gt;1,"",IF(p_mode="Nœud",$Z84*$K84,$X84*IF($G84="IKS",p_iks_cpu,p_roks_cpu)+$Y84*IF($G84="IKS",p_iks_ram,p_roks_ram))*p_facteur)</f>
        <v>13248</v>
      </c>
      <c r="AB84" s="14" t="n">
        <f aca="false">IF($D84&lt;&gt;1,"",MAX($J84,ROUNDUP(MAX($L84/$H84,$M84/$I84),0)))</f>
        <v>6</v>
      </c>
      <c r="AC84" s="84" t="n">
        <f aca="false">IF($D84&lt;&gt;1,"",IF(p_mode="Nœud",$AB84*$K84,$L84*IF($G84="IKS",p_iks_cpu,p_roks_cpu)+$M84*IF($G84="IKS",p_iks_ram,p_roks_ram))*p_facteur)</f>
        <v>8832</v>
      </c>
      <c r="AD84" s="14" t="n">
        <f aca="false">IF($D84&lt;&gt;1,"",IF(AND($G84="IKS",$AI84&lt;&gt;1,OR($L84-$P84&lt;$N84,$M84-$Q84&lt;$O84)),1,0))</f>
        <v>0</v>
      </c>
      <c r="AE84" s="14" t="n">
        <f aca="false">IF($D84&lt;&gt;1,"",IF(AND($G84="ROKS",$T84&gt;p_maxworkers),1,0))</f>
        <v>0</v>
      </c>
      <c r="AF84" s="14" t="str">
        <f aca="false">IF($D84&lt;&gt;1,"",IF(INDEX(TblClusters[Environnement],$B84)="","(vide)",INDEX(TblClusters[Environnement],$B84)))</f>
        <v>PRD</v>
      </c>
      <c r="AG84" s="14" t="n">
        <f aca="false">IF($D84&lt;&gt;1,"",$R84+p_poidsram*$S84)</f>
        <v>398.4</v>
      </c>
      <c r="AH84" s="14" t="n">
        <f aca="false">IF($D84&lt;&gt;1,"",IFERROR($W84/$AG84,0))</f>
        <v>33.2530120481928</v>
      </c>
      <c r="AI84" s="14" t="n">
        <f aca="false">IF($D84&lt;&gt;1,"",IF(AND($G84="IKS",ISNUMBER(INDEX(TblClusters[Fermeture retenue],$B84))),IF($E84&gt;=INDEX(TblClusters[Fermeture retenue],$B84),1,0),0))</f>
        <v>0</v>
      </c>
    </row>
    <row r="85" customFormat="false" ht="15" hidden="false" customHeight="false" outlineLevel="0" collapsed="false">
      <c r="A85" s="14" t="n">
        <v>80</v>
      </c>
      <c r="B85" s="14" t="n">
        <f aca="false">INT(($A85-1)/36)+1</f>
        <v>3</v>
      </c>
      <c r="C85" s="14" t="n">
        <f aca="false">MOD($A85-1,36)+1</f>
        <v>8</v>
      </c>
      <c r="D85" s="14" t="n">
        <f aca="false">IF($C85&gt;p_horizon,0,IFERROR(IF(AND(INDEX(TblClusters[Cluster],$B85)&lt;&gt;"",ISNUMBER(INDEX(TblClusters[CPU initial (vCPU)],$B85)),ISNUMBER(INDEX(TblClusters[CPU min (vCPU)],$B85)),OR(INDEX(TblClusters[Plateforme],$B85)="IKS",INDEX(TblClusters[Plateforme],$B85)="ROKS")),1,0),0))</f>
        <v>1</v>
      </c>
      <c r="E85" s="83" t="n">
        <f aca="false">IF($D85=1,EDATE(p_debut,$C85-1),"")</f>
        <v>46508</v>
      </c>
      <c r="F85" s="14" t="str">
        <f aca="false">IF($D85=1,INDEX(TblClusters[Cluster],$B85),"")</f>
        <v>ROKS-PRD-01</v>
      </c>
      <c r="G85" s="14" t="str">
        <f aca="false">IF($D85=1,INDEX(TblClusters[Plateforme],$B85),"")</f>
        <v>ROKS</v>
      </c>
      <c r="H85" s="14" t="n">
        <f aca="false">IF($D85=1,INDEX(TblClusters[vCPU par nœud],$B85),"")</f>
        <v>32</v>
      </c>
      <c r="I85" s="14" t="n">
        <f aca="false">IF($D85=1,INDEX(TblClusters[RAM par nœud (Go)],$B85),"")</f>
        <v>160</v>
      </c>
      <c r="J85" s="14" t="n">
        <f aca="false">IF($D85=1,INDEX(TblClusters[Workers min],$B85),"")</f>
        <v>6</v>
      </c>
      <c r="K85" s="84" t="n">
        <f aca="false">IF($D85=1,INDEX(TblClusters[Tarif par nœud],$B85),"")</f>
        <v>1472</v>
      </c>
      <c r="L85" s="14" t="n">
        <f aca="false">IF($D85=1,INDEX(TblClusters[CPU initial (vCPU)],$B85),"")</f>
        <v>192</v>
      </c>
      <c r="M85" s="14" t="n">
        <f aca="false">IF($D85=1,INDEX(TblClusters[RAM initiale (Go)],$B85),"")</f>
        <v>960</v>
      </c>
      <c r="N85" s="14" t="n">
        <f aca="false">IF($D85=1,INDEX(TblClusters[CPU min (vCPU)],$B85),"")</f>
        <v>192</v>
      </c>
      <c r="O85" s="14" t="n">
        <f aca="false">IF($D85=1,INDEX(TblClusters[RAM min (Go)],$B85),"")</f>
        <v>960</v>
      </c>
      <c r="P85" s="14" t="n">
        <f aca="false">IF($D85&lt;&gt;1,"",IF($G85="ROKS",SUMIFS(TblApplications[Besoin ROKS CPU (vCPU)],TblApplications[Cluster ROKS cible],$F85,TblApplications[Action],"À migrer",TblApplications[Déjà incluse ROKS],"Non",TblApplications[Mois prov (calc)],"&lt;="&amp;$E85),SUMIFS(TblApplications[CPU IKS libérable (vCPU)],TblApplications[Cluster IKS source],$F85,TblApplications[Mois lib (calc)],"&lt;="&amp;$E85)))</f>
        <v>72</v>
      </c>
      <c r="Q85" s="14" t="n">
        <f aca="false">IF($D85&lt;&gt;1,"",IF($G85="ROKS",SUMIFS(TblApplications[Besoin ROKS RAM (Go)],TblApplications[Cluster ROKS cible],$F85,TblApplications[Action],"À migrer",TblApplications[Déjà incluse ROKS],"Non",TblApplications[Mois prov (calc)],"&lt;="&amp;$E85),SUMIFS(TblApplications[RAM IKS libérable (Go)],TblApplications[Cluster IKS source],$F85,TblApplications[Mois lib (calc)],"&lt;="&amp;$E85)))</f>
        <v>384</v>
      </c>
      <c r="R85" s="14" t="n">
        <f aca="false">IF($D85&lt;&gt;1,"",IF($G85="ROKS",$L85+$P85,IF($AI85=1,0,MAX($N85,$L85-$P85))))</f>
        <v>264</v>
      </c>
      <c r="S85" s="14" t="n">
        <f aca="false">IF($D85&lt;&gt;1,"",IF($G85="ROKS",$M85+$Q85,IF($AI85=1,0,MAX($O85,$M85-$Q85))))</f>
        <v>1344</v>
      </c>
      <c r="T85" s="14" t="n">
        <f aca="false">IF($D85&lt;&gt;1,"",IF($AI85=1,0,MAX($J85,ROUNDUP(MAX($R85/$H85,$S85/$I85),0))))</f>
        <v>9</v>
      </c>
      <c r="U85" s="14" t="n">
        <f aca="false">IF($D85&lt;&gt;1,"",IF(p_mode="Nœud",$T85*$H85,$R85))</f>
        <v>288</v>
      </c>
      <c r="V85" s="14" t="n">
        <f aca="false">IF($D85&lt;&gt;1,"",IF(p_mode="Nœud",$T85*$I85,$S85))</f>
        <v>1440</v>
      </c>
      <c r="W85" s="84" t="n">
        <f aca="false">IF($D85&lt;&gt;1,"",IF(p_mode="Nœud",$T85*$K85,$R85*IF($G85="IKS",p_iks_cpu,p_roks_cpu)+$S85*IF($G85="IKS",p_iks_ram,p_roks_ram))*p_facteur)</f>
        <v>13248</v>
      </c>
      <c r="X85" s="14" t="n">
        <f aca="false">IF($D85&lt;&gt;1,"",IF($G85="ROKS",$R85,IF($AI85=1,0,MAX($N85,$L85-SUMIFS(TblApplications[CPU IKS libérable (vCPU)],TblApplications[Cluster IKS source],$F85,TblApplications[Action],"À migrer",TblApplications[Mois prov (calc)],"&lt;="&amp;$E85)-SUMIFS(TblApplications[CPU IKS libérable (vCPU)],TblApplications[Cluster IKS source],$F85,TblApplications[Action],"À décommissionner",TblApplications[Mois lib (calc)],"&lt;="&amp;$E85)))))</f>
        <v>264</v>
      </c>
      <c r="Y85" s="14" t="n">
        <f aca="false">IF($D85&lt;&gt;1,"",IF($G85="ROKS",$S85,IF($AI85=1,0,MAX($O85,$M85-SUMIFS(TblApplications[RAM IKS libérable (Go)],TblApplications[Cluster IKS source],$F85,TblApplications[Action],"À migrer",TblApplications[Mois prov (calc)],"&lt;="&amp;$E85)-SUMIFS(TblApplications[RAM IKS libérable (Go)],TblApplications[Cluster IKS source],$F85,TblApplications[Action],"À décommissionner",TblApplications[Mois lib (calc)],"&lt;="&amp;$E85)))))</f>
        <v>1344</v>
      </c>
      <c r="Z85" s="14" t="n">
        <f aca="false">IF($D85&lt;&gt;1,"",IF($AI85=1,0,MAX($J85,ROUNDUP(MAX($X85/$H85,$Y85/$I85),0))))</f>
        <v>9</v>
      </c>
      <c r="AA85" s="84" t="n">
        <f aca="false">IF($D85&lt;&gt;1,"",IF(p_mode="Nœud",$Z85*$K85,$X85*IF($G85="IKS",p_iks_cpu,p_roks_cpu)+$Y85*IF($G85="IKS",p_iks_ram,p_roks_ram))*p_facteur)</f>
        <v>13248</v>
      </c>
      <c r="AB85" s="14" t="n">
        <f aca="false">IF($D85&lt;&gt;1,"",MAX($J85,ROUNDUP(MAX($L85/$H85,$M85/$I85),0)))</f>
        <v>6</v>
      </c>
      <c r="AC85" s="84" t="n">
        <f aca="false">IF($D85&lt;&gt;1,"",IF(p_mode="Nœud",$AB85*$K85,$L85*IF($G85="IKS",p_iks_cpu,p_roks_cpu)+$M85*IF($G85="IKS",p_iks_ram,p_roks_ram))*p_facteur)</f>
        <v>8832</v>
      </c>
      <c r="AD85" s="14" t="n">
        <f aca="false">IF($D85&lt;&gt;1,"",IF(AND($G85="IKS",$AI85&lt;&gt;1,OR($L85-$P85&lt;$N85,$M85-$Q85&lt;$O85)),1,0))</f>
        <v>0</v>
      </c>
      <c r="AE85" s="14" t="n">
        <f aca="false">IF($D85&lt;&gt;1,"",IF(AND($G85="ROKS",$T85&gt;p_maxworkers),1,0))</f>
        <v>0</v>
      </c>
      <c r="AF85" s="14" t="str">
        <f aca="false">IF($D85&lt;&gt;1,"",IF(INDEX(TblClusters[Environnement],$B85)="","(vide)",INDEX(TblClusters[Environnement],$B85)))</f>
        <v>PRD</v>
      </c>
      <c r="AG85" s="14" t="n">
        <f aca="false">IF($D85&lt;&gt;1,"",$R85+p_poidsram*$S85)</f>
        <v>398.4</v>
      </c>
      <c r="AH85" s="14" t="n">
        <f aca="false">IF($D85&lt;&gt;1,"",IFERROR($W85/$AG85,0))</f>
        <v>33.2530120481928</v>
      </c>
      <c r="AI85" s="14" t="n">
        <f aca="false">IF($D85&lt;&gt;1,"",IF(AND($G85="IKS",ISNUMBER(INDEX(TblClusters[Fermeture retenue],$B85))),IF($E85&gt;=INDEX(TblClusters[Fermeture retenue],$B85),1,0),0))</f>
        <v>0</v>
      </c>
    </row>
    <row r="86" customFormat="false" ht="15" hidden="false" customHeight="false" outlineLevel="0" collapsed="false">
      <c r="A86" s="14" t="n">
        <v>81</v>
      </c>
      <c r="B86" s="14" t="n">
        <f aca="false">INT(($A86-1)/36)+1</f>
        <v>3</v>
      </c>
      <c r="C86" s="14" t="n">
        <f aca="false">MOD($A86-1,36)+1</f>
        <v>9</v>
      </c>
      <c r="D86" s="14" t="n">
        <f aca="false">IF($C86&gt;p_horizon,0,IFERROR(IF(AND(INDEX(TblClusters[Cluster],$B86)&lt;&gt;"",ISNUMBER(INDEX(TblClusters[CPU initial (vCPU)],$B86)),ISNUMBER(INDEX(TblClusters[CPU min (vCPU)],$B86)),OR(INDEX(TblClusters[Plateforme],$B86)="IKS",INDEX(TblClusters[Plateforme],$B86)="ROKS")),1,0),0))</f>
        <v>1</v>
      </c>
      <c r="E86" s="83" t="n">
        <f aca="false">IF($D86=1,EDATE(p_debut,$C86-1),"")</f>
        <v>46539</v>
      </c>
      <c r="F86" s="14" t="str">
        <f aca="false">IF($D86=1,INDEX(TblClusters[Cluster],$B86),"")</f>
        <v>ROKS-PRD-01</v>
      </c>
      <c r="G86" s="14" t="str">
        <f aca="false">IF($D86=1,INDEX(TblClusters[Plateforme],$B86),"")</f>
        <v>ROKS</v>
      </c>
      <c r="H86" s="14" t="n">
        <f aca="false">IF($D86=1,INDEX(TblClusters[vCPU par nœud],$B86),"")</f>
        <v>32</v>
      </c>
      <c r="I86" s="14" t="n">
        <f aca="false">IF($D86=1,INDEX(TblClusters[RAM par nœud (Go)],$B86),"")</f>
        <v>160</v>
      </c>
      <c r="J86" s="14" t="n">
        <f aca="false">IF($D86=1,INDEX(TblClusters[Workers min],$B86),"")</f>
        <v>6</v>
      </c>
      <c r="K86" s="84" t="n">
        <f aca="false">IF($D86=1,INDEX(TblClusters[Tarif par nœud],$B86),"")</f>
        <v>1472</v>
      </c>
      <c r="L86" s="14" t="n">
        <f aca="false">IF($D86=1,INDEX(TblClusters[CPU initial (vCPU)],$B86),"")</f>
        <v>192</v>
      </c>
      <c r="M86" s="14" t="n">
        <f aca="false">IF($D86=1,INDEX(TblClusters[RAM initiale (Go)],$B86),"")</f>
        <v>960</v>
      </c>
      <c r="N86" s="14" t="n">
        <f aca="false">IF($D86=1,INDEX(TblClusters[CPU min (vCPU)],$B86),"")</f>
        <v>192</v>
      </c>
      <c r="O86" s="14" t="n">
        <f aca="false">IF($D86=1,INDEX(TblClusters[RAM min (Go)],$B86),"")</f>
        <v>960</v>
      </c>
      <c r="P86" s="14" t="n">
        <f aca="false">IF($D86&lt;&gt;1,"",IF($G86="ROKS",SUMIFS(TblApplications[Besoin ROKS CPU (vCPU)],TblApplications[Cluster ROKS cible],$F86,TblApplications[Action],"À migrer",TblApplications[Déjà incluse ROKS],"Non",TblApplications[Mois prov (calc)],"&lt;="&amp;$E86),SUMIFS(TblApplications[CPU IKS libérable (vCPU)],TblApplications[Cluster IKS source],$F86,TblApplications[Mois lib (calc)],"&lt;="&amp;$E86)))</f>
        <v>72</v>
      </c>
      <c r="Q86" s="14" t="n">
        <f aca="false">IF($D86&lt;&gt;1,"",IF($G86="ROKS",SUMIFS(TblApplications[Besoin ROKS RAM (Go)],TblApplications[Cluster ROKS cible],$F86,TblApplications[Action],"À migrer",TblApplications[Déjà incluse ROKS],"Non",TblApplications[Mois prov (calc)],"&lt;="&amp;$E86),SUMIFS(TblApplications[RAM IKS libérable (Go)],TblApplications[Cluster IKS source],$F86,TblApplications[Mois lib (calc)],"&lt;="&amp;$E86)))</f>
        <v>384</v>
      </c>
      <c r="R86" s="14" t="n">
        <f aca="false">IF($D86&lt;&gt;1,"",IF($G86="ROKS",$L86+$P86,IF($AI86=1,0,MAX($N86,$L86-$P86))))</f>
        <v>264</v>
      </c>
      <c r="S86" s="14" t="n">
        <f aca="false">IF($D86&lt;&gt;1,"",IF($G86="ROKS",$M86+$Q86,IF($AI86=1,0,MAX($O86,$M86-$Q86))))</f>
        <v>1344</v>
      </c>
      <c r="T86" s="14" t="n">
        <f aca="false">IF($D86&lt;&gt;1,"",IF($AI86=1,0,MAX($J86,ROUNDUP(MAX($R86/$H86,$S86/$I86),0))))</f>
        <v>9</v>
      </c>
      <c r="U86" s="14" t="n">
        <f aca="false">IF($D86&lt;&gt;1,"",IF(p_mode="Nœud",$T86*$H86,$R86))</f>
        <v>288</v>
      </c>
      <c r="V86" s="14" t="n">
        <f aca="false">IF($D86&lt;&gt;1,"",IF(p_mode="Nœud",$T86*$I86,$S86))</f>
        <v>1440</v>
      </c>
      <c r="W86" s="84" t="n">
        <f aca="false">IF($D86&lt;&gt;1,"",IF(p_mode="Nœud",$T86*$K86,$R86*IF($G86="IKS",p_iks_cpu,p_roks_cpu)+$S86*IF($G86="IKS",p_iks_ram,p_roks_ram))*p_facteur)</f>
        <v>13248</v>
      </c>
      <c r="X86" s="14" t="n">
        <f aca="false">IF($D86&lt;&gt;1,"",IF($G86="ROKS",$R86,IF($AI86=1,0,MAX($N86,$L86-SUMIFS(TblApplications[CPU IKS libérable (vCPU)],TblApplications[Cluster IKS source],$F86,TblApplications[Action],"À migrer",TblApplications[Mois prov (calc)],"&lt;="&amp;$E86)-SUMIFS(TblApplications[CPU IKS libérable (vCPU)],TblApplications[Cluster IKS source],$F86,TblApplications[Action],"À décommissionner",TblApplications[Mois lib (calc)],"&lt;="&amp;$E86)))))</f>
        <v>264</v>
      </c>
      <c r="Y86" s="14" t="n">
        <f aca="false">IF($D86&lt;&gt;1,"",IF($G86="ROKS",$S86,IF($AI86=1,0,MAX($O86,$M86-SUMIFS(TblApplications[RAM IKS libérable (Go)],TblApplications[Cluster IKS source],$F86,TblApplications[Action],"À migrer",TblApplications[Mois prov (calc)],"&lt;="&amp;$E86)-SUMIFS(TblApplications[RAM IKS libérable (Go)],TblApplications[Cluster IKS source],$F86,TblApplications[Action],"À décommissionner",TblApplications[Mois lib (calc)],"&lt;="&amp;$E86)))))</f>
        <v>1344</v>
      </c>
      <c r="Z86" s="14" t="n">
        <f aca="false">IF($D86&lt;&gt;1,"",IF($AI86=1,0,MAX($J86,ROUNDUP(MAX($X86/$H86,$Y86/$I86),0))))</f>
        <v>9</v>
      </c>
      <c r="AA86" s="84" t="n">
        <f aca="false">IF($D86&lt;&gt;1,"",IF(p_mode="Nœud",$Z86*$K86,$X86*IF($G86="IKS",p_iks_cpu,p_roks_cpu)+$Y86*IF($G86="IKS",p_iks_ram,p_roks_ram))*p_facteur)</f>
        <v>13248</v>
      </c>
      <c r="AB86" s="14" t="n">
        <f aca="false">IF($D86&lt;&gt;1,"",MAX($J86,ROUNDUP(MAX($L86/$H86,$M86/$I86),0)))</f>
        <v>6</v>
      </c>
      <c r="AC86" s="84" t="n">
        <f aca="false">IF($D86&lt;&gt;1,"",IF(p_mode="Nœud",$AB86*$K86,$L86*IF($G86="IKS",p_iks_cpu,p_roks_cpu)+$M86*IF($G86="IKS",p_iks_ram,p_roks_ram))*p_facteur)</f>
        <v>8832</v>
      </c>
      <c r="AD86" s="14" t="n">
        <f aca="false">IF($D86&lt;&gt;1,"",IF(AND($G86="IKS",$AI86&lt;&gt;1,OR($L86-$P86&lt;$N86,$M86-$Q86&lt;$O86)),1,0))</f>
        <v>0</v>
      </c>
      <c r="AE86" s="14" t="n">
        <f aca="false">IF($D86&lt;&gt;1,"",IF(AND($G86="ROKS",$T86&gt;p_maxworkers),1,0))</f>
        <v>0</v>
      </c>
      <c r="AF86" s="14" t="str">
        <f aca="false">IF($D86&lt;&gt;1,"",IF(INDEX(TblClusters[Environnement],$B86)="","(vide)",INDEX(TblClusters[Environnement],$B86)))</f>
        <v>PRD</v>
      </c>
      <c r="AG86" s="14" t="n">
        <f aca="false">IF($D86&lt;&gt;1,"",$R86+p_poidsram*$S86)</f>
        <v>398.4</v>
      </c>
      <c r="AH86" s="14" t="n">
        <f aca="false">IF($D86&lt;&gt;1,"",IFERROR($W86/$AG86,0))</f>
        <v>33.2530120481928</v>
      </c>
      <c r="AI86" s="14" t="n">
        <f aca="false">IF($D86&lt;&gt;1,"",IF(AND($G86="IKS",ISNUMBER(INDEX(TblClusters[Fermeture retenue],$B86))),IF($E86&gt;=INDEX(TblClusters[Fermeture retenue],$B86),1,0),0))</f>
        <v>0</v>
      </c>
    </row>
    <row r="87" customFormat="false" ht="15" hidden="false" customHeight="false" outlineLevel="0" collapsed="false">
      <c r="A87" s="14" t="n">
        <v>82</v>
      </c>
      <c r="B87" s="14" t="n">
        <f aca="false">INT(($A87-1)/36)+1</f>
        <v>3</v>
      </c>
      <c r="C87" s="14" t="n">
        <f aca="false">MOD($A87-1,36)+1</f>
        <v>10</v>
      </c>
      <c r="D87" s="14" t="n">
        <f aca="false">IF($C87&gt;p_horizon,0,IFERROR(IF(AND(INDEX(TblClusters[Cluster],$B87)&lt;&gt;"",ISNUMBER(INDEX(TblClusters[CPU initial (vCPU)],$B87)),ISNUMBER(INDEX(TblClusters[CPU min (vCPU)],$B87)),OR(INDEX(TblClusters[Plateforme],$B87)="IKS",INDEX(TblClusters[Plateforme],$B87)="ROKS")),1,0),0))</f>
        <v>1</v>
      </c>
      <c r="E87" s="83" t="n">
        <f aca="false">IF($D87=1,EDATE(p_debut,$C87-1),"")</f>
        <v>46569</v>
      </c>
      <c r="F87" s="14" t="str">
        <f aca="false">IF($D87=1,INDEX(TblClusters[Cluster],$B87),"")</f>
        <v>ROKS-PRD-01</v>
      </c>
      <c r="G87" s="14" t="str">
        <f aca="false">IF($D87=1,INDEX(TblClusters[Plateforme],$B87),"")</f>
        <v>ROKS</v>
      </c>
      <c r="H87" s="14" t="n">
        <f aca="false">IF($D87=1,INDEX(TblClusters[vCPU par nœud],$B87),"")</f>
        <v>32</v>
      </c>
      <c r="I87" s="14" t="n">
        <f aca="false">IF($D87=1,INDEX(TblClusters[RAM par nœud (Go)],$B87),"")</f>
        <v>160</v>
      </c>
      <c r="J87" s="14" t="n">
        <f aca="false">IF($D87=1,INDEX(TblClusters[Workers min],$B87),"")</f>
        <v>6</v>
      </c>
      <c r="K87" s="84" t="n">
        <f aca="false">IF($D87=1,INDEX(TblClusters[Tarif par nœud],$B87),"")</f>
        <v>1472</v>
      </c>
      <c r="L87" s="14" t="n">
        <f aca="false">IF($D87=1,INDEX(TblClusters[CPU initial (vCPU)],$B87),"")</f>
        <v>192</v>
      </c>
      <c r="M87" s="14" t="n">
        <f aca="false">IF($D87=1,INDEX(TblClusters[RAM initiale (Go)],$B87),"")</f>
        <v>960</v>
      </c>
      <c r="N87" s="14" t="n">
        <f aca="false">IF($D87=1,INDEX(TblClusters[CPU min (vCPU)],$B87),"")</f>
        <v>192</v>
      </c>
      <c r="O87" s="14" t="n">
        <f aca="false">IF($D87=1,INDEX(TblClusters[RAM min (Go)],$B87),"")</f>
        <v>960</v>
      </c>
      <c r="P87" s="14" t="n">
        <f aca="false">IF($D87&lt;&gt;1,"",IF($G87="ROKS",SUMIFS(TblApplications[Besoin ROKS CPU (vCPU)],TblApplications[Cluster ROKS cible],$F87,TblApplications[Action],"À migrer",TblApplications[Déjà incluse ROKS],"Non",TblApplications[Mois prov (calc)],"&lt;="&amp;$E87),SUMIFS(TblApplications[CPU IKS libérable (vCPU)],TblApplications[Cluster IKS source],$F87,TblApplications[Mois lib (calc)],"&lt;="&amp;$E87)))</f>
        <v>72</v>
      </c>
      <c r="Q87" s="14" t="n">
        <f aca="false">IF($D87&lt;&gt;1,"",IF($G87="ROKS",SUMIFS(TblApplications[Besoin ROKS RAM (Go)],TblApplications[Cluster ROKS cible],$F87,TblApplications[Action],"À migrer",TblApplications[Déjà incluse ROKS],"Non",TblApplications[Mois prov (calc)],"&lt;="&amp;$E87),SUMIFS(TblApplications[RAM IKS libérable (Go)],TblApplications[Cluster IKS source],$F87,TblApplications[Mois lib (calc)],"&lt;="&amp;$E87)))</f>
        <v>384</v>
      </c>
      <c r="R87" s="14" t="n">
        <f aca="false">IF($D87&lt;&gt;1,"",IF($G87="ROKS",$L87+$P87,IF($AI87=1,0,MAX($N87,$L87-$P87))))</f>
        <v>264</v>
      </c>
      <c r="S87" s="14" t="n">
        <f aca="false">IF($D87&lt;&gt;1,"",IF($G87="ROKS",$M87+$Q87,IF($AI87=1,0,MAX($O87,$M87-$Q87))))</f>
        <v>1344</v>
      </c>
      <c r="T87" s="14" t="n">
        <f aca="false">IF($D87&lt;&gt;1,"",IF($AI87=1,0,MAX($J87,ROUNDUP(MAX($R87/$H87,$S87/$I87),0))))</f>
        <v>9</v>
      </c>
      <c r="U87" s="14" t="n">
        <f aca="false">IF($D87&lt;&gt;1,"",IF(p_mode="Nœud",$T87*$H87,$R87))</f>
        <v>288</v>
      </c>
      <c r="V87" s="14" t="n">
        <f aca="false">IF($D87&lt;&gt;1,"",IF(p_mode="Nœud",$T87*$I87,$S87))</f>
        <v>1440</v>
      </c>
      <c r="W87" s="84" t="n">
        <f aca="false">IF($D87&lt;&gt;1,"",IF(p_mode="Nœud",$T87*$K87,$R87*IF($G87="IKS",p_iks_cpu,p_roks_cpu)+$S87*IF($G87="IKS",p_iks_ram,p_roks_ram))*p_facteur)</f>
        <v>13248</v>
      </c>
      <c r="X87" s="14" t="n">
        <f aca="false">IF($D87&lt;&gt;1,"",IF($G87="ROKS",$R87,IF($AI87=1,0,MAX($N87,$L87-SUMIFS(TblApplications[CPU IKS libérable (vCPU)],TblApplications[Cluster IKS source],$F87,TblApplications[Action],"À migrer",TblApplications[Mois prov (calc)],"&lt;="&amp;$E87)-SUMIFS(TblApplications[CPU IKS libérable (vCPU)],TblApplications[Cluster IKS source],$F87,TblApplications[Action],"À décommissionner",TblApplications[Mois lib (calc)],"&lt;="&amp;$E87)))))</f>
        <v>264</v>
      </c>
      <c r="Y87" s="14" t="n">
        <f aca="false">IF($D87&lt;&gt;1,"",IF($G87="ROKS",$S87,IF($AI87=1,0,MAX($O87,$M87-SUMIFS(TblApplications[RAM IKS libérable (Go)],TblApplications[Cluster IKS source],$F87,TblApplications[Action],"À migrer",TblApplications[Mois prov (calc)],"&lt;="&amp;$E87)-SUMIFS(TblApplications[RAM IKS libérable (Go)],TblApplications[Cluster IKS source],$F87,TblApplications[Action],"À décommissionner",TblApplications[Mois lib (calc)],"&lt;="&amp;$E87)))))</f>
        <v>1344</v>
      </c>
      <c r="Z87" s="14" t="n">
        <f aca="false">IF($D87&lt;&gt;1,"",IF($AI87=1,0,MAX($J87,ROUNDUP(MAX($X87/$H87,$Y87/$I87),0))))</f>
        <v>9</v>
      </c>
      <c r="AA87" s="84" t="n">
        <f aca="false">IF($D87&lt;&gt;1,"",IF(p_mode="Nœud",$Z87*$K87,$X87*IF($G87="IKS",p_iks_cpu,p_roks_cpu)+$Y87*IF($G87="IKS",p_iks_ram,p_roks_ram))*p_facteur)</f>
        <v>13248</v>
      </c>
      <c r="AB87" s="14" t="n">
        <f aca="false">IF($D87&lt;&gt;1,"",MAX($J87,ROUNDUP(MAX($L87/$H87,$M87/$I87),0)))</f>
        <v>6</v>
      </c>
      <c r="AC87" s="84" t="n">
        <f aca="false">IF($D87&lt;&gt;1,"",IF(p_mode="Nœud",$AB87*$K87,$L87*IF($G87="IKS",p_iks_cpu,p_roks_cpu)+$M87*IF($G87="IKS",p_iks_ram,p_roks_ram))*p_facteur)</f>
        <v>8832</v>
      </c>
      <c r="AD87" s="14" t="n">
        <f aca="false">IF($D87&lt;&gt;1,"",IF(AND($G87="IKS",$AI87&lt;&gt;1,OR($L87-$P87&lt;$N87,$M87-$Q87&lt;$O87)),1,0))</f>
        <v>0</v>
      </c>
      <c r="AE87" s="14" t="n">
        <f aca="false">IF($D87&lt;&gt;1,"",IF(AND($G87="ROKS",$T87&gt;p_maxworkers),1,0))</f>
        <v>0</v>
      </c>
      <c r="AF87" s="14" t="str">
        <f aca="false">IF($D87&lt;&gt;1,"",IF(INDEX(TblClusters[Environnement],$B87)="","(vide)",INDEX(TblClusters[Environnement],$B87)))</f>
        <v>PRD</v>
      </c>
      <c r="AG87" s="14" t="n">
        <f aca="false">IF($D87&lt;&gt;1,"",$R87+p_poidsram*$S87)</f>
        <v>398.4</v>
      </c>
      <c r="AH87" s="14" t="n">
        <f aca="false">IF($D87&lt;&gt;1,"",IFERROR($W87/$AG87,0))</f>
        <v>33.2530120481928</v>
      </c>
      <c r="AI87" s="14" t="n">
        <f aca="false">IF($D87&lt;&gt;1,"",IF(AND($G87="IKS",ISNUMBER(INDEX(TblClusters[Fermeture retenue],$B87))),IF($E87&gt;=INDEX(TblClusters[Fermeture retenue],$B87),1,0),0))</f>
        <v>0</v>
      </c>
    </row>
    <row r="88" customFormat="false" ht="15" hidden="false" customHeight="false" outlineLevel="0" collapsed="false">
      <c r="A88" s="14" t="n">
        <v>83</v>
      </c>
      <c r="B88" s="14" t="n">
        <f aca="false">INT(($A88-1)/36)+1</f>
        <v>3</v>
      </c>
      <c r="C88" s="14" t="n">
        <f aca="false">MOD($A88-1,36)+1</f>
        <v>11</v>
      </c>
      <c r="D88" s="14" t="n">
        <f aca="false">IF($C88&gt;p_horizon,0,IFERROR(IF(AND(INDEX(TblClusters[Cluster],$B88)&lt;&gt;"",ISNUMBER(INDEX(TblClusters[CPU initial (vCPU)],$B88)),ISNUMBER(INDEX(TblClusters[CPU min (vCPU)],$B88)),OR(INDEX(TblClusters[Plateforme],$B88)="IKS",INDEX(TblClusters[Plateforme],$B88)="ROKS")),1,0),0))</f>
        <v>1</v>
      </c>
      <c r="E88" s="83" t="n">
        <f aca="false">IF($D88=1,EDATE(p_debut,$C88-1),"")</f>
        <v>46600</v>
      </c>
      <c r="F88" s="14" t="str">
        <f aca="false">IF($D88=1,INDEX(TblClusters[Cluster],$B88),"")</f>
        <v>ROKS-PRD-01</v>
      </c>
      <c r="G88" s="14" t="str">
        <f aca="false">IF($D88=1,INDEX(TblClusters[Plateforme],$B88),"")</f>
        <v>ROKS</v>
      </c>
      <c r="H88" s="14" t="n">
        <f aca="false">IF($D88=1,INDEX(TblClusters[vCPU par nœud],$B88),"")</f>
        <v>32</v>
      </c>
      <c r="I88" s="14" t="n">
        <f aca="false">IF($D88=1,INDEX(TblClusters[RAM par nœud (Go)],$B88),"")</f>
        <v>160</v>
      </c>
      <c r="J88" s="14" t="n">
        <f aca="false">IF($D88=1,INDEX(TblClusters[Workers min],$B88),"")</f>
        <v>6</v>
      </c>
      <c r="K88" s="84" t="n">
        <f aca="false">IF($D88=1,INDEX(TblClusters[Tarif par nœud],$B88),"")</f>
        <v>1472</v>
      </c>
      <c r="L88" s="14" t="n">
        <f aca="false">IF($D88=1,INDEX(TblClusters[CPU initial (vCPU)],$B88),"")</f>
        <v>192</v>
      </c>
      <c r="M88" s="14" t="n">
        <f aca="false">IF($D88=1,INDEX(TblClusters[RAM initiale (Go)],$B88),"")</f>
        <v>960</v>
      </c>
      <c r="N88" s="14" t="n">
        <f aca="false">IF($D88=1,INDEX(TblClusters[CPU min (vCPU)],$B88),"")</f>
        <v>192</v>
      </c>
      <c r="O88" s="14" t="n">
        <f aca="false">IF($D88=1,INDEX(TblClusters[RAM min (Go)],$B88),"")</f>
        <v>960</v>
      </c>
      <c r="P88" s="14" t="n">
        <f aca="false">IF($D88&lt;&gt;1,"",IF($G88="ROKS",SUMIFS(TblApplications[Besoin ROKS CPU (vCPU)],TblApplications[Cluster ROKS cible],$F88,TblApplications[Action],"À migrer",TblApplications[Déjà incluse ROKS],"Non",TblApplications[Mois prov (calc)],"&lt;="&amp;$E88),SUMIFS(TblApplications[CPU IKS libérable (vCPU)],TblApplications[Cluster IKS source],$F88,TblApplications[Mois lib (calc)],"&lt;="&amp;$E88)))</f>
        <v>72</v>
      </c>
      <c r="Q88" s="14" t="n">
        <f aca="false">IF($D88&lt;&gt;1,"",IF($G88="ROKS",SUMIFS(TblApplications[Besoin ROKS RAM (Go)],TblApplications[Cluster ROKS cible],$F88,TblApplications[Action],"À migrer",TblApplications[Déjà incluse ROKS],"Non",TblApplications[Mois prov (calc)],"&lt;="&amp;$E88),SUMIFS(TblApplications[RAM IKS libérable (Go)],TblApplications[Cluster IKS source],$F88,TblApplications[Mois lib (calc)],"&lt;="&amp;$E88)))</f>
        <v>384</v>
      </c>
      <c r="R88" s="14" t="n">
        <f aca="false">IF($D88&lt;&gt;1,"",IF($G88="ROKS",$L88+$P88,IF($AI88=1,0,MAX($N88,$L88-$P88))))</f>
        <v>264</v>
      </c>
      <c r="S88" s="14" t="n">
        <f aca="false">IF($D88&lt;&gt;1,"",IF($G88="ROKS",$M88+$Q88,IF($AI88=1,0,MAX($O88,$M88-$Q88))))</f>
        <v>1344</v>
      </c>
      <c r="T88" s="14" t="n">
        <f aca="false">IF($D88&lt;&gt;1,"",IF($AI88=1,0,MAX($J88,ROUNDUP(MAX($R88/$H88,$S88/$I88),0))))</f>
        <v>9</v>
      </c>
      <c r="U88" s="14" t="n">
        <f aca="false">IF($D88&lt;&gt;1,"",IF(p_mode="Nœud",$T88*$H88,$R88))</f>
        <v>288</v>
      </c>
      <c r="V88" s="14" t="n">
        <f aca="false">IF($D88&lt;&gt;1,"",IF(p_mode="Nœud",$T88*$I88,$S88))</f>
        <v>1440</v>
      </c>
      <c r="W88" s="84" t="n">
        <f aca="false">IF($D88&lt;&gt;1,"",IF(p_mode="Nœud",$T88*$K88,$R88*IF($G88="IKS",p_iks_cpu,p_roks_cpu)+$S88*IF($G88="IKS",p_iks_ram,p_roks_ram))*p_facteur)</f>
        <v>13248</v>
      </c>
      <c r="X88" s="14" t="n">
        <f aca="false">IF($D88&lt;&gt;1,"",IF($G88="ROKS",$R88,IF($AI88=1,0,MAX($N88,$L88-SUMIFS(TblApplications[CPU IKS libérable (vCPU)],TblApplications[Cluster IKS source],$F88,TblApplications[Action],"À migrer",TblApplications[Mois prov (calc)],"&lt;="&amp;$E88)-SUMIFS(TblApplications[CPU IKS libérable (vCPU)],TblApplications[Cluster IKS source],$F88,TblApplications[Action],"À décommissionner",TblApplications[Mois lib (calc)],"&lt;="&amp;$E88)))))</f>
        <v>264</v>
      </c>
      <c r="Y88" s="14" t="n">
        <f aca="false">IF($D88&lt;&gt;1,"",IF($G88="ROKS",$S88,IF($AI88=1,0,MAX($O88,$M88-SUMIFS(TblApplications[RAM IKS libérable (Go)],TblApplications[Cluster IKS source],$F88,TblApplications[Action],"À migrer",TblApplications[Mois prov (calc)],"&lt;="&amp;$E88)-SUMIFS(TblApplications[RAM IKS libérable (Go)],TblApplications[Cluster IKS source],$F88,TblApplications[Action],"À décommissionner",TblApplications[Mois lib (calc)],"&lt;="&amp;$E88)))))</f>
        <v>1344</v>
      </c>
      <c r="Z88" s="14" t="n">
        <f aca="false">IF($D88&lt;&gt;1,"",IF($AI88=1,0,MAX($J88,ROUNDUP(MAX($X88/$H88,$Y88/$I88),0))))</f>
        <v>9</v>
      </c>
      <c r="AA88" s="84" t="n">
        <f aca="false">IF($D88&lt;&gt;1,"",IF(p_mode="Nœud",$Z88*$K88,$X88*IF($G88="IKS",p_iks_cpu,p_roks_cpu)+$Y88*IF($G88="IKS",p_iks_ram,p_roks_ram))*p_facteur)</f>
        <v>13248</v>
      </c>
      <c r="AB88" s="14" t="n">
        <f aca="false">IF($D88&lt;&gt;1,"",MAX($J88,ROUNDUP(MAX($L88/$H88,$M88/$I88),0)))</f>
        <v>6</v>
      </c>
      <c r="AC88" s="84" t="n">
        <f aca="false">IF($D88&lt;&gt;1,"",IF(p_mode="Nœud",$AB88*$K88,$L88*IF($G88="IKS",p_iks_cpu,p_roks_cpu)+$M88*IF($G88="IKS",p_iks_ram,p_roks_ram))*p_facteur)</f>
        <v>8832</v>
      </c>
      <c r="AD88" s="14" t="n">
        <f aca="false">IF($D88&lt;&gt;1,"",IF(AND($G88="IKS",$AI88&lt;&gt;1,OR($L88-$P88&lt;$N88,$M88-$Q88&lt;$O88)),1,0))</f>
        <v>0</v>
      </c>
      <c r="AE88" s="14" t="n">
        <f aca="false">IF($D88&lt;&gt;1,"",IF(AND($G88="ROKS",$T88&gt;p_maxworkers),1,0))</f>
        <v>0</v>
      </c>
      <c r="AF88" s="14" t="str">
        <f aca="false">IF($D88&lt;&gt;1,"",IF(INDEX(TblClusters[Environnement],$B88)="","(vide)",INDEX(TblClusters[Environnement],$B88)))</f>
        <v>PRD</v>
      </c>
      <c r="AG88" s="14" t="n">
        <f aca="false">IF($D88&lt;&gt;1,"",$R88+p_poidsram*$S88)</f>
        <v>398.4</v>
      </c>
      <c r="AH88" s="14" t="n">
        <f aca="false">IF($D88&lt;&gt;1,"",IFERROR($W88/$AG88,0))</f>
        <v>33.2530120481928</v>
      </c>
      <c r="AI88" s="14" t="n">
        <f aca="false">IF($D88&lt;&gt;1,"",IF(AND($G88="IKS",ISNUMBER(INDEX(TblClusters[Fermeture retenue],$B88))),IF($E88&gt;=INDEX(TblClusters[Fermeture retenue],$B88),1,0),0))</f>
        <v>0</v>
      </c>
    </row>
    <row r="89" customFormat="false" ht="15" hidden="false" customHeight="false" outlineLevel="0" collapsed="false">
      <c r="A89" s="14" t="n">
        <v>84</v>
      </c>
      <c r="B89" s="14" t="n">
        <f aca="false">INT(($A89-1)/36)+1</f>
        <v>3</v>
      </c>
      <c r="C89" s="14" t="n">
        <f aca="false">MOD($A89-1,36)+1</f>
        <v>12</v>
      </c>
      <c r="D89" s="14" t="n">
        <f aca="false">IF($C89&gt;p_horizon,0,IFERROR(IF(AND(INDEX(TblClusters[Cluster],$B89)&lt;&gt;"",ISNUMBER(INDEX(TblClusters[CPU initial (vCPU)],$B89)),ISNUMBER(INDEX(TblClusters[CPU min (vCPU)],$B89)),OR(INDEX(TblClusters[Plateforme],$B89)="IKS",INDEX(TblClusters[Plateforme],$B89)="ROKS")),1,0),0))</f>
        <v>1</v>
      </c>
      <c r="E89" s="83" t="n">
        <f aca="false">IF($D89=1,EDATE(p_debut,$C89-1),"")</f>
        <v>46631</v>
      </c>
      <c r="F89" s="14" t="str">
        <f aca="false">IF($D89=1,INDEX(TblClusters[Cluster],$B89),"")</f>
        <v>ROKS-PRD-01</v>
      </c>
      <c r="G89" s="14" t="str">
        <f aca="false">IF($D89=1,INDEX(TblClusters[Plateforme],$B89),"")</f>
        <v>ROKS</v>
      </c>
      <c r="H89" s="14" t="n">
        <f aca="false">IF($D89=1,INDEX(TblClusters[vCPU par nœud],$B89),"")</f>
        <v>32</v>
      </c>
      <c r="I89" s="14" t="n">
        <f aca="false">IF($D89=1,INDEX(TblClusters[RAM par nœud (Go)],$B89),"")</f>
        <v>160</v>
      </c>
      <c r="J89" s="14" t="n">
        <f aca="false">IF($D89=1,INDEX(TblClusters[Workers min],$B89),"")</f>
        <v>6</v>
      </c>
      <c r="K89" s="84" t="n">
        <f aca="false">IF($D89=1,INDEX(TblClusters[Tarif par nœud],$B89),"")</f>
        <v>1472</v>
      </c>
      <c r="L89" s="14" t="n">
        <f aca="false">IF($D89=1,INDEX(TblClusters[CPU initial (vCPU)],$B89),"")</f>
        <v>192</v>
      </c>
      <c r="M89" s="14" t="n">
        <f aca="false">IF($D89=1,INDEX(TblClusters[RAM initiale (Go)],$B89),"")</f>
        <v>960</v>
      </c>
      <c r="N89" s="14" t="n">
        <f aca="false">IF($D89=1,INDEX(TblClusters[CPU min (vCPU)],$B89),"")</f>
        <v>192</v>
      </c>
      <c r="O89" s="14" t="n">
        <f aca="false">IF($D89=1,INDEX(TblClusters[RAM min (Go)],$B89),"")</f>
        <v>960</v>
      </c>
      <c r="P89" s="14" t="n">
        <f aca="false">IF($D89&lt;&gt;1,"",IF($G89="ROKS",SUMIFS(TblApplications[Besoin ROKS CPU (vCPU)],TblApplications[Cluster ROKS cible],$F89,TblApplications[Action],"À migrer",TblApplications[Déjà incluse ROKS],"Non",TblApplications[Mois prov (calc)],"&lt;="&amp;$E89),SUMIFS(TblApplications[CPU IKS libérable (vCPU)],TblApplications[Cluster IKS source],$F89,TblApplications[Mois lib (calc)],"&lt;="&amp;$E89)))</f>
        <v>72</v>
      </c>
      <c r="Q89" s="14" t="n">
        <f aca="false">IF($D89&lt;&gt;1,"",IF($G89="ROKS",SUMIFS(TblApplications[Besoin ROKS RAM (Go)],TblApplications[Cluster ROKS cible],$F89,TblApplications[Action],"À migrer",TblApplications[Déjà incluse ROKS],"Non",TblApplications[Mois prov (calc)],"&lt;="&amp;$E89),SUMIFS(TblApplications[RAM IKS libérable (Go)],TblApplications[Cluster IKS source],$F89,TblApplications[Mois lib (calc)],"&lt;="&amp;$E89)))</f>
        <v>384</v>
      </c>
      <c r="R89" s="14" t="n">
        <f aca="false">IF($D89&lt;&gt;1,"",IF($G89="ROKS",$L89+$P89,IF($AI89=1,0,MAX($N89,$L89-$P89))))</f>
        <v>264</v>
      </c>
      <c r="S89" s="14" t="n">
        <f aca="false">IF($D89&lt;&gt;1,"",IF($G89="ROKS",$M89+$Q89,IF($AI89=1,0,MAX($O89,$M89-$Q89))))</f>
        <v>1344</v>
      </c>
      <c r="T89" s="14" t="n">
        <f aca="false">IF($D89&lt;&gt;1,"",IF($AI89=1,0,MAX($J89,ROUNDUP(MAX($R89/$H89,$S89/$I89),0))))</f>
        <v>9</v>
      </c>
      <c r="U89" s="14" t="n">
        <f aca="false">IF($D89&lt;&gt;1,"",IF(p_mode="Nœud",$T89*$H89,$R89))</f>
        <v>288</v>
      </c>
      <c r="V89" s="14" t="n">
        <f aca="false">IF($D89&lt;&gt;1,"",IF(p_mode="Nœud",$T89*$I89,$S89))</f>
        <v>1440</v>
      </c>
      <c r="W89" s="84" t="n">
        <f aca="false">IF($D89&lt;&gt;1,"",IF(p_mode="Nœud",$T89*$K89,$R89*IF($G89="IKS",p_iks_cpu,p_roks_cpu)+$S89*IF($G89="IKS",p_iks_ram,p_roks_ram))*p_facteur)</f>
        <v>13248</v>
      </c>
      <c r="X89" s="14" t="n">
        <f aca="false">IF($D89&lt;&gt;1,"",IF($G89="ROKS",$R89,IF($AI89=1,0,MAX($N89,$L89-SUMIFS(TblApplications[CPU IKS libérable (vCPU)],TblApplications[Cluster IKS source],$F89,TblApplications[Action],"À migrer",TblApplications[Mois prov (calc)],"&lt;="&amp;$E89)-SUMIFS(TblApplications[CPU IKS libérable (vCPU)],TblApplications[Cluster IKS source],$F89,TblApplications[Action],"À décommissionner",TblApplications[Mois lib (calc)],"&lt;="&amp;$E89)))))</f>
        <v>264</v>
      </c>
      <c r="Y89" s="14" t="n">
        <f aca="false">IF($D89&lt;&gt;1,"",IF($G89="ROKS",$S89,IF($AI89=1,0,MAX($O89,$M89-SUMIFS(TblApplications[RAM IKS libérable (Go)],TblApplications[Cluster IKS source],$F89,TblApplications[Action],"À migrer",TblApplications[Mois prov (calc)],"&lt;="&amp;$E89)-SUMIFS(TblApplications[RAM IKS libérable (Go)],TblApplications[Cluster IKS source],$F89,TblApplications[Action],"À décommissionner",TblApplications[Mois lib (calc)],"&lt;="&amp;$E89)))))</f>
        <v>1344</v>
      </c>
      <c r="Z89" s="14" t="n">
        <f aca="false">IF($D89&lt;&gt;1,"",IF($AI89=1,0,MAX($J89,ROUNDUP(MAX($X89/$H89,$Y89/$I89),0))))</f>
        <v>9</v>
      </c>
      <c r="AA89" s="84" t="n">
        <f aca="false">IF($D89&lt;&gt;1,"",IF(p_mode="Nœud",$Z89*$K89,$X89*IF($G89="IKS",p_iks_cpu,p_roks_cpu)+$Y89*IF($G89="IKS",p_iks_ram,p_roks_ram))*p_facteur)</f>
        <v>13248</v>
      </c>
      <c r="AB89" s="14" t="n">
        <f aca="false">IF($D89&lt;&gt;1,"",MAX($J89,ROUNDUP(MAX($L89/$H89,$M89/$I89),0)))</f>
        <v>6</v>
      </c>
      <c r="AC89" s="84" t="n">
        <f aca="false">IF($D89&lt;&gt;1,"",IF(p_mode="Nœud",$AB89*$K89,$L89*IF($G89="IKS",p_iks_cpu,p_roks_cpu)+$M89*IF($G89="IKS",p_iks_ram,p_roks_ram))*p_facteur)</f>
        <v>8832</v>
      </c>
      <c r="AD89" s="14" t="n">
        <f aca="false">IF($D89&lt;&gt;1,"",IF(AND($G89="IKS",$AI89&lt;&gt;1,OR($L89-$P89&lt;$N89,$M89-$Q89&lt;$O89)),1,0))</f>
        <v>0</v>
      </c>
      <c r="AE89" s="14" t="n">
        <f aca="false">IF($D89&lt;&gt;1,"",IF(AND($G89="ROKS",$T89&gt;p_maxworkers),1,0))</f>
        <v>0</v>
      </c>
      <c r="AF89" s="14" t="str">
        <f aca="false">IF($D89&lt;&gt;1,"",IF(INDEX(TblClusters[Environnement],$B89)="","(vide)",INDEX(TblClusters[Environnement],$B89)))</f>
        <v>PRD</v>
      </c>
      <c r="AG89" s="14" t="n">
        <f aca="false">IF($D89&lt;&gt;1,"",$R89+p_poidsram*$S89)</f>
        <v>398.4</v>
      </c>
      <c r="AH89" s="14" t="n">
        <f aca="false">IF($D89&lt;&gt;1,"",IFERROR($W89/$AG89,0))</f>
        <v>33.2530120481928</v>
      </c>
      <c r="AI89" s="14" t="n">
        <f aca="false">IF($D89&lt;&gt;1,"",IF(AND($G89="IKS",ISNUMBER(INDEX(TblClusters[Fermeture retenue],$B89))),IF($E89&gt;=INDEX(TblClusters[Fermeture retenue],$B89),1,0),0))</f>
        <v>0</v>
      </c>
    </row>
    <row r="90" customFormat="false" ht="15" hidden="false" customHeight="false" outlineLevel="0" collapsed="false">
      <c r="A90" s="14" t="n">
        <v>85</v>
      </c>
      <c r="B90" s="14" t="n">
        <f aca="false">INT(($A90-1)/36)+1</f>
        <v>3</v>
      </c>
      <c r="C90" s="14" t="n">
        <f aca="false">MOD($A90-1,36)+1</f>
        <v>13</v>
      </c>
      <c r="D90" s="14" t="n">
        <f aca="false">IF($C90&gt;p_horizon,0,IFERROR(IF(AND(INDEX(TblClusters[Cluster],$B90)&lt;&gt;"",ISNUMBER(INDEX(TblClusters[CPU initial (vCPU)],$B90)),ISNUMBER(INDEX(TblClusters[CPU min (vCPU)],$B90)),OR(INDEX(TblClusters[Plateforme],$B90)="IKS",INDEX(TblClusters[Plateforme],$B90)="ROKS")),1,0),0))</f>
        <v>1</v>
      </c>
      <c r="E90" s="83" t="n">
        <f aca="false">IF($D90=1,EDATE(p_debut,$C90-1),"")</f>
        <v>46661</v>
      </c>
      <c r="F90" s="14" t="str">
        <f aca="false">IF($D90=1,INDEX(TblClusters[Cluster],$B90),"")</f>
        <v>ROKS-PRD-01</v>
      </c>
      <c r="G90" s="14" t="str">
        <f aca="false">IF($D90=1,INDEX(TblClusters[Plateforme],$B90),"")</f>
        <v>ROKS</v>
      </c>
      <c r="H90" s="14" t="n">
        <f aca="false">IF($D90=1,INDEX(TblClusters[vCPU par nœud],$B90),"")</f>
        <v>32</v>
      </c>
      <c r="I90" s="14" t="n">
        <f aca="false">IF($D90=1,INDEX(TblClusters[RAM par nœud (Go)],$B90),"")</f>
        <v>160</v>
      </c>
      <c r="J90" s="14" t="n">
        <f aca="false">IF($D90=1,INDEX(TblClusters[Workers min],$B90),"")</f>
        <v>6</v>
      </c>
      <c r="K90" s="84" t="n">
        <f aca="false">IF($D90=1,INDEX(TblClusters[Tarif par nœud],$B90),"")</f>
        <v>1472</v>
      </c>
      <c r="L90" s="14" t="n">
        <f aca="false">IF($D90=1,INDEX(TblClusters[CPU initial (vCPU)],$B90),"")</f>
        <v>192</v>
      </c>
      <c r="M90" s="14" t="n">
        <f aca="false">IF($D90=1,INDEX(TblClusters[RAM initiale (Go)],$B90),"")</f>
        <v>960</v>
      </c>
      <c r="N90" s="14" t="n">
        <f aca="false">IF($D90=1,INDEX(TblClusters[CPU min (vCPU)],$B90),"")</f>
        <v>192</v>
      </c>
      <c r="O90" s="14" t="n">
        <f aca="false">IF($D90=1,INDEX(TblClusters[RAM min (Go)],$B90),"")</f>
        <v>960</v>
      </c>
      <c r="P90" s="14" t="n">
        <f aca="false">IF($D90&lt;&gt;1,"",IF($G90="ROKS",SUMIFS(TblApplications[Besoin ROKS CPU (vCPU)],TblApplications[Cluster ROKS cible],$F90,TblApplications[Action],"À migrer",TblApplications[Déjà incluse ROKS],"Non",TblApplications[Mois prov (calc)],"&lt;="&amp;$E90),SUMIFS(TblApplications[CPU IKS libérable (vCPU)],TblApplications[Cluster IKS source],$F90,TblApplications[Mois lib (calc)],"&lt;="&amp;$E90)))</f>
        <v>72</v>
      </c>
      <c r="Q90" s="14" t="n">
        <f aca="false">IF($D90&lt;&gt;1,"",IF($G90="ROKS",SUMIFS(TblApplications[Besoin ROKS RAM (Go)],TblApplications[Cluster ROKS cible],$F90,TblApplications[Action],"À migrer",TblApplications[Déjà incluse ROKS],"Non",TblApplications[Mois prov (calc)],"&lt;="&amp;$E90),SUMIFS(TblApplications[RAM IKS libérable (Go)],TblApplications[Cluster IKS source],$F90,TblApplications[Mois lib (calc)],"&lt;="&amp;$E90)))</f>
        <v>384</v>
      </c>
      <c r="R90" s="14" t="n">
        <f aca="false">IF($D90&lt;&gt;1,"",IF($G90="ROKS",$L90+$P90,IF($AI90=1,0,MAX($N90,$L90-$P90))))</f>
        <v>264</v>
      </c>
      <c r="S90" s="14" t="n">
        <f aca="false">IF($D90&lt;&gt;1,"",IF($G90="ROKS",$M90+$Q90,IF($AI90=1,0,MAX($O90,$M90-$Q90))))</f>
        <v>1344</v>
      </c>
      <c r="T90" s="14" t="n">
        <f aca="false">IF($D90&lt;&gt;1,"",IF($AI90=1,0,MAX($J90,ROUNDUP(MAX($R90/$H90,$S90/$I90),0))))</f>
        <v>9</v>
      </c>
      <c r="U90" s="14" t="n">
        <f aca="false">IF($D90&lt;&gt;1,"",IF(p_mode="Nœud",$T90*$H90,$R90))</f>
        <v>288</v>
      </c>
      <c r="V90" s="14" t="n">
        <f aca="false">IF($D90&lt;&gt;1,"",IF(p_mode="Nœud",$T90*$I90,$S90))</f>
        <v>1440</v>
      </c>
      <c r="W90" s="84" t="n">
        <f aca="false">IF($D90&lt;&gt;1,"",IF(p_mode="Nœud",$T90*$K90,$R90*IF($G90="IKS",p_iks_cpu,p_roks_cpu)+$S90*IF($G90="IKS",p_iks_ram,p_roks_ram))*p_facteur)</f>
        <v>13248</v>
      </c>
      <c r="X90" s="14" t="n">
        <f aca="false">IF($D90&lt;&gt;1,"",IF($G90="ROKS",$R90,IF($AI90=1,0,MAX($N90,$L90-SUMIFS(TblApplications[CPU IKS libérable (vCPU)],TblApplications[Cluster IKS source],$F90,TblApplications[Action],"À migrer",TblApplications[Mois prov (calc)],"&lt;="&amp;$E90)-SUMIFS(TblApplications[CPU IKS libérable (vCPU)],TblApplications[Cluster IKS source],$F90,TblApplications[Action],"À décommissionner",TblApplications[Mois lib (calc)],"&lt;="&amp;$E90)))))</f>
        <v>264</v>
      </c>
      <c r="Y90" s="14" t="n">
        <f aca="false">IF($D90&lt;&gt;1,"",IF($G90="ROKS",$S90,IF($AI90=1,0,MAX($O90,$M90-SUMIFS(TblApplications[RAM IKS libérable (Go)],TblApplications[Cluster IKS source],$F90,TblApplications[Action],"À migrer",TblApplications[Mois prov (calc)],"&lt;="&amp;$E90)-SUMIFS(TblApplications[RAM IKS libérable (Go)],TblApplications[Cluster IKS source],$F90,TblApplications[Action],"À décommissionner",TblApplications[Mois lib (calc)],"&lt;="&amp;$E90)))))</f>
        <v>1344</v>
      </c>
      <c r="Z90" s="14" t="n">
        <f aca="false">IF($D90&lt;&gt;1,"",IF($AI90=1,0,MAX($J90,ROUNDUP(MAX($X90/$H90,$Y90/$I90),0))))</f>
        <v>9</v>
      </c>
      <c r="AA90" s="84" t="n">
        <f aca="false">IF($D90&lt;&gt;1,"",IF(p_mode="Nœud",$Z90*$K90,$X90*IF($G90="IKS",p_iks_cpu,p_roks_cpu)+$Y90*IF($G90="IKS",p_iks_ram,p_roks_ram))*p_facteur)</f>
        <v>13248</v>
      </c>
      <c r="AB90" s="14" t="n">
        <f aca="false">IF($D90&lt;&gt;1,"",MAX($J90,ROUNDUP(MAX($L90/$H90,$M90/$I90),0)))</f>
        <v>6</v>
      </c>
      <c r="AC90" s="84" t="n">
        <f aca="false">IF($D90&lt;&gt;1,"",IF(p_mode="Nœud",$AB90*$K90,$L90*IF($G90="IKS",p_iks_cpu,p_roks_cpu)+$M90*IF($G90="IKS",p_iks_ram,p_roks_ram))*p_facteur)</f>
        <v>8832</v>
      </c>
      <c r="AD90" s="14" t="n">
        <f aca="false">IF($D90&lt;&gt;1,"",IF(AND($G90="IKS",$AI90&lt;&gt;1,OR($L90-$P90&lt;$N90,$M90-$Q90&lt;$O90)),1,0))</f>
        <v>0</v>
      </c>
      <c r="AE90" s="14" t="n">
        <f aca="false">IF($D90&lt;&gt;1,"",IF(AND($G90="ROKS",$T90&gt;p_maxworkers),1,0))</f>
        <v>0</v>
      </c>
      <c r="AF90" s="14" t="str">
        <f aca="false">IF($D90&lt;&gt;1,"",IF(INDEX(TblClusters[Environnement],$B90)="","(vide)",INDEX(TblClusters[Environnement],$B90)))</f>
        <v>PRD</v>
      </c>
      <c r="AG90" s="14" t="n">
        <f aca="false">IF($D90&lt;&gt;1,"",$R90+p_poidsram*$S90)</f>
        <v>398.4</v>
      </c>
      <c r="AH90" s="14" t="n">
        <f aca="false">IF($D90&lt;&gt;1,"",IFERROR($W90/$AG90,0))</f>
        <v>33.2530120481928</v>
      </c>
      <c r="AI90" s="14" t="n">
        <f aca="false">IF($D90&lt;&gt;1,"",IF(AND($G90="IKS",ISNUMBER(INDEX(TblClusters[Fermeture retenue],$B90))),IF($E90&gt;=INDEX(TblClusters[Fermeture retenue],$B90),1,0),0))</f>
        <v>0</v>
      </c>
    </row>
    <row r="91" customFormat="false" ht="15" hidden="false" customHeight="false" outlineLevel="0" collapsed="false">
      <c r="A91" s="14" t="n">
        <v>86</v>
      </c>
      <c r="B91" s="14" t="n">
        <f aca="false">INT(($A91-1)/36)+1</f>
        <v>3</v>
      </c>
      <c r="C91" s="14" t="n">
        <f aca="false">MOD($A91-1,36)+1</f>
        <v>14</v>
      </c>
      <c r="D91" s="14" t="n">
        <f aca="false">IF($C91&gt;p_horizon,0,IFERROR(IF(AND(INDEX(TblClusters[Cluster],$B91)&lt;&gt;"",ISNUMBER(INDEX(TblClusters[CPU initial (vCPU)],$B91)),ISNUMBER(INDEX(TblClusters[CPU min (vCPU)],$B91)),OR(INDEX(TblClusters[Plateforme],$B91)="IKS",INDEX(TblClusters[Plateforme],$B91)="ROKS")),1,0),0))</f>
        <v>1</v>
      </c>
      <c r="E91" s="83" t="n">
        <f aca="false">IF($D91=1,EDATE(p_debut,$C91-1),"")</f>
        <v>46692</v>
      </c>
      <c r="F91" s="14" t="str">
        <f aca="false">IF($D91=1,INDEX(TblClusters[Cluster],$B91),"")</f>
        <v>ROKS-PRD-01</v>
      </c>
      <c r="G91" s="14" t="str">
        <f aca="false">IF($D91=1,INDEX(TblClusters[Plateforme],$B91),"")</f>
        <v>ROKS</v>
      </c>
      <c r="H91" s="14" t="n">
        <f aca="false">IF($D91=1,INDEX(TblClusters[vCPU par nœud],$B91),"")</f>
        <v>32</v>
      </c>
      <c r="I91" s="14" t="n">
        <f aca="false">IF($D91=1,INDEX(TblClusters[RAM par nœud (Go)],$B91),"")</f>
        <v>160</v>
      </c>
      <c r="J91" s="14" t="n">
        <f aca="false">IF($D91=1,INDEX(TblClusters[Workers min],$B91),"")</f>
        <v>6</v>
      </c>
      <c r="K91" s="84" t="n">
        <f aca="false">IF($D91=1,INDEX(TblClusters[Tarif par nœud],$B91),"")</f>
        <v>1472</v>
      </c>
      <c r="L91" s="14" t="n">
        <f aca="false">IF($D91=1,INDEX(TblClusters[CPU initial (vCPU)],$B91),"")</f>
        <v>192</v>
      </c>
      <c r="M91" s="14" t="n">
        <f aca="false">IF($D91=1,INDEX(TblClusters[RAM initiale (Go)],$B91),"")</f>
        <v>960</v>
      </c>
      <c r="N91" s="14" t="n">
        <f aca="false">IF($D91=1,INDEX(TblClusters[CPU min (vCPU)],$B91),"")</f>
        <v>192</v>
      </c>
      <c r="O91" s="14" t="n">
        <f aca="false">IF($D91=1,INDEX(TblClusters[RAM min (Go)],$B91),"")</f>
        <v>960</v>
      </c>
      <c r="P91" s="14" t="n">
        <f aca="false">IF($D91&lt;&gt;1,"",IF($G91="ROKS",SUMIFS(TblApplications[Besoin ROKS CPU (vCPU)],TblApplications[Cluster ROKS cible],$F91,TblApplications[Action],"À migrer",TblApplications[Déjà incluse ROKS],"Non",TblApplications[Mois prov (calc)],"&lt;="&amp;$E91),SUMIFS(TblApplications[CPU IKS libérable (vCPU)],TblApplications[Cluster IKS source],$F91,TblApplications[Mois lib (calc)],"&lt;="&amp;$E91)))</f>
        <v>72</v>
      </c>
      <c r="Q91" s="14" t="n">
        <f aca="false">IF($D91&lt;&gt;1,"",IF($G91="ROKS",SUMIFS(TblApplications[Besoin ROKS RAM (Go)],TblApplications[Cluster ROKS cible],$F91,TblApplications[Action],"À migrer",TblApplications[Déjà incluse ROKS],"Non",TblApplications[Mois prov (calc)],"&lt;="&amp;$E91),SUMIFS(TblApplications[RAM IKS libérable (Go)],TblApplications[Cluster IKS source],$F91,TblApplications[Mois lib (calc)],"&lt;="&amp;$E91)))</f>
        <v>384</v>
      </c>
      <c r="R91" s="14" t="n">
        <f aca="false">IF($D91&lt;&gt;1,"",IF($G91="ROKS",$L91+$P91,IF($AI91=1,0,MAX($N91,$L91-$P91))))</f>
        <v>264</v>
      </c>
      <c r="S91" s="14" t="n">
        <f aca="false">IF($D91&lt;&gt;1,"",IF($G91="ROKS",$M91+$Q91,IF($AI91=1,0,MAX($O91,$M91-$Q91))))</f>
        <v>1344</v>
      </c>
      <c r="T91" s="14" t="n">
        <f aca="false">IF($D91&lt;&gt;1,"",IF($AI91=1,0,MAX($J91,ROUNDUP(MAX($R91/$H91,$S91/$I91),0))))</f>
        <v>9</v>
      </c>
      <c r="U91" s="14" t="n">
        <f aca="false">IF($D91&lt;&gt;1,"",IF(p_mode="Nœud",$T91*$H91,$R91))</f>
        <v>288</v>
      </c>
      <c r="V91" s="14" t="n">
        <f aca="false">IF($D91&lt;&gt;1,"",IF(p_mode="Nœud",$T91*$I91,$S91))</f>
        <v>1440</v>
      </c>
      <c r="W91" s="84" t="n">
        <f aca="false">IF($D91&lt;&gt;1,"",IF(p_mode="Nœud",$T91*$K91,$R91*IF($G91="IKS",p_iks_cpu,p_roks_cpu)+$S91*IF($G91="IKS",p_iks_ram,p_roks_ram))*p_facteur)</f>
        <v>13248</v>
      </c>
      <c r="X91" s="14" t="n">
        <f aca="false">IF($D91&lt;&gt;1,"",IF($G91="ROKS",$R91,IF($AI91=1,0,MAX($N91,$L91-SUMIFS(TblApplications[CPU IKS libérable (vCPU)],TblApplications[Cluster IKS source],$F91,TblApplications[Action],"À migrer",TblApplications[Mois prov (calc)],"&lt;="&amp;$E91)-SUMIFS(TblApplications[CPU IKS libérable (vCPU)],TblApplications[Cluster IKS source],$F91,TblApplications[Action],"À décommissionner",TblApplications[Mois lib (calc)],"&lt;="&amp;$E91)))))</f>
        <v>264</v>
      </c>
      <c r="Y91" s="14" t="n">
        <f aca="false">IF($D91&lt;&gt;1,"",IF($G91="ROKS",$S91,IF($AI91=1,0,MAX($O91,$M91-SUMIFS(TblApplications[RAM IKS libérable (Go)],TblApplications[Cluster IKS source],$F91,TblApplications[Action],"À migrer",TblApplications[Mois prov (calc)],"&lt;="&amp;$E91)-SUMIFS(TblApplications[RAM IKS libérable (Go)],TblApplications[Cluster IKS source],$F91,TblApplications[Action],"À décommissionner",TblApplications[Mois lib (calc)],"&lt;="&amp;$E91)))))</f>
        <v>1344</v>
      </c>
      <c r="Z91" s="14" t="n">
        <f aca="false">IF($D91&lt;&gt;1,"",IF($AI91=1,0,MAX($J91,ROUNDUP(MAX($X91/$H91,$Y91/$I91),0))))</f>
        <v>9</v>
      </c>
      <c r="AA91" s="84" t="n">
        <f aca="false">IF($D91&lt;&gt;1,"",IF(p_mode="Nœud",$Z91*$K91,$X91*IF($G91="IKS",p_iks_cpu,p_roks_cpu)+$Y91*IF($G91="IKS",p_iks_ram,p_roks_ram))*p_facteur)</f>
        <v>13248</v>
      </c>
      <c r="AB91" s="14" t="n">
        <f aca="false">IF($D91&lt;&gt;1,"",MAX($J91,ROUNDUP(MAX($L91/$H91,$M91/$I91),0)))</f>
        <v>6</v>
      </c>
      <c r="AC91" s="84" t="n">
        <f aca="false">IF($D91&lt;&gt;1,"",IF(p_mode="Nœud",$AB91*$K91,$L91*IF($G91="IKS",p_iks_cpu,p_roks_cpu)+$M91*IF($G91="IKS",p_iks_ram,p_roks_ram))*p_facteur)</f>
        <v>8832</v>
      </c>
      <c r="AD91" s="14" t="n">
        <f aca="false">IF($D91&lt;&gt;1,"",IF(AND($G91="IKS",$AI91&lt;&gt;1,OR($L91-$P91&lt;$N91,$M91-$Q91&lt;$O91)),1,0))</f>
        <v>0</v>
      </c>
      <c r="AE91" s="14" t="n">
        <f aca="false">IF($D91&lt;&gt;1,"",IF(AND($G91="ROKS",$T91&gt;p_maxworkers),1,0))</f>
        <v>0</v>
      </c>
      <c r="AF91" s="14" t="str">
        <f aca="false">IF($D91&lt;&gt;1,"",IF(INDEX(TblClusters[Environnement],$B91)="","(vide)",INDEX(TblClusters[Environnement],$B91)))</f>
        <v>PRD</v>
      </c>
      <c r="AG91" s="14" t="n">
        <f aca="false">IF($D91&lt;&gt;1,"",$R91+p_poidsram*$S91)</f>
        <v>398.4</v>
      </c>
      <c r="AH91" s="14" t="n">
        <f aca="false">IF($D91&lt;&gt;1,"",IFERROR($W91/$AG91,0))</f>
        <v>33.2530120481928</v>
      </c>
      <c r="AI91" s="14" t="n">
        <f aca="false">IF($D91&lt;&gt;1,"",IF(AND($G91="IKS",ISNUMBER(INDEX(TblClusters[Fermeture retenue],$B91))),IF($E91&gt;=INDEX(TblClusters[Fermeture retenue],$B91),1,0),0))</f>
        <v>0</v>
      </c>
    </row>
    <row r="92" customFormat="false" ht="15" hidden="false" customHeight="false" outlineLevel="0" collapsed="false">
      <c r="A92" s="14" t="n">
        <v>87</v>
      </c>
      <c r="B92" s="14" t="n">
        <f aca="false">INT(($A92-1)/36)+1</f>
        <v>3</v>
      </c>
      <c r="C92" s="14" t="n">
        <f aca="false">MOD($A92-1,36)+1</f>
        <v>15</v>
      </c>
      <c r="D92" s="14" t="n">
        <f aca="false">IF($C92&gt;p_horizon,0,IFERROR(IF(AND(INDEX(TblClusters[Cluster],$B92)&lt;&gt;"",ISNUMBER(INDEX(TblClusters[CPU initial (vCPU)],$B92)),ISNUMBER(INDEX(TblClusters[CPU min (vCPU)],$B92)),OR(INDEX(TblClusters[Plateforme],$B92)="IKS",INDEX(TblClusters[Plateforme],$B92)="ROKS")),1,0),0))</f>
        <v>1</v>
      </c>
      <c r="E92" s="83" t="n">
        <f aca="false">IF($D92=1,EDATE(p_debut,$C92-1),"")</f>
        <v>46722</v>
      </c>
      <c r="F92" s="14" t="str">
        <f aca="false">IF($D92=1,INDEX(TblClusters[Cluster],$B92),"")</f>
        <v>ROKS-PRD-01</v>
      </c>
      <c r="G92" s="14" t="str">
        <f aca="false">IF($D92=1,INDEX(TblClusters[Plateforme],$B92),"")</f>
        <v>ROKS</v>
      </c>
      <c r="H92" s="14" t="n">
        <f aca="false">IF($D92=1,INDEX(TblClusters[vCPU par nœud],$B92),"")</f>
        <v>32</v>
      </c>
      <c r="I92" s="14" t="n">
        <f aca="false">IF($D92=1,INDEX(TblClusters[RAM par nœud (Go)],$B92),"")</f>
        <v>160</v>
      </c>
      <c r="J92" s="14" t="n">
        <f aca="false">IF($D92=1,INDEX(TblClusters[Workers min],$B92),"")</f>
        <v>6</v>
      </c>
      <c r="K92" s="84" t="n">
        <f aca="false">IF($D92=1,INDEX(TblClusters[Tarif par nœud],$B92),"")</f>
        <v>1472</v>
      </c>
      <c r="L92" s="14" t="n">
        <f aca="false">IF($D92=1,INDEX(TblClusters[CPU initial (vCPU)],$B92),"")</f>
        <v>192</v>
      </c>
      <c r="M92" s="14" t="n">
        <f aca="false">IF($D92=1,INDEX(TblClusters[RAM initiale (Go)],$B92),"")</f>
        <v>960</v>
      </c>
      <c r="N92" s="14" t="n">
        <f aca="false">IF($D92=1,INDEX(TblClusters[CPU min (vCPU)],$B92),"")</f>
        <v>192</v>
      </c>
      <c r="O92" s="14" t="n">
        <f aca="false">IF($D92=1,INDEX(TblClusters[RAM min (Go)],$B92),"")</f>
        <v>960</v>
      </c>
      <c r="P92" s="14" t="n">
        <f aca="false">IF($D92&lt;&gt;1,"",IF($G92="ROKS",SUMIFS(TblApplications[Besoin ROKS CPU (vCPU)],TblApplications[Cluster ROKS cible],$F92,TblApplications[Action],"À migrer",TblApplications[Déjà incluse ROKS],"Non",TblApplications[Mois prov (calc)],"&lt;="&amp;$E92),SUMIFS(TblApplications[CPU IKS libérable (vCPU)],TblApplications[Cluster IKS source],$F92,TblApplications[Mois lib (calc)],"&lt;="&amp;$E92)))</f>
        <v>72</v>
      </c>
      <c r="Q92" s="14" t="n">
        <f aca="false">IF($D92&lt;&gt;1,"",IF($G92="ROKS",SUMIFS(TblApplications[Besoin ROKS RAM (Go)],TblApplications[Cluster ROKS cible],$F92,TblApplications[Action],"À migrer",TblApplications[Déjà incluse ROKS],"Non",TblApplications[Mois prov (calc)],"&lt;="&amp;$E92),SUMIFS(TblApplications[RAM IKS libérable (Go)],TblApplications[Cluster IKS source],$F92,TblApplications[Mois lib (calc)],"&lt;="&amp;$E92)))</f>
        <v>384</v>
      </c>
      <c r="R92" s="14" t="n">
        <f aca="false">IF($D92&lt;&gt;1,"",IF($G92="ROKS",$L92+$P92,IF($AI92=1,0,MAX($N92,$L92-$P92))))</f>
        <v>264</v>
      </c>
      <c r="S92" s="14" t="n">
        <f aca="false">IF($D92&lt;&gt;1,"",IF($G92="ROKS",$M92+$Q92,IF($AI92=1,0,MAX($O92,$M92-$Q92))))</f>
        <v>1344</v>
      </c>
      <c r="T92" s="14" t="n">
        <f aca="false">IF($D92&lt;&gt;1,"",IF($AI92=1,0,MAX($J92,ROUNDUP(MAX($R92/$H92,$S92/$I92),0))))</f>
        <v>9</v>
      </c>
      <c r="U92" s="14" t="n">
        <f aca="false">IF($D92&lt;&gt;1,"",IF(p_mode="Nœud",$T92*$H92,$R92))</f>
        <v>288</v>
      </c>
      <c r="V92" s="14" t="n">
        <f aca="false">IF($D92&lt;&gt;1,"",IF(p_mode="Nœud",$T92*$I92,$S92))</f>
        <v>1440</v>
      </c>
      <c r="W92" s="84" t="n">
        <f aca="false">IF($D92&lt;&gt;1,"",IF(p_mode="Nœud",$T92*$K92,$R92*IF($G92="IKS",p_iks_cpu,p_roks_cpu)+$S92*IF($G92="IKS",p_iks_ram,p_roks_ram))*p_facteur)</f>
        <v>13248</v>
      </c>
      <c r="X92" s="14" t="n">
        <f aca="false">IF($D92&lt;&gt;1,"",IF($G92="ROKS",$R92,IF($AI92=1,0,MAX($N92,$L92-SUMIFS(TblApplications[CPU IKS libérable (vCPU)],TblApplications[Cluster IKS source],$F92,TblApplications[Action],"À migrer",TblApplications[Mois prov (calc)],"&lt;="&amp;$E92)-SUMIFS(TblApplications[CPU IKS libérable (vCPU)],TblApplications[Cluster IKS source],$F92,TblApplications[Action],"À décommissionner",TblApplications[Mois lib (calc)],"&lt;="&amp;$E92)))))</f>
        <v>264</v>
      </c>
      <c r="Y92" s="14" t="n">
        <f aca="false">IF($D92&lt;&gt;1,"",IF($G92="ROKS",$S92,IF($AI92=1,0,MAX($O92,$M92-SUMIFS(TblApplications[RAM IKS libérable (Go)],TblApplications[Cluster IKS source],$F92,TblApplications[Action],"À migrer",TblApplications[Mois prov (calc)],"&lt;="&amp;$E92)-SUMIFS(TblApplications[RAM IKS libérable (Go)],TblApplications[Cluster IKS source],$F92,TblApplications[Action],"À décommissionner",TblApplications[Mois lib (calc)],"&lt;="&amp;$E92)))))</f>
        <v>1344</v>
      </c>
      <c r="Z92" s="14" t="n">
        <f aca="false">IF($D92&lt;&gt;1,"",IF($AI92=1,0,MAX($J92,ROUNDUP(MAX($X92/$H92,$Y92/$I92),0))))</f>
        <v>9</v>
      </c>
      <c r="AA92" s="84" t="n">
        <f aca="false">IF($D92&lt;&gt;1,"",IF(p_mode="Nœud",$Z92*$K92,$X92*IF($G92="IKS",p_iks_cpu,p_roks_cpu)+$Y92*IF($G92="IKS",p_iks_ram,p_roks_ram))*p_facteur)</f>
        <v>13248</v>
      </c>
      <c r="AB92" s="14" t="n">
        <f aca="false">IF($D92&lt;&gt;1,"",MAX($J92,ROUNDUP(MAX($L92/$H92,$M92/$I92),0)))</f>
        <v>6</v>
      </c>
      <c r="AC92" s="84" t="n">
        <f aca="false">IF($D92&lt;&gt;1,"",IF(p_mode="Nœud",$AB92*$K92,$L92*IF($G92="IKS",p_iks_cpu,p_roks_cpu)+$M92*IF($G92="IKS",p_iks_ram,p_roks_ram))*p_facteur)</f>
        <v>8832</v>
      </c>
      <c r="AD92" s="14" t="n">
        <f aca="false">IF($D92&lt;&gt;1,"",IF(AND($G92="IKS",$AI92&lt;&gt;1,OR($L92-$P92&lt;$N92,$M92-$Q92&lt;$O92)),1,0))</f>
        <v>0</v>
      </c>
      <c r="AE92" s="14" t="n">
        <f aca="false">IF($D92&lt;&gt;1,"",IF(AND($G92="ROKS",$T92&gt;p_maxworkers),1,0))</f>
        <v>0</v>
      </c>
      <c r="AF92" s="14" t="str">
        <f aca="false">IF($D92&lt;&gt;1,"",IF(INDEX(TblClusters[Environnement],$B92)="","(vide)",INDEX(TblClusters[Environnement],$B92)))</f>
        <v>PRD</v>
      </c>
      <c r="AG92" s="14" t="n">
        <f aca="false">IF($D92&lt;&gt;1,"",$R92+p_poidsram*$S92)</f>
        <v>398.4</v>
      </c>
      <c r="AH92" s="14" t="n">
        <f aca="false">IF($D92&lt;&gt;1,"",IFERROR($W92/$AG92,0))</f>
        <v>33.2530120481928</v>
      </c>
      <c r="AI92" s="14" t="n">
        <f aca="false">IF($D92&lt;&gt;1,"",IF(AND($G92="IKS",ISNUMBER(INDEX(TblClusters[Fermeture retenue],$B92))),IF($E92&gt;=INDEX(TblClusters[Fermeture retenue],$B92),1,0),0))</f>
        <v>0</v>
      </c>
    </row>
    <row r="93" customFormat="false" ht="15" hidden="false" customHeight="false" outlineLevel="0" collapsed="false">
      <c r="A93" s="14" t="n">
        <v>88</v>
      </c>
      <c r="B93" s="14" t="n">
        <f aca="false">INT(($A93-1)/36)+1</f>
        <v>3</v>
      </c>
      <c r="C93" s="14" t="n">
        <f aca="false">MOD($A93-1,36)+1</f>
        <v>16</v>
      </c>
      <c r="D93" s="14" t="n">
        <f aca="false">IF($C93&gt;p_horizon,0,IFERROR(IF(AND(INDEX(TblClusters[Cluster],$B93)&lt;&gt;"",ISNUMBER(INDEX(TblClusters[CPU initial (vCPU)],$B93)),ISNUMBER(INDEX(TblClusters[CPU min (vCPU)],$B93)),OR(INDEX(TblClusters[Plateforme],$B93)="IKS",INDEX(TblClusters[Plateforme],$B93)="ROKS")),1,0),0))</f>
        <v>1</v>
      </c>
      <c r="E93" s="83" t="n">
        <f aca="false">IF($D93=1,EDATE(p_debut,$C93-1),"")</f>
        <v>46753</v>
      </c>
      <c r="F93" s="14" t="str">
        <f aca="false">IF($D93=1,INDEX(TblClusters[Cluster],$B93),"")</f>
        <v>ROKS-PRD-01</v>
      </c>
      <c r="G93" s="14" t="str">
        <f aca="false">IF($D93=1,INDEX(TblClusters[Plateforme],$B93),"")</f>
        <v>ROKS</v>
      </c>
      <c r="H93" s="14" t="n">
        <f aca="false">IF($D93=1,INDEX(TblClusters[vCPU par nœud],$B93),"")</f>
        <v>32</v>
      </c>
      <c r="I93" s="14" t="n">
        <f aca="false">IF($D93=1,INDEX(TblClusters[RAM par nœud (Go)],$B93),"")</f>
        <v>160</v>
      </c>
      <c r="J93" s="14" t="n">
        <f aca="false">IF($D93=1,INDEX(TblClusters[Workers min],$B93),"")</f>
        <v>6</v>
      </c>
      <c r="K93" s="84" t="n">
        <f aca="false">IF($D93=1,INDEX(TblClusters[Tarif par nœud],$B93),"")</f>
        <v>1472</v>
      </c>
      <c r="L93" s="14" t="n">
        <f aca="false">IF($D93=1,INDEX(TblClusters[CPU initial (vCPU)],$B93),"")</f>
        <v>192</v>
      </c>
      <c r="M93" s="14" t="n">
        <f aca="false">IF($D93=1,INDEX(TblClusters[RAM initiale (Go)],$B93),"")</f>
        <v>960</v>
      </c>
      <c r="N93" s="14" t="n">
        <f aca="false">IF($D93=1,INDEX(TblClusters[CPU min (vCPU)],$B93),"")</f>
        <v>192</v>
      </c>
      <c r="O93" s="14" t="n">
        <f aca="false">IF($D93=1,INDEX(TblClusters[RAM min (Go)],$B93),"")</f>
        <v>960</v>
      </c>
      <c r="P93" s="14" t="n">
        <f aca="false">IF($D93&lt;&gt;1,"",IF($G93="ROKS",SUMIFS(TblApplications[Besoin ROKS CPU (vCPU)],TblApplications[Cluster ROKS cible],$F93,TblApplications[Action],"À migrer",TblApplications[Déjà incluse ROKS],"Non",TblApplications[Mois prov (calc)],"&lt;="&amp;$E93),SUMIFS(TblApplications[CPU IKS libérable (vCPU)],TblApplications[Cluster IKS source],$F93,TblApplications[Mois lib (calc)],"&lt;="&amp;$E93)))</f>
        <v>132</v>
      </c>
      <c r="Q93" s="14" t="n">
        <f aca="false">IF($D93&lt;&gt;1,"",IF($G93="ROKS",SUMIFS(TblApplications[Besoin ROKS RAM (Go)],TblApplications[Cluster ROKS cible],$F93,TblApplications[Action],"À migrer",TblApplications[Déjà incluse ROKS],"Non",TblApplications[Mois prov (calc)],"&lt;="&amp;$E93),SUMIFS(TblApplications[RAM IKS libérable (Go)],TblApplications[Cluster IKS source],$F93,TblApplications[Mois lib (calc)],"&lt;="&amp;$E93)))</f>
        <v>720</v>
      </c>
      <c r="R93" s="14" t="n">
        <f aca="false">IF($D93&lt;&gt;1,"",IF($G93="ROKS",$L93+$P93,IF($AI93=1,0,MAX($N93,$L93-$P93))))</f>
        <v>324</v>
      </c>
      <c r="S93" s="14" t="n">
        <f aca="false">IF($D93&lt;&gt;1,"",IF($G93="ROKS",$M93+$Q93,IF($AI93=1,0,MAX($O93,$M93-$Q93))))</f>
        <v>1680</v>
      </c>
      <c r="T93" s="14" t="n">
        <f aca="false">IF($D93&lt;&gt;1,"",IF($AI93=1,0,MAX($J93,ROUNDUP(MAX($R93/$H93,$S93/$I93),0))))</f>
        <v>11</v>
      </c>
      <c r="U93" s="14" t="n">
        <f aca="false">IF($D93&lt;&gt;1,"",IF(p_mode="Nœud",$T93*$H93,$R93))</f>
        <v>352</v>
      </c>
      <c r="V93" s="14" t="n">
        <f aca="false">IF($D93&lt;&gt;1,"",IF(p_mode="Nœud",$T93*$I93,$S93))</f>
        <v>1760</v>
      </c>
      <c r="W93" s="84" t="n">
        <f aca="false">IF($D93&lt;&gt;1,"",IF(p_mode="Nœud",$T93*$K93,$R93*IF($G93="IKS",p_iks_cpu,p_roks_cpu)+$S93*IF($G93="IKS",p_iks_ram,p_roks_ram))*p_facteur)</f>
        <v>16192</v>
      </c>
      <c r="X93" s="14" t="n">
        <f aca="false">IF($D93&lt;&gt;1,"",IF($G93="ROKS",$R93,IF($AI93=1,0,MAX($N93,$L93-SUMIFS(TblApplications[CPU IKS libérable (vCPU)],TblApplications[Cluster IKS source],$F93,TblApplications[Action],"À migrer",TblApplications[Mois prov (calc)],"&lt;="&amp;$E93)-SUMIFS(TblApplications[CPU IKS libérable (vCPU)],TblApplications[Cluster IKS source],$F93,TblApplications[Action],"À décommissionner",TblApplications[Mois lib (calc)],"&lt;="&amp;$E93)))))</f>
        <v>324</v>
      </c>
      <c r="Y93" s="14" t="n">
        <f aca="false">IF($D93&lt;&gt;1,"",IF($G93="ROKS",$S93,IF($AI93=1,0,MAX($O93,$M93-SUMIFS(TblApplications[RAM IKS libérable (Go)],TblApplications[Cluster IKS source],$F93,TblApplications[Action],"À migrer",TblApplications[Mois prov (calc)],"&lt;="&amp;$E93)-SUMIFS(TblApplications[RAM IKS libérable (Go)],TblApplications[Cluster IKS source],$F93,TblApplications[Action],"À décommissionner",TblApplications[Mois lib (calc)],"&lt;="&amp;$E93)))))</f>
        <v>1680</v>
      </c>
      <c r="Z93" s="14" t="n">
        <f aca="false">IF($D93&lt;&gt;1,"",IF($AI93=1,0,MAX($J93,ROUNDUP(MAX($X93/$H93,$Y93/$I93),0))))</f>
        <v>11</v>
      </c>
      <c r="AA93" s="84" t="n">
        <f aca="false">IF($D93&lt;&gt;1,"",IF(p_mode="Nœud",$Z93*$K93,$X93*IF($G93="IKS",p_iks_cpu,p_roks_cpu)+$Y93*IF($G93="IKS",p_iks_ram,p_roks_ram))*p_facteur)</f>
        <v>16192</v>
      </c>
      <c r="AB93" s="14" t="n">
        <f aca="false">IF($D93&lt;&gt;1,"",MAX($J93,ROUNDUP(MAX($L93/$H93,$M93/$I93),0)))</f>
        <v>6</v>
      </c>
      <c r="AC93" s="84" t="n">
        <f aca="false">IF($D93&lt;&gt;1,"",IF(p_mode="Nœud",$AB93*$K93,$L93*IF($G93="IKS",p_iks_cpu,p_roks_cpu)+$M93*IF($G93="IKS",p_iks_ram,p_roks_ram))*p_facteur)</f>
        <v>8832</v>
      </c>
      <c r="AD93" s="14" t="n">
        <f aca="false">IF($D93&lt;&gt;1,"",IF(AND($G93="IKS",$AI93&lt;&gt;1,OR($L93-$P93&lt;$N93,$M93-$Q93&lt;$O93)),1,0))</f>
        <v>0</v>
      </c>
      <c r="AE93" s="14" t="n">
        <f aca="false">IF($D93&lt;&gt;1,"",IF(AND($G93="ROKS",$T93&gt;p_maxworkers),1,0))</f>
        <v>0</v>
      </c>
      <c r="AF93" s="14" t="str">
        <f aca="false">IF($D93&lt;&gt;1,"",IF(INDEX(TblClusters[Environnement],$B93)="","(vide)",INDEX(TblClusters[Environnement],$B93)))</f>
        <v>PRD</v>
      </c>
      <c r="AG93" s="14" t="n">
        <f aca="false">IF($D93&lt;&gt;1,"",$R93+p_poidsram*$S93)</f>
        <v>492</v>
      </c>
      <c r="AH93" s="14" t="n">
        <f aca="false">IF($D93&lt;&gt;1,"",IFERROR($W93/$AG93,0))</f>
        <v>32.9105691056911</v>
      </c>
      <c r="AI93" s="14" t="n">
        <f aca="false">IF($D93&lt;&gt;1,"",IF(AND($G93="IKS",ISNUMBER(INDEX(TblClusters[Fermeture retenue],$B93))),IF($E93&gt;=INDEX(TblClusters[Fermeture retenue],$B93),1,0),0))</f>
        <v>0</v>
      </c>
    </row>
    <row r="94" customFormat="false" ht="15" hidden="false" customHeight="false" outlineLevel="0" collapsed="false">
      <c r="A94" s="14" t="n">
        <v>89</v>
      </c>
      <c r="B94" s="14" t="n">
        <f aca="false">INT(($A94-1)/36)+1</f>
        <v>3</v>
      </c>
      <c r="C94" s="14" t="n">
        <f aca="false">MOD($A94-1,36)+1</f>
        <v>17</v>
      </c>
      <c r="D94" s="14" t="n">
        <f aca="false">IF($C94&gt;p_horizon,0,IFERROR(IF(AND(INDEX(TblClusters[Cluster],$B94)&lt;&gt;"",ISNUMBER(INDEX(TblClusters[CPU initial (vCPU)],$B94)),ISNUMBER(INDEX(TblClusters[CPU min (vCPU)],$B94)),OR(INDEX(TblClusters[Plateforme],$B94)="IKS",INDEX(TblClusters[Plateforme],$B94)="ROKS")),1,0),0))</f>
        <v>1</v>
      </c>
      <c r="E94" s="83" t="n">
        <f aca="false">IF($D94=1,EDATE(p_debut,$C94-1),"")</f>
        <v>46784</v>
      </c>
      <c r="F94" s="14" t="str">
        <f aca="false">IF($D94=1,INDEX(TblClusters[Cluster],$B94),"")</f>
        <v>ROKS-PRD-01</v>
      </c>
      <c r="G94" s="14" t="str">
        <f aca="false">IF($D94=1,INDEX(TblClusters[Plateforme],$B94),"")</f>
        <v>ROKS</v>
      </c>
      <c r="H94" s="14" t="n">
        <f aca="false">IF($D94=1,INDEX(TblClusters[vCPU par nœud],$B94),"")</f>
        <v>32</v>
      </c>
      <c r="I94" s="14" t="n">
        <f aca="false">IF($D94=1,INDEX(TblClusters[RAM par nœud (Go)],$B94),"")</f>
        <v>160</v>
      </c>
      <c r="J94" s="14" t="n">
        <f aca="false">IF($D94=1,INDEX(TblClusters[Workers min],$B94),"")</f>
        <v>6</v>
      </c>
      <c r="K94" s="84" t="n">
        <f aca="false">IF($D94=1,INDEX(TblClusters[Tarif par nœud],$B94),"")</f>
        <v>1472</v>
      </c>
      <c r="L94" s="14" t="n">
        <f aca="false">IF($D94=1,INDEX(TblClusters[CPU initial (vCPU)],$B94),"")</f>
        <v>192</v>
      </c>
      <c r="M94" s="14" t="n">
        <f aca="false">IF($D94=1,INDEX(TblClusters[RAM initiale (Go)],$B94),"")</f>
        <v>960</v>
      </c>
      <c r="N94" s="14" t="n">
        <f aca="false">IF($D94=1,INDEX(TblClusters[CPU min (vCPU)],$B94),"")</f>
        <v>192</v>
      </c>
      <c r="O94" s="14" t="n">
        <f aca="false">IF($D94=1,INDEX(TblClusters[RAM min (Go)],$B94),"")</f>
        <v>960</v>
      </c>
      <c r="P94" s="14" t="n">
        <f aca="false">IF($D94&lt;&gt;1,"",IF($G94="ROKS",SUMIFS(TblApplications[Besoin ROKS CPU (vCPU)],TblApplications[Cluster ROKS cible],$F94,TblApplications[Action],"À migrer",TblApplications[Déjà incluse ROKS],"Non",TblApplications[Mois prov (calc)],"&lt;="&amp;$E94),SUMIFS(TblApplications[CPU IKS libérable (vCPU)],TblApplications[Cluster IKS source],$F94,TblApplications[Mois lib (calc)],"&lt;="&amp;$E94)))</f>
        <v>132</v>
      </c>
      <c r="Q94" s="14" t="n">
        <f aca="false">IF($D94&lt;&gt;1,"",IF($G94="ROKS",SUMIFS(TblApplications[Besoin ROKS RAM (Go)],TblApplications[Cluster ROKS cible],$F94,TblApplications[Action],"À migrer",TblApplications[Déjà incluse ROKS],"Non",TblApplications[Mois prov (calc)],"&lt;="&amp;$E94),SUMIFS(TblApplications[RAM IKS libérable (Go)],TblApplications[Cluster IKS source],$F94,TblApplications[Mois lib (calc)],"&lt;="&amp;$E94)))</f>
        <v>720</v>
      </c>
      <c r="R94" s="14" t="n">
        <f aca="false">IF($D94&lt;&gt;1,"",IF($G94="ROKS",$L94+$P94,IF($AI94=1,0,MAX($N94,$L94-$P94))))</f>
        <v>324</v>
      </c>
      <c r="S94" s="14" t="n">
        <f aca="false">IF($D94&lt;&gt;1,"",IF($G94="ROKS",$M94+$Q94,IF($AI94=1,0,MAX($O94,$M94-$Q94))))</f>
        <v>1680</v>
      </c>
      <c r="T94" s="14" t="n">
        <f aca="false">IF($D94&lt;&gt;1,"",IF($AI94=1,0,MAX($J94,ROUNDUP(MAX($R94/$H94,$S94/$I94),0))))</f>
        <v>11</v>
      </c>
      <c r="U94" s="14" t="n">
        <f aca="false">IF($D94&lt;&gt;1,"",IF(p_mode="Nœud",$T94*$H94,$R94))</f>
        <v>352</v>
      </c>
      <c r="V94" s="14" t="n">
        <f aca="false">IF($D94&lt;&gt;1,"",IF(p_mode="Nœud",$T94*$I94,$S94))</f>
        <v>1760</v>
      </c>
      <c r="W94" s="84" t="n">
        <f aca="false">IF($D94&lt;&gt;1,"",IF(p_mode="Nœud",$T94*$K94,$R94*IF($G94="IKS",p_iks_cpu,p_roks_cpu)+$S94*IF($G94="IKS",p_iks_ram,p_roks_ram))*p_facteur)</f>
        <v>16192</v>
      </c>
      <c r="X94" s="14" t="n">
        <f aca="false">IF($D94&lt;&gt;1,"",IF($G94="ROKS",$R94,IF($AI94=1,0,MAX($N94,$L94-SUMIFS(TblApplications[CPU IKS libérable (vCPU)],TblApplications[Cluster IKS source],$F94,TblApplications[Action],"À migrer",TblApplications[Mois prov (calc)],"&lt;="&amp;$E94)-SUMIFS(TblApplications[CPU IKS libérable (vCPU)],TblApplications[Cluster IKS source],$F94,TblApplications[Action],"À décommissionner",TblApplications[Mois lib (calc)],"&lt;="&amp;$E94)))))</f>
        <v>324</v>
      </c>
      <c r="Y94" s="14" t="n">
        <f aca="false">IF($D94&lt;&gt;1,"",IF($G94="ROKS",$S94,IF($AI94=1,0,MAX($O94,$M94-SUMIFS(TblApplications[RAM IKS libérable (Go)],TblApplications[Cluster IKS source],$F94,TblApplications[Action],"À migrer",TblApplications[Mois prov (calc)],"&lt;="&amp;$E94)-SUMIFS(TblApplications[RAM IKS libérable (Go)],TblApplications[Cluster IKS source],$F94,TblApplications[Action],"À décommissionner",TblApplications[Mois lib (calc)],"&lt;="&amp;$E94)))))</f>
        <v>1680</v>
      </c>
      <c r="Z94" s="14" t="n">
        <f aca="false">IF($D94&lt;&gt;1,"",IF($AI94=1,0,MAX($J94,ROUNDUP(MAX($X94/$H94,$Y94/$I94),0))))</f>
        <v>11</v>
      </c>
      <c r="AA94" s="84" t="n">
        <f aca="false">IF($D94&lt;&gt;1,"",IF(p_mode="Nœud",$Z94*$K94,$X94*IF($G94="IKS",p_iks_cpu,p_roks_cpu)+$Y94*IF($G94="IKS",p_iks_ram,p_roks_ram))*p_facteur)</f>
        <v>16192</v>
      </c>
      <c r="AB94" s="14" t="n">
        <f aca="false">IF($D94&lt;&gt;1,"",MAX($J94,ROUNDUP(MAX($L94/$H94,$M94/$I94),0)))</f>
        <v>6</v>
      </c>
      <c r="AC94" s="84" t="n">
        <f aca="false">IF($D94&lt;&gt;1,"",IF(p_mode="Nœud",$AB94*$K94,$L94*IF($G94="IKS",p_iks_cpu,p_roks_cpu)+$M94*IF($G94="IKS",p_iks_ram,p_roks_ram))*p_facteur)</f>
        <v>8832</v>
      </c>
      <c r="AD94" s="14" t="n">
        <f aca="false">IF($D94&lt;&gt;1,"",IF(AND($G94="IKS",$AI94&lt;&gt;1,OR($L94-$P94&lt;$N94,$M94-$Q94&lt;$O94)),1,0))</f>
        <v>0</v>
      </c>
      <c r="AE94" s="14" t="n">
        <f aca="false">IF($D94&lt;&gt;1,"",IF(AND($G94="ROKS",$T94&gt;p_maxworkers),1,0))</f>
        <v>0</v>
      </c>
      <c r="AF94" s="14" t="str">
        <f aca="false">IF($D94&lt;&gt;1,"",IF(INDEX(TblClusters[Environnement],$B94)="","(vide)",INDEX(TblClusters[Environnement],$B94)))</f>
        <v>PRD</v>
      </c>
      <c r="AG94" s="14" t="n">
        <f aca="false">IF($D94&lt;&gt;1,"",$R94+p_poidsram*$S94)</f>
        <v>492</v>
      </c>
      <c r="AH94" s="14" t="n">
        <f aca="false">IF($D94&lt;&gt;1,"",IFERROR($W94/$AG94,0))</f>
        <v>32.9105691056911</v>
      </c>
      <c r="AI94" s="14" t="n">
        <f aca="false">IF($D94&lt;&gt;1,"",IF(AND($G94="IKS",ISNUMBER(INDEX(TblClusters[Fermeture retenue],$B94))),IF($E94&gt;=INDEX(TblClusters[Fermeture retenue],$B94),1,0),0))</f>
        <v>0</v>
      </c>
    </row>
    <row r="95" customFormat="false" ht="15" hidden="false" customHeight="false" outlineLevel="0" collapsed="false">
      <c r="A95" s="14" t="n">
        <v>90</v>
      </c>
      <c r="B95" s="14" t="n">
        <f aca="false">INT(($A95-1)/36)+1</f>
        <v>3</v>
      </c>
      <c r="C95" s="14" t="n">
        <f aca="false">MOD($A95-1,36)+1</f>
        <v>18</v>
      </c>
      <c r="D95" s="14" t="n">
        <f aca="false">IF($C95&gt;p_horizon,0,IFERROR(IF(AND(INDEX(TblClusters[Cluster],$B95)&lt;&gt;"",ISNUMBER(INDEX(TblClusters[CPU initial (vCPU)],$B95)),ISNUMBER(INDEX(TblClusters[CPU min (vCPU)],$B95)),OR(INDEX(TblClusters[Plateforme],$B95)="IKS",INDEX(TblClusters[Plateforme],$B95)="ROKS")),1,0),0))</f>
        <v>1</v>
      </c>
      <c r="E95" s="83" t="n">
        <f aca="false">IF($D95=1,EDATE(p_debut,$C95-1),"")</f>
        <v>46813</v>
      </c>
      <c r="F95" s="14" t="str">
        <f aca="false">IF($D95=1,INDEX(TblClusters[Cluster],$B95),"")</f>
        <v>ROKS-PRD-01</v>
      </c>
      <c r="G95" s="14" t="str">
        <f aca="false">IF($D95=1,INDEX(TblClusters[Plateforme],$B95),"")</f>
        <v>ROKS</v>
      </c>
      <c r="H95" s="14" t="n">
        <f aca="false">IF($D95=1,INDEX(TblClusters[vCPU par nœud],$B95),"")</f>
        <v>32</v>
      </c>
      <c r="I95" s="14" t="n">
        <f aca="false">IF($D95=1,INDEX(TblClusters[RAM par nœud (Go)],$B95),"")</f>
        <v>160</v>
      </c>
      <c r="J95" s="14" t="n">
        <f aca="false">IF($D95=1,INDEX(TblClusters[Workers min],$B95),"")</f>
        <v>6</v>
      </c>
      <c r="K95" s="84" t="n">
        <f aca="false">IF($D95=1,INDEX(TblClusters[Tarif par nœud],$B95),"")</f>
        <v>1472</v>
      </c>
      <c r="L95" s="14" t="n">
        <f aca="false">IF($D95=1,INDEX(TblClusters[CPU initial (vCPU)],$B95),"")</f>
        <v>192</v>
      </c>
      <c r="M95" s="14" t="n">
        <f aca="false">IF($D95=1,INDEX(TblClusters[RAM initiale (Go)],$B95),"")</f>
        <v>960</v>
      </c>
      <c r="N95" s="14" t="n">
        <f aca="false">IF($D95=1,INDEX(TblClusters[CPU min (vCPU)],$B95),"")</f>
        <v>192</v>
      </c>
      <c r="O95" s="14" t="n">
        <f aca="false">IF($D95=1,INDEX(TblClusters[RAM min (Go)],$B95),"")</f>
        <v>960</v>
      </c>
      <c r="P95" s="14" t="n">
        <f aca="false">IF($D95&lt;&gt;1,"",IF($G95="ROKS",SUMIFS(TblApplications[Besoin ROKS CPU (vCPU)],TblApplications[Cluster ROKS cible],$F95,TblApplications[Action],"À migrer",TblApplications[Déjà incluse ROKS],"Non",TblApplications[Mois prov (calc)],"&lt;="&amp;$E95),SUMIFS(TblApplications[CPU IKS libérable (vCPU)],TblApplications[Cluster IKS source],$F95,TblApplications[Mois lib (calc)],"&lt;="&amp;$E95)))</f>
        <v>132</v>
      </c>
      <c r="Q95" s="14" t="n">
        <f aca="false">IF($D95&lt;&gt;1,"",IF($G95="ROKS",SUMIFS(TblApplications[Besoin ROKS RAM (Go)],TblApplications[Cluster ROKS cible],$F95,TblApplications[Action],"À migrer",TblApplications[Déjà incluse ROKS],"Non",TblApplications[Mois prov (calc)],"&lt;="&amp;$E95),SUMIFS(TblApplications[RAM IKS libérable (Go)],TblApplications[Cluster IKS source],$F95,TblApplications[Mois lib (calc)],"&lt;="&amp;$E95)))</f>
        <v>720</v>
      </c>
      <c r="R95" s="14" t="n">
        <f aca="false">IF($D95&lt;&gt;1,"",IF($G95="ROKS",$L95+$P95,IF($AI95=1,0,MAX($N95,$L95-$P95))))</f>
        <v>324</v>
      </c>
      <c r="S95" s="14" t="n">
        <f aca="false">IF($D95&lt;&gt;1,"",IF($G95="ROKS",$M95+$Q95,IF($AI95=1,0,MAX($O95,$M95-$Q95))))</f>
        <v>1680</v>
      </c>
      <c r="T95" s="14" t="n">
        <f aca="false">IF($D95&lt;&gt;1,"",IF($AI95=1,0,MAX($J95,ROUNDUP(MAX($R95/$H95,$S95/$I95),0))))</f>
        <v>11</v>
      </c>
      <c r="U95" s="14" t="n">
        <f aca="false">IF($D95&lt;&gt;1,"",IF(p_mode="Nœud",$T95*$H95,$R95))</f>
        <v>352</v>
      </c>
      <c r="V95" s="14" t="n">
        <f aca="false">IF($D95&lt;&gt;1,"",IF(p_mode="Nœud",$T95*$I95,$S95))</f>
        <v>1760</v>
      </c>
      <c r="W95" s="84" t="n">
        <f aca="false">IF($D95&lt;&gt;1,"",IF(p_mode="Nœud",$T95*$K95,$R95*IF($G95="IKS",p_iks_cpu,p_roks_cpu)+$S95*IF($G95="IKS",p_iks_ram,p_roks_ram))*p_facteur)</f>
        <v>16192</v>
      </c>
      <c r="X95" s="14" t="n">
        <f aca="false">IF($D95&lt;&gt;1,"",IF($G95="ROKS",$R95,IF($AI95=1,0,MAX($N95,$L95-SUMIFS(TblApplications[CPU IKS libérable (vCPU)],TblApplications[Cluster IKS source],$F95,TblApplications[Action],"À migrer",TblApplications[Mois prov (calc)],"&lt;="&amp;$E95)-SUMIFS(TblApplications[CPU IKS libérable (vCPU)],TblApplications[Cluster IKS source],$F95,TblApplications[Action],"À décommissionner",TblApplications[Mois lib (calc)],"&lt;="&amp;$E95)))))</f>
        <v>324</v>
      </c>
      <c r="Y95" s="14" t="n">
        <f aca="false">IF($D95&lt;&gt;1,"",IF($G95="ROKS",$S95,IF($AI95=1,0,MAX($O95,$M95-SUMIFS(TblApplications[RAM IKS libérable (Go)],TblApplications[Cluster IKS source],$F95,TblApplications[Action],"À migrer",TblApplications[Mois prov (calc)],"&lt;="&amp;$E95)-SUMIFS(TblApplications[RAM IKS libérable (Go)],TblApplications[Cluster IKS source],$F95,TblApplications[Action],"À décommissionner",TblApplications[Mois lib (calc)],"&lt;="&amp;$E95)))))</f>
        <v>1680</v>
      </c>
      <c r="Z95" s="14" t="n">
        <f aca="false">IF($D95&lt;&gt;1,"",IF($AI95=1,0,MAX($J95,ROUNDUP(MAX($X95/$H95,$Y95/$I95),0))))</f>
        <v>11</v>
      </c>
      <c r="AA95" s="84" t="n">
        <f aca="false">IF($D95&lt;&gt;1,"",IF(p_mode="Nœud",$Z95*$K95,$X95*IF($G95="IKS",p_iks_cpu,p_roks_cpu)+$Y95*IF($G95="IKS",p_iks_ram,p_roks_ram))*p_facteur)</f>
        <v>16192</v>
      </c>
      <c r="AB95" s="14" t="n">
        <f aca="false">IF($D95&lt;&gt;1,"",MAX($J95,ROUNDUP(MAX($L95/$H95,$M95/$I95),0)))</f>
        <v>6</v>
      </c>
      <c r="AC95" s="84" t="n">
        <f aca="false">IF($D95&lt;&gt;1,"",IF(p_mode="Nœud",$AB95*$K95,$L95*IF($G95="IKS",p_iks_cpu,p_roks_cpu)+$M95*IF($G95="IKS",p_iks_ram,p_roks_ram))*p_facteur)</f>
        <v>8832</v>
      </c>
      <c r="AD95" s="14" t="n">
        <f aca="false">IF($D95&lt;&gt;1,"",IF(AND($G95="IKS",$AI95&lt;&gt;1,OR($L95-$P95&lt;$N95,$M95-$Q95&lt;$O95)),1,0))</f>
        <v>0</v>
      </c>
      <c r="AE95" s="14" t="n">
        <f aca="false">IF($D95&lt;&gt;1,"",IF(AND($G95="ROKS",$T95&gt;p_maxworkers),1,0))</f>
        <v>0</v>
      </c>
      <c r="AF95" s="14" t="str">
        <f aca="false">IF($D95&lt;&gt;1,"",IF(INDEX(TblClusters[Environnement],$B95)="","(vide)",INDEX(TblClusters[Environnement],$B95)))</f>
        <v>PRD</v>
      </c>
      <c r="AG95" s="14" t="n">
        <f aca="false">IF($D95&lt;&gt;1,"",$R95+p_poidsram*$S95)</f>
        <v>492</v>
      </c>
      <c r="AH95" s="14" t="n">
        <f aca="false">IF($D95&lt;&gt;1,"",IFERROR($W95/$AG95,0))</f>
        <v>32.9105691056911</v>
      </c>
      <c r="AI95" s="14" t="n">
        <f aca="false">IF($D95&lt;&gt;1,"",IF(AND($G95="IKS",ISNUMBER(INDEX(TblClusters[Fermeture retenue],$B95))),IF($E95&gt;=INDEX(TblClusters[Fermeture retenue],$B95),1,0),0))</f>
        <v>0</v>
      </c>
    </row>
    <row r="96" customFormat="false" ht="15" hidden="false" customHeight="false" outlineLevel="0" collapsed="false">
      <c r="A96" s="14" t="n">
        <v>91</v>
      </c>
      <c r="B96" s="14" t="n">
        <f aca="false">INT(($A96-1)/36)+1</f>
        <v>3</v>
      </c>
      <c r="C96" s="14" t="n">
        <f aca="false">MOD($A96-1,36)+1</f>
        <v>19</v>
      </c>
      <c r="D96" s="14" t="n">
        <f aca="false">IF($C96&gt;p_horizon,0,IFERROR(IF(AND(INDEX(TblClusters[Cluster],$B96)&lt;&gt;"",ISNUMBER(INDEX(TblClusters[CPU initial (vCPU)],$B96)),ISNUMBER(INDEX(TblClusters[CPU min (vCPU)],$B96)),OR(INDEX(TblClusters[Plateforme],$B96)="IKS",INDEX(TblClusters[Plateforme],$B96)="ROKS")),1,0),0))</f>
        <v>1</v>
      </c>
      <c r="E96" s="83" t="n">
        <f aca="false">IF($D96=1,EDATE(p_debut,$C96-1),"")</f>
        <v>46844</v>
      </c>
      <c r="F96" s="14" t="str">
        <f aca="false">IF($D96=1,INDEX(TblClusters[Cluster],$B96),"")</f>
        <v>ROKS-PRD-01</v>
      </c>
      <c r="G96" s="14" t="str">
        <f aca="false">IF($D96=1,INDEX(TblClusters[Plateforme],$B96),"")</f>
        <v>ROKS</v>
      </c>
      <c r="H96" s="14" t="n">
        <f aca="false">IF($D96=1,INDEX(TblClusters[vCPU par nœud],$B96),"")</f>
        <v>32</v>
      </c>
      <c r="I96" s="14" t="n">
        <f aca="false">IF($D96=1,INDEX(TblClusters[RAM par nœud (Go)],$B96),"")</f>
        <v>160</v>
      </c>
      <c r="J96" s="14" t="n">
        <f aca="false">IF($D96=1,INDEX(TblClusters[Workers min],$B96),"")</f>
        <v>6</v>
      </c>
      <c r="K96" s="84" t="n">
        <f aca="false">IF($D96=1,INDEX(TblClusters[Tarif par nœud],$B96),"")</f>
        <v>1472</v>
      </c>
      <c r="L96" s="14" t="n">
        <f aca="false">IF($D96=1,INDEX(TblClusters[CPU initial (vCPU)],$B96),"")</f>
        <v>192</v>
      </c>
      <c r="M96" s="14" t="n">
        <f aca="false">IF($D96=1,INDEX(TblClusters[RAM initiale (Go)],$B96),"")</f>
        <v>960</v>
      </c>
      <c r="N96" s="14" t="n">
        <f aca="false">IF($D96=1,INDEX(TblClusters[CPU min (vCPU)],$B96),"")</f>
        <v>192</v>
      </c>
      <c r="O96" s="14" t="n">
        <f aca="false">IF($D96=1,INDEX(TblClusters[RAM min (Go)],$B96),"")</f>
        <v>960</v>
      </c>
      <c r="P96" s="14" t="n">
        <f aca="false">IF($D96&lt;&gt;1,"",IF($G96="ROKS",SUMIFS(TblApplications[Besoin ROKS CPU (vCPU)],TblApplications[Cluster ROKS cible],$F96,TblApplications[Action],"À migrer",TblApplications[Déjà incluse ROKS],"Non",TblApplications[Mois prov (calc)],"&lt;="&amp;$E96),SUMIFS(TblApplications[CPU IKS libérable (vCPU)],TblApplications[Cluster IKS source],$F96,TblApplications[Mois lib (calc)],"&lt;="&amp;$E96)))</f>
        <v>132</v>
      </c>
      <c r="Q96" s="14" t="n">
        <f aca="false">IF($D96&lt;&gt;1,"",IF($G96="ROKS",SUMIFS(TblApplications[Besoin ROKS RAM (Go)],TblApplications[Cluster ROKS cible],$F96,TblApplications[Action],"À migrer",TblApplications[Déjà incluse ROKS],"Non",TblApplications[Mois prov (calc)],"&lt;="&amp;$E96),SUMIFS(TblApplications[RAM IKS libérable (Go)],TblApplications[Cluster IKS source],$F96,TblApplications[Mois lib (calc)],"&lt;="&amp;$E96)))</f>
        <v>720</v>
      </c>
      <c r="R96" s="14" t="n">
        <f aca="false">IF($D96&lt;&gt;1,"",IF($G96="ROKS",$L96+$P96,IF($AI96=1,0,MAX($N96,$L96-$P96))))</f>
        <v>324</v>
      </c>
      <c r="S96" s="14" t="n">
        <f aca="false">IF($D96&lt;&gt;1,"",IF($G96="ROKS",$M96+$Q96,IF($AI96=1,0,MAX($O96,$M96-$Q96))))</f>
        <v>1680</v>
      </c>
      <c r="T96" s="14" t="n">
        <f aca="false">IF($D96&lt;&gt;1,"",IF($AI96=1,0,MAX($J96,ROUNDUP(MAX($R96/$H96,$S96/$I96),0))))</f>
        <v>11</v>
      </c>
      <c r="U96" s="14" t="n">
        <f aca="false">IF($D96&lt;&gt;1,"",IF(p_mode="Nœud",$T96*$H96,$R96))</f>
        <v>352</v>
      </c>
      <c r="V96" s="14" t="n">
        <f aca="false">IF($D96&lt;&gt;1,"",IF(p_mode="Nœud",$T96*$I96,$S96))</f>
        <v>1760</v>
      </c>
      <c r="W96" s="84" t="n">
        <f aca="false">IF($D96&lt;&gt;1,"",IF(p_mode="Nœud",$T96*$K96,$R96*IF($G96="IKS",p_iks_cpu,p_roks_cpu)+$S96*IF($G96="IKS",p_iks_ram,p_roks_ram))*p_facteur)</f>
        <v>16192</v>
      </c>
      <c r="X96" s="14" t="n">
        <f aca="false">IF($D96&lt;&gt;1,"",IF($G96="ROKS",$R96,IF($AI96=1,0,MAX($N96,$L96-SUMIFS(TblApplications[CPU IKS libérable (vCPU)],TblApplications[Cluster IKS source],$F96,TblApplications[Action],"À migrer",TblApplications[Mois prov (calc)],"&lt;="&amp;$E96)-SUMIFS(TblApplications[CPU IKS libérable (vCPU)],TblApplications[Cluster IKS source],$F96,TblApplications[Action],"À décommissionner",TblApplications[Mois lib (calc)],"&lt;="&amp;$E96)))))</f>
        <v>324</v>
      </c>
      <c r="Y96" s="14" t="n">
        <f aca="false">IF($D96&lt;&gt;1,"",IF($G96="ROKS",$S96,IF($AI96=1,0,MAX($O96,$M96-SUMIFS(TblApplications[RAM IKS libérable (Go)],TblApplications[Cluster IKS source],$F96,TblApplications[Action],"À migrer",TblApplications[Mois prov (calc)],"&lt;="&amp;$E96)-SUMIFS(TblApplications[RAM IKS libérable (Go)],TblApplications[Cluster IKS source],$F96,TblApplications[Action],"À décommissionner",TblApplications[Mois lib (calc)],"&lt;="&amp;$E96)))))</f>
        <v>1680</v>
      </c>
      <c r="Z96" s="14" t="n">
        <f aca="false">IF($D96&lt;&gt;1,"",IF($AI96=1,0,MAX($J96,ROUNDUP(MAX($X96/$H96,$Y96/$I96),0))))</f>
        <v>11</v>
      </c>
      <c r="AA96" s="84" t="n">
        <f aca="false">IF($D96&lt;&gt;1,"",IF(p_mode="Nœud",$Z96*$K96,$X96*IF($G96="IKS",p_iks_cpu,p_roks_cpu)+$Y96*IF($G96="IKS",p_iks_ram,p_roks_ram))*p_facteur)</f>
        <v>16192</v>
      </c>
      <c r="AB96" s="14" t="n">
        <f aca="false">IF($D96&lt;&gt;1,"",MAX($J96,ROUNDUP(MAX($L96/$H96,$M96/$I96),0)))</f>
        <v>6</v>
      </c>
      <c r="AC96" s="84" t="n">
        <f aca="false">IF($D96&lt;&gt;1,"",IF(p_mode="Nœud",$AB96*$K96,$L96*IF($G96="IKS",p_iks_cpu,p_roks_cpu)+$M96*IF($G96="IKS",p_iks_ram,p_roks_ram))*p_facteur)</f>
        <v>8832</v>
      </c>
      <c r="AD96" s="14" t="n">
        <f aca="false">IF($D96&lt;&gt;1,"",IF(AND($G96="IKS",$AI96&lt;&gt;1,OR($L96-$P96&lt;$N96,$M96-$Q96&lt;$O96)),1,0))</f>
        <v>0</v>
      </c>
      <c r="AE96" s="14" t="n">
        <f aca="false">IF($D96&lt;&gt;1,"",IF(AND($G96="ROKS",$T96&gt;p_maxworkers),1,0))</f>
        <v>0</v>
      </c>
      <c r="AF96" s="14" t="str">
        <f aca="false">IF($D96&lt;&gt;1,"",IF(INDEX(TblClusters[Environnement],$B96)="","(vide)",INDEX(TblClusters[Environnement],$B96)))</f>
        <v>PRD</v>
      </c>
      <c r="AG96" s="14" t="n">
        <f aca="false">IF($D96&lt;&gt;1,"",$R96+p_poidsram*$S96)</f>
        <v>492</v>
      </c>
      <c r="AH96" s="14" t="n">
        <f aca="false">IF($D96&lt;&gt;1,"",IFERROR($W96/$AG96,0))</f>
        <v>32.9105691056911</v>
      </c>
      <c r="AI96" s="14" t="n">
        <f aca="false">IF($D96&lt;&gt;1,"",IF(AND($G96="IKS",ISNUMBER(INDEX(TblClusters[Fermeture retenue],$B96))),IF($E96&gt;=INDEX(TblClusters[Fermeture retenue],$B96),1,0),0))</f>
        <v>0</v>
      </c>
    </row>
    <row r="97" customFormat="false" ht="15" hidden="false" customHeight="false" outlineLevel="0" collapsed="false">
      <c r="A97" s="14" t="n">
        <v>92</v>
      </c>
      <c r="B97" s="14" t="n">
        <f aca="false">INT(($A97-1)/36)+1</f>
        <v>3</v>
      </c>
      <c r="C97" s="14" t="n">
        <f aca="false">MOD($A97-1,36)+1</f>
        <v>20</v>
      </c>
      <c r="D97" s="14" t="n">
        <f aca="false">IF($C97&gt;p_horizon,0,IFERROR(IF(AND(INDEX(TblClusters[Cluster],$B97)&lt;&gt;"",ISNUMBER(INDEX(TblClusters[CPU initial (vCPU)],$B97)),ISNUMBER(INDEX(TblClusters[CPU min (vCPU)],$B97)),OR(INDEX(TblClusters[Plateforme],$B97)="IKS",INDEX(TblClusters[Plateforme],$B97)="ROKS")),1,0),0))</f>
        <v>1</v>
      </c>
      <c r="E97" s="83" t="n">
        <f aca="false">IF($D97=1,EDATE(p_debut,$C97-1),"")</f>
        <v>46874</v>
      </c>
      <c r="F97" s="14" t="str">
        <f aca="false">IF($D97=1,INDEX(TblClusters[Cluster],$B97),"")</f>
        <v>ROKS-PRD-01</v>
      </c>
      <c r="G97" s="14" t="str">
        <f aca="false">IF($D97=1,INDEX(TblClusters[Plateforme],$B97),"")</f>
        <v>ROKS</v>
      </c>
      <c r="H97" s="14" t="n">
        <f aca="false">IF($D97=1,INDEX(TblClusters[vCPU par nœud],$B97),"")</f>
        <v>32</v>
      </c>
      <c r="I97" s="14" t="n">
        <f aca="false">IF($D97=1,INDEX(TblClusters[RAM par nœud (Go)],$B97),"")</f>
        <v>160</v>
      </c>
      <c r="J97" s="14" t="n">
        <f aca="false">IF($D97=1,INDEX(TblClusters[Workers min],$B97),"")</f>
        <v>6</v>
      </c>
      <c r="K97" s="84" t="n">
        <f aca="false">IF($D97=1,INDEX(TblClusters[Tarif par nœud],$B97),"")</f>
        <v>1472</v>
      </c>
      <c r="L97" s="14" t="n">
        <f aca="false">IF($D97=1,INDEX(TblClusters[CPU initial (vCPU)],$B97),"")</f>
        <v>192</v>
      </c>
      <c r="M97" s="14" t="n">
        <f aca="false">IF($D97=1,INDEX(TblClusters[RAM initiale (Go)],$B97),"")</f>
        <v>960</v>
      </c>
      <c r="N97" s="14" t="n">
        <f aca="false">IF($D97=1,INDEX(TblClusters[CPU min (vCPU)],$B97),"")</f>
        <v>192</v>
      </c>
      <c r="O97" s="14" t="n">
        <f aca="false">IF($D97=1,INDEX(TblClusters[RAM min (Go)],$B97),"")</f>
        <v>960</v>
      </c>
      <c r="P97" s="14" t="n">
        <f aca="false">IF($D97&lt;&gt;1,"",IF($G97="ROKS",SUMIFS(TblApplications[Besoin ROKS CPU (vCPU)],TblApplications[Cluster ROKS cible],$F97,TblApplications[Action],"À migrer",TblApplications[Déjà incluse ROKS],"Non",TblApplications[Mois prov (calc)],"&lt;="&amp;$E97),SUMIFS(TblApplications[CPU IKS libérable (vCPU)],TblApplications[Cluster IKS source],$F97,TblApplications[Mois lib (calc)],"&lt;="&amp;$E97)))</f>
        <v>132</v>
      </c>
      <c r="Q97" s="14" t="n">
        <f aca="false">IF($D97&lt;&gt;1,"",IF($G97="ROKS",SUMIFS(TblApplications[Besoin ROKS RAM (Go)],TblApplications[Cluster ROKS cible],$F97,TblApplications[Action],"À migrer",TblApplications[Déjà incluse ROKS],"Non",TblApplications[Mois prov (calc)],"&lt;="&amp;$E97),SUMIFS(TblApplications[RAM IKS libérable (Go)],TblApplications[Cluster IKS source],$F97,TblApplications[Mois lib (calc)],"&lt;="&amp;$E97)))</f>
        <v>720</v>
      </c>
      <c r="R97" s="14" t="n">
        <f aca="false">IF($D97&lt;&gt;1,"",IF($G97="ROKS",$L97+$P97,IF($AI97=1,0,MAX($N97,$L97-$P97))))</f>
        <v>324</v>
      </c>
      <c r="S97" s="14" t="n">
        <f aca="false">IF($D97&lt;&gt;1,"",IF($G97="ROKS",$M97+$Q97,IF($AI97=1,0,MAX($O97,$M97-$Q97))))</f>
        <v>1680</v>
      </c>
      <c r="T97" s="14" t="n">
        <f aca="false">IF($D97&lt;&gt;1,"",IF($AI97=1,0,MAX($J97,ROUNDUP(MAX($R97/$H97,$S97/$I97),0))))</f>
        <v>11</v>
      </c>
      <c r="U97" s="14" t="n">
        <f aca="false">IF($D97&lt;&gt;1,"",IF(p_mode="Nœud",$T97*$H97,$R97))</f>
        <v>352</v>
      </c>
      <c r="V97" s="14" t="n">
        <f aca="false">IF($D97&lt;&gt;1,"",IF(p_mode="Nœud",$T97*$I97,$S97))</f>
        <v>1760</v>
      </c>
      <c r="W97" s="84" t="n">
        <f aca="false">IF($D97&lt;&gt;1,"",IF(p_mode="Nœud",$T97*$K97,$R97*IF($G97="IKS",p_iks_cpu,p_roks_cpu)+$S97*IF($G97="IKS",p_iks_ram,p_roks_ram))*p_facteur)</f>
        <v>16192</v>
      </c>
      <c r="X97" s="14" t="n">
        <f aca="false">IF($D97&lt;&gt;1,"",IF($G97="ROKS",$R97,IF($AI97=1,0,MAX($N97,$L97-SUMIFS(TblApplications[CPU IKS libérable (vCPU)],TblApplications[Cluster IKS source],$F97,TblApplications[Action],"À migrer",TblApplications[Mois prov (calc)],"&lt;="&amp;$E97)-SUMIFS(TblApplications[CPU IKS libérable (vCPU)],TblApplications[Cluster IKS source],$F97,TblApplications[Action],"À décommissionner",TblApplications[Mois lib (calc)],"&lt;="&amp;$E97)))))</f>
        <v>324</v>
      </c>
      <c r="Y97" s="14" t="n">
        <f aca="false">IF($D97&lt;&gt;1,"",IF($G97="ROKS",$S97,IF($AI97=1,0,MAX($O97,$M97-SUMIFS(TblApplications[RAM IKS libérable (Go)],TblApplications[Cluster IKS source],$F97,TblApplications[Action],"À migrer",TblApplications[Mois prov (calc)],"&lt;="&amp;$E97)-SUMIFS(TblApplications[RAM IKS libérable (Go)],TblApplications[Cluster IKS source],$F97,TblApplications[Action],"À décommissionner",TblApplications[Mois lib (calc)],"&lt;="&amp;$E97)))))</f>
        <v>1680</v>
      </c>
      <c r="Z97" s="14" t="n">
        <f aca="false">IF($D97&lt;&gt;1,"",IF($AI97=1,0,MAX($J97,ROUNDUP(MAX($X97/$H97,$Y97/$I97),0))))</f>
        <v>11</v>
      </c>
      <c r="AA97" s="84" t="n">
        <f aca="false">IF($D97&lt;&gt;1,"",IF(p_mode="Nœud",$Z97*$K97,$X97*IF($G97="IKS",p_iks_cpu,p_roks_cpu)+$Y97*IF($G97="IKS",p_iks_ram,p_roks_ram))*p_facteur)</f>
        <v>16192</v>
      </c>
      <c r="AB97" s="14" t="n">
        <f aca="false">IF($D97&lt;&gt;1,"",MAX($J97,ROUNDUP(MAX($L97/$H97,$M97/$I97),0)))</f>
        <v>6</v>
      </c>
      <c r="AC97" s="84" t="n">
        <f aca="false">IF($D97&lt;&gt;1,"",IF(p_mode="Nœud",$AB97*$K97,$L97*IF($G97="IKS",p_iks_cpu,p_roks_cpu)+$M97*IF($G97="IKS",p_iks_ram,p_roks_ram))*p_facteur)</f>
        <v>8832</v>
      </c>
      <c r="AD97" s="14" t="n">
        <f aca="false">IF($D97&lt;&gt;1,"",IF(AND($G97="IKS",$AI97&lt;&gt;1,OR($L97-$P97&lt;$N97,$M97-$Q97&lt;$O97)),1,0))</f>
        <v>0</v>
      </c>
      <c r="AE97" s="14" t="n">
        <f aca="false">IF($D97&lt;&gt;1,"",IF(AND($G97="ROKS",$T97&gt;p_maxworkers),1,0))</f>
        <v>0</v>
      </c>
      <c r="AF97" s="14" t="str">
        <f aca="false">IF($D97&lt;&gt;1,"",IF(INDEX(TblClusters[Environnement],$B97)="","(vide)",INDEX(TblClusters[Environnement],$B97)))</f>
        <v>PRD</v>
      </c>
      <c r="AG97" s="14" t="n">
        <f aca="false">IF($D97&lt;&gt;1,"",$R97+p_poidsram*$S97)</f>
        <v>492</v>
      </c>
      <c r="AH97" s="14" t="n">
        <f aca="false">IF($D97&lt;&gt;1,"",IFERROR($W97/$AG97,0))</f>
        <v>32.9105691056911</v>
      </c>
      <c r="AI97" s="14" t="n">
        <f aca="false">IF($D97&lt;&gt;1,"",IF(AND($G97="IKS",ISNUMBER(INDEX(TblClusters[Fermeture retenue],$B97))),IF($E97&gt;=INDEX(TblClusters[Fermeture retenue],$B97),1,0),0))</f>
        <v>0</v>
      </c>
    </row>
    <row r="98" customFormat="false" ht="15" hidden="false" customHeight="false" outlineLevel="0" collapsed="false">
      <c r="A98" s="14" t="n">
        <v>93</v>
      </c>
      <c r="B98" s="14" t="n">
        <f aca="false">INT(($A98-1)/36)+1</f>
        <v>3</v>
      </c>
      <c r="C98" s="14" t="n">
        <f aca="false">MOD($A98-1,36)+1</f>
        <v>21</v>
      </c>
      <c r="D98" s="14" t="n">
        <f aca="false">IF($C98&gt;p_horizon,0,IFERROR(IF(AND(INDEX(TblClusters[Cluster],$B98)&lt;&gt;"",ISNUMBER(INDEX(TblClusters[CPU initial (vCPU)],$B98)),ISNUMBER(INDEX(TblClusters[CPU min (vCPU)],$B98)),OR(INDEX(TblClusters[Plateforme],$B98)="IKS",INDEX(TblClusters[Plateforme],$B98)="ROKS")),1,0),0))</f>
        <v>1</v>
      </c>
      <c r="E98" s="83" t="n">
        <f aca="false">IF($D98=1,EDATE(p_debut,$C98-1),"")</f>
        <v>46905</v>
      </c>
      <c r="F98" s="14" t="str">
        <f aca="false">IF($D98=1,INDEX(TblClusters[Cluster],$B98),"")</f>
        <v>ROKS-PRD-01</v>
      </c>
      <c r="G98" s="14" t="str">
        <f aca="false">IF($D98=1,INDEX(TblClusters[Plateforme],$B98),"")</f>
        <v>ROKS</v>
      </c>
      <c r="H98" s="14" t="n">
        <f aca="false">IF($D98=1,INDEX(TblClusters[vCPU par nœud],$B98),"")</f>
        <v>32</v>
      </c>
      <c r="I98" s="14" t="n">
        <f aca="false">IF($D98=1,INDEX(TblClusters[RAM par nœud (Go)],$B98),"")</f>
        <v>160</v>
      </c>
      <c r="J98" s="14" t="n">
        <f aca="false">IF($D98=1,INDEX(TblClusters[Workers min],$B98),"")</f>
        <v>6</v>
      </c>
      <c r="K98" s="84" t="n">
        <f aca="false">IF($D98=1,INDEX(TblClusters[Tarif par nœud],$B98),"")</f>
        <v>1472</v>
      </c>
      <c r="L98" s="14" t="n">
        <f aca="false">IF($D98=1,INDEX(TblClusters[CPU initial (vCPU)],$B98),"")</f>
        <v>192</v>
      </c>
      <c r="M98" s="14" t="n">
        <f aca="false">IF($D98=1,INDEX(TblClusters[RAM initiale (Go)],$B98),"")</f>
        <v>960</v>
      </c>
      <c r="N98" s="14" t="n">
        <f aca="false">IF($D98=1,INDEX(TblClusters[CPU min (vCPU)],$B98),"")</f>
        <v>192</v>
      </c>
      <c r="O98" s="14" t="n">
        <f aca="false">IF($D98=1,INDEX(TblClusters[RAM min (Go)],$B98),"")</f>
        <v>960</v>
      </c>
      <c r="P98" s="14" t="n">
        <f aca="false">IF($D98&lt;&gt;1,"",IF($G98="ROKS",SUMIFS(TblApplications[Besoin ROKS CPU (vCPU)],TblApplications[Cluster ROKS cible],$F98,TblApplications[Action],"À migrer",TblApplications[Déjà incluse ROKS],"Non",TblApplications[Mois prov (calc)],"&lt;="&amp;$E98),SUMIFS(TblApplications[CPU IKS libérable (vCPU)],TblApplications[Cluster IKS source],$F98,TblApplications[Mois lib (calc)],"&lt;="&amp;$E98)))</f>
        <v>132</v>
      </c>
      <c r="Q98" s="14" t="n">
        <f aca="false">IF($D98&lt;&gt;1,"",IF($G98="ROKS",SUMIFS(TblApplications[Besoin ROKS RAM (Go)],TblApplications[Cluster ROKS cible],$F98,TblApplications[Action],"À migrer",TblApplications[Déjà incluse ROKS],"Non",TblApplications[Mois prov (calc)],"&lt;="&amp;$E98),SUMIFS(TblApplications[RAM IKS libérable (Go)],TblApplications[Cluster IKS source],$F98,TblApplications[Mois lib (calc)],"&lt;="&amp;$E98)))</f>
        <v>720</v>
      </c>
      <c r="R98" s="14" t="n">
        <f aca="false">IF($D98&lt;&gt;1,"",IF($G98="ROKS",$L98+$P98,IF($AI98=1,0,MAX($N98,$L98-$P98))))</f>
        <v>324</v>
      </c>
      <c r="S98" s="14" t="n">
        <f aca="false">IF($D98&lt;&gt;1,"",IF($G98="ROKS",$M98+$Q98,IF($AI98=1,0,MAX($O98,$M98-$Q98))))</f>
        <v>1680</v>
      </c>
      <c r="T98" s="14" t="n">
        <f aca="false">IF($D98&lt;&gt;1,"",IF($AI98=1,0,MAX($J98,ROUNDUP(MAX($R98/$H98,$S98/$I98),0))))</f>
        <v>11</v>
      </c>
      <c r="U98" s="14" t="n">
        <f aca="false">IF($D98&lt;&gt;1,"",IF(p_mode="Nœud",$T98*$H98,$R98))</f>
        <v>352</v>
      </c>
      <c r="V98" s="14" t="n">
        <f aca="false">IF($D98&lt;&gt;1,"",IF(p_mode="Nœud",$T98*$I98,$S98))</f>
        <v>1760</v>
      </c>
      <c r="W98" s="84" t="n">
        <f aca="false">IF($D98&lt;&gt;1,"",IF(p_mode="Nœud",$T98*$K98,$R98*IF($G98="IKS",p_iks_cpu,p_roks_cpu)+$S98*IF($G98="IKS",p_iks_ram,p_roks_ram))*p_facteur)</f>
        <v>16192</v>
      </c>
      <c r="X98" s="14" t="n">
        <f aca="false">IF($D98&lt;&gt;1,"",IF($G98="ROKS",$R98,IF($AI98=1,0,MAX($N98,$L98-SUMIFS(TblApplications[CPU IKS libérable (vCPU)],TblApplications[Cluster IKS source],$F98,TblApplications[Action],"À migrer",TblApplications[Mois prov (calc)],"&lt;="&amp;$E98)-SUMIFS(TblApplications[CPU IKS libérable (vCPU)],TblApplications[Cluster IKS source],$F98,TblApplications[Action],"À décommissionner",TblApplications[Mois lib (calc)],"&lt;="&amp;$E98)))))</f>
        <v>324</v>
      </c>
      <c r="Y98" s="14" t="n">
        <f aca="false">IF($D98&lt;&gt;1,"",IF($G98="ROKS",$S98,IF($AI98=1,0,MAX($O98,$M98-SUMIFS(TblApplications[RAM IKS libérable (Go)],TblApplications[Cluster IKS source],$F98,TblApplications[Action],"À migrer",TblApplications[Mois prov (calc)],"&lt;="&amp;$E98)-SUMIFS(TblApplications[RAM IKS libérable (Go)],TblApplications[Cluster IKS source],$F98,TblApplications[Action],"À décommissionner",TblApplications[Mois lib (calc)],"&lt;="&amp;$E98)))))</f>
        <v>1680</v>
      </c>
      <c r="Z98" s="14" t="n">
        <f aca="false">IF($D98&lt;&gt;1,"",IF($AI98=1,0,MAX($J98,ROUNDUP(MAX($X98/$H98,$Y98/$I98),0))))</f>
        <v>11</v>
      </c>
      <c r="AA98" s="84" t="n">
        <f aca="false">IF($D98&lt;&gt;1,"",IF(p_mode="Nœud",$Z98*$K98,$X98*IF($G98="IKS",p_iks_cpu,p_roks_cpu)+$Y98*IF($G98="IKS",p_iks_ram,p_roks_ram))*p_facteur)</f>
        <v>16192</v>
      </c>
      <c r="AB98" s="14" t="n">
        <f aca="false">IF($D98&lt;&gt;1,"",MAX($J98,ROUNDUP(MAX($L98/$H98,$M98/$I98),0)))</f>
        <v>6</v>
      </c>
      <c r="AC98" s="84" t="n">
        <f aca="false">IF($D98&lt;&gt;1,"",IF(p_mode="Nœud",$AB98*$K98,$L98*IF($G98="IKS",p_iks_cpu,p_roks_cpu)+$M98*IF($G98="IKS",p_iks_ram,p_roks_ram))*p_facteur)</f>
        <v>8832</v>
      </c>
      <c r="AD98" s="14" t="n">
        <f aca="false">IF($D98&lt;&gt;1,"",IF(AND($G98="IKS",$AI98&lt;&gt;1,OR($L98-$P98&lt;$N98,$M98-$Q98&lt;$O98)),1,0))</f>
        <v>0</v>
      </c>
      <c r="AE98" s="14" t="n">
        <f aca="false">IF($D98&lt;&gt;1,"",IF(AND($G98="ROKS",$T98&gt;p_maxworkers),1,0))</f>
        <v>0</v>
      </c>
      <c r="AF98" s="14" t="str">
        <f aca="false">IF($D98&lt;&gt;1,"",IF(INDEX(TblClusters[Environnement],$B98)="","(vide)",INDEX(TblClusters[Environnement],$B98)))</f>
        <v>PRD</v>
      </c>
      <c r="AG98" s="14" t="n">
        <f aca="false">IF($D98&lt;&gt;1,"",$R98+p_poidsram*$S98)</f>
        <v>492</v>
      </c>
      <c r="AH98" s="14" t="n">
        <f aca="false">IF($D98&lt;&gt;1,"",IFERROR($W98/$AG98,0))</f>
        <v>32.9105691056911</v>
      </c>
      <c r="AI98" s="14" t="n">
        <f aca="false">IF($D98&lt;&gt;1,"",IF(AND($G98="IKS",ISNUMBER(INDEX(TblClusters[Fermeture retenue],$B98))),IF($E98&gt;=INDEX(TblClusters[Fermeture retenue],$B98),1,0),0))</f>
        <v>0</v>
      </c>
    </row>
    <row r="99" customFormat="false" ht="15" hidden="false" customHeight="false" outlineLevel="0" collapsed="false">
      <c r="A99" s="14" t="n">
        <v>94</v>
      </c>
      <c r="B99" s="14" t="n">
        <f aca="false">INT(($A99-1)/36)+1</f>
        <v>3</v>
      </c>
      <c r="C99" s="14" t="n">
        <f aca="false">MOD($A99-1,36)+1</f>
        <v>22</v>
      </c>
      <c r="D99" s="14" t="n">
        <f aca="false">IF($C99&gt;p_horizon,0,IFERROR(IF(AND(INDEX(TblClusters[Cluster],$B99)&lt;&gt;"",ISNUMBER(INDEX(TblClusters[CPU initial (vCPU)],$B99)),ISNUMBER(INDEX(TblClusters[CPU min (vCPU)],$B99)),OR(INDEX(TblClusters[Plateforme],$B99)="IKS",INDEX(TblClusters[Plateforme],$B99)="ROKS")),1,0),0))</f>
        <v>1</v>
      </c>
      <c r="E99" s="83" t="n">
        <f aca="false">IF($D99=1,EDATE(p_debut,$C99-1),"")</f>
        <v>46935</v>
      </c>
      <c r="F99" s="14" t="str">
        <f aca="false">IF($D99=1,INDEX(TblClusters[Cluster],$B99),"")</f>
        <v>ROKS-PRD-01</v>
      </c>
      <c r="G99" s="14" t="str">
        <f aca="false">IF($D99=1,INDEX(TblClusters[Plateforme],$B99),"")</f>
        <v>ROKS</v>
      </c>
      <c r="H99" s="14" t="n">
        <f aca="false">IF($D99=1,INDEX(TblClusters[vCPU par nœud],$B99),"")</f>
        <v>32</v>
      </c>
      <c r="I99" s="14" t="n">
        <f aca="false">IF($D99=1,INDEX(TblClusters[RAM par nœud (Go)],$B99),"")</f>
        <v>160</v>
      </c>
      <c r="J99" s="14" t="n">
        <f aca="false">IF($D99=1,INDEX(TblClusters[Workers min],$B99),"")</f>
        <v>6</v>
      </c>
      <c r="K99" s="84" t="n">
        <f aca="false">IF($D99=1,INDEX(TblClusters[Tarif par nœud],$B99),"")</f>
        <v>1472</v>
      </c>
      <c r="L99" s="14" t="n">
        <f aca="false">IF($D99=1,INDEX(TblClusters[CPU initial (vCPU)],$B99),"")</f>
        <v>192</v>
      </c>
      <c r="M99" s="14" t="n">
        <f aca="false">IF($D99=1,INDEX(TblClusters[RAM initiale (Go)],$B99),"")</f>
        <v>960</v>
      </c>
      <c r="N99" s="14" t="n">
        <f aca="false">IF($D99=1,INDEX(TblClusters[CPU min (vCPU)],$B99),"")</f>
        <v>192</v>
      </c>
      <c r="O99" s="14" t="n">
        <f aca="false">IF($D99=1,INDEX(TblClusters[RAM min (Go)],$B99),"")</f>
        <v>960</v>
      </c>
      <c r="P99" s="14" t="n">
        <f aca="false">IF($D99&lt;&gt;1,"",IF($G99="ROKS",SUMIFS(TblApplications[Besoin ROKS CPU (vCPU)],TblApplications[Cluster ROKS cible],$F99,TblApplications[Action],"À migrer",TblApplications[Déjà incluse ROKS],"Non",TblApplications[Mois prov (calc)],"&lt;="&amp;$E99),SUMIFS(TblApplications[CPU IKS libérable (vCPU)],TblApplications[Cluster IKS source],$F99,TblApplications[Mois lib (calc)],"&lt;="&amp;$E99)))</f>
        <v>132</v>
      </c>
      <c r="Q99" s="14" t="n">
        <f aca="false">IF($D99&lt;&gt;1,"",IF($G99="ROKS",SUMIFS(TblApplications[Besoin ROKS RAM (Go)],TblApplications[Cluster ROKS cible],$F99,TblApplications[Action],"À migrer",TblApplications[Déjà incluse ROKS],"Non",TblApplications[Mois prov (calc)],"&lt;="&amp;$E99),SUMIFS(TblApplications[RAM IKS libérable (Go)],TblApplications[Cluster IKS source],$F99,TblApplications[Mois lib (calc)],"&lt;="&amp;$E99)))</f>
        <v>720</v>
      </c>
      <c r="R99" s="14" t="n">
        <f aca="false">IF($D99&lt;&gt;1,"",IF($G99="ROKS",$L99+$P99,IF($AI99=1,0,MAX($N99,$L99-$P99))))</f>
        <v>324</v>
      </c>
      <c r="S99" s="14" t="n">
        <f aca="false">IF($D99&lt;&gt;1,"",IF($G99="ROKS",$M99+$Q99,IF($AI99=1,0,MAX($O99,$M99-$Q99))))</f>
        <v>1680</v>
      </c>
      <c r="T99" s="14" t="n">
        <f aca="false">IF($D99&lt;&gt;1,"",IF($AI99=1,0,MAX($J99,ROUNDUP(MAX($R99/$H99,$S99/$I99),0))))</f>
        <v>11</v>
      </c>
      <c r="U99" s="14" t="n">
        <f aca="false">IF($D99&lt;&gt;1,"",IF(p_mode="Nœud",$T99*$H99,$R99))</f>
        <v>352</v>
      </c>
      <c r="V99" s="14" t="n">
        <f aca="false">IF($D99&lt;&gt;1,"",IF(p_mode="Nœud",$T99*$I99,$S99))</f>
        <v>1760</v>
      </c>
      <c r="W99" s="84" t="n">
        <f aca="false">IF($D99&lt;&gt;1,"",IF(p_mode="Nœud",$T99*$K99,$R99*IF($G99="IKS",p_iks_cpu,p_roks_cpu)+$S99*IF($G99="IKS",p_iks_ram,p_roks_ram))*p_facteur)</f>
        <v>16192</v>
      </c>
      <c r="X99" s="14" t="n">
        <f aca="false">IF($D99&lt;&gt;1,"",IF($G99="ROKS",$R99,IF($AI99=1,0,MAX($N99,$L99-SUMIFS(TblApplications[CPU IKS libérable (vCPU)],TblApplications[Cluster IKS source],$F99,TblApplications[Action],"À migrer",TblApplications[Mois prov (calc)],"&lt;="&amp;$E99)-SUMIFS(TblApplications[CPU IKS libérable (vCPU)],TblApplications[Cluster IKS source],$F99,TblApplications[Action],"À décommissionner",TblApplications[Mois lib (calc)],"&lt;="&amp;$E99)))))</f>
        <v>324</v>
      </c>
      <c r="Y99" s="14" t="n">
        <f aca="false">IF($D99&lt;&gt;1,"",IF($G99="ROKS",$S99,IF($AI99=1,0,MAX($O99,$M99-SUMIFS(TblApplications[RAM IKS libérable (Go)],TblApplications[Cluster IKS source],$F99,TblApplications[Action],"À migrer",TblApplications[Mois prov (calc)],"&lt;="&amp;$E99)-SUMIFS(TblApplications[RAM IKS libérable (Go)],TblApplications[Cluster IKS source],$F99,TblApplications[Action],"À décommissionner",TblApplications[Mois lib (calc)],"&lt;="&amp;$E99)))))</f>
        <v>1680</v>
      </c>
      <c r="Z99" s="14" t="n">
        <f aca="false">IF($D99&lt;&gt;1,"",IF($AI99=1,0,MAX($J99,ROUNDUP(MAX($X99/$H99,$Y99/$I99),0))))</f>
        <v>11</v>
      </c>
      <c r="AA99" s="84" t="n">
        <f aca="false">IF($D99&lt;&gt;1,"",IF(p_mode="Nœud",$Z99*$K99,$X99*IF($G99="IKS",p_iks_cpu,p_roks_cpu)+$Y99*IF($G99="IKS",p_iks_ram,p_roks_ram))*p_facteur)</f>
        <v>16192</v>
      </c>
      <c r="AB99" s="14" t="n">
        <f aca="false">IF($D99&lt;&gt;1,"",MAX($J99,ROUNDUP(MAX($L99/$H99,$M99/$I99),0)))</f>
        <v>6</v>
      </c>
      <c r="AC99" s="84" t="n">
        <f aca="false">IF($D99&lt;&gt;1,"",IF(p_mode="Nœud",$AB99*$K99,$L99*IF($G99="IKS",p_iks_cpu,p_roks_cpu)+$M99*IF($G99="IKS",p_iks_ram,p_roks_ram))*p_facteur)</f>
        <v>8832</v>
      </c>
      <c r="AD99" s="14" t="n">
        <f aca="false">IF($D99&lt;&gt;1,"",IF(AND($G99="IKS",$AI99&lt;&gt;1,OR($L99-$P99&lt;$N99,$M99-$Q99&lt;$O99)),1,0))</f>
        <v>0</v>
      </c>
      <c r="AE99" s="14" t="n">
        <f aca="false">IF($D99&lt;&gt;1,"",IF(AND($G99="ROKS",$T99&gt;p_maxworkers),1,0))</f>
        <v>0</v>
      </c>
      <c r="AF99" s="14" t="str">
        <f aca="false">IF($D99&lt;&gt;1,"",IF(INDEX(TblClusters[Environnement],$B99)="","(vide)",INDEX(TblClusters[Environnement],$B99)))</f>
        <v>PRD</v>
      </c>
      <c r="AG99" s="14" t="n">
        <f aca="false">IF($D99&lt;&gt;1,"",$R99+p_poidsram*$S99)</f>
        <v>492</v>
      </c>
      <c r="AH99" s="14" t="n">
        <f aca="false">IF($D99&lt;&gt;1,"",IFERROR($W99/$AG99,0))</f>
        <v>32.9105691056911</v>
      </c>
      <c r="AI99" s="14" t="n">
        <f aca="false">IF($D99&lt;&gt;1,"",IF(AND($G99="IKS",ISNUMBER(INDEX(TblClusters[Fermeture retenue],$B99))),IF($E99&gt;=INDEX(TblClusters[Fermeture retenue],$B99),1,0),0))</f>
        <v>0</v>
      </c>
    </row>
    <row r="100" customFormat="false" ht="15" hidden="false" customHeight="false" outlineLevel="0" collapsed="false">
      <c r="A100" s="14" t="n">
        <v>95</v>
      </c>
      <c r="B100" s="14" t="n">
        <f aca="false">INT(($A100-1)/36)+1</f>
        <v>3</v>
      </c>
      <c r="C100" s="14" t="n">
        <f aca="false">MOD($A100-1,36)+1</f>
        <v>23</v>
      </c>
      <c r="D100" s="14" t="n">
        <f aca="false">IF($C100&gt;p_horizon,0,IFERROR(IF(AND(INDEX(TblClusters[Cluster],$B100)&lt;&gt;"",ISNUMBER(INDEX(TblClusters[CPU initial (vCPU)],$B100)),ISNUMBER(INDEX(TblClusters[CPU min (vCPU)],$B100)),OR(INDEX(TblClusters[Plateforme],$B100)="IKS",INDEX(TblClusters[Plateforme],$B100)="ROKS")),1,0),0))</f>
        <v>1</v>
      </c>
      <c r="E100" s="83" t="n">
        <f aca="false">IF($D100=1,EDATE(p_debut,$C100-1),"")</f>
        <v>46966</v>
      </c>
      <c r="F100" s="14" t="str">
        <f aca="false">IF($D100=1,INDEX(TblClusters[Cluster],$B100),"")</f>
        <v>ROKS-PRD-01</v>
      </c>
      <c r="G100" s="14" t="str">
        <f aca="false">IF($D100=1,INDEX(TblClusters[Plateforme],$B100),"")</f>
        <v>ROKS</v>
      </c>
      <c r="H100" s="14" t="n">
        <f aca="false">IF($D100=1,INDEX(TblClusters[vCPU par nœud],$B100),"")</f>
        <v>32</v>
      </c>
      <c r="I100" s="14" t="n">
        <f aca="false">IF($D100=1,INDEX(TblClusters[RAM par nœud (Go)],$B100),"")</f>
        <v>160</v>
      </c>
      <c r="J100" s="14" t="n">
        <f aca="false">IF($D100=1,INDEX(TblClusters[Workers min],$B100),"")</f>
        <v>6</v>
      </c>
      <c r="K100" s="84" t="n">
        <f aca="false">IF($D100=1,INDEX(TblClusters[Tarif par nœud],$B100),"")</f>
        <v>1472</v>
      </c>
      <c r="L100" s="14" t="n">
        <f aca="false">IF($D100=1,INDEX(TblClusters[CPU initial (vCPU)],$B100),"")</f>
        <v>192</v>
      </c>
      <c r="M100" s="14" t="n">
        <f aca="false">IF($D100=1,INDEX(TblClusters[RAM initiale (Go)],$B100),"")</f>
        <v>960</v>
      </c>
      <c r="N100" s="14" t="n">
        <f aca="false">IF($D100=1,INDEX(TblClusters[CPU min (vCPU)],$B100),"")</f>
        <v>192</v>
      </c>
      <c r="O100" s="14" t="n">
        <f aca="false">IF($D100=1,INDEX(TblClusters[RAM min (Go)],$B100),"")</f>
        <v>960</v>
      </c>
      <c r="P100" s="14" t="n">
        <f aca="false">IF($D100&lt;&gt;1,"",IF($G100="ROKS",SUMIFS(TblApplications[Besoin ROKS CPU (vCPU)],TblApplications[Cluster ROKS cible],$F100,TblApplications[Action],"À migrer",TblApplications[Déjà incluse ROKS],"Non",TblApplications[Mois prov (calc)],"&lt;="&amp;$E100),SUMIFS(TblApplications[CPU IKS libérable (vCPU)],TblApplications[Cluster IKS source],$F100,TblApplications[Mois lib (calc)],"&lt;="&amp;$E100)))</f>
        <v>132</v>
      </c>
      <c r="Q100" s="14" t="n">
        <f aca="false">IF($D100&lt;&gt;1,"",IF($G100="ROKS",SUMIFS(TblApplications[Besoin ROKS RAM (Go)],TblApplications[Cluster ROKS cible],$F100,TblApplications[Action],"À migrer",TblApplications[Déjà incluse ROKS],"Non",TblApplications[Mois prov (calc)],"&lt;="&amp;$E100),SUMIFS(TblApplications[RAM IKS libérable (Go)],TblApplications[Cluster IKS source],$F100,TblApplications[Mois lib (calc)],"&lt;="&amp;$E100)))</f>
        <v>720</v>
      </c>
      <c r="R100" s="14" t="n">
        <f aca="false">IF($D100&lt;&gt;1,"",IF($G100="ROKS",$L100+$P100,IF($AI100=1,0,MAX($N100,$L100-$P100))))</f>
        <v>324</v>
      </c>
      <c r="S100" s="14" t="n">
        <f aca="false">IF($D100&lt;&gt;1,"",IF($G100="ROKS",$M100+$Q100,IF($AI100=1,0,MAX($O100,$M100-$Q100))))</f>
        <v>1680</v>
      </c>
      <c r="T100" s="14" t="n">
        <f aca="false">IF($D100&lt;&gt;1,"",IF($AI100=1,0,MAX($J100,ROUNDUP(MAX($R100/$H100,$S100/$I100),0))))</f>
        <v>11</v>
      </c>
      <c r="U100" s="14" t="n">
        <f aca="false">IF($D100&lt;&gt;1,"",IF(p_mode="Nœud",$T100*$H100,$R100))</f>
        <v>352</v>
      </c>
      <c r="V100" s="14" t="n">
        <f aca="false">IF($D100&lt;&gt;1,"",IF(p_mode="Nœud",$T100*$I100,$S100))</f>
        <v>1760</v>
      </c>
      <c r="W100" s="84" t="n">
        <f aca="false">IF($D100&lt;&gt;1,"",IF(p_mode="Nœud",$T100*$K100,$R100*IF($G100="IKS",p_iks_cpu,p_roks_cpu)+$S100*IF($G100="IKS",p_iks_ram,p_roks_ram))*p_facteur)</f>
        <v>16192</v>
      </c>
      <c r="X100" s="14" t="n">
        <f aca="false">IF($D100&lt;&gt;1,"",IF($G100="ROKS",$R100,IF($AI100=1,0,MAX($N100,$L100-SUMIFS(TblApplications[CPU IKS libérable (vCPU)],TblApplications[Cluster IKS source],$F100,TblApplications[Action],"À migrer",TblApplications[Mois prov (calc)],"&lt;="&amp;$E100)-SUMIFS(TblApplications[CPU IKS libérable (vCPU)],TblApplications[Cluster IKS source],$F100,TblApplications[Action],"À décommissionner",TblApplications[Mois lib (calc)],"&lt;="&amp;$E100)))))</f>
        <v>324</v>
      </c>
      <c r="Y100" s="14" t="n">
        <f aca="false">IF($D100&lt;&gt;1,"",IF($G100="ROKS",$S100,IF($AI100=1,0,MAX($O100,$M100-SUMIFS(TblApplications[RAM IKS libérable (Go)],TblApplications[Cluster IKS source],$F100,TblApplications[Action],"À migrer",TblApplications[Mois prov (calc)],"&lt;="&amp;$E100)-SUMIFS(TblApplications[RAM IKS libérable (Go)],TblApplications[Cluster IKS source],$F100,TblApplications[Action],"À décommissionner",TblApplications[Mois lib (calc)],"&lt;="&amp;$E100)))))</f>
        <v>1680</v>
      </c>
      <c r="Z100" s="14" t="n">
        <f aca="false">IF($D100&lt;&gt;1,"",IF($AI100=1,0,MAX($J100,ROUNDUP(MAX($X100/$H100,$Y100/$I100),0))))</f>
        <v>11</v>
      </c>
      <c r="AA100" s="84" t="n">
        <f aca="false">IF($D100&lt;&gt;1,"",IF(p_mode="Nœud",$Z100*$K100,$X100*IF($G100="IKS",p_iks_cpu,p_roks_cpu)+$Y100*IF($G100="IKS",p_iks_ram,p_roks_ram))*p_facteur)</f>
        <v>16192</v>
      </c>
      <c r="AB100" s="14" t="n">
        <f aca="false">IF($D100&lt;&gt;1,"",MAX($J100,ROUNDUP(MAX($L100/$H100,$M100/$I100),0)))</f>
        <v>6</v>
      </c>
      <c r="AC100" s="84" t="n">
        <f aca="false">IF($D100&lt;&gt;1,"",IF(p_mode="Nœud",$AB100*$K100,$L100*IF($G100="IKS",p_iks_cpu,p_roks_cpu)+$M100*IF($G100="IKS",p_iks_ram,p_roks_ram))*p_facteur)</f>
        <v>8832</v>
      </c>
      <c r="AD100" s="14" t="n">
        <f aca="false">IF($D100&lt;&gt;1,"",IF(AND($G100="IKS",$AI100&lt;&gt;1,OR($L100-$P100&lt;$N100,$M100-$Q100&lt;$O100)),1,0))</f>
        <v>0</v>
      </c>
      <c r="AE100" s="14" t="n">
        <f aca="false">IF($D100&lt;&gt;1,"",IF(AND($G100="ROKS",$T100&gt;p_maxworkers),1,0))</f>
        <v>0</v>
      </c>
      <c r="AF100" s="14" t="str">
        <f aca="false">IF($D100&lt;&gt;1,"",IF(INDEX(TblClusters[Environnement],$B100)="","(vide)",INDEX(TblClusters[Environnement],$B100)))</f>
        <v>PRD</v>
      </c>
      <c r="AG100" s="14" t="n">
        <f aca="false">IF($D100&lt;&gt;1,"",$R100+p_poidsram*$S100)</f>
        <v>492</v>
      </c>
      <c r="AH100" s="14" t="n">
        <f aca="false">IF($D100&lt;&gt;1,"",IFERROR($W100/$AG100,0))</f>
        <v>32.9105691056911</v>
      </c>
      <c r="AI100" s="14" t="n">
        <f aca="false">IF($D100&lt;&gt;1,"",IF(AND($G100="IKS",ISNUMBER(INDEX(TblClusters[Fermeture retenue],$B100))),IF($E100&gt;=INDEX(TblClusters[Fermeture retenue],$B100),1,0),0))</f>
        <v>0</v>
      </c>
    </row>
    <row r="101" customFormat="false" ht="15" hidden="false" customHeight="false" outlineLevel="0" collapsed="false">
      <c r="A101" s="14" t="n">
        <v>96</v>
      </c>
      <c r="B101" s="14" t="n">
        <f aca="false">INT(($A101-1)/36)+1</f>
        <v>3</v>
      </c>
      <c r="C101" s="14" t="n">
        <f aca="false">MOD($A101-1,36)+1</f>
        <v>24</v>
      </c>
      <c r="D101" s="14" t="n">
        <f aca="false">IF($C101&gt;p_horizon,0,IFERROR(IF(AND(INDEX(TblClusters[Cluster],$B101)&lt;&gt;"",ISNUMBER(INDEX(TblClusters[CPU initial (vCPU)],$B101)),ISNUMBER(INDEX(TblClusters[CPU min (vCPU)],$B101)),OR(INDEX(TblClusters[Plateforme],$B101)="IKS",INDEX(TblClusters[Plateforme],$B101)="ROKS")),1,0),0))</f>
        <v>1</v>
      </c>
      <c r="E101" s="83" t="n">
        <f aca="false">IF($D101=1,EDATE(p_debut,$C101-1),"")</f>
        <v>46997</v>
      </c>
      <c r="F101" s="14" t="str">
        <f aca="false">IF($D101=1,INDEX(TblClusters[Cluster],$B101),"")</f>
        <v>ROKS-PRD-01</v>
      </c>
      <c r="G101" s="14" t="str">
        <f aca="false">IF($D101=1,INDEX(TblClusters[Plateforme],$B101),"")</f>
        <v>ROKS</v>
      </c>
      <c r="H101" s="14" t="n">
        <f aca="false">IF($D101=1,INDEX(TblClusters[vCPU par nœud],$B101),"")</f>
        <v>32</v>
      </c>
      <c r="I101" s="14" t="n">
        <f aca="false">IF($D101=1,INDEX(TblClusters[RAM par nœud (Go)],$B101),"")</f>
        <v>160</v>
      </c>
      <c r="J101" s="14" t="n">
        <f aca="false">IF($D101=1,INDEX(TblClusters[Workers min],$B101),"")</f>
        <v>6</v>
      </c>
      <c r="K101" s="84" t="n">
        <f aca="false">IF($D101=1,INDEX(TblClusters[Tarif par nœud],$B101),"")</f>
        <v>1472</v>
      </c>
      <c r="L101" s="14" t="n">
        <f aca="false">IF($D101=1,INDEX(TblClusters[CPU initial (vCPU)],$B101),"")</f>
        <v>192</v>
      </c>
      <c r="M101" s="14" t="n">
        <f aca="false">IF($D101=1,INDEX(TblClusters[RAM initiale (Go)],$B101),"")</f>
        <v>960</v>
      </c>
      <c r="N101" s="14" t="n">
        <f aca="false">IF($D101=1,INDEX(TblClusters[CPU min (vCPU)],$B101),"")</f>
        <v>192</v>
      </c>
      <c r="O101" s="14" t="n">
        <f aca="false">IF($D101=1,INDEX(TblClusters[RAM min (Go)],$B101),"")</f>
        <v>960</v>
      </c>
      <c r="P101" s="14" t="n">
        <f aca="false">IF($D101&lt;&gt;1,"",IF($G101="ROKS",SUMIFS(TblApplications[Besoin ROKS CPU (vCPU)],TblApplications[Cluster ROKS cible],$F101,TblApplications[Action],"À migrer",TblApplications[Déjà incluse ROKS],"Non",TblApplications[Mois prov (calc)],"&lt;="&amp;$E101),SUMIFS(TblApplications[CPU IKS libérable (vCPU)],TblApplications[Cluster IKS source],$F101,TblApplications[Mois lib (calc)],"&lt;="&amp;$E101)))</f>
        <v>187</v>
      </c>
      <c r="Q101" s="14" t="n">
        <f aca="false">IF($D101&lt;&gt;1,"",IF($G101="ROKS",SUMIFS(TblApplications[Besoin ROKS RAM (Go)],TblApplications[Cluster ROKS cible],$F101,TblApplications[Action],"À migrer",TblApplications[Déjà incluse ROKS],"Non",TblApplications[Mois prov (calc)],"&lt;="&amp;$E101),SUMIFS(TblApplications[RAM IKS libérable (Go)],TblApplications[Cluster IKS source],$F101,TblApplications[Mois lib (calc)],"&lt;="&amp;$E101)))</f>
        <v>1200</v>
      </c>
      <c r="R101" s="14" t="n">
        <f aca="false">IF($D101&lt;&gt;1,"",IF($G101="ROKS",$L101+$P101,IF($AI101=1,0,MAX($N101,$L101-$P101))))</f>
        <v>379</v>
      </c>
      <c r="S101" s="14" t="n">
        <f aca="false">IF($D101&lt;&gt;1,"",IF($G101="ROKS",$M101+$Q101,IF($AI101=1,0,MAX($O101,$M101-$Q101))))</f>
        <v>2160</v>
      </c>
      <c r="T101" s="14" t="n">
        <f aca="false">IF($D101&lt;&gt;1,"",IF($AI101=1,0,MAX($J101,ROUNDUP(MAX($R101/$H101,$S101/$I101),0))))</f>
        <v>14</v>
      </c>
      <c r="U101" s="14" t="n">
        <f aca="false">IF($D101&lt;&gt;1,"",IF(p_mode="Nœud",$T101*$H101,$R101))</f>
        <v>448</v>
      </c>
      <c r="V101" s="14" t="n">
        <f aca="false">IF($D101&lt;&gt;1,"",IF(p_mode="Nœud",$T101*$I101,$S101))</f>
        <v>2240</v>
      </c>
      <c r="W101" s="84" t="n">
        <f aca="false">IF($D101&lt;&gt;1,"",IF(p_mode="Nœud",$T101*$K101,$R101*IF($G101="IKS",p_iks_cpu,p_roks_cpu)+$S101*IF($G101="IKS",p_iks_ram,p_roks_ram))*p_facteur)</f>
        <v>20608</v>
      </c>
      <c r="X101" s="14" t="n">
        <f aca="false">IF($D101&lt;&gt;1,"",IF($G101="ROKS",$R101,IF($AI101=1,0,MAX($N101,$L101-SUMIFS(TblApplications[CPU IKS libérable (vCPU)],TblApplications[Cluster IKS source],$F101,TblApplications[Action],"À migrer",TblApplications[Mois prov (calc)],"&lt;="&amp;$E101)-SUMIFS(TblApplications[CPU IKS libérable (vCPU)],TblApplications[Cluster IKS source],$F101,TblApplications[Action],"À décommissionner",TblApplications[Mois lib (calc)],"&lt;="&amp;$E101)))))</f>
        <v>379</v>
      </c>
      <c r="Y101" s="14" t="n">
        <f aca="false">IF($D101&lt;&gt;1,"",IF($G101="ROKS",$S101,IF($AI101=1,0,MAX($O101,$M101-SUMIFS(TblApplications[RAM IKS libérable (Go)],TblApplications[Cluster IKS source],$F101,TblApplications[Action],"À migrer",TblApplications[Mois prov (calc)],"&lt;="&amp;$E101)-SUMIFS(TblApplications[RAM IKS libérable (Go)],TblApplications[Cluster IKS source],$F101,TblApplications[Action],"À décommissionner",TblApplications[Mois lib (calc)],"&lt;="&amp;$E101)))))</f>
        <v>2160</v>
      </c>
      <c r="Z101" s="14" t="n">
        <f aca="false">IF($D101&lt;&gt;1,"",IF($AI101=1,0,MAX($J101,ROUNDUP(MAX($X101/$H101,$Y101/$I101),0))))</f>
        <v>14</v>
      </c>
      <c r="AA101" s="84" t="n">
        <f aca="false">IF($D101&lt;&gt;1,"",IF(p_mode="Nœud",$Z101*$K101,$X101*IF($G101="IKS",p_iks_cpu,p_roks_cpu)+$Y101*IF($G101="IKS",p_iks_ram,p_roks_ram))*p_facteur)</f>
        <v>20608</v>
      </c>
      <c r="AB101" s="14" t="n">
        <f aca="false">IF($D101&lt;&gt;1,"",MAX($J101,ROUNDUP(MAX($L101/$H101,$M101/$I101),0)))</f>
        <v>6</v>
      </c>
      <c r="AC101" s="84" t="n">
        <f aca="false">IF($D101&lt;&gt;1,"",IF(p_mode="Nœud",$AB101*$K101,$L101*IF($G101="IKS",p_iks_cpu,p_roks_cpu)+$M101*IF($G101="IKS",p_iks_ram,p_roks_ram))*p_facteur)</f>
        <v>8832</v>
      </c>
      <c r="AD101" s="14" t="n">
        <f aca="false">IF($D101&lt;&gt;1,"",IF(AND($G101="IKS",$AI101&lt;&gt;1,OR($L101-$P101&lt;$N101,$M101-$Q101&lt;$O101)),1,0))</f>
        <v>0</v>
      </c>
      <c r="AE101" s="14" t="n">
        <f aca="false">IF($D101&lt;&gt;1,"",IF(AND($G101="ROKS",$T101&gt;p_maxworkers),1,0))</f>
        <v>0</v>
      </c>
      <c r="AF101" s="14" t="str">
        <f aca="false">IF($D101&lt;&gt;1,"",IF(INDEX(TblClusters[Environnement],$B101)="","(vide)",INDEX(TblClusters[Environnement],$B101)))</f>
        <v>PRD</v>
      </c>
      <c r="AG101" s="14" t="n">
        <f aca="false">IF($D101&lt;&gt;1,"",$R101+p_poidsram*$S101)</f>
        <v>595</v>
      </c>
      <c r="AH101" s="14" t="n">
        <f aca="false">IF($D101&lt;&gt;1,"",IFERROR($W101/$AG101,0))</f>
        <v>34.6352941176471</v>
      </c>
      <c r="AI101" s="14" t="n">
        <f aca="false">IF($D101&lt;&gt;1,"",IF(AND($G101="IKS",ISNUMBER(INDEX(TblClusters[Fermeture retenue],$B101))),IF($E101&gt;=INDEX(TblClusters[Fermeture retenue],$B101),1,0),0))</f>
        <v>0</v>
      </c>
    </row>
    <row r="102" customFormat="false" ht="15" hidden="false" customHeight="false" outlineLevel="0" collapsed="false">
      <c r="A102" s="14" t="n">
        <v>97</v>
      </c>
      <c r="B102" s="14" t="n">
        <f aca="false">INT(($A102-1)/36)+1</f>
        <v>3</v>
      </c>
      <c r="C102" s="14" t="n">
        <f aca="false">MOD($A102-1,36)+1</f>
        <v>25</v>
      </c>
      <c r="D102" s="14" t="n">
        <f aca="false">IF($C102&gt;p_horizon,0,IFERROR(IF(AND(INDEX(TblClusters[Cluster],$B102)&lt;&gt;"",ISNUMBER(INDEX(TblClusters[CPU initial (vCPU)],$B102)),ISNUMBER(INDEX(TblClusters[CPU min (vCPU)],$B102)),OR(INDEX(TblClusters[Plateforme],$B102)="IKS",INDEX(TblClusters[Plateforme],$B102)="ROKS")),1,0),0))</f>
        <v>1</v>
      </c>
      <c r="E102" s="83" t="n">
        <f aca="false">IF($D102=1,EDATE(p_debut,$C102-1),"")</f>
        <v>47027</v>
      </c>
      <c r="F102" s="14" t="str">
        <f aca="false">IF($D102=1,INDEX(TblClusters[Cluster],$B102),"")</f>
        <v>ROKS-PRD-01</v>
      </c>
      <c r="G102" s="14" t="str">
        <f aca="false">IF($D102=1,INDEX(TblClusters[Plateforme],$B102),"")</f>
        <v>ROKS</v>
      </c>
      <c r="H102" s="14" t="n">
        <f aca="false">IF($D102=1,INDEX(TblClusters[vCPU par nœud],$B102),"")</f>
        <v>32</v>
      </c>
      <c r="I102" s="14" t="n">
        <f aca="false">IF($D102=1,INDEX(TblClusters[RAM par nœud (Go)],$B102),"")</f>
        <v>160</v>
      </c>
      <c r="J102" s="14" t="n">
        <f aca="false">IF($D102=1,INDEX(TblClusters[Workers min],$B102),"")</f>
        <v>6</v>
      </c>
      <c r="K102" s="84" t="n">
        <f aca="false">IF($D102=1,INDEX(TblClusters[Tarif par nœud],$B102),"")</f>
        <v>1472</v>
      </c>
      <c r="L102" s="14" t="n">
        <f aca="false">IF($D102=1,INDEX(TblClusters[CPU initial (vCPU)],$B102),"")</f>
        <v>192</v>
      </c>
      <c r="M102" s="14" t="n">
        <f aca="false">IF($D102=1,INDEX(TblClusters[RAM initiale (Go)],$B102),"")</f>
        <v>960</v>
      </c>
      <c r="N102" s="14" t="n">
        <f aca="false">IF($D102=1,INDEX(TblClusters[CPU min (vCPU)],$B102),"")</f>
        <v>192</v>
      </c>
      <c r="O102" s="14" t="n">
        <f aca="false">IF($D102=1,INDEX(TblClusters[RAM min (Go)],$B102),"")</f>
        <v>960</v>
      </c>
      <c r="P102" s="14" t="n">
        <f aca="false">IF($D102&lt;&gt;1,"",IF($G102="ROKS",SUMIFS(TblApplications[Besoin ROKS CPU (vCPU)],TblApplications[Cluster ROKS cible],$F102,TblApplications[Action],"À migrer",TblApplications[Déjà incluse ROKS],"Non",TblApplications[Mois prov (calc)],"&lt;="&amp;$E102),SUMIFS(TblApplications[CPU IKS libérable (vCPU)],TblApplications[Cluster IKS source],$F102,TblApplications[Mois lib (calc)],"&lt;="&amp;$E102)))</f>
        <v>187</v>
      </c>
      <c r="Q102" s="14" t="n">
        <f aca="false">IF($D102&lt;&gt;1,"",IF($G102="ROKS",SUMIFS(TblApplications[Besoin ROKS RAM (Go)],TblApplications[Cluster ROKS cible],$F102,TblApplications[Action],"À migrer",TblApplications[Déjà incluse ROKS],"Non",TblApplications[Mois prov (calc)],"&lt;="&amp;$E102),SUMIFS(TblApplications[RAM IKS libérable (Go)],TblApplications[Cluster IKS source],$F102,TblApplications[Mois lib (calc)],"&lt;="&amp;$E102)))</f>
        <v>1200</v>
      </c>
      <c r="R102" s="14" t="n">
        <f aca="false">IF($D102&lt;&gt;1,"",IF($G102="ROKS",$L102+$P102,IF($AI102=1,0,MAX($N102,$L102-$P102))))</f>
        <v>379</v>
      </c>
      <c r="S102" s="14" t="n">
        <f aca="false">IF($D102&lt;&gt;1,"",IF($G102="ROKS",$M102+$Q102,IF($AI102=1,0,MAX($O102,$M102-$Q102))))</f>
        <v>2160</v>
      </c>
      <c r="T102" s="14" t="n">
        <f aca="false">IF($D102&lt;&gt;1,"",IF($AI102=1,0,MAX($J102,ROUNDUP(MAX($R102/$H102,$S102/$I102),0))))</f>
        <v>14</v>
      </c>
      <c r="U102" s="14" t="n">
        <f aca="false">IF($D102&lt;&gt;1,"",IF(p_mode="Nœud",$T102*$H102,$R102))</f>
        <v>448</v>
      </c>
      <c r="V102" s="14" t="n">
        <f aca="false">IF($D102&lt;&gt;1,"",IF(p_mode="Nœud",$T102*$I102,$S102))</f>
        <v>2240</v>
      </c>
      <c r="W102" s="84" t="n">
        <f aca="false">IF($D102&lt;&gt;1,"",IF(p_mode="Nœud",$T102*$K102,$R102*IF($G102="IKS",p_iks_cpu,p_roks_cpu)+$S102*IF($G102="IKS",p_iks_ram,p_roks_ram))*p_facteur)</f>
        <v>20608</v>
      </c>
      <c r="X102" s="14" t="n">
        <f aca="false">IF($D102&lt;&gt;1,"",IF($G102="ROKS",$R102,IF($AI102=1,0,MAX($N102,$L102-SUMIFS(TblApplications[CPU IKS libérable (vCPU)],TblApplications[Cluster IKS source],$F102,TblApplications[Action],"À migrer",TblApplications[Mois prov (calc)],"&lt;="&amp;$E102)-SUMIFS(TblApplications[CPU IKS libérable (vCPU)],TblApplications[Cluster IKS source],$F102,TblApplications[Action],"À décommissionner",TblApplications[Mois lib (calc)],"&lt;="&amp;$E102)))))</f>
        <v>379</v>
      </c>
      <c r="Y102" s="14" t="n">
        <f aca="false">IF($D102&lt;&gt;1,"",IF($G102="ROKS",$S102,IF($AI102=1,0,MAX($O102,$M102-SUMIFS(TblApplications[RAM IKS libérable (Go)],TblApplications[Cluster IKS source],$F102,TblApplications[Action],"À migrer",TblApplications[Mois prov (calc)],"&lt;="&amp;$E102)-SUMIFS(TblApplications[RAM IKS libérable (Go)],TblApplications[Cluster IKS source],$F102,TblApplications[Action],"À décommissionner",TblApplications[Mois lib (calc)],"&lt;="&amp;$E102)))))</f>
        <v>2160</v>
      </c>
      <c r="Z102" s="14" t="n">
        <f aca="false">IF($D102&lt;&gt;1,"",IF($AI102=1,0,MAX($J102,ROUNDUP(MAX($X102/$H102,$Y102/$I102),0))))</f>
        <v>14</v>
      </c>
      <c r="AA102" s="84" t="n">
        <f aca="false">IF($D102&lt;&gt;1,"",IF(p_mode="Nœud",$Z102*$K102,$X102*IF($G102="IKS",p_iks_cpu,p_roks_cpu)+$Y102*IF($G102="IKS",p_iks_ram,p_roks_ram))*p_facteur)</f>
        <v>20608</v>
      </c>
      <c r="AB102" s="14" t="n">
        <f aca="false">IF($D102&lt;&gt;1,"",MAX($J102,ROUNDUP(MAX($L102/$H102,$M102/$I102),0)))</f>
        <v>6</v>
      </c>
      <c r="AC102" s="84" t="n">
        <f aca="false">IF($D102&lt;&gt;1,"",IF(p_mode="Nœud",$AB102*$K102,$L102*IF($G102="IKS",p_iks_cpu,p_roks_cpu)+$M102*IF($G102="IKS",p_iks_ram,p_roks_ram))*p_facteur)</f>
        <v>8832</v>
      </c>
      <c r="AD102" s="14" t="n">
        <f aca="false">IF($D102&lt;&gt;1,"",IF(AND($G102="IKS",$AI102&lt;&gt;1,OR($L102-$P102&lt;$N102,$M102-$Q102&lt;$O102)),1,0))</f>
        <v>0</v>
      </c>
      <c r="AE102" s="14" t="n">
        <f aca="false">IF($D102&lt;&gt;1,"",IF(AND($G102="ROKS",$T102&gt;p_maxworkers),1,0))</f>
        <v>0</v>
      </c>
      <c r="AF102" s="14" t="str">
        <f aca="false">IF($D102&lt;&gt;1,"",IF(INDEX(TblClusters[Environnement],$B102)="","(vide)",INDEX(TblClusters[Environnement],$B102)))</f>
        <v>PRD</v>
      </c>
      <c r="AG102" s="14" t="n">
        <f aca="false">IF($D102&lt;&gt;1,"",$R102+p_poidsram*$S102)</f>
        <v>595</v>
      </c>
      <c r="AH102" s="14" t="n">
        <f aca="false">IF($D102&lt;&gt;1,"",IFERROR($W102/$AG102,0))</f>
        <v>34.6352941176471</v>
      </c>
      <c r="AI102" s="14" t="n">
        <f aca="false">IF($D102&lt;&gt;1,"",IF(AND($G102="IKS",ISNUMBER(INDEX(TblClusters[Fermeture retenue],$B102))),IF($E102&gt;=INDEX(TblClusters[Fermeture retenue],$B102),1,0),0))</f>
        <v>0</v>
      </c>
    </row>
    <row r="103" customFormat="false" ht="15" hidden="false" customHeight="false" outlineLevel="0" collapsed="false">
      <c r="A103" s="14" t="n">
        <v>98</v>
      </c>
      <c r="B103" s="14" t="n">
        <f aca="false">INT(($A103-1)/36)+1</f>
        <v>3</v>
      </c>
      <c r="C103" s="14" t="n">
        <f aca="false">MOD($A103-1,36)+1</f>
        <v>26</v>
      </c>
      <c r="D103" s="14" t="n">
        <f aca="false">IF($C103&gt;p_horizon,0,IFERROR(IF(AND(INDEX(TblClusters[Cluster],$B103)&lt;&gt;"",ISNUMBER(INDEX(TblClusters[CPU initial (vCPU)],$B103)),ISNUMBER(INDEX(TblClusters[CPU min (vCPU)],$B103)),OR(INDEX(TblClusters[Plateforme],$B103)="IKS",INDEX(TblClusters[Plateforme],$B103)="ROKS")),1,0),0))</f>
        <v>1</v>
      </c>
      <c r="E103" s="83" t="n">
        <f aca="false">IF($D103=1,EDATE(p_debut,$C103-1),"")</f>
        <v>47058</v>
      </c>
      <c r="F103" s="14" t="str">
        <f aca="false">IF($D103=1,INDEX(TblClusters[Cluster],$B103),"")</f>
        <v>ROKS-PRD-01</v>
      </c>
      <c r="G103" s="14" t="str">
        <f aca="false">IF($D103=1,INDEX(TblClusters[Plateforme],$B103),"")</f>
        <v>ROKS</v>
      </c>
      <c r="H103" s="14" t="n">
        <f aca="false">IF($D103=1,INDEX(TblClusters[vCPU par nœud],$B103),"")</f>
        <v>32</v>
      </c>
      <c r="I103" s="14" t="n">
        <f aca="false">IF($D103=1,INDEX(TblClusters[RAM par nœud (Go)],$B103),"")</f>
        <v>160</v>
      </c>
      <c r="J103" s="14" t="n">
        <f aca="false">IF($D103=1,INDEX(TblClusters[Workers min],$B103),"")</f>
        <v>6</v>
      </c>
      <c r="K103" s="84" t="n">
        <f aca="false">IF($D103=1,INDEX(TblClusters[Tarif par nœud],$B103),"")</f>
        <v>1472</v>
      </c>
      <c r="L103" s="14" t="n">
        <f aca="false">IF($D103=1,INDEX(TblClusters[CPU initial (vCPU)],$B103),"")</f>
        <v>192</v>
      </c>
      <c r="M103" s="14" t="n">
        <f aca="false">IF($D103=1,INDEX(TblClusters[RAM initiale (Go)],$B103),"")</f>
        <v>960</v>
      </c>
      <c r="N103" s="14" t="n">
        <f aca="false">IF($D103=1,INDEX(TblClusters[CPU min (vCPU)],$B103),"")</f>
        <v>192</v>
      </c>
      <c r="O103" s="14" t="n">
        <f aca="false">IF($D103=1,INDEX(TblClusters[RAM min (Go)],$B103),"")</f>
        <v>960</v>
      </c>
      <c r="P103" s="14" t="n">
        <f aca="false">IF($D103&lt;&gt;1,"",IF($G103="ROKS",SUMIFS(TblApplications[Besoin ROKS CPU (vCPU)],TblApplications[Cluster ROKS cible],$F103,TblApplications[Action],"À migrer",TblApplications[Déjà incluse ROKS],"Non",TblApplications[Mois prov (calc)],"&lt;="&amp;$E103),SUMIFS(TblApplications[CPU IKS libérable (vCPU)],TblApplications[Cluster IKS source],$F103,TblApplications[Mois lib (calc)],"&lt;="&amp;$E103)))</f>
        <v>187</v>
      </c>
      <c r="Q103" s="14" t="n">
        <f aca="false">IF($D103&lt;&gt;1,"",IF($G103="ROKS",SUMIFS(TblApplications[Besoin ROKS RAM (Go)],TblApplications[Cluster ROKS cible],$F103,TblApplications[Action],"À migrer",TblApplications[Déjà incluse ROKS],"Non",TblApplications[Mois prov (calc)],"&lt;="&amp;$E103),SUMIFS(TblApplications[RAM IKS libérable (Go)],TblApplications[Cluster IKS source],$F103,TblApplications[Mois lib (calc)],"&lt;="&amp;$E103)))</f>
        <v>1200</v>
      </c>
      <c r="R103" s="14" t="n">
        <f aca="false">IF($D103&lt;&gt;1,"",IF($G103="ROKS",$L103+$P103,IF($AI103=1,0,MAX($N103,$L103-$P103))))</f>
        <v>379</v>
      </c>
      <c r="S103" s="14" t="n">
        <f aca="false">IF($D103&lt;&gt;1,"",IF($G103="ROKS",$M103+$Q103,IF($AI103=1,0,MAX($O103,$M103-$Q103))))</f>
        <v>2160</v>
      </c>
      <c r="T103" s="14" t="n">
        <f aca="false">IF($D103&lt;&gt;1,"",IF($AI103=1,0,MAX($J103,ROUNDUP(MAX($R103/$H103,$S103/$I103),0))))</f>
        <v>14</v>
      </c>
      <c r="U103" s="14" t="n">
        <f aca="false">IF($D103&lt;&gt;1,"",IF(p_mode="Nœud",$T103*$H103,$R103))</f>
        <v>448</v>
      </c>
      <c r="V103" s="14" t="n">
        <f aca="false">IF($D103&lt;&gt;1,"",IF(p_mode="Nœud",$T103*$I103,$S103))</f>
        <v>2240</v>
      </c>
      <c r="W103" s="84" t="n">
        <f aca="false">IF($D103&lt;&gt;1,"",IF(p_mode="Nœud",$T103*$K103,$R103*IF($G103="IKS",p_iks_cpu,p_roks_cpu)+$S103*IF($G103="IKS",p_iks_ram,p_roks_ram))*p_facteur)</f>
        <v>20608</v>
      </c>
      <c r="X103" s="14" t="n">
        <f aca="false">IF($D103&lt;&gt;1,"",IF($G103="ROKS",$R103,IF($AI103=1,0,MAX($N103,$L103-SUMIFS(TblApplications[CPU IKS libérable (vCPU)],TblApplications[Cluster IKS source],$F103,TblApplications[Action],"À migrer",TblApplications[Mois prov (calc)],"&lt;="&amp;$E103)-SUMIFS(TblApplications[CPU IKS libérable (vCPU)],TblApplications[Cluster IKS source],$F103,TblApplications[Action],"À décommissionner",TblApplications[Mois lib (calc)],"&lt;="&amp;$E103)))))</f>
        <v>379</v>
      </c>
      <c r="Y103" s="14" t="n">
        <f aca="false">IF($D103&lt;&gt;1,"",IF($G103="ROKS",$S103,IF($AI103=1,0,MAX($O103,$M103-SUMIFS(TblApplications[RAM IKS libérable (Go)],TblApplications[Cluster IKS source],$F103,TblApplications[Action],"À migrer",TblApplications[Mois prov (calc)],"&lt;="&amp;$E103)-SUMIFS(TblApplications[RAM IKS libérable (Go)],TblApplications[Cluster IKS source],$F103,TblApplications[Action],"À décommissionner",TblApplications[Mois lib (calc)],"&lt;="&amp;$E103)))))</f>
        <v>2160</v>
      </c>
      <c r="Z103" s="14" t="n">
        <f aca="false">IF($D103&lt;&gt;1,"",IF($AI103=1,0,MAX($J103,ROUNDUP(MAX($X103/$H103,$Y103/$I103),0))))</f>
        <v>14</v>
      </c>
      <c r="AA103" s="84" t="n">
        <f aca="false">IF($D103&lt;&gt;1,"",IF(p_mode="Nœud",$Z103*$K103,$X103*IF($G103="IKS",p_iks_cpu,p_roks_cpu)+$Y103*IF($G103="IKS",p_iks_ram,p_roks_ram))*p_facteur)</f>
        <v>20608</v>
      </c>
      <c r="AB103" s="14" t="n">
        <f aca="false">IF($D103&lt;&gt;1,"",MAX($J103,ROUNDUP(MAX($L103/$H103,$M103/$I103),0)))</f>
        <v>6</v>
      </c>
      <c r="AC103" s="84" t="n">
        <f aca="false">IF($D103&lt;&gt;1,"",IF(p_mode="Nœud",$AB103*$K103,$L103*IF($G103="IKS",p_iks_cpu,p_roks_cpu)+$M103*IF($G103="IKS",p_iks_ram,p_roks_ram))*p_facteur)</f>
        <v>8832</v>
      </c>
      <c r="AD103" s="14" t="n">
        <f aca="false">IF($D103&lt;&gt;1,"",IF(AND($G103="IKS",$AI103&lt;&gt;1,OR($L103-$P103&lt;$N103,$M103-$Q103&lt;$O103)),1,0))</f>
        <v>0</v>
      </c>
      <c r="AE103" s="14" t="n">
        <f aca="false">IF($D103&lt;&gt;1,"",IF(AND($G103="ROKS",$T103&gt;p_maxworkers),1,0))</f>
        <v>0</v>
      </c>
      <c r="AF103" s="14" t="str">
        <f aca="false">IF($D103&lt;&gt;1,"",IF(INDEX(TblClusters[Environnement],$B103)="","(vide)",INDEX(TblClusters[Environnement],$B103)))</f>
        <v>PRD</v>
      </c>
      <c r="AG103" s="14" t="n">
        <f aca="false">IF($D103&lt;&gt;1,"",$R103+p_poidsram*$S103)</f>
        <v>595</v>
      </c>
      <c r="AH103" s="14" t="n">
        <f aca="false">IF($D103&lt;&gt;1,"",IFERROR($W103/$AG103,0))</f>
        <v>34.6352941176471</v>
      </c>
      <c r="AI103" s="14" t="n">
        <f aca="false">IF($D103&lt;&gt;1,"",IF(AND($G103="IKS",ISNUMBER(INDEX(TblClusters[Fermeture retenue],$B103))),IF($E103&gt;=INDEX(TblClusters[Fermeture retenue],$B103),1,0),0))</f>
        <v>0</v>
      </c>
    </row>
    <row r="104" customFormat="false" ht="15" hidden="false" customHeight="false" outlineLevel="0" collapsed="false">
      <c r="A104" s="14" t="n">
        <v>99</v>
      </c>
      <c r="B104" s="14" t="n">
        <f aca="false">INT(($A104-1)/36)+1</f>
        <v>3</v>
      </c>
      <c r="C104" s="14" t="n">
        <f aca="false">MOD($A104-1,36)+1</f>
        <v>27</v>
      </c>
      <c r="D104" s="14" t="n">
        <f aca="false">IF($C104&gt;p_horizon,0,IFERROR(IF(AND(INDEX(TblClusters[Cluster],$B104)&lt;&gt;"",ISNUMBER(INDEX(TblClusters[CPU initial (vCPU)],$B104)),ISNUMBER(INDEX(TblClusters[CPU min (vCPU)],$B104)),OR(INDEX(TblClusters[Plateforme],$B104)="IKS",INDEX(TblClusters[Plateforme],$B104)="ROKS")),1,0),0))</f>
        <v>1</v>
      </c>
      <c r="E104" s="83" t="n">
        <f aca="false">IF($D104=1,EDATE(p_debut,$C104-1),"")</f>
        <v>47088</v>
      </c>
      <c r="F104" s="14" t="str">
        <f aca="false">IF($D104=1,INDEX(TblClusters[Cluster],$B104),"")</f>
        <v>ROKS-PRD-01</v>
      </c>
      <c r="G104" s="14" t="str">
        <f aca="false">IF($D104=1,INDEX(TblClusters[Plateforme],$B104),"")</f>
        <v>ROKS</v>
      </c>
      <c r="H104" s="14" t="n">
        <f aca="false">IF($D104=1,INDEX(TblClusters[vCPU par nœud],$B104),"")</f>
        <v>32</v>
      </c>
      <c r="I104" s="14" t="n">
        <f aca="false">IF($D104=1,INDEX(TblClusters[RAM par nœud (Go)],$B104),"")</f>
        <v>160</v>
      </c>
      <c r="J104" s="14" t="n">
        <f aca="false">IF($D104=1,INDEX(TblClusters[Workers min],$B104),"")</f>
        <v>6</v>
      </c>
      <c r="K104" s="84" t="n">
        <f aca="false">IF($D104=1,INDEX(TblClusters[Tarif par nœud],$B104),"")</f>
        <v>1472</v>
      </c>
      <c r="L104" s="14" t="n">
        <f aca="false">IF($D104=1,INDEX(TblClusters[CPU initial (vCPU)],$B104),"")</f>
        <v>192</v>
      </c>
      <c r="M104" s="14" t="n">
        <f aca="false">IF($D104=1,INDEX(TblClusters[RAM initiale (Go)],$B104),"")</f>
        <v>960</v>
      </c>
      <c r="N104" s="14" t="n">
        <f aca="false">IF($D104=1,INDEX(TblClusters[CPU min (vCPU)],$B104),"")</f>
        <v>192</v>
      </c>
      <c r="O104" s="14" t="n">
        <f aca="false">IF($D104=1,INDEX(TblClusters[RAM min (Go)],$B104),"")</f>
        <v>960</v>
      </c>
      <c r="P104" s="14" t="n">
        <f aca="false">IF($D104&lt;&gt;1,"",IF($G104="ROKS",SUMIFS(TblApplications[Besoin ROKS CPU (vCPU)],TblApplications[Cluster ROKS cible],$F104,TblApplications[Action],"À migrer",TblApplications[Déjà incluse ROKS],"Non",TblApplications[Mois prov (calc)],"&lt;="&amp;$E104),SUMIFS(TblApplications[CPU IKS libérable (vCPU)],TblApplications[Cluster IKS source],$F104,TblApplications[Mois lib (calc)],"&lt;="&amp;$E104)))</f>
        <v>187</v>
      </c>
      <c r="Q104" s="14" t="n">
        <f aca="false">IF($D104&lt;&gt;1,"",IF($G104="ROKS",SUMIFS(TblApplications[Besoin ROKS RAM (Go)],TblApplications[Cluster ROKS cible],$F104,TblApplications[Action],"À migrer",TblApplications[Déjà incluse ROKS],"Non",TblApplications[Mois prov (calc)],"&lt;="&amp;$E104),SUMIFS(TblApplications[RAM IKS libérable (Go)],TblApplications[Cluster IKS source],$F104,TblApplications[Mois lib (calc)],"&lt;="&amp;$E104)))</f>
        <v>1200</v>
      </c>
      <c r="R104" s="14" t="n">
        <f aca="false">IF($D104&lt;&gt;1,"",IF($G104="ROKS",$L104+$P104,IF($AI104=1,0,MAX($N104,$L104-$P104))))</f>
        <v>379</v>
      </c>
      <c r="S104" s="14" t="n">
        <f aca="false">IF($D104&lt;&gt;1,"",IF($G104="ROKS",$M104+$Q104,IF($AI104=1,0,MAX($O104,$M104-$Q104))))</f>
        <v>2160</v>
      </c>
      <c r="T104" s="14" t="n">
        <f aca="false">IF($D104&lt;&gt;1,"",IF($AI104=1,0,MAX($J104,ROUNDUP(MAX($R104/$H104,$S104/$I104),0))))</f>
        <v>14</v>
      </c>
      <c r="U104" s="14" t="n">
        <f aca="false">IF($D104&lt;&gt;1,"",IF(p_mode="Nœud",$T104*$H104,$R104))</f>
        <v>448</v>
      </c>
      <c r="V104" s="14" t="n">
        <f aca="false">IF($D104&lt;&gt;1,"",IF(p_mode="Nœud",$T104*$I104,$S104))</f>
        <v>2240</v>
      </c>
      <c r="W104" s="84" t="n">
        <f aca="false">IF($D104&lt;&gt;1,"",IF(p_mode="Nœud",$T104*$K104,$R104*IF($G104="IKS",p_iks_cpu,p_roks_cpu)+$S104*IF($G104="IKS",p_iks_ram,p_roks_ram))*p_facteur)</f>
        <v>20608</v>
      </c>
      <c r="X104" s="14" t="n">
        <f aca="false">IF($D104&lt;&gt;1,"",IF($G104="ROKS",$R104,IF($AI104=1,0,MAX($N104,$L104-SUMIFS(TblApplications[CPU IKS libérable (vCPU)],TblApplications[Cluster IKS source],$F104,TblApplications[Action],"À migrer",TblApplications[Mois prov (calc)],"&lt;="&amp;$E104)-SUMIFS(TblApplications[CPU IKS libérable (vCPU)],TblApplications[Cluster IKS source],$F104,TblApplications[Action],"À décommissionner",TblApplications[Mois lib (calc)],"&lt;="&amp;$E104)))))</f>
        <v>379</v>
      </c>
      <c r="Y104" s="14" t="n">
        <f aca="false">IF($D104&lt;&gt;1,"",IF($G104="ROKS",$S104,IF($AI104=1,0,MAX($O104,$M104-SUMIFS(TblApplications[RAM IKS libérable (Go)],TblApplications[Cluster IKS source],$F104,TblApplications[Action],"À migrer",TblApplications[Mois prov (calc)],"&lt;="&amp;$E104)-SUMIFS(TblApplications[RAM IKS libérable (Go)],TblApplications[Cluster IKS source],$F104,TblApplications[Action],"À décommissionner",TblApplications[Mois lib (calc)],"&lt;="&amp;$E104)))))</f>
        <v>2160</v>
      </c>
      <c r="Z104" s="14" t="n">
        <f aca="false">IF($D104&lt;&gt;1,"",IF($AI104=1,0,MAX($J104,ROUNDUP(MAX($X104/$H104,$Y104/$I104),0))))</f>
        <v>14</v>
      </c>
      <c r="AA104" s="84" t="n">
        <f aca="false">IF($D104&lt;&gt;1,"",IF(p_mode="Nœud",$Z104*$K104,$X104*IF($G104="IKS",p_iks_cpu,p_roks_cpu)+$Y104*IF($G104="IKS",p_iks_ram,p_roks_ram))*p_facteur)</f>
        <v>20608</v>
      </c>
      <c r="AB104" s="14" t="n">
        <f aca="false">IF($D104&lt;&gt;1,"",MAX($J104,ROUNDUP(MAX($L104/$H104,$M104/$I104),0)))</f>
        <v>6</v>
      </c>
      <c r="AC104" s="84" t="n">
        <f aca="false">IF($D104&lt;&gt;1,"",IF(p_mode="Nœud",$AB104*$K104,$L104*IF($G104="IKS",p_iks_cpu,p_roks_cpu)+$M104*IF($G104="IKS",p_iks_ram,p_roks_ram))*p_facteur)</f>
        <v>8832</v>
      </c>
      <c r="AD104" s="14" t="n">
        <f aca="false">IF($D104&lt;&gt;1,"",IF(AND($G104="IKS",$AI104&lt;&gt;1,OR($L104-$P104&lt;$N104,$M104-$Q104&lt;$O104)),1,0))</f>
        <v>0</v>
      </c>
      <c r="AE104" s="14" t="n">
        <f aca="false">IF($D104&lt;&gt;1,"",IF(AND($G104="ROKS",$T104&gt;p_maxworkers),1,0))</f>
        <v>0</v>
      </c>
      <c r="AF104" s="14" t="str">
        <f aca="false">IF($D104&lt;&gt;1,"",IF(INDEX(TblClusters[Environnement],$B104)="","(vide)",INDEX(TblClusters[Environnement],$B104)))</f>
        <v>PRD</v>
      </c>
      <c r="AG104" s="14" t="n">
        <f aca="false">IF($D104&lt;&gt;1,"",$R104+p_poidsram*$S104)</f>
        <v>595</v>
      </c>
      <c r="AH104" s="14" t="n">
        <f aca="false">IF($D104&lt;&gt;1,"",IFERROR($W104/$AG104,0))</f>
        <v>34.6352941176471</v>
      </c>
      <c r="AI104" s="14" t="n">
        <f aca="false">IF($D104&lt;&gt;1,"",IF(AND($G104="IKS",ISNUMBER(INDEX(TblClusters[Fermeture retenue],$B104))),IF($E104&gt;=INDEX(TblClusters[Fermeture retenue],$B104),1,0),0))</f>
        <v>0</v>
      </c>
    </row>
    <row r="105" customFormat="false" ht="15" hidden="false" customHeight="false" outlineLevel="0" collapsed="false">
      <c r="A105" s="14" t="n">
        <v>100</v>
      </c>
      <c r="B105" s="14" t="n">
        <f aca="false">INT(($A105-1)/36)+1</f>
        <v>3</v>
      </c>
      <c r="C105" s="14" t="n">
        <f aca="false">MOD($A105-1,36)+1</f>
        <v>28</v>
      </c>
      <c r="D105" s="14" t="n">
        <f aca="false">IF($C105&gt;p_horizon,0,IFERROR(IF(AND(INDEX(TblClusters[Cluster],$B105)&lt;&gt;"",ISNUMBER(INDEX(TblClusters[CPU initial (vCPU)],$B105)),ISNUMBER(INDEX(TblClusters[CPU min (vCPU)],$B105)),OR(INDEX(TblClusters[Plateforme],$B105)="IKS",INDEX(TblClusters[Plateforme],$B105)="ROKS")),1,0),0))</f>
        <v>1</v>
      </c>
      <c r="E105" s="83" t="n">
        <f aca="false">IF($D105=1,EDATE(p_debut,$C105-1),"")</f>
        <v>47119</v>
      </c>
      <c r="F105" s="14" t="str">
        <f aca="false">IF($D105=1,INDEX(TblClusters[Cluster],$B105),"")</f>
        <v>ROKS-PRD-01</v>
      </c>
      <c r="G105" s="14" t="str">
        <f aca="false">IF($D105=1,INDEX(TblClusters[Plateforme],$B105),"")</f>
        <v>ROKS</v>
      </c>
      <c r="H105" s="14" t="n">
        <f aca="false">IF($D105=1,INDEX(TblClusters[vCPU par nœud],$B105),"")</f>
        <v>32</v>
      </c>
      <c r="I105" s="14" t="n">
        <f aca="false">IF($D105=1,INDEX(TblClusters[RAM par nœud (Go)],$B105),"")</f>
        <v>160</v>
      </c>
      <c r="J105" s="14" t="n">
        <f aca="false">IF($D105=1,INDEX(TblClusters[Workers min],$B105),"")</f>
        <v>6</v>
      </c>
      <c r="K105" s="84" t="n">
        <f aca="false">IF($D105=1,INDEX(TblClusters[Tarif par nœud],$B105),"")</f>
        <v>1472</v>
      </c>
      <c r="L105" s="14" t="n">
        <f aca="false">IF($D105=1,INDEX(TblClusters[CPU initial (vCPU)],$B105),"")</f>
        <v>192</v>
      </c>
      <c r="M105" s="14" t="n">
        <f aca="false">IF($D105=1,INDEX(TblClusters[RAM initiale (Go)],$B105),"")</f>
        <v>960</v>
      </c>
      <c r="N105" s="14" t="n">
        <f aca="false">IF($D105=1,INDEX(TblClusters[CPU min (vCPU)],$B105),"")</f>
        <v>192</v>
      </c>
      <c r="O105" s="14" t="n">
        <f aca="false">IF($D105=1,INDEX(TblClusters[RAM min (Go)],$B105),"")</f>
        <v>960</v>
      </c>
      <c r="P105" s="14" t="n">
        <f aca="false">IF($D105&lt;&gt;1,"",IF($G105="ROKS",SUMIFS(TblApplications[Besoin ROKS CPU (vCPU)],TblApplications[Cluster ROKS cible],$F105,TblApplications[Action],"À migrer",TblApplications[Déjà incluse ROKS],"Non",TblApplications[Mois prov (calc)],"&lt;="&amp;$E105),SUMIFS(TblApplications[CPU IKS libérable (vCPU)],TblApplications[Cluster IKS source],$F105,TblApplications[Mois lib (calc)],"&lt;="&amp;$E105)))</f>
        <v>187</v>
      </c>
      <c r="Q105" s="14" t="n">
        <f aca="false">IF($D105&lt;&gt;1,"",IF($G105="ROKS",SUMIFS(TblApplications[Besoin ROKS RAM (Go)],TblApplications[Cluster ROKS cible],$F105,TblApplications[Action],"À migrer",TblApplications[Déjà incluse ROKS],"Non",TblApplications[Mois prov (calc)],"&lt;="&amp;$E105),SUMIFS(TblApplications[RAM IKS libérable (Go)],TblApplications[Cluster IKS source],$F105,TblApplications[Mois lib (calc)],"&lt;="&amp;$E105)))</f>
        <v>1200</v>
      </c>
      <c r="R105" s="14" t="n">
        <f aca="false">IF($D105&lt;&gt;1,"",IF($G105="ROKS",$L105+$P105,IF($AI105=1,0,MAX($N105,$L105-$P105))))</f>
        <v>379</v>
      </c>
      <c r="S105" s="14" t="n">
        <f aca="false">IF($D105&lt;&gt;1,"",IF($G105="ROKS",$M105+$Q105,IF($AI105=1,0,MAX($O105,$M105-$Q105))))</f>
        <v>2160</v>
      </c>
      <c r="T105" s="14" t="n">
        <f aca="false">IF($D105&lt;&gt;1,"",IF($AI105=1,0,MAX($J105,ROUNDUP(MAX($R105/$H105,$S105/$I105),0))))</f>
        <v>14</v>
      </c>
      <c r="U105" s="14" t="n">
        <f aca="false">IF($D105&lt;&gt;1,"",IF(p_mode="Nœud",$T105*$H105,$R105))</f>
        <v>448</v>
      </c>
      <c r="V105" s="14" t="n">
        <f aca="false">IF($D105&lt;&gt;1,"",IF(p_mode="Nœud",$T105*$I105,$S105))</f>
        <v>2240</v>
      </c>
      <c r="W105" s="84" t="n">
        <f aca="false">IF($D105&lt;&gt;1,"",IF(p_mode="Nœud",$T105*$K105,$R105*IF($G105="IKS",p_iks_cpu,p_roks_cpu)+$S105*IF($G105="IKS",p_iks_ram,p_roks_ram))*p_facteur)</f>
        <v>20608</v>
      </c>
      <c r="X105" s="14" t="n">
        <f aca="false">IF($D105&lt;&gt;1,"",IF($G105="ROKS",$R105,IF($AI105=1,0,MAX($N105,$L105-SUMIFS(TblApplications[CPU IKS libérable (vCPU)],TblApplications[Cluster IKS source],$F105,TblApplications[Action],"À migrer",TblApplications[Mois prov (calc)],"&lt;="&amp;$E105)-SUMIFS(TblApplications[CPU IKS libérable (vCPU)],TblApplications[Cluster IKS source],$F105,TblApplications[Action],"À décommissionner",TblApplications[Mois lib (calc)],"&lt;="&amp;$E105)))))</f>
        <v>379</v>
      </c>
      <c r="Y105" s="14" t="n">
        <f aca="false">IF($D105&lt;&gt;1,"",IF($G105="ROKS",$S105,IF($AI105=1,0,MAX($O105,$M105-SUMIFS(TblApplications[RAM IKS libérable (Go)],TblApplications[Cluster IKS source],$F105,TblApplications[Action],"À migrer",TblApplications[Mois prov (calc)],"&lt;="&amp;$E105)-SUMIFS(TblApplications[RAM IKS libérable (Go)],TblApplications[Cluster IKS source],$F105,TblApplications[Action],"À décommissionner",TblApplications[Mois lib (calc)],"&lt;="&amp;$E105)))))</f>
        <v>2160</v>
      </c>
      <c r="Z105" s="14" t="n">
        <f aca="false">IF($D105&lt;&gt;1,"",IF($AI105=1,0,MAX($J105,ROUNDUP(MAX($X105/$H105,$Y105/$I105),0))))</f>
        <v>14</v>
      </c>
      <c r="AA105" s="84" t="n">
        <f aca="false">IF($D105&lt;&gt;1,"",IF(p_mode="Nœud",$Z105*$K105,$X105*IF($G105="IKS",p_iks_cpu,p_roks_cpu)+$Y105*IF($G105="IKS",p_iks_ram,p_roks_ram))*p_facteur)</f>
        <v>20608</v>
      </c>
      <c r="AB105" s="14" t="n">
        <f aca="false">IF($D105&lt;&gt;1,"",MAX($J105,ROUNDUP(MAX($L105/$H105,$M105/$I105),0)))</f>
        <v>6</v>
      </c>
      <c r="AC105" s="84" t="n">
        <f aca="false">IF($D105&lt;&gt;1,"",IF(p_mode="Nœud",$AB105*$K105,$L105*IF($G105="IKS",p_iks_cpu,p_roks_cpu)+$M105*IF($G105="IKS",p_iks_ram,p_roks_ram))*p_facteur)</f>
        <v>8832</v>
      </c>
      <c r="AD105" s="14" t="n">
        <f aca="false">IF($D105&lt;&gt;1,"",IF(AND($G105="IKS",$AI105&lt;&gt;1,OR($L105-$P105&lt;$N105,$M105-$Q105&lt;$O105)),1,0))</f>
        <v>0</v>
      </c>
      <c r="AE105" s="14" t="n">
        <f aca="false">IF($D105&lt;&gt;1,"",IF(AND($G105="ROKS",$T105&gt;p_maxworkers),1,0))</f>
        <v>0</v>
      </c>
      <c r="AF105" s="14" t="str">
        <f aca="false">IF($D105&lt;&gt;1,"",IF(INDEX(TblClusters[Environnement],$B105)="","(vide)",INDEX(TblClusters[Environnement],$B105)))</f>
        <v>PRD</v>
      </c>
      <c r="AG105" s="14" t="n">
        <f aca="false">IF($D105&lt;&gt;1,"",$R105+p_poidsram*$S105)</f>
        <v>595</v>
      </c>
      <c r="AH105" s="14" t="n">
        <f aca="false">IF($D105&lt;&gt;1,"",IFERROR($W105/$AG105,0))</f>
        <v>34.6352941176471</v>
      </c>
      <c r="AI105" s="14" t="n">
        <f aca="false">IF($D105&lt;&gt;1,"",IF(AND($G105="IKS",ISNUMBER(INDEX(TblClusters[Fermeture retenue],$B105))),IF($E105&gt;=INDEX(TblClusters[Fermeture retenue],$B105),1,0),0))</f>
        <v>0</v>
      </c>
    </row>
    <row r="106" customFormat="false" ht="15" hidden="false" customHeight="false" outlineLevel="0" collapsed="false">
      <c r="A106" s="14" t="n">
        <v>101</v>
      </c>
      <c r="B106" s="14" t="n">
        <f aca="false">INT(($A106-1)/36)+1</f>
        <v>3</v>
      </c>
      <c r="C106" s="14" t="n">
        <f aca="false">MOD($A106-1,36)+1</f>
        <v>29</v>
      </c>
      <c r="D106" s="14" t="n">
        <f aca="false">IF($C106&gt;p_horizon,0,IFERROR(IF(AND(INDEX(TblClusters[Cluster],$B106)&lt;&gt;"",ISNUMBER(INDEX(TblClusters[CPU initial (vCPU)],$B106)),ISNUMBER(INDEX(TblClusters[CPU min (vCPU)],$B106)),OR(INDEX(TblClusters[Plateforme],$B106)="IKS",INDEX(TblClusters[Plateforme],$B106)="ROKS")),1,0),0))</f>
        <v>1</v>
      </c>
      <c r="E106" s="83" t="n">
        <f aca="false">IF($D106=1,EDATE(p_debut,$C106-1),"")</f>
        <v>47150</v>
      </c>
      <c r="F106" s="14" t="str">
        <f aca="false">IF($D106=1,INDEX(TblClusters[Cluster],$B106),"")</f>
        <v>ROKS-PRD-01</v>
      </c>
      <c r="G106" s="14" t="str">
        <f aca="false">IF($D106=1,INDEX(TblClusters[Plateforme],$B106),"")</f>
        <v>ROKS</v>
      </c>
      <c r="H106" s="14" t="n">
        <f aca="false">IF($D106=1,INDEX(TblClusters[vCPU par nœud],$B106),"")</f>
        <v>32</v>
      </c>
      <c r="I106" s="14" t="n">
        <f aca="false">IF($D106=1,INDEX(TblClusters[RAM par nœud (Go)],$B106),"")</f>
        <v>160</v>
      </c>
      <c r="J106" s="14" t="n">
        <f aca="false">IF($D106=1,INDEX(TblClusters[Workers min],$B106),"")</f>
        <v>6</v>
      </c>
      <c r="K106" s="84" t="n">
        <f aca="false">IF($D106=1,INDEX(TblClusters[Tarif par nœud],$B106),"")</f>
        <v>1472</v>
      </c>
      <c r="L106" s="14" t="n">
        <f aca="false">IF($D106=1,INDEX(TblClusters[CPU initial (vCPU)],$B106),"")</f>
        <v>192</v>
      </c>
      <c r="M106" s="14" t="n">
        <f aca="false">IF($D106=1,INDEX(TblClusters[RAM initiale (Go)],$B106),"")</f>
        <v>960</v>
      </c>
      <c r="N106" s="14" t="n">
        <f aca="false">IF($D106=1,INDEX(TblClusters[CPU min (vCPU)],$B106),"")</f>
        <v>192</v>
      </c>
      <c r="O106" s="14" t="n">
        <f aca="false">IF($D106=1,INDEX(TblClusters[RAM min (Go)],$B106),"")</f>
        <v>960</v>
      </c>
      <c r="P106" s="14" t="n">
        <f aca="false">IF($D106&lt;&gt;1,"",IF($G106="ROKS",SUMIFS(TblApplications[Besoin ROKS CPU (vCPU)],TblApplications[Cluster ROKS cible],$F106,TblApplications[Action],"À migrer",TblApplications[Déjà incluse ROKS],"Non",TblApplications[Mois prov (calc)],"&lt;="&amp;$E106),SUMIFS(TblApplications[CPU IKS libérable (vCPU)],TblApplications[Cluster IKS source],$F106,TblApplications[Mois lib (calc)],"&lt;="&amp;$E106)))</f>
        <v>187</v>
      </c>
      <c r="Q106" s="14" t="n">
        <f aca="false">IF($D106&lt;&gt;1,"",IF($G106="ROKS",SUMIFS(TblApplications[Besoin ROKS RAM (Go)],TblApplications[Cluster ROKS cible],$F106,TblApplications[Action],"À migrer",TblApplications[Déjà incluse ROKS],"Non",TblApplications[Mois prov (calc)],"&lt;="&amp;$E106),SUMIFS(TblApplications[RAM IKS libérable (Go)],TblApplications[Cluster IKS source],$F106,TblApplications[Mois lib (calc)],"&lt;="&amp;$E106)))</f>
        <v>1200</v>
      </c>
      <c r="R106" s="14" t="n">
        <f aca="false">IF($D106&lt;&gt;1,"",IF($G106="ROKS",$L106+$P106,IF($AI106=1,0,MAX($N106,$L106-$P106))))</f>
        <v>379</v>
      </c>
      <c r="S106" s="14" t="n">
        <f aca="false">IF($D106&lt;&gt;1,"",IF($G106="ROKS",$M106+$Q106,IF($AI106=1,0,MAX($O106,$M106-$Q106))))</f>
        <v>2160</v>
      </c>
      <c r="T106" s="14" t="n">
        <f aca="false">IF($D106&lt;&gt;1,"",IF($AI106=1,0,MAX($J106,ROUNDUP(MAX($R106/$H106,$S106/$I106),0))))</f>
        <v>14</v>
      </c>
      <c r="U106" s="14" t="n">
        <f aca="false">IF($D106&lt;&gt;1,"",IF(p_mode="Nœud",$T106*$H106,$R106))</f>
        <v>448</v>
      </c>
      <c r="V106" s="14" t="n">
        <f aca="false">IF($D106&lt;&gt;1,"",IF(p_mode="Nœud",$T106*$I106,$S106))</f>
        <v>2240</v>
      </c>
      <c r="W106" s="84" t="n">
        <f aca="false">IF($D106&lt;&gt;1,"",IF(p_mode="Nœud",$T106*$K106,$R106*IF($G106="IKS",p_iks_cpu,p_roks_cpu)+$S106*IF($G106="IKS",p_iks_ram,p_roks_ram))*p_facteur)</f>
        <v>20608</v>
      </c>
      <c r="X106" s="14" t="n">
        <f aca="false">IF($D106&lt;&gt;1,"",IF($G106="ROKS",$R106,IF($AI106=1,0,MAX($N106,$L106-SUMIFS(TblApplications[CPU IKS libérable (vCPU)],TblApplications[Cluster IKS source],$F106,TblApplications[Action],"À migrer",TblApplications[Mois prov (calc)],"&lt;="&amp;$E106)-SUMIFS(TblApplications[CPU IKS libérable (vCPU)],TblApplications[Cluster IKS source],$F106,TblApplications[Action],"À décommissionner",TblApplications[Mois lib (calc)],"&lt;="&amp;$E106)))))</f>
        <v>379</v>
      </c>
      <c r="Y106" s="14" t="n">
        <f aca="false">IF($D106&lt;&gt;1,"",IF($G106="ROKS",$S106,IF($AI106=1,0,MAX($O106,$M106-SUMIFS(TblApplications[RAM IKS libérable (Go)],TblApplications[Cluster IKS source],$F106,TblApplications[Action],"À migrer",TblApplications[Mois prov (calc)],"&lt;="&amp;$E106)-SUMIFS(TblApplications[RAM IKS libérable (Go)],TblApplications[Cluster IKS source],$F106,TblApplications[Action],"À décommissionner",TblApplications[Mois lib (calc)],"&lt;="&amp;$E106)))))</f>
        <v>2160</v>
      </c>
      <c r="Z106" s="14" t="n">
        <f aca="false">IF($D106&lt;&gt;1,"",IF($AI106=1,0,MAX($J106,ROUNDUP(MAX($X106/$H106,$Y106/$I106),0))))</f>
        <v>14</v>
      </c>
      <c r="AA106" s="84" t="n">
        <f aca="false">IF($D106&lt;&gt;1,"",IF(p_mode="Nœud",$Z106*$K106,$X106*IF($G106="IKS",p_iks_cpu,p_roks_cpu)+$Y106*IF($G106="IKS",p_iks_ram,p_roks_ram))*p_facteur)</f>
        <v>20608</v>
      </c>
      <c r="AB106" s="14" t="n">
        <f aca="false">IF($D106&lt;&gt;1,"",MAX($J106,ROUNDUP(MAX($L106/$H106,$M106/$I106),0)))</f>
        <v>6</v>
      </c>
      <c r="AC106" s="84" t="n">
        <f aca="false">IF($D106&lt;&gt;1,"",IF(p_mode="Nœud",$AB106*$K106,$L106*IF($G106="IKS",p_iks_cpu,p_roks_cpu)+$M106*IF($G106="IKS",p_iks_ram,p_roks_ram))*p_facteur)</f>
        <v>8832</v>
      </c>
      <c r="AD106" s="14" t="n">
        <f aca="false">IF($D106&lt;&gt;1,"",IF(AND($G106="IKS",$AI106&lt;&gt;1,OR($L106-$P106&lt;$N106,$M106-$Q106&lt;$O106)),1,0))</f>
        <v>0</v>
      </c>
      <c r="AE106" s="14" t="n">
        <f aca="false">IF($D106&lt;&gt;1,"",IF(AND($G106="ROKS",$T106&gt;p_maxworkers),1,0))</f>
        <v>0</v>
      </c>
      <c r="AF106" s="14" t="str">
        <f aca="false">IF($D106&lt;&gt;1,"",IF(INDEX(TblClusters[Environnement],$B106)="","(vide)",INDEX(TblClusters[Environnement],$B106)))</f>
        <v>PRD</v>
      </c>
      <c r="AG106" s="14" t="n">
        <f aca="false">IF($D106&lt;&gt;1,"",$R106+p_poidsram*$S106)</f>
        <v>595</v>
      </c>
      <c r="AH106" s="14" t="n">
        <f aca="false">IF($D106&lt;&gt;1,"",IFERROR($W106/$AG106,0))</f>
        <v>34.6352941176471</v>
      </c>
      <c r="AI106" s="14" t="n">
        <f aca="false">IF($D106&lt;&gt;1,"",IF(AND($G106="IKS",ISNUMBER(INDEX(TblClusters[Fermeture retenue],$B106))),IF($E106&gt;=INDEX(TblClusters[Fermeture retenue],$B106),1,0),0))</f>
        <v>0</v>
      </c>
    </row>
    <row r="107" customFormat="false" ht="15" hidden="false" customHeight="false" outlineLevel="0" collapsed="false">
      <c r="A107" s="14" t="n">
        <v>102</v>
      </c>
      <c r="B107" s="14" t="n">
        <f aca="false">INT(($A107-1)/36)+1</f>
        <v>3</v>
      </c>
      <c r="C107" s="14" t="n">
        <f aca="false">MOD($A107-1,36)+1</f>
        <v>30</v>
      </c>
      <c r="D107" s="14" t="n">
        <f aca="false">IF($C107&gt;p_horizon,0,IFERROR(IF(AND(INDEX(TblClusters[Cluster],$B107)&lt;&gt;"",ISNUMBER(INDEX(TblClusters[CPU initial (vCPU)],$B107)),ISNUMBER(INDEX(TblClusters[CPU min (vCPU)],$B107)),OR(INDEX(TblClusters[Plateforme],$B107)="IKS",INDEX(TblClusters[Plateforme],$B107)="ROKS")),1,0),0))</f>
        <v>1</v>
      </c>
      <c r="E107" s="83" t="n">
        <f aca="false">IF($D107=1,EDATE(p_debut,$C107-1),"")</f>
        <v>47178</v>
      </c>
      <c r="F107" s="14" t="str">
        <f aca="false">IF($D107=1,INDEX(TblClusters[Cluster],$B107),"")</f>
        <v>ROKS-PRD-01</v>
      </c>
      <c r="G107" s="14" t="str">
        <f aca="false">IF($D107=1,INDEX(TblClusters[Plateforme],$B107),"")</f>
        <v>ROKS</v>
      </c>
      <c r="H107" s="14" t="n">
        <f aca="false">IF($D107=1,INDEX(TblClusters[vCPU par nœud],$B107),"")</f>
        <v>32</v>
      </c>
      <c r="I107" s="14" t="n">
        <f aca="false">IF($D107=1,INDEX(TblClusters[RAM par nœud (Go)],$B107),"")</f>
        <v>160</v>
      </c>
      <c r="J107" s="14" t="n">
        <f aca="false">IF($D107=1,INDEX(TblClusters[Workers min],$B107),"")</f>
        <v>6</v>
      </c>
      <c r="K107" s="84" t="n">
        <f aca="false">IF($D107=1,INDEX(TblClusters[Tarif par nœud],$B107),"")</f>
        <v>1472</v>
      </c>
      <c r="L107" s="14" t="n">
        <f aca="false">IF($D107=1,INDEX(TblClusters[CPU initial (vCPU)],$B107),"")</f>
        <v>192</v>
      </c>
      <c r="M107" s="14" t="n">
        <f aca="false">IF($D107=1,INDEX(TblClusters[RAM initiale (Go)],$B107),"")</f>
        <v>960</v>
      </c>
      <c r="N107" s="14" t="n">
        <f aca="false">IF($D107=1,INDEX(TblClusters[CPU min (vCPU)],$B107),"")</f>
        <v>192</v>
      </c>
      <c r="O107" s="14" t="n">
        <f aca="false">IF($D107=1,INDEX(TblClusters[RAM min (Go)],$B107),"")</f>
        <v>960</v>
      </c>
      <c r="P107" s="14" t="n">
        <f aca="false">IF($D107&lt;&gt;1,"",IF($G107="ROKS",SUMIFS(TblApplications[Besoin ROKS CPU (vCPU)],TblApplications[Cluster ROKS cible],$F107,TblApplications[Action],"À migrer",TblApplications[Déjà incluse ROKS],"Non",TblApplications[Mois prov (calc)],"&lt;="&amp;$E107),SUMIFS(TblApplications[CPU IKS libérable (vCPU)],TblApplications[Cluster IKS source],$F107,TblApplications[Mois lib (calc)],"&lt;="&amp;$E107)))</f>
        <v>187</v>
      </c>
      <c r="Q107" s="14" t="n">
        <f aca="false">IF($D107&lt;&gt;1,"",IF($G107="ROKS",SUMIFS(TblApplications[Besoin ROKS RAM (Go)],TblApplications[Cluster ROKS cible],$F107,TblApplications[Action],"À migrer",TblApplications[Déjà incluse ROKS],"Non",TblApplications[Mois prov (calc)],"&lt;="&amp;$E107),SUMIFS(TblApplications[RAM IKS libérable (Go)],TblApplications[Cluster IKS source],$F107,TblApplications[Mois lib (calc)],"&lt;="&amp;$E107)))</f>
        <v>1200</v>
      </c>
      <c r="R107" s="14" t="n">
        <f aca="false">IF($D107&lt;&gt;1,"",IF($G107="ROKS",$L107+$P107,IF($AI107=1,0,MAX($N107,$L107-$P107))))</f>
        <v>379</v>
      </c>
      <c r="S107" s="14" t="n">
        <f aca="false">IF($D107&lt;&gt;1,"",IF($G107="ROKS",$M107+$Q107,IF($AI107=1,0,MAX($O107,$M107-$Q107))))</f>
        <v>2160</v>
      </c>
      <c r="T107" s="14" t="n">
        <f aca="false">IF($D107&lt;&gt;1,"",IF($AI107=1,0,MAX($J107,ROUNDUP(MAX($R107/$H107,$S107/$I107),0))))</f>
        <v>14</v>
      </c>
      <c r="U107" s="14" t="n">
        <f aca="false">IF($D107&lt;&gt;1,"",IF(p_mode="Nœud",$T107*$H107,$R107))</f>
        <v>448</v>
      </c>
      <c r="V107" s="14" t="n">
        <f aca="false">IF($D107&lt;&gt;1,"",IF(p_mode="Nœud",$T107*$I107,$S107))</f>
        <v>2240</v>
      </c>
      <c r="W107" s="84" t="n">
        <f aca="false">IF($D107&lt;&gt;1,"",IF(p_mode="Nœud",$T107*$K107,$R107*IF($G107="IKS",p_iks_cpu,p_roks_cpu)+$S107*IF($G107="IKS",p_iks_ram,p_roks_ram))*p_facteur)</f>
        <v>20608</v>
      </c>
      <c r="X107" s="14" t="n">
        <f aca="false">IF($D107&lt;&gt;1,"",IF($G107="ROKS",$R107,IF($AI107=1,0,MAX($N107,$L107-SUMIFS(TblApplications[CPU IKS libérable (vCPU)],TblApplications[Cluster IKS source],$F107,TblApplications[Action],"À migrer",TblApplications[Mois prov (calc)],"&lt;="&amp;$E107)-SUMIFS(TblApplications[CPU IKS libérable (vCPU)],TblApplications[Cluster IKS source],$F107,TblApplications[Action],"À décommissionner",TblApplications[Mois lib (calc)],"&lt;="&amp;$E107)))))</f>
        <v>379</v>
      </c>
      <c r="Y107" s="14" t="n">
        <f aca="false">IF($D107&lt;&gt;1,"",IF($G107="ROKS",$S107,IF($AI107=1,0,MAX($O107,$M107-SUMIFS(TblApplications[RAM IKS libérable (Go)],TblApplications[Cluster IKS source],$F107,TblApplications[Action],"À migrer",TblApplications[Mois prov (calc)],"&lt;="&amp;$E107)-SUMIFS(TblApplications[RAM IKS libérable (Go)],TblApplications[Cluster IKS source],$F107,TblApplications[Action],"À décommissionner",TblApplications[Mois lib (calc)],"&lt;="&amp;$E107)))))</f>
        <v>2160</v>
      </c>
      <c r="Z107" s="14" t="n">
        <f aca="false">IF($D107&lt;&gt;1,"",IF($AI107=1,0,MAX($J107,ROUNDUP(MAX($X107/$H107,$Y107/$I107),0))))</f>
        <v>14</v>
      </c>
      <c r="AA107" s="84" t="n">
        <f aca="false">IF($D107&lt;&gt;1,"",IF(p_mode="Nœud",$Z107*$K107,$X107*IF($G107="IKS",p_iks_cpu,p_roks_cpu)+$Y107*IF($G107="IKS",p_iks_ram,p_roks_ram))*p_facteur)</f>
        <v>20608</v>
      </c>
      <c r="AB107" s="14" t="n">
        <f aca="false">IF($D107&lt;&gt;1,"",MAX($J107,ROUNDUP(MAX($L107/$H107,$M107/$I107),0)))</f>
        <v>6</v>
      </c>
      <c r="AC107" s="84" t="n">
        <f aca="false">IF($D107&lt;&gt;1,"",IF(p_mode="Nœud",$AB107*$K107,$L107*IF($G107="IKS",p_iks_cpu,p_roks_cpu)+$M107*IF($G107="IKS",p_iks_ram,p_roks_ram))*p_facteur)</f>
        <v>8832</v>
      </c>
      <c r="AD107" s="14" t="n">
        <f aca="false">IF($D107&lt;&gt;1,"",IF(AND($G107="IKS",$AI107&lt;&gt;1,OR($L107-$P107&lt;$N107,$M107-$Q107&lt;$O107)),1,0))</f>
        <v>0</v>
      </c>
      <c r="AE107" s="14" t="n">
        <f aca="false">IF($D107&lt;&gt;1,"",IF(AND($G107="ROKS",$T107&gt;p_maxworkers),1,0))</f>
        <v>0</v>
      </c>
      <c r="AF107" s="14" t="str">
        <f aca="false">IF($D107&lt;&gt;1,"",IF(INDEX(TblClusters[Environnement],$B107)="","(vide)",INDEX(TblClusters[Environnement],$B107)))</f>
        <v>PRD</v>
      </c>
      <c r="AG107" s="14" t="n">
        <f aca="false">IF($D107&lt;&gt;1,"",$R107+p_poidsram*$S107)</f>
        <v>595</v>
      </c>
      <c r="AH107" s="14" t="n">
        <f aca="false">IF($D107&lt;&gt;1,"",IFERROR($W107/$AG107,0))</f>
        <v>34.6352941176471</v>
      </c>
      <c r="AI107" s="14" t="n">
        <f aca="false">IF($D107&lt;&gt;1,"",IF(AND($G107="IKS",ISNUMBER(INDEX(TblClusters[Fermeture retenue],$B107))),IF($E107&gt;=INDEX(TblClusters[Fermeture retenue],$B107),1,0),0))</f>
        <v>0</v>
      </c>
    </row>
    <row r="108" customFormat="false" ht="15" hidden="false" customHeight="false" outlineLevel="0" collapsed="false">
      <c r="A108" s="14" t="n">
        <v>103</v>
      </c>
      <c r="B108" s="14" t="n">
        <f aca="false">INT(($A108-1)/36)+1</f>
        <v>3</v>
      </c>
      <c r="C108" s="14" t="n">
        <f aca="false">MOD($A108-1,36)+1</f>
        <v>31</v>
      </c>
      <c r="D108" s="14" t="n">
        <f aca="false">IF($C108&gt;p_horizon,0,IFERROR(IF(AND(INDEX(TblClusters[Cluster],$B108)&lt;&gt;"",ISNUMBER(INDEX(TblClusters[CPU initial (vCPU)],$B108)),ISNUMBER(INDEX(TblClusters[CPU min (vCPU)],$B108)),OR(INDEX(TblClusters[Plateforme],$B108)="IKS",INDEX(TblClusters[Plateforme],$B108)="ROKS")),1,0),0))</f>
        <v>1</v>
      </c>
      <c r="E108" s="83" t="n">
        <f aca="false">IF($D108=1,EDATE(p_debut,$C108-1),"")</f>
        <v>47209</v>
      </c>
      <c r="F108" s="14" t="str">
        <f aca="false">IF($D108=1,INDEX(TblClusters[Cluster],$B108),"")</f>
        <v>ROKS-PRD-01</v>
      </c>
      <c r="G108" s="14" t="str">
        <f aca="false">IF($D108=1,INDEX(TblClusters[Plateforme],$B108),"")</f>
        <v>ROKS</v>
      </c>
      <c r="H108" s="14" t="n">
        <f aca="false">IF($D108=1,INDEX(TblClusters[vCPU par nœud],$B108),"")</f>
        <v>32</v>
      </c>
      <c r="I108" s="14" t="n">
        <f aca="false">IF($D108=1,INDEX(TblClusters[RAM par nœud (Go)],$B108),"")</f>
        <v>160</v>
      </c>
      <c r="J108" s="14" t="n">
        <f aca="false">IF($D108=1,INDEX(TblClusters[Workers min],$B108),"")</f>
        <v>6</v>
      </c>
      <c r="K108" s="84" t="n">
        <f aca="false">IF($D108=1,INDEX(TblClusters[Tarif par nœud],$B108),"")</f>
        <v>1472</v>
      </c>
      <c r="L108" s="14" t="n">
        <f aca="false">IF($D108=1,INDEX(TblClusters[CPU initial (vCPU)],$B108),"")</f>
        <v>192</v>
      </c>
      <c r="M108" s="14" t="n">
        <f aca="false">IF($D108=1,INDEX(TblClusters[RAM initiale (Go)],$B108),"")</f>
        <v>960</v>
      </c>
      <c r="N108" s="14" t="n">
        <f aca="false">IF($D108=1,INDEX(TblClusters[CPU min (vCPU)],$B108),"")</f>
        <v>192</v>
      </c>
      <c r="O108" s="14" t="n">
        <f aca="false">IF($D108=1,INDEX(TblClusters[RAM min (Go)],$B108),"")</f>
        <v>960</v>
      </c>
      <c r="P108" s="14" t="n">
        <f aca="false">IF($D108&lt;&gt;1,"",IF($G108="ROKS",SUMIFS(TblApplications[Besoin ROKS CPU (vCPU)],TblApplications[Cluster ROKS cible],$F108,TblApplications[Action],"À migrer",TblApplications[Déjà incluse ROKS],"Non",TblApplications[Mois prov (calc)],"&lt;="&amp;$E108),SUMIFS(TblApplications[CPU IKS libérable (vCPU)],TblApplications[Cluster IKS source],$F108,TblApplications[Mois lib (calc)],"&lt;="&amp;$E108)))</f>
        <v>187</v>
      </c>
      <c r="Q108" s="14" t="n">
        <f aca="false">IF($D108&lt;&gt;1,"",IF($G108="ROKS",SUMIFS(TblApplications[Besoin ROKS RAM (Go)],TblApplications[Cluster ROKS cible],$F108,TblApplications[Action],"À migrer",TblApplications[Déjà incluse ROKS],"Non",TblApplications[Mois prov (calc)],"&lt;="&amp;$E108),SUMIFS(TblApplications[RAM IKS libérable (Go)],TblApplications[Cluster IKS source],$F108,TblApplications[Mois lib (calc)],"&lt;="&amp;$E108)))</f>
        <v>1200</v>
      </c>
      <c r="R108" s="14" t="n">
        <f aca="false">IF($D108&lt;&gt;1,"",IF($G108="ROKS",$L108+$P108,IF($AI108=1,0,MAX($N108,$L108-$P108))))</f>
        <v>379</v>
      </c>
      <c r="S108" s="14" t="n">
        <f aca="false">IF($D108&lt;&gt;1,"",IF($G108="ROKS",$M108+$Q108,IF($AI108=1,0,MAX($O108,$M108-$Q108))))</f>
        <v>2160</v>
      </c>
      <c r="T108" s="14" t="n">
        <f aca="false">IF($D108&lt;&gt;1,"",IF($AI108=1,0,MAX($J108,ROUNDUP(MAX($R108/$H108,$S108/$I108),0))))</f>
        <v>14</v>
      </c>
      <c r="U108" s="14" t="n">
        <f aca="false">IF($D108&lt;&gt;1,"",IF(p_mode="Nœud",$T108*$H108,$R108))</f>
        <v>448</v>
      </c>
      <c r="V108" s="14" t="n">
        <f aca="false">IF($D108&lt;&gt;1,"",IF(p_mode="Nœud",$T108*$I108,$S108))</f>
        <v>2240</v>
      </c>
      <c r="W108" s="84" t="n">
        <f aca="false">IF($D108&lt;&gt;1,"",IF(p_mode="Nœud",$T108*$K108,$R108*IF($G108="IKS",p_iks_cpu,p_roks_cpu)+$S108*IF($G108="IKS",p_iks_ram,p_roks_ram))*p_facteur)</f>
        <v>20608</v>
      </c>
      <c r="X108" s="14" t="n">
        <f aca="false">IF($D108&lt;&gt;1,"",IF($G108="ROKS",$R108,IF($AI108=1,0,MAX($N108,$L108-SUMIFS(TblApplications[CPU IKS libérable (vCPU)],TblApplications[Cluster IKS source],$F108,TblApplications[Action],"À migrer",TblApplications[Mois prov (calc)],"&lt;="&amp;$E108)-SUMIFS(TblApplications[CPU IKS libérable (vCPU)],TblApplications[Cluster IKS source],$F108,TblApplications[Action],"À décommissionner",TblApplications[Mois lib (calc)],"&lt;="&amp;$E108)))))</f>
        <v>379</v>
      </c>
      <c r="Y108" s="14" t="n">
        <f aca="false">IF($D108&lt;&gt;1,"",IF($G108="ROKS",$S108,IF($AI108=1,0,MAX($O108,$M108-SUMIFS(TblApplications[RAM IKS libérable (Go)],TblApplications[Cluster IKS source],$F108,TblApplications[Action],"À migrer",TblApplications[Mois prov (calc)],"&lt;="&amp;$E108)-SUMIFS(TblApplications[RAM IKS libérable (Go)],TblApplications[Cluster IKS source],$F108,TblApplications[Action],"À décommissionner",TblApplications[Mois lib (calc)],"&lt;="&amp;$E108)))))</f>
        <v>2160</v>
      </c>
      <c r="Z108" s="14" t="n">
        <f aca="false">IF($D108&lt;&gt;1,"",IF($AI108=1,0,MAX($J108,ROUNDUP(MAX($X108/$H108,$Y108/$I108),0))))</f>
        <v>14</v>
      </c>
      <c r="AA108" s="84" t="n">
        <f aca="false">IF($D108&lt;&gt;1,"",IF(p_mode="Nœud",$Z108*$K108,$X108*IF($G108="IKS",p_iks_cpu,p_roks_cpu)+$Y108*IF($G108="IKS",p_iks_ram,p_roks_ram))*p_facteur)</f>
        <v>20608</v>
      </c>
      <c r="AB108" s="14" t="n">
        <f aca="false">IF($D108&lt;&gt;1,"",MAX($J108,ROUNDUP(MAX($L108/$H108,$M108/$I108),0)))</f>
        <v>6</v>
      </c>
      <c r="AC108" s="84" t="n">
        <f aca="false">IF($D108&lt;&gt;1,"",IF(p_mode="Nœud",$AB108*$K108,$L108*IF($G108="IKS",p_iks_cpu,p_roks_cpu)+$M108*IF($G108="IKS",p_iks_ram,p_roks_ram))*p_facteur)</f>
        <v>8832</v>
      </c>
      <c r="AD108" s="14" t="n">
        <f aca="false">IF($D108&lt;&gt;1,"",IF(AND($G108="IKS",$AI108&lt;&gt;1,OR($L108-$P108&lt;$N108,$M108-$Q108&lt;$O108)),1,0))</f>
        <v>0</v>
      </c>
      <c r="AE108" s="14" t="n">
        <f aca="false">IF($D108&lt;&gt;1,"",IF(AND($G108="ROKS",$T108&gt;p_maxworkers),1,0))</f>
        <v>0</v>
      </c>
      <c r="AF108" s="14" t="str">
        <f aca="false">IF($D108&lt;&gt;1,"",IF(INDEX(TblClusters[Environnement],$B108)="","(vide)",INDEX(TblClusters[Environnement],$B108)))</f>
        <v>PRD</v>
      </c>
      <c r="AG108" s="14" t="n">
        <f aca="false">IF($D108&lt;&gt;1,"",$R108+p_poidsram*$S108)</f>
        <v>595</v>
      </c>
      <c r="AH108" s="14" t="n">
        <f aca="false">IF($D108&lt;&gt;1,"",IFERROR($W108/$AG108,0))</f>
        <v>34.6352941176471</v>
      </c>
      <c r="AI108" s="14" t="n">
        <f aca="false">IF($D108&lt;&gt;1,"",IF(AND($G108="IKS",ISNUMBER(INDEX(TblClusters[Fermeture retenue],$B108))),IF($E108&gt;=INDEX(TblClusters[Fermeture retenue],$B108),1,0),0))</f>
        <v>0</v>
      </c>
    </row>
    <row r="109" customFormat="false" ht="15" hidden="false" customHeight="false" outlineLevel="0" collapsed="false">
      <c r="A109" s="14" t="n">
        <v>104</v>
      </c>
      <c r="B109" s="14" t="n">
        <f aca="false">INT(($A109-1)/36)+1</f>
        <v>3</v>
      </c>
      <c r="C109" s="14" t="n">
        <f aca="false">MOD($A109-1,36)+1</f>
        <v>32</v>
      </c>
      <c r="D109" s="14" t="n">
        <f aca="false">IF($C109&gt;p_horizon,0,IFERROR(IF(AND(INDEX(TblClusters[Cluster],$B109)&lt;&gt;"",ISNUMBER(INDEX(TblClusters[CPU initial (vCPU)],$B109)),ISNUMBER(INDEX(TblClusters[CPU min (vCPU)],$B109)),OR(INDEX(TblClusters[Plateforme],$B109)="IKS",INDEX(TblClusters[Plateforme],$B109)="ROKS")),1,0),0))</f>
        <v>1</v>
      </c>
      <c r="E109" s="83" t="n">
        <f aca="false">IF($D109=1,EDATE(p_debut,$C109-1),"")</f>
        <v>47239</v>
      </c>
      <c r="F109" s="14" t="str">
        <f aca="false">IF($D109=1,INDEX(TblClusters[Cluster],$B109),"")</f>
        <v>ROKS-PRD-01</v>
      </c>
      <c r="G109" s="14" t="str">
        <f aca="false">IF($D109=1,INDEX(TblClusters[Plateforme],$B109),"")</f>
        <v>ROKS</v>
      </c>
      <c r="H109" s="14" t="n">
        <f aca="false">IF($D109=1,INDEX(TblClusters[vCPU par nœud],$B109),"")</f>
        <v>32</v>
      </c>
      <c r="I109" s="14" t="n">
        <f aca="false">IF($D109=1,INDEX(TblClusters[RAM par nœud (Go)],$B109),"")</f>
        <v>160</v>
      </c>
      <c r="J109" s="14" t="n">
        <f aca="false">IF($D109=1,INDEX(TblClusters[Workers min],$B109),"")</f>
        <v>6</v>
      </c>
      <c r="K109" s="84" t="n">
        <f aca="false">IF($D109=1,INDEX(TblClusters[Tarif par nœud],$B109),"")</f>
        <v>1472</v>
      </c>
      <c r="L109" s="14" t="n">
        <f aca="false">IF($D109=1,INDEX(TblClusters[CPU initial (vCPU)],$B109),"")</f>
        <v>192</v>
      </c>
      <c r="M109" s="14" t="n">
        <f aca="false">IF($D109=1,INDEX(TblClusters[RAM initiale (Go)],$B109),"")</f>
        <v>960</v>
      </c>
      <c r="N109" s="14" t="n">
        <f aca="false">IF($D109=1,INDEX(TblClusters[CPU min (vCPU)],$B109),"")</f>
        <v>192</v>
      </c>
      <c r="O109" s="14" t="n">
        <f aca="false">IF($D109=1,INDEX(TblClusters[RAM min (Go)],$B109),"")</f>
        <v>960</v>
      </c>
      <c r="P109" s="14" t="n">
        <f aca="false">IF($D109&lt;&gt;1,"",IF($G109="ROKS",SUMIFS(TblApplications[Besoin ROKS CPU (vCPU)],TblApplications[Cluster ROKS cible],$F109,TblApplications[Action],"À migrer",TblApplications[Déjà incluse ROKS],"Non",TblApplications[Mois prov (calc)],"&lt;="&amp;$E109),SUMIFS(TblApplications[CPU IKS libérable (vCPU)],TblApplications[Cluster IKS source],$F109,TblApplications[Mois lib (calc)],"&lt;="&amp;$E109)))</f>
        <v>187</v>
      </c>
      <c r="Q109" s="14" t="n">
        <f aca="false">IF($D109&lt;&gt;1,"",IF($G109="ROKS",SUMIFS(TblApplications[Besoin ROKS RAM (Go)],TblApplications[Cluster ROKS cible],$F109,TblApplications[Action],"À migrer",TblApplications[Déjà incluse ROKS],"Non",TblApplications[Mois prov (calc)],"&lt;="&amp;$E109),SUMIFS(TblApplications[RAM IKS libérable (Go)],TblApplications[Cluster IKS source],$F109,TblApplications[Mois lib (calc)],"&lt;="&amp;$E109)))</f>
        <v>1200</v>
      </c>
      <c r="R109" s="14" t="n">
        <f aca="false">IF($D109&lt;&gt;1,"",IF($G109="ROKS",$L109+$P109,IF($AI109=1,0,MAX($N109,$L109-$P109))))</f>
        <v>379</v>
      </c>
      <c r="S109" s="14" t="n">
        <f aca="false">IF($D109&lt;&gt;1,"",IF($G109="ROKS",$M109+$Q109,IF($AI109=1,0,MAX($O109,$M109-$Q109))))</f>
        <v>2160</v>
      </c>
      <c r="T109" s="14" t="n">
        <f aca="false">IF($D109&lt;&gt;1,"",IF($AI109=1,0,MAX($J109,ROUNDUP(MAX($R109/$H109,$S109/$I109),0))))</f>
        <v>14</v>
      </c>
      <c r="U109" s="14" t="n">
        <f aca="false">IF($D109&lt;&gt;1,"",IF(p_mode="Nœud",$T109*$H109,$R109))</f>
        <v>448</v>
      </c>
      <c r="V109" s="14" t="n">
        <f aca="false">IF($D109&lt;&gt;1,"",IF(p_mode="Nœud",$T109*$I109,$S109))</f>
        <v>2240</v>
      </c>
      <c r="W109" s="84" t="n">
        <f aca="false">IF($D109&lt;&gt;1,"",IF(p_mode="Nœud",$T109*$K109,$R109*IF($G109="IKS",p_iks_cpu,p_roks_cpu)+$S109*IF($G109="IKS",p_iks_ram,p_roks_ram))*p_facteur)</f>
        <v>20608</v>
      </c>
      <c r="X109" s="14" t="n">
        <f aca="false">IF($D109&lt;&gt;1,"",IF($G109="ROKS",$R109,IF($AI109=1,0,MAX($N109,$L109-SUMIFS(TblApplications[CPU IKS libérable (vCPU)],TblApplications[Cluster IKS source],$F109,TblApplications[Action],"À migrer",TblApplications[Mois prov (calc)],"&lt;="&amp;$E109)-SUMIFS(TblApplications[CPU IKS libérable (vCPU)],TblApplications[Cluster IKS source],$F109,TblApplications[Action],"À décommissionner",TblApplications[Mois lib (calc)],"&lt;="&amp;$E109)))))</f>
        <v>379</v>
      </c>
      <c r="Y109" s="14" t="n">
        <f aca="false">IF($D109&lt;&gt;1,"",IF($G109="ROKS",$S109,IF($AI109=1,0,MAX($O109,$M109-SUMIFS(TblApplications[RAM IKS libérable (Go)],TblApplications[Cluster IKS source],$F109,TblApplications[Action],"À migrer",TblApplications[Mois prov (calc)],"&lt;="&amp;$E109)-SUMIFS(TblApplications[RAM IKS libérable (Go)],TblApplications[Cluster IKS source],$F109,TblApplications[Action],"À décommissionner",TblApplications[Mois lib (calc)],"&lt;="&amp;$E109)))))</f>
        <v>2160</v>
      </c>
      <c r="Z109" s="14" t="n">
        <f aca="false">IF($D109&lt;&gt;1,"",IF($AI109=1,0,MAX($J109,ROUNDUP(MAX($X109/$H109,$Y109/$I109),0))))</f>
        <v>14</v>
      </c>
      <c r="AA109" s="84" t="n">
        <f aca="false">IF($D109&lt;&gt;1,"",IF(p_mode="Nœud",$Z109*$K109,$X109*IF($G109="IKS",p_iks_cpu,p_roks_cpu)+$Y109*IF($G109="IKS",p_iks_ram,p_roks_ram))*p_facteur)</f>
        <v>20608</v>
      </c>
      <c r="AB109" s="14" t="n">
        <f aca="false">IF($D109&lt;&gt;1,"",MAX($J109,ROUNDUP(MAX($L109/$H109,$M109/$I109),0)))</f>
        <v>6</v>
      </c>
      <c r="AC109" s="84" t="n">
        <f aca="false">IF($D109&lt;&gt;1,"",IF(p_mode="Nœud",$AB109*$K109,$L109*IF($G109="IKS",p_iks_cpu,p_roks_cpu)+$M109*IF($G109="IKS",p_iks_ram,p_roks_ram))*p_facteur)</f>
        <v>8832</v>
      </c>
      <c r="AD109" s="14" t="n">
        <f aca="false">IF($D109&lt;&gt;1,"",IF(AND($G109="IKS",$AI109&lt;&gt;1,OR($L109-$P109&lt;$N109,$M109-$Q109&lt;$O109)),1,0))</f>
        <v>0</v>
      </c>
      <c r="AE109" s="14" t="n">
        <f aca="false">IF($D109&lt;&gt;1,"",IF(AND($G109="ROKS",$T109&gt;p_maxworkers),1,0))</f>
        <v>0</v>
      </c>
      <c r="AF109" s="14" t="str">
        <f aca="false">IF($D109&lt;&gt;1,"",IF(INDEX(TblClusters[Environnement],$B109)="","(vide)",INDEX(TblClusters[Environnement],$B109)))</f>
        <v>PRD</v>
      </c>
      <c r="AG109" s="14" t="n">
        <f aca="false">IF($D109&lt;&gt;1,"",$R109+p_poidsram*$S109)</f>
        <v>595</v>
      </c>
      <c r="AH109" s="14" t="n">
        <f aca="false">IF($D109&lt;&gt;1,"",IFERROR($W109/$AG109,0))</f>
        <v>34.6352941176471</v>
      </c>
      <c r="AI109" s="14" t="n">
        <f aca="false">IF($D109&lt;&gt;1,"",IF(AND($G109="IKS",ISNUMBER(INDEX(TblClusters[Fermeture retenue],$B109))),IF($E109&gt;=INDEX(TblClusters[Fermeture retenue],$B109),1,0),0))</f>
        <v>0</v>
      </c>
    </row>
    <row r="110" customFormat="false" ht="15" hidden="false" customHeight="false" outlineLevel="0" collapsed="false">
      <c r="A110" s="14" t="n">
        <v>105</v>
      </c>
      <c r="B110" s="14" t="n">
        <f aca="false">INT(($A110-1)/36)+1</f>
        <v>3</v>
      </c>
      <c r="C110" s="14" t="n">
        <f aca="false">MOD($A110-1,36)+1</f>
        <v>33</v>
      </c>
      <c r="D110" s="14" t="n">
        <f aca="false">IF($C110&gt;p_horizon,0,IFERROR(IF(AND(INDEX(TblClusters[Cluster],$B110)&lt;&gt;"",ISNUMBER(INDEX(TblClusters[CPU initial (vCPU)],$B110)),ISNUMBER(INDEX(TblClusters[CPU min (vCPU)],$B110)),OR(INDEX(TblClusters[Plateforme],$B110)="IKS",INDEX(TblClusters[Plateforme],$B110)="ROKS")),1,0),0))</f>
        <v>1</v>
      </c>
      <c r="E110" s="83" t="n">
        <f aca="false">IF($D110=1,EDATE(p_debut,$C110-1),"")</f>
        <v>47270</v>
      </c>
      <c r="F110" s="14" t="str">
        <f aca="false">IF($D110=1,INDEX(TblClusters[Cluster],$B110),"")</f>
        <v>ROKS-PRD-01</v>
      </c>
      <c r="G110" s="14" t="str">
        <f aca="false">IF($D110=1,INDEX(TblClusters[Plateforme],$B110),"")</f>
        <v>ROKS</v>
      </c>
      <c r="H110" s="14" t="n">
        <f aca="false">IF($D110=1,INDEX(TblClusters[vCPU par nœud],$B110),"")</f>
        <v>32</v>
      </c>
      <c r="I110" s="14" t="n">
        <f aca="false">IF($D110=1,INDEX(TblClusters[RAM par nœud (Go)],$B110),"")</f>
        <v>160</v>
      </c>
      <c r="J110" s="14" t="n">
        <f aca="false">IF($D110=1,INDEX(TblClusters[Workers min],$B110),"")</f>
        <v>6</v>
      </c>
      <c r="K110" s="84" t="n">
        <f aca="false">IF($D110=1,INDEX(TblClusters[Tarif par nœud],$B110),"")</f>
        <v>1472</v>
      </c>
      <c r="L110" s="14" t="n">
        <f aca="false">IF($D110=1,INDEX(TblClusters[CPU initial (vCPU)],$B110),"")</f>
        <v>192</v>
      </c>
      <c r="M110" s="14" t="n">
        <f aca="false">IF($D110=1,INDEX(TblClusters[RAM initiale (Go)],$B110),"")</f>
        <v>960</v>
      </c>
      <c r="N110" s="14" t="n">
        <f aca="false">IF($D110=1,INDEX(TblClusters[CPU min (vCPU)],$B110),"")</f>
        <v>192</v>
      </c>
      <c r="O110" s="14" t="n">
        <f aca="false">IF($D110=1,INDEX(TblClusters[RAM min (Go)],$B110),"")</f>
        <v>960</v>
      </c>
      <c r="P110" s="14" t="n">
        <f aca="false">IF($D110&lt;&gt;1,"",IF($G110="ROKS",SUMIFS(TblApplications[Besoin ROKS CPU (vCPU)],TblApplications[Cluster ROKS cible],$F110,TblApplications[Action],"À migrer",TblApplications[Déjà incluse ROKS],"Non",TblApplications[Mois prov (calc)],"&lt;="&amp;$E110),SUMIFS(TblApplications[CPU IKS libérable (vCPU)],TblApplications[Cluster IKS source],$F110,TblApplications[Mois lib (calc)],"&lt;="&amp;$E110)))</f>
        <v>187</v>
      </c>
      <c r="Q110" s="14" t="n">
        <f aca="false">IF($D110&lt;&gt;1,"",IF($G110="ROKS",SUMIFS(TblApplications[Besoin ROKS RAM (Go)],TblApplications[Cluster ROKS cible],$F110,TblApplications[Action],"À migrer",TblApplications[Déjà incluse ROKS],"Non",TblApplications[Mois prov (calc)],"&lt;="&amp;$E110),SUMIFS(TblApplications[RAM IKS libérable (Go)],TblApplications[Cluster IKS source],$F110,TblApplications[Mois lib (calc)],"&lt;="&amp;$E110)))</f>
        <v>1200</v>
      </c>
      <c r="R110" s="14" t="n">
        <f aca="false">IF($D110&lt;&gt;1,"",IF($G110="ROKS",$L110+$P110,IF($AI110=1,0,MAX($N110,$L110-$P110))))</f>
        <v>379</v>
      </c>
      <c r="S110" s="14" t="n">
        <f aca="false">IF($D110&lt;&gt;1,"",IF($G110="ROKS",$M110+$Q110,IF($AI110=1,0,MAX($O110,$M110-$Q110))))</f>
        <v>2160</v>
      </c>
      <c r="T110" s="14" t="n">
        <f aca="false">IF($D110&lt;&gt;1,"",IF($AI110=1,0,MAX($J110,ROUNDUP(MAX($R110/$H110,$S110/$I110),0))))</f>
        <v>14</v>
      </c>
      <c r="U110" s="14" t="n">
        <f aca="false">IF($D110&lt;&gt;1,"",IF(p_mode="Nœud",$T110*$H110,$R110))</f>
        <v>448</v>
      </c>
      <c r="V110" s="14" t="n">
        <f aca="false">IF($D110&lt;&gt;1,"",IF(p_mode="Nœud",$T110*$I110,$S110))</f>
        <v>2240</v>
      </c>
      <c r="W110" s="84" t="n">
        <f aca="false">IF($D110&lt;&gt;1,"",IF(p_mode="Nœud",$T110*$K110,$R110*IF($G110="IKS",p_iks_cpu,p_roks_cpu)+$S110*IF($G110="IKS",p_iks_ram,p_roks_ram))*p_facteur)</f>
        <v>20608</v>
      </c>
      <c r="X110" s="14" t="n">
        <f aca="false">IF($D110&lt;&gt;1,"",IF($G110="ROKS",$R110,IF($AI110=1,0,MAX($N110,$L110-SUMIFS(TblApplications[CPU IKS libérable (vCPU)],TblApplications[Cluster IKS source],$F110,TblApplications[Action],"À migrer",TblApplications[Mois prov (calc)],"&lt;="&amp;$E110)-SUMIFS(TblApplications[CPU IKS libérable (vCPU)],TblApplications[Cluster IKS source],$F110,TblApplications[Action],"À décommissionner",TblApplications[Mois lib (calc)],"&lt;="&amp;$E110)))))</f>
        <v>379</v>
      </c>
      <c r="Y110" s="14" t="n">
        <f aca="false">IF($D110&lt;&gt;1,"",IF($G110="ROKS",$S110,IF($AI110=1,0,MAX($O110,$M110-SUMIFS(TblApplications[RAM IKS libérable (Go)],TblApplications[Cluster IKS source],$F110,TblApplications[Action],"À migrer",TblApplications[Mois prov (calc)],"&lt;="&amp;$E110)-SUMIFS(TblApplications[RAM IKS libérable (Go)],TblApplications[Cluster IKS source],$F110,TblApplications[Action],"À décommissionner",TblApplications[Mois lib (calc)],"&lt;="&amp;$E110)))))</f>
        <v>2160</v>
      </c>
      <c r="Z110" s="14" t="n">
        <f aca="false">IF($D110&lt;&gt;1,"",IF($AI110=1,0,MAX($J110,ROUNDUP(MAX($X110/$H110,$Y110/$I110),0))))</f>
        <v>14</v>
      </c>
      <c r="AA110" s="84" t="n">
        <f aca="false">IF($D110&lt;&gt;1,"",IF(p_mode="Nœud",$Z110*$K110,$X110*IF($G110="IKS",p_iks_cpu,p_roks_cpu)+$Y110*IF($G110="IKS",p_iks_ram,p_roks_ram))*p_facteur)</f>
        <v>20608</v>
      </c>
      <c r="AB110" s="14" t="n">
        <f aca="false">IF($D110&lt;&gt;1,"",MAX($J110,ROUNDUP(MAX($L110/$H110,$M110/$I110),0)))</f>
        <v>6</v>
      </c>
      <c r="AC110" s="84" t="n">
        <f aca="false">IF($D110&lt;&gt;1,"",IF(p_mode="Nœud",$AB110*$K110,$L110*IF($G110="IKS",p_iks_cpu,p_roks_cpu)+$M110*IF($G110="IKS",p_iks_ram,p_roks_ram))*p_facteur)</f>
        <v>8832</v>
      </c>
      <c r="AD110" s="14" t="n">
        <f aca="false">IF($D110&lt;&gt;1,"",IF(AND($G110="IKS",$AI110&lt;&gt;1,OR($L110-$P110&lt;$N110,$M110-$Q110&lt;$O110)),1,0))</f>
        <v>0</v>
      </c>
      <c r="AE110" s="14" t="n">
        <f aca="false">IF($D110&lt;&gt;1,"",IF(AND($G110="ROKS",$T110&gt;p_maxworkers),1,0))</f>
        <v>0</v>
      </c>
      <c r="AF110" s="14" t="str">
        <f aca="false">IF($D110&lt;&gt;1,"",IF(INDEX(TblClusters[Environnement],$B110)="","(vide)",INDEX(TblClusters[Environnement],$B110)))</f>
        <v>PRD</v>
      </c>
      <c r="AG110" s="14" t="n">
        <f aca="false">IF($D110&lt;&gt;1,"",$R110+p_poidsram*$S110)</f>
        <v>595</v>
      </c>
      <c r="AH110" s="14" t="n">
        <f aca="false">IF($D110&lt;&gt;1,"",IFERROR($W110/$AG110,0))</f>
        <v>34.6352941176471</v>
      </c>
      <c r="AI110" s="14" t="n">
        <f aca="false">IF($D110&lt;&gt;1,"",IF(AND($G110="IKS",ISNUMBER(INDEX(TblClusters[Fermeture retenue],$B110))),IF($E110&gt;=INDEX(TblClusters[Fermeture retenue],$B110),1,0),0))</f>
        <v>0</v>
      </c>
    </row>
    <row r="111" customFormat="false" ht="15" hidden="false" customHeight="false" outlineLevel="0" collapsed="false">
      <c r="A111" s="14" t="n">
        <v>106</v>
      </c>
      <c r="B111" s="14" t="n">
        <f aca="false">INT(($A111-1)/36)+1</f>
        <v>3</v>
      </c>
      <c r="C111" s="14" t="n">
        <f aca="false">MOD($A111-1,36)+1</f>
        <v>34</v>
      </c>
      <c r="D111" s="14" t="n">
        <f aca="false">IF($C111&gt;p_horizon,0,IFERROR(IF(AND(INDEX(TblClusters[Cluster],$B111)&lt;&gt;"",ISNUMBER(INDEX(TblClusters[CPU initial (vCPU)],$B111)),ISNUMBER(INDEX(TblClusters[CPU min (vCPU)],$B111)),OR(INDEX(TblClusters[Plateforme],$B111)="IKS",INDEX(TblClusters[Plateforme],$B111)="ROKS")),1,0),0))</f>
        <v>1</v>
      </c>
      <c r="E111" s="83" t="n">
        <f aca="false">IF($D111=1,EDATE(p_debut,$C111-1),"")</f>
        <v>47300</v>
      </c>
      <c r="F111" s="14" t="str">
        <f aca="false">IF($D111=1,INDEX(TblClusters[Cluster],$B111),"")</f>
        <v>ROKS-PRD-01</v>
      </c>
      <c r="G111" s="14" t="str">
        <f aca="false">IF($D111=1,INDEX(TblClusters[Plateforme],$B111),"")</f>
        <v>ROKS</v>
      </c>
      <c r="H111" s="14" t="n">
        <f aca="false">IF($D111=1,INDEX(TblClusters[vCPU par nœud],$B111),"")</f>
        <v>32</v>
      </c>
      <c r="I111" s="14" t="n">
        <f aca="false">IF($D111=1,INDEX(TblClusters[RAM par nœud (Go)],$B111),"")</f>
        <v>160</v>
      </c>
      <c r="J111" s="14" t="n">
        <f aca="false">IF($D111=1,INDEX(TblClusters[Workers min],$B111),"")</f>
        <v>6</v>
      </c>
      <c r="K111" s="84" t="n">
        <f aca="false">IF($D111=1,INDEX(TblClusters[Tarif par nœud],$B111),"")</f>
        <v>1472</v>
      </c>
      <c r="L111" s="14" t="n">
        <f aca="false">IF($D111=1,INDEX(TblClusters[CPU initial (vCPU)],$B111),"")</f>
        <v>192</v>
      </c>
      <c r="M111" s="14" t="n">
        <f aca="false">IF($D111=1,INDEX(TblClusters[RAM initiale (Go)],$B111),"")</f>
        <v>960</v>
      </c>
      <c r="N111" s="14" t="n">
        <f aca="false">IF($D111=1,INDEX(TblClusters[CPU min (vCPU)],$B111),"")</f>
        <v>192</v>
      </c>
      <c r="O111" s="14" t="n">
        <f aca="false">IF($D111=1,INDEX(TblClusters[RAM min (Go)],$B111),"")</f>
        <v>960</v>
      </c>
      <c r="P111" s="14" t="n">
        <f aca="false">IF($D111&lt;&gt;1,"",IF($G111="ROKS",SUMIFS(TblApplications[Besoin ROKS CPU (vCPU)],TblApplications[Cluster ROKS cible],$F111,TblApplications[Action],"À migrer",TblApplications[Déjà incluse ROKS],"Non",TblApplications[Mois prov (calc)],"&lt;="&amp;$E111),SUMIFS(TblApplications[CPU IKS libérable (vCPU)],TblApplications[Cluster IKS source],$F111,TblApplications[Mois lib (calc)],"&lt;="&amp;$E111)))</f>
        <v>187</v>
      </c>
      <c r="Q111" s="14" t="n">
        <f aca="false">IF($D111&lt;&gt;1,"",IF($G111="ROKS",SUMIFS(TblApplications[Besoin ROKS RAM (Go)],TblApplications[Cluster ROKS cible],$F111,TblApplications[Action],"À migrer",TblApplications[Déjà incluse ROKS],"Non",TblApplications[Mois prov (calc)],"&lt;="&amp;$E111),SUMIFS(TblApplications[RAM IKS libérable (Go)],TblApplications[Cluster IKS source],$F111,TblApplications[Mois lib (calc)],"&lt;="&amp;$E111)))</f>
        <v>1200</v>
      </c>
      <c r="R111" s="14" t="n">
        <f aca="false">IF($D111&lt;&gt;1,"",IF($G111="ROKS",$L111+$P111,IF($AI111=1,0,MAX($N111,$L111-$P111))))</f>
        <v>379</v>
      </c>
      <c r="S111" s="14" t="n">
        <f aca="false">IF($D111&lt;&gt;1,"",IF($G111="ROKS",$M111+$Q111,IF($AI111=1,0,MAX($O111,$M111-$Q111))))</f>
        <v>2160</v>
      </c>
      <c r="T111" s="14" t="n">
        <f aca="false">IF($D111&lt;&gt;1,"",IF($AI111=1,0,MAX($J111,ROUNDUP(MAX($R111/$H111,$S111/$I111),0))))</f>
        <v>14</v>
      </c>
      <c r="U111" s="14" t="n">
        <f aca="false">IF($D111&lt;&gt;1,"",IF(p_mode="Nœud",$T111*$H111,$R111))</f>
        <v>448</v>
      </c>
      <c r="V111" s="14" t="n">
        <f aca="false">IF($D111&lt;&gt;1,"",IF(p_mode="Nœud",$T111*$I111,$S111))</f>
        <v>2240</v>
      </c>
      <c r="W111" s="84" t="n">
        <f aca="false">IF($D111&lt;&gt;1,"",IF(p_mode="Nœud",$T111*$K111,$R111*IF($G111="IKS",p_iks_cpu,p_roks_cpu)+$S111*IF($G111="IKS",p_iks_ram,p_roks_ram))*p_facteur)</f>
        <v>20608</v>
      </c>
      <c r="X111" s="14" t="n">
        <f aca="false">IF($D111&lt;&gt;1,"",IF($G111="ROKS",$R111,IF($AI111=1,0,MAX($N111,$L111-SUMIFS(TblApplications[CPU IKS libérable (vCPU)],TblApplications[Cluster IKS source],$F111,TblApplications[Action],"À migrer",TblApplications[Mois prov (calc)],"&lt;="&amp;$E111)-SUMIFS(TblApplications[CPU IKS libérable (vCPU)],TblApplications[Cluster IKS source],$F111,TblApplications[Action],"À décommissionner",TblApplications[Mois lib (calc)],"&lt;="&amp;$E111)))))</f>
        <v>379</v>
      </c>
      <c r="Y111" s="14" t="n">
        <f aca="false">IF($D111&lt;&gt;1,"",IF($G111="ROKS",$S111,IF($AI111=1,0,MAX($O111,$M111-SUMIFS(TblApplications[RAM IKS libérable (Go)],TblApplications[Cluster IKS source],$F111,TblApplications[Action],"À migrer",TblApplications[Mois prov (calc)],"&lt;="&amp;$E111)-SUMIFS(TblApplications[RAM IKS libérable (Go)],TblApplications[Cluster IKS source],$F111,TblApplications[Action],"À décommissionner",TblApplications[Mois lib (calc)],"&lt;="&amp;$E111)))))</f>
        <v>2160</v>
      </c>
      <c r="Z111" s="14" t="n">
        <f aca="false">IF($D111&lt;&gt;1,"",IF($AI111=1,0,MAX($J111,ROUNDUP(MAX($X111/$H111,$Y111/$I111),0))))</f>
        <v>14</v>
      </c>
      <c r="AA111" s="84" t="n">
        <f aca="false">IF($D111&lt;&gt;1,"",IF(p_mode="Nœud",$Z111*$K111,$X111*IF($G111="IKS",p_iks_cpu,p_roks_cpu)+$Y111*IF($G111="IKS",p_iks_ram,p_roks_ram))*p_facteur)</f>
        <v>20608</v>
      </c>
      <c r="AB111" s="14" t="n">
        <f aca="false">IF($D111&lt;&gt;1,"",MAX($J111,ROUNDUP(MAX($L111/$H111,$M111/$I111),0)))</f>
        <v>6</v>
      </c>
      <c r="AC111" s="84" t="n">
        <f aca="false">IF($D111&lt;&gt;1,"",IF(p_mode="Nœud",$AB111*$K111,$L111*IF($G111="IKS",p_iks_cpu,p_roks_cpu)+$M111*IF($G111="IKS",p_iks_ram,p_roks_ram))*p_facteur)</f>
        <v>8832</v>
      </c>
      <c r="AD111" s="14" t="n">
        <f aca="false">IF($D111&lt;&gt;1,"",IF(AND($G111="IKS",$AI111&lt;&gt;1,OR($L111-$P111&lt;$N111,$M111-$Q111&lt;$O111)),1,0))</f>
        <v>0</v>
      </c>
      <c r="AE111" s="14" t="n">
        <f aca="false">IF($D111&lt;&gt;1,"",IF(AND($G111="ROKS",$T111&gt;p_maxworkers),1,0))</f>
        <v>0</v>
      </c>
      <c r="AF111" s="14" t="str">
        <f aca="false">IF($D111&lt;&gt;1,"",IF(INDEX(TblClusters[Environnement],$B111)="","(vide)",INDEX(TblClusters[Environnement],$B111)))</f>
        <v>PRD</v>
      </c>
      <c r="AG111" s="14" t="n">
        <f aca="false">IF($D111&lt;&gt;1,"",$R111+p_poidsram*$S111)</f>
        <v>595</v>
      </c>
      <c r="AH111" s="14" t="n">
        <f aca="false">IF($D111&lt;&gt;1,"",IFERROR($W111/$AG111,0))</f>
        <v>34.6352941176471</v>
      </c>
      <c r="AI111" s="14" t="n">
        <f aca="false">IF($D111&lt;&gt;1,"",IF(AND($G111="IKS",ISNUMBER(INDEX(TblClusters[Fermeture retenue],$B111))),IF($E111&gt;=INDEX(TblClusters[Fermeture retenue],$B111),1,0),0))</f>
        <v>0</v>
      </c>
    </row>
    <row r="112" customFormat="false" ht="15" hidden="false" customHeight="false" outlineLevel="0" collapsed="false">
      <c r="A112" s="14" t="n">
        <v>107</v>
      </c>
      <c r="B112" s="14" t="n">
        <f aca="false">INT(($A112-1)/36)+1</f>
        <v>3</v>
      </c>
      <c r="C112" s="14" t="n">
        <f aca="false">MOD($A112-1,36)+1</f>
        <v>35</v>
      </c>
      <c r="D112" s="14" t="n">
        <f aca="false">IF($C112&gt;p_horizon,0,IFERROR(IF(AND(INDEX(TblClusters[Cluster],$B112)&lt;&gt;"",ISNUMBER(INDEX(TblClusters[CPU initial (vCPU)],$B112)),ISNUMBER(INDEX(TblClusters[CPU min (vCPU)],$B112)),OR(INDEX(TblClusters[Plateforme],$B112)="IKS",INDEX(TblClusters[Plateforme],$B112)="ROKS")),1,0),0))</f>
        <v>1</v>
      </c>
      <c r="E112" s="83" t="n">
        <f aca="false">IF($D112=1,EDATE(p_debut,$C112-1),"")</f>
        <v>47331</v>
      </c>
      <c r="F112" s="14" t="str">
        <f aca="false">IF($D112=1,INDEX(TblClusters[Cluster],$B112),"")</f>
        <v>ROKS-PRD-01</v>
      </c>
      <c r="G112" s="14" t="str">
        <f aca="false">IF($D112=1,INDEX(TblClusters[Plateforme],$B112),"")</f>
        <v>ROKS</v>
      </c>
      <c r="H112" s="14" t="n">
        <f aca="false">IF($D112=1,INDEX(TblClusters[vCPU par nœud],$B112),"")</f>
        <v>32</v>
      </c>
      <c r="I112" s="14" t="n">
        <f aca="false">IF($D112=1,INDEX(TblClusters[RAM par nœud (Go)],$B112),"")</f>
        <v>160</v>
      </c>
      <c r="J112" s="14" t="n">
        <f aca="false">IF($D112=1,INDEX(TblClusters[Workers min],$B112),"")</f>
        <v>6</v>
      </c>
      <c r="K112" s="84" t="n">
        <f aca="false">IF($D112=1,INDEX(TblClusters[Tarif par nœud],$B112),"")</f>
        <v>1472</v>
      </c>
      <c r="L112" s="14" t="n">
        <f aca="false">IF($D112=1,INDEX(TblClusters[CPU initial (vCPU)],$B112),"")</f>
        <v>192</v>
      </c>
      <c r="M112" s="14" t="n">
        <f aca="false">IF($D112=1,INDEX(TblClusters[RAM initiale (Go)],$B112),"")</f>
        <v>960</v>
      </c>
      <c r="N112" s="14" t="n">
        <f aca="false">IF($D112=1,INDEX(TblClusters[CPU min (vCPU)],$B112),"")</f>
        <v>192</v>
      </c>
      <c r="O112" s="14" t="n">
        <f aca="false">IF($D112=1,INDEX(TblClusters[RAM min (Go)],$B112),"")</f>
        <v>960</v>
      </c>
      <c r="P112" s="14" t="n">
        <f aca="false">IF($D112&lt;&gt;1,"",IF($G112="ROKS",SUMIFS(TblApplications[Besoin ROKS CPU (vCPU)],TblApplications[Cluster ROKS cible],$F112,TblApplications[Action],"À migrer",TblApplications[Déjà incluse ROKS],"Non",TblApplications[Mois prov (calc)],"&lt;="&amp;$E112),SUMIFS(TblApplications[CPU IKS libérable (vCPU)],TblApplications[Cluster IKS source],$F112,TblApplications[Mois lib (calc)],"&lt;="&amp;$E112)))</f>
        <v>187</v>
      </c>
      <c r="Q112" s="14" t="n">
        <f aca="false">IF($D112&lt;&gt;1,"",IF($G112="ROKS",SUMIFS(TblApplications[Besoin ROKS RAM (Go)],TblApplications[Cluster ROKS cible],$F112,TblApplications[Action],"À migrer",TblApplications[Déjà incluse ROKS],"Non",TblApplications[Mois prov (calc)],"&lt;="&amp;$E112),SUMIFS(TblApplications[RAM IKS libérable (Go)],TblApplications[Cluster IKS source],$F112,TblApplications[Mois lib (calc)],"&lt;="&amp;$E112)))</f>
        <v>1200</v>
      </c>
      <c r="R112" s="14" t="n">
        <f aca="false">IF($D112&lt;&gt;1,"",IF($G112="ROKS",$L112+$P112,IF($AI112=1,0,MAX($N112,$L112-$P112))))</f>
        <v>379</v>
      </c>
      <c r="S112" s="14" t="n">
        <f aca="false">IF($D112&lt;&gt;1,"",IF($G112="ROKS",$M112+$Q112,IF($AI112=1,0,MAX($O112,$M112-$Q112))))</f>
        <v>2160</v>
      </c>
      <c r="T112" s="14" t="n">
        <f aca="false">IF($D112&lt;&gt;1,"",IF($AI112=1,0,MAX($J112,ROUNDUP(MAX($R112/$H112,$S112/$I112),0))))</f>
        <v>14</v>
      </c>
      <c r="U112" s="14" t="n">
        <f aca="false">IF($D112&lt;&gt;1,"",IF(p_mode="Nœud",$T112*$H112,$R112))</f>
        <v>448</v>
      </c>
      <c r="V112" s="14" t="n">
        <f aca="false">IF($D112&lt;&gt;1,"",IF(p_mode="Nœud",$T112*$I112,$S112))</f>
        <v>2240</v>
      </c>
      <c r="W112" s="84" t="n">
        <f aca="false">IF($D112&lt;&gt;1,"",IF(p_mode="Nœud",$T112*$K112,$R112*IF($G112="IKS",p_iks_cpu,p_roks_cpu)+$S112*IF($G112="IKS",p_iks_ram,p_roks_ram))*p_facteur)</f>
        <v>20608</v>
      </c>
      <c r="X112" s="14" t="n">
        <f aca="false">IF($D112&lt;&gt;1,"",IF($G112="ROKS",$R112,IF($AI112=1,0,MAX($N112,$L112-SUMIFS(TblApplications[CPU IKS libérable (vCPU)],TblApplications[Cluster IKS source],$F112,TblApplications[Action],"À migrer",TblApplications[Mois prov (calc)],"&lt;="&amp;$E112)-SUMIFS(TblApplications[CPU IKS libérable (vCPU)],TblApplications[Cluster IKS source],$F112,TblApplications[Action],"À décommissionner",TblApplications[Mois lib (calc)],"&lt;="&amp;$E112)))))</f>
        <v>379</v>
      </c>
      <c r="Y112" s="14" t="n">
        <f aca="false">IF($D112&lt;&gt;1,"",IF($G112="ROKS",$S112,IF($AI112=1,0,MAX($O112,$M112-SUMIFS(TblApplications[RAM IKS libérable (Go)],TblApplications[Cluster IKS source],$F112,TblApplications[Action],"À migrer",TblApplications[Mois prov (calc)],"&lt;="&amp;$E112)-SUMIFS(TblApplications[RAM IKS libérable (Go)],TblApplications[Cluster IKS source],$F112,TblApplications[Action],"À décommissionner",TblApplications[Mois lib (calc)],"&lt;="&amp;$E112)))))</f>
        <v>2160</v>
      </c>
      <c r="Z112" s="14" t="n">
        <f aca="false">IF($D112&lt;&gt;1,"",IF($AI112=1,0,MAX($J112,ROUNDUP(MAX($X112/$H112,$Y112/$I112),0))))</f>
        <v>14</v>
      </c>
      <c r="AA112" s="84" t="n">
        <f aca="false">IF($D112&lt;&gt;1,"",IF(p_mode="Nœud",$Z112*$K112,$X112*IF($G112="IKS",p_iks_cpu,p_roks_cpu)+$Y112*IF($G112="IKS",p_iks_ram,p_roks_ram))*p_facteur)</f>
        <v>20608</v>
      </c>
      <c r="AB112" s="14" t="n">
        <f aca="false">IF($D112&lt;&gt;1,"",MAX($J112,ROUNDUP(MAX($L112/$H112,$M112/$I112),0)))</f>
        <v>6</v>
      </c>
      <c r="AC112" s="84" t="n">
        <f aca="false">IF($D112&lt;&gt;1,"",IF(p_mode="Nœud",$AB112*$K112,$L112*IF($G112="IKS",p_iks_cpu,p_roks_cpu)+$M112*IF($G112="IKS",p_iks_ram,p_roks_ram))*p_facteur)</f>
        <v>8832</v>
      </c>
      <c r="AD112" s="14" t="n">
        <f aca="false">IF($D112&lt;&gt;1,"",IF(AND($G112="IKS",$AI112&lt;&gt;1,OR($L112-$P112&lt;$N112,$M112-$Q112&lt;$O112)),1,0))</f>
        <v>0</v>
      </c>
      <c r="AE112" s="14" t="n">
        <f aca="false">IF($D112&lt;&gt;1,"",IF(AND($G112="ROKS",$T112&gt;p_maxworkers),1,0))</f>
        <v>0</v>
      </c>
      <c r="AF112" s="14" t="str">
        <f aca="false">IF($D112&lt;&gt;1,"",IF(INDEX(TblClusters[Environnement],$B112)="","(vide)",INDEX(TblClusters[Environnement],$B112)))</f>
        <v>PRD</v>
      </c>
      <c r="AG112" s="14" t="n">
        <f aca="false">IF($D112&lt;&gt;1,"",$R112+p_poidsram*$S112)</f>
        <v>595</v>
      </c>
      <c r="AH112" s="14" t="n">
        <f aca="false">IF($D112&lt;&gt;1,"",IFERROR($W112/$AG112,0))</f>
        <v>34.6352941176471</v>
      </c>
      <c r="AI112" s="14" t="n">
        <f aca="false">IF($D112&lt;&gt;1,"",IF(AND($G112="IKS",ISNUMBER(INDEX(TblClusters[Fermeture retenue],$B112))),IF($E112&gt;=INDEX(TblClusters[Fermeture retenue],$B112),1,0),0))</f>
        <v>0</v>
      </c>
    </row>
    <row r="113" customFormat="false" ht="15" hidden="false" customHeight="false" outlineLevel="0" collapsed="false">
      <c r="A113" s="14" t="n">
        <v>108</v>
      </c>
      <c r="B113" s="14" t="n">
        <f aca="false">INT(($A113-1)/36)+1</f>
        <v>3</v>
      </c>
      <c r="C113" s="14" t="n">
        <f aca="false">MOD($A113-1,36)+1</f>
        <v>36</v>
      </c>
      <c r="D113" s="14" t="n">
        <f aca="false">IF($C113&gt;p_horizon,0,IFERROR(IF(AND(INDEX(TblClusters[Cluster],$B113)&lt;&gt;"",ISNUMBER(INDEX(TblClusters[CPU initial (vCPU)],$B113)),ISNUMBER(INDEX(TblClusters[CPU min (vCPU)],$B113)),OR(INDEX(TblClusters[Plateforme],$B113)="IKS",INDEX(TblClusters[Plateforme],$B113)="ROKS")),1,0),0))</f>
        <v>1</v>
      </c>
      <c r="E113" s="83" t="n">
        <f aca="false">IF($D113=1,EDATE(p_debut,$C113-1),"")</f>
        <v>47362</v>
      </c>
      <c r="F113" s="14" t="str">
        <f aca="false">IF($D113=1,INDEX(TblClusters[Cluster],$B113),"")</f>
        <v>ROKS-PRD-01</v>
      </c>
      <c r="G113" s="14" t="str">
        <f aca="false">IF($D113=1,INDEX(TblClusters[Plateforme],$B113),"")</f>
        <v>ROKS</v>
      </c>
      <c r="H113" s="14" t="n">
        <f aca="false">IF($D113=1,INDEX(TblClusters[vCPU par nœud],$B113),"")</f>
        <v>32</v>
      </c>
      <c r="I113" s="14" t="n">
        <f aca="false">IF($D113=1,INDEX(TblClusters[RAM par nœud (Go)],$B113),"")</f>
        <v>160</v>
      </c>
      <c r="J113" s="14" t="n">
        <f aca="false">IF($D113=1,INDEX(TblClusters[Workers min],$B113),"")</f>
        <v>6</v>
      </c>
      <c r="K113" s="84" t="n">
        <f aca="false">IF($D113=1,INDEX(TblClusters[Tarif par nœud],$B113),"")</f>
        <v>1472</v>
      </c>
      <c r="L113" s="14" t="n">
        <f aca="false">IF($D113=1,INDEX(TblClusters[CPU initial (vCPU)],$B113),"")</f>
        <v>192</v>
      </c>
      <c r="M113" s="14" t="n">
        <f aca="false">IF($D113=1,INDEX(TblClusters[RAM initiale (Go)],$B113),"")</f>
        <v>960</v>
      </c>
      <c r="N113" s="14" t="n">
        <f aca="false">IF($D113=1,INDEX(TblClusters[CPU min (vCPU)],$B113),"")</f>
        <v>192</v>
      </c>
      <c r="O113" s="14" t="n">
        <f aca="false">IF($D113=1,INDEX(TblClusters[RAM min (Go)],$B113),"")</f>
        <v>960</v>
      </c>
      <c r="P113" s="14" t="n">
        <f aca="false">IF($D113&lt;&gt;1,"",IF($G113="ROKS",SUMIFS(TblApplications[Besoin ROKS CPU (vCPU)],TblApplications[Cluster ROKS cible],$F113,TblApplications[Action],"À migrer",TblApplications[Déjà incluse ROKS],"Non",TblApplications[Mois prov (calc)],"&lt;="&amp;$E113),SUMIFS(TblApplications[CPU IKS libérable (vCPU)],TblApplications[Cluster IKS source],$F113,TblApplications[Mois lib (calc)],"&lt;="&amp;$E113)))</f>
        <v>187</v>
      </c>
      <c r="Q113" s="14" t="n">
        <f aca="false">IF($D113&lt;&gt;1,"",IF($G113="ROKS",SUMIFS(TblApplications[Besoin ROKS RAM (Go)],TblApplications[Cluster ROKS cible],$F113,TblApplications[Action],"À migrer",TblApplications[Déjà incluse ROKS],"Non",TblApplications[Mois prov (calc)],"&lt;="&amp;$E113),SUMIFS(TblApplications[RAM IKS libérable (Go)],TblApplications[Cluster IKS source],$F113,TblApplications[Mois lib (calc)],"&lt;="&amp;$E113)))</f>
        <v>1200</v>
      </c>
      <c r="R113" s="14" t="n">
        <f aca="false">IF($D113&lt;&gt;1,"",IF($G113="ROKS",$L113+$P113,IF($AI113=1,0,MAX($N113,$L113-$P113))))</f>
        <v>379</v>
      </c>
      <c r="S113" s="14" t="n">
        <f aca="false">IF($D113&lt;&gt;1,"",IF($G113="ROKS",$M113+$Q113,IF($AI113=1,0,MAX($O113,$M113-$Q113))))</f>
        <v>2160</v>
      </c>
      <c r="T113" s="14" t="n">
        <f aca="false">IF($D113&lt;&gt;1,"",IF($AI113=1,0,MAX($J113,ROUNDUP(MAX($R113/$H113,$S113/$I113),0))))</f>
        <v>14</v>
      </c>
      <c r="U113" s="14" t="n">
        <f aca="false">IF($D113&lt;&gt;1,"",IF(p_mode="Nœud",$T113*$H113,$R113))</f>
        <v>448</v>
      </c>
      <c r="V113" s="14" t="n">
        <f aca="false">IF($D113&lt;&gt;1,"",IF(p_mode="Nœud",$T113*$I113,$S113))</f>
        <v>2240</v>
      </c>
      <c r="W113" s="84" t="n">
        <f aca="false">IF($D113&lt;&gt;1,"",IF(p_mode="Nœud",$T113*$K113,$R113*IF($G113="IKS",p_iks_cpu,p_roks_cpu)+$S113*IF($G113="IKS",p_iks_ram,p_roks_ram))*p_facteur)</f>
        <v>20608</v>
      </c>
      <c r="X113" s="14" t="n">
        <f aca="false">IF($D113&lt;&gt;1,"",IF($G113="ROKS",$R113,IF($AI113=1,0,MAX($N113,$L113-SUMIFS(TblApplications[CPU IKS libérable (vCPU)],TblApplications[Cluster IKS source],$F113,TblApplications[Action],"À migrer",TblApplications[Mois prov (calc)],"&lt;="&amp;$E113)-SUMIFS(TblApplications[CPU IKS libérable (vCPU)],TblApplications[Cluster IKS source],$F113,TblApplications[Action],"À décommissionner",TblApplications[Mois lib (calc)],"&lt;="&amp;$E113)))))</f>
        <v>379</v>
      </c>
      <c r="Y113" s="14" t="n">
        <f aca="false">IF($D113&lt;&gt;1,"",IF($G113="ROKS",$S113,IF($AI113=1,0,MAX($O113,$M113-SUMIFS(TblApplications[RAM IKS libérable (Go)],TblApplications[Cluster IKS source],$F113,TblApplications[Action],"À migrer",TblApplications[Mois prov (calc)],"&lt;="&amp;$E113)-SUMIFS(TblApplications[RAM IKS libérable (Go)],TblApplications[Cluster IKS source],$F113,TblApplications[Action],"À décommissionner",TblApplications[Mois lib (calc)],"&lt;="&amp;$E113)))))</f>
        <v>2160</v>
      </c>
      <c r="Z113" s="14" t="n">
        <f aca="false">IF($D113&lt;&gt;1,"",IF($AI113=1,0,MAX($J113,ROUNDUP(MAX($X113/$H113,$Y113/$I113),0))))</f>
        <v>14</v>
      </c>
      <c r="AA113" s="84" t="n">
        <f aca="false">IF($D113&lt;&gt;1,"",IF(p_mode="Nœud",$Z113*$K113,$X113*IF($G113="IKS",p_iks_cpu,p_roks_cpu)+$Y113*IF($G113="IKS",p_iks_ram,p_roks_ram))*p_facteur)</f>
        <v>20608</v>
      </c>
      <c r="AB113" s="14" t="n">
        <f aca="false">IF($D113&lt;&gt;1,"",MAX($J113,ROUNDUP(MAX($L113/$H113,$M113/$I113),0)))</f>
        <v>6</v>
      </c>
      <c r="AC113" s="84" t="n">
        <f aca="false">IF($D113&lt;&gt;1,"",IF(p_mode="Nœud",$AB113*$K113,$L113*IF($G113="IKS",p_iks_cpu,p_roks_cpu)+$M113*IF($G113="IKS",p_iks_ram,p_roks_ram))*p_facteur)</f>
        <v>8832</v>
      </c>
      <c r="AD113" s="14" t="n">
        <f aca="false">IF($D113&lt;&gt;1,"",IF(AND($G113="IKS",$AI113&lt;&gt;1,OR($L113-$P113&lt;$N113,$M113-$Q113&lt;$O113)),1,0))</f>
        <v>0</v>
      </c>
      <c r="AE113" s="14" t="n">
        <f aca="false">IF($D113&lt;&gt;1,"",IF(AND($G113="ROKS",$T113&gt;p_maxworkers),1,0))</f>
        <v>0</v>
      </c>
      <c r="AF113" s="14" t="str">
        <f aca="false">IF($D113&lt;&gt;1,"",IF(INDEX(TblClusters[Environnement],$B113)="","(vide)",INDEX(TblClusters[Environnement],$B113)))</f>
        <v>PRD</v>
      </c>
      <c r="AG113" s="14" t="n">
        <f aca="false">IF($D113&lt;&gt;1,"",$R113+p_poidsram*$S113)</f>
        <v>595</v>
      </c>
      <c r="AH113" s="14" t="n">
        <f aca="false">IF($D113&lt;&gt;1,"",IFERROR($W113/$AG113,0))</f>
        <v>34.6352941176471</v>
      </c>
      <c r="AI113" s="14" t="n">
        <f aca="false">IF($D113&lt;&gt;1,"",IF(AND($G113="IKS",ISNUMBER(INDEX(TblClusters[Fermeture retenue],$B113))),IF($E113&gt;=INDEX(TblClusters[Fermeture retenue],$B113),1,0),0))</f>
        <v>0</v>
      </c>
    </row>
    <row r="114" customFormat="false" ht="15" hidden="false" customHeight="false" outlineLevel="0" collapsed="false">
      <c r="A114" s="14" t="n">
        <v>109</v>
      </c>
      <c r="B114" s="14" t="n">
        <f aca="false">INT(($A114-1)/36)+1</f>
        <v>4</v>
      </c>
      <c r="C114" s="14" t="n">
        <f aca="false">MOD($A114-1,36)+1</f>
        <v>1</v>
      </c>
      <c r="D114" s="14" t="n">
        <f aca="false">IF($C114&gt;p_horizon,0,IFERROR(IF(AND(INDEX(TblClusters[Cluster],$B114)&lt;&gt;"",ISNUMBER(INDEX(TblClusters[CPU initial (vCPU)],$B114)),ISNUMBER(INDEX(TblClusters[CPU min (vCPU)],$B114)),OR(INDEX(TblClusters[Plateforme],$B114)="IKS",INDEX(TblClusters[Plateforme],$B114)="ROKS")),1,0),0))</f>
        <v>1</v>
      </c>
      <c r="E114" s="83" t="n">
        <f aca="false">IF($D114=1,EDATE(p_debut,$C114-1),"")</f>
        <v>46296</v>
      </c>
      <c r="F114" s="14" t="str">
        <f aca="false">IF($D114=1,INDEX(TblClusters[Cluster],$B114),"")</f>
        <v>ROKS-NPR-01</v>
      </c>
      <c r="G114" s="14" t="str">
        <f aca="false">IF($D114=1,INDEX(TblClusters[Plateforme],$B114),"")</f>
        <v>ROKS</v>
      </c>
      <c r="H114" s="14" t="n">
        <f aca="false">IF($D114=1,INDEX(TblClusters[vCPU par nœud],$B114),"")</f>
        <v>16</v>
      </c>
      <c r="I114" s="14" t="n">
        <f aca="false">IF($D114=1,INDEX(TblClusters[RAM par nœud (Go)],$B114),"")</f>
        <v>80</v>
      </c>
      <c r="J114" s="14" t="n">
        <f aca="false">IF($D114=1,INDEX(TblClusters[Workers min],$B114),"")</f>
        <v>6</v>
      </c>
      <c r="K114" s="84" t="n">
        <f aca="false">IF($D114=1,INDEX(TblClusters[Tarif par nœud],$B114),"")</f>
        <v>736</v>
      </c>
      <c r="L114" s="14" t="n">
        <f aca="false">IF($D114=1,INDEX(TblClusters[CPU initial (vCPU)],$B114),"")</f>
        <v>96</v>
      </c>
      <c r="M114" s="14" t="n">
        <f aca="false">IF($D114=1,INDEX(TblClusters[RAM initiale (Go)],$B114),"")</f>
        <v>480</v>
      </c>
      <c r="N114" s="14" t="n">
        <f aca="false">IF($D114=1,INDEX(TblClusters[CPU min (vCPU)],$B114),"")</f>
        <v>96</v>
      </c>
      <c r="O114" s="14" t="n">
        <f aca="false">IF($D114=1,INDEX(TblClusters[RAM min (Go)],$B114),"")</f>
        <v>480</v>
      </c>
      <c r="P114" s="14" t="n">
        <f aca="false">IF($D114&lt;&gt;1,"",IF($G114="ROKS",SUMIFS(TblApplications[Besoin ROKS CPU (vCPU)],TblApplications[Cluster ROKS cible],$F114,TblApplications[Action],"À migrer",TblApplications[Déjà incluse ROKS],"Non",TblApplications[Mois prov (calc)],"&lt;="&amp;$E114),SUMIFS(TblApplications[CPU IKS libérable (vCPU)],TblApplications[Cluster IKS source],$F114,TblApplications[Mois lib (calc)],"&lt;="&amp;$E114)))</f>
        <v>0</v>
      </c>
      <c r="Q114" s="14" t="n">
        <f aca="false">IF($D114&lt;&gt;1,"",IF($G114="ROKS",SUMIFS(TblApplications[Besoin ROKS RAM (Go)],TblApplications[Cluster ROKS cible],$F114,TblApplications[Action],"À migrer",TblApplications[Déjà incluse ROKS],"Non",TblApplications[Mois prov (calc)],"&lt;="&amp;$E114),SUMIFS(TblApplications[RAM IKS libérable (Go)],TblApplications[Cluster IKS source],$F114,TblApplications[Mois lib (calc)],"&lt;="&amp;$E114)))</f>
        <v>0</v>
      </c>
      <c r="R114" s="14" t="n">
        <f aca="false">IF($D114&lt;&gt;1,"",IF($G114="ROKS",$L114+$P114,IF($AI114=1,0,MAX($N114,$L114-$P114))))</f>
        <v>96</v>
      </c>
      <c r="S114" s="14" t="n">
        <f aca="false">IF($D114&lt;&gt;1,"",IF($G114="ROKS",$M114+$Q114,IF($AI114=1,0,MAX($O114,$M114-$Q114))))</f>
        <v>480</v>
      </c>
      <c r="T114" s="14" t="n">
        <f aca="false">IF($D114&lt;&gt;1,"",IF($AI114=1,0,MAX($J114,ROUNDUP(MAX($R114/$H114,$S114/$I114),0))))</f>
        <v>6</v>
      </c>
      <c r="U114" s="14" t="n">
        <f aca="false">IF($D114&lt;&gt;1,"",IF(p_mode="Nœud",$T114*$H114,$R114))</f>
        <v>96</v>
      </c>
      <c r="V114" s="14" t="n">
        <f aca="false">IF($D114&lt;&gt;1,"",IF(p_mode="Nœud",$T114*$I114,$S114))</f>
        <v>480</v>
      </c>
      <c r="W114" s="84" t="n">
        <f aca="false">IF($D114&lt;&gt;1,"",IF(p_mode="Nœud",$T114*$K114,$R114*IF($G114="IKS",p_iks_cpu,p_roks_cpu)+$S114*IF($G114="IKS",p_iks_ram,p_roks_ram))*p_facteur)</f>
        <v>4416</v>
      </c>
      <c r="X114" s="14" t="n">
        <f aca="false">IF($D114&lt;&gt;1,"",IF($G114="ROKS",$R114,IF($AI114=1,0,MAX($N114,$L114-SUMIFS(TblApplications[CPU IKS libérable (vCPU)],TblApplications[Cluster IKS source],$F114,TblApplications[Action],"À migrer",TblApplications[Mois prov (calc)],"&lt;="&amp;$E114)-SUMIFS(TblApplications[CPU IKS libérable (vCPU)],TblApplications[Cluster IKS source],$F114,TblApplications[Action],"À décommissionner",TblApplications[Mois lib (calc)],"&lt;="&amp;$E114)))))</f>
        <v>96</v>
      </c>
      <c r="Y114" s="14" t="n">
        <f aca="false">IF($D114&lt;&gt;1,"",IF($G114="ROKS",$S114,IF($AI114=1,0,MAX($O114,$M114-SUMIFS(TblApplications[RAM IKS libérable (Go)],TblApplications[Cluster IKS source],$F114,TblApplications[Action],"À migrer",TblApplications[Mois prov (calc)],"&lt;="&amp;$E114)-SUMIFS(TblApplications[RAM IKS libérable (Go)],TblApplications[Cluster IKS source],$F114,TblApplications[Action],"À décommissionner",TblApplications[Mois lib (calc)],"&lt;="&amp;$E114)))))</f>
        <v>480</v>
      </c>
      <c r="Z114" s="14" t="n">
        <f aca="false">IF($D114&lt;&gt;1,"",IF($AI114=1,0,MAX($J114,ROUNDUP(MAX($X114/$H114,$Y114/$I114),0))))</f>
        <v>6</v>
      </c>
      <c r="AA114" s="84" t="n">
        <f aca="false">IF($D114&lt;&gt;1,"",IF(p_mode="Nœud",$Z114*$K114,$X114*IF($G114="IKS",p_iks_cpu,p_roks_cpu)+$Y114*IF($G114="IKS",p_iks_ram,p_roks_ram))*p_facteur)</f>
        <v>4416</v>
      </c>
      <c r="AB114" s="14" t="n">
        <f aca="false">IF($D114&lt;&gt;1,"",MAX($J114,ROUNDUP(MAX($L114/$H114,$M114/$I114),0)))</f>
        <v>6</v>
      </c>
      <c r="AC114" s="84" t="n">
        <f aca="false">IF($D114&lt;&gt;1,"",IF(p_mode="Nœud",$AB114*$K114,$L114*IF($G114="IKS",p_iks_cpu,p_roks_cpu)+$M114*IF($G114="IKS",p_iks_ram,p_roks_ram))*p_facteur)</f>
        <v>4416</v>
      </c>
      <c r="AD114" s="14" t="n">
        <f aca="false">IF($D114&lt;&gt;1,"",IF(AND($G114="IKS",$AI114&lt;&gt;1,OR($L114-$P114&lt;$N114,$M114-$Q114&lt;$O114)),1,0))</f>
        <v>0</v>
      </c>
      <c r="AE114" s="14" t="n">
        <f aca="false">IF($D114&lt;&gt;1,"",IF(AND($G114="ROKS",$T114&gt;p_maxworkers),1,0))</f>
        <v>0</v>
      </c>
      <c r="AF114" s="14" t="str">
        <f aca="false">IF($D114&lt;&gt;1,"",IF(INDEX(TblClusters[Environnement],$B114)="","(vide)",INDEX(TblClusters[Environnement],$B114)))</f>
        <v>NPRD</v>
      </c>
      <c r="AG114" s="14" t="n">
        <f aca="false">IF($D114&lt;&gt;1,"",$R114+p_poidsram*$S114)</f>
        <v>144</v>
      </c>
      <c r="AH114" s="14" t="n">
        <f aca="false">IF($D114&lt;&gt;1,"",IFERROR($W114/$AG114,0))</f>
        <v>30.6666666666667</v>
      </c>
      <c r="AI114" s="14" t="n">
        <f aca="false">IF($D114&lt;&gt;1,"",IF(AND($G114="IKS",ISNUMBER(INDEX(TblClusters[Fermeture retenue],$B114))),IF($E114&gt;=INDEX(TblClusters[Fermeture retenue],$B114),1,0),0))</f>
        <v>0</v>
      </c>
    </row>
    <row r="115" customFormat="false" ht="15" hidden="false" customHeight="false" outlineLevel="0" collapsed="false">
      <c r="A115" s="14" t="n">
        <v>110</v>
      </c>
      <c r="B115" s="14" t="n">
        <f aca="false">INT(($A115-1)/36)+1</f>
        <v>4</v>
      </c>
      <c r="C115" s="14" t="n">
        <f aca="false">MOD($A115-1,36)+1</f>
        <v>2</v>
      </c>
      <c r="D115" s="14" t="n">
        <f aca="false">IF($C115&gt;p_horizon,0,IFERROR(IF(AND(INDEX(TblClusters[Cluster],$B115)&lt;&gt;"",ISNUMBER(INDEX(TblClusters[CPU initial (vCPU)],$B115)),ISNUMBER(INDEX(TblClusters[CPU min (vCPU)],$B115)),OR(INDEX(TblClusters[Plateforme],$B115)="IKS",INDEX(TblClusters[Plateforme],$B115)="ROKS")),1,0),0))</f>
        <v>1</v>
      </c>
      <c r="E115" s="83" t="n">
        <f aca="false">IF($D115=1,EDATE(p_debut,$C115-1),"")</f>
        <v>46327</v>
      </c>
      <c r="F115" s="14" t="str">
        <f aca="false">IF($D115=1,INDEX(TblClusters[Cluster],$B115),"")</f>
        <v>ROKS-NPR-01</v>
      </c>
      <c r="G115" s="14" t="str">
        <f aca="false">IF($D115=1,INDEX(TblClusters[Plateforme],$B115),"")</f>
        <v>ROKS</v>
      </c>
      <c r="H115" s="14" t="n">
        <f aca="false">IF($D115=1,INDEX(TblClusters[vCPU par nœud],$B115),"")</f>
        <v>16</v>
      </c>
      <c r="I115" s="14" t="n">
        <f aca="false">IF($D115=1,INDEX(TblClusters[RAM par nœud (Go)],$B115),"")</f>
        <v>80</v>
      </c>
      <c r="J115" s="14" t="n">
        <f aca="false">IF($D115=1,INDEX(TblClusters[Workers min],$B115),"")</f>
        <v>6</v>
      </c>
      <c r="K115" s="84" t="n">
        <f aca="false">IF($D115=1,INDEX(TblClusters[Tarif par nœud],$B115),"")</f>
        <v>736</v>
      </c>
      <c r="L115" s="14" t="n">
        <f aca="false">IF($D115=1,INDEX(TblClusters[CPU initial (vCPU)],$B115),"")</f>
        <v>96</v>
      </c>
      <c r="M115" s="14" t="n">
        <f aca="false">IF($D115=1,INDEX(TblClusters[RAM initiale (Go)],$B115),"")</f>
        <v>480</v>
      </c>
      <c r="N115" s="14" t="n">
        <f aca="false">IF($D115=1,INDEX(TblClusters[CPU min (vCPU)],$B115),"")</f>
        <v>96</v>
      </c>
      <c r="O115" s="14" t="n">
        <f aca="false">IF($D115=1,INDEX(TblClusters[RAM min (Go)],$B115),"")</f>
        <v>480</v>
      </c>
      <c r="P115" s="14" t="n">
        <f aca="false">IF($D115&lt;&gt;1,"",IF($G115="ROKS",SUMIFS(TblApplications[Besoin ROKS CPU (vCPU)],TblApplications[Cluster ROKS cible],$F115,TblApplications[Action],"À migrer",TblApplications[Déjà incluse ROKS],"Non",TblApplications[Mois prov (calc)],"&lt;="&amp;$E115),SUMIFS(TblApplications[CPU IKS libérable (vCPU)],TblApplications[Cluster IKS source],$F115,TblApplications[Mois lib (calc)],"&lt;="&amp;$E115)))</f>
        <v>0</v>
      </c>
      <c r="Q115" s="14" t="n">
        <f aca="false">IF($D115&lt;&gt;1,"",IF($G115="ROKS",SUMIFS(TblApplications[Besoin ROKS RAM (Go)],TblApplications[Cluster ROKS cible],$F115,TblApplications[Action],"À migrer",TblApplications[Déjà incluse ROKS],"Non",TblApplications[Mois prov (calc)],"&lt;="&amp;$E115),SUMIFS(TblApplications[RAM IKS libérable (Go)],TblApplications[Cluster IKS source],$F115,TblApplications[Mois lib (calc)],"&lt;="&amp;$E115)))</f>
        <v>0</v>
      </c>
      <c r="R115" s="14" t="n">
        <f aca="false">IF($D115&lt;&gt;1,"",IF($G115="ROKS",$L115+$P115,IF($AI115=1,0,MAX($N115,$L115-$P115))))</f>
        <v>96</v>
      </c>
      <c r="S115" s="14" t="n">
        <f aca="false">IF($D115&lt;&gt;1,"",IF($G115="ROKS",$M115+$Q115,IF($AI115=1,0,MAX($O115,$M115-$Q115))))</f>
        <v>480</v>
      </c>
      <c r="T115" s="14" t="n">
        <f aca="false">IF($D115&lt;&gt;1,"",IF($AI115=1,0,MAX($J115,ROUNDUP(MAX($R115/$H115,$S115/$I115),0))))</f>
        <v>6</v>
      </c>
      <c r="U115" s="14" t="n">
        <f aca="false">IF($D115&lt;&gt;1,"",IF(p_mode="Nœud",$T115*$H115,$R115))</f>
        <v>96</v>
      </c>
      <c r="V115" s="14" t="n">
        <f aca="false">IF($D115&lt;&gt;1,"",IF(p_mode="Nœud",$T115*$I115,$S115))</f>
        <v>480</v>
      </c>
      <c r="W115" s="84" t="n">
        <f aca="false">IF($D115&lt;&gt;1,"",IF(p_mode="Nœud",$T115*$K115,$R115*IF($G115="IKS",p_iks_cpu,p_roks_cpu)+$S115*IF($G115="IKS",p_iks_ram,p_roks_ram))*p_facteur)</f>
        <v>4416</v>
      </c>
      <c r="X115" s="14" t="n">
        <f aca="false">IF($D115&lt;&gt;1,"",IF($G115="ROKS",$R115,IF($AI115=1,0,MAX($N115,$L115-SUMIFS(TblApplications[CPU IKS libérable (vCPU)],TblApplications[Cluster IKS source],$F115,TblApplications[Action],"À migrer",TblApplications[Mois prov (calc)],"&lt;="&amp;$E115)-SUMIFS(TblApplications[CPU IKS libérable (vCPU)],TblApplications[Cluster IKS source],$F115,TblApplications[Action],"À décommissionner",TblApplications[Mois lib (calc)],"&lt;="&amp;$E115)))))</f>
        <v>96</v>
      </c>
      <c r="Y115" s="14" t="n">
        <f aca="false">IF($D115&lt;&gt;1,"",IF($G115="ROKS",$S115,IF($AI115=1,0,MAX($O115,$M115-SUMIFS(TblApplications[RAM IKS libérable (Go)],TblApplications[Cluster IKS source],$F115,TblApplications[Action],"À migrer",TblApplications[Mois prov (calc)],"&lt;="&amp;$E115)-SUMIFS(TblApplications[RAM IKS libérable (Go)],TblApplications[Cluster IKS source],$F115,TblApplications[Action],"À décommissionner",TblApplications[Mois lib (calc)],"&lt;="&amp;$E115)))))</f>
        <v>480</v>
      </c>
      <c r="Z115" s="14" t="n">
        <f aca="false">IF($D115&lt;&gt;1,"",IF($AI115=1,0,MAX($J115,ROUNDUP(MAX($X115/$H115,$Y115/$I115),0))))</f>
        <v>6</v>
      </c>
      <c r="AA115" s="84" t="n">
        <f aca="false">IF($D115&lt;&gt;1,"",IF(p_mode="Nœud",$Z115*$K115,$X115*IF($G115="IKS",p_iks_cpu,p_roks_cpu)+$Y115*IF($G115="IKS",p_iks_ram,p_roks_ram))*p_facteur)</f>
        <v>4416</v>
      </c>
      <c r="AB115" s="14" t="n">
        <f aca="false">IF($D115&lt;&gt;1,"",MAX($J115,ROUNDUP(MAX($L115/$H115,$M115/$I115),0)))</f>
        <v>6</v>
      </c>
      <c r="AC115" s="84" t="n">
        <f aca="false">IF($D115&lt;&gt;1,"",IF(p_mode="Nœud",$AB115*$K115,$L115*IF($G115="IKS",p_iks_cpu,p_roks_cpu)+$M115*IF($G115="IKS",p_iks_ram,p_roks_ram))*p_facteur)</f>
        <v>4416</v>
      </c>
      <c r="AD115" s="14" t="n">
        <f aca="false">IF($D115&lt;&gt;1,"",IF(AND($G115="IKS",$AI115&lt;&gt;1,OR($L115-$P115&lt;$N115,$M115-$Q115&lt;$O115)),1,0))</f>
        <v>0</v>
      </c>
      <c r="AE115" s="14" t="n">
        <f aca="false">IF($D115&lt;&gt;1,"",IF(AND($G115="ROKS",$T115&gt;p_maxworkers),1,0))</f>
        <v>0</v>
      </c>
      <c r="AF115" s="14" t="str">
        <f aca="false">IF($D115&lt;&gt;1,"",IF(INDEX(TblClusters[Environnement],$B115)="","(vide)",INDEX(TblClusters[Environnement],$B115)))</f>
        <v>NPRD</v>
      </c>
      <c r="AG115" s="14" t="n">
        <f aca="false">IF($D115&lt;&gt;1,"",$R115+p_poidsram*$S115)</f>
        <v>144</v>
      </c>
      <c r="AH115" s="14" t="n">
        <f aca="false">IF($D115&lt;&gt;1,"",IFERROR($W115/$AG115,0))</f>
        <v>30.6666666666667</v>
      </c>
      <c r="AI115" s="14" t="n">
        <f aca="false">IF($D115&lt;&gt;1,"",IF(AND($G115="IKS",ISNUMBER(INDEX(TblClusters[Fermeture retenue],$B115))),IF($E115&gt;=INDEX(TblClusters[Fermeture retenue],$B115),1,0),0))</f>
        <v>0</v>
      </c>
    </row>
    <row r="116" customFormat="false" ht="15" hidden="false" customHeight="false" outlineLevel="0" collapsed="false">
      <c r="A116" s="14" t="n">
        <v>111</v>
      </c>
      <c r="B116" s="14" t="n">
        <f aca="false">INT(($A116-1)/36)+1</f>
        <v>4</v>
      </c>
      <c r="C116" s="14" t="n">
        <f aca="false">MOD($A116-1,36)+1</f>
        <v>3</v>
      </c>
      <c r="D116" s="14" t="n">
        <f aca="false">IF($C116&gt;p_horizon,0,IFERROR(IF(AND(INDEX(TblClusters[Cluster],$B116)&lt;&gt;"",ISNUMBER(INDEX(TblClusters[CPU initial (vCPU)],$B116)),ISNUMBER(INDEX(TblClusters[CPU min (vCPU)],$B116)),OR(INDEX(TblClusters[Plateforme],$B116)="IKS",INDEX(TblClusters[Plateforme],$B116)="ROKS")),1,0),0))</f>
        <v>1</v>
      </c>
      <c r="E116" s="83" t="n">
        <f aca="false">IF($D116=1,EDATE(p_debut,$C116-1),"")</f>
        <v>46357</v>
      </c>
      <c r="F116" s="14" t="str">
        <f aca="false">IF($D116=1,INDEX(TblClusters[Cluster],$B116),"")</f>
        <v>ROKS-NPR-01</v>
      </c>
      <c r="G116" s="14" t="str">
        <f aca="false">IF($D116=1,INDEX(TblClusters[Plateforme],$B116),"")</f>
        <v>ROKS</v>
      </c>
      <c r="H116" s="14" t="n">
        <f aca="false">IF($D116=1,INDEX(TblClusters[vCPU par nœud],$B116),"")</f>
        <v>16</v>
      </c>
      <c r="I116" s="14" t="n">
        <f aca="false">IF($D116=1,INDEX(TblClusters[RAM par nœud (Go)],$B116),"")</f>
        <v>80</v>
      </c>
      <c r="J116" s="14" t="n">
        <f aca="false">IF($D116=1,INDEX(TblClusters[Workers min],$B116),"")</f>
        <v>6</v>
      </c>
      <c r="K116" s="84" t="n">
        <f aca="false">IF($D116=1,INDEX(TblClusters[Tarif par nœud],$B116),"")</f>
        <v>736</v>
      </c>
      <c r="L116" s="14" t="n">
        <f aca="false">IF($D116=1,INDEX(TblClusters[CPU initial (vCPU)],$B116),"")</f>
        <v>96</v>
      </c>
      <c r="M116" s="14" t="n">
        <f aca="false">IF($D116=1,INDEX(TblClusters[RAM initiale (Go)],$B116),"")</f>
        <v>480</v>
      </c>
      <c r="N116" s="14" t="n">
        <f aca="false">IF($D116=1,INDEX(TblClusters[CPU min (vCPU)],$B116),"")</f>
        <v>96</v>
      </c>
      <c r="O116" s="14" t="n">
        <f aca="false">IF($D116=1,INDEX(TblClusters[RAM min (Go)],$B116),"")</f>
        <v>480</v>
      </c>
      <c r="P116" s="14" t="n">
        <f aca="false">IF($D116&lt;&gt;1,"",IF($G116="ROKS",SUMIFS(TblApplications[Besoin ROKS CPU (vCPU)],TblApplications[Cluster ROKS cible],$F116,TblApplications[Action],"À migrer",TblApplications[Déjà incluse ROKS],"Non",TblApplications[Mois prov (calc)],"&lt;="&amp;$E116),SUMIFS(TblApplications[CPU IKS libérable (vCPU)],TblApplications[Cluster IKS source],$F116,TblApplications[Mois lib (calc)],"&lt;="&amp;$E116)))</f>
        <v>0</v>
      </c>
      <c r="Q116" s="14" t="n">
        <f aca="false">IF($D116&lt;&gt;1,"",IF($G116="ROKS",SUMIFS(TblApplications[Besoin ROKS RAM (Go)],TblApplications[Cluster ROKS cible],$F116,TblApplications[Action],"À migrer",TblApplications[Déjà incluse ROKS],"Non",TblApplications[Mois prov (calc)],"&lt;="&amp;$E116),SUMIFS(TblApplications[RAM IKS libérable (Go)],TblApplications[Cluster IKS source],$F116,TblApplications[Mois lib (calc)],"&lt;="&amp;$E116)))</f>
        <v>0</v>
      </c>
      <c r="R116" s="14" t="n">
        <f aca="false">IF($D116&lt;&gt;1,"",IF($G116="ROKS",$L116+$P116,IF($AI116=1,0,MAX($N116,$L116-$P116))))</f>
        <v>96</v>
      </c>
      <c r="S116" s="14" t="n">
        <f aca="false">IF($D116&lt;&gt;1,"",IF($G116="ROKS",$M116+$Q116,IF($AI116=1,0,MAX($O116,$M116-$Q116))))</f>
        <v>480</v>
      </c>
      <c r="T116" s="14" t="n">
        <f aca="false">IF($D116&lt;&gt;1,"",IF($AI116=1,0,MAX($J116,ROUNDUP(MAX($R116/$H116,$S116/$I116),0))))</f>
        <v>6</v>
      </c>
      <c r="U116" s="14" t="n">
        <f aca="false">IF($D116&lt;&gt;1,"",IF(p_mode="Nœud",$T116*$H116,$R116))</f>
        <v>96</v>
      </c>
      <c r="V116" s="14" t="n">
        <f aca="false">IF($D116&lt;&gt;1,"",IF(p_mode="Nœud",$T116*$I116,$S116))</f>
        <v>480</v>
      </c>
      <c r="W116" s="84" t="n">
        <f aca="false">IF($D116&lt;&gt;1,"",IF(p_mode="Nœud",$T116*$K116,$R116*IF($G116="IKS",p_iks_cpu,p_roks_cpu)+$S116*IF($G116="IKS",p_iks_ram,p_roks_ram))*p_facteur)</f>
        <v>4416</v>
      </c>
      <c r="X116" s="14" t="n">
        <f aca="false">IF($D116&lt;&gt;1,"",IF($G116="ROKS",$R116,IF($AI116=1,0,MAX($N116,$L116-SUMIFS(TblApplications[CPU IKS libérable (vCPU)],TblApplications[Cluster IKS source],$F116,TblApplications[Action],"À migrer",TblApplications[Mois prov (calc)],"&lt;="&amp;$E116)-SUMIFS(TblApplications[CPU IKS libérable (vCPU)],TblApplications[Cluster IKS source],$F116,TblApplications[Action],"À décommissionner",TblApplications[Mois lib (calc)],"&lt;="&amp;$E116)))))</f>
        <v>96</v>
      </c>
      <c r="Y116" s="14" t="n">
        <f aca="false">IF($D116&lt;&gt;1,"",IF($G116="ROKS",$S116,IF($AI116=1,0,MAX($O116,$M116-SUMIFS(TblApplications[RAM IKS libérable (Go)],TblApplications[Cluster IKS source],$F116,TblApplications[Action],"À migrer",TblApplications[Mois prov (calc)],"&lt;="&amp;$E116)-SUMIFS(TblApplications[RAM IKS libérable (Go)],TblApplications[Cluster IKS source],$F116,TblApplications[Action],"À décommissionner",TblApplications[Mois lib (calc)],"&lt;="&amp;$E116)))))</f>
        <v>480</v>
      </c>
      <c r="Z116" s="14" t="n">
        <f aca="false">IF($D116&lt;&gt;1,"",IF($AI116=1,0,MAX($J116,ROUNDUP(MAX($X116/$H116,$Y116/$I116),0))))</f>
        <v>6</v>
      </c>
      <c r="AA116" s="84" t="n">
        <f aca="false">IF($D116&lt;&gt;1,"",IF(p_mode="Nœud",$Z116*$K116,$X116*IF($G116="IKS",p_iks_cpu,p_roks_cpu)+$Y116*IF($G116="IKS",p_iks_ram,p_roks_ram))*p_facteur)</f>
        <v>4416</v>
      </c>
      <c r="AB116" s="14" t="n">
        <f aca="false">IF($D116&lt;&gt;1,"",MAX($J116,ROUNDUP(MAX($L116/$H116,$M116/$I116),0)))</f>
        <v>6</v>
      </c>
      <c r="AC116" s="84" t="n">
        <f aca="false">IF($D116&lt;&gt;1,"",IF(p_mode="Nœud",$AB116*$K116,$L116*IF($G116="IKS",p_iks_cpu,p_roks_cpu)+$M116*IF($G116="IKS",p_iks_ram,p_roks_ram))*p_facteur)</f>
        <v>4416</v>
      </c>
      <c r="AD116" s="14" t="n">
        <f aca="false">IF($D116&lt;&gt;1,"",IF(AND($G116="IKS",$AI116&lt;&gt;1,OR($L116-$P116&lt;$N116,$M116-$Q116&lt;$O116)),1,0))</f>
        <v>0</v>
      </c>
      <c r="AE116" s="14" t="n">
        <f aca="false">IF($D116&lt;&gt;1,"",IF(AND($G116="ROKS",$T116&gt;p_maxworkers),1,0))</f>
        <v>0</v>
      </c>
      <c r="AF116" s="14" t="str">
        <f aca="false">IF($D116&lt;&gt;1,"",IF(INDEX(TblClusters[Environnement],$B116)="","(vide)",INDEX(TblClusters[Environnement],$B116)))</f>
        <v>NPRD</v>
      </c>
      <c r="AG116" s="14" t="n">
        <f aca="false">IF($D116&lt;&gt;1,"",$R116+p_poidsram*$S116)</f>
        <v>144</v>
      </c>
      <c r="AH116" s="14" t="n">
        <f aca="false">IF($D116&lt;&gt;1,"",IFERROR($W116/$AG116,0))</f>
        <v>30.6666666666667</v>
      </c>
      <c r="AI116" s="14" t="n">
        <f aca="false">IF($D116&lt;&gt;1,"",IF(AND($G116="IKS",ISNUMBER(INDEX(TblClusters[Fermeture retenue],$B116))),IF($E116&gt;=INDEX(TblClusters[Fermeture retenue],$B116),1,0),0))</f>
        <v>0</v>
      </c>
    </row>
    <row r="117" customFormat="false" ht="15" hidden="false" customHeight="false" outlineLevel="0" collapsed="false">
      <c r="A117" s="14" t="n">
        <v>112</v>
      </c>
      <c r="B117" s="14" t="n">
        <f aca="false">INT(($A117-1)/36)+1</f>
        <v>4</v>
      </c>
      <c r="C117" s="14" t="n">
        <f aca="false">MOD($A117-1,36)+1</f>
        <v>4</v>
      </c>
      <c r="D117" s="14" t="n">
        <f aca="false">IF($C117&gt;p_horizon,0,IFERROR(IF(AND(INDEX(TblClusters[Cluster],$B117)&lt;&gt;"",ISNUMBER(INDEX(TblClusters[CPU initial (vCPU)],$B117)),ISNUMBER(INDEX(TblClusters[CPU min (vCPU)],$B117)),OR(INDEX(TblClusters[Plateforme],$B117)="IKS",INDEX(TblClusters[Plateforme],$B117)="ROKS")),1,0),0))</f>
        <v>1</v>
      </c>
      <c r="E117" s="83" t="n">
        <f aca="false">IF($D117=1,EDATE(p_debut,$C117-1),"")</f>
        <v>46388</v>
      </c>
      <c r="F117" s="14" t="str">
        <f aca="false">IF($D117=1,INDEX(TblClusters[Cluster],$B117),"")</f>
        <v>ROKS-NPR-01</v>
      </c>
      <c r="G117" s="14" t="str">
        <f aca="false">IF($D117=1,INDEX(TblClusters[Plateforme],$B117),"")</f>
        <v>ROKS</v>
      </c>
      <c r="H117" s="14" t="n">
        <f aca="false">IF($D117=1,INDEX(TblClusters[vCPU par nœud],$B117),"")</f>
        <v>16</v>
      </c>
      <c r="I117" s="14" t="n">
        <f aca="false">IF($D117=1,INDEX(TblClusters[RAM par nœud (Go)],$B117),"")</f>
        <v>80</v>
      </c>
      <c r="J117" s="14" t="n">
        <f aca="false">IF($D117=1,INDEX(TblClusters[Workers min],$B117),"")</f>
        <v>6</v>
      </c>
      <c r="K117" s="84" t="n">
        <f aca="false">IF($D117=1,INDEX(TblClusters[Tarif par nœud],$B117),"")</f>
        <v>736</v>
      </c>
      <c r="L117" s="14" t="n">
        <f aca="false">IF($D117=1,INDEX(TblClusters[CPU initial (vCPU)],$B117),"")</f>
        <v>96</v>
      </c>
      <c r="M117" s="14" t="n">
        <f aca="false">IF($D117=1,INDEX(TblClusters[RAM initiale (Go)],$B117),"")</f>
        <v>480</v>
      </c>
      <c r="N117" s="14" t="n">
        <f aca="false">IF($D117=1,INDEX(TblClusters[CPU min (vCPU)],$B117),"")</f>
        <v>96</v>
      </c>
      <c r="O117" s="14" t="n">
        <f aca="false">IF($D117=1,INDEX(TblClusters[RAM min (Go)],$B117),"")</f>
        <v>480</v>
      </c>
      <c r="P117" s="14" t="n">
        <f aca="false">IF($D117&lt;&gt;1,"",IF($G117="ROKS",SUMIFS(TblApplications[Besoin ROKS CPU (vCPU)],TblApplications[Cluster ROKS cible],$F117,TblApplications[Action],"À migrer",TblApplications[Déjà incluse ROKS],"Non",TblApplications[Mois prov (calc)],"&lt;="&amp;$E117),SUMIFS(TblApplications[CPU IKS libérable (vCPU)],TblApplications[Cluster IKS source],$F117,TblApplications[Mois lib (calc)],"&lt;="&amp;$E117)))</f>
        <v>25</v>
      </c>
      <c r="Q117" s="14" t="n">
        <f aca="false">IF($D117&lt;&gt;1,"",IF($G117="ROKS",SUMIFS(TblApplications[Besoin ROKS RAM (Go)],TblApplications[Cluster ROKS cible],$F117,TblApplications[Action],"À migrer",TblApplications[Déjà incluse ROKS],"Non",TblApplications[Mois prov (calc)],"&lt;="&amp;$E117),SUMIFS(TblApplications[RAM IKS libérable (Go)],TblApplications[Cluster IKS source],$F117,TblApplications[Mois lib (calc)],"&lt;="&amp;$E117)))</f>
        <v>120</v>
      </c>
      <c r="R117" s="14" t="n">
        <f aca="false">IF($D117&lt;&gt;1,"",IF($G117="ROKS",$L117+$P117,IF($AI117=1,0,MAX($N117,$L117-$P117))))</f>
        <v>121</v>
      </c>
      <c r="S117" s="14" t="n">
        <f aca="false">IF($D117&lt;&gt;1,"",IF($G117="ROKS",$M117+$Q117,IF($AI117=1,0,MAX($O117,$M117-$Q117))))</f>
        <v>600</v>
      </c>
      <c r="T117" s="14" t="n">
        <f aca="false">IF($D117&lt;&gt;1,"",IF($AI117=1,0,MAX($J117,ROUNDUP(MAX($R117/$H117,$S117/$I117),0))))</f>
        <v>8</v>
      </c>
      <c r="U117" s="14" t="n">
        <f aca="false">IF($D117&lt;&gt;1,"",IF(p_mode="Nœud",$T117*$H117,$R117))</f>
        <v>128</v>
      </c>
      <c r="V117" s="14" t="n">
        <f aca="false">IF($D117&lt;&gt;1,"",IF(p_mode="Nœud",$T117*$I117,$S117))</f>
        <v>640</v>
      </c>
      <c r="W117" s="84" t="n">
        <f aca="false">IF($D117&lt;&gt;1,"",IF(p_mode="Nœud",$T117*$K117,$R117*IF($G117="IKS",p_iks_cpu,p_roks_cpu)+$S117*IF($G117="IKS",p_iks_ram,p_roks_ram))*p_facteur)</f>
        <v>5888</v>
      </c>
      <c r="X117" s="14" t="n">
        <f aca="false">IF($D117&lt;&gt;1,"",IF($G117="ROKS",$R117,IF($AI117=1,0,MAX($N117,$L117-SUMIFS(TblApplications[CPU IKS libérable (vCPU)],TblApplications[Cluster IKS source],$F117,TblApplications[Action],"À migrer",TblApplications[Mois prov (calc)],"&lt;="&amp;$E117)-SUMIFS(TblApplications[CPU IKS libérable (vCPU)],TblApplications[Cluster IKS source],$F117,TblApplications[Action],"À décommissionner",TblApplications[Mois lib (calc)],"&lt;="&amp;$E117)))))</f>
        <v>121</v>
      </c>
      <c r="Y117" s="14" t="n">
        <f aca="false">IF($D117&lt;&gt;1,"",IF($G117="ROKS",$S117,IF($AI117=1,0,MAX($O117,$M117-SUMIFS(TblApplications[RAM IKS libérable (Go)],TblApplications[Cluster IKS source],$F117,TblApplications[Action],"À migrer",TblApplications[Mois prov (calc)],"&lt;="&amp;$E117)-SUMIFS(TblApplications[RAM IKS libérable (Go)],TblApplications[Cluster IKS source],$F117,TblApplications[Action],"À décommissionner",TblApplications[Mois lib (calc)],"&lt;="&amp;$E117)))))</f>
        <v>600</v>
      </c>
      <c r="Z117" s="14" t="n">
        <f aca="false">IF($D117&lt;&gt;1,"",IF($AI117=1,0,MAX($J117,ROUNDUP(MAX($X117/$H117,$Y117/$I117),0))))</f>
        <v>8</v>
      </c>
      <c r="AA117" s="84" t="n">
        <f aca="false">IF($D117&lt;&gt;1,"",IF(p_mode="Nœud",$Z117*$K117,$X117*IF($G117="IKS",p_iks_cpu,p_roks_cpu)+$Y117*IF($G117="IKS",p_iks_ram,p_roks_ram))*p_facteur)</f>
        <v>5888</v>
      </c>
      <c r="AB117" s="14" t="n">
        <f aca="false">IF($D117&lt;&gt;1,"",MAX($J117,ROUNDUP(MAX($L117/$H117,$M117/$I117),0)))</f>
        <v>6</v>
      </c>
      <c r="AC117" s="84" t="n">
        <f aca="false">IF($D117&lt;&gt;1,"",IF(p_mode="Nœud",$AB117*$K117,$L117*IF($G117="IKS",p_iks_cpu,p_roks_cpu)+$M117*IF($G117="IKS",p_iks_ram,p_roks_ram))*p_facteur)</f>
        <v>4416</v>
      </c>
      <c r="AD117" s="14" t="n">
        <f aca="false">IF($D117&lt;&gt;1,"",IF(AND($G117="IKS",$AI117&lt;&gt;1,OR($L117-$P117&lt;$N117,$M117-$Q117&lt;$O117)),1,0))</f>
        <v>0</v>
      </c>
      <c r="AE117" s="14" t="n">
        <f aca="false">IF($D117&lt;&gt;1,"",IF(AND($G117="ROKS",$T117&gt;p_maxworkers),1,0))</f>
        <v>0</v>
      </c>
      <c r="AF117" s="14" t="str">
        <f aca="false">IF($D117&lt;&gt;1,"",IF(INDEX(TblClusters[Environnement],$B117)="","(vide)",INDEX(TblClusters[Environnement],$B117)))</f>
        <v>NPRD</v>
      </c>
      <c r="AG117" s="14" t="n">
        <f aca="false">IF($D117&lt;&gt;1,"",$R117+p_poidsram*$S117)</f>
        <v>181</v>
      </c>
      <c r="AH117" s="14" t="n">
        <f aca="false">IF($D117&lt;&gt;1,"",IFERROR($W117/$AG117,0))</f>
        <v>32.5303867403315</v>
      </c>
      <c r="AI117" s="14" t="n">
        <f aca="false">IF($D117&lt;&gt;1,"",IF(AND($G117="IKS",ISNUMBER(INDEX(TblClusters[Fermeture retenue],$B117))),IF($E117&gt;=INDEX(TblClusters[Fermeture retenue],$B117),1,0),0))</f>
        <v>0</v>
      </c>
    </row>
    <row r="118" customFormat="false" ht="15" hidden="false" customHeight="false" outlineLevel="0" collapsed="false">
      <c r="A118" s="14" t="n">
        <v>113</v>
      </c>
      <c r="B118" s="14" t="n">
        <f aca="false">INT(($A118-1)/36)+1</f>
        <v>4</v>
      </c>
      <c r="C118" s="14" t="n">
        <f aca="false">MOD($A118-1,36)+1</f>
        <v>5</v>
      </c>
      <c r="D118" s="14" t="n">
        <f aca="false">IF($C118&gt;p_horizon,0,IFERROR(IF(AND(INDEX(TblClusters[Cluster],$B118)&lt;&gt;"",ISNUMBER(INDEX(TblClusters[CPU initial (vCPU)],$B118)),ISNUMBER(INDEX(TblClusters[CPU min (vCPU)],$B118)),OR(INDEX(TblClusters[Plateforme],$B118)="IKS",INDEX(TblClusters[Plateforme],$B118)="ROKS")),1,0),0))</f>
        <v>1</v>
      </c>
      <c r="E118" s="83" t="n">
        <f aca="false">IF($D118=1,EDATE(p_debut,$C118-1),"")</f>
        <v>46419</v>
      </c>
      <c r="F118" s="14" t="str">
        <f aca="false">IF($D118=1,INDEX(TblClusters[Cluster],$B118),"")</f>
        <v>ROKS-NPR-01</v>
      </c>
      <c r="G118" s="14" t="str">
        <f aca="false">IF($D118=1,INDEX(TblClusters[Plateforme],$B118),"")</f>
        <v>ROKS</v>
      </c>
      <c r="H118" s="14" t="n">
        <f aca="false">IF($D118=1,INDEX(TblClusters[vCPU par nœud],$B118),"")</f>
        <v>16</v>
      </c>
      <c r="I118" s="14" t="n">
        <f aca="false">IF($D118=1,INDEX(TblClusters[RAM par nœud (Go)],$B118),"")</f>
        <v>80</v>
      </c>
      <c r="J118" s="14" t="n">
        <f aca="false">IF($D118=1,INDEX(TblClusters[Workers min],$B118),"")</f>
        <v>6</v>
      </c>
      <c r="K118" s="84" t="n">
        <f aca="false">IF($D118=1,INDEX(TblClusters[Tarif par nœud],$B118),"")</f>
        <v>736</v>
      </c>
      <c r="L118" s="14" t="n">
        <f aca="false">IF($D118=1,INDEX(TblClusters[CPU initial (vCPU)],$B118),"")</f>
        <v>96</v>
      </c>
      <c r="M118" s="14" t="n">
        <f aca="false">IF($D118=1,INDEX(TblClusters[RAM initiale (Go)],$B118),"")</f>
        <v>480</v>
      </c>
      <c r="N118" s="14" t="n">
        <f aca="false">IF($D118=1,INDEX(TblClusters[CPU min (vCPU)],$B118),"")</f>
        <v>96</v>
      </c>
      <c r="O118" s="14" t="n">
        <f aca="false">IF($D118=1,INDEX(TblClusters[RAM min (Go)],$B118),"")</f>
        <v>480</v>
      </c>
      <c r="P118" s="14" t="n">
        <f aca="false">IF($D118&lt;&gt;1,"",IF($G118="ROKS",SUMIFS(TblApplications[Besoin ROKS CPU (vCPU)],TblApplications[Cluster ROKS cible],$F118,TblApplications[Action],"À migrer",TblApplications[Déjà incluse ROKS],"Non",TblApplications[Mois prov (calc)],"&lt;="&amp;$E118),SUMIFS(TblApplications[CPU IKS libérable (vCPU)],TblApplications[Cluster IKS source],$F118,TblApplications[Mois lib (calc)],"&lt;="&amp;$E118)))</f>
        <v>25</v>
      </c>
      <c r="Q118" s="14" t="n">
        <f aca="false">IF($D118&lt;&gt;1,"",IF($G118="ROKS",SUMIFS(TblApplications[Besoin ROKS RAM (Go)],TblApplications[Cluster ROKS cible],$F118,TblApplications[Action],"À migrer",TblApplications[Déjà incluse ROKS],"Non",TblApplications[Mois prov (calc)],"&lt;="&amp;$E118),SUMIFS(TblApplications[RAM IKS libérable (Go)],TblApplications[Cluster IKS source],$F118,TblApplications[Mois lib (calc)],"&lt;="&amp;$E118)))</f>
        <v>120</v>
      </c>
      <c r="R118" s="14" t="n">
        <f aca="false">IF($D118&lt;&gt;1,"",IF($G118="ROKS",$L118+$P118,IF($AI118=1,0,MAX($N118,$L118-$P118))))</f>
        <v>121</v>
      </c>
      <c r="S118" s="14" t="n">
        <f aca="false">IF($D118&lt;&gt;1,"",IF($G118="ROKS",$M118+$Q118,IF($AI118=1,0,MAX($O118,$M118-$Q118))))</f>
        <v>600</v>
      </c>
      <c r="T118" s="14" t="n">
        <f aca="false">IF($D118&lt;&gt;1,"",IF($AI118=1,0,MAX($J118,ROUNDUP(MAX($R118/$H118,$S118/$I118),0))))</f>
        <v>8</v>
      </c>
      <c r="U118" s="14" t="n">
        <f aca="false">IF($D118&lt;&gt;1,"",IF(p_mode="Nœud",$T118*$H118,$R118))</f>
        <v>128</v>
      </c>
      <c r="V118" s="14" t="n">
        <f aca="false">IF($D118&lt;&gt;1,"",IF(p_mode="Nœud",$T118*$I118,$S118))</f>
        <v>640</v>
      </c>
      <c r="W118" s="84" t="n">
        <f aca="false">IF($D118&lt;&gt;1,"",IF(p_mode="Nœud",$T118*$K118,$R118*IF($G118="IKS",p_iks_cpu,p_roks_cpu)+$S118*IF($G118="IKS",p_iks_ram,p_roks_ram))*p_facteur)</f>
        <v>5888</v>
      </c>
      <c r="X118" s="14" t="n">
        <f aca="false">IF($D118&lt;&gt;1,"",IF($G118="ROKS",$R118,IF($AI118=1,0,MAX($N118,$L118-SUMIFS(TblApplications[CPU IKS libérable (vCPU)],TblApplications[Cluster IKS source],$F118,TblApplications[Action],"À migrer",TblApplications[Mois prov (calc)],"&lt;="&amp;$E118)-SUMIFS(TblApplications[CPU IKS libérable (vCPU)],TblApplications[Cluster IKS source],$F118,TblApplications[Action],"À décommissionner",TblApplications[Mois lib (calc)],"&lt;="&amp;$E118)))))</f>
        <v>121</v>
      </c>
      <c r="Y118" s="14" t="n">
        <f aca="false">IF($D118&lt;&gt;1,"",IF($G118="ROKS",$S118,IF($AI118=1,0,MAX($O118,$M118-SUMIFS(TblApplications[RAM IKS libérable (Go)],TblApplications[Cluster IKS source],$F118,TblApplications[Action],"À migrer",TblApplications[Mois prov (calc)],"&lt;="&amp;$E118)-SUMIFS(TblApplications[RAM IKS libérable (Go)],TblApplications[Cluster IKS source],$F118,TblApplications[Action],"À décommissionner",TblApplications[Mois lib (calc)],"&lt;="&amp;$E118)))))</f>
        <v>600</v>
      </c>
      <c r="Z118" s="14" t="n">
        <f aca="false">IF($D118&lt;&gt;1,"",IF($AI118=1,0,MAX($J118,ROUNDUP(MAX($X118/$H118,$Y118/$I118),0))))</f>
        <v>8</v>
      </c>
      <c r="AA118" s="84" t="n">
        <f aca="false">IF($D118&lt;&gt;1,"",IF(p_mode="Nœud",$Z118*$K118,$X118*IF($G118="IKS",p_iks_cpu,p_roks_cpu)+$Y118*IF($G118="IKS",p_iks_ram,p_roks_ram))*p_facteur)</f>
        <v>5888</v>
      </c>
      <c r="AB118" s="14" t="n">
        <f aca="false">IF($D118&lt;&gt;1,"",MAX($J118,ROUNDUP(MAX($L118/$H118,$M118/$I118),0)))</f>
        <v>6</v>
      </c>
      <c r="AC118" s="84" t="n">
        <f aca="false">IF($D118&lt;&gt;1,"",IF(p_mode="Nœud",$AB118*$K118,$L118*IF($G118="IKS",p_iks_cpu,p_roks_cpu)+$M118*IF($G118="IKS",p_iks_ram,p_roks_ram))*p_facteur)</f>
        <v>4416</v>
      </c>
      <c r="AD118" s="14" t="n">
        <f aca="false">IF($D118&lt;&gt;1,"",IF(AND($G118="IKS",$AI118&lt;&gt;1,OR($L118-$P118&lt;$N118,$M118-$Q118&lt;$O118)),1,0))</f>
        <v>0</v>
      </c>
      <c r="AE118" s="14" t="n">
        <f aca="false">IF($D118&lt;&gt;1,"",IF(AND($G118="ROKS",$T118&gt;p_maxworkers),1,0))</f>
        <v>0</v>
      </c>
      <c r="AF118" s="14" t="str">
        <f aca="false">IF($D118&lt;&gt;1,"",IF(INDEX(TblClusters[Environnement],$B118)="","(vide)",INDEX(TblClusters[Environnement],$B118)))</f>
        <v>NPRD</v>
      </c>
      <c r="AG118" s="14" t="n">
        <f aca="false">IF($D118&lt;&gt;1,"",$R118+p_poidsram*$S118)</f>
        <v>181</v>
      </c>
      <c r="AH118" s="14" t="n">
        <f aca="false">IF($D118&lt;&gt;1,"",IFERROR($W118/$AG118,0))</f>
        <v>32.5303867403315</v>
      </c>
      <c r="AI118" s="14" t="n">
        <f aca="false">IF($D118&lt;&gt;1,"",IF(AND($G118="IKS",ISNUMBER(INDEX(TblClusters[Fermeture retenue],$B118))),IF($E118&gt;=INDEX(TblClusters[Fermeture retenue],$B118),1,0),0))</f>
        <v>0</v>
      </c>
    </row>
    <row r="119" customFormat="false" ht="15" hidden="false" customHeight="false" outlineLevel="0" collapsed="false">
      <c r="A119" s="14" t="n">
        <v>114</v>
      </c>
      <c r="B119" s="14" t="n">
        <f aca="false">INT(($A119-1)/36)+1</f>
        <v>4</v>
      </c>
      <c r="C119" s="14" t="n">
        <f aca="false">MOD($A119-1,36)+1</f>
        <v>6</v>
      </c>
      <c r="D119" s="14" t="n">
        <f aca="false">IF($C119&gt;p_horizon,0,IFERROR(IF(AND(INDEX(TblClusters[Cluster],$B119)&lt;&gt;"",ISNUMBER(INDEX(TblClusters[CPU initial (vCPU)],$B119)),ISNUMBER(INDEX(TblClusters[CPU min (vCPU)],$B119)),OR(INDEX(TblClusters[Plateforme],$B119)="IKS",INDEX(TblClusters[Plateforme],$B119)="ROKS")),1,0),0))</f>
        <v>1</v>
      </c>
      <c r="E119" s="83" t="n">
        <f aca="false">IF($D119=1,EDATE(p_debut,$C119-1),"")</f>
        <v>46447</v>
      </c>
      <c r="F119" s="14" t="str">
        <f aca="false">IF($D119=1,INDEX(TblClusters[Cluster],$B119),"")</f>
        <v>ROKS-NPR-01</v>
      </c>
      <c r="G119" s="14" t="str">
        <f aca="false">IF($D119=1,INDEX(TblClusters[Plateforme],$B119),"")</f>
        <v>ROKS</v>
      </c>
      <c r="H119" s="14" t="n">
        <f aca="false">IF($D119=1,INDEX(TblClusters[vCPU par nœud],$B119),"")</f>
        <v>16</v>
      </c>
      <c r="I119" s="14" t="n">
        <f aca="false">IF($D119=1,INDEX(TblClusters[RAM par nœud (Go)],$B119),"")</f>
        <v>80</v>
      </c>
      <c r="J119" s="14" t="n">
        <f aca="false">IF($D119=1,INDEX(TblClusters[Workers min],$B119),"")</f>
        <v>6</v>
      </c>
      <c r="K119" s="84" t="n">
        <f aca="false">IF($D119=1,INDEX(TblClusters[Tarif par nœud],$B119),"")</f>
        <v>736</v>
      </c>
      <c r="L119" s="14" t="n">
        <f aca="false">IF($D119=1,INDEX(TblClusters[CPU initial (vCPU)],$B119),"")</f>
        <v>96</v>
      </c>
      <c r="M119" s="14" t="n">
        <f aca="false">IF($D119=1,INDEX(TblClusters[RAM initiale (Go)],$B119),"")</f>
        <v>480</v>
      </c>
      <c r="N119" s="14" t="n">
        <f aca="false">IF($D119=1,INDEX(TblClusters[CPU min (vCPU)],$B119),"")</f>
        <v>96</v>
      </c>
      <c r="O119" s="14" t="n">
        <f aca="false">IF($D119=1,INDEX(TblClusters[RAM min (Go)],$B119),"")</f>
        <v>480</v>
      </c>
      <c r="P119" s="14" t="n">
        <f aca="false">IF($D119&lt;&gt;1,"",IF($G119="ROKS",SUMIFS(TblApplications[Besoin ROKS CPU (vCPU)],TblApplications[Cluster ROKS cible],$F119,TblApplications[Action],"À migrer",TblApplications[Déjà incluse ROKS],"Non",TblApplications[Mois prov (calc)],"&lt;="&amp;$E119),SUMIFS(TblApplications[CPU IKS libérable (vCPU)],TblApplications[Cluster IKS source],$F119,TblApplications[Mois lib (calc)],"&lt;="&amp;$E119)))</f>
        <v>25</v>
      </c>
      <c r="Q119" s="14" t="n">
        <f aca="false">IF($D119&lt;&gt;1,"",IF($G119="ROKS",SUMIFS(TblApplications[Besoin ROKS RAM (Go)],TblApplications[Cluster ROKS cible],$F119,TblApplications[Action],"À migrer",TblApplications[Déjà incluse ROKS],"Non",TblApplications[Mois prov (calc)],"&lt;="&amp;$E119),SUMIFS(TblApplications[RAM IKS libérable (Go)],TblApplications[Cluster IKS source],$F119,TblApplications[Mois lib (calc)],"&lt;="&amp;$E119)))</f>
        <v>120</v>
      </c>
      <c r="R119" s="14" t="n">
        <f aca="false">IF($D119&lt;&gt;1,"",IF($G119="ROKS",$L119+$P119,IF($AI119=1,0,MAX($N119,$L119-$P119))))</f>
        <v>121</v>
      </c>
      <c r="S119" s="14" t="n">
        <f aca="false">IF($D119&lt;&gt;1,"",IF($G119="ROKS",$M119+$Q119,IF($AI119=1,0,MAX($O119,$M119-$Q119))))</f>
        <v>600</v>
      </c>
      <c r="T119" s="14" t="n">
        <f aca="false">IF($D119&lt;&gt;1,"",IF($AI119=1,0,MAX($J119,ROUNDUP(MAX($R119/$H119,$S119/$I119),0))))</f>
        <v>8</v>
      </c>
      <c r="U119" s="14" t="n">
        <f aca="false">IF($D119&lt;&gt;1,"",IF(p_mode="Nœud",$T119*$H119,$R119))</f>
        <v>128</v>
      </c>
      <c r="V119" s="14" t="n">
        <f aca="false">IF($D119&lt;&gt;1,"",IF(p_mode="Nœud",$T119*$I119,$S119))</f>
        <v>640</v>
      </c>
      <c r="W119" s="84" t="n">
        <f aca="false">IF($D119&lt;&gt;1,"",IF(p_mode="Nœud",$T119*$K119,$R119*IF($G119="IKS",p_iks_cpu,p_roks_cpu)+$S119*IF($G119="IKS",p_iks_ram,p_roks_ram))*p_facteur)</f>
        <v>5888</v>
      </c>
      <c r="X119" s="14" t="n">
        <f aca="false">IF($D119&lt;&gt;1,"",IF($G119="ROKS",$R119,IF($AI119=1,0,MAX($N119,$L119-SUMIFS(TblApplications[CPU IKS libérable (vCPU)],TblApplications[Cluster IKS source],$F119,TblApplications[Action],"À migrer",TblApplications[Mois prov (calc)],"&lt;="&amp;$E119)-SUMIFS(TblApplications[CPU IKS libérable (vCPU)],TblApplications[Cluster IKS source],$F119,TblApplications[Action],"À décommissionner",TblApplications[Mois lib (calc)],"&lt;="&amp;$E119)))))</f>
        <v>121</v>
      </c>
      <c r="Y119" s="14" t="n">
        <f aca="false">IF($D119&lt;&gt;1,"",IF($G119="ROKS",$S119,IF($AI119=1,0,MAX($O119,$M119-SUMIFS(TblApplications[RAM IKS libérable (Go)],TblApplications[Cluster IKS source],$F119,TblApplications[Action],"À migrer",TblApplications[Mois prov (calc)],"&lt;="&amp;$E119)-SUMIFS(TblApplications[RAM IKS libérable (Go)],TblApplications[Cluster IKS source],$F119,TblApplications[Action],"À décommissionner",TblApplications[Mois lib (calc)],"&lt;="&amp;$E119)))))</f>
        <v>600</v>
      </c>
      <c r="Z119" s="14" t="n">
        <f aca="false">IF($D119&lt;&gt;1,"",IF($AI119=1,0,MAX($J119,ROUNDUP(MAX($X119/$H119,$Y119/$I119),0))))</f>
        <v>8</v>
      </c>
      <c r="AA119" s="84" t="n">
        <f aca="false">IF($D119&lt;&gt;1,"",IF(p_mode="Nœud",$Z119*$K119,$X119*IF($G119="IKS",p_iks_cpu,p_roks_cpu)+$Y119*IF($G119="IKS",p_iks_ram,p_roks_ram))*p_facteur)</f>
        <v>5888</v>
      </c>
      <c r="AB119" s="14" t="n">
        <f aca="false">IF($D119&lt;&gt;1,"",MAX($J119,ROUNDUP(MAX($L119/$H119,$M119/$I119),0)))</f>
        <v>6</v>
      </c>
      <c r="AC119" s="84" t="n">
        <f aca="false">IF($D119&lt;&gt;1,"",IF(p_mode="Nœud",$AB119*$K119,$L119*IF($G119="IKS",p_iks_cpu,p_roks_cpu)+$M119*IF($G119="IKS",p_iks_ram,p_roks_ram))*p_facteur)</f>
        <v>4416</v>
      </c>
      <c r="AD119" s="14" t="n">
        <f aca="false">IF($D119&lt;&gt;1,"",IF(AND($G119="IKS",$AI119&lt;&gt;1,OR($L119-$P119&lt;$N119,$M119-$Q119&lt;$O119)),1,0))</f>
        <v>0</v>
      </c>
      <c r="AE119" s="14" t="n">
        <f aca="false">IF($D119&lt;&gt;1,"",IF(AND($G119="ROKS",$T119&gt;p_maxworkers),1,0))</f>
        <v>0</v>
      </c>
      <c r="AF119" s="14" t="str">
        <f aca="false">IF($D119&lt;&gt;1,"",IF(INDEX(TblClusters[Environnement],$B119)="","(vide)",INDEX(TblClusters[Environnement],$B119)))</f>
        <v>NPRD</v>
      </c>
      <c r="AG119" s="14" t="n">
        <f aca="false">IF($D119&lt;&gt;1,"",$R119+p_poidsram*$S119)</f>
        <v>181</v>
      </c>
      <c r="AH119" s="14" t="n">
        <f aca="false">IF($D119&lt;&gt;1,"",IFERROR($W119/$AG119,0))</f>
        <v>32.5303867403315</v>
      </c>
      <c r="AI119" s="14" t="n">
        <f aca="false">IF($D119&lt;&gt;1,"",IF(AND($G119="IKS",ISNUMBER(INDEX(TblClusters[Fermeture retenue],$B119))),IF($E119&gt;=INDEX(TblClusters[Fermeture retenue],$B119),1,0),0))</f>
        <v>0</v>
      </c>
    </row>
    <row r="120" customFormat="false" ht="15" hidden="false" customHeight="false" outlineLevel="0" collapsed="false">
      <c r="A120" s="14" t="n">
        <v>115</v>
      </c>
      <c r="B120" s="14" t="n">
        <f aca="false">INT(($A120-1)/36)+1</f>
        <v>4</v>
      </c>
      <c r="C120" s="14" t="n">
        <f aca="false">MOD($A120-1,36)+1</f>
        <v>7</v>
      </c>
      <c r="D120" s="14" t="n">
        <f aca="false">IF($C120&gt;p_horizon,0,IFERROR(IF(AND(INDEX(TblClusters[Cluster],$B120)&lt;&gt;"",ISNUMBER(INDEX(TblClusters[CPU initial (vCPU)],$B120)),ISNUMBER(INDEX(TblClusters[CPU min (vCPU)],$B120)),OR(INDEX(TblClusters[Plateforme],$B120)="IKS",INDEX(TblClusters[Plateforme],$B120)="ROKS")),1,0),0))</f>
        <v>1</v>
      </c>
      <c r="E120" s="83" t="n">
        <f aca="false">IF($D120=1,EDATE(p_debut,$C120-1),"")</f>
        <v>46478</v>
      </c>
      <c r="F120" s="14" t="str">
        <f aca="false">IF($D120=1,INDEX(TblClusters[Cluster],$B120),"")</f>
        <v>ROKS-NPR-01</v>
      </c>
      <c r="G120" s="14" t="str">
        <f aca="false">IF($D120=1,INDEX(TblClusters[Plateforme],$B120),"")</f>
        <v>ROKS</v>
      </c>
      <c r="H120" s="14" t="n">
        <f aca="false">IF($D120=1,INDEX(TblClusters[vCPU par nœud],$B120),"")</f>
        <v>16</v>
      </c>
      <c r="I120" s="14" t="n">
        <f aca="false">IF($D120=1,INDEX(TblClusters[RAM par nœud (Go)],$B120),"")</f>
        <v>80</v>
      </c>
      <c r="J120" s="14" t="n">
        <f aca="false">IF($D120=1,INDEX(TblClusters[Workers min],$B120),"")</f>
        <v>6</v>
      </c>
      <c r="K120" s="84" t="n">
        <f aca="false">IF($D120=1,INDEX(TblClusters[Tarif par nœud],$B120),"")</f>
        <v>736</v>
      </c>
      <c r="L120" s="14" t="n">
        <f aca="false">IF($D120=1,INDEX(TblClusters[CPU initial (vCPU)],$B120),"")</f>
        <v>96</v>
      </c>
      <c r="M120" s="14" t="n">
        <f aca="false">IF($D120=1,INDEX(TblClusters[RAM initiale (Go)],$B120),"")</f>
        <v>480</v>
      </c>
      <c r="N120" s="14" t="n">
        <f aca="false">IF($D120=1,INDEX(TblClusters[CPU min (vCPU)],$B120),"")</f>
        <v>96</v>
      </c>
      <c r="O120" s="14" t="n">
        <f aca="false">IF($D120=1,INDEX(TblClusters[RAM min (Go)],$B120),"")</f>
        <v>480</v>
      </c>
      <c r="P120" s="14" t="n">
        <f aca="false">IF($D120&lt;&gt;1,"",IF($G120="ROKS",SUMIFS(TblApplications[Besoin ROKS CPU (vCPU)],TblApplications[Cluster ROKS cible],$F120,TblApplications[Action],"À migrer",TblApplications[Déjà incluse ROKS],"Non",TblApplications[Mois prov (calc)],"&lt;="&amp;$E120),SUMIFS(TblApplications[CPU IKS libérable (vCPU)],TblApplications[Cluster IKS source],$F120,TblApplications[Mois lib (calc)],"&lt;="&amp;$E120)))</f>
        <v>25</v>
      </c>
      <c r="Q120" s="14" t="n">
        <f aca="false">IF($D120&lt;&gt;1,"",IF($G120="ROKS",SUMIFS(TblApplications[Besoin ROKS RAM (Go)],TblApplications[Cluster ROKS cible],$F120,TblApplications[Action],"À migrer",TblApplications[Déjà incluse ROKS],"Non",TblApplications[Mois prov (calc)],"&lt;="&amp;$E120),SUMIFS(TblApplications[RAM IKS libérable (Go)],TblApplications[Cluster IKS source],$F120,TblApplications[Mois lib (calc)],"&lt;="&amp;$E120)))</f>
        <v>120</v>
      </c>
      <c r="R120" s="14" t="n">
        <f aca="false">IF($D120&lt;&gt;1,"",IF($G120="ROKS",$L120+$P120,IF($AI120=1,0,MAX($N120,$L120-$P120))))</f>
        <v>121</v>
      </c>
      <c r="S120" s="14" t="n">
        <f aca="false">IF($D120&lt;&gt;1,"",IF($G120="ROKS",$M120+$Q120,IF($AI120=1,0,MAX($O120,$M120-$Q120))))</f>
        <v>600</v>
      </c>
      <c r="T120" s="14" t="n">
        <f aca="false">IF($D120&lt;&gt;1,"",IF($AI120=1,0,MAX($J120,ROUNDUP(MAX($R120/$H120,$S120/$I120),0))))</f>
        <v>8</v>
      </c>
      <c r="U120" s="14" t="n">
        <f aca="false">IF($D120&lt;&gt;1,"",IF(p_mode="Nœud",$T120*$H120,$R120))</f>
        <v>128</v>
      </c>
      <c r="V120" s="14" t="n">
        <f aca="false">IF($D120&lt;&gt;1,"",IF(p_mode="Nœud",$T120*$I120,$S120))</f>
        <v>640</v>
      </c>
      <c r="W120" s="84" t="n">
        <f aca="false">IF($D120&lt;&gt;1,"",IF(p_mode="Nœud",$T120*$K120,$R120*IF($G120="IKS",p_iks_cpu,p_roks_cpu)+$S120*IF($G120="IKS",p_iks_ram,p_roks_ram))*p_facteur)</f>
        <v>5888</v>
      </c>
      <c r="X120" s="14" t="n">
        <f aca="false">IF($D120&lt;&gt;1,"",IF($G120="ROKS",$R120,IF($AI120=1,0,MAX($N120,$L120-SUMIFS(TblApplications[CPU IKS libérable (vCPU)],TblApplications[Cluster IKS source],$F120,TblApplications[Action],"À migrer",TblApplications[Mois prov (calc)],"&lt;="&amp;$E120)-SUMIFS(TblApplications[CPU IKS libérable (vCPU)],TblApplications[Cluster IKS source],$F120,TblApplications[Action],"À décommissionner",TblApplications[Mois lib (calc)],"&lt;="&amp;$E120)))))</f>
        <v>121</v>
      </c>
      <c r="Y120" s="14" t="n">
        <f aca="false">IF($D120&lt;&gt;1,"",IF($G120="ROKS",$S120,IF($AI120=1,0,MAX($O120,$M120-SUMIFS(TblApplications[RAM IKS libérable (Go)],TblApplications[Cluster IKS source],$F120,TblApplications[Action],"À migrer",TblApplications[Mois prov (calc)],"&lt;="&amp;$E120)-SUMIFS(TblApplications[RAM IKS libérable (Go)],TblApplications[Cluster IKS source],$F120,TblApplications[Action],"À décommissionner",TblApplications[Mois lib (calc)],"&lt;="&amp;$E120)))))</f>
        <v>600</v>
      </c>
      <c r="Z120" s="14" t="n">
        <f aca="false">IF($D120&lt;&gt;1,"",IF($AI120=1,0,MAX($J120,ROUNDUP(MAX($X120/$H120,$Y120/$I120),0))))</f>
        <v>8</v>
      </c>
      <c r="AA120" s="84" t="n">
        <f aca="false">IF($D120&lt;&gt;1,"",IF(p_mode="Nœud",$Z120*$K120,$X120*IF($G120="IKS",p_iks_cpu,p_roks_cpu)+$Y120*IF($G120="IKS",p_iks_ram,p_roks_ram))*p_facteur)</f>
        <v>5888</v>
      </c>
      <c r="AB120" s="14" t="n">
        <f aca="false">IF($D120&lt;&gt;1,"",MAX($J120,ROUNDUP(MAX($L120/$H120,$M120/$I120),0)))</f>
        <v>6</v>
      </c>
      <c r="AC120" s="84" t="n">
        <f aca="false">IF($D120&lt;&gt;1,"",IF(p_mode="Nœud",$AB120*$K120,$L120*IF($G120="IKS",p_iks_cpu,p_roks_cpu)+$M120*IF($G120="IKS",p_iks_ram,p_roks_ram))*p_facteur)</f>
        <v>4416</v>
      </c>
      <c r="AD120" s="14" t="n">
        <f aca="false">IF($D120&lt;&gt;1,"",IF(AND($G120="IKS",$AI120&lt;&gt;1,OR($L120-$P120&lt;$N120,$M120-$Q120&lt;$O120)),1,0))</f>
        <v>0</v>
      </c>
      <c r="AE120" s="14" t="n">
        <f aca="false">IF($D120&lt;&gt;1,"",IF(AND($G120="ROKS",$T120&gt;p_maxworkers),1,0))</f>
        <v>0</v>
      </c>
      <c r="AF120" s="14" t="str">
        <f aca="false">IF($D120&lt;&gt;1,"",IF(INDEX(TblClusters[Environnement],$B120)="","(vide)",INDEX(TblClusters[Environnement],$B120)))</f>
        <v>NPRD</v>
      </c>
      <c r="AG120" s="14" t="n">
        <f aca="false">IF($D120&lt;&gt;1,"",$R120+p_poidsram*$S120)</f>
        <v>181</v>
      </c>
      <c r="AH120" s="14" t="n">
        <f aca="false">IF($D120&lt;&gt;1,"",IFERROR($W120/$AG120,0))</f>
        <v>32.5303867403315</v>
      </c>
      <c r="AI120" s="14" t="n">
        <f aca="false">IF($D120&lt;&gt;1,"",IF(AND($G120="IKS",ISNUMBER(INDEX(TblClusters[Fermeture retenue],$B120))),IF($E120&gt;=INDEX(TblClusters[Fermeture retenue],$B120),1,0),0))</f>
        <v>0</v>
      </c>
    </row>
    <row r="121" customFormat="false" ht="15" hidden="false" customHeight="false" outlineLevel="0" collapsed="false">
      <c r="A121" s="14" t="n">
        <v>116</v>
      </c>
      <c r="B121" s="14" t="n">
        <f aca="false">INT(($A121-1)/36)+1</f>
        <v>4</v>
      </c>
      <c r="C121" s="14" t="n">
        <f aca="false">MOD($A121-1,36)+1</f>
        <v>8</v>
      </c>
      <c r="D121" s="14" t="n">
        <f aca="false">IF($C121&gt;p_horizon,0,IFERROR(IF(AND(INDEX(TblClusters[Cluster],$B121)&lt;&gt;"",ISNUMBER(INDEX(TblClusters[CPU initial (vCPU)],$B121)),ISNUMBER(INDEX(TblClusters[CPU min (vCPU)],$B121)),OR(INDEX(TblClusters[Plateforme],$B121)="IKS",INDEX(TblClusters[Plateforme],$B121)="ROKS")),1,0),0))</f>
        <v>1</v>
      </c>
      <c r="E121" s="83" t="n">
        <f aca="false">IF($D121=1,EDATE(p_debut,$C121-1),"")</f>
        <v>46508</v>
      </c>
      <c r="F121" s="14" t="str">
        <f aca="false">IF($D121=1,INDEX(TblClusters[Cluster],$B121),"")</f>
        <v>ROKS-NPR-01</v>
      </c>
      <c r="G121" s="14" t="str">
        <f aca="false">IF($D121=1,INDEX(TblClusters[Plateforme],$B121),"")</f>
        <v>ROKS</v>
      </c>
      <c r="H121" s="14" t="n">
        <f aca="false">IF($D121=1,INDEX(TblClusters[vCPU par nœud],$B121),"")</f>
        <v>16</v>
      </c>
      <c r="I121" s="14" t="n">
        <f aca="false">IF($D121=1,INDEX(TblClusters[RAM par nœud (Go)],$B121),"")</f>
        <v>80</v>
      </c>
      <c r="J121" s="14" t="n">
        <f aca="false">IF($D121=1,INDEX(TblClusters[Workers min],$B121),"")</f>
        <v>6</v>
      </c>
      <c r="K121" s="84" t="n">
        <f aca="false">IF($D121=1,INDEX(TblClusters[Tarif par nœud],$B121),"")</f>
        <v>736</v>
      </c>
      <c r="L121" s="14" t="n">
        <f aca="false">IF($D121=1,INDEX(TblClusters[CPU initial (vCPU)],$B121),"")</f>
        <v>96</v>
      </c>
      <c r="M121" s="14" t="n">
        <f aca="false">IF($D121=1,INDEX(TblClusters[RAM initiale (Go)],$B121),"")</f>
        <v>480</v>
      </c>
      <c r="N121" s="14" t="n">
        <f aca="false">IF($D121=1,INDEX(TblClusters[CPU min (vCPU)],$B121),"")</f>
        <v>96</v>
      </c>
      <c r="O121" s="14" t="n">
        <f aca="false">IF($D121=1,INDEX(TblClusters[RAM min (Go)],$B121),"")</f>
        <v>480</v>
      </c>
      <c r="P121" s="14" t="n">
        <f aca="false">IF($D121&lt;&gt;1,"",IF($G121="ROKS",SUMIFS(TblApplications[Besoin ROKS CPU (vCPU)],TblApplications[Cluster ROKS cible],$F121,TblApplications[Action],"À migrer",TblApplications[Déjà incluse ROKS],"Non",TblApplications[Mois prov (calc)],"&lt;="&amp;$E121),SUMIFS(TblApplications[CPU IKS libérable (vCPU)],TblApplications[Cluster IKS source],$F121,TblApplications[Mois lib (calc)],"&lt;="&amp;$E121)))</f>
        <v>25</v>
      </c>
      <c r="Q121" s="14" t="n">
        <f aca="false">IF($D121&lt;&gt;1,"",IF($G121="ROKS",SUMIFS(TblApplications[Besoin ROKS RAM (Go)],TblApplications[Cluster ROKS cible],$F121,TblApplications[Action],"À migrer",TblApplications[Déjà incluse ROKS],"Non",TblApplications[Mois prov (calc)],"&lt;="&amp;$E121),SUMIFS(TblApplications[RAM IKS libérable (Go)],TblApplications[Cluster IKS source],$F121,TblApplications[Mois lib (calc)],"&lt;="&amp;$E121)))</f>
        <v>120</v>
      </c>
      <c r="R121" s="14" t="n">
        <f aca="false">IF($D121&lt;&gt;1,"",IF($G121="ROKS",$L121+$P121,IF($AI121=1,0,MAX($N121,$L121-$P121))))</f>
        <v>121</v>
      </c>
      <c r="S121" s="14" t="n">
        <f aca="false">IF($D121&lt;&gt;1,"",IF($G121="ROKS",$M121+$Q121,IF($AI121=1,0,MAX($O121,$M121-$Q121))))</f>
        <v>600</v>
      </c>
      <c r="T121" s="14" t="n">
        <f aca="false">IF($D121&lt;&gt;1,"",IF($AI121=1,0,MAX($J121,ROUNDUP(MAX($R121/$H121,$S121/$I121),0))))</f>
        <v>8</v>
      </c>
      <c r="U121" s="14" t="n">
        <f aca="false">IF($D121&lt;&gt;1,"",IF(p_mode="Nœud",$T121*$H121,$R121))</f>
        <v>128</v>
      </c>
      <c r="V121" s="14" t="n">
        <f aca="false">IF($D121&lt;&gt;1,"",IF(p_mode="Nœud",$T121*$I121,$S121))</f>
        <v>640</v>
      </c>
      <c r="W121" s="84" t="n">
        <f aca="false">IF($D121&lt;&gt;1,"",IF(p_mode="Nœud",$T121*$K121,$R121*IF($G121="IKS",p_iks_cpu,p_roks_cpu)+$S121*IF($G121="IKS",p_iks_ram,p_roks_ram))*p_facteur)</f>
        <v>5888</v>
      </c>
      <c r="X121" s="14" t="n">
        <f aca="false">IF($D121&lt;&gt;1,"",IF($G121="ROKS",$R121,IF($AI121=1,0,MAX($N121,$L121-SUMIFS(TblApplications[CPU IKS libérable (vCPU)],TblApplications[Cluster IKS source],$F121,TblApplications[Action],"À migrer",TblApplications[Mois prov (calc)],"&lt;="&amp;$E121)-SUMIFS(TblApplications[CPU IKS libérable (vCPU)],TblApplications[Cluster IKS source],$F121,TblApplications[Action],"À décommissionner",TblApplications[Mois lib (calc)],"&lt;="&amp;$E121)))))</f>
        <v>121</v>
      </c>
      <c r="Y121" s="14" t="n">
        <f aca="false">IF($D121&lt;&gt;1,"",IF($G121="ROKS",$S121,IF($AI121=1,0,MAX($O121,$M121-SUMIFS(TblApplications[RAM IKS libérable (Go)],TblApplications[Cluster IKS source],$F121,TblApplications[Action],"À migrer",TblApplications[Mois prov (calc)],"&lt;="&amp;$E121)-SUMIFS(TblApplications[RAM IKS libérable (Go)],TblApplications[Cluster IKS source],$F121,TblApplications[Action],"À décommissionner",TblApplications[Mois lib (calc)],"&lt;="&amp;$E121)))))</f>
        <v>600</v>
      </c>
      <c r="Z121" s="14" t="n">
        <f aca="false">IF($D121&lt;&gt;1,"",IF($AI121=1,0,MAX($J121,ROUNDUP(MAX($X121/$H121,$Y121/$I121),0))))</f>
        <v>8</v>
      </c>
      <c r="AA121" s="84" t="n">
        <f aca="false">IF($D121&lt;&gt;1,"",IF(p_mode="Nœud",$Z121*$K121,$X121*IF($G121="IKS",p_iks_cpu,p_roks_cpu)+$Y121*IF($G121="IKS",p_iks_ram,p_roks_ram))*p_facteur)</f>
        <v>5888</v>
      </c>
      <c r="AB121" s="14" t="n">
        <f aca="false">IF($D121&lt;&gt;1,"",MAX($J121,ROUNDUP(MAX($L121/$H121,$M121/$I121),0)))</f>
        <v>6</v>
      </c>
      <c r="AC121" s="84" t="n">
        <f aca="false">IF($D121&lt;&gt;1,"",IF(p_mode="Nœud",$AB121*$K121,$L121*IF($G121="IKS",p_iks_cpu,p_roks_cpu)+$M121*IF($G121="IKS",p_iks_ram,p_roks_ram))*p_facteur)</f>
        <v>4416</v>
      </c>
      <c r="AD121" s="14" t="n">
        <f aca="false">IF($D121&lt;&gt;1,"",IF(AND($G121="IKS",$AI121&lt;&gt;1,OR($L121-$P121&lt;$N121,$M121-$Q121&lt;$O121)),1,0))</f>
        <v>0</v>
      </c>
      <c r="AE121" s="14" t="n">
        <f aca="false">IF($D121&lt;&gt;1,"",IF(AND($G121="ROKS",$T121&gt;p_maxworkers),1,0))</f>
        <v>0</v>
      </c>
      <c r="AF121" s="14" t="str">
        <f aca="false">IF($D121&lt;&gt;1,"",IF(INDEX(TblClusters[Environnement],$B121)="","(vide)",INDEX(TblClusters[Environnement],$B121)))</f>
        <v>NPRD</v>
      </c>
      <c r="AG121" s="14" t="n">
        <f aca="false">IF($D121&lt;&gt;1,"",$R121+p_poidsram*$S121)</f>
        <v>181</v>
      </c>
      <c r="AH121" s="14" t="n">
        <f aca="false">IF($D121&lt;&gt;1,"",IFERROR($W121/$AG121,0))</f>
        <v>32.5303867403315</v>
      </c>
      <c r="AI121" s="14" t="n">
        <f aca="false">IF($D121&lt;&gt;1,"",IF(AND($G121="IKS",ISNUMBER(INDEX(TblClusters[Fermeture retenue],$B121))),IF($E121&gt;=INDEX(TblClusters[Fermeture retenue],$B121),1,0),0))</f>
        <v>0</v>
      </c>
    </row>
    <row r="122" customFormat="false" ht="15" hidden="false" customHeight="false" outlineLevel="0" collapsed="false">
      <c r="A122" s="14" t="n">
        <v>117</v>
      </c>
      <c r="B122" s="14" t="n">
        <f aca="false">INT(($A122-1)/36)+1</f>
        <v>4</v>
      </c>
      <c r="C122" s="14" t="n">
        <f aca="false">MOD($A122-1,36)+1</f>
        <v>9</v>
      </c>
      <c r="D122" s="14" t="n">
        <f aca="false">IF($C122&gt;p_horizon,0,IFERROR(IF(AND(INDEX(TblClusters[Cluster],$B122)&lt;&gt;"",ISNUMBER(INDEX(TblClusters[CPU initial (vCPU)],$B122)),ISNUMBER(INDEX(TblClusters[CPU min (vCPU)],$B122)),OR(INDEX(TblClusters[Plateforme],$B122)="IKS",INDEX(TblClusters[Plateforme],$B122)="ROKS")),1,0),0))</f>
        <v>1</v>
      </c>
      <c r="E122" s="83" t="n">
        <f aca="false">IF($D122=1,EDATE(p_debut,$C122-1),"")</f>
        <v>46539</v>
      </c>
      <c r="F122" s="14" t="str">
        <f aca="false">IF($D122=1,INDEX(TblClusters[Cluster],$B122),"")</f>
        <v>ROKS-NPR-01</v>
      </c>
      <c r="G122" s="14" t="str">
        <f aca="false">IF($D122=1,INDEX(TblClusters[Plateforme],$B122),"")</f>
        <v>ROKS</v>
      </c>
      <c r="H122" s="14" t="n">
        <f aca="false">IF($D122=1,INDEX(TblClusters[vCPU par nœud],$B122),"")</f>
        <v>16</v>
      </c>
      <c r="I122" s="14" t="n">
        <f aca="false">IF($D122=1,INDEX(TblClusters[RAM par nœud (Go)],$B122),"")</f>
        <v>80</v>
      </c>
      <c r="J122" s="14" t="n">
        <f aca="false">IF($D122=1,INDEX(TblClusters[Workers min],$B122),"")</f>
        <v>6</v>
      </c>
      <c r="K122" s="84" t="n">
        <f aca="false">IF($D122=1,INDEX(TblClusters[Tarif par nœud],$B122),"")</f>
        <v>736</v>
      </c>
      <c r="L122" s="14" t="n">
        <f aca="false">IF($D122=1,INDEX(TblClusters[CPU initial (vCPU)],$B122),"")</f>
        <v>96</v>
      </c>
      <c r="M122" s="14" t="n">
        <f aca="false">IF($D122=1,INDEX(TblClusters[RAM initiale (Go)],$B122),"")</f>
        <v>480</v>
      </c>
      <c r="N122" s="14" t="n">
        <f aca="false">IF($D122=1,INDEX(TblClusters[CPU min (vCPU)],$B122),"")</f>
        <v>96</v>
      </c>
      <c r="O122" s="14" t="n">
        <f aca="false">IF($D122=1,INDEX(TblClusters[RAM min (Go)],$B122),"")</f>
        <v>480</v>
      </c>
      <c r="P122" s="14" t="n">
        <f aca="false">IF($D122&lt;&gt;1,"",IF($G122="ROKS",SUMIFS(TblApplications[Besoin ROKS CPU (vCPU)],TblApplications[Cluster ROKS cible],$F122,TblApplications[Action],"À migrer",TblApplications[Déjà incluse ROKS],"Non",TblApplications[Mois prov (calc)],"&lt;="&amp;$E122),SUMIFS(TblApplications[CPU IKS libérable (vCPU)],TblApplications[Cluster IKS source],$F122,TblApplications[Mois lib (calc)],"&lt;="&amp;$E122)))</f>
        <v>25</v>
      </c>
      <c r="Q122" s="14" t="n">
        <f aca="false">IF($D122&lt;&gt;1,"",IF($G122="ROKS",SUMIFS(TblApplications[Besoin ROKS RAM (Go)],TblApplications[Cluster ROKS cible],$F122,TblApplications[Action],"À migrer",TblApplications[Déjà incluse ROKS],"Non",TblApplications[Mois prov (calc)],"&lt;="&amp;$E122),SUMIFS(TblApplications[RAM IKS libérable (Go)],TblApplications[Cluster IKS source],$F122,TblApplications[Mois lib (calc)],"&lt;="&amp;$E122)))</f>
        <v>120</v>
      </c>
      <c r="R122" s="14" t="n">
        <f aca="false">IF($D122&lt;&gt;1,"",IF($G122="ROKS",$L122+$P122,IF($AI122=1,0,MAX($N122,$L122-$P122))))</f>
        <v>121</v>
      </c>
      <c r="S122" s="14" t="n">
        <f aca="false">IF($D122&lt;&gt;1,"",IF($G122="ROKS",$M122+$Q122,IF($AI122=1,0,MAX($O122,$M122-$Q122))))</f>
        <v>600</v>
      </c>
      <c r="T122" s="14" t="n">
        <f aca="false">IF($D122&lt;&gt;1,"",IF($AI122=1,0,MAX($J122,ROUNDUP(MAX($R122/$H122,$S122/$I122),0))))</f>
        <v>8</v>
      </c>
      <c r="U122" s="14" t="n">
        <f aca="false">IF($D122&lt;&gt;1,"",IF(p_mode="Nœud",$T122*$H122,$R122))</f>
        <v>128</v>
      </c>
      <c r="V122" s="14" t="n">
        <f aca="false">IF($D122&lt;&gt;1,"",IF(p_mode="Nœud",$T122*$I122,$S122))</f>
        <v>640</v>
      </c>
      <c r="W122" s="84" t="n">
        <f aca="false">IF($D122&lt;&gt;1,"",IF(p_mode="Nœud",$T122*$K122,$R122*IF($G122="IKS",p_iks_cpu,p_roks_cpu)+$S122*IF($G122="IKS",p_iks_ram,p_roks_ram))*p_facteur)</f>
        <v>5888</v>
      </c>
      <c r="X122" s="14" t="n">
        <f aca="false">IF($D122&lt;&gt;1,"",IF($G122="ROKS",$R122,IF($AI122=1,0,MAX($N122,$L122-SUMIFS(TblApplications[CPU IKS libérable (vCPU)],TblApplications[Cluster IKS source],$F122,TblApplications[Action],"À migrer",TblApplications[Mois prov (calc)],"&lt;="&amp;$E122)-SUMIFS(TblApplications[CPU IKS libérable (vCPU)],TblApplications[Cluster IKS source],$F122,TblApplications[Action],"À décommissionner",TblApplications[Mois lib (calc)],"&lt;="&amp;$E122)))))</f>
        <v>121</v>
      </c>
      <c r="Y122" s="14" t="n">
        <f aca="false">IF($D122&lt;&gt;1,"",IF($G122="ROKS",$S122,IF($AI122=1,0,MAX($O122,$M122-SUMIFS(TblApplications[RAM IKS libérable (Go)],TblApplications[Cluster IKS source],$F122,TblApplications[Action],"À migrer",TblApplications[Mois prov (calc)],"&lt;="&amp;$E122)-SUMIFS(TblApplications[RAM IKS libérable (Go)],TblApplications[Cluster IKS source],$F122,TblApplications[Action],"À décommissionner",TblApplications[Mois lib (calc)],"&lt;="&amp;$E122)))))</f>
        <v>600</v>
      </c>
      <c r="Z122" s="14" t="n">
        <f aca="false">IF($D122&lt;&gt;1,"",IF($AI122=1,0,MAX($J122,ROUNDUP(MAX($X122/$H122,$Y122/$I122),0))))</f>
        <v>8</v>
      </c>
      <c r="AA122" s="84" t="n">
        <f aca="false">IF($D122&lt;&gt;1,"",IF(p_mode="Nœud",$Z122*$K122,$X122*IF($G122="IKS",p_iks_cpu,p_roks_cpu)+$Y122*IF($G122="IKS",p_iks_ram,p_roks_ram))*p_facteur)</f>
        <v>5888</v>
      </c>
      <c r="AB122" s="14" t="n">
        <f aca="false">IF($D122&lt;&gt;1,"",MAX($J122,ROUNDUP(MAX($L122/$H122,$M122/$I122),0)))</f>
        <v>6</v>
      </c>
      <c r="AC122" s="84" t="n">
        <f aca="false">IF($D122&lt;&gt;1,"",IF(p_mode="Nœud",$AB122*$K122,$L122*IF($G122="IKS",p_iks_cpu,p_roks_cpu)+$M122*IF($G122="IKS",p_iks_ram,p_roks_ram))*p_facteur)</f>
        <v>4416</v>
      </c>
      <c r="AD122" s="14" t="n">
        <f aca="false">IF($D122&lt;&gt;1,"",IF(AND($G122="IKS",$AI122&lt;&gt;1,OR($L122-$P122&lt;$N122,$M122-$Q122&lt;$O122)),1,0))</f>
        <v>0</v>
      </c>
      <c r="AE122" s="14" t="n">
        <f aca="false">IF($D122&lt;&gt;1,"",IF(AND($G122="ROKS",$T122&gt;p_maxworkers),1,0))</f>
        <v>0</v>
      </c>
      <c r="AF122" s="14" t="str">
        <f aca="false">IF($D122&lt;&gt;1,"",IF(INDEX(TblClusters[Environnement],$B122)="","(vide)",INDEX(TblClusters[Environnement],$B122)))</f>
        <v>NPRD</v>
      </c>
      <c r="AG122" s="14" t="n">
        <f aca="false">IF($D122&lt;&gt;1,"",$R122+p_poidsram*$S122)</f>
        <v>181</v>
      </c>
      <c r="AH122" s="14" t="n">
        <f aca="false">IF($D122&lt;&gt;1,"",IFERROR($W122/$AG122,0))</f>
        <v>32.5303867403315</v>
      </c>
      <c r="AI122" s="14" t="n">
        <f aca="false">IF($D122&lt;&gt;1,"",IF(AND($G122="IKS",ISNUMBER(INDEX(TblClusters[Fermeture retenue],$B122))),IF($E122&gt;=INDEX(TblClusters[Fermeture retenue],$B122),1,0),0))</f>
        <v>0</v>
      </c>
    </row>
    <row r="123" customFormat="false" ht="15" hidden="false" customHeight="false" outlineLevel="0" collapsed="false">
      <c r="A123" s="14" t="n">
        <v>118</v>
      </c>
      <c r="B123" s="14" t="n">
        <f aca="false">INT(($A123-1)/36)+1</f>
        <v>4</v>
      </c>
      <c r="C123" s="14" t="n">
        <f aca="false">MOD($A123-1,36)+1</f>
        <v>10</v>
      </c>
      <c r="D123" s="14" t="n">
        <f aca="false">IF($C123&gt;p_horizon,0,IFERROR(IF(AND(INDEX(TblClusters[Cluster],$B123)&lt;&gt;"",ISNUMBER(INDEX(TblClusters[CPU initial (vCPU)],$B123)),ISNUMBER(INDEX(TblClusters[CPU min (vCPU)],$B123)),OR(INDEX(TblClusters[Plateforme],$B123)="IKS",INDEX(TblClusters[Plateforme],$B123)="ROKS")),1,0),0))</f>
        <v>1</v>
      </c>
      <c r="E123" s="83" t="n">
        <f aca="false">IF($D123=1,EDATE(p_debut,$C123-1),"")</f>
        <v>46569</v>
      </c>
      <c r="F123" s="14" t="str">
        <f aca="false">IF($D123=1,INDEX(TblClusters[Cluster],$B123),"")</f>
        <v>ROKS-NPR-01</v>
      </c>
      <c r="G123" s="14" t="str">
        <f aca="false">IF($D123=1,INDEX(TblClusters[Plateforme],$B123),"")</f>
        <v>ROKS</v>
      </c>
      <c r="H123" s="14" t="n">
        <f aca="false">IF($D123=1,INDEX(TblClusters[vCPU par nœud],$B123),"")</f>
        <v>16</v>
      </c>
      <c r="I123" s="14" t="n">
        <f aca="false">IF($D123=1,INDEX(TblClusters[RAM par nœud (Go)],$B123),"")</f>
        <v>80</v>
      </c>
      <c r="J123" s="14" t="n">
        <f aca="false">IF($D123=1,INDEX(TblClusters[Workers min],$B123),"")</f>
        <v>6</v>
      </c>
      <c r="K123" s="84" t="n">
        <f aca="false">IF($D123=1,INDEX(TblClusters[Tarif par nœud],$B123),"")</f>
        <v>736</v>
      </c>
      <c r="L123" s="14" t="n">
        <f aca="false">IF($D123=1,INDEX(TblClusters[CPU initial (vCPU)],$B123),"")</f>
        <v>96</v>
      </c>
      <c r="M123" s="14" t="n">
        <f aca="false">IF($D123=1,INDEX(TblClusters[RAM initiale (Go)],$B123),"")</f>
        <v>480</v>
      </c>
      <c r="N123" s="14" t="n">
        <f aca="false">IF($D123=1,INDEX(TblClusters[CPU min (vCPU)],$B123),"")</f>
        <v>96</v>
      </c>
      <c r="O123" s="14" t="n">
        <f aca="false">IF($D123=1,INDEX(TblClusters[RAM min (Go)],$B123),"")</f>
        <v>480</v>
      </c>
      <c r="P123" s="14" t="n">
        <f aca="false">IF($D123&lt;&gt;1,"",IF($G123="ROKS",SUMIFS(TblApplications[Besoin ROKS CPU (vCPU)],TblApplications[Cluster ROKS cible],$F123,TblApplications[Action],"À migrer",TblApplications[Déjà incluse ROKS],"Non",TblApplications[Mois prov (calc)],"&lt;="&amp;$E123),SUMIFS(TblApplications[CPU IKS libérable (vCPU)],TblApplications[Cluster IKS source],$F123,TblApplications[Mois lib (calc)],"&lt;="&amp;$E123)))</f>
        <v>25</v>
      </c>
      <c r="Q123" s="14" t="n">
        <f aca="false">IF($D123&lt;&gt;1,"",IF($G123="ROKS",SUMIFS(TblApplications[Besoin ROKS RAM (Go)],TblApplications[Cluster ROKS cible],$F123,TblApplications[Action],"À migrer",TblApplications[Déjà incluse ROKS],"Non",TblApplications[Mois prov (calc)],"&lt;="&amp;$E123),SUMIFS(TblApplications[RAM IKS libérable (Go)],TblApplications[Cluster IKS source],$F123,TblApplications[Mois lib (calc)],"&lt;="&amp;$E123)))</f>
        <v>120</v>
      </c>
      <c r="R123" s="14" t="n">
        <f aca="false">IF($D123&lt;&gt;1,"",IF($G123="ROKS",$L123+$P123,IF($AI123=1,0,MAX($N123,$L123-$P123))))</f>
        <v>121</v>
      </c>
      <c r="S123" s="14" t="n">
        <f aca="false">IF($D123&lt;&gt;1,"",IF($G123="ROKS",$M123+$Q123,IF($AI123=1,0,MAX($O123,$M123-$Q123))))</f>
        <v>600</v>
      </c>
      <c r="T123" s="14" t="n">
        <f aca="false">IF($D123&lt;&gt;1,"",IF($AI123=1,0,MAX($J123,ROUNDUP(MAX($R123/$H123,$S123/$I123),0))))</f>
        <v>8</v>
      </c>
      <c r="U123" s="14" t="n">
        <f aca="false">IF($D123&lt;&gt;1,"",IF(p_mode="Nœud",$T123*$H123,$R123))</f>
        <v>128</v>
      </c>
      <c r="V123" s="14" t="n">
        <f aca="false">IF($D123&lt;&gt;1,"",IF(p_mode="Nœud",$T123*$I123,$S123))</f>
        <v>640</v>
      </c>
      <c r="W123" s="84" t="n">
        <f aca="false">IF($D123&lt;&gt;1,"",IF(p_mode="Nœud",$T123*$K123,$R123*IF($G123="IKS",p_iks_cpu,p_roks_cpu)+$S123*IF($G123="IKS",p_iks_ram,p_roks_ram))*p_facteur)</f>
        <v>5888</v>
      </c>
      <c r="X123" s="14" t="n">
        <f aca="false">IF($D123&lt;&gt;1,"",IF($G123="ROKS",$R123,IF($AI123=1,0,MAX($N123,$L123-SUMIFS(TblApplications[CPU IKS libérable (vCPU)],TblApplications[Cluster IKS source],$F123,TblApplications[Action],"À migrer",TblApplications[Mois prov (calc)],"&lt;="&amp;$E123)-SUMIFS(TblApplications[CPU IKS libérable (vCPU)],TblApplications[Cluster IKS source],$F123,TblApplications[Action],"À décommissionner",TblApplications[Mois lib (calc)],"&lt;="&amp;$E123)))))</f>
        <v>121</v>
      </c>
      <c r="Y123" s="14" t="n">
        <f aca="false">IF($D123&lt;&gt;1,"",IF($G123="ROKS",$S123,IF($AI123=1,0,MAX($O123,$M123-SUMIFS(TblApplications[RAM IKS libérable (Go)],TblApplications[Cluster IKS source],$F123,TblApplications[Action],"À migrer",TblApplications[Mois prov (calc)],"&lt;="&amp;$E123)-SUMIFS(TblApplications[RAM IKS libérable (Go)],TblApplications[Cluster IKS source],$F123,TblApplications[Action],"À décommissionner",TblApplications[Mois lib (calc)],"&lt;="&amp;$E123)))))</f>
        <v>600</v>
      </c>
      <c r="Z123" s="14" t="n">
        <f aca="false">IF($D123&lt;&gt;1,"",IF($AI123=1,0,MAX($J123,ROUNDUP(MAX($X123/$H123,$Y123/$I123),0))))</f>
        <v>8</v>
      </c>
      <c r="AA123" s="84" t="n">
        <f aca="false">IF($D123&lt;&gt;1,"",IF(p_mode="Nœud",$Z123*$K123,$X123*IF($G123="IKS",p_iks_cpu,p_roks_cpu)+$Y123*IF($G123="IKS",p_iks_ram,p_roks_ram))*p_facteur)</f>
        <v>5888</v>
      </c>
      <c r="AB123" s="14" t="n">
        <f aca="false">IF($D123&lt;&gt;1,"",MAX($J123,ROUNDUP(MAX($L123/$H123,$M123/$I123),0)))</f>
        <v>6</v>
      </c>
      <c r="AC123" s="84" t="n">
        <f aca="false">IF($D123&lt;&gt;1,"",IF(p_mode="Nœud",$AB123*$K123,$L123*IF($G123="IKS",p_iks_cpu,p_roks_cpu)+$M123*IF($G123="IKS",p_iks_ram,p_roks_ram))*p_facteur)</f>
        <v>4416</v>
      </c>
      <c r="AD123" s="14" t="n">
        <f aca="false">IF($D123&lt;&gt;1,"",IF(AND($G123="IKS",$AI123&lt;&gt;1,OR($L123-$P123&lt;$N123,$M123-$Q123&lt;$O123)),1,0))</f>
        <v>0</v>
      </c>
      <c r="AE123" s="14" t="n">
        <f aca="false">IF($D123&lt;&gt;1,"",IF(AND($G123="ROKS",$T123&gt;p_maxworkers),1,0))</f>
        <v>0</v>
      </c>
      <c r="AF123" s="14" t="str">
        <f aca="false">IF($D123&lt;&gt;1,"",IF(INDEX(TblClusters[Environnement],$B123)="","(vide)",INDEX(TblClusters[Environnement],$B123)))</f>
        <v>NPRD</v>
      </c>
      <c r="AG123" s="14" t="n">
        <f aca="false">IF($D123&lt;&gt;1,"",$R123+p_poidsram*$S123)</f>
        <v>181</v>
      </c>
      <c r="AH123" s="14" t="n">
        <f aca="false">IF($D123&lt;&gt;1,"",IFERROR($W123/$AG123,0))</f>
        <v>32.5303867403315</v>
      </c>
      <c r="AI123" s="14" t="n">
        <f aca="false">IF($D123&lt;&gt;1,"",IF(AND($G123="IKS",ISNUMBER(INDEX(TblClusters[Fermeture retenue],$B123))),IF($E123&gt;=INDEX(TblClusters[Fermeture retenue],$B123),1,0),0))</f>
        <v>0</v>
      </c>
    </row>
    <row r="124" customFormat="false" ht="15" hidden="false" customHeight="false" outlineLevel="0" collapsed="false">
      <c r="A124" s="14" t="n">
        <v>119</v>
      </c>
      <c r="B124" s="14" t="n">
        <f aca="false">INT(($A124-1)/36)+1</f>
        <v>4</v>
      </c>
      <c r="C124" s="14" t="n">
        <f aca="false">MOD($A124-1,36)+1</f>
        <v>11</v>
      </c>
      <c r="D124" s="14" t="n">
        <f aca="false">IF($C124&gt;p_horizon,0,IFERROR(IF(AND(INDEX(TblClusters[Cluster],$B124)&lt;&gt;"",ISNUMBER(INDEX(TblClusters[CPU initial (vCPU)],$B124)),ISNUMBER(INDEX(TblClusters[CPU min (vCPU)],$B124)),OR(INDEX(TblClusters[Plateforme],$B124)="IKS",INDEX(TblClusters[Plateforme],$B124)="ROKS")),1,0),0))</f>
        <v>1</v>
      </c>
      <c r="E124" s="83" t="n">
        <f aca="false">IF($D124=1,EDATE(p_debut,$C124-1),"")</f>
        <v>46600</v>
      </c>
      <c r="F124" s="14" t="str">
        <f aca="false">IF($D124=1,INDEX(TblClusters[Cluster],$B124),"")</f>
        <v>ROKS-NPR-01</v>
      </c>
      <c r="G124" s="14" t="str">
        <f aca="false">IF($D124=1,INDEX(TblClusters[Plateforme],$B124),"")</f>
        <v>ROKS</v>
      </c>
      <c r="H124" s="14" t="n">
        <f aca="false">IF($D124=1,INDEX(TblClusters[vCPU par nœud],$B124),"")</f>
        <v>16</v>
      </c>
      <c r="I124" s="14" t="n">
        <f aca="false">IF($D124=1,INDEX(TblClusters[RAM par nœud (Go)],$B124),"")</f>
        <v>80</v>
      </c>
      <c r="J124" s="14" t="n">
        <f aca="false">IF($D124=1,INDEX(TblClusters[Workers min],$B124),"")</f>
        <v>6</v>
      </c>
      <c r="K124" s="84" t="n">
        <f aca="false">IF($D124=1,INDEX(TblClusters[Tarif par nœud],$B124),"")</f>
        <v>736</v>
      </c>
      <c r="L124" s="14" t="n">
        <f aca="false">IF($D124=1,INDEX(TblClusters[CPU initial (vCPU)],$B124),"")</f>
        <v>96</v>
      </c>
      <c r="M124" s="14" t="n">
        <f aca="false">IF($D124=1,INDEX(TblClusters[RAM initiale (Go)],$B124),"")</f>
        <v>480</v>
      </c>
      <c r="N124" s="14" t="n">
        <f aca="false">IF($D124=1,INDEX(TblClusters[CPU min (vCPU)],$B124),"")</f>
        <v>96</v>
      </c>
      <c r="O124" s="14" t="n">
        <f aca="false">IF($D124=1,INDEX(TblClusters[RAM min (Go)],$B124),"")</f>
        <v>480</v>
      </c>
      <c r="P124" s="14" t="n">
        <f aca="false">IF($D124&lt;&gt;1,"",IF($G124="ROKS",SUMIFS(TblApplications[Besoin ROKS CPU (vCPU)],TblApplications[Cluster ROKS cible],$F124,TblApplications[Action],"À migrer",TblApplications[Déjà incluse ROKS],"Non",TblApplications[Mois prov (calc)],"&lt;="&amp;$E124),SUMIFS(TblApplications[CPU IKS libérable (vCPU)],TblApplications[Cluster IKS source],$F124,TblApplications[Mois lib (calc)],"&lt;="&amp;$E124)))</f>
        <v>25</v>
      </c>
      <c r="Q124" s="14" t="n">
        <f aca="false">IF($D124&lt;&gt;1,"",IF($G124="ROKS",SUMIFS(TblApplications[Besoin ROKS RAM (Go)],TblApplications[Cluster ROKS cible],$F124,TblApplications[Action],"À migrer",TblApplications[Déjà incluse ROKS],"Non",TblApplications[Mois prov (calc)],"&lt;="&amp;$E124),SUMIFS(TblApplications[RAM IKS libérable (Go)],TblApplications[Cluster IKS source],$F124,TblApplications[Mois lib (calc)],"&lt;="&amp;$E124)))</f>
        <v>120</v>
      </c>
      <c r="R124" s="14" t="n">
        <f aca="false">IF($D124&lt;&gt;1,"",IF($G124="ROKS",$L124+$P124,IF($AI124=1,0,MAX($N124,$L124-$P124))))</f>
        <v>121</v>
      </c>
      <c r="S124" s="14" t="n">
        <f aca="false">IF($D124&lt;&gt;1,"",IF($G124="ROKS",$M124+$Q124,IF($AI124=1,0,MAX($O124,$M124-$Q124))))</f>
        <v>600</v>
      </c>
      <c r="T124" s="14" t="n">
        <f aca="false">IF($D124&lt;&gt;1,"",IF($AI124=1,0,MAX($J124,ROUNDUP(MAX($R124/$H124,$S124/$I124),0))))</f>
        <v>8</v>
      </c>
      <c r="U124" s="14" t="n">
        <f aca="false">IF($D124&lt;&gt;1,"",IF(p_mode="Nœud",$T124*$H124,$R124))</f>
        <v>128</v>
      </c>
      <c r="V124" s="14" t="n">
        <f aca="false">IF($D124&lt;&gt;1,"",IF(p_mode="Nœud",$T124*$I124,$S124))</f>
        <v>640</v>
      </c>
      <c r="W124" s="84" t="n">
        <f aca="false">IF($D124&lt;&gt;1,"",IF(p_mode="Nœud",$T124*$K124,$R124*IF($G124="IKS",p_iks_cpu,p_roks_cpu)+$S124*IF($G124="IKS",p_iks_ram,p_roks_ram))*p_facteur)</f>
        <v>5888</v>
      </c>
      <c r="X124" s="14" t="n">
        <f aca="false">IF($D124&lt;&gt;1,"",IF($G124="ROKS",$R124,IF($AI124=1,0,MAX($N124,$L124-SUMIFS(TblApplications[CPU IKS libérable (vCPU)],TblApplications[Cluster IKS source],$F124,TblApplications[Action],"À migrer",TblApplications[Mois prov (calc)],"&lt;="&amp;$E124)-SUMIFS(TblApplications[CPU IKS libérable (vCPU)],TblApplications[Cluster IKS source],$F124,TblApplications[Action],"À décommissionner",TblApplications[Mois lib (calc)],"&lt;="&amp;$E124)))))</f>
        <v>121</v>
      </c>
      <c r="Y124" s="14" t="n">
        <f aca="false">IF($D124&lt;&gt;1,"",IF($G124="ROKS",$S124,IF($AI124=1,0,MAX($O124,$M124-SUMIFS(TblApplications[RAM IKS libérable (Go)],TblApplications[Cluster IKS source],$F124,TblApplications[Action],"À migrer",TblApplications[Mois prov (calc)],"&lt;="&amp;$E124)-SUMIFS(TblApplications[RAM IKS libérable (Go)],TblApplications[Cluster IKS source],$F124,TblApplications[Action],"À décommissionner",TblApplications[Mois lib (calc)],"&lt;="&amp;$E124)))))</f>
        <v>600</v>
      </c>
      <c r="Z124" s="14" t="n">
        <f aca="false">IF($D124&lt;&gt;1,"",IF($AI124=1,0,MAX($J124,ROUNDUP(MAX($X124/$H124,$Y124/$I124),0))))</f>
        <v>8</v>
      </c>
      <c r="AA124" s="84" t="n">
        <f aca="false">IF($D124&lt;&gt;1,"",IF(p_mode="Nœud",$Z124*$K124,$X124*IF($G124="IKS",p_iks_cpu,p_roks_cpu)+$Y124*IF($G124="IKS",p_iks_ram,p_roks_ram))*p_facteur)</f>
        <v>5888</v>
      </c>
      <c r="AB124" s="14" t="n">
        <f aca="false">IF($D124&lt;&gt;1,"",MAX($J124,ROUNDUP(MAX($L124/$H124,$M124/$I124),0)))</f>
        <v>6</v>
      </c>
      <c r="AC124" s="84" t="n">
        <f aca="false">IF($D124&lt;&gt;1,"",IF(p_mode="Nœud",$AB124*$K124,$L124*IF($G124="IKS",p_iks_cpu,p_roks_cpu)+$M124*IF($G124="IKS",p_iks_ram,p_roks_ram))*p_facteur)</f>
        <v>4416</v>
      </c>
      <c r="AD124" s="14" t="n">
        <f aca="false">IF($D124&lt;&gt;1,"",IF(AND($G124="IKS",$AI124&lt;&gt;1,OR($L124-$P124&lt;$N124,$M124-$Q124&lt;$O124)),1,0))</f>
        <v>0</v>
      </c>
      <c r="AE124" s="14" t="n">
        <f aca="false">IF($D124&lt;&gt;1,"",IF(AND($G124="ROKS",$T124&gt;p_maxworkers),1,0))</f>
        <v>0</v>
      </c>
      <c r="AF124" s="14" t="str">
        <f aca="false">IF($D124&lt;&gt;1,"",IF(INDEX(TblClusters[Environnement],$B124)="","(vide)",INDEX(TblClusters[Environnement],$B124)))</f>
        <v>NPRD</v>
      </c>
      <c r="AG124" s="14" t="n">
        <f aca="false">IF($D124&lt;&gt;1,"",$R124+p_poidsram*$S124)</f>
        <v>181</v>
      </c>
      <c r="AH124" s="14" t="n">
        <f aca="false">IF($D124&lt;&gt;1,"",IFERROR($W124/$AG124,0))</f>
        <v>32.5303867403315</v>
      </c>
      <c r="AI124" s="14" t="n">
        <f aca="false">IF($D124&lt;&gt;1,"",IF(AND($G124="IKS",ISNUMBER(INDEX(TblClusters[Fermeture retenue],$B124))),IF($E124&gt;=INDEX(TblClusters[Fermeture retenue],$B124),1,0),0))</f>
        <v>0</v>
      </c>
    </row>
    <row r="125" customFormat="false" ht="15" hidden="false" customHeight="false" outlineLevel="0" collapsed="false">
      <c r="A125" s="14" t="n">
        <v>120</v>
      </c>
      <c r="B125" s="14" t="n">
        <f aca="false">INT(($A125-1)/36)+1</f>
        <v>4</v>
      </c>
      <c r="C125" s="14" t="n">
        <f aca="false">MOD($A125-1,36)+1</f>
        <v>12</v>
      </c>
      <c r="D125" s="14" t="n">
        <f aca="false">IF($C125&gt;p_horizon,0,IFERROR(IF(AND(INDEX(TblClusters[Cluster],$B125)&lt;&gt;"",ISNUMBER(INDEX(TblClusters[CPU initial (vCPU)],$B125)),ISNUMBER(INDEX(TblClusters[CPU min (vCPU)],$B125)),OR(INDEX(TblClusters[Plateforme],$B125)="IKS",INDEX(TblClusters[Plateforme],$B125)="ROKS")),1,0),0))</f>
        <v>1</v>
      </c>
      <c r="E125" s="83" t="n">
        <f aca="false">IF($D125=1,EDATE(p_debut,$C125-1),"")</f>
        <v>46631</v>
      </c>
      <c r="F125" s="14" t="str">
        <f aca="false">IF($D125=1,INDEX(TblClusters[Cluster],$B125),"")</f>
        <v>ROKS-NPR-01</v>
      </c>
      <c r="G125" s="14" t="str">
        <f aca="false">IF($D125=1,INDEX(TblClusters[Plateforme],$B125),"")</f>
        <v>ROKS</v>
      </c>
      <c r="H125" s="14" t="n">
        <f aca="false">IF($D125=1,INDEX(TblClusters[vCPU par nœud],$B125),"")</f>
        <v>16</v>
      </c>
      <c r="I125" s="14" t="n">
        <f aca="false">IF($D125=1,INDEX(TblClusters[RAM par nœud (Go)],$B125),"")</f>
        <v>80</v>
      </c>
      <c r="J125" s="14" t="n">
        <f aca="false">IF($D125=1,INDEX(TblClusters[Workers min],$B125),"")</f>
        <v>6</v>
      </c>
      <c r="K125" s="84" t="n">
        <f aca="false">IF($D125=1,INDEX(TblClusters[Tarif par nœud],$B125),"")</f>
        <v>736</v>
      </c>
      <c r="L125" s="14" t="n">
        <f aca="false">IF($D125=1,INDEX(TblClusters[CPU initial (vCPU)],$B125),"")</f>
        <v>96</v>
      </c>
      <c r="M125" s="14" t="n">
        <f aca="false">IF($D125=1,INDEX(TblClusters[RAM initiale (Go)],$B125),"")</f>
        <v>480</v>
      </c>
      <c r="N125" s="14" t="n">
        <f aca="false">IF($D125=1,INDEX(TblClusters[CPU min (vCPU)],$B125),"")</f>
        <v>96</v>
      </c>
      <c r="O125" s="14" t="n">
        <f aca="false">IF($D125=1,INDEX(TblClusters[RAM min (Go)],$B125),"")</f>
        <v>480</v>
      </c>
      <c r="P125" s="14" t="n">
        <f aca="false">IF($D125&lt;&gt;1,"",IF($G125="ROKS",SUMIFS(TblApplications[Besoin ROKS CPU (vCPU)],TblApplications[Cluster ROKS cible],$F125,TblApplications[Action],"À migrer",TblApplications[Déjà incluse ROKS],"Non",TblApplications[Mois prov (calc)],"&lt;="&amp;$E125),SUMIFS(TblApplications[CPU IKS libérable (vCPU)],TblApplications[Cluster IKS source],$F125,TblApplications[Mois lib (calc)],"&lt;="&amp;$E125)))</f>
        <v>41</v>
      </c>
      <c r="Q125" s="14" t="n">
        <f aca="false">IF($D125&lt;&gt;1,"",IF($G125="ROKS",SUMIFS(TblApplications[Besoin ROKS RAM (Go)],TblApplications[Cluster ROKS cible],$F125,TblApplications[Action],"À migrer",TblApplications[Déjà incluse ROKS],"Non",TblApplications[Mois prov (calc)],"&lt;="&amp;$E125),SUMIFS(TblApplications[RAM IKS libérable (Go)],TblApplications[Cluster IKS source],$F125,TblApplications[Mois lib (calc)],"&lt;="&amp;$E125)))</f>
        <v>198</v>
      </c>
      <c r="R125" s="14" t="n">
        <f aca="false">IF($D125&lt;&gt;1,"",IF($G125="ROKS",$L125+$P125,IF($AI125=1,0,MAX($N125,$L125-$P125))))</f>
        <v>137</v>
      </c>
      <c r="S125" s="14" t="n">
        <f aca="false">IF($D125&lt;&gt;1,"",IF($G125="ROKS",$M125+$Q125,IF($AI125=1,0,MAX($O125,$M125-$Q125))))</f>
        <v>678</v>
      </c>
      <c r="T125" s="14" t="n">
        <f aca="false">IF($D125&lt;&gt;1,"",IF($AI125=1,0,MAX($J125,ROUNDUP(MAX($R125/$H125,$S125/$I125),0))))</f>
        <v>9</v>
      </c>
      <c r="U125" s="14" t="n">
        <f aca="false">IF($D125&lt;&gt;1,"",IF(p_mode="Nœud",$T125*$H125,$R125))</f>
        <v>144</v>
      </c>
      <c r="V125" s="14" t="n">
        <f aca="false">IF($D125&lt;&gt;1,"",IF(p_mode="Nœud",$T125*$I125,$S125))</f>
        <v>720</v>
      </c>
      <c r="W125" s="84" t="n">
        <f aca="false">IF($D125&lt;&gt;1,"",IF(p_mode="Nœud",$T125*$K125,$R125*IF($G125="IKS",p_iks_cpu,p_roks_cpu)+$S125*IF($G125="IKS",p_iks_ram,p_roks_ram))*p_facteur)</f>
        <v>6624</v>
      </c>
      <c r="X125" s="14" t="n">
        <f aca="false">IF($D125&lt;&gt;1,"",IF($G125="ROKS",$R125,IF($AI125=1,0,MAX($N125,$L125-SUMIFS(TblApplications[CPU IKS libérable (vCPU)],TblApplications[Cluster IKS source],$F125,TblApplications[Action],"À migrer",TblApplications[Mois prov (calc)],"&lt;="&amp;$E125)-SUMIFS(TblApplications[CPU IKS libérable (vCPU)],TblApplications[Cluster IKS source],$F125,TblApplications[Action],"À décommissionner",TblApplications[Mois lib (calc)],"&lt;="&amp;$E125)))))</f>
        <v>137</v>
      </c>
      <c r="Y125" s="14" t="n">
        <f aca="false">IF($D125&lt;&gt;1,"",IF($G125="ROKS",$S125,IF($AI125=1,0,MAX($O125,$M125-SUMIFS(TblApplications[RAM IKS libérable (Go)],TblApplications[Cluster IKS source],$F125,TblApplications[Action],"À migrer",TblApplications[Mois prov (calc)],"&lt;="&amp;$E125)-SUMIFS(TblApplications[RAM IKS libérable (Go)],TblApplications[Cluster IKS source],$F125,TblApplications[Action],"À décommissionner",TblApplications[Mois lib (calc)],"&lt;="&amp;$E125)))))</f>
        <v>678</v>
      </c>
      <c r="Z125" s="14" t="n">
        <f aca="false">IF($D125&lt;&gt;1,"",IF($AI125=1,0,MAX($J125,ROUNDUP(MAX($X125/$H125,$Y125/$I125),0))))</f>
        <v>9</v>
      </c>
      <c r="AA125" s="84" t="n">
        <f aca="false">IF($D125&lt;&gt;1,"",IF(p_mode="Nœud",$Z125*$K125,$X125*IF($G125="IKS",p_iks_cpu,p_roks_cpu)+$Y125*IF($G125="IKS",p_iks_ram,p_roks_ram))*p_facteur)</f>
        <v>6624</v>
      </c>
      <c r="AB125" s="14" t="n">
        <f aca="false">IF($D125&lt;&gt;1,"",MAX($J125,ROUNDUP(MAX($L125/$H125,$M125/$I125),0)))</f>
        <v>6</v>
      </c>
      <c r="AC125" s="84" t="n">
        <f aca="false">IF($D125&lt;&gt;1,"",IF(p_mode="Nœud",$AB125*$K125,$L125*IF($G125="IKS",p_iks_cpu,p_roks_cpu)+$M125*IF($G125="IKS",p_iks_ram,p_roks_ram))*p_facteur)</f>
        <v>4416</v>
      </c>
      <c r="AD125" s="14" t="n">
        <f aca="false">IF($D125&lt;&gt;1,"",IF(AND($G125="IKS",$AI125&lt;&gt;1,OR($L125-$P125&lt;$N125,$M125-$Q125&lt;$O125)),1,0))</f>
        <v>0</v>
      </c>
      <c r="AE125" s="14" t="n">
        <f aca="false">IF($D125&lt;&gt;1,"",IF(AND($G125="ROKS",$T125&gt;p_maxworkers),1,0))</f>
        <v>0</v>
      </c>
      <c r="AF125" s="14" t="str">
        <f aca="false">IF($D125&lt;&gt;1,"",IF(INDEX(TblClusters[Environnement],$B125)="","(vide)",INDEX(TblClusters[Environnement],$B125)))</f>
        <v>NPRD</v>
      </c>
      <c r="AG125" s="14" t="n">
        <f aca="false">IF($D125&lt;&gt;1,"",$R125+p_poidsram*$S125)</f>
        <v>204.8</v>
      </c>
      <c r="AH125" s="14" t="n">
        <f aca="false">IF($D125&lt;&gt;1,"",IFERROR($W125/$AG125,0))</f>
        <v>32.34375</v>
      </c>
      <c r="AI125" s="14" t="n">
        <f aca="false">IF($D125&lt;&gt;1,"",IF(AND($G125="IKS",ISNUMBER(INDEX(TblClusters[Fermeture retenue],$B125))),IF($E125&gt;=INDEX(TblClusters[Fermeture retenue],$B125),1,0),0))</f>
        <v>0</v>
      </c>
    </row>
    <row r="126" customFormat="false" ht="15" hidden="false" customHeight="false" outlineLevel="0" collapsed="false">
      <c r="A126" s="14" t="n">
        <v>121</v>
      </c>
      <c r="B126" s="14" t="n">
        <f aca="false">INT(($A126-1)/36)+1</f>
        <v>4</v>
      </c>
      <c r="C126" s="14" t="n">
        <f aca="false">MOD($A126-1,36)+1</f>
        <v>13</v>
      </c>
      <c r="D126" s="14" t="n">
        <f aca="false">IF($C126&gt;p_horizon,0,IFERROR(IF(AND(INDEX(TblClusters[Cluster],$B126)&lt;&gt;"",ISNUMBER(INDEX(TblClusters[CPU initial (vCPU)],$B126)),ISNUMBER(INDEX(TblClusters[CPU min (vCPU)],$B126)),OR(INDEX(TblClusters[Plateforme],$B126)="IKS",INDEX(TblClusters[Plateforme],$B126)="ROKS")),1,0),0))</f>
        <v>1</v>
      </c>
      <c r="E126" s="83" t="n">
        <f aca="false">IF($D126=1,EDATE(p_debut,$C126-1),"")</f>
        <v>46661</v>
      </c>
      <c r="F126" s="14" t="str">
        <f aca="false">IF($D126=1,INDEX(TblClusters[Cluster],$B126),"")</f>
        <v>ROKS-NPR-01</v>
      </c>
      <c r="G126" s="14" t="str">
        <f aca="false">IF($D126=1,INDEX(TblClusters[Plateforme],$B126),"")</f>
        <v>ROKS</v>
      </c>
      <c r="H126" s="14" t="n">
        <f aca="false">IF($D126=1,INDEX(TblClusters[vCPU par nœud],$B126),"")</f>
        <v>16</v>
      </c>
      <c r="I126" s="14" t="n">
        <f aca="false">IF($D126=1,INDEX(TblClusters[RAM par nœud (Go)],$B126),"")</f>
        <v>80</v>
      </c>
      <c r="J126" s="14" t="n">
        <f aca="false">IF($D126=1,INDEX(TblClusters[Workers min],$B126),"")</f>
        <v>6</v>
      </c>
      <c r="K126" s="84" t="n">
        <f aca="false">IF($D126=1,INDEX(TblClusters[Tarif par nœud],$B126),"")</f>
        <v>736</v>
      </c>
      <c r="L126" s="14" t="n">
        <f aca="false">IF($D126=1,INDEX(TblClusters[CPU initial (vCPU)],$B126),"")</f>
        <v>96</v>
      </c>
      <c r="M126" s="14" t="n">
        <f aca="false">IF($D126=1,INDEX(TblClusters[RAM initiale (Go)],$B126),"")</f>
        <v>480</v>
      </c>
      <c r="N126" s="14" t="n">
        <f aca="false">IF($D126=1,INDEX(TblClusters[CPU min (vCPU)],$B126),"")</f>
        <v>96</v>
      </c>
      <c r="O126" s="14" t="n">
        <f aca="false">IF($D126=1,INDEX(TblClusters[RAM min (Go)],$B126),"")</f>
        <v>480</v>
      </c>
      <c r="P126" s="14" t="n">
        <f aca="false">IF($D126&lt;&gt;1,"",IF($G126="ROKS",SUMIFS(TblApplications[Besoin ROKS CPU (vCPU)],TblApplications[Cluster ROKS cible],$F126,TblApplications[Action],"À migrer",TblApplications[Déjà incluse ROKS],"Non",TblApplications[Mois prov (calc)],"&lt;="&amp;$E126),SUMIFS(TblApplications[CPU IKS libérable (vCPU)],TblApplications[Cluster IKS source],$F126,TblApplications[Mois lib (calc)],"&lt;="&amp;$E126)))</f>
        <v>53</v>
      </c>
      <c r="Q126" s="14" t="n">
        <f aca="false">IF($D126&lt;&gt;1,"",IF($G126="ROKS",SUMIFS(TblApplications[Besoin ROKS RAM (Go)],TblApplications[Cluster ROKS cible],$F126,TblApplications[Action],"À migrer",TblApplications[Déjà incluse ROKS],"Non",TblApplications[Mois prov (calc)],"&lt;="&amp;$E126),SUMIFS(TblApplications[RAM IKS libérable (Go)],TblApplications[Cluster IKS source],$F126,TblApplications[Mois lib (calc)],"&lt;="&amp;$E126)))</f>
        <v>256</v>
      </c>
      <c r="R126" s="14" t="n">
        <f aca="false">IF($D126&lt;&gt;1,"",IF($G126="ROKS",$L126+$P126,IF($AI126=1,0,MAX($N126,$L126-$P126))))</f>
        <v>149</v>
      </c>
      <c r="S126" s="14" t="n">
        <f aca="false">IF($D126&lt;&gt;1,"",IF($G126="ROKS",$M126+$Q126,IF($AI126=1,0,MAX($O126,$M126-$Q126))))</f>
        <v>736</v>
      </c>
      <c r="T126" s="14" t="n">
        <f aca="false">IF($D126&lt;&gt;1,"",IF($AI126=1,0,MAX($J126,ROUNDUP(MAX($R126/$H126,$S126/$I126),0))))</f>
        <v>10</v>
      </c>
      <c r="U126" s="14" t="n">
        <f aca="false">IF($D126&lt;&gt;1,"",IF(p_mode="Nœud",$T126*$H126,$R126))</f>
        <v>160</v>
      </c>
      <c r="V126" s="14" t="n">
        <f aca="false">IF($D126&lt;&gt;1,"",IF(p_mode="Nœud",$T126*$I126,$S126))</f>
        <v>800</v>
      </c>
      <c r="W126" s="84" t="n">
        <f aca="false">IF($D126&lt;&gt;1,"",IF(p_mode="Nœud",$T126*$K126,$R126*IF($G126="IKS",p_iks_cpu,p_roks_cpu)+$S126*IF($G126="IKS",p_iks_ram,p_roks_ram))*p_facteur)</f>
        <v>7360</v>
      </c>
      <c r="X126" s="14" t="n">
        <f aca="false">IF($D126&lt;&gt;1,"",IF($G126="ROKS",$R126,IF($AI126=1,0,MAX($N126,$L126-SUMIFS(TblApplications[CPU IKS libérable (vCPU)],TblApplications[Cluster IKS source],$F126,TblApplications[Action],"À migrer",TblApplications[Mois prov (calc)],"&lt;="&amp;$E126)-SUMIFS(TblApplications[CPU IKS libérable (vCPU)],TblApplications[Cluster IKS source],$F126,TblApplications[Action],"À décommissionner",TblApplications[Mois lib (calc)],"&lt;="&amp;$E126)))))</f>
        <v>149</v>
      </c>
      <c r="Y126" s="14" t="n">
        <f aca="false">IF($D126&lt;&gt;1,"",IF($G126="ROKS",$S126,IF($AI126=1,0,MAX($O126,$M126-SUMIFS(TblApplications[RAM IKS libérable (Go)],TblApplications[Cluster IKS source],$F126,TblApplications[Action],"À migrer",TblApplications[Mois prov (calc)],"&lt;="&amp;$E126)-SUMIFS(TblApplications[RAM IKS libérable (Go)],TblApplications[Cluster IKS source],$F126,TblApplications[Action],"À décommissionner",TblApplications[Mois lib (calc)],"&lt;="&amp;$E126)))))</f>
        <v>736</v>
      </c>
      <c r="Z126" s="14" t="n">
        <f aca="false">IF($D126&lt;&gt;1,"",IF($AI126=1,0,MAX($J126,ROUNDUP(MAX($X126/$H126,$Y126/$I126),0))))</f>
        <v>10</v>
      </c>
      <c r="AA126" s="84" t="n">
        <f aca="false">IF($D126&lt;&gt;1,"",IF(p_mode="Nœud",$Z126*$K126,$X126*IF($G126="IKS",p_iks_cpu,p_roks_cpu)+$Y126*IF($G126="IKS",p_iks_ram,p_roks_ram))*p_facteur)</f>
        <v>7360</v>
      </c>
      <c r="AB126" s="14" t="n">
        <f aca="false">IF($D126&lt;&gt;1,"",MAX($J126,ROUNDUP(MAX($L126/$H126,$M126/$I126),0)))</f>
        <v>6</v>
      </c>
      <c r="AC126" s="84" t="n">
        <f aca="false">IF($D126&lt;&gt;1,"",IF(p_mode="Nœud",$AB126*$K126,$L126*IF($G126="IKS",p_iks_cpu,p_roks_cpu)+$M126*IF($G126="IKS",p_iks_ram,p_roks_ram))*p_facteur)</f>
        <v>4416</v>
      </c>
      <c r="AD126" s="14" t="n">
        <f aca="false">IF($D126&lt;&gt;1,"",IF(AND($G126="IKS",$AI126&lt;&gt;1,OR($L126-$P126&lt;$N126,$M126-$Q126&lt;$O126)),1,0))</f>
        <v>0</v>
      </c>
      <c r="AE126" s="14" t="n">
        <f aca="false">IF($D126&lt;&gt;1,"",IF(AND($G126="ROKS",$T126&gt;p_maxworkers),1,0))</f>
        <v>0</v>
      </c>
      <c r="AF126" s="14" t="str">
        <f aca="false">IF($D126&lt;&gt;1,"",IF(INDEX(TblClusters[Environnement],$B126)="","(vide)",INDEX(TblClusters[Environnement],$B126)))</f>
        <v>NPRD</v>
      </c>
      <c r="AG126" s="14" t="n">
        <f aca="false">IF($D126&lt;&gt;1,"",$R126+p_poidsram*$S126)</f>
        <v>222.6</v>
      </c>
      <c r="AH126" s="14" t="n">
        <f aca="false">IF($D126&lt;&gt;1,"",IFERROR($W126/$AG126,0))</f>
        <v>33.0637915543576</v>
      </c>
      <c r="AI126" s="14" t="n">
        <f aca="false">IF($D126&lt;&gt;1,"",IF(AND($G126="IKS",ISNUMBER(INDEX(TblClusters[Fermeture retenue],$B126))),IF($E126&gt;=INDEX(TblClusters[Fermeture retenue],$B126),1,0),0))</f>
        <v>0</v>
      </c>
    </row>
    <row r="127" customFormat="false" ht="15" hidden="false" customHeight="false" outlineLevel="0" collapsed="false">
      <c r="A127" s="14" t="n">
        <v>122</v>
      </c>
      <c r="B127" s="14" t="n">
        <f aca="false">INT(($A127-1)/36)+1</f>
        <v>4</v>
      </c>
      <c r="C127" s="14" t="n">
        <f aca="false">MOD($A127-1,36)+1</f>
        <v>14</v>
      </c>
      <c r="D127" s="14" t="n">
        <f aca="false">IF($C127&gt;p_horizon,0,IFERROR(IF(AND(INDEX(TblClusters[Cluster],$B127)&lt;&gt;"",ISNUMBER(INDEX(TblClusters[CPU initial (vCPU)],$B127)),ISNUMBER(INDEX(TblClusters[CPU min (vCPU)],$B127)),OR(INDEX(TblClusters[Plateforme],$B127)="IKS",INDEX(TblClusters[Plateforme],$B127)="ROKS")),1,0),0))</f>
        <v>1</v>
      </c>
      <c r="E127" s="83" t="n">
        <f aca="false">IF($D127=1,EDATE(p_debut,$C127-1),"")</f>
        <v>46692</v>
      </c>
      <c r="F127" s="14" t="str">
        <f aca="false">IF($D127=1,INDEX(TblClusters[Cluster],$B127),"")</f>
        <v>ROKS-NPR-01</v>
      </c>
      <c r="G127" s="14" t="str">
        <f aca="false">IF($D127=1,INDEX(TblClusters[Plateforme],$B127),"")</f>
        <v>ROKS</v>
      </c>
      <c r="H127" s="14" t="n">
        <f aca="false">IF($D127=1,INDEX(TblClusters[vCPU par nœud],$B127),"")</f>
        <v>16</v>
      </c>
      <c r="I127" s="14" t="n">
        <f aca="false">IF($D127=1,INDEX(TblClusters[RAM par nœud (Go)],$B127),"")</f>
        <v>80</v>
      </c>
      <c r="J127" s="14" t="n">
        <f aca="false">IF($D127=1,INDEX(TblClusters[Workers min],$B127),"")</f>
        <v>6</v>
      </c>
      <c r="K127" s="84" t="n">
        <f aca="false">IF($D127=1,INDEX(TblClusters[Tarif par nœud],$B127),"")</f>
        <v>736</v>
      </c>
      <c r="L127" s="14" t="n">
        <f aca="false">IF($D127=1,INDEX(TblClusters[CPU initial (vCPU)],$B127),"")</f>
        <v>96</v>
      </c>
      <c r="M127" s="14" t="n">
        <f aca="false">IF($D127=1,INDEX(TblClusters[RAM initiale (Go)],$B127),"")</f>
        <v>480</v>
      </c>
      <c r="N127" s="14" t="n">
        <f aca="false">IF($D127=1,INDEX(TblClusters[CPU min (vCPU)],$B127),"")</f>
        <v>96</v>
      </c>
      <c r="O127" s="14" t="n">
        <f aca="false">IF($D127=1,INDEX(TblClusters[RAM min (Go)],$B127),"")</f>
        <v>480</v>
      </c>
      <c r="P127" s="14" t="n">
        <f aca="false">IF($D127&lt;&gt;1,"",IF($G127="ROKS",SUMIFS(TblApplications[Besoin ROKS CPU (vCPU)],TblApplications[Cluster ROKS cible],$F127,TblApplications[Action],"À migrer",TblApplications[Déjà incluse ROKS],"Non",TblApplications[Mois prov (calc)],"&lt;="&amp;$E127),SUMIFS(TblApplications[CPU IKS libérable (vCPU)],TblApplications[Cluster IKS source],$F127,TblApplications[Mois lib (calc)],"&lt;="&amp;$E127)))</f>
        <v>53</v>
      </c>
      <c r="Q127" s="14" t="n">
        <f aca="false">IF($D127&lt;&gt;1,"",IF($G127="ROKS",SUMIFS(TblApplications[Besoin ROKS RAM (Go)],TblApplications[Cluster ROKS cible],$F127,TblApplications[Action],"À migrer",TblApplications[Déjà incluse ROKS],"Non",TblApplications[Mois prov (calc)],"&lt;="&amp;$E127),SUMIFS(TblApplications[RAM IKS libérable (Go)],TblApplications[Cluster IKS source],$F127,TblApplications[Mois lib (calc)],"&lt;="&amp;$E127)))</f>
        <v>256</v>
      </c>
      <c r="R127" s="14" t="n">
        <f aca="false">IF($D127&lt;&gt;1,"",IF($G127="ROKS",$L127+$P127,IF($AI127=1,0,MAX($N127,$L127-$P127))))</f>
        <v>149</v>
      </c>
      <c r="S127" s="14" t="n">
        <f aca="false">IF($D127&lt;&gt;1,"",IF($G127="ROKS",$M127+$Q127,IF($AI127=1,0,MAX($O127,$M127-$Q127))))</f>
        <v>736</v>
      </c>
      <c r="T127" s="14" t="n">
        <f aca="false">IF($D127&lt;&gt;1,"",IF($AI127=1,0,MAX($J127,ROUNDUP(MAX($R127/$H127,$S127/$I127),0))))</f>
        <v>10</v>
      </c>
      <c r="U127" s="14" t="n">
        <f aca="false">IF($D127&lt;&gt;1,"",IF(p_mode="Nœud",$T127*$H127,$R127))</f>
        <v>160</v>
      </c>
      <c r="V127" s="14" t="n">
        <f aca="false">IF($D127&lt;&gt;1,"",IF(p_mode="Nœud",$T127*$I127,$S127))</f>
        <v>800</v>
      </c>
      <c r="W127" s="84" t="n">
        <f aca="false">IF($D127&lt;&gt;1,"",IF(p_mode="Nœud",$T127*$K127,$R127*IF($G127="IKS",p_iks_cpu,p_roks_cpu)+$S127*IF($G127="IKS",p_iks_ram,p_roks_ram))*p_facteur)</f>
        <v>7360</v>
      </c>
      <c r="X127" s="14" t="n">
        <f aca="false">IF($D127&lt;&gt;1,"",IF($G127="ROKS",$R127,IF($AI127=1,0,MAX($N127,$L127-SUMIFS(TblApplications[CPU IKS libérable (vCPU)],TblApplications[Cluster IKS source],$F127,TblApplications[Action],"À migrer",TblApplications[Mois prov (calc)],"&lt;="&amp;$E127)-SUMIFS(TblApplications[CPU IKS libérable (vCPU)],TblApplications[Cluster IKS source],$F127,TblApplications[Action],"À décommissionner",TblApplications[Mois lib (calc)],"&lt;="&amp;$E127)))))</f>
        <v>149</v>
      </c>
      <c r="Y127" s="14" t="n">
        <f aca="false">IF($D127&lt;&gt;1,"",IF($G127="ROKS",$S127,IF($AI127=1,0,MAX($O127,$M127-SUMIFS(TblApplications[RAM IKS libérable (Go)],TblApplications[Cluster IKS source],$F127,TblApplications[Action],"À migrer",TblApplications[Mois prov (calc)],"&lt;="&amp;$E127)-SUMIFS(TblApplications[RAM IKS libérable (Go)],TblApplications[Cluster IKS source],$F127,TblApplications[Action],"À décommissionner",TblApplications[Mois lib (calc)],"&lt;="&amp;$E127)))))</f>
        <v>736</v>
      </c>
      <c r="Z127" s="14" t="n">
        <f aca="false">IF($D127&lt;&gt;1,"",IF($AI127=1,0,MAX($J127,ROUNDUP(MAX($X127/$H127,$Y127/$I127),0))))</f>
        <v>10</v>
      </c>
      <c r="AA127" s="84" t="n">
        <f aca="false">IF($D127&lt;&gt;1,"",IF(p_mode="Nœud",$Z127*$K127,$X127*IF($G127="IKS",p_iks_cpu,p_roks_cpu)+$Y127*IF($G127="IKS",p_iks_ram,p_roks_ram))*p_facteur)</f>
        <v>7360</v>
      </c>
      <c r="AB127" s="14" t="n">
        <f aca="false">IF($D127&lt;&gt;1,"",MAX($J127,ROUNDUP(MAX($L127/$H127,$M127/$I127),0)))</f>
        <v>6</v>
      </c>
      <c r="AC127" s="84" t="n">
        <f aca="false">IF($D127&lt;&gt;1,"",IF(p_mode="Nœud",$AB127*$K127,$L127*IF($G127="IKS",p_iks_cpu,p_roks_cpu)+$M127*IF($G127="IKS",p_iks_ram,p_roks_ram))*p_facteur)</f>
        <v>4416</v>
      </c>
      <c r="AD127" s="14" t="n">
        <f aca="false">IF($D127&lt;&gt;1,"",IF(AND($G127="IKS",$AI127&lt;&gt;1,OR($L127-$P127&lt;$N127,$M127-$Q127&lt;$O127)),1,0))</f>
        <v>0</v>
      </c>
      <c r="AE127" s="14" t="n">
        <f aca="false">IF($D127&lt;&gt;1,"",IF(AND($G127="ROKS",$T127&gt;p_maxworkers),1,0))</f>
        <v>0</v>
      </c>
      <c r="AF127" s="14" t="str">
        <f aca="false">IF($D127&lt;&gt;1,"",IF(INDEX(TblClusters[Environnement],$B127)="","(vide)",INDEX(TblClusters[Environnement],$B127)))</f>
        <v>NPRD</v>
      </c>
      <c r="AG127" s="14" t="n">
        <f aca="false">IF($D127&lt;&gt;1,"",$R127+p_poidsram*$S127)</f>
        <v>222.6</v>
      </c>
      <c r="AH127" s="14" t="n">
        <f aca="false">IF($D127&lt;&gt;1,"",IFERROR($W127/$AG127,0))</f>
        <v>33.0637915543576</v>
      </c>
      <c r="AI127" s="14" t="n">
        <f aca="false">IF($D127&lt;&gt;1,"",IF(AND($G127="IKS",ISNUMBER(INDEX(TblClusters[Fermeture retenue],$B127))),IF($E127&gt;=INDEX(TblClusters[Fermeture retenue],$B127),1,0),0))</f>
        <v>0</v>
      </c>
    </row>
    <row r="128" customFormat="false" ht="15" hidden="false" customHeight="false" outlineLevel="0" collapsed="false">
      <c r="A128" s="14" t="n">
        <v>123</v>
      </c>
      <c r="B128" s="14" t="n">
        <f aca="false">INT(($A128-1)/36)+1</f>
        <v>4</v>
      </c>
      <c r="C128" s="14" t="n">
        <f aca="false">MOD($A128-1,36)+1</f>
        <v>15</v>
      </c>
      <c r="D128" s="14" t="n">
        <f aca="false">IF($C128&gt;p_horizon,0,IFERROR(IF(AND(INDEX(TblClusters[Cluster],$B128)&lt;&gt;"",ISNUMBER(INDEX(TblClusters[CPU initial (vCPU)],$B128)),ISNUMBER(INDEX(TblClusters[CPU min (vCPU)],$B128)),OR(INDEX(TblClusters[Plateforme],$B128)="IKS",INDEX(TblClusters[Plateforme],$B128)="ROKS")),1,0),0))</f>
        <v>1</v>
      </c>
      <c r="E128" s="83" t="n">
        <f aca="false">IF($D128=1,EDATE(p_debut,$C128-1),"")</f>
        <v>46722</v>
      </c>
      <c r="F128" s="14" t="str">
        <f aca="false">IF($D128=1,INDEX(TblClusters[Cluster],$B128),"")</f>
        <v>ROKS-NPR-01</v>
      </c>
      <c r="G128" s="14" t="str">
        <f aca="false">IF($D128=1,INDEX(TblClusters[Plateforme],$B128),"")</f>
        <v>ROKS</v>
      </c>
      <c r="H128" s="14" t="n">
        <f aca="false">IF($D128=1,INDEX(TblClusters[vCPU par nœud],$B128),"")</f>
        <v>16</v>
      </c>
      <c r="I128" s="14" t="n">
        <f aca="false">IF($D128=1,INDEX(TblClusters[RAM par nœud (Go)],$B128),"")</f>
        <v>80</v>
      </c>
      <c r="J128" s="14" t="n">
        <f aca="false">IF($D128=1,INDEX(TblClusters[Workers min],$B128),"")</f>
        <v>6</v>
      </c>
      <c r="K128" s="84" t="n">
        <f aca="false">IF($D128=1,INDEX(TblClusters[Tarif par nœud],$B128),"")</f>
        <v>736</v>
      </c>
      <c r="L128" s="14" t="n">
        <f aca="false">IF($D128=1,INDEX(TblClusters[CPU initial (vCPU)],$B128),"")</f>
        <v>96</v>
      </c>
      <c r="M128" s="14" t="n">
        <f aca="false">IF($D128=1,INDEX(TblClusters[RAM initiale (Go)],$B128),"")</f>
        <v>480</v>
      </c>
      <c r="N128" s="14" t="n">
        <f aca="false">IF($D128=1,INDEX(TblClusters[CPU min (vCPU)],$B128),"")</f>
        <v>96</v>
      </c>
      <c r="O128" s="14" t="n">
        <f aca="false">IF($D128=1,INDEX(TblClusters[RAM min (Go)],$B128),"")</f>
        <v>480</v>
      </c>
      <c r="P128" s="14" t="n">
        <f aca="false">IF($D128&lt;&gt;1,"",IF($G128="ROKS",SUMIFS(TblApplications[Besoin ROKS CPU (vCPU)],TblApplications[Cluster ROKS cible],$F128,TblApplications[Action],"À migrer",TblApplications[Déjà incluse ROKS],"Non",TblApplications[Mois prov (calc)],"&lt;="&amp;$E128),SUMIFS(TblApplications[CPU IKS libérable (vCPU)],TblApplications[Cluster IKS source],$F128,TblApplications[Mois lib (calc)],"&lt;="&amp;$E128)))</f>
        <v>53</v>
      </c>
      <c r="Q128" s="14" t="n">
        <f aca="false">IF($D128&lt;&gt;1,"",IF($G128="ROKS",SUMIFS(TblApplications[Besoin ROKS RAM (Go)],TblApplications[Cluster ROKS cible],$F128,TblApplications[Action],"À migrer",TblApplications[Déjà incluse ROKS],"Non",TblApplications[Mois prov (calc)],"&lt;="&amp;$E128),SUMIFS(TblApplications[RAM IKS libérable (Go)],TblApplications[Cluster IKS source],$F128,TblApplications[Mois lib (calc)],"&lt;="&amp;$E128)))</f>
        <v>256</v>
      </c>
      <c r="R128" s="14" t="n">
        <f aca="false">IF($D128&lt;&gt;1,"",IF($G128="ROKS",$L128+$P128,IF($AI128=1,0,MAX($N128,$L128-$P128))))</f>
        <v>149</v>
      </c>
      <c r="S128" s="14" t="n">
        <f aca="false">IF($D128&lt;&gt;1,"",IF($G128="ROKS",$M128+$Q128,IF($AI128=1,0,MAX($O128,$M128-$Q128))))</f>
        <v>736</v>
      </c>
      <c r="T128" s="14" t="n">
        <f aca="false">IF($D128&lt;&gt;1,"",IF($AI128=1,0,MAX($J128,ROUNDUP(MAX($R128/$H128,$S128/$I128),0))))</f>
        <v>10</v>
      </c>
      <c r="U128" s="14" t="n">
        <f aca="false">IF($D128&lt;&gt;1,"",IF(p_mode="Nœud",$T128*$H128,$R128))</f>
        <v>160</v>
      </c>
      <c r="V128" s="14" t="n">
        <f aca="false">IF($D128&lt;&gt;1,"",IF(p_mode="Nœud",$T128*$I128,$S128))</f>
        <v>800</v>
      </c>
      <c r="W128" s="84" t="n">
        <f aca="false">IF($D128&lt;&gt;1,"",IF(p_mode="Nœud",$T128*$K128,$R128*IF($G128="IKS",p_iks_cpu,p_roks_cpu)+$S128*IF($G128="IKS",p_iks_ram,p_roks_ram))*p_facteur)</f>
        <v>7360</v>
      </c>
      <c r="X128" s="14" t="n">
        <f aca="false">IF($D128&lt;&gt;1,"",IF($G128="ROKS",$R128,IF($AI128=1,0,MAX($N128,$L128-SUMIFS(TblApplications[CPU IKS libérable (vCPU)],TblApplications[Cluster IKS source],$F128,TblApplications[Action],"À migrer",TblApplications[Mois prov (calc)],"&lt;="&amp;$E128)-SUMIFS(TblApplications[CPU IKS libérable (vCPU)],TblApplications[Cluster IKS source],$F128,TblApplications[Action],"À décommissionner",TblApplications[Mois lib (calc)],"&lt;="&amp;$E128)))))</f>
        <v>149</v>
      </c>
      <c r="Y128" s="14" t="n">
        <f aca="false">IF($D128&lt;&gt;1,"",IF($G128="ROKS",$S128,IF($AI128=1,0,MAX($O128,$M128-SUMIFS(TblApplications[RAM IKS libérable (Go)],TblApplications[Cluster IKS source],$F128,TblApplications[Action],"À migrer",TblApplications[Mois prov (calc)],"&lt;="&amp;$E128)-SUMIFS(TblApplications[RAM IKS libérable (Go)],TblApplications[Cluster IKS source],$F128,TblApplications[Action],"À décommissionner",TblApplications[Mois lib (calc)],"&lt;="&amp;$E128)))))</f>
        <v>736</v>
      </c>
      <c r="Z128" s="14" t="n">
        <f aca="false">IF($D128&lt;&gt;1,"",IF($AI128=1,0,MAX($J128,ROUNDUP(MAX($X128/$H128,$Y128/$I128),0))))</f>
        <v>10</v>
      </c>
      <c r="AA128" s="84" t="n">
        <f aca="false">IF($D128&lt;&gt;1,"",IF(p_mode="Nœud",$Z128*$K128,$X128*IF($G128="IKS",p_iks_cpu,p_roks_cpu)+$Y128*IF($G128="IKS",p_iks_ram,p_roks_ram))*p_facteur)</f>
        <v>7360</v>
      </c>
      <c r="AB128" s="14" t="n">
        <f aca="false">IF($D128&lt;&gt;1,"",MAX($J128,ROUNDUP(MAX($L128/$H128,$M128/$I128),0)))</f>
        <v>6</v>
      </c>
      <c r="AC128" s="84" t="n">
        <f aca="false">IF($D128&lt;&gt;1,"",IF(p_mode="Nœud",$AB128*$K128,$L128*IF($G128="IKS",p_iks_cpu,p_roks_cpu)+$M128*IF($G128="IKS",p_iks_ram,p_roks_ram))*p_facteur)</f>
        <v>4416</v>
      </c>
      <c r="AD128" s="14" t="n">
        <f aca="false">IF($D128&lt;&gt;1,"",IF(AND($G128="IKS",$AI128&lt;&gt;1,OR($L128-$P128&lt;$N128,$M128-$Q128&lt;$O128)),1,0))</f>
        <v>0</v>
      </c>
      <c r="AE128" s="14" t="n">
        <f aca="false">IF($D128&lt;&gt;1,"",IF(AND($G128="ROKS",$T128&gt;p_maxworkers),1,0))</f>
        <v>0</v>
      </c>
      <c r="AF128" s="14" t="str">
        <f aca="false">IF($D128&lt;&gt;1,"",IF(INDEX(TblClusters[Environnement],$B128)="","(vide)",INDEX(TblClusters[Environnement],$B128)))</f>
        <v>NPRD</v>
      </c>
      <c r="AG128" s="14" t="n">
        <f aca="false">IF($D128&lt;&gt;1,"",$R128+p_poidsram*$S128)</f>
        <v>222.6</v>
      </c>
      <c r="AH128" s="14" t="n">
        <f aca="false">IF($D128&lt;&gt;1,"",IFERROR($W128/$AG128,0))</f>
        <v>33.0637915543576</v>
      </c>
      <c r="AI128" s="14" t="n">
        <f aca="false">IF($D128&lt;&gt;1,"",IF(AND($G128="IKS",ISNUMBER(INDEX(TblClusters[Fermeture retenue],$B128))),IF($E128&gt;=INDEX(TblClusters[Fermeture retenue],$B128),1,0),0))</f>
        <v>0</v>
      </c>
    </row>
    <row r="129" customFormat="false" ht="15" hidden="false" customHeight="false" outlineLevel="0" collapsed="false">
      <c r="A129" s="14" t="n">
        <v>124</v>
      </c>
      <c r="B129" s="14" t="n">
        <f aca="false">INT(($A129-1)/36)+1</f>
        <v>4</v>
      </c>
      <c r="C129" s="14" t="n">
        <f aca="false">MOD($A129-1,36)+1</f>
        <v>16</v>
      </c>
      <c r="D129" s="14" t="n">
        <f aca="false">IF($C129&gt;p_horizon,0,IFERROR(IF(AND(INDEX(TblClusters[Cluster],$B129)&lt;&gt;"",ISNUMBER(INDEX(TblClusters[CPU initial (vCPU)],$B129)),ISNUMBER(INDEX(TblClusters[CPU min (vCPU)],$B129)),OR(INDEX(TblClusters[Plateforme],$B129)="IKS",INDEX(TblClusters[Plateforme],$B129)="ROKS")),1,0),0))</f>
        <v>1</v>
      </c>
      <c r="E129" s="83" t="n">
        <f aca="false">IF($D129=1,EDATE(p_debut,$C129-1),"")</f>
        <v>46753</v>
      </c>
      <c r="F129" s="14" t="str">
        <f aca="false">IF($D129=1,INDEX(TblClusters[Cluster],$B129),"")</f>
        <v>ROKS-NPR-01</v>
      </c>
      <c r="G129" s="14" t="str">
        <f aca="false">IF($D129=1,INDEX(TblClusters[Plateforme],$B129),"")</f>
        <v>ROKS</v>
      </c>
      <c r="H129" s="14" t="n">
        <f aca="false">IF($D129=1,INDEX(TblClusters[vCPU par nœud],$B129),"")</f>
        <v>16</v>
      </c>
      <c r="I129" s="14" t="n">
        <f aca="false">IF($D129=1,INDEX(TblClusters[RAM par nœud (Go)],$B129),"")</f>
        <v>80</v>
      </c>
      <c r="J129" s="14" t="n">
        <f aca="false">IF($D129=1,INDEX(TblClusters[Workers min],$B129),"")</f>
        <v>6</v>
      </c>
      <c r="K129" s="84" t="n">
        <f aca="false">IF($D129=1,INDEX(TblClusters[Tarif par nœud],$B129),"")</f>
        <v>736</v>
      </c>
      <c r="L129" s="14" t="n">
        <f aca="false">IF($D129=1,INDEX(TblClusters[CPU initial (vCPU)],$B129),"")</f>
        <v>96</v>
      </c>
      <c r="M129" s="14" t="n">
        <f aca="false">IF($D129=1,INDEX(TblClusters[RAM initiale (Go)],$B129),"")</f>
        <v>480</v>
      </c>
      <c r="N129" s="14" t="n">
        <f aca="false">IF($D129=1,INDEX(TblClusters[CPU min (vCPU)],$B129),"")</f>
        <v>96</v>
      </c>
      <c r="O129" s="14" t="n">
        <f aca="false">IF($D129=1,INDEX(TblClusters[RAM min (Go)],$B129),"")</f>
        <v>480</v>
      </c>
      <c r="P129" s="14" t="n">
        <f aca="false">IF($D129&lt;&gt;1,"",IF($G129="ROKS",SUMIFS(TblApplications[Besoin ROKS CPU (vCPU)],TblApplications[Cluster ROKS cible],$F129,TblApplications[Action],"À migrer",TblApplications[Déjà incluse ROKS],"Non",TblApplications[Mois prov (calc)],"&lt;="&amp;$E129),SUMIFS(TblApplications[CPU IKS libérable (vCPU)],TblApplications[Cluster IKS source],$F129,TblApplications[Mois lib (calc)],"&lt;="&amp;$E129)))</f>
        <v>53</v>
      </c>
      <c r="Q129" s="14" t="n">
        <f aca="false">IF($D129&lt;&gt;1,"",IF($G129="ROKS",SUMIFS(TblApplications[Besoin ROKS RAM (Go)],TblApplications[Cluster ROKS cible],$F129,TblApplications[Action],"À migrer",TblApplications[Déjà incluse ROKS],"Non",TblApplications[Mois prov (calc)],"&lt;="&amp;$E129),SUMIFS(TblApplications[RAM IKS libérable (Go)],TblApplications[Cluster IKS source],$F129,TblApplications[Mois lib (calc)],"&lt;="&amp;$E129)))</f>
        <v>256</v>
      </c>
      <c r="R129" s="14" t="n">
        <f aca="false">IF($D129&lt;&gt;1,"",IF($G129="ROKS",$L129+$P129,IF($AI129=1,0,MAX($N129,$L129-$P129))))</f>
        <v>149</v>
      </c>
      <c r="S129" s="14" t="n">
        <f aca="false">IF($D129&lt;&gt;1,"",IF($G129="ROKS",$M129+$Q129,IF($AI129=1,0,MAX($O129,$M129-$Q129))))</f>
        <v>736</v>
      </c>
      <c r="T129" s="14" t="n">
        <f aca="false">IF($D129&lt;&gt;1,"",IF($AI129=1,0,MAX($J129,ROUNDUP(MAX($R129/$H129,$S129/$I129),0))))</f>
        <v>10</v>
      </c>
      <c r="U129" s="14" t="n">
        <f aca="false">IF($D129&lt;&gt;1,"",IF(p_mode="Nœud",$T129*$H129,$R129))</f>
        <v>160</v>
      </c>
      <c r="V129" s="14" t="n">
        <f aca="false">IF($D129&lt;&gt;1,"",IF(p_mode="Nœud",$T129*$I129,$S129))</f>
        <v>800</v>
      </c>
      <c r="W129" s="84" t="n">
        <f aca="false">IF($D129&lt;&gt;1,"",IF(p_mode="Nœud",$T129*$K129,$R129*IF($G129="IKS",p_iks_cpu,p_roks_cpu)+$S129*IF($G129="IKS",p_iks_ram,p_roks_ram))*p_facteur)</f>
        <v>7360</v>
      </c>
      <c r="X129" s="14" t="n">
        <f aca="false">IF($D129&lt;&gt;1,"",IF($G129="ROKS",$R129,IF($AI129=1,0,MAX($N129,$L129-SUMIFS(TblApplications[CPU IKS libérable (vCPU)],TblApplications[Cluster IKS source],$F129,TblApplications[Action],"À migrer",TblApplications[Mois prov (calc)],"&lt;="&amp;$E129)-SUMIFS(TblApplications[CPU IKS libérable (vCPU)],TblApplications[Cluster IKS source],$F129,TblApplications[Action],"À décommissionner",TblApplications[Mois lib (calc)],"&lt;="&amp;$E129)))))</f>
        <v>149</v>
      </c>
      <c r="Y129" s="14" t="n">
        <f aca="false">IF($D129&lt;&gt;1,"",IF($G129="ROKS",$S129,IF($AI129=1,0,MAX($O129,$M129-SUMIFS(TblApplications[RAM IKS libérable (Go)],TblApplications[Cluster IKS source],$F129,TblApplications[Action],"À migrer",TblApplications[Mois prov (calc)],"&lt;="&amp;$E129)-SUMIFS(TblApplications[RAM IKS libérable (Go)],TblApplications[Cluster IKS source],$F129,TblApplications[Action],"À décommissionner",TblApplications[Mois lib (calc)],"&lt;="&amp;$E129)))))</f>
        <v>736</v>
      </c>
      <c r="Z129" s="14" t="n">
        <f aca="false">IF($D129&lt;&gt;1,"",IF($AI129=1,0,MAX($J129,ROUNDUP(MAX($X129/$H129,$Y129/$I129),0))))</f>
        <v>10</v>
      </c>
      <c r="AA129" s="84" t="n">
        <f aca="false">IF($D129&lt;&gt;1,"",IF(p_mode="Nœud",$Z129*$K129,$X129*IF($G129="IKS",p_iks_cpu,p_roks_cpu)+$Y129*IF($G129="IKS",p_iks_ram,p_roks_ram))*p_facteur)</f>
        <v>7360</v>
      </c>
      <c r="AB129" s="14" t="n">
        <f aca="false">IF($D129&lt;&gt;1,"",MAX($J129,ROUNDUP(MAX($L129/$H129,$M129/$I129),0)))</f>
        <v>6</v>
      </c>
      <c r="AC129" s="84" t="n">
        <f aca="false">IF($D129&lt;&gt;1,"",IF(p_mode="Nœud",$AB129*$K129,$L129*IF($G129="IKS",p_iks_cpu,p_roks_cpu)+$M129*IF($G129="IKS",p_iks_ram,p_roks_ram))*p_facteur)</f>
        <v>4416</v>
      </c>
      <c r="AD129" s="14" t="n">
        <f aca="false">IF($D129&lt;&gt;1,"",IF(AND($G129="IKS",$AI129&lt;&gt;1,OR($L129-$P129&lt;$N129,$M129-$Q129&lt;$O129)),1,0))</f>
        <v>0</v>
      </c>
      <c r="AE129" s="14" t="n">
        <f aca="false">IF($D129&lt;&gt;1,"",IF(AND($G129="ROKS",$T129&gt;p_maxworkers),1,0))</f>
        <v>0</v>
      </c>
      <c r="AF129" s="14" t="str">
        <f aca="false">IF($D129&lt;&gt;1,"",IF(INDEX(TblClusters[Environnement],$B129)="","(vide)",INDEX(TblClusters[Environnement],$B129)))</f>
        <v>NPRD</v>
      </c>
      <c r="AG129" s="14" t="n">
        <f aca="false">IF($D129&lt;&gt;1,"",$R129+p_poidsram*$S129)</f>
        <v>222.6</v>
      </c>
      <c r="AH129" s="14" t="n">
        <f aca="false">IF($D129&lt;&gt;1,"",IFERROR($W129/$AG129,0))</f>
        <v>33.0637915543576</v>
      </c>
      <c r="AI129" s="14" t="n">
        <f aca="false">IF($D129&lt;&gt;1,"",IF(AND($G129="IKS",ISNUMBER(INDEX(TblClusters[Fermeture retenue],$B129))),IF($E129&gt;=INDEX(TblClusters[Fermeture retenue],$B129),1,0),0))</f>
        <v>0</v>
      </c>
    </row>
    <row r="130" customFormat="false" ht="15" hidden="false" customHeight="false" outlineLevel="0" collapsed="false">
      <c r="A130" s="14" t="n">
        <v>125</v>
      </c>
      <c r="B130" s="14" t="n">
        <f aca="false">INT(($A130-1)/36)+1</f>
        <v>4</v>
      </c>
      <c r="C130" s="14" t="n">
        <f aca="false">MOD($A130-1,36)+1</f>
        <v>17</v>
      </c>
      <c r="D130" s="14" t="n">
        <f aca="false">IF($C130&gt;p_horizon,0,IFERROR(IF(AND(INDEX(TblClusters[Cluster],$B130)&lt;&gt;"",ISNUMBER(INDEX(TblClusters[CPU initial (vCPU)],$B130)),ISNUMBER(INDEX(TblClusters[CPU min (vCPU)],$B130)),OR(INDEX(TblClusters[Plateforme],$B130)="IKS",INDEX(TblClusters[Plateforme],$B130)="ROKS")),1,0),0))</f>
        <v>1</v>
      </c>
      <c r="E130" s="83" t="n">
        <f aca="false">IF($D130=1,EDATE(p_debut,$C130-1),"")</f>
        <v>46784</v>
      </c>
      <c r="F130" s="14" t="str">
        <f aca="false">IF($D130=1,INDEX(TblClusters[Cluster],$B130),"")</f>
        <v>ROKS-NPR-01</v>
      </c>
      <c r="G130" s="14" t="str">
        <f aca="false">IF($D130=1,INDEX(TblClusters[Plateforme],$B130),"")</f>
        <v>ROKS</v>
      </c>
      <c r="H130" s="14" t="n">
        <f aca="false">IF($D130=1,INDEX(TblClusters[vCPU par nœud],$B130),"")</f>
        <v>16</v>
      </c>
      <c r="I130" s="14" t="n">
        <f aca="false">IF($D130=1,INDEX(TblClusters[RAM par nœud (Go)],$B130),"")</f>
        <v>80</v>
      </c>
      <c r="J130" s="14" t="n">
        <f aca="false">IF($D130=1,INDEX(TblClusters[Workers min],$B130),"")</f>
        <v>6</v>
      </c>
      <c r="K130" s="84" t="n">
        <f aca="false">IF($D130=1,INDEX(TblClusters[Tarif par nœud],$B130),"")</f>
        <v>736</v>
      </c>
      <c r="L130" s="14" t="n">
        <f aca="false">IF($D130=1,INDEX(TblClusters[CPU initial (vCPU)],$B130),"")</f>
        <v>96</v>
      </c>
      <c r="M130" s="14" t="n">
        <f aca="false">IF($D130=1,INDEX(TblClusters[RAM initiale (Go)],$B130),"")</f>
        <v>480</v>
      </c>
      <c r="N130" s="14" t="n">
        <f aca="false">IF($D130=1,INDEX(TblClusters[CPU min (vCPU)],$B130),"")</f>
        <v>96</v>
      </c>
      <c r="O130" s="14" t="n">
        <f aca="false">IF($D130=1,INDEX(TblClusters[RAM min (Go)],$B130),"")</f>
        <v>480</v>
      </c>
      <c r="P130" s="14" t="n">
        <f aca="false">IF($D130&lt;&gt;1,"",IF($G130="ROKS",SUMIFS(TblApplications[Besoin ROKS CPU (vCPU)],TblApplications[Cluster ROKS cible],$F130,TblApplications[Action],"À migrer",TblApplications[Déjà incluse ROKS],"Non",TblApplications[Mois prov (calc)],"&lt;="&amp;$E130),SUMIFS(TblApplications[CPU IKS libérable (vCPU)],TblApplications[Cluster IKS source],$F130,TblApplications[Mois lib (calc)],"&lt;="&amp;$E130)))</f>
        <v>53</v>
      </c>
      <c r="Q130" s="14" t="n">
        <f aca="false">IF($D130&lt;&gt;1,"",IF($G130="ROKS",SUMIFS(TblApplications[Besoin ROKS RAM (Go)],TblApplications[Cluster ROKS cible],$F130,TblApplications[Action],"À migrer",TblApplications[Déjà incluse ROKS],"Non",TblApplications[Mois prov (calc)],"&lt;="&amp;$E130),SUMIFS(TblApplications[RAM IKS libérable (Go)],TblApplications[Cluster IKS source],$F130,TblApplications[Mois lib (calc)],"&lt;="&amp;$E130)))</f>
        <v>256</v>
      </c>
      <c r="R130" s="14" t="n">
        <f aca="false">IF($D130&lt;&gt;1,"",IF($G130="ROKS",$L130+$P130,IF($AI130=1,0,MAX($N130,$L130-$P130))))</f>
        <v>149</v>
      </c>
      <c r="S130" s="14" t="n">
        <f aca="false">IF($D130&lt;&gt;1,"",IF($G130="ROKS",$M130+$Q130,IF($AI130=1,0,MAX($O130,$M130-$Q130))))</f>
        <v>736</v>
      </c>
      <c r="T130" s="14" t="n">
        <f aca="false">IF($D130&lt;&gt;1,"",IF($AI130=1,0,MAX($J130,ROUNDUP(MAX($R130/$H130,$S130/$I130),0))))</f>
        <v>10</v>
      </c>
      <c r="U130" s="14" t="n">
        <f aca="false">IF($D130&lt;&gt;1,"",IF(p_mode="Nœud",$T130*$H130,$R130))</f>
        <v>160</v>
      </c>
      <c r="V130" s="14" t="n">
        <f aca="false">IF($D130&lt;&gt;1,"",IF(p_mode="Nœud",$T130*$I130,$S130))</f>
        <v>800</v>
      </c>
      <c r="W130" s="84" t="n">
        <f aca="false">IF($D130&lt;&gt;1,"",IF(p_mode="Nœud",$T130*$K130,$R130*IF($G130="IKS",p_iks_cpu,p_roks_cpu)+$S130*IF($G130="IKS",p_iks_ram,p_roks_ram))*p_facteur)</f>
        <v>7360</v>
      </c>
      <c r="X130" s="14" t="n">
        <f aca="false">IF($D130&lt;&gt;1,"",IF($G130="ROKS",$R130,IF($AI130=1,0,MAX($N130,$L130-SUMIFS(TblApplications[CPU IKS libérable (vCPU)],TblApplications[Cluster IKS source],$F130,TblApplications[Action],"À migrer",TblApplications[Mois prov (calc)],"&lt;="&amp;$E130)-SUMIFS(TblApplications[CPU IKS libérable (vCPU)],TblApplications[Cluster IKS source],$F130,TblApplications[Action],"À décommissionner",TblApplications[Mois lib (calc)],"&lt;="&amp;$E130)))))</f>
        <v>149</v>
      </c>
      <c r="Y130" s="14" t="n">
        <f aca="false">IF($D130&lt;&gt;1,"",IF($G130="ROKS",$S130,IF($AI130=1,0,MAX($O130,$M130-SUMIFS(TblApplications[RAM IKS libérable (Go)],TblApplications[Cluster IKS source],$F130,TblApplications[Action],"À migrer",TblApplications[Mois prov (calc)],"&lt;="&amp;$E130)-SUMIFS(TblApplications[RAM IKS libérable (Go)],TblApplications[Cluster IKS source],$F130,TblApplications[Action],"À décommissionner",TblApplications[Mois lib (calc)],"&lt;="&amp;$E130)))))</f>
        <v>736</v>
      </c>
      <c r="Z130" s="14" t="n">
        <f aca="false">IF($D130&lt;&gt;1,"",IF($AI130=1,0,MAX($J130,ROUNDUP(MAX($X130/$H130,$Y130/$I130),0))))</f>
        <v>10</v>
      </c>
      <c r="AA130" s="84" t="n">
        <f aca="false">IF($D130&lt;&gt;1,"",IF(p_mode="Nœud",$Z130*$K130,$X130*IF($G130="IKS",p_iks_cpu,p_roks_cpu)+$Y130*IF($G130="IKS",p_iks_ram,p_roks_ram))*p_facteur)</f>
        <v>7360</v>
      </c>
      <c r="AB130" s="14" t="n">
        <f aca="false">IF($D130&lt;&gt;1,"",MAX($J130,ROUNDUP(MAX($L130/$H130,$M130/$I130),0)))</f>
        <v>6</v>
      </c>
      <c r="AC130" s="84" t="n">
        <f aca="false">IF($D130&lt;&gt;1,"",IF(p_mode="Nœud",$AB130*$K130,$L130*IF($G130="IKS",p_iks_cpu,p_roks_cpu)+$M130*IF($G130="IKS",p_iks_ram,p_roks_ram))*p_facteur)</f>
        <v>4416</v>
      </c>
      <c r="AD130" s="14" t="n">
        <f aca="false">IF($D130&lt;&gt;1,"",IF(AND($G130="IKS",$AI130&lt;&gt;1,OR($L130-$P130&lt;$N130,$M130-$Q130&lt;$O130)),1,0))</f>
        <v>0</v>
      </c>
      <c r="AE130" s="14" t="n">
        <f aca="false">IF($D130&lt;&gt;1,"",IF(AND($G130="ROKS",$T130&gt;p_maxworkers),1,0))</f>
        <v>0</v>
      </c>
      <c r="AF130" s="14" t="str">
        <f aca="false">IF($D130&lt;&gt;1,"",IF(INDEX(TblClusters[Environnement],$B130)="","(vide)",INDEX(TblClusters[Environnement],$B130)))</f>
        <v>NPRD</v>
      </c>
      <c r="AG130" s="14" t="n">
        <f aca="false">IF($D130&lt;&gt;1,"",$R130+p_poidsram*$S130)</f>
        <v>222.6</v>
      </c>
      <c r="AH130" s="14" t="n">
        <f aca="false">IF($D130&lt;&gt;1,"",IFERROR($W130/$AG130,0))</f>
        <v>33.0637915543576</v>
      </c>
      <c r="AI130" s="14" t="n">
        <f aca="false">IF($D130&lt;&gt;1,"",IF(AND($G130="IKS",ISNUMBER(INDEX(TblClusters[Fermeture retenue],$B130))),IF($E130&gt;=INDEX(TblClusters[Fermeture retenue],$B130),1,0),0))</f>
        <v>0</v>
      </c>
    </row>
    <row r="131" customFormat="false" ht="15" hidden="false" customHeight="false" outlineLevel="0" collapsed="false">
      <c r="A131" s="14" t="n">
        <v>126</v>
      </c>
      <c r="B131" s="14" t="n">
        <f aca="false">INT(($A131-1)/36)+1</f>
        <v>4</v>
      </c>
      <c r="C131" s="14" t="n">
        <f aca="false">MOD($A131-1,36)+1</f>
        <v>18</v>
      </c>
      <c r="D131" s="14" t="n">
        <f aca="false">IF($C131&gt;p_horizon,0,IFERROR(IF(AND(INDEX(TblClusters[Cluster],$B131)&lt;&gt;"",ISNUMBER(INDEX(TblClusters[CPU initial (vCPU)],$B131)),ISNUMBER(INDEX(TblClusters[CPU min (vCPU)],$B131)),OR(INDEX(TblClusters[Plateforme],$B131)="IKS",INDEX(TblClusters[Plateforme],$B131)="ROKS")),1,0),0))</f>
        <v>1</v>
      </c>
      <c r="E131" s="83" t="n">
        <f aca="false">IF($D131=1,EDATE(p_debut,$C131-1),"")</f>
        <v>46813</v>
      </c>
      <c r="F131" s="14" t="str">
        <f aca="false">IF($D131=1,INDEX(TblClusters[Cluster],$B131),"")</f>
        <v>ROKS-NPR-01</v>
      </c>
      <c r="G131" s="14" t="str">
        <f aca="false">IF($D131=1,INDEX(TblClusters[Plateforme],$B131),"")</f>
        <v>ROKS</v>
      </c>
      <c r="H131" s="14" t="n">
        <f aca="false">IF($D131=1,INDEX(TblClusters[vCPU par nœud],$B131),"")</f>
        <v>16</v>
      </c>
      <c r="I131" s="14" t="n">
        <f aca="false">IF($D131=1,INDEX(TblClusters[RAM par nœud (Go)],$B131),"")</f>
        <v>80</v>
      </c>
      <c r="J131" s="14" t="n">
        <f aca="false">IF($D131=1,INDEX(TblClusters[Workers min],$B131),"")</f>
        <v>6</v>
      </c>
      <c r="K131" s="84" t="n">
        <f aca="false">IF($D131=1,INDEX(TblClusters[Tarif par nœud],$B131),"")</f>
        <v>736</v>
      </c>
      <c r="L131" s="14" t="n">
        <f aca="false">IF($D131=1,INDEX(TblClusters[CPU initial (vCPU)],$B131),"")</f>
        <v>96</v>
      </c>
      <c r="M131" s="14" t="n">
        <f aca="false">IF($D131=1,INDEX(TblClusters[RAM initiale (Go)],$B131),"")</f>
        <v>480</v>
      </c>
      <c r="N131" s="14" t="n">
        <f aca="false">IF($D131=1,INDEX(TblClusters[CPU min (vCPU)],$B131),"")</f>
        <v>96</v>
      </c>
      <c r="O131" s="14" t="n">
        <f aca="false">IF($D131=1,INDEX(TblClusters[RAM min (Go)],$B131),"")</f>
        <v>480</v>
      </c>
      <c r="P131" s="14" t="n">
        <f aca="false">IF($D131&lt;&gt;1,"",IF($G131="ROKS",SUMIFS(TblApplications[Besoin ROKS CPU (vCPU)],TblApplications[Cluster ROKS cible],$F131,TblApplications[Action],"À migrer",TblApplications[Déjà incluse ROKS],"Non",TblApplications[Mois prov (calc)],"&lt;="&amp;$E131),SUMIFS(TblApplications[CPU IKS libérable (vCPU)],TblApplications[Cluster IKS source],$F131,TblApplications[Mois lib (calc)],"&lt;="&amp;$E131)))</f>
        <v>53</v>
      </c>
      <c r="Q131" s="14" t="n">
        <f aca="false">IF($D131&lt;&gt;1,"",IF($G131="ROKS",SUMIFS(TblApplications[Besoin ROKS RAM (Go)],TblApplications[Cluster ROKS cible],$F131,TblApplications[Action],"À migrer",TblApplications[Déjà incluse ROKS],"Non",TblApplications[Mois prov (calc)],"&lt;="&amp;$E131),SUMIFS(TblApplications[RAM IKS libérable (Go)],TblApplications[Cluster IKS source],$F131,TblApplications[Mois lib (calc)],"&lt;="&amp;$E131)))</f>
        <v>256</v>
      </c>
      <c r="R131" s="14" t="n">
        <f aca="false">IF($D131&lt;&gt;1,"",IF($G131="ROKS",$L131+$P131,IF($AI131=1,0,MAX($N131,$L131-$P131))))</f>
        <v>149</v>
      </c>
      <c r="S131" s="14" t="n">
        <f aca="false">IF($D131&lt;&gt;1,"",IF($G131="ROKS",$M131+$Q131,IF($AI131=1,0,MAX($O131,$M131-$Q131))))</f>
        <v>736</v>
      </c>
      <c r="T131" s="14" t="n">
        <f aca="false">IF($D131&lt;&gt;1,"",IF($AI131=1,0,MAX($J131,ROUNDUP(MAX($R131/$H131,$S131/$I131),0))))</f>
        <v>10</v>
      </c>
      <c r="U131" s="14" t="n">
        <f aca="false">IF($D131&lt;&gt;1,"",IF(p_mode="Nœud",$T131*$H131,$R131))</f>
        <v>160</v>
      </c>
      <c r="V131" s="14" t="n">
        <f aca="false">IF($D131&lt;&gt;1,"",IF(p_mode="Nœud",$T131*$I131,$S131))</f>
        <v>800</v>
      </c>
      <c r="W131" s="84" t="n">
        <f aca="false">IF($D131&lt;&gt;1,"",IF(p_mode="Nœud",$T131*$K131,$R131*IF($G131="IKS",p_iks_cpu,p_roks_cpu)+$S131*IF($G131="IKS",p_iks_ram,p_roks_ram))*p_facteur)</f>
        <v>7360</v>
      </c>
      <c r="X131" s="14" t="n">
        <f aca="false">IF($D131&lt;&gt;1,"",IF($G131="ROKS",$R131,IF($AI131=1,0,MAX($N131,$L131-SUMIFS(TblApplications[CPU IKS libérable (vCPU)],TblApplications[Cluster IKS source],$F131,TblApplications[Action],"À migrer",TblApplications[Mois prov (calc)],"&lt;="&amp;$E131)-SUMIFS(TblApplications[CPU IKS libérable (vCPU)],TblApplications[Cluster IKS source],$F131,TblApplications[Action],"À décommissionner",TblApplications[Mois lib (calc)],"&lt;="&amp;$E131)))))</f>
        <v>149</v>
      </c>
      <c r="Y131" s="14" t="n">
        <f aca="false">IF($D131&lt;&gt;1,"",IF($G131="ROKS",$S131,IF($AI131=1,0,MAX($O131,$M131-SUMIFS(TblApplications[RAM IKS libérable (Go)],TblApplications[Cluster IKS source],$F131,TblApplications[Action],"À migrer",TblApplications[Mois prov (calc)],"&lt;="&amp;$E131)-SUMIFS(TblApplications[RAM IKS libérable (Go)],TblApplications[Cluster IKS source],$F131,TblApplications[Action],"À décommissionner",TblApplications[Mois lib (calc)],"&lt;="&amp;$E131)))))</f>
        <v>736</v>
      </c>
      <c r="Z131" s="14" t="n">
        <f aca="false">IF($D131&lt;&gt;1,"",IF($AI131=1,0,MAX($J131,ROUNDUP(MAX($X131/$H131,$Y131/$I131),0))))</f>
        <v>10</v>
      </c>
      <c r="AA131" s="84" t="n">
        <f aca="false">IF($D131&lt;&gt;1,"",IF(p_mode="Nœud",$Z131*$K131,$X131*IF($G131="IKS",p_iks_cpu,p_roks_cpu)+$Y131*IF($G131="IKS",p_iks_ram,p_roks_ram))*p_facteur)</f>
        <v>7360</v>
      </c>
      <c r="AB131" s="14" t="n">
        <f aca="false">IF($D131&lt;&gt;1,"",MAX($J131,ROUNDUP(MAX($L131/$H131,$M131/$I131),0)))</f>
        <v>6</v>
      </c>
      <c r="AC131" s="84" t="n">
        <f aca="false">IF($D131&lt;&gt;1,"",IF(p_mode="Nœud",$AB131*$K131,$L131*IF($G131="IKS",p_iks_cpu,p_roks_cpu)+$M131*IF($G131="IKS",p_iks_ram,p_roks_ram))*p_facteur)</f>
        <v>4416</v>
      </c>
      <c r="AD131" s="14" t="n">
        <f aca="false">IF($D131&lt;&gt;1,"",IF(AND($G131="IKS",$AI131&lt;&gt;1,OR($L131-$P131&lt;$N131,$M131-$Q131&lt;$O131)),1,0))</f>
        <v>0</v>
      </c>
      <c r="AE131" s="14" t="n">
        <f aca="false">IF($D131&lt;&gt;1,"",IF(AND($G131="ROKS",$T131&gt;p_maxworkers),1,0))</f>
        <v>0</v>
      </c>
      <c r="AF131" s="14" t="str">
        <f aca="false">IF($D131&lt;&gt;1,"",IF(INDEX(TblClusters[Environnement],$B131)="","(vide)",INDEX(TblClusters[Environnement],$B131)))</f>
        <v>NPRD</v>
      </c>
      <c r="AG131" s="14" t="n">
        <f aca="false">IF($D131&lt;&gt;1,"",$R131+p_poidsram*$S131)</f>
        <v>222.6</v>
      </c>
      <c r="AH131" s="14" t="n">
        <f aca="false">IF($D131&lt;&gt;1,"",IFERROR($W131/$AG131,0))</f>
        <v>33.0637915543576</v>
      </c>
      <c r="AI131" s="14" t="n">
        <f aca="false">IF($D131&lt;&gt;1,"",IF(AND($G131="IKS",ISNUMBER(INDEX(TblClusters[Fermeture retenue],$B131))),IF($E131&gt;=INDEX(TblClusters[Fermeture retenue],$B131),1,0),0))</f>
        <v>0</v>
      </c>
    </row>
    <row r="132" customFormat="false" ht="15" hidden="false" customHeight="false" outlineLevel="0" collapsed="false">
      <c r="A132" s="14" t="n">
        <v>127</v>
      </c>
      <c r="B132" s="14" t="n">
        <f aca="false">INT(($A132-1)/36)+1</f>
        <v>4</v>
      </c>
      <c r="C132" s="14" t="n">
        <f aca="false">MOD($A132-1,36)+1</f>
        <v>19</v>
      </c>
      <c r="D132" s="14" t="n">
        <f aca="false">IF($C132&gt;p_horizon,0,IFERROR(IF(AND(INDEX(TblClusters[Cluster],$B132)&lt;&gt;"",ISNUMBER(INDEX(TblClusters[CPU initial (vCPU)],$B132)),ISNUMBER(INDEX(TblClusters[CPU min (vCPU)],$B132)),OR(INDEX(TblClusters[Plateforme],$B132)="IKS",INDEX(TblClusters[Plateforme],$B132)="ROKS")),1,0),0))</f>
        <v>1</v>
      </c>
      <c r="E132" s="83" t="n">
        <f aca="false">IF($D132=1,EDATE(p_debut,$C132-1),"")</f>
        <v>46844</v>
      </c>
      <c r="F132" s="14" t="str">
        <f aca="false">IF($D132=1,INDEX(TblClusters[Cluster],$B132),"")</f>
        <v>ROKS-NPR-01</v>
      </c>
      <c r="G132" s="14" t="str">
        <f aca="false">IF($D132=1,INDEX(TblClusters[Plateforme],$B132),"")</f>
        <v>ROKS</v>
      </c>
      <c r="H132" s="14" t="n">
        <f aca="false">IF($D132=1,INDEX(TblClusters[vCPU par nœud],$B132),"")</f>
        <v>16</v>
      </c>
      <c r="I132" s="14" t="n">
        <f aca="false">IF($D132=1,INDEX(TblClusters[RAM par nœud (Go)],$B132),"")</f>
        <v>80</v>
      </c>
      <c r="J132" s="14" t="n">
        <f aca="false">IF($D132=1,INDEX(TblClusters[Workers min],$B132),"")</f>
        <v>6</v>
      </c>
      <c r="K132" s="84" t="n">
        <f aca="false">IF($D132=1,INDEX(TblClusters[Tarif par nœud],$B132),"")</f>
        <v>736</v>
      </c>
      <c r="L132" s="14" t="n">
        <f aca="false">IF($D132=1,INDEX(TblClusters[CPU initial (vCPU)],$B132),"")</f>
        <v>96</v>
      </c>
      <c r="M132" s="14" t="n">
        <f aca="false">IF($D132=1,INDEX(TblClusters[RAM initiale (Go)],$B132),"")</f>
        <v>480</v>
      </c>
      <c r="N132" s="14" t="n">
        <f aca="false">IF($D132=1,INDEX(TblClusters[CPU min (vCPU)],$B132),"")</f>
        <v>96</v>
      </c>
      <c r="O132" s="14" t="n">
        <f aca="false">IF($D132=1,INDEX(TblClusters[RAM min (Go)],$B132),"")</f>
        <v>480</v>
      </c>
      <c r="P132" s="14" t="n">
        <f aca="false">IF($D132&lt;&gt;1,"",IF($G132="ROKS",SUMIFS(TblApplications[Besoin ROKS CPU (vCPU)],TblApplications[Cluster ROKS cible],$F132,TblApplications[Action],"À migrer",TblApplications[Déjà incluse ROKS],"Non",TblApplications[Mois prov (calc)],"&lt;="&amp;$E132),SUMIFS(TblApplications[CPU IKS libérable (vCPU)],TblApplications[Cluster IKS source],$F132,TblApplications[Mois lib (calc)],"&lt;="&amp;$E132)))</f>
        <v>77</v>
      </c>
      <c r="Q132" s="14" t="n">
        <f aca="false">IF($D132&lt;&gt;1,"",IF($G132="ROKS",SUMIFS(TblApplications[Besoin ROKS RAM (Go)],TblApplications[Cluster ROKS cible],$F132,TblApplications[Action],"À migrer",TblApplications[Déjà incluse ROKS],"Non",TblApplications[Mois prov (calc)],"&lt;="&amp;$E132),SUMIFS(TblApplications[RAM IKS libérable (Go)],TblApplications[Cluster IKS source],$F132,TblApplications[Mois lib (calc)],"&lt;="&amp;$E132)))</f>
        <v>448</v>
      </c>
      <c r="R132" s="14" t="n">
        <f aca="false">IF($D132&lt;&gt;1,"",IF($G132="ROKS",$L132+$P132,IF($AI132=1,0,MAX($N132,$L132-$P132))))</f>
        <v>173</v>
      </c>
      <c r="S132" s="14" t="n">
        <f aca="false">IF($D132&lt;&gt;1,"",IF($G132="ROKS",$M132+$Q132,IF($AI132=1,0,MAX($O132,$M132-$Q132))))</f>
        <v>928</v>
      </c>
      <c r="T132" s="14" t="n">
        <f aca="false">IF($D132&lt;&gt;1,"",IF($AI132=1,0,MAX($J132,ROUNDUP(MAX($R132/$H132,$S132/$I132),0))))</f>
        <v>12</v>
      </c>
      <c r="U132" s="14" t="n">
        <f aca="false">IF($D132&lt;&gt;1,"",IF(p_mode="Nœud",$T132*$H132,$R132))</f>
        <v>192</v>
      </c>
      <c r="V132" s="14" t="n">
        <f aca="false">IF($D132&lt;&gt;1,"",IF(p_mode="Nœud",$T132*$I132,$S132))</f>
        <v>960</v>
      </c>
      <c r="W132" s="84" t="n">
        <f aca="false">IF($D132&lt;&gt;1,"",IF(p_mode="Nœud",$T132*$K132,$R132*IF($G132="IKS",p_iks_cpu,p_roks_cpu)+$S132*IF($G132="IKS",p_iks_ram,p_roks_ram))*p_facteur)</f>
        <v>8832</v>
      </c>
      <c r="X132" s="14" t="n">
        <f aca="false">IF($D132&lt;&gt;1,"",IF($G132="ROKS",$R132,IF($AI132=1,0,MAX($N132,$L132-SUMIFS(TblApplications[CPU IKS libérable (vCPU)],TblApplications[Cluster IKS source],$F132,TblApplications[Action],"À migrer",TblApplications[Mois prov (calc)],"&lt;="&amp;$E132)-SUMIFS(TblApplications[CPU IKS libérable (vCPU)],TblApplications[Cluster IKS source],$F132,TblApplications[Action],"À décommissionner",TblApplications[Mois lib (calc)],"&lt;="&amp;$E132)))))</f>
        <v>173</v>
      </c>
      <c r="Y132" s="14" t="n">
        <f aca="false">IF($D132&lt;&gt;1,"",IF($G132="ROKS",$S132,IF($AI132=1,0,MAX($O132,$M132-SUMIFS(TblApplications[RAM IKS libérable (Go)],TblApplications[Cluster IKS source],$F132,TblApplications[Action],"À migrer",TblApplications[Mois prov (calc)],"&lt;="&amp;$E132)-SUMIFS(TblApplications[RAM IKS libérable (Go)],TblApplications[Cluster IKS source],$F132,TblApplications[Action],"À décommissionner",TblApplications[Mois lib (calc)],"&lt;="&amp;$E132)))))</f>
        <v>928</v>
      </c>
      <c r="Z132" s="14" t="n">
        <f aca="false">IF($D132&lt;&gt;1,"",IF($AI132=1,0,MAX($J132,ROUNDUP(MAX($X132/$H132,$Y132/$I132),0))))</f>
        <v>12</v>
      </c>
      <c r="AA132" s="84" t="n">
        <f aca="false">IF($D132&lt;&gt;1,"",IF(p_mode="Nœud",$Z132*$K132,$X132*IF($G132="IKS",p_iks_cpu,p_roks_cpu)+$Y132*IF($G132="IKS",p_iks_ram,p_roks_ram))*p_facteur)</f>
        <v>8832</v>
      </c>
      <c r="AB132" s="14" t="n">
        <f aca="false">IF($D132&lt;&gt;1,"",MAX($J132,ROUNDUP(MAX($L132/$H132,$M132/$I132),0)))</f>
        <v>6</v>
      </c>
      <c r="AC132" s="84" t="n">
        <f aca="false">IF($D132&lt;&gt;1,"",IF(p_mode="Nœud",$AB132*$K132,$L132*IF($G132="IKS",p_iks_cpu,p_roks_cpu)+$M132*IF($G132="IKS",p_iks_ram,p_roks_ram))*p_facteur)</f>
        <v>4416</v>
      </c>
      <c r="AD132" s="14" t="n">
        <f aca="false">IF($D132&lt;&gt;1,"",IF(AND($G132="IKS",$AI132&lt;&gt;1,OR($L132-$P132&lt;$N132,$M132-$Q132&lt;$O132)),1,0))</f>
        <v>0</v>
      </c>
      <c r="AE132" s="14" t="n">
        <f aca="false">IF($D132&lt;&gt;1,"",IF(AND($G132="ROKS",$T132&gt;p_maxworkers),1,0))</f>
        <v>0</v>
      </c>
      <c r="AF132" s="14" t="str">
        <f aca="false">IF($D132&lt;&gt;1,"",IF(INDEX(TblClusters[Environnement],$B132)="","(vide)",INDEX(TblClusters[Environnement],$B132)))</f>
        <v>NPRD</v>
      </c>
      <c r="AG132" s="14" t="n">
        <f aca="false">IF($D132&lt;&gt;1,"",$R132+p_poidsram*$S132)</f>
        <v>265.8</v>
      </c>
      <c r="AH132" s="14" t="n">
        <f aca="false">IF($D132&lt;&gt;1,"",IFERROR($W132/$AG132,0))</f>
        <v>33.2279909706546</v>
      </c>
      <c r="AI132" s="14" t="n">
        <f aca="false">IF($D132&lt;&gt;1,"",IF(AND($G132="IKS",ISNUMBER(INDEX(TblClusters[Fermeture retenue],$B132))),IF($E132&gt;=INDEX(TblClusters[Fermeture retenue],$B132),1,0),0))</f>
        <v>0</v>
      </c>
    </row>
    <row r="133" customFormat="false" ht="15" hidden="false" customHeight="false" outlineLevel="0" collapsed="false">
      <c r="A133" s="14" t="n">
        <v>128</v>
      </c>
      <c r="B133" s="14" t="n">
        <f aca="false">INT(($A133-1)/36)+1</f>
        <v>4</v>
      </c>
      <c r="C133" s="14" t="n">
        <f aca="false">MOD($A133-1,36)+1</f>
        <v>20</v>
      </c>
      <c r="D133" s="14" t="n">
        <f aca="false">IF($C133&gt;p_horizon,0,IFERROR(IF(AND(INDEX(TblClusters[Cluster],$B133)&lt;&gt;"",ISNUMBER(INDEX(TblClusters[CPU initial (vCPU)],$B133)),ISNUMBER(INDEX(TblClusters[CPU min (vCPU)],$B133)),OR(INDEX(TblClusters[Plateforme],$B133)="IKS",INDEX(TblClusters[Plateforme],$B133)="ROKS")),1,0),0))</f>
        <v>1</v>
      </c>
      <c r="E133" s="83" t="n">
        <f aca="false">IF($D133=1,EDATE(p_debut,$C133-1),"")</f>
        <v>46874</v>
      </c>
      <c r="F133" s="14" t="str">
        <f aca="false">IF($D133=1,INDEX(TblClusters[Cluster],$B133),"")</f>
        <v>ROKS-NPR-01</v>
      </c>
      <c r="G133" s="14" t="str">
        <f aca="false">IF($D133=1,INDEX(TblClusters[Plateforme],$B133),"")</f>
        <v>ROKS</v>
      </c>
      <c r="H133" s="14" t="n">
        <f aca="false">IF($D133=1,INDEX(TblClusters[vCPU par nœud],$B133),"")</f>
        <v>16</v>
      </c>
      <c r="I133" s="14" t="n">
        <f aca="false">IF($D133=1,INDEX(TblClusters[RAM par nœud (Go)],$B133),"")</f>
        <v>80</v>
      </c>
      <c r="J133" s="14" t="n">
        <f aca="false">IF($D133=1,INDEX(TblClusters[Workers min],$B133),"")</f>
        <v>6</v>
      </c>
      <c r="K133" s="84" t="n">
        <f aca="false">IF($D133=1,INDEX(TblClusters[Tarif par nœud],$B133),"")</f>
        <v>736</v>
      </c>
      <c r="L133" s="14" t="n">
        <f aca="false">IF($D133=1,INDEX(TblClusters[CPU initial (vCPU)],$B133),"")</f>
        <v>96</v>
      </c>
      <c r="M133" s="14" t="n">
        <f aca="false">IF($D133=1,INDEX(TblClusters[RAM initiale (Go)],$B133),"")</f>
        <v>480</v>
      </c>
      <c r="N133" s="14" t="n">
        <f aca="false">IF($D133=1,INDEX(TblClusters[CPU min (vCPU)],$B133),"")</f>
        <v>96</v>
      </c>
      <c r="O133" s="14" t="n">
        <f aca="false">IF($D133=1,INDEX(TblClusters[RAM min (Go)],$B133),"")</f>
        <v>480</v>
      </c>
      <c r="P133" s="14" t="n">
        <f aca="false">IF($D133&lt;&gt;1,"",IF($G133="ROKS",SUMIFS(TblApplications[Besoin ROKS CPU (vCPU)],TblApplications[Cluster ROKS cible],$F133,TblApplications[Action],"À migrer",TblApplications[Déjà incluse ROKS],"Non",TblApplications[Mois prov (calc)],"&lt;="&amp;$E133),SUMIFS(TblApplications[CPU IKS libérable (vCPU)],TblApplications[Cluster IKS source],$F133,TblApplications[Mois lib (calc)],"&lt;="&amp;$E133)))</f>
        <v>77</v>
      </c>
      <c r="Q133" s="14" t="n">
        <f aca="false">IF($D133&lt;&gt;1,"",IF($G133="ROKS",SUMIFS(TblApplications[Besoin ROKS RAM (Go)],TblApplications[Cluster ROKS cible],$F133,TblApplications[Action],"À migrer",TblApplications[Déjà incluse ROKS],"Non",TblApplications[Mois prov (calc)],"&lt;="&amp;$E133),SUMIFS(TblApplications[RAM IKS libérable (Go)],TblApplications[Cluster IKS source],$F133,TblApplications[Mois lib (calc)],"&lt;="&amp;$E133)))</f>
        <v>448</v>
      </c>
      <c r="R133" s="14" t="n">
        <f aca="false">IF($D133&lt;&gt;1,"",IF($G133="ROKS",$L133+$P133,IF($AI133=1,0,MAX($N133,$L133-$P133))))</f>
        <v>173</v>
      </c>
      <c r="S133" s="14" t="n">
        <f aca="false">IF($D133&lt;&gt;1,"",IF($G133="ROKS",$M133+$Q133,IF($AI133=1,0,MAX($O133,$M133-$Q133))))</f>
        <v>928</v>
      </c>
      <c r="T133" s="14" t="n">
        <f aca="false">IF($D133&lt;&gt;1,"",IF($AI133=1,0,MAX($J133,ROUNDUP(MAX($R133/$H133,$S133/$I133),0))))</f>
        <v>12</v>
      </c>
      <c r="U133" s="14" t="n">
        <f aca="false">IF($D133&lt;&gt;1,"",IF(p_mode="Nœud",$T133*$H133,$R133))</f>
        <v>192</v>
      </c>
      <c r="V133" s="14" t="n">
        <f aca="false">IF($D133&lt;&gt;1,"",IF(p_mode="Nœud",$T133*$I133,$S133))</f>
        <v>960</v>
      </c>
      <c r="W133" s="84" t="n">
        <f aca="false">IF($D133&lt;&gt;1,"",IF(p_mode="Nœud",$T133*$K133,$R133*IF($G133="IKS",p_iks_cpu,p_roks_cpu)+$S133*IF($G133="IKS",p_iks_ram,p_roks_ram))*p_facteur)</f>
        <v>8832</v>
      </c>
      <c r="X133" s="14" t="n">
        <f aca="false">IF($D133&lt;&gt;1,"",IF($G133="ROKS",$R133,IF($AI133=1,0,MAX($N133,$L133-SUMIFS(TblApplications[CPU IKS libérable (vCPU)],TblApplications[Cluster IKS source],$F133,TblApplications[Action],"À migrer",TblApplications[Mois prov (calc)],"&lt;="&amp;$E133)-SUMIFS(TblApplications[CPU IKS libérable (vCPU)],TblApplications[Cluster IKS source],$F133,TblApplications[Action],"À décommissionner",TblApplications[Mois lib (calc)],"&lt;="&amp;$E133)))))</f>
        <v>173</v>
      </c>
      <c r="Y133" s="14" t="n">
        <f aca="false">IF($D133&lt;&gt;1,"",IF($G133="ROKS",$S133,IF($AI133=1,0,MAX($O133,$M133-SUMIFS(TblApplications[RAM IKS libérable (Go)],TblApplications[Cluster IKS source],$F133,TblApplications[Action],"À migrer",TblApplications[Mois prov (calc)],"&lt;="&amp;$E133)-SUMIFS(TblApplications[RAM IKS libérable (Go)],TblApplications[Cluster IKS source],$F133,TblApplications[Action],"À décommissionner",TblApplications[Mois lib (calc)],"&lt;="&amp;$E133)))))</f>
        <v>928</v>
      </c>
      <c r="Z133" s="14" t="n">
        <f aca="false">IF($D133&lt;&gt;1,"",IF($AI133=1,0,MAX($J133,ROUNDUP(MAX($X133/$H133,$Y133/$I133),0))))</f>
        <v>12</v>
      </c>
      <c r="AA133" s="84" t="n">
        <f aca="false">IF($D133&lt;&gt;1,"",IF(p_mode="Nœud",$Z133*$K133,$X133*IF($G133="IKS",p_iks_cpu,p_roks_cpu)+$Y133*IF($G133="IKS",p_iks_ram,p_roks_ram))*p_facteur)</f>
        <v>8832</v>
      </c>
      <c r="AB133" s="14" t="n">
        <f aca="false">IF($D133&lt;&gt;1,"",MAX($J133,ROUNDUP(MAX($L133/$H133,$M133/$I133),0)))</f>
        <v>6</v>
      </c>
      <c r="AC133" s="84" t="n">
        <f aca="false">IF($D133&lt;&gt;1,"",IF(p_mode="Nœud",$AB133*$K133,$L133*IF($G133="IKS",p_iks_cpu,p_roks_cpu)+$M133*IF($G133="IKS",p_iks_ram,p_roks_ram))*p_facteur)</f>
        <v>4416</v>
      </c>
      <c r="AD133" s="14" t="n">
        <f aca="false">IF($D133&lt;&gt;1,"",IF(AND($G133="IKS",$AI133&lt;&gt;1,OR($L133-$P133&lt;$N133,$M133-$Q133&lt;$O133)),1,0))</f>
        <v>0</v>
      </c>
      <c r="AE133" s="14" t="n">
        <f aca="false">IF($D133&lt;&gt;1,"",IF(AND($G133="ROKS",$T133&gt;p_maxworkers),1,0))</f>
        <v>0</v>
      </c>
      <c r="AF133" s="14" t="str">
        <f aca="false">IF($D133&lt;&gt;1,"",IF(INDEX(TblClusters[Environnement],$B133)="","(vide)",INDEX(TblClusters[Environnement],$B133)))</f>
        <v>NPRD</v>
      </c>
      <c r="AG133" s="14" t="n">
        <f aca="false">IF($D133&lt;&gt;1,"",$R133+p_poidsram*$S133)</f>
        <v>265.8</v>
      </c>
      <c r="AH133" s="14" t="n">
        <f aca="false">IF($D133&lt;&gt;1,"",IFERROR($W133/$AG133,0))</f>
        <v>33.2279909706546</v>
      </c>
      <c r="AI133" s="14" t="n">
        <f aca="false">IF($D133&lt;&gt;1,"",IF(AND($G133="IKS",ISNUMBER(INDEX(TblClusters[Fermeture retenue],$B133))),IF($E133&gt;=INDEX(TblClusters[Fermeture retenue],$B133),1,0),0))</f>
        <v>0</v>
      </c>
    </row>
    <row r="134" customFormat="false" ht="15" hidden="false" customHeight="false" outlineLevel="0" collapsed="false">
      <c r="A134" s="14" t="n">
        <v>129</v>
      </c>
      <c r="B134" s="14" t="n">
        <f aca="false">INT(($A134-1)/36)+1</f>
        <v>4</v>
      </c>
      <c r="C134" s="14" t="n">
        <f aca="false">MOD($A134-1,36)+1</f>
        <v>21</v>
      </c>
      <c r="D134" s="14" t="n">
        <f aca="false">IF($C134&gt;p_horizon,0,IFERROR(IF(AND(INDEX(TblClusters[Cluster],$B134)&lt;&gt;"",ISNUMBER(INDEX(TblClusters[CPU initial (vCPU)],$B134)),ISNUMBER(INDEX(TblClusters[CPU min (vCPU)],$B134)),OR(INDEX(TblClusters[Plateforme],$B134)="IKS",INDEX(TblClusters[Plateforme],$B134)="ROKS")),1,0),0))</f>
        <v>1</v>
      </c>
      <c r="E134" s="83" t="n">
        <f aca="false">IF($D134=1,EDATE(p_debut,$C134-1),"")</f>
        <v>46905</v>
      </c>
      <c r="F134" s="14" t="str">
        <f aca="false">IF($D134=1,INDEX(TblClusters[Cluster],$B134),"")</f>
        <v>ROKS-NPR-01</v>
      </c>
      <c r="G134" s="14" t="str">
        <f aca="false">IF($D134=1,INDEX(TblClusters[Plateforme],$B134),"")</f>
        <v>ROKS</v>
      </c>
      <c r="H134" s="14" t="n">
        <f aca="false">IF($D134=1,INDEX(TblClusters[vCPU par nœud],$B134),"")</f>
        <v>16</v>
      </c>
      <c r="I134" s="14" t="n">
        <f aca="false">IF($D134=1,INDEX(TblClusters[RAM par nœud (Go)],$B134),"")</f>
        <v>80</v>
      </c>
      <c r="J134" s="14" t="n">
        <f aca="false">IF($D134=1,INDEX(TblClusters[Workers min],$B134),"")</f>
        <v>6</v>
      </c>
      <c r="K134" s="84" t="n">
        <f aca="false">IF($D134=1,INDEX(TblClusters[Tarif par nœud],$B134),"")</f>
        <v>736</v>
      </c>
      <c r="L134" s="14" t="n">
        <f aca="false">IF($D134=1,INDEX(TblClusters[CPU initial (vCPU)],$B134),"")</f>
        <v>96</v>
      </c>
      <c r="M134" s="14" t="n">
        <f aca="false">IF($D134=1,INDEX(TblClusters[RAM initiale (Go)],$B134),"")</f>
        <v>480</v>
      </c>
      <c r="N134" s="14" t="n">
        <f aca="false">IF($D134=1,INDEX(TblClusters[CPU min (vCPU)],$B134),"")</f>
        <v>96</v>
      </c>
      <c r="O134" s="14" t="n">
        <f aca="false">IF($D134=1,INDEX(TblClusters[RAM min (Go)],$B134),"")</f>
        <v>480</v>
      </c>
      <c r="P134" s="14" t="n">
        <f aca="false">IF($D134&lt;&gt;1,"",IF($G134="ROKS",SUMIFS(TblApplications[Besoin ROKS CPU (vCPU)],TblApplications[Cluster ROKS cible],$F134,TblApplications[Action],"À migrer",TblApplications[Déjà incluse ROKS],"Non",TblApplications[Mois prov (calc)],"&lt;="&amp;$E134),SUMIFS(TblApplications[CPU IKS libérable (vCPU)],TblApplications[Cluster IKS source],$F134,TblApplications[Mois lib (calc)],"&lt;="&amp;$E134)))</f>
        <v>77</v>
      </c>
      <c r="Q134" s="14" t="n">
        <f aca="false">IF($D134&lt;&gt;1,"",IF($G134="ROKS",SUMIFS(TblApplications[Besoin ROKS RAM (Go)],TblApplications[Cluster ROKS cible],$F134,TblApplications[Action],"À migrer",TblApplications[Déjà incluse ROKS],"Non",TblApplications[Mois prov (calc)],"&lt;="&amp;$E134),SUMIFS(TblApplications[RAM IKS libérable (Go)],TblApplications[Cluster IKS source],$F134,TblApplications[Mois lib (calc)],"&lt;="&amp;$E134)))</f>
        <v>448</v>
      </c>
      <c r="R134" s="14" t="n">
        <f aca="false">IF($D134&lt;&gt;1,"",IF($G134="ROKS",$L134+$P134,IF($AI134=1,0,MAX($N134,$L134-$P134))))</f>
        <v>173</v>
      </c>
      <c r="S134" s="14" t="n">
        <f aca="false">IF($D134&lt;&gt;1,"",IF($G134="ROKS",$M134+$Q134,IF($AI134=1,0,MAX($O134,$M134-$Q134))))</f>
        <v>928</v>
      </c>
      <c r="T134" s="14" t="n">
        <f aca="false">IF($D134&lt;&gt;1,"",IF($AI134=1,0,MAX($J134,ROUNDUP(MAX($R134/$H134,$S134/$I134),0))))</f>
        <v>12</v>
      </c>
      <c r="U134" s="14" t="n">
        <f aca="false">IF($D134&lt;&gt;1,"",IF(p_mode="Nœud",$T134*$H134,$R134))</f>
        <v>192</v>
      </c>
      <c r="V134" s="14" t="n">
        <f aca="false">IF($D134&lt;&gt;1,"",IF(p_mode="Nœud",$T134*$I134,$S134))</f>
        <v>960</v>
      </c>
      <c r="W134" s="84" t="n">
        <f aca="false">IF($D134&lt;&gt;1,"",IF(p_mode="Nœud",$T134*$K134,$R134*IF($G134="IKS",p_iks_cpu,p_roks_cpu)+$S134*IF($G134="IKS",p_iks_ram,p_roks_ram))*p_facteur)</f>
        <v>8832</v>
      </c>
      <c r="X134" s="14" t="n">
        <f aca="false">IF($D134&lt;&gt;1,"",IF($G134="ROKS",$R134,IF($AI134=1,0,MAX($N134,$L134-SUMIFS(TblApplications[CPU IKS libérable (vCPU)],TblApplications[Cluster IKS source],$F134,TblApplications[Action],"À migrer",TblApplications[Mois prov (calc)],"&lt;="&amp;$E134)-SUMIFS(TblApplications[CPU IKS libérable (vCPU)],TblApplications[Cluster IKS source],$F134,TblApplications[Action],"À décommissionner",TblApplications[Mois lib (calc)],"&lt;="&amp;$E134)))))</f>
        <v>173</v>
      </c>
      <c r="Y134" s="14" t="n">
        <f aca="false">IF($D134&lt;&gt;1,"",IF($G134="ROKS",$S134,IF($AI134=1,0,MAX($O134,$M134-SUMIFS(TblApplications[RAM IKS libérable (Go)],TblApplications[Cluster IKS source],$F134,TblApplications[Action],"À migrer",TblApplications[Mois prov (calc)],"&lt;="&amp;$E134)-SUMIFS(TblApplications[RAM IKS libérable (Go)],TblApplications[Cluster IKS source],$F134,TblApplications[Action],"À décommissionner",TblApplications[Mois lib (calc)],"&lt;="&amp;$E134)))))</f>
        <v>928</v>
      </c>
      <c r="Z134" s="14" t="n">
        <f aca="false">IF($D134&lt;&gt;1,"",IF($AI134=1,0,MAX($J134,ROUNDUP(MAX($X134/$H134,$Y134/$I134),0))))</f>
        <v>12</v>
      </c>
      <c r="AA134" s="84" t="n">
        <f aca="false">IF($D134&lt;&gt;1,"",IF(p_mode="Nœud",$Z134*$K134,$X134*IF($G134="IKS",p_iks_cpu,p_roks_cpu)+$Y134*IF($G134="IKS",p_iks_ram,p_roks_ram))*p_facteur)</f>
        <v>8832</v>
      </c>
      <c r="AB134" s="14" t="n">
        <f aca="false">IF($D134&lt;&gt;1,"",MAX($J134,ROUNDUP(MAX($L134/$H134,$M134/$I134),0)))</f>
        <v>6</v>
      </c>
      <c r="AC134" s="84" t="n">
        <f aca="false">IF($D134&lt;&gt;1,"",IF(p_mode="Nœud",$AB134*$K134,$L134*IF($G134="IKS",p_iks_cpu,p_roks_cpu)+$M134*IF($G134="IKS",p_iks_ram,p_roks_ram))*p_facteur)</f>
        <v>4416</v>
      </c>
      <c r="AD134" s="14" t="n">
        <f aca="false">IF($D134&lt;&gt;1,"",IF(AND($G134="IKS",$AI134&lt;&gt;1,OR($L134-$P134&lt;$N134,$M134-$Q134&lt;$O134)),1,0))</f>
        <v>0</v>
      </c>
      <c r="AE134" s="14" t="n">
        <f aca="false">IF($D134&lt;&gt;1,"",IF(AND($G134="ROKS",$T134&gt;p_maxworkers),1,0))</f>
        <v>0</v>
      </c>
      <c r="AF134" s="14" t="str">
        <f aca="false">IF($D134&lt;&gt;1,"",IF(INDEX(TblClusters[Environnement],$B134)="","(vide)",INDEX(TblClusters[Environnement],$B134)))</f>
        <v>NPRD</v>
      </c>
      <c r="AG134" s="14" t="n">
        <f aca="false">IF($D134&lt;&gt;1,"",$R134+p_poidsram*$S134)</f>
        <v>265.8</v>
      </c>
      <c r="AH134" s="14" t="n">
        <f aca="false">IF($D134&lt;&gt;1,"",IFERROR($W134/$AG134,0))</f>
        <v>33.2279909706546</v>
      </c>
      <c r="AI134" s="14" t="n">
        <f aca="false">IF($D134&lt;&gt;1,"",IF(AND($G134="IKS",ISNUMBER(INDEX(TblClusters[Fermeture retenue],$B134))),IF($E134&gt;=INDEX(TblClusters[Fermeture retenue],$B134),1,0),0))</f>
        <v>0</v>
      </c>
    </row>
    <row r="135" customFormat="false" ht="15" hidden="false" customHeight="false" outlineLevel="0" collapsed="false">
      <c r="A135" s="14" t="n">
        <v>130</v>
      </c>
      <c r="B135" s="14" t="n">
        <f aca="false">INT(($A135-1)/36)+1</f>
        <v>4</v>
      </c>
      <c r="C135" s="14" t="n">
        <f aca="false">MOD($A135-1,36)+1</f>
        <v>22</v>
      </c>
      <c r="D135" s="14" t="n">
        <f aca="false">IF($C135&gt;p_horizon,0,IFERROR(IF(AND(INDEX(TblClusters[Cluster],$B135)&lt;&gt;"",ISNUMBER(INDEX(TblClusters[CPU initial (vCPU)],$B135)),ISNUMBER(INDEX(TblClusters[CPU min (vCPU)],$B135)),OR(INDEX(TblClusters[Plateforme],$B135)="IKS",INDEX(TblClusters[Plateforme],$B135)="ROKS")),1,0),0))</f>
        <v>1</v>
      </c>
      <c r="E135" s="83" t="n">
        <f aca="false">IF($D135=1,EDATE(p_debut,$C135-1),"")</f>
        <v>46935</v>
      </c>
      <c r="F135" s="14" t="str">
        <f aca="false">IF($D135=1,INDEX(TblClusters[Cluster],$B135),"")</f>
        <v>ROKS-NPR-01</v>
      </c>
      <c r="G135" s="14" t="str">
        <f aca="false">IF($D135=1,INDEX(TblClusters[Plateforme],$B135),"")</f>
        <v>ROKS</v>
      </c>
      <c r="H135" s="14" t="n">
        <f aca="false">IF($D135=1,INDEX(TblClusters[vCPU par nœud],$B135),"")</f>
        <v>16</v>
      </c>
      <c r="I135" s="14" t="n">
        <f aca="false">IF($D135=1,INDEX(TblClusters[RAM par nœud (Go)],$B135),"")</f>
        <v>80</v>
      </c>
      <c r="J135" s="14" t="n">
        <f aca="false">IF($D135=1,INDEX(TblClusters[Workers min],$B135),"")</f>
        <v>6</v>
      </c>
      <c r="K135" s="84" t="n">
        <f aca="false">IF($D135=1,INDEX(TblClusters[Tarif par nœud],$B135),"")</f>
        <v>736</v>
      </c>
      <c r="L135" s="14" t="n">
        <f aca="false">IF($D135=1,INDEX(TblClusters[CPU initial (vCPU)],$B135),"")</f>
        <v>96</v>
      </c>
      <c r="M135" s="14" t="n">
        <f aca="false">IF($D135=1,INDEX(TblClusters[RAM initiale (Go)],$B135),"")</f>
        <v>480</v>
      </c>
      <c r="N135" s="14" t="n">
        <f aca="false">IF($D135=1,INDEX(TblClusters[CPU min (vCPU)],$B135),"")</f>
        <v>96</v>
      </c>
      <c r="O135" s="14" t="n">
        <f aca="false">IF($D135=1,INDEX(TblClusters[RAM min (Go)],$B135),"")</f>
        <v>480</v>
      </c>
      <c r="P135" s="14" t="n">
        <f aca="false">IF($D135&lt;&gt;1,"",IF($G135="ROKS",SUMIFS(TblApplications[Besoin ROKS CPU (vCPU)],TblApplications[Cluster ROKS cible],$F135,TblApplications[Action],"À migrer",TblApplications[Déjà incluse ROKS],"Non",TblApplications[Mois prov (calc)],"&lt;="&amp;$E135),SUMIFS(TblApplications[CPU IKS libérable (vCPU)],TblApplications[Cluster IKS source],$F135,TblApplications[Mois lib (calc)],"&lt;="&amp;$E135)))</f>
        <v>77</v>
      </c>
      <c r="Q135" s="14" t="n">
        <f aca="false">IF($D135&lt;&gt;1,"",IF($G135="ROKS",SUMIFS(TblApplications[Besoin ROKS RAM (Go)],TblApplications[Cluster ROKS cible],$F135,TblApplications[Action],"À migrer",TblApplications[Déjà incluse ROKS],"Non",TblApplications[Mois prov (calc)],"&lt;="&amp;$E135),SUMIFS(TblApplications[RAM IKS libérable (Go)],TblApplications[Cluster IKS source],$F135,TblApplications[Mois lib (calc)],"&lt;="&amp;$E135)))</f>
        <v>448</v>
      </c>
      <c r="R135" s="14" t="n">
        <f aca="false">IF($D135&lt;&gt;1,"",IF($G135="ROKS",$L135+$P135,IF($AI135=1,0,MAX($N135,$L135-$P135))))</f>
        <v>173</v>
      </c>
      <c r="S135" s="14" t="n">
        <f aca="false">IF($D135&lt;&gt;1,"",IF($G135="ROKS",$M135+$Q135,IF($AI135=1,0,MAX($O135,$M135-$Q135))))</f>
        <v>928</v>
      </c>
      <c r="T135" s="14" t="n">
        <f aca="false">IF($D135&lt;&gt;1,"",IF($AI135=1,0,MAX($J135,ROUNDUP(MAX($R135/$H135,$S135/$I135),0))))</f>
        <v>12</v>
      </c>
      <c r="U135" s="14" t="n">
        <f aca="false">IF($D135&lt;&gt;1,"",IF(p_mode="Nœud",$T135*$H135,$R135))</f>
        <v>192</v>
      </c>
      <c r="V135" s="14" t="n">
        <f aca="false">IF($D135&lt;&gt;1,"",IF(p_mode="Nœud",$T135*$I135,$S135))</f>
        <v>960</v>
      </c>
      <c r="W135" s="84" t="n">
        <f aca="false">IF($D135&lt;&gt;1,"",IF(p_mode="Nœud",$T135*$K135,$R135*IF($G135="IKS",p_iks_cpu,p_roks_cpu)+$S135*IF($G135="IKS",p_iks_ram,p_roks_ram))*p_facteur)</f>
        <v>8832</v>
      </c>
      <c r="X135" s="14" t="n">
        <f aca="false">IF($D135&lt;&gt;1,"",IF($G135="ROKS",$R135,IF($AI135=1,0,MAX($N135,$L135-SUMIFS(TblApplications[CPU IKS libérable (vCPU)],TblApplications[Cluster IKS source],$F135,TblApplications[Action],"À migrer",TblApplications[Mois prov (calc)],"&lt;="&amp;$E135)-SUMIFS(TblApplications[CPU IKS libérable (vCPU)],TblApplications[Cluster IKS source],$F135,TblApplications[Action],"À décommissionner",TblApplications[Mois lib (calc)],"&lt;="&amp;$E135)))))</f>
        <v>173</v>
      </c>
      <c r="Y135" s="14" t="n">
        <f aca="false">IF($D135&lt;&gt;1,"",IF($G135="ROKS",$S135,IF($AI135=1,0,MAX($O135,$M135-SUMIFS(TblApplications[RAM IKS libérable (Go)],TblApplications[Cluster IKS source],$F135,TblApplications[Action],"À migrer",TblApplications[Mois prov (calc)],"&lt;="&amp;$E135)-SUMIFS(TblApplications[RAM IKS libérable (Go)],TblApplications[Cluster IKS source],$F135,TblApplications[Action],"À décommissionner",TblApplications[Mois lib (calc)],"&lt;="&amp;$E135)))))</f>
        <v>928</v>
      </c>
      <c r="Z135" s="14" t="n">
        <f aca="false">IF($D135&lt;&gt;1,"",IF($AI135=1,0,MAX($J135,ROUNDUP(MAX($X135/$H135,$Y135/$I135),0))))</f>
        <v>12</v>
      </c>
      <c r="AA135" s="84" t="n">
        <f aca="false">IF($D135&lt;&gt;1,"",IF(p_mode="Nœud",$Z135*$K135,$X135*IF($G135="IKS",p_iks_cpu,p_roks_cpu)+$Y135*IF($G135="IKS",p_iks_ram,p_roks_ram))*p_facteur)</f>
        <v>8832</v>
      </c>
      <c r="AB135" s="14" t="n">
        <f aca="false">IF($D135&lt;&gt;1,"",MAX($J135,ROUNDUP(MAX($L135/$H135,$M135/$I135),0)))</f>
        <v>6</v>
      </c>
      <c r="AC135" s="84" t="n">
        <f aca="false">IF($D135&lt;&gt;1,"",IF(p_mode="Nœud",$AB135*$K135,$L135*IF($G135="IKS",p_iks_cpu,p_roks_cpu)+$M135*IF($G135="IKS",p_iks_ram,p_roks_ram))*p_facteur)</f>
        <v>4416</v>
      </c>
      <c r="AD135" s="14" t="n">
        <f aca="false">IF($D135&lt;&gt;1,"",IF(AND($G135="IKS",$AI135&lt;&gt;1,OR($L135-$P135&lt;$N135,$M135-$Q135&lt;$O135)),1,0))</f>
        <v>0</v>
      </c>
      <c r="AE135" s="14" t="n">
        <f aca="false">IF($D135&lt;&gt;1,"",IF(AND($G135="ROKS",$T135&gt;p_maxworkers),1,0))</f>
        <v>0</v>
      </c>
      <c r="AF135" s="14" t="str">
        <f aca="false">IF($D135&lt;&gt;1,"",IF(INDEX(TblClusters[Environnement],$B135)="","(vide)",INDEX(TblClusters[Environnement],$B135)))</f>
        <v>NPRD</v>
      </c>
      <c r="AG135" s="14" t="n">
        <f aca="false">IF($D135&lt;&gt;1,"",$R135+p_poidsram*$S135)</f>
        <v>265.8</v>
      </c>
      <c r="AH135" s="14" t="n">
        <f aca="false">IF($D135&lt;&gt;1,"",IFERROR($W135/$AG135,0))</f>
        <v>33.2279909706546</v>
      </c>
      <c r="AI135" s="14" t="n">
        <f aca="false">IF($D135&lt;&gt;1,"",IF(AND($G135="IKS",ISNUMBER(INDEX(TblClusters[Fermeture retenue],$B135))),IF($E135&gt;=INDEX(TblClusters[Fermeture retenue],$B135),1,0),0))</f>
        <v>0</v>
      </c>
    </row>
    <row r="136" customFormat="false" ht="15" hidden="false" customHeight="false" outlineLevel="0" collapsed="false">
      <c r="A136" s="14" t="n">
        <v>131</v>
      </c>
      <c r="B136" s="14" t="n">
        <f aca="false">INT(($A136-1)/36)+1</f>
        <v>4</v>
      </c>
      <c r="C136" s="14" t="n">
        <f aca="false">MOD($A136-1,36)+1</f>
        <v>23</v>
      </c>
      <c r="D136" s="14" t="n">
        <f aca="false">IF($C136&gt;p_horizon,0,IFERROR(IF(AND(INDEX(TblClusters[Cluster],$B136)&lt;&gt;"",ISNUMBER(INDEX(TblClusters[CPU initial (vCPU)],$B136)),ISNUMBER(INDEX(TblClusters[CPU min (vCPU)],$B136)),OR(INDEX(TblClusters[Plateforme],$B136)="IKS",INDEX(TblClusters[Plateforme],$B136)="ROKS")),1,0),0))</f>
        <v>1</v>
      </c>
      <c r="E136" s="83" t="n">
        <f aca="false">IF($D136=1,EDATE(p_debut,$C136-1),"")</f>
        <v>46966</v>
      </c>
      <c r="F136" s="14" t="str">
        <f aca="false">IF($D136=1,INDEX(TblClusters[Cluster],$B136),"")</f>
        <v>ROKS-NPR-01</v>
      </c>
      <c r="G136" s="14" t="str">
        <f aca="false">IF($D136=1,INDEX(TblClusters[Plateforme],$B136),"")</f>
        <v>ROKS</v>
      </c>
      <c r="H136" s="14" t="n">
        <f aca="false">IF($D136=1,INDEX(TblClusters[vCPU par nœud],$B136),"")</f>
        <v>16</v>
      </c>
      <c r="I136" s="14" t="n">
        <f aca="false">IF($D136=1,INDEX(TblClusters[RAM par nœud (Go)],$B136),"")</f>
        <v>80</v>
      </c>
      <c r="J136" s="14" t="n">
        <f aca="false">IF($D136=1,INDEX(TblClusters[Workers min],$B136),"")</f>
        <v>6</v>
      </c>
      <c r="K136" s="84" t="n">
        <f aca="false">IF($D136=1,INDEX(TblClusters[Tarif par nœud],$B136),"")</f>
        <v>736</v>
      </c>
      <c r="L136" s="14" t="n">
        <f aca="false">IF($D136=1,INDEX(TblClusters[CPU initial (vCPU)],$B136),"")</f>
        <v>96</v>
      </c>
      <c r="M136" s="14" t="n">
        <f aca="false">IF($D136=1,INDEX(TblClusters[RAM initiale (Go)],$B136),"")</f>
        <v>480</v>
      </c>
      <c r="N136" s="14" t="n">
        <f aca="false">IF($D136=1,INDEX(TblClusters[CPU min (vCPU)],$B136),"")</f>
        <v>96</v>
      </c>
      <c r="O136" s="14" t="n">
        <f aca="false">IF($D136=1,INDEX(TblClusters[RAM min (Go)],$B136),"")</f>
        <v>480</v>
      </c>
      <c r="P136" s="14" t="n">
        <f aca="false">IF($D136&lt;&gt;1,"",IF($G136="ROKS",SUMIFS(TblApplications[Besoin ROKS CPU (vCPU)],TblApplications[Cluster ROKS cible],$F136,TblApplications[Action],"À migrer",TblApplications[Déjà incluse ROKS],"Non",TblApplications[Mois prov (calc)],"&lt;="&amp;$E136),SUMIFS(TblApplications[CPU IKS libérable (vCPU)],TblApplications[Cluster IKS source],$F136,TblApplications[Mois lib (calc)],"&lt;="&amp;$E136)))</f>
        <v>77</v>
      </c>
      <c r="Q136" s="14" t="n">
        <f aca="false">IF($D136&lt;&gt;1,"",IF($G136="ROKS",SUMIFS(TblApplications[Besoin ROKS RAM (Go)],TblApplications[Cluster ROKS cible],$F136,TblApplications[Action],"À migrer",TblApplications[Déjà incluse ROKS],"Non",TblApplications[Mois prov (calc)],"&lt;="&amp;$E136),SUMIFS(TblApplications[RAM IKS libérable (Go)],TblApplications[Cluster IKS source],$F136,TblApplications[Mois lib (calc)],"&lt;="&amp;$E136)))</f>
        <v>448</v>
      </c>
      <c r="R136" s="14" t="n">
        <f aca="false">IF($D136&lt;&gt;1,"",IF($G136="ROKS",$L136+$P136,IF($AI136=1,0,MAX($N136,$L136-$P136))))</f>
        <v>173</v>
      </c>
      <c r="S136" s="14" t="n">
        <f aca="false">IF($D136&lt;&gt;1,"",IF($G136="ROKS",$M136+$Q136,IF($AI136=1,0,MAX($O136,$M136-$Q136))))</f>
        <v>928</v>
      </c>
      <c r="T136" s="14" t="n">
        <f aca="false">IF($D136&lt;&gt;1,"",IF($AI136=1,0,MAX($J136,ROUNDUP(MAX($R136/$H136,$S136/$I136),0))))</f>
        <v>12</v>
      </c>
      <c r="U136" s="14" t="n">
        <f aca="false">IF($D136&lt;&gt;1,"",IF(p_mode="Nœud",$T136*$H136,$R136))</f>
        <v>192</v>
      </c>
      <c r="V136" s="14" t="n">
        <f aca="false">IF($D136&lt;&gt;1,"",IF(p_mode="Nœud",$T136*$I136,$S136))</f>
        <v>960</v>
      </c>
      <c r="W136" s="84" t="n">
        <f aca="false">IF($D136&lt;&gt;1,"",IF(p_mode="Nœud",$T136*$K136,$R136*IF($G136="IKS",p_iks_cpu,p_roks_cpu)+$S136*IF($G136="IKS",p_iks_ram,p_roks_ram))*p_facteur)</f>
        <v>8832</v>
      </c>
      <c r="X136" s="14" t="n">
        <f aca="false">IF($D136&lt;&gt;1,"",IF($G136="ROKS",$R136,IF($AI136=1,0,MAX($N136,$L136-SUMIFS(TblApplications[CPU IKS libérable (vCPU)],TblApplications[Cluster IKS source],$F136,TblApplications[Action],"À migrer",TblApplications[Mois prov (calc)],"&lt;="&amp;$E136)-SUMIFS(TblApplications[CPU IKS libérable (vCPU)],TblApplications[Cluster IKS source],$F136,TblApplications[Action],"À décommissionner",TblApplications[Mois lib (calc)],"&lt;="&amp;$E136)))))</f>
        <v>173</v>
      </c>
      <c r="Y136" s="14" t="n">
        <f aca="false">IF($D136&lt;&gt;1,"",IF($G136="ROKS",$S136,IF($AI136=1,0,MAX($O136,$M136-SUMIFS(TblApplications[RAM IKS libérable (Go)],TblApplications[Cluster IKS source],$F136,TblApplications[Action],"À migrer",TblApplications[Mois prov (calc)],"&lt;="&amp;$E136)-SUMIFS(TblApplications[RAM IKS libérable (Go)],TblApplications[Cluster IKS source],$F136,TblApplications[Action],"À décommissionner",TblApplications[Mois lib (calc)],"&lt;="&amp;$E136)))))</f>
        <v>928</v>
      </c>
      <c r="Z136" s="14" t="n">
        <f aca="false">IF($D136&lt;&gt;1,"",IF($AI136=1,0,MAX($J136,ROUNDUP(MAX($X136/$H136,$Y136/$I136),0))))</f>
        <v>12</v>
      </c>
      <c r="AA136" s="84" t="n">
        <f aca="false">IF($D136&lt;&gt;1,"",IF(p_mode="Nœud",$Z136*$K136,$X136*IF($G136="IKS",p_iks_cpu,p_roks_cpu)+$Y136*IF($G136="IKS",p_iks_ram,p_roks_ram))*p_facteur)</f>
        <v>8832</v>
      </c>
      <c r="AB136" s="14" t="n">
        <f aca="false">IF($D136&lt;&gt;1,"",MAX($J136,ROUNDUP(MAX($L136/$H136,$M136/$I136),0)))</f>
        <v>6</v>
      </c>
      <c r="AC136" s="84" t="n">
        <f aca="false">IF($D136&lt;&gt;1,"",IF(p_mode="Nœud",$AB136*$K136,$L136*IF($G136="IKS",p_iks_cpu,p_roks_cpu)+$M136*IF($G136="IKS",p_iks_ram,p_roks_ram))*p_facteur)</f>
        <v>4416</v>
      </c>
      <c r="AD136" s="14" t="n">
        <f aca="false">IF($D136&lt;&gt;1,"",IF(AND($G136="IKS",$AI136&lt;&gt;1,OR($L136-$P136&lt;$N136,$M136-$Q136&lt;$O136)),1,0))</f>
        <v>0</v>
      </c>
      <c r="AE136" s="14" t="n">
        <f aca="false">IF($D136&lt;&gt;1,"",IF(AND($G136="ROKS",$T136&gt;p_maxworkers),1,0))</f>
        <v>0</v>
      </c>
      <c r="AF136" s="14" t="str">
        <f aca="false">IF($D136&lt;&gt;1,"",IF(INDEX(TblClusters[Environnement],$B136)="","(vide)",INDEX(TblClusters[Environnement],$B136)))</f>
        <v>NPRD</v>
      </c>
      <c r="AG136" s="14" t="n">
        <f aca="false">IF($D136&lt;&gt;1,"",$R136+p_poidsram*$S136)</f>
        <v>265.8</v>
      </c>
      <c r="AH136" s="14" t="n">
        <f aca="false">IF($D136&lt;&gt;1,"",IFERROR($W136/$AG136,0))</f>
        <v>33.2279909706546</v>
      </c>
      <c r="AI136" s="14" t="n">
        <f aca="false">IF($D136&lt;&gt;1,"",IF(AND($G136="IKS",ISNUMBER(INDEX(TblClusters[Fermeture retenue],$B136))),IF($E136&gt;=INDEX(TblClusters[Fermeture retenue],$B136),1,0),0))</f>
        <v>0</v>
      </c>
    </row>
    <row r="137" customFormat="false" ht="15" hidden="false" customHeight="false" outlineLevel="0" collapsed="false">
      <c r="A137" s="14" t="n">
        <v>132</v>
      </c>
      <c r="B137" s="14" t="n">
        <f aca="false">INT(($A137-1)/36)+1</f>
        <v>4</v>
      </c>
      <c r="C137" s="14" t="n">
        <f aca="false">MOD($A137-1,36)+1</f>
        <v>24</v>
      </c>
      <c r="D137" s="14" t="n">
        <f aca="false">IF($C137&gt;p_horizon,0,IFERROR(IF(AND(INDEX(TblClusters[Cluster],$B137)&lt;&gt;"",ISNUMBER(INDEX(TblClusters[CPU initial (vCPU)],$B137)),ISNUMBER(INDEX(TblClusters[CPU min (vCPU)],$B137)),OR(INDEX(TblClusters[Plateforme],$B137)="IKS",INDEX(TblClusters[Plateforme],$B137)="ROKS")),1,0),0))</f>
        <v>1</v>
      </c>
      <c r="E137" s="83" t="n">
        <f aca="false">IF($D137=1,EDATE(p_debut,$C137-1),"")</f>
        <v>46997</v>
      </c>
      <c r="F137" s="14" t="str">
        <f aca="false">IF($D137=1,INDEX(TblClusters[Cluster],$B137),"")</f>
        <v>ROKS-NPR-01</v>
      </c>
      <c r="G137" s="14" t="str">
        <f aca="false">IF($D137=1,INDEX(TblClusters[Plateforme],$B137),"")</f>
        <v>ROKS</v>
      </c>
      <c r="H137" s="14" t="n">
        <f aca="false">IF($D137=1,INDEX(TblClusters[vCPU par nœud],$B137),"")</f>
        <v>16</v>
      </c>
      <c r="I137" s="14" t="n">
        <f aca="false">IF($D137=1,INDEX(TblClusters[RAM par nœud (Go)],$B137),"")</f>
        <v>80</v>
      </c>
      <c r="J137" s="14" t="n">
        <f aca="false">IF($D137=1,INDEX(TblClusters[Workers min],$B137),"")</f>
        <v>6</v>
      </c>
      <c r="K137" s="84" t="n">
        <f aca="false">IF($D137=1,INDEX(TblClusters[Tarif par nœud],$B137),"")</f>
        <v>736</v>
      </c>
      <c r="L137" s="14" t="n">
        <f aca="false">IF($D137=1,INDEX(TblClusters[CPU initial (vCPU)],$B137),"")</f>
        <v>96</v>
      </c>
      <c r="M137" s="14" t="n">
        <f aca="false">IF($D137=1,INDEX(TblClusters[RAM initiale (Go)],$B137),"")</f>
        <v>480</v>
      </c>
      <c r="N137" s="14" t="n">
        <f aca="false">IF($D137=1,INDEX(TblClusters[CPU min (vCPU)],$B137),"")</f>
        <v>96</v>
      </c>
      <c r="O137" s="14" t="n">
        <f aca="false">IF($D137=1,INDEX(TblClusters[RAM min (Go)],$B137),"")</f>
        <v>480</v>
      </c>
      <c r="P137" s="14" t="n">
        <f aca="false">IF($D137&lt;&gt;1,"",IF($G137="ROKS",SUMIFS(TblApplications[Besoin ROKS CPU (vCPU)],TblApplications[Cluster ROKS cible],$F137,TblApplications[Action],"À migrer",TblApplications[Déjà incluse ROKS],"Non",TblApplications[Mois prov (calc)],"&lt;="&amp;$E137),SUMIFS(TblApplications[CPU IKS libérable (vCPU)],TblApplications[Cluster IKS source],$F137,TblApplications[Mois lib (calc)],"&lt;="&amp;$E137)))</f>
        <v>77</v>
      </c>
      <c r="Q137" s="14" t="n">
        <f aca="false">IF($D137&lt;&gt;1,"",IF($G137="ROKS",SUMIFS(TblApplications[Besoin ROKS RAM (Go)],TblApplications[Cluster ROKS cible],$F137,TblApplications[Action],"À migrer",TblApplications[Déjà incluse ROKS],"Non",TblApplications[Mois prov (calc)],"&lt;="&amp;$E137),SUMIFS(TblApplications[RAM IKS libérable (Go)],TblApplications[Cluster IKS source],$F137,TblApplications[Mois lib (calc)],"&lt;="&amp;$E137)))</f>
        <v>448</v>
      </c>
      <c r="R137" s="14" t="n">
        <f aca="false">IF($D137&lt;&gt;1,"",IF($G137="ROKS",$L137+$P137,IF($AI137=1,0,MAX($N137,$L137-$P137))))</f>
        <v>173</v>
      </c>
      <c r="S137" s="14" t="n">
        <f aca="false">IF($D137&lt;&gt;1,"",IF($G137="ROKS",$M137+$Q137,IF($AI137=1,0,MAX($O137,$M137-$Q137))))</f>
        <v>928</v>
      </c>
      <c r="T137" s="14" t="n">
        <f aca="false">IF($D137&lt;&gt;1,"",IF($AI137=1,0,MAX($J137,ROUNDUP(MAX($R137/$H137,$S137/$I137),0))))</f>
        <v>12</v>
      </c>
      <c r="U137" s="14" t="n">
        <f aca="false">IF($D137&lt;&gt;1,"",IF(p_mode="Nœud",$T137*$H137,$R137))</f>
        <v>192</v>
      </c>
      <c r="V137" s="14" t="n">
        <f aca="false">IF($D137&lt;&gt;1,"",IF(p_mode="Nœud",$T137*$I137,$S137))</f>
        <v>960</v>
      </c>
      <c r="W137" s="84" t="n">
        <f aca="false">IF($D137&lt;&gt;1,"",IF(p_mode="Nœud",$T137*$K137,$R137*IF($G137="IKS",p_iks_cpu,p_roks_cpu)+$S137*IF($G137="IKS",p_iks_ram,p_roks_ram))*p_facteur)</f>
        <v>8832</v>
      </c>
      <c r="X137" s="14" t="n">
        <f aca="false">IF($D137&lt;&gt;1,"",IF($G137="ROKS",$R137,IF($AI137=1,0,MAX($N137,$L137-SUMIFS(TblApplications[CPU IKS libérable (vCPU)],TblApplications[Cluster IKS source],$F137,TblApplications[Action],"À migrer",TblApplications[Mois prov (calc)],"&lt;="&amp;$E137)-SUMIFS(TblApplications[CPU IKS libérable (vCPU)],TblApplications[Cluster IKS source],$F137,TblApplications[Action],"À décommissionner",TblApplications[Mois lib (calc)],"&lt;="&amp;$E137)))))</f>
        <v>173</v>
      </c>
      <c r="Y137" s="14" t="n">
        <f aca="false">IF($D137&lt;&gt;1,"",IF($G137="ROKS",$S137,IF($AI137=1,0,MAX($O137,$M137-SUMIFS(TblApplications[RAM IKS libérable (Go)],TblApplications[Cluster IKS source],$F137,TblApplications[Action],"À migrer",TblApplications[Mois prov (calc)],"&lt;="&amp;$E137)-SUMIFS(TblApplications[RAM IKS libérable (Go)],TblApplications[Cluster IKS source],$F137,TblApplications[Action],"À décommissionner",TblApplications[Mois lib (calc)],"&lt;="&amp;$E137)))))</f>
        <v>928</v>
      </c>
      <c r="Z137" s="14" t="n">
        <f aca="false">IF($D137&lt;&gt;1,"",IF($AI137=1,0,MAX($J137,ROUNDUP(MAX($X137/$H137,$Y137/$I137),0))))</f>
        <v>12</v>
      </c>
      <c r="AA137" s="84" t="n">
        <f aca="false">IF($D137&lt;&gt;1,"",IF(p_mode="Nœud",$Z137*$K137,$X137*IF($G137="IKS",p_iks_cpu,p_roks_cpu)+$Y137*IF($G137="IKS",p_iks_ram,p_roks_ram))*p_facteur)</f>
        <v>8832</v>
      </c>
      <c r="AB137" s="14" t="n">
        <f aca="false">IF($D137&lt;&gt;1,"",MAX($J137,ROUNDUP(MAX($L137/$H137,$M137/$I137),0)))</f>
        <v>6</v>
      </c>
      <c r="AC137" s="84" t="n">
        <f aca="false">IF($D137&lt;&gt;1,"",IF(p_mode="Nœud",$AB137*$K137,$L137*IF($G137="IKS",p_iks_cpu,p_roks_cpu)+$M137*IF($G137="IKS",p_iks_ram,p_roks_ram))*p_facteur)</f>
        <v>4416</v>
      </c>
      <c r="AD137" s="14" t="n">
        <f aca="false">IF($D137&lt;&gt;1,"",IF(AND($G137="IKS",$AI137&lt;&gt;1,OR($L137-$P137&lt;$N137,$M137-$Q137&lt;$O137)),1,0))</f>
        <v>0</v>
      </c>
      <c r="AE137" s="14" t="n">
        <f aca="false">IF($D137&lt;&gt;1,"",IF(AND($G137="ROKS",$T137&gt;p_maxworkers),1,0))</f>
        <v>0</v>
      </c>
      <c r="AF137" s="14" t="str">
        <f aca="false">IF($D137&lt;&gt;1,"",IF(INDEX(TblClusters[Environnement],$B137)="","(vide)",INDEX(TblClusters[Environnement],$B137)))</f>
        <v>NPRD</v>
      </c>
      <c r="AG137" s="14" t="n">
        <f aca="false">IF($D137&lt;&gt;1,"",$R137+p_poidsram*$S137)</f>
        <v>265.8</v>
      </c>
      <c r="AH137" s="14" t="n">
        <f aca="false">IF($D137&lt;&gt;1,"",IFERROR($W137/$AG137,0))</f>
        <v>33.2279909706546</v>
      </c>
      <c r="AI137" s="14" t="n">
        <f aca="false">IF($D137&lt;&gt;1,"",IF(AND($G137="IKS",ISNUMBER(INDEX(TblClusters[Fermeture retenue],$B137))),IF($E137&gt;=INDEX(TblClusters[Fermeture retenue],$B137),1,0),0))</f>
        <v>0</v>
      </c>
    </row>
    <row r="138" customFormat="false" ht="15" hidden="false" customHeight="false" outlineLevel="0" collapsed="false">
      <c r="A138" s="14" t="n">
        <v>133</v>
      </c>
      <c r="B138" s="14" t="n">
        <f aca="false">INT(($A138-1)/36)+1</f>
        <v>4</v>
      </c>
      <c r="C138" s="14" t="n">
        <f aca="false">MOD($A138-1,36)+1</f>
        <v>25</v>
      </c>
      <c r="D138" s="14" t="n">
        <f aca="false">IF($C138&gt;p_horizon,0,IFERROR(IF(AND(INDEX(TblClusters[Cluster],$B138)&lt;&gt;"",ISNUMBER(INDEX(TblClusters[CPU initial (vCPU)],$B138)),ISNUMBER(INDEX(TblClusters[CPU min (vCPU)],$B138)),OR(INDEX(TblClusters[Plateforme],$B138)="IKS",INDEX(TblClusters[Plateforme],$B138)="ROKS")),1,0),0))</f>
        <v>1</v>
      </c>
      <c r="E138" s="83" t="n">
        <f aca="false">IF($D138=1,EDATE(p_debut,$C138-1),"")</f>
        <v>47027</v>
      </c>
      <c r="F138" s="14" t="str">
        <f aca="false">IF($D138=1,INDEX(TblClusters[Cluster],$B138),"")</f>
        <v>ROKS-NPR-01</v>
      </c>
      <c r="G138" s="14" t="str">
        <f aca="false">IF($D138=1,INDEX(TblClusters[Plateforme],$B138),"")</f>
        <v>ROKS</v>
      </c>
      <c r="H138" s="14" t="n">
        <f aca="false">IF($D138=1,INDEX(TblClusters[vCPU par nœud],$B138),"")</f>
        <v>16</v>
      </c>
      <c r="I138" s="14" t="n">
        <f aca="false">IF($D138=1,INDEX(TblClusters[RAM par nœud (Go)],$B138),"")</f>
        <v>80</v>
      </c>
      <c r="J138" s="14" t="n">
        <f aca="false">IF($D138=1,INDEX(TblClusters[Workers min],$B138),"")</f>
        <v>6</v>
      </c>
      <c r="K138" s="84" t="n">
        <f aca="false">IF($D138=1,INDEX(TblClusters[Tarif par nœud],$B138),"")</f>
        <v>736</v>
      </c>
      <c r="L138" s="14" t="n">
        <f aca="false">IF($D138=1,INDEX(TblClusters[CPU initial (vCPU)],$B138),"")</f>
        <v>96</v>
      </c>
      <c r="M138" s="14" t="n">
        <f aca="false">IF($D138=1,INDEX(TblClusters[RAM initiale (Go)],$B138),"")</f>
        <v>480</v>
      </c>
      <c r="N138" s="14" t="n">
        <f aca="false">IF($D138=1,INDEX(TblClusters[CPU min (vCPU)],$B138),"")</f>
        <v>96</v>
      </c>
      <c r="O138" s="14" t="n">
        <f aca="false">IF($D138=1,INDEX(TblClusters[RAM min (Go)],$B138),"")</f>
        <v>480</v>
      </c>
      <c r="P138" s="14" t="n">
        <f aca="false">IF($D138&lt;&gt;1,"",IF($G138="ROKS",SUMIFS(TblApplications[Besoin ROKS CPU (vCPU)],TblApplications[Cluster ROKS cible],$F138,TblApplications[Action],"À migrer",TblApplications[Déjà incluse ROKS],"Non",TblApplications[Mois prov (calc)],"&lt;="&amp;$E138),SUMIFS(TblApplications[CPU IKS libérable (vCPU)],TblApplications[Cluster IKS source],$F138,TblApplications[Mois lib (calc)],"&lt;="&amp;$E138)))</f>
        <v>77</v>
      </c>
      <c r="Q138" s="14" t="n">
        <f aca="false">IF($D138&lt;&gt;1,"",IF($G138="ROKS",SUMIFS(TblApplications[Besoin ROKS RAM (Go)],TblApplications[Cluster ROKS cible],$F138,TblApplications[Action],"À migrer",TblApplications[Déjà incluse ROKS],"Non",TblApplications[Mois prov (calc)],"&lt;="&amp;$E138),SUMIFS(TblApplications[RAM IKS libérable (Go)],TblApplications[Cluster IKS source],$F138,TblApplications[Mois lib (calc)],"&lt;="&amp;$E138)))</f>
        <v>448</v>
      </c>
      <c r="R138" s="14" t="n">
        <f aca="false">IF($D138&lt;&gt;1,"",IF($G138="ROKS",$L138+$P138,IF($AI138=1,0,MAX($N138,$L138-$P138))))</f>
        <v>173</v>
      </c>
      <c r="S138" s="14" t="n">
        <f aca="false">IF($D138&lt;&gt;1,"",IF($G138="ROKS",$M138+$Q138,IF($AI138=1,0,MAX($O138,$M138-$Q138))))</f>
        <v>928</v>
      </c>
      <c r="T138" s="14" t="n">
        <f aca="false">IF($D138&lt;&gt;1,"",IF($AI138=1,0,MAX($J138,ROUNDUP(MAX($R138/$H138,$S138/$I138),0))))</f>
        <v>12</v>
      </c>
      <c r="U138" s="14" t="n">
        <f aca="false">IF($D138&lt;&gt;1,"",IF(p_mode="Nœud",$T138*$H138,$R138))</f>
        <v>192</v>
      </c>
      <c r="V138" s="14" t="n">
        <f aca="false">IF($D138&lt;&gt;1,"",IF(p_mode="Nœud",$T138*$I138,$S138))</f>
        <v>960</v>
      </c>
      <c r="W138" s="84" t="n">
        <f aca="false">IF($D138&lt;&gt;1,"",IF(p_mode="Nœud",$T138*$K138,$R138*IF($G138="IKS",p_iks_cpu,p_roks_cpu)+$S138*IF($G138="IKS",p_iks_ram,p_roks_ram))*p_facteur)</f>
        <v>8832</v>
      </c>
      <c r="X138" s="14" t="n">
        <f aca="false">IF($D138&lt;&gt;1,"",IF($G138="ROKS",$R138,IF($AI138=1,0,MAX($N138,$L138-SUMIFS(TblApplications[CPU IKS libérable (vCPU)],TblApplications[Cluster IKS source],$F138,TblApplications[Action],"À migrer",TblApplications[Mois prov (calc)],"&lt;="&amp;$E138)-SUMIFS(TblApplications[CPU IKS libérable (vCPU)],TblApplications[Cluster IKS source],$F138,TblApplications[Action],"À décommissionner",TblApplications[Mois lib (calc)],"&lt;="&amp;$E138)))))</f>
        <v>173</v>
      </c>
      <c r="Y138" s="14" t="n">
        <f aca="false">IF($D138&lt;&gt;1,"",IF($G138="ROKS",$S138,IF($AI138=1,0,MAX($O138,$M138-SUMIFS(TblApplications[RAM IKS libérable (Go)],TblApplications[Cluster IKS source],$F138,TblApplications[Action],"À migrer",TblApplications[Mois prov (calc)],"&lt;="&amp;$E138)-SUMIFS(TblApplications[RAM IKS libérable (Go)],TblApplications[Cluster IKS source],$F138,TblApplications[Action],"À décommissionner",TblApplications[Mois lib (calc)],"&lt;="&amp;$E138)))))</f>
        <v>928</v>
      </c>
      <c r="Z138" s="14" t="n">
        <f aca="false">IF($D138&lt;&gt;1,"",IF($AI138=1,0,MAX($J138,ROUNDUP(MAX($X138/$H138,$Y138/$I138),0))))</f>
        <v>12</v>
      </c>
      <c r="AA138" s="84" t="n">
        <f aca="false">IF($D138&lt;&gt;1,"",IF(p_mode="Nœud",$Z138*$K138,$X138*IF($G138="IKS",p_iks_cpu,p_roks_cpu)+$Y138*IF($G138="IKS",p_iks_ram,p_roks_ram))*p_facteur)</f>
        <v>8832</v>
      </c>
      <c r="AB138" s="14" t="n">
        <f aca="false">IF($D138&lt;&gt;1,"",MAX($J138,ROUNDUP(MAX($L138/$H138,$M138/$I138),0)))</f>
        <v>6</v>
      </c>
      <c r="AC138" s="84" t="n">
        <f aca="false">IF($D138&lt;&gt;1,"",IF(p_mode="Nœud",$AB138*$K138,$L138*IF($G138="IKS",p_iks_cpu,p_roks_cpu)+$M138*IF($G138="IKS",p_iks_ram,p_roks_ram))*p_facteur)</f>
        <v>4416</v>
      </c>
      <c r="AD138" s="14" t="n">
        <f aca="false">IF($D138&lt;&gt;1,"",IF(AND($G138="IKS",$AI138&lt;&gt;1,OR($L138-$P138&lt;$N138,$M138-$Q138&lt;$O138)),1,0))</f>
        <v>0</v>
      </c>
      <c r="AE138" s="14" t="n">
        <f aca="false">IF($D138&lt;&gt;1,"",IF(AND($G138="ROKS",$T138&gt;p_maxworkers),1,0))</f>
        <v>0</v>
      </c>
      <c r="AF138" s="14" t="str">
        <f aca="false">IF($D138&lt;&gt;1,"",IF(INDEX(TblClusters[Environnement],$B138)="","(vide)",INDEX(TblClusters[Environnement],$B138)))</f>
        <v>NPRD</v>
      </c>
      <c r="AG138" s="14" t="n">
        <f aca="false">IF($D138&lt;&gt;1,"",$R138+p_poidsram*$S138)</f>
        <v>265.8</v>
      </c>
      <c r="AH138" s="14" t="n">
        <f aca="false">IF($D138&lt;&gt;1,"",IFERROR($W138/$AG138,0))</f>
        <v>33.2279909706546</v>
      </c>
      <c r="AI138" s="14" t="n">
        <f aca="false">IF($D138&lt;&gt;1,"",IF(AND($G138="IKS",ISNUMBER(INDEX(TblClusters[Fermeture retenue],$B138))),IF($E138&gt;=INDEX(TblClusters[Fermeture retenue],$B138),1,0),0))</f>
        <v>0</v>
      </c>
    </row>
    <row r="139" customFormat="false" ht="15" hidden="false" customHeight="false" outlineLevel="0" collapsed="false">
      <c r="A139" s="14" t="n">
        <v>134</v>
      </c>
      <c r="B139" s="14" t="n">
        <f aca="false">INT(($A139-1)/36)+1</f>
        <v>4</v>
      </c>
      <c r="C139" s="14" t="n">
        <f aca="false">MOD($A139-1,36)+1</f>
        <v>26</v>
      </c>
      <c r="D139" s="14" t="n">
        <f aca="false">IF($C139&gt;p_horizon,0,IFERROR(IF(AND(INDEX(TblClusters[Cluster],$B139)&lt;&gt;"",ISNUMBER(INDEX(TblClusters[CPU initial (vCPU)],$B139)),ISNUMBER(INDEX(TblClusters[CPU min (vCPU)],$B139)),OR(INDEX(TblClusters[Plateforme],$B139)="IKS",INDEX(TblClusters[Plateforme],$B139)="ROKS")),1,0),0))</f>
        <v>1</v>
      </c>
      <c r="E139" s="83" t="n">
        <f aca="false">IF($D139=1,EDATE(p_debut,$C139-1),"")</f>
        <v>47058</v>
      </c>
      <c r="F139" s="14" t="str">
        <f aca="false">IF($D139=1,INDEX(TblClusters[Cluster],$B139),"")</f>
        <v>ROKS-NPR-01</v>
      </c>
      <c r="G139" s="14" t="str">
        <f aca="false">IF($D139=1,INDEX(TblClusters[Plateforme],$B139),"")</f>
        <v>ROKS</v>
      </c>
      <c r="H139" s="14" t="n">
        <f aca="false">IF($D139=1,INDEX(TblClusters[vCPU par nœud],$B139),"")</f>
        <v>16</v>
      </c>
      <c r="I139" s="14" t="n">
        <f aca="false">IF($D139=1,INDEX(TblClusters[RAM par nœud (Go)],$B139),"")</f>
        <v>80</v>
      </c>
      <c r="J139" s="14" t="n">
        <f aca="false">IF($D139=1,INDEX(TblClusters[Workers min],$B139),"")</f>
        <v>6</v>
      </c>
      <c r="K139" s="84" t="n">
        <f aca="false">IF($D139=1,INDEX(TblClusters[Tarif par nœud],$B139),"")</f>
        <v>736</v>
      </c>
      <c r="L139" s="14" t="n">
        <f aca="false">IF($D139=1,INDEX(TblClusters[CPU initial (vCPU)],$B139),"")</f>
        <v>96</v>
      </c>
      <c r="M139" s="14" t="n">
        <f aca="false">IF($D139=1,INDEX(TblClusters[RAM initiale (Go)],$B139),"")</f>
        <v>480</v>
      </c>
      <c r="N139" s="14" t="n">
        <f aca="false">IF($D139=1,INDEX(TblClusters[CPU min (vCPU)],$B139),"")</f>
        <v>96</v>
      </c>
      <c r="O139" s="14" t="n">
        <f aca="false">IF($D139=1,INDEX(TblClusters[RAM min (Go)],$B139),"")</f>
        <v>480</v>
      </c>
      <c r="P139" s="14" t="n">
        <f aca="false">IF($D139&lt;&gt;1,"",IF($G139="ROKS",SUMIFS(TblApplications[Besoin ROKS CPU (vCPU)],TblApplications[Cluster ROKS cible],$F139,TblApplications[Action],"À migrer",TblApplications[Déjà incluse ROKS],"Non",TblApplications[Mois prov (calc)],"&lt;="&amp;$E139),SUMIFS(TblApplications[CPU IKS libérable (vCPU)],TblApplications[Cluster IKS source],$F139,TblApplications[Mois lib (calc)],"&lt;="&amp;$E139)))</f>
        <v>77</v>
      </c>
      <c r="Q139" s="14" t="n">
        <f aca="false">IF($D139&lt;&gt;1,"",IF($G139="ROKS",SUMIFS(TblApplications[Besoin ROKS RAM (Go)],TblApplications[Cluster ROKS cible],$F139,TblApplications[Action],"À migrer",TblApplications[Déjà incluse ROKS],"Non",TblApplications[Mois prov (calc)],"&lt;="&amp;$E139),SUMIFS(TblApplications[RAM IKS libérable (Go)],TblApplications[Cluster IKS source],$F139,TblApplications[Mois lib (calc)],"&lt;="&amp;$E139)))</f>
        <v>448</v>
      </c>
      <c r="R139" s="14" t="n">
        <f aca="false">IF($D139&lt;&gt;1,"",IF($G139="ROKS",$L139+$P139,IF($AI139=1,0,MAX($N139,$L139-$P139))))</f>
        <v>173</v>
      </c>
      <c r="S139" s="14" t="n">
        <f aca="false">IF($D139&lt;&gt;1,"",IF($G139="ROKS",$M139+$Q139,IF($AI139=1,0,MAX($O139,$M139-$Q139))))</f>
        <v>928</v>
      </c>
      <c r="T139" s="14" t="n">
        <f aca="false">IF($D139&lt;&gt;1,"",IF($AI139=1,0,MAX($J139,ROUNDUP(MAX($R139/$H139,$S139/$I139),0))))</f>
        <v>12</v>
      </c>
      <c r="U139" s="14" t="n">
        <f aca="false">IF($D139&lt;&gt;1,"",IF(p_mode="Nœud",$T139*$H139,$R139))</f>
        <v>192</v>
      </c>
      <c r="V139" s="14" t="n">
        <f aca="false">IF($D139&lt;&gt;1,"",IF(p_mode="Nœud",$T139*$I139,$S139))</f>
        <v>960</v>
      </c>
      <c r="W139" s="84" t="n">
        <f aca="false">IF($D139&lt;&gt;1,"",IF(p_mode="Nœud",$T139*$K139,$R139*IF($G139="IKS",p_iks_cpu,p_roks_cpu)+$S139*IF($G139="IKS",p_iks_ram,p_roks_ram))*p_facteur)</f>
        <v>8832</v>
      </c>
      <c r="X139" s="14" t="n">
        <f aca="false">IF($D139&lt;&gt;1,"",IF($G139="ROKS",$R139,IF($AI139=1,0,MAX($N139,$L139-SUMIFS(TblApplications[CPU IKS libérable (vCPU)],TblApplications[Cluster IKS source],$F139,TblApplications[Action],"À migrer",TblApplications[Mois prov (calc)],"&lt;="&amp;$E139)-SUMIFS(TblApplications[CPU IKS libérable (vCPU)],TblApplications[Cluster IKS source],$F139,TblApplications[Action],"À décommissionner",TblApplications[Mois lib (calc)],"&lt;="&amp;$E139)))))</f>
        <v>173</v>
      </c>
      <c r="Y139" s="14" t="n">
        <f aca="false">IF($D139&lt;&gt;1,"",IF($G139="ROKS",$S139,IF($AI139=1,0,MAX($O139,$M139-SUMIFS(TblApplications[RAM IKS libérable (Go)],TblApplications[Cluster IKS source],$F139,TblApplications[Action],"À migrer",TblApplications[Mois prov (calc)],"&lt;="&amp;$E139)-SUMIFS(TblApplications[RAM IKS libérable (Go)],TblApplications[Cluster IKS source],$F139,TblApplications[Action],"À décommissionner",TblApplications[Mois lib (calc)],"&lt;="&amp;$E139)))))</f>
        <v>928</v>
      </c>
      <c r="Z139" s="14" t="n">
        <f aca="false">IF($D139&lt;&gt;1,"",IF($AI139=1,0,MAX($J139,ROUNDUP(MAX($X139/$H139,$Y139/$I139),0))))</f>
        <v>12</v>
      </c>
      <c r="AA139" s="84" t="n">
        <f aca="false">IF($D139&lt;&gt;1,"",IF(p_mode="Nœud",$Z139*$K139,$X139*IF($G139="IKS",p_iks_cpu,p_roks_cpu)+$Y139*IF($G139="IKS",p_iks_ram,p_roks_ram))*p_facteur)</f>
        <v>8832</v>
      </c>
      <c r="AB139" s="14" t="n">
        <f aca="false">IF($D139&lt;&gt;1,"",MAX($J139,ROUNDUP(MAX($L139/$H139,$M139/$I139),0)))</f>
        <v>6</v>
      </c>
      <c r="AC139" s="84" t="n">
        <f aca="false">IF($D139&lt;&gt;1,"",IF(p_mode="Nœud",$AB139*$K139,$L139*IF($G139="IKS",p_iks_cpu,p_roks_cpu)+$M139*IF($G139="IKS",p_iks_ram,p_roks_ram))*p_facteur)</f>
        <v>4416</v>
      </c>
      <c r="AD139" s="14" t="n">
        <f aca="false">IF($D139&lt;&gt;1,"",IF(AND($G139="IKS",$AI139&lt;&gt;1,OR($L139-$P139&lt;$N139,$M139-$Q139&lt;$O139)),1,0))</f>
        <v>0</v>
      </c>
      <c r="AE139" s="14" t="n">
        <f aca="false">IF($D139&lt;&gt;1,"",IF(AND($G139="ROKS",$T139&gt;p_maxworkers),1,0))</f>
        <v>0</v>
      </c>
      <c r="AF139" s="14" t="str">
        <f aca="false">IF($D139&lt;&gt;1,"",IF(INDEX(TblClusters[Environnement],$B139)="","(vide)",INDEX(TblClusters[Environnement],$B139)))</f>
        <v>NPRD</v>
      </c>
      <c r="AG139" s="14" t="n">
        <f aca="false">IF($D139&lt;&gt;1,"",$R139+p_poidsram*$S139)</f>
        <v>265.8</v>
      </c>
      <c r="AH139" s="14" t="n">
        <f aca="false">IF($D139&lt;&gt;1,"",IFERROR($W139/$AG139,0))</f>
        <v>33.2279909706546</v>
      </c>
      <c r="AI139" s="14" t="n">
        <f aca="false">IF($D139&lt;&gt;1,"",IF(AND($G139="IKS",ISNUMBER(INDEX(TblClusters[Fermeture retenue],$B139))),IF($E139&gt;=INDEX(TblClusters[Fermeture retenue],$B139),1,0),0))</f>
        <v>0</v>
      </c>
    </row>
    <row r="140" customFormat="false" ht="15" hidden="false" customHeight="false" outlineLevel="0" collapsed="false">
      <c r="A140" s="14" t="n">
        <v>135</v>
      </c>
      <c r="B140" s="14" t="n">
        <f aca="false">INT(($A140-1)/36)+1</f>
        <v>4</v>
      </c>
      <c r="C140" s="14" t="n">
        <f aca="false">MOD($A140-1,36)+1</f>
        <v>27</v>
      </c>
      <c r="D140" s="14" t="n">
        <f aca="false">IF($C140&gt;p_horizon,0,IFERROR(IF(AND(INDEX(TblClusters[Cluster],$B140)&lt;&gt;"",ISNUMBER(INDEX(TblClusters[CPU initial (vCPU)],$B140)),ISNUMBER(INDEX(TblClusters[CPU min (vCPU)],$B140)),OR(INDEX(TblClusters[Plateforme],$B140)="IKS",INDEX(TblClusters[Plateforme],$B140)="ROKS")),1,0),0))</f>
        <v>1</v>
      </c>
      <c r="E140" s="83" t="n">
        <f aca="false">IF($D140=1,EDATE(p_debut,$C140-1),"")</f>
        <v>47088</v>
      </c>
      <c r="F140" s="14" t="str">
        <f aca="false">IF($D140=1,INDEX(TblClusters[Cluster],$B140),"")</f>
        <v>ROKS-NPR-01</v>
      </c>
      <c r="G140" s="14" t="str">
        <f aca="false">IF($D140=1,INDEX(TblClusters[Plateforme],$B140),"")</f>
        <v>ROKS</v>
      </c>
      <c r="H140" s="14" t="n">
        <f aca="false">IF($D140=1,INDEX(TblClusters[vCPU par nœud],$B140),"")</f>
        <v>16</v>
      </c>
      <c r="I140" s="14" t="n">
        <f aca="false">IF($D140=1,INDEX(TblClusters[RAM par nœud (Go)],$B140),"")</f>
        <v>80</v>
      </c>
      <c r="J140" s="14" t="n">
        <f aca="false">IF($D140=1,INDEX(TblClusters[Workers min],$B140),"")</f>
        <v>6</v>
      </c>
      <c r="K140" s="84" t="n">
        <f aca="false">IF($D140=1,INDEX(TblClusters[Tarif par nœud],$B140),"")</f>
        <v>736</v>
      </c>
      <c r="L140" s="14" t="n">
        <f aca="false">IF($D140=1,INDEX(TblClusters[CPU initial (vCPU)],$B140),"")</f>
        <v>96</v>
      </c>
      <c r="M140" s="14" t="n">
        <f aca="false">IF($D140=1,INDEX(TblClusters[RAM initiale (Go)],$B140),"")</f>
        <v>480</v>
      </c>
      <c r="N140" s="14" t="n">
        <f aca="false">IF($D140=1,INDEX(TblClusters[CPU min (vCPU)],$B140),"")</f>
        <v>96</v>
      </c>
      <c r="O140" s="14" t="n">
        <f aca="false">IF($D140=1,INDEX(TblClusters[RAM min (Go)],$B140),"")</f>
        <v>480</v>
      </c>
      <c r="P140" s="14" t="n">
        <f aca="false">IF($D140&lt;&gt;1,"",IF($G140="ROKS",SUMIFS(TblApplications[Besoin ROKS CPU (vCPU)],TblApplications[Cluster ROKS cible],$F140,TblApplications[Action],"À migrer",TblApplications[Déjà incluse ROKS],"Non",TblApplications[Mois prov (calc)],"&lt;="&amp;$E140),SUMIFS(TblApplications[CPU IKS libérable (vCPU)],TblApplications[Cluster IKS source],$F140,TblApplications[Mois lib (calc)],"&lt;="&amp;$E140)))</f>
        <v>77</v>
      </c>
      <c r="Q140" s="14" t="n">
        <f aca="false">IF($D140&lt;&gt;1,"",IF($G140="ROKS",SUMIFS(TblApplications[Besoin ROKS RAM (Go)],TblApplications[Cluster ROKS cible],$F140,TblApplications[Action],"À migrer",TblApplications[Déjà incluse ROKS],"Non",TblApplications[Mois prov (calc)],"&lt;="&amp;$E140),SUMIFS(TblApplications[RAM IKS libérable (Go)],TblApplications[Cluster IKS source],$F140,TblApplications[Mois lib (calc)],"&lt;="&amp;$E140)))</f>
        <v>448</v>
      </c>
      <c r="R140" s="14" t="n">
        <f aca="false">IF($D140&lt;&gt;1,"",IF($G140="ROKS",$L140+$P140,IF($AI140=1,0,MAX($N140,$L140-$P140))))</f>
        <v>173</v>
      </c>
      <c r="S140" s="14" t="n">
        <f aca="false">IF($D140&lt;&gt;1,"",IF($G140="ROKS",$M140+$Q140,IF($AI140=1,0,MAX($O140,$M140-$Q140))))</f>
        <v>928</v>
      </c>
      <c r="T140" s="14" t="n">
        <f aca="false">IF($D140&lt;&gt;1,"",IF($AI140=1,0,MAX($J140,ROUNDUP(MAX($R140/$H140,$S140/$I140),0))))</f>
        <v>12</v>
      </c>
      <c r="U140" s="14" t="n">
        <f aca="false">IF($D140&lt;&gt;1,"",IF(p_mode="Nœud",$T140*$H140,$R140))</f>
        <v>192</v>
      </c>
      <c r="V140" s="14" t="n">
        <f aca="false">IF($D140&lt;&gt;1,"",IF(p_mode="Nœud",$T140*$I140,$S140))</f>
        <v>960</v>
      </c>
      <c r="W140" s="84" t="n">
        <f aca="false">IF($D140&lt;&gt;1,"",IF(p_mode="Nœud",$T140*$K140,$R140*IF($G140="IKS",p_iks_cpu,p_roks_cpu)+$S140*IF($G140="IKS",p_iks_ram,p_roks_ram))*p_facteur)</f>
        <v>8832</v>
      </c>
      <c r="X140" s="14" t="n">
        <f aca="false">IF($D140&lt;&gt;1,"",IF($G140="ROKS",$R140,IF($AI140=1,0,MAX($N140,$L140-SUMIFS(TblApplications[CPU IKS libérable (vCPU)],TblApplications[Cluster IKS source],$F140,TblApplications[Action],"À migrer",TblApplications[Mois prov (calc)],"&lt;="&amp;$E140)-SUMIFS(TblApplications[CPU IKS libérable (vCPU)],TblApplications[Cluster IKS source],$F140,TblApplications[Action],"À décommissionner",TblApplications[Mois lib (calc)],"&lt;="&amp;$E140)))))</f>
        <v>173</v>
      </c>
      <c r="Y140" s="14" t="n">
        <f aca="false">IF($D140&lt;&gt;1,"",IF($G140="ROKS",$S140,IF($AI140=1,0,MAX($O140,$M140-SUMIFS(TblApplications[RAM IKS libérable (Go)],TblApplications[Cluster IKS source],$F140,TblApplications[Action],"À migrer",TblApplications[Mois prov (calc)],"&lt;="&amp;$E140)-SUMIFS(TblApplications[RAM IKS libérable (Go)],TblApplications[Cluster IKS source],$F140,TblApplications[Action],"À décommissionner",TblApplications[Mois lib (calc)],"&lt;="&amp;$E140)))))</f>
        <v>928</v>
      </c>
      <c r="Z140" s="14" t="n">
        <f aca="false">IF($D140&lt;&gt;1,"",IF($AI140=1,0,MAX($J140,ROUNDUP(MAX($X140/$H140,$Y140/$I140),0))))</f>
        <v>12</v>
      </c>
      <c r="AA140" s="84" t="n">
        <f aca="false">IF($D140&lt;&gt;1,"",IF(p_mode="Nœud",$Z140*$K140,$X140*IF($G140="IKS",p_iks_cpu,p_roks_cpu)+$Y140*IF($G140="IKS",p_iks_ram,p_roks_ram))*p_facteur)</f>
        <v>8832</v>
      </c>
      <c r="AB140" s="14" t="n">
        <f aca="false">IF($D140&lt;&gt;1,"",MAX($J140,ROUNDUP(MAX($L140/$H140,$M140/$I140),0)))</f>
        <v>6</v>
      </c>
      <c r="AC140" s="84" t="n">
        <f aca="false">IF($D140&lt;&gt;1,"",IF(p_mode="Nœud",$AB140*$K140,$L140*IF($G140="IKS",p_iks_cpu,p_roks_cpu)+$M140*IF($G140="IKS",p_iks_ram,p_roks_ram))*p_facteur)</f>
        <v>4416</v>
      </c>
      <c r="AD140" s="14" t="n">
        <f aca="false">IF($D140&lt;&gt;1,"",IF(AND($G140="IKS",$AI140&lt;&gt;1,OR($L140-$P140&lt;$N140,$M140-$Q140&lt;$O140)),1,0))</f>
        <v>0</v>
      </c>
      <c r="AE140" s="14" t="n">
        <f aca="false">IF($D140&lt;&gt;1,"",IF(AND($G140="ROKS",$T140&gt;p_maxworkers),1,0))</f>
        <v>0</v>
      </c>
      <c r="AF140" s="14" t="str">
        <f aca="false">IF($D140&lt;&gt;1,"",IF(INDEX(TblClusters[Environnement],$B140)="","(vide)",INDEX(TblClusters[Environnement],$B140)))</f>
        <v>NPRD</v>
      </c>
      <c r="AG140" s="14" t="n">
        <f aca="false">IF($D140&lt;&gt;1,"",$R140+p_poidsram*$S140)</f>
        <v>265.8</v>
      </c>
      <c r="AH140" s="14" t="n">
        <f aca="false">IF($D140&lt;&gt;1,"",IFERROR($W140/$AG140,0))</f>
        <v>33.2279909706546</v>
      </c>
      <c r="AI140" s="14" t="n">
        <f aca="false">IF($D140&lt;&gt;1,"",IF(AND($G140="IKS",ISNUMBER(INDEX(TblClusters[Fermeture retenue],$B140))),IF($E140&gt;=INDEX(TblClusters[Fermeture retenue],$B140),1,0),0))</f>
        <v>0</v>
      </c>
    </row>
    <row r="141" customFormat="false" ht="15" hidden="false" customHeight="false" outlineLevel="0" collapsed="false">
      <c r="A141" s="14" t="n">
        <v>136</v>
      </c>
      <c r="B141" s="14" t="n">
        <f aca="false">INT(($A141-1)/36)+1</f>
        <v>4</v>
      </c>
      <c r="C141" s="14" t="n">
        <f aca="false">MOD($A141-1,36)+1</f>
        <v>28</v>
      </c>
      <c r="D141" s="14" t="n">
        <f aca="false">IF($C141&gt;p_horizon,0,IFERROR(IF(AND(INDEX(TblClusters[Cluster],$B141)&lt;&gt;"",ISNUMBER(INDEX(TblClusters[CPU initial (vCPU)],$B141)),ISNUMBER(INDEX(TblClusters[CPU min (vCPU)],$B141)),OR(INDEX(TblClusters[Plateforme],$B141)="IKS",INDEX(TblClusters[Plateforme],$B141)="ROKS")),1,0),0))</f>
        <v>1</v>
      </c>
      <c r="E141" s="83" t="n">
        <f aca="false">IF($D141=1,EDATE(p_debut,$C141-1),"")</f>
        <v>47119</v>
      </c>
      <c r="F141" s="14" t="str">
        <f aca="false">IF($D141=1,INDEX(TblClusters[Cluster],$B141),"")</f>
        <v>ROKS-NPR-01</v>
      </c>
      <c r="G141" s="14" t="str">
        <f aca="false">IF($D141=1,INDEX(TblClusters[Plateforme],$B141),"")</f>
        <v>ROKS</v>
      </c>
      <c r="H141" s="14" t="n">
        <f aca="false">IF($D141=1,INDEX(TblClusters[vCPU par nœud],$B141),"")</f>
        <v>16</v>
      </c>
      <c r="I141" s="14" t="n">
        <f aca="false">IF($D141=1,INDEX(TblClusters[RAM par nœud (Go)],$B141),"")</f>
        <v>80</v>
      </c>
      <c r="J141" s="14" t="n">
        <f aca="false">IF($D141=1,INDEX(TblClusters[Workers min],$B141),"")</f>
        <v>6</v>
      </c>
      <c r="K141" s="84" t="n">
        <f aca="false">IF($D141=1,INDEX(TblClusters[Tarif par nœud],$B141),"")</f>
        <v>736</v>
      </c>
      <c r="L141" s="14" t="n">
        <f aca="false">IF($D141=1,INDEX(TblClusters[CPU initial (vCPU)],$B141),"")</f>
        <v>96</v>
      </c>
      <c r="M141" s="14" t="n">
        <f aca="false">IF($D141=1,INDEX(TblClusters[RAM initiale (Go)],$B141),"")</f>
        <v>480</v>
      </c>
      <c r="N141" s="14" t="n">
        <f aca="false">IF($D141=1,INDEX(TblClusters[CPU min (vCPU)],$B141),"")</f>
        <v>96</v>
      </c>
      <c r="O141" s="14" t="n">
        <f aca="false">IF($D141=1,INDEX(TblClusters[RAM min (Go)],$B141),"")</f>
        <v>480</v>
      </c>
      <c r="P141" s="14" t="n">
        <f aca="false">IF($D141&lt;&gt;1,"",IF($G141="ROKS",SUMIFS(TblApplications[Besoin ROKS CPU (vCPU)],TblApplications[Cluster ROKS cible],$F141,TblApplications[Action],"À migrer",TblApplications[Déjà incluse ROKS],"Non",TblApplications[Mois prov (calc)],"&lt;="&amp;$E141),SUMIFS(TblApplications[CPU IKS libérable (vCPU)],TblApplications[Cluster IKS source],$F141,TblApplications[Mois lib (calc)],"&lt;="&amp;$E141)))</f>
        <v>77</v>
      </c>
      <c r="Q141" s="14" t="n">
        <f aca="false">IF($D141&lt;&gt;1,"",IF($G141="ROKS",SUMIFS(TblApplications[Besoin ROKS RAM (Go)],TblApplications[Cluster ROKS cible],$F141,TblApplications[Action],"À migrer",TblApplications[Déjà incluse ROKS],"Non",TblApplications[Mois prov (calc)],"&lt;="&amp;$E141),SUMIFS(TblApplications[RAM IKS libérable (Go)],TblApplications[Cluster IKS source],$F141,TblApplications[Mois lib (calc)],"&lt;="&amp;$E141)))</f>
        <v>448</v>
      </c>
      <c r="R141" s="14" t="n">
        <f aca="false">IF($D141&lt;&gt;1,"",IF($G141="ROKS",$L141+$P141,IF($AI141=1,0,MAX($N141,$L141-$P141))))</f>
        <v>173</v>
      </c>
      <c r="S141" s="14" t="n">
        <f aca="false">IF($D141&lt;&gt;1,"",IF($G141="ROKS",$M141+$Q141,IF($AI141=1,0,MAX($O141,$M141-$Q141))))</f>
        <v>928</v>
      </c>
      <c r="T141" s="14" t="n">
        <f aca="false">IF($D141&lt;&gt;1,"",IF($AI141=1,0,MAX($J141,ROUNDUP(MAX($R141/$H141,$S141/$I141),0))))</f>
        <v>12</v>
      </c>
      <c r="U141" s="14" t="n">
        <f aca="false">IF($D141&lt;&gt;1,"",IF(p_mode="Nœud",$T141*$H141,$R141))</f>
        <v>192</v>
      </c>
      <c r="V141" s="14" t="n">
        <f aca="false">IF($D141&lt;&gt;1,"",IF(p_mode="Nœud",$T141*$I141,$S141))</f>
        <v>960</v>
      </c>
      <c r="W141" s="84" t="n">
        <f aca="false">IF($D141&lt;&gt;1,"",IF(p_mode="Nœud",$T141*$K141,$R141*IF($G141="IKS",p_iks_cpu,p_roks_cpu)+$S141*IF($G141="IKS",p_iks_ram,p_roks_ram))*p_facteur)</f>
        <v>8832</v>
      </c>
      <c r="X141" s="14" t="n">
        <f aca="false">IF($D141&lt;&gt;1,"",IF($G141="ROKS",$R141,IF($AI141=1,0,MAX($N141,$L141-SUMIFS(TblApplications[CPU IKS libérable (vCPU)],TblApplications[Cluster IKS source],$F141,TblApplications[Action],"À migrer",TblApplications[Mois prov (calc)],"&lt;="&amp;$E141)-SUMIFS(TblApplications[CPU IKS libérable (vCPU)],TblApplications[Cluster IKS source],$F141,TblApplications[Action],"À décommissionner",TblApplications[Mois lib (calc)],"&lt;="&amp;$E141)))))</f>
        <v>173</v>
      </c>
      <c r="Y141" s="14" t="n">
        <f aca="false">IF($D141&lt;&gt;1,"",IF($G141="ROKS",$S141,IF($AI141=1,0,MAX($O141,$M141-SUMIFS(TblApplications[RAM IKS libérable (Go)],TblApplications[Cluster IKS source],$F141,TblApplications[Action],"À migrer",TblApplications[Mois prov (calc)],"&lt;="&amp;$E141)-SUMIFS(TblApplications[RAM IKS libérable (Go)],TblApplications[Cluster IKS source],$F141,TblApplications[Action],"À décommissionner",TblApplications[Mois lib (calc)],"&lt;="&amp;$E141)))))</f>
        <v>928</v>
      </c>
      <c r="Z141" s="14" t="n">
        <f aca="false">IF($D141&lt;&gt;1,"",IF($AI141=1,0,MAX($J141,ROUNDUP(MAX($X141/$H141,$Y141/$I141),0))))</f>
        <v>12</v>
      </c>
      <c r="AA141" s="84" t="n">
        <f aca="false">IF($D141&lt;&gt;1,"",IF(p_mode="Nœud",$Z141*$K141,$X141*IF($G141="IKS",p_iks_cpu,p_roks_cpu)+$Y141*IF($G141="IKS",p_iks_ram,p_roks_ram))*p_facteur)</f>
        <v>8832</v>
      </c>
      <c r="AB141" s="14" t="n">
        <f aca="false">IF($D141&lt;&gt;1,"",MAX($J141,ROUNDUP(MAX($L141/$H141,$M141/$I141),0)))</f>
        <v>6</v>
      </c>
      <c r="AC141" s="84" t="n">
        <f aca="false">IF($D141&lt;&gt;1,"",IF(p_mode="Nœud",$AB141*$K141,$L141*IF($G141="IKS",p_iks_cpu,p_roks_cpu)+$M141*IF($G141="IKS",p_iks_ram,p_roks_ram))*p_facteur)</f>
        <v>4416</v>
      </c>
      <c r="AD141" s="14" t="n">
        <f aca="false">IF($D141&lt;&gt;1,"",IF(AND($G141="IKS",$AI141&lt;&gt;1,OR($L141-$P141&lt;$N141,$M141-$Q141&lt;$O141)),1,0))</f>
        <v>0</v>
      </c>
      <c r="AE141" s="14" t="n">
        <f aca="false">IF($D141&lt;&gt;1,"",IF(AND($G141="ROKS",$T141&gt;p_maxworkers),1,0))</f>
        <v>0</v>
      </c>
      <c r="AF141" s="14" t="str">
        <f aca="false">IF($D141&lt;&gt;1,"",IF(INDEX(TblClusters[Environnement],$B141)="","(vide)",INDEX(TblClusters[Environnement],$B141)))</f>
        <v>NPRD</v>
      </c>
      <c r="AG141" s="14" t="n">
        <f aca="false">IF($D141&lt;&gt;1,"",$R141+p_poidsram*$S141)</f>
        <v>265.8</v>
      </c>
      <c r="AH141" s="14" t="n">
        <f aca="false">IF($D141&lt;&gt;1,"",IFERROR($W141/$AG141,0))</f>
        <v>33.2279909706546</v>
      </c>
      <c r="AI141" s="14" t="n">
        <f aca="false">IF($D141&lt;&gt;1,"",IF(AND($G141="IKS",ISNUMBER(INDEX(TblClusters[Fermeture retenue],$B141))),IF($E141&gt;=INDEX(TblClusters[Fermeture retenue],$B141),1,0),0))</f>
        <v>0</v>
      </c>
    </row>
    <row r="142" customFormat="false" ht="15" hidden="false" customHeight="false" outlineLevel="0" collapsed="false">
      <c r="A142" s="14" t="n">
        <v>137</v>
      </c>
      <c r="B142" s="14" t="n">
        <f aca="false">INT(($A142-1)/36)+1</f>
        <v>4</v>
      </c>
      <c r="C142" s="14" t="n">
        <f aca="false">MOD($A142-1,36)+1</f>
        <v>29</v>
      </c>
      <c r="D142" s="14" t="n">
        <f aca="false">IF($C142&gt;p_horizon,0,IFERROR(IF(AND(INDEX(TblClusters[Cluster],$B142)&lt;&gt;"",ISNUMBER(INDEX(TblClusters[CPU initial (vCPU)],$B142)),ISNUMBER(INDEX(TblClusters[CPU min (vCPU)],$B142)),OR(INDEX(TblClusters[Plateforme],$B142)="IKS",INDEX(TblClusters[Plateforme],$B142)="ROKS")),1,0),0))</f>
        <v>1</v>
      </c>
      <c r="E142" s="83" t="n">
        <f aca="false">IF($D142=1,EDATE(p_debut,$C142-1),"")</f>
        <v>47150</v>
      </c>
      <c r="F142" s="14" t="str">
        <f aca="false">IF($D142=1,INDEX(TblClusters[Cluster],$B142),"")</f>
        <v>ROKS-NPR-01</v>
      </c>
      <c r="G142" s="14" t="str">
        <f aca="false">IF($D142=1,INDEX(TblClusters[Plateforme],$B142),"")</f>
        <v>ROKS</v>
      </c>
      <c r="H142" s="14" t="n">
        <f aca="false">IF($D142=1,INDEX(TblClusters[vCPU par nœud],$B142),"")</f>
        <v>16</v>
      </c>
      <c r="I142" s="14" t="n">
        <f aca="false">IF($D142=1,INDEX(TblClusters[RAM par nœud (Go)],$B142),"")</f>
        <v>80</v>
      </c>
      <c r="J142" s="14" t="n">
        <f aca="false">IF($D142=1,INDEX(TblClusters[Workers min],$B142),"")</f>
        <v>6</v>
      </c>
      <c r="K142" s="84" t="n">
        <f aca="false">IF($D142=1,INDEX(TblClusters[Tarif par nœud],$B142),"")</f>
        <v>736</v>
      </c>
      <c r="L142" s="14" t="n">
        <f aca="false">IF($D142=1,INDEX(TblClusters[CPU initial (vCPU)],$B142),"")</f>
        <v>96</v>
      </c>
      <c r="M142" s="14" t="n">
        <f aca="false">IF($D142=1,INDEX(TblClusters[RAM initiale (Go)],$B142),"")</f>
        <v>480</v>
      </c>
      <c r="N142" s="14" t="n">
        <f aca="false">IF($D142=1,INDEX(TblClusters[CPU min (vCPU)],$B142),"")</f>
        <v>96</v>
      </c>
      <c r="O142" s="14" t="n">
        <f aca="false">IF($D142=1,INDEX(TblClusters[RAM min (Go)],$B142),"")</f>
        <v>480</v>
      </c>
      <c r="P142" s="14" t="n">
        <f aca="false">IF($D142&lt;&gt;1,"",IF($G142="ROKS",SUMIFS(TblApplications[Besoin ROKS CPU (vCPU)],TblApplications[Cluster ROKS cible],$F142,TblApplications[Action],"À migrer",TblApplications[Déjà incluse ROKS],"Non",TblApplications[Mois prov (calc)],"&lt;="&amp;$E142),SUMIFS(TblApplications[CPU IKS libérable (vCPU)],TblApplications[Cluster IKS source],$F142,TblApplications[Mois lib (calc)],"&lt;="&amp;$E142)))</f>
        <v>77</v>
      </c>
      <c r="Q142" s="14" t="n">
        <f aca="false">IF($D142&lt;&gt;1,"",IF($G142="ROKS",SUMIFS(TblApplications[Besoin ROKS RAM (Go)],TblApplications[Cluster ROKS cible],$F142,TblApplications[Action],"À migrer",TblApplications[Déjà incluse ROKS],"Non",TblApplications[Mois prov (calc)],"&lt;="&amp;$E142),SUMIFS(TblApplications[RAM IKS libérable (Go)],TblApplications[Cluster IKS source],$F142,TblApplications[Mois lib (calc)],"&lt;="&amp;$E142)))</f>
        <v>448</v>
      </c>
      <c r="R142" s="14" t="n">
        <f aca="false">IF($D142&lt;&gt;1,"",IF($G142="ROKS",$L142+$P142,IF($AI142=1,0,MAX($N142,$L142-$P142))))</f>
        <v>173</v>
      </c>
      <c r="S142" s="14" t="n">
        <f aca="false">IF($D142&lt;&gt;1,"",IF($G142="ROKS",$M142+$Q142,IF($AI142=1,0,MAX($O142,$M142-$Q142))))</f>
        <v>928</v>
      </c>
      <c r="T142" s="14" t="n">
        <f aca="false">IF($D142&lt;&gt;1,"",IF($AI142=1,0,MAX($J142,ROUNDUP(MAX($R142/$H142,$S142/$I142),0))))</f>
        <v>12</v>
      </c>
      <c r="U142" s="14" t="n">
        <f aca="false">IF($D142&lt;&gt;1,"",IF(p_mode="Nœud",$T142*$H142,$R142))</f>
        <v>192</v>
      </c>
      <c r="V142" s="14" t="n">
        <f aca="false">IF($D142&lt;&gt;1,"",IF(p_mode="Nœud",$T142*$I142,$S142))</f>
        <v>960</v>
      </c>
      <c r="W142" s="84" t="n">
        <f aca="false">IF($D142&lt;&gt;1,"",IF(p_mode="Nœud",$T142*$K142,$R142*IF($G142="IKS",p_iks_cpu,p_roks_cpu)+$S142*IF($G142="IKS",p_iks_ram,p_roks_ram))*p_facteur)</f>
        <v>8832</v>
      </c>
      <c r="X142" s="14" t="n">
        <f aca="false">IF($D142&lt;&gt;1,"",IF($G142="ROKS",$R142,IF($AI142=1,0,MAX($N142,$L142-SUMIFS(TblApplications[CPU IKS libérable (vCPU)],TblApplications[Cluster IKS source],$F142,TblApplications[Action],"À migrer",TblApplications[Mois prov (calc)],"&lt;="&amp;$E142)-SUMIFS(TblApplications[CPU IKS libérable (vCPU)],TblApplications[Cluster IKS source],$F142,TblApplications[Action],"À décommissionner",TblApplications[Mois lib (calc)],"&lt;="&amp;$E142)))))</f>
        <v>173</v>
      </c>
      <c r="Y142" s="14" t="n">
        <f aca="false">IF($D142&lt;&gt;1,"",IF($G142="ROKS",$S142,IF($AI142=1,0,MAX($O142,$M142-SUMIFS(TblApplications[RAM IKS libérable (Go)],TblApplications[Cluster IKS source],$F142,TblApplications[Action],"À migrer",TblApplications[Mois prov (calc)],"&lt;="&amp;$E142)-SUMIFS(TblApplications[RAM IKS libérable (Go)],TblApplications[Cluster IKS source],$F142,TblApplications[Action],"À décommissionner",TblApplications[Mois lib (calc)],"&lt;="&amp;$E142)))))</f>
        <v>928</v>
      </c>
      <c r="Z142" s="14" t="n">
        <f aca="false">IF($D142&lt;&gt;1,"",IF($AI142=1,0,MAX($J142,ROUNDUP(MAX($X142/$H142,$Y142/$I142),0))))</f>
        <v>12</v>
      </c>
      <c r="AA142" s="84" t="n">
        <f aca="false">IF($D142&lt;&gt;1,"",IF(p_mode="Nœud",$Z142*$K142,$X142*IF($G142="IKS",p_iks_cpu,p_roks_cpu)+$Y142*IF($G142="IKS",p_iks_ram,p_roks_ram))*p_facteur)</f>
        <v>8832</v>
      </c>
      <c r="AB142" s="14" t="n">
        <f aca="false">IF($D142&lt;&gt;1,"",MAX($J142,ROUNDUP(MAX($L142/$H142,$M142/$I142),0)))</f>
        <v>6</v>
      </c>
      <c r="AC142" s="84" t="n">
        <f aca="false">IF($D142&lt;&gt;1,"",IF(p_mode="Nœud",$AB142*$K142,$L142*IF($G142="IKS",p_iks_cpu,p_roks_cpu)+$M142*IF($G142="IKS",p_iks_ram,p_roks_ram))*p_facteur)</f>
        <v>4416</v>
      </c>
      <c r="AD142" s="14" t="n">
        <f aca="false">IF($D142&lt;&gt;1,"",IF(AND($G142="IKS",$AI142&lt;&gt;1,OR($L142-$P142&lt;$N142,$M142-$Q142&lt;$O142)),1,0))</f>
        <v>0</v>
      </c>
      <c r="AE142" s="14" t="n">
        <f aca="false">IF($D142&lt;&gt;1,"",IF(AND($G142="ROKS",$T142&gt;p_maxworkers),1,0))</f>
        <v>0</v>
      </c>
      <c r="AF142" s="14" t="str">
        <f aca="false">IF($D142&lt;&gt;1,"",IF(INDEX(TblClusters[Environnement],$B142)="","(vide)",INDEX(TblClusters[Environnement],$B142)))</f>
        <v>NPRD</v>
      </c>
      <c r="AG142" s="14" t="n">
        <f aca="false">IF($D142&lt;&gt;1,"",$R142+p_poidsram*$S142)</f>
        <v>265.8</v>
      </c>
      <c r="AH142" s="14" t="n">
        <f aca="false">IF($D142&lt;&gt;1,"",IFERROR($W142/$AG142,0))</f>
        <v>33.2279909706546</v>
      </c>
      <c r="AI142" s="14" t="n">
        <f aca="false">IF($D142&lt;&gt;1,"",IF(AND($G142="IKS",ISNUMBER(INDEX(TblClusters[Fermeture retenue],$B142))),IF($E142&gt;=INDEX(TblClusters[Fermeture retenue],$B142),1,0),0))</f>
        <v>0</v>
      </c>
    </row>
    <row r="143" customFormat="false" ht="15" hidden="false" customHeight="false" outlineLevel="0" collapsed="false">
      <c r="A143" s="14" t="n">
        <v>138</v>
      </c>
      <c r="B143" s="14" t="n">
        <f aca="false">INT(($A143-1)/36)+1</f>
        <v>4</v>
      </c>
      <c r="C143" s="14" t="n">
        <f aca="false">MOD($A143-1,36)+1</f>
        <v>30</v>
      </c>
      <c r="D143" s="14" t="n">
        <f aca="false">IF($C143&gt;p_horizon,0,IFERROR(IF(AND(INDEX(TblClusters[Cluster],$B143)&lt;&gt;"",ISNUMBER(INDEX(TblClusters[CPU initial (vCPU)],$B143)),ISNUMBER(INDEX(TblClusters[CPU min (vCPU)],$B143)),OR(INDEX(TblClusters[Plateforme],$B143)="IKS",INDEX(TblClusters[Plateforme],$B143)="ROKS")),1,0),0))</f>
        <v>1</v>
      </c>
      <c r="E143" s="83" t="n">
        <f aca="false">IF($D143=1,EDATE(p_debut,$C143-1),"")</f>
        <v>47178</v>
      </c>
      <c r="F143" s="14" t="str">
        <f aca="false">IF($D143=1,INDEX(TblClusters[Cluster],$B143),"")</f>
        <v>ROKS-NPR-01</v>
      </c>
      <c r="G143" s="14" t="str">
        <f aca="false">IF($D143=1,INDEX(TblClusters[Plateforme],$B143),"")</f>
        <v>ROKS</v>
      </c>
      <c r="H143" s="14" t="n">
        <f aca="false">IF($D143=1,INDEX(TblClusters[vCPU par nœud],$B143),"")</f>
        <v>16</v>
      </c>
      <c r="I143" s="14" t="n">
        <f aca="false">IF($D143=1,INDEX(TblClusters[RAM par nœud (Go)],$B143),"")</f>
        <v>80</v>
      </c>
      <c r="J143" s="14" t="n">
        <f aca="false">IF($D143=1,INDEX(TblClusters[Workers min],$B143),"")</f>
        <v>6</v>
      </c>
      <c r="K143" s="84" t="n">
        <f aca="false">IF($D143=1,INDEX(TblClusters[Tarif par nœud],$B143),"")</f>
        <v>736</v>
      </c>
      <c r="L143" s="14" t="n">
        <f aca="false">IF($D143=1,INDEX(TblClusters[CPU initial (vCPU)],$B143),"")</f>
        <v>96</v>
      </c>
      <c r="M143" s="14" t="n">
        <f aca="false">IF($D143=1,INDEX(TblClusters[RAM initiale (Go)],$B143),"")</f>
        <v>480</v>
      </c>
      <c r="N143" s="14" t="n">
        <f aca="false">IF($D143=1,INDEX(TblClusters[CPU min (vCPU)],$B143),"")</f>
        <v>96</v>
      </c>
      <c r="O143" s="14" t="n">
        <f aca="false">IF($D143=1,INDEX(TblClusters[RAM min (Go)],$B143),"")</f>
        <v>480</v>
      </c>
      <c r="P143" s="14" t="n">
        <f aca="false">IF($D143&lt;&gt;1,"",IF($G143="ROKS",SUMIFS(TblApplications[Besoin ROKS CPU (vCPU)],TblApplications[Cluster ROKS cible],$F143,TblApplications[Action],"À migrer",TblApplications[Déjà incluse ROKS],"Non",TblApplications[Mois prov (calc)],"&lt;="&amp;$E143),SUMIFS(TblApplications[CPU IKS libérable (vCPU)],TblApplications[Cluster IKS source],$F143,TblApplications[Mois lib (calc)],"&lt;="&amp;$E143)))</f>
        <v>77</v>
      </c>
      <c r="Q143" s="14" t="n">
        <f aca="false">IF($D143&lt;&gt;1,"",IF($G143="ROKS",SUMIFS(TblApplications[Besoin ROKS RAM (Go)],TblApplications[Cluster ROKS cible],$F143,TblApplications[Action],"À migrer",TblApplications[Déjà incluse ROKS],"Non",TblApplications[Mois prov (calc)],"&lt;="&amp;$E143),SUMIFS(TblApplications[RAM IKS libérable (Go)],TblApplications[Cluster IKS source],$F143,TblApplications[Mois lib (calc)],"&lt;="&amp;$E143)))</f>
        <v>448</v>
      </c>
      <c r="R143" s="14" t="n">
        <f aca="false">IF($D143&lt;&gt;1,"",IF($G143="ROKS",$L143+$P143,IF($AI143=1,0,MAX($N143,$L143-$P143))))</f>
        <v>173</v>
      </c>
      <c r="S143" s="14" t="n">
        <f aca="false">IF($D143&lt;&gt;1,"",IF($G143="ROKS",$M143+$Q143,IF($AI143=1,0,MAX($O143,$M143-$Q143))))</f>
        <v>928</v>
      </c>
      <c r="T143" s="14" t="n">
        <f aca="false">IF($D143&lt;&gt;1,"",IF($AI143=1,0,MAX($J143,ROUNDUP(MAX($R143/$H143,$S143/$I143),0))))</f>
        <v>12</v>
      </c>
      <c r="U143" s="14" t="n">
        <f aca="false">IF($D143&lt;&gt;1,"",IF(p_mode="Nœud",$T143*$H143,$R143))</f>
        <v>192</v>
      </c>
      <c r="V143" s="14" t="n">
        <f aca="false">IF($D143&lt;&gt;1,"",IF(p_mode="Nœud",$T143*$I143,$S143))</f>
        <v>960</v>
      </c>
      <c r="W143" s="84" t="n">
        <f aca="false">IF($D143&lt;&gt;1,"",IF(p_mode="Nœud",$T143*$K143,$R143*IF($G143="IKS",p_iks_cpu,p_roks_cpu)+$S143*IF($G143="IKS",p_iks_ram,p_roks_ram))*p_facteur)</f>
        <v>8832</v>
      </c>
      <c r="X143" s="14" t="n">
        <f aca="false">IF($D143&lt;&gt;1,"",IF($G143="ROKS",$R143,IF($AI143=1,0,MAX($N143,$L143-SUMIFS(TblApplications[CPU IKS libérable (vCPU)],TblApplications[Cluster IKS source],$F143,TblApplications[Action],"À migrer",TblApplications[Mois prov (calc)],"&lt;="&amp;$E143)-SUMIFS(TblApplications[CPU IKS libérable (vCPU)],TblApplications[Cluster IKS source],$F143,TblApplications[Action],"À décommissionner",TblApplications[Mois lib (calc)],"&lt;="&amp;$E143)))))</f>
        <v>173</v>
      </c>
      <c r="Y143" s="14" t="n">
        <f aca="false">IF($D143&lt;&gt;1,"",IF($G143="ROKS",$S143,IF($AI143=1,0,MAX($O143,$M143-SUMIFS(TblApplications[RAM IKS libérable (Go)],TblApplications[Cluster IKS source],$F143,TblApplications[Action],"À migrer",TblApplications[Mois prov (calc)],"&lt;="&amp;$E143)-SUMIFS(TblApplications[RAM IKS libérable (Go)],TblApplications[Cluster IKS source],$F143,TblApplications[Action],"À décommissionner",TblApplications[Mois lib (calc)],"&lt;="&amp;$E143)))))</f>
        <v>928</v>
      </c>
      <c r="Z143" s="14" t="n">
        <f aca="false">IF($D143&lt;&gt;1,"",IF($AI143=1,0,MAX($J143,ROUNDUP(MAX($X143/$H143,$Y143/$I143),0))))</f>
        <v>12</v>
      </c>
      <c r="AA143" s="84" t="n">
        <f aca="false">IF($D143&lt;&gt;1,"",IF(p_mode="Nœud",$Z143*$K143,$X143*IF($G143="IKS",p_iks_cpu,p_roks_cpu)+$Y143*IF($G143="IKS",p_iks_ram,p_roks_ram))*p_facteur)</f>
        <v>8832</v>
      </c>
      <c r="AB143" s="14" t="n">
        <f aca="false">IF($D143&lt;&gt;1,"",MAX($J143,ROUNDUP(MAX($L143/$H143,$M143/$I143),0)))</f>
        <v>6</v>
      </c>
      <c r="AC143" s="84" t="n">
        <f aca="false">IF($D143&lt;&gt;1,"",IF(p_mode="Nœud",$AB143*$K143,$L143*IF($G143="IKS",p_iks_cpu,p_roks_cpu)+$M143*IF($G143="IKS",p_iks_ram,p_roks_ram))*p_facteur)</f>
        <v>4416</v>
      </c>
      <c r="AD143" s="14" t="n">
        <f aca="false">IF($D143&lt;&gt;1,"",IF(AND($G143="IKS",$AI143&lt;&gt;1,OR($L143-$P143&lt;$N143,$M143-$Q143&lt;$O143)),1,0))</f>
        <v>0</v>
      </c>
      <c r="AE143" s="14" t="n">
        <f aca="false">IF($D143&lt;&gt;1,"",IF(AND($G143="ROKS",$T143&gt;p_maxworkers),1,0))</f>
        <v>0</v>
      </c>
      <c r="AF143" s="14" t="str">
        <f aca="false">IF($D143&lt;&gt;1,"",IF(INDEX(TblClusters[Environnement],$B143)="","(vide)",INDEX(TblClusters[Environnement],$B143)))</f>
        <v>NPRD</v>
      </c>
      <c r="AG143" s="14" t="n">
        <f aca="false">IF($D143&lt;&gt;1,"",$R143+p_poidsram*$S143)</f>
        <v>265.8</v>
      </c>
      <c r="AH143" s="14" t="n">
        <f aca="false">IF($D143&lt;&gt;1,"",IFERROR($W143/$AG143,0))</f>
        <v>33.2279909706546</v>
      </c>
      <c r="AI143" s="14" t="n">
        <f aca="false">IF($D143&lt;&gt;1,"",IF(AND($G143="IKS",ISNUMBER(INDEX(TblClusters[Fermeture retenue],$B143))),IF($E143&gt;=INDEX(TblClusters[Fermeture retenue],$B143),1,0),0))</f>
        <v>0</v>
      </c>
    </row>
    <row r="144" customFormat="false" ht="15" hidden="false" customHeight="false" outlineLevel="0" collapsed="false">
      <c r="A144" s="14" t="n">
        <v>139</v>
      </c>
      <c r="B144" s="14" t="n">
        <f aca="false">INT(($A144-1)/36)+1</f>
        <v>4</v>
      </c>
      <c r="C144" s="14" t="n">
        <f aca="false">MOD($A144-1,36)+1</f>
        <v>31</v>
      </c>
      <c r="D144" s="14" t="n">
        <f aca="false">IF($C144&gt;p_horizon,0,IFERROR(IF(AND(INDEX(TblClusters[Cluster],$B144)&lt;&gt;"",ISNUMBER(INDEX(TblClusters[CPU initial (vCPU)],$B144)),ISNUMBER(INDEX(TblClusters[CPU min (vCPU)],$B144)),OR(INDEX(TblClusters[Plateforme],$B144)="IKS",INDEX(TblClusters[Plateforme],$B144)="ROKS")),1,0),0))</f>
        <v>1</v>
      </c>
      <c r="E144" s="83" t="n">
        <f aca="false">IF($D144=1,EDATE(p_debut,$C144-1),"")</f>
        <v>47209</v>
      </c>
      <c r="F144" s="14" t="str">
        <f aca="false">IF($D144=1,INDEX(TblClusters[Cluster],$B144),"")</f>
        <v>ROKS-NPR-01</v>
      </c>
      <c r="G144" s="14" t="str">
        <f aca="false">IF($D144=1,INDEX(TblClusters[Plateforme],$B144),"")</f>
        <v>ROKS</v>
      </c>
      <c r="H144" s="14" t="n">
        <f aca="false">IF($D144=1,INDEX(TblClusters[vCPU par nœud],$B144),"")</f>
        <v>16</v>
      </c>
      <c r="I144" s="14" t="n">
        <f aca="false">IF($D144=1,INDEX(TblClusters[RAM par nœud (Go)],$B144),"")</f>
        <v>80</v>
      </c>
      <c r="J144" s="14" t="n">
        <f aca="false">IF($D144=1,INDEX(TblClusters[Workers min],$B144),"")</f>
        <v>6</v>
      </c>
      <c r="K144" s="84" t="n">
        <f aca="false">IF($D144=1,INDEX(TblClusters[Tarif par nœud],$B144),"")</f>
        <v>736</v>
      </c>
      <c r="L144" s="14" t="n">
        <f aca="false">IF($D144=1,INDEX(TblClusters[CPU initial (vCPU)],$B144),"")</f>
        <v>96</v>
      </c>
      <c r="M144" s="14" t="n">
        <f aca="false">IF($D144=1,INDEX(TblClusters[RAM initiale (Go)],$B144),"")</f>
        <v>480</v>
      </c>
      <c r="N144" s="14" t="n">
        <f aca="false">IF($D144=1,INDEX(TblClusters[CPU min (vCPU)],$B144),"")</f>
        <v>96</v>
      </c>
      <c r="O144" s="14" t="n">
        <f aca="false">IF($D144=1,INDEX(TblClusters[RAM min (Go)],$B144),"")</f>
        <v>480</v>
      </c>
      <c r="P144" s="14" t="n">
        <f aca="false">IF($D144&lt;&gt;1,"",IF($G144="ROKS",SUMIFS(TblApplications[Besoin ROKS CPU (vCPU)],TblApplications[Cluster ROKS cible],$F144,TblApplications[Action],"À migrer",TblApplications[Déjà incluse ROKS],"Non",TblApplications[Mois prov (calc)],"&lt;="&amp;$E144),SUMIFS(TblApplications[CPU IKS libérable (vCPU)],TblApplications[Cluster IKS source],$F144,TblApplications[Mois lib (calc)],"&lt;="&amp;$E144)))</f>
        <v>77</v>
      </c>
      <c r="Q144" s="14" t="n">
        <f aca="false">IF($D144&lt;&gt;1,"",IF($G144="ROKS",SUMIFS(TblApplications[Besoin ROKS RAM (Go)],TblApplications[Cluster ROKS cible],$F144,TblApplications[Action],"À migrer",TblApplications[Déjà incluse ROKS],"Non",TblApplications[Mois prov (calc)],"&lt;="&amp;$E144),SUMIFS(TblApplications[RAM IKS libérable (Go)],TblApplications[Cluster IKS source],$F144,TblApplications[Mois lib (calc)],"&lt;="&amp;$E144)))</f>
        <v>448</v>
      </c>
      <c r="R144" s="14" t="n">
        <f aca="false">IF($D144&lt;&gt;1,"",IF($G144="ROKS",$L144+$P144,IF($AI144=1,0,MAX($N144,$L144-$P144))))</f>
        <v>173</v>
      </c>
      <c r="S144" s="14" t="n">
        <f aca="false">IF($D144&lt;&gt;1,"",IF($G144="ROKS",$M144+$Q144,IF($AI144=1,0,MAX($O144,$M144-$Q144))))</f>
        <v>928</v>
      </c>
      <c r="T144" s="14" t="n">
        <f aca="false">IF($D144&lt;&gt;1,"",IF($AI144=1,0,MAX($J144,ROUNDUP(MAX($R144/$H144,$S144/$I144),0))))</f>
        <v>12</v>
      </c>
      <c r="U144" s="14" t="n">
        <f aca="false">IF($D144&lt;&gt;1,"",IF(p_mode="Nœud",$T144*$H144,$R144))</f>
        <v>192</v>
      </c>
      <c r="V144" s="14" t="n">
        <f aca="false">IF($D144&lt;&gt;1,"",IF(p_mode="Nœud",$T144*$I144,$S144))</f>
        <v>960</v>
      </c>
      <c r="W144" s="84" t="n">
        <f aca="false">IF($D144&lt;&gt;1,"",IF(p_mode="Nœud",$T144*$K144,$R144*IF($G144="IKS",p_iks_cpu,p_roks_cpu)+$S144*IF($G144="IKS",p_iks_ram,p_roks_ram))*p_facteur)</f>
        <v>8832</v>
      </c>
      <c r="X144" s="14" t="n">
        <f aca="false">IF($D144&lt;&gt;1,"",IF($G144="ROKS",$R144,IF($AI144=1,0,MAX($N144,$L144-SUMIFS(TblApplications[CPU IKS libérable (vCPU)],TblApplications[Cluster IKS source],$F144,TblApplications[Action],"À migrer",TblApplications[Mois prov (calc)],"&lt;="&amp;$E144)-SUMIFS(TblApplications[CPU IKS libérable (vCPU)],TblApplications[Cluster IKS source],$F144,TblApplications[Action],"À décommissionner",TblApplications[Mois lib (calc)],"&lt;="&amp;$E144)))))</f>
        <v>173</v>
      </c>
      <c r="Y144" s="14" t="n">
        <f aca="false">IF($D144&lt;&gt;1,"",IF($G144="ROKS",$S144,IF($AI144=1,0,MAX($O144,$M144-SUMIFS(TblApplications[RAM IKS libérable (Go)],TblApplications[Cluster IKS source],$F144,TblApplications[Action],"À migrer",TblApplications[Mois prov (calc)],"&lt;="&amp;$E144)-SUMIFS(TblApplications[RAM IKS libérable (Go)],TblApplications[Cluster IKS source],$F144,TblApplications[Action],"À décommissionner",TblApplications[Mois lib (calc)],"&lt;="&amp;$E144)))))</f>
        <v>928</v>
      </c>
      <c r="Z144" s="14" t="n">
        <f aca="false">IF($D144&lt;&gt;1,"",IF($AI144=1,0,MAX($J144,ROUNDUP(MAX($X144/$H144,$Y144/$I144),0))))</f>
        <v>12</v>
      </c>
      <c r="AA144" s="84" t="n">
        <f aca="false">IF($D144&lt;&gt;1,"",IF(p_mode="Nœud",$Z144*$K144,$X144*IF($G144="IKS",p_iks_cpu,p_roks_cpu)+$Y144*IF($G144="IKS",p_iks_ram,p_roks_ram))*p_facteur)</f>
        <v>8832</v>
      </c>
      <c r="AB144" s="14" t="n">
        <f aca="false">IF($D144&lt;&gt;1,"",MAX($J144,ROUNDUP(MAX($L144/$H144,$M144/$I144),0)))</f>
        <v>6</v>
      </c>
      <c r="AC144" s="84" t="n">
        <f aca="false">IF($D144&lt;&gt;1,"",IF(p_mode="Nœud",$AB144*$K144,$L144*IF($G144="IKS",p_iks_cpu,p_roks_cpu)+$M144*IF($G144="IKS",p_iks_ram,p_roks_ram))*p_facteur)</f>
        <v>4416</v>
      </c>
      <c r="AD144" s="14" t="n">
        <f aca="false">IF($D144&lt;&gt;1,"",IF(AND($G144="IKS",$AI144&lt;&gt;1,OR($L144-$P144&lt;$N144,$M144-$Q144&lt;$O144)),1,0))</f>
        <v>0</v>
      </c>
      <c r="AE144" s="14" t="n">
        <f aca="false">IF($D144&lt;&gt;1,"",IF(AND($G144="ROKS",$T144&gt;p_maxworkers),1,0))</f>
        <v>0</v>
      </c>
      <c r="AF144" s="14" t="str">
        <f aca="false">IF($D144&lt;&gt;1,"",IF(INDEX(TblClusters[Environnement],$B144)="","(vide)",INDEX(TblClusters[Environnement],$B144)))</f>
        <v>NPRD</v>
      </c>
      <c r="AG144" s="14" t="n">
        <f aca="false">IF($D144&lt;&gt;1,"",$R144+p_poidsram*$S144)</f>
        <v>265.8</v>
      </c>
      <c r="AH144" s="14" t="n">
        <f aca="false">IF($D144&lt;&gt;1,"",IFERROR($W144/$AG144,0))</f>
        <v>33.2279909706546</v>
      </c>
      <c r="AI144" s="14" t="n">
        <f aca="false">IF($D144&lt;&gt;1,"",IF(AND($G144="IKS",ISNUMBER(INDEX(TblClusters[Fermeture retenue],$B144))),IF($E144&gt;=INDEX(TblClusters[Fermeture retenue],$B144),1,0),0))</f>
        <v>0</v>
      </c>
    </row>
    <row r="145" customFormat="false" ht="15" hidden="false" customHeight="false" outlineLevel="0" collapsed="false">
      <c r="A145" s="14" t="n">
        <v>140</v>
      </c>
      <c r="B145" s="14" t="n">
        <f aca="false">INT(($A145-1)/36)+1</f>
        <v>4</v>
      </c>
      <c r="C145" s="14" t="n">
        <f aca="false">MOD($A145-1,36)+1</f>
        <v>32</v>
      </c>
      <c r="D145" s="14" t="n">
        <f aca="false">IF($C145&gt;p_horizon,0,IFERROR(IF(AND(INDEX(TblClusters[Cluster],$B145)&lt;&gt;"",ISNUMBER(INDEX(TblClusters[CPU initial (vCPU)],$B145)),ISNUMBER(INDEX(TblClusters[CPU min (vCPU)],$B145)),OR(INDEX(TblClusters[Plateforme],$B145)="IKS",INDEX(TblClusters[Plateforme],$B145)="ROKS")),1,0),0))</f>
        <v>1</v>
      </c>
      <c r="E145" s="83" t="n">
        <f aca="false">IF($D145=1,EDATE(p_debut,$C145-1),"")</f>
        <v>47239</v>
      </c>
      <c r="F145" s="14" t="str">
        <f aca="false">IF($D145=1,INDEX(TblClusters[Cluster],$B145),"")</f>
        <v>ROKS-NPR-01</v>
      </c>
      <c r="G145" s="14" t="str">
        <f aca="false">IF($D145=1,INDEX(TblClusters[Plateforme],$B145),"")</f>
        <v>ROKS</v>
      </c>
      <c r="H145" s="14" t="n">
        <f aca="false">IF($D145=1,INDEX(TblClusters[vCPU par nœud],$B145),"")</f>
        <v>16</v>
      </c>
      <c r="I145" s="14" t="n">
        <f aca="false">IF($D145=1,INDEX(TblClusters[RAM par nœud (Go)],$B145),"")</f>
        <v>80</v>
      </c>
      <c r="J145" s="14" t="n">
        <f aca="false">IF($D145=1,INDEX(TblClusters[Workers min],$B145),"")</f>
        <v>6</v>
      </c>
      <c r="K145" s="84" t="n">
        <f aca="false">IF($D145=1,INDEX(TblClusters[Tarif par nœud],$B145),"")</f>
        <v>736</v>
      </c>
      <c r="L145" s="14" t="n">
        <f aca="false">IF($D145=1,INDEX(TblClusters[CPU initial (vCPU)],$B145),"")</f>
        <v>96</v>
      </c>
      <c r="M145" s="14" t="n">
        <f aca="false">IF($D145=1,INDEX(TblClusters[RAM initiale (Go)],$B145),"")</f>
        <v>480</v>
      </c>
      <c r="N145" s="14" t="n">
        <f aca="false">IF($D145=1,INDEX(TblClusters[CPU min (vCPU)],$B145),"")</f>
        <v>96</v>
      </c>
      <c r="O145" s="14" t="n">
        <f aca="false">IF($D145=1,INDEX(TblClusters[RAM min (Go)],$B145),"")</f>
        <v>480</v>
      </c>
      <c r="P145" s="14" t="n">
        <f aca="false">IF($D145&lt;&gt;1,"",IF($G145="ROKS",SUMIFS(TblApplications[Besoin ROKS CPU (vCPU)],TblApplications[Cluster ROKS cible],$F145,TblApplications[Action],"À migrer",TblApplications[Déjà incluse ROKS],"Non",TblApplications[Mois prov (calc)],"&lt;="&amp;$E145),SUMIFS(TblApplications[CPU IKS libérable (vCPU)],TblApplications[Cluster IKS source],$F145,TblApplications[Mois lib (calc)],"&lt;="&amp;$E145)))</f>
        <v>77</v>
      </c>
      <c r="Q145" s="14" t="n">
        <f aca="false">IF($D145&lt;&gt;1,"",IF($G145="ROKS",SUMIFS(TblApplications[Besoin ROKS RAM (Go)],TblApplications[Cluster ROKS cible],$F145,TblApplications[Action],"À migrer",TblApplications[Déjà incluse ROKS],"Non",TblApplications[Mois prov (calc)],"&lt;="&amp;$E145),SUMIFS(TblApplications[RAM IKS libérable (Go)],TblApplications[Cluster IKS source],$F145,TblApplications[Mois lib (calc)],"&lt;="&amp;$E145)))</f>
        <v>448</v>
      </c>
      <c r="R145" s="14" t="n">
        <f aca="false">IF($D145&lt;&gt;1,"",IF($G145="ROKS",$L145+$P145,IF($AI145=1,0,MAX($N145,$L145-$P145))))</f>
        <v>173</v>
      </c>
      <c r="S145" s="14" t="n">
        <f aca="false">IF($D145&lt;&gt;1,"",IF($G145="ROKS",$M145+$Q145,IF($AI145=1,0,MAX($O145,$M145-$Q145))))</f>
        <v>928</v>
      </c>
      <c r="T145" s="14" t="n">
        <f aca="false">IF($D145&lt;&gt;1,"",IF($AI145=1,0,MAX($J145,ROUNDUP(MAX($R145/$H145,$S145/$I145),0))))</f>
        <v>12</v>
      </c>
      <c r="U145" s="14" t="n">
        <f aca="false">IF($D145&lt;&gt;1,"",IF(p_mode="Nœud",$T145*$H145,$R145))</f>
        <v>192</v>
      </c>
      <c r="V145" s="14" t="n">
        <f aca="false">IF($D145&lt;&gt;1,"",IF(p_mode="Nœud",$T145*$I145,$S145))</f>
        <v>960</v>
      </c>
      <c r="W145" s="84" t="n">
        <f aca="false">IF($D145&lt;&gt;1,"",IF(p_mode="Nœud",$T145*$K145,$R145*IF($G145="IKS",p_iks_cpu,p_roks_cpu)+$S145*IF($G145="IKS",p_iks_ram,p_roks_ram))*p_facteur)</f>
        <v>8832</v>
      </c>
      <c r="X145" s="14" t="n">
        <f aca="false">IF($D145&lt;&gt;1,"",IF($G145="ROKS",$R145,IF($AI145=1,0,MAX($N145,$L145-SUMIFS(TblApplications[CPU IKS libérable (vCPU)],TblApplications[Cluster IKS source],$F145,TblApplications[Action],"À migrer",TblApplications[Mois prov (calc)],"&lt;="&amp;$E145)-SUMIFS(TblApplications[CPU IKS libérable (vCPU)],TblApplications[Cluster IKS source],$F145,TblApplications[Action],"À décommissionner",TblApplications[Mois lib (calc)],"&lt;="&amp;$E145)))))</f>
        <v>173</v>
      </c>
      <c r="Y145" s="14" t="n">
        <f aca="false">IF($D145&lt;&gt;1,"",IF($G145="ROKS",$S145,IF($AI145=1,0,MAX($O145,$M145-SUMIFS(TblApplications[RAM IKS libérable (Go)],TblApplications[Cluster IKS source],$F145,TblApplications[Action],"À migrer",TblApplications[Mois prov (calc)],"&lt;="&amp;$E145)-SUMIFS(TblApplications[RAM IKS libérable (Go)],TblApplications[Cluster IKS source],$F145,TblApplications[Action],"À décommissionner",TblApplications[Mois lib (calc)],"&lt;="&amp;$E145)))))</f>
        <v>928</v>
      </c>
      <c r="Z145" s="14" t="n">
        <f aca="false">IF($D145&lt;&gt;1,"",IF($AI145=1,0,MAX($J145,ROUNDUP(MAX($X145/$H145,$Y145/$I145),0))))</f>
        <v>12</v>
      </c>
      <c r="AA145" s="84" t="n">
        <f aca="false">IF($D145&lt;&gt;1,"",IF(p_mode="Nœud",$Z145*$K145,$X145*IF($G145="IKS",p_iks_cpu,p_roks_cpu)+$Y145*IF($G145="IKS",p_iks_ram,p_roks_ram))*p_facteur)</f>
        <v>8832</v>
      </c>
      <c r="AB145" s="14" t="n">
        <f aca="false">IF($D145&lt;&gt;1,"",MAX($J145,ROUNDUP(MAX($L145/$H145,$M145/$I145),0)))</f>
        <v>6</v>
      </c>
      <c r="AC145" s="84" t="n">
        <f aca="false">IF($D145&lt;&gt;1,"",IF(p_mode="Nœud",$AB145*$K145,$L145*IF($G145="IKS",p_iks_cpu,p_roks_cpu)+$M145*IF($G145="IKS",p_iks_ram,p_roks_ram))*p_facteur)</f>
        <v>4416</v>
      </c>
      <c r="AD145" s="14" t="n">
        <f aca="false">IF($D145&lt;&gt;1,"",IF(AND($G145="IKS",$AI145&lt;&gt;1,OR($L145-$P145&lt;$N145,$M145-$Q145&lt;$O145)),1,0))</f>
        <v>0</v>
      </c>
      <c r="AE145" s="14" t="n">
        <f aca="false">IF($D145&lt;&gt;1,"",IF(AND($G145="ROKS",$T145&gt;p_maxworkers),1,0))</f>
        <v>0</v>
      </c>
      <c r="AF145" s="14" t="str">
        <f aca="false">IF($D145&lt;&gt;1,"",IF(INDEX(TblClusters[Environnement],$B145)="","(vide)",INDEX(TblClusters[Environnement],$B145)))</f>
        <v>NPRD</v>
      </c>
      <c r="AG145" s="14" t="n">
        <f aca="false">IF($D145&lt;&gt;1,"",$R145+p_poidsram*$S145)</f>
        <v>265.8</v>
      </c>
      <c r="AH145" s="14" t="n">
        <f aca="false">IF($D145&lt;&gt;1,"",IFERROR($W145/$AG145,0))</f>
        <v>33.2279909706546</v>
      </c>
      <c r="AI145" s="14" t="n">
        <f aca="false">IF($D145&lt;&gt;1,"",IF(AND($G145="IKS",ISNUMBER(INDEX(TblClusters[Fermeture retenue],$B145))),IF($E145&gt;=INDEX(TblClusters[Fermeture retenue],$B145),1,0),0))</f>
        <v>0</v>
      </c>
    </row>
    <row r="146" customFormat="false" ht="15" hidden="false" customHeight="false" outlineLevel="0" collapsed="false">
      <c r="A146" s="14" t="n">
        <v>141</v>
      </c>
      <c r="B146" s="14" t="n">
        <f aca="false">INT(($A146-1)/36)+1</f>
        <v>4</v>
      </c>
      <c r="C146" s="14" t="n">
        <f aca="false">MOD($A146-1,36)+1</f>
        <v>33</v>
      </c>
      <c r="D146" s="14" t="n">
        <f aca="false">IF($C146&gt;p_horizon,0,IFERROR(IF(AND(INDEX(TblClusters[Cluster],$B146)&lt;&gt;"",ISNUMBER(INDEX(TblClusters[CPU initial (vCPU)],$B146)),ISNUMBER(INDEX(TblClusters[CPU min (vCPU)],$B146)),OR(INDEX(TblClusters[Plateforme],$B146)="IKS",INDEX(TblClusters[Plateforme],$B146)="ROKS")),1,0),0))</f>
        <v>1</v>
      </c>
      <c r="E146" s="83" t="n">
        <f aca="false">IF($D146=1,EDATE(p_debut,$C146-1),"")</f>
        <v>47270</v>
      </c>
      <c r="F146" s="14" t="str">
        <f aca="false">IF($D146=1,INDEX(TblClusters[Cluster],$B146),"")</f>
        <v>ROKS-NPR-01</v>
      </c>
      <c r="G146" s="14" t="str">
        <f aca="false">IF($D146=1,INDEX(TblClusters[Plateforme],$B146),"")</f>
        <v>ROKS</v>
      </c>
      <c r="H146" s="14" t="n">
        <f aca="false">IF($D146=1,INDEX(TblClusters[vCPU par nœud],$B146),"")</f>
        <v>16</v>
      </c>
      <c r="I146" s="14" t="n">
        <f aca="false">IF($D146=1,INDEX(TblClusters[RAM par nœud (Go)],$B146),"")</f>
        <v>80</v>
      </c>
      <c r="J146" s="14" t="n">
        <f aca="false">IF($D146=1,INDEX(TblClusters[Workers min],$B146),"")</f>
        <v>6</v>
      </c>
      <c r="K146" s="84" t="n">
        <f aca="false">IF($D146=1,INDEX(TblClusters[Tarif par nœud],$B146),"")</f>
        <v>736</v>
      </c>
      <c r="L146" s="14" t="n">
        <f aca="false">IF($D146=1,INDEX(TblClusters[CPU initial (vCPU)],$B146),"")</f>
        <v>96</v>
      </c>
      <c r="M146" s="14" t="n">
        <f aca="false">IF($D146=1,INDEX(TblClusters[RAM initiale (Go)],$B146),"")</f>
        <v>480</v>
      </c>
      <c r="N146" s="14" t="n">
        <f aca="false">IF($D146=1,INDEX(TblClusters[CPU min (vCPU)],$B146),"")</f>
        <v>96</v>
      </c>
      <c r="O146" s="14" t="n">
        <f aca="false">IF($D146=1,INDEX(TblClusters[RAM min (Go)],$B146),"")</f>
        <v>480</v>
      </c>
      <c r="P146" s="14" t="n">
        <f aca="false">IF($D146&lt;&gt;1,"",IF($G146="ROKS",SUMIFS(TblApplications[Besoin ROKS CPU (vCPU)],TblApplications[Cluster ROKS cible],$F146,TblApplications[Action],"À migrer",TblApplications[Déjà incluse ROKS],"Non",TblApplications[Mois prov (calc)],"&lt;="&amp;$E146),SUMIFS(TblApplications[CPU IKS libérable (vCPU)],TblApplications[Cluster IKS source],$F146,TblApplications[Mois lib (calc)],"&lt;="&amp;$E146)))</f>
        <v>77</v>
      </c>
      <c r="Q146" s="14" t="n">
        <f aca="false">IF($D146&lt;&gt;1,"",IF($G146="ROKS",SUMIFS(TblApplications[Besoin ROKS RAM (Go)],TblApplications[Cluster ROKS cible],$F146,TblApplications[Action],"À migrer",TblApplications[Déjà incluse ROKS],"Non",TblApplications[Mois prov (calc)],"&lt;="&amp;$E146),SUMIFS(TblApplications[RAM IKS libérable (Go)],TblApplications[Cluster IKS source],$F146,TblApplications[Mois lib (calc)],"&lt;="&amp;$E146)))</f>
        <v>448</v>
      </c>
      <c r="R146" s="14" t="n">
        <f aca="false">IF($D146&lt;&gt;1,"",IF($G146="ROKS",$L146+$P146,IF($AI146=1,0,MAX($N146,$L146-$P146))))</f>
        <v>173</v>
      </c>
      <c r="S146" s="14" t="n">
        <f aca="false">IF($D146&lt;&gt;1,"",IF($G146="ROKS",$M146+$Q146,IF($AI146=1,0,MAX($O146,$M146-$Q146))))</f>
        <v>928</v>
      </c>
      <c r="T146" s="14" t="n">
        <f aca="false">IF($D146&lt;&gt;1,"",IF($AI146=1,0,MAX($J146,ROUNDUP(MAX($R146/$H146,$S146/$I146),0))))</f>
        <v>12</v>
      </c>
      <c r="U146" s="14" t="n">
        <f aca="false">IF($D146&lt;&gt;1,"",IF(p_mode="Nœud",$T146*$H146,$R146))</f>
        <v>192</v>
      </c>
      <c r="V146" s="14" t="n">
        <f aca="false">IF($D146&lt;&gt;1,"",IF(p_mode="Nœud",$T146*$I146,$S146))</f>
        <v>960</v>
      </c>
      <c r="W146" s="84" t="n">
        <f aca="false">IF($D146&lt;&gt;1,"",IF(p_mode="Nœud",$T146*$K146,$R146*IF($G146="IKS",p_iks_cpu,p_roks_cpu)+$S146*IF($G146="IKS",p_iks_ram,p_roks_ram))*p_facteur)</f>
        <v>8832</v>
      </c>
      <c r="X146" s="14" t="n">
        <f aca="false">IF($D146&lt;&gt;1,"",IF($G146="ROKS",$R146,IF($AI146=1,0,MAX($N146,$L146-SUMIFS(TblApplications[CPU IKS libérable (vCPU)],TblApplications[Cluster IKS source],$F146,TblApplications[Action],"À migrer",TblApplications[Mois prov (calc)],"&lt;="&amp;$E146)-SUMIFS(TblApplications[CPU IKS libérable (vCPU)],TblApplications[Cluster IKS source],$F146,TblApplications[Action],"À décommissionner",TblApplications[Mois lib (calc)],"&lt;="&amp;$E146)))))</f>
        <v>173</v>
      </c>
      <c r="Y146" s="14" t="n">
        <f aca="false">IF($D146&lt;&gt;1,"",IF($G146="ROKS",$S146,IF($AI146=1,0,MAX($O146,$M146-SUMIFS(TblApplications[RAM IKS libérable (Go)],TblApplications[Cluster IKS source],$F146,TblApplications[Action],"À migrer",TblApplications[Mois prov (calc)],"&lt;="&amp;$E146)-SUMIFS(TblApplications[RAM IKS libérable (Go)],TblApplications[Cluster IKS source],$F146,TblApplications[Action],"À décommissionner",TblApplications[Mois lib (calc)],"&lt;="&amp;$E146)))))</f>
        <v>928</v>
      </c>
      <c r="Z146" s="14" t="n">
        <f aca="false">IF($D146&lt;&gt;1,"",IF($AI146=1,0,MAX($J146,ROUNDUP(MAX($X146/$H146,$Y146/$I146),0))))</f>
        <v>12</v>
      </c>
      <c r="AA146" s="84" t="n">
        <f aca="false">IF($D146&lt;&gt;1,"",IF(p_mode="Nœud",$Z146*$K146,$X146*IF($G146="IKS",p_iks_cpu,p_roks_cpu)+$Y146*IF($G146="IKS",p_iks_ram,p_roks_ram))*p_facteur)</f>
        <v>8832</v>
      </c>
      <c r="AB146" s="14" t="n">
        <f aca="false">IF($D146&lt;&gt;1,"",MAX($J146,ROUNDUP(MAX($L146/$H146,$M146/$I146),0)))</f>
        <v>6</v>
      </c>
      <c r="AC146" s="84" t="n">
        <f aca="false">IF($D146&lt;&gt;1,"",IF(p_mode="Nœud",$AB146*$K146,$L146*IF($G146="IKS",p_iks_cpu,p_roks_cpu)+$M146*IF($G146="IKS",p_iks_ram,p_roks_ram))*p_facteur)</f>
        <v>4416</v>
      </c>
      <c r="AD146" s="14" t="n">
        <f aca="false">IF($D146&lt;&gt;1,"",IF(AND($G146="IKS",$AI146&lt;&gt;1,OR($L146-$P146&lt;$N146,$M146-$Q146&lt;$O146)),1,0))</f>
        <v>0</v>
      </c>
      <c r="AE146" s="14" t="n">
        <f aca="false">IF($D146&lt;&gt;1,"",IF(AND($G146="ROKS",$T146&gt;p_maxworkers),1,0))</f>
        <v>0</v>
      </c>
      <c r="AF146" s="14" t="str">
        <f aca="false">IF($D146&lt;&gt;1,"",IF(INDEX(TblClusters[Environnement],$B146)="","(vide)",INDEX(TblClusters[Environnement],$B146)))</f>
        <v>NPRD</v>
      </c>
      <c r="AG146" s="14" t="n">
        <f aca="false">IF($D146&lt;&gt;1,"",$R146+p_poidsram*$S146)</f>
        <v>265.8</v>
      </c>
      <c r="AH146" s="14" t="n">
        <f aca="false">IF($D146&lt;&gt;1,"",IFERROR($W146/$AG146,0))</f>
        <v>33.2279909706546</v>
      </c>
      <c r="AI146" s="14" t="n">
        <f aca="false">IF($D146&lt;&gt;1,"",IF(AND($G146="IKS",ISNUMBER(INDEX(TblClusters[Fermeture retenue],$B146))),IF($E146&gt;=INDEX(TblClusters[Fermeture retenue],$B146),1,0),0))</f>
        <v>0</v>
      </c>
    </row>
    <row r="147" customFormat="false" ht="15" hidden="false" customHeight="false" outlineLevel="0" collapsed="false">
      <c r="A147" s="14" t="n">
        <v>142</v>
      </c>
      <c r="B147" s="14" t="n">
        <f aca="false">INT(($A147-1)/36)+1</f>
        <v>4</v>
      </c>
      <c r="C147" s="14" t="n">
        <f aca="false">MOD($A147-1,36)+1</f>
        <v>34</v>
      </c>
      <c r="D147" s="14" t="n">
        <f aca="false">IF($C147&gt;p_horizon,0,IFERROR(IF(AND(INDEX(TblClusters[Cluster],$B147)&lt;&gt;"",ISNUMBER(INDEX(TblClusters[CPU initial (vCPU)],$B147)),ISNUMBER(INDEX(TblClusters[CPU min (vCPU)],$B147)),OR(INDEX(TblClusters[Plateforme],$B147)="IKS",INDEX(TblClusters[Plateforme],$B147)="ROKS")),1,0),0))</f>
        <v>1</v>
      </c>
      <c r="E147" s="83" t="n">
        <f aca="false">IF($D147=1,EDATE(p_debut,$C147-1),"")</f>
        <v>47300</v>
      </c>
      <c r="F147" s="14" t="str">
        <f aca="false">IF($D147=1,INDEX(TblClusters[Cluster],$B147),"")</f>
        <v>ROKS-NPR-01</v>
      </c>
      <c r="G147" s="14" t="str">
        <f aca="false">IF($D147=1,INDEX(TblClusters[Plateforme],$B147),"")</f>
        <v>ROKS</v>
      </c>
      <c r="H147" s="14" t="n">
        <f aca="false">IF($D147=1,INDEX(TblClusters[vCPU par nœud],$B147),"")</f>
        <v>16</v>
      </c>
      <c r="I147" s="14" t="n">
        <f aca="false">IF($D147=1,INDEX(TblClusters[RAM par nœud (Go)],$B147),"")</f>
        <v>80</v>
      </c>
      <c r="J147" s="14" t="n">
        <f aca="false">IF($D147=1,INDEX(TblClusters[Workers min],$B147),"")</f>
        <v>6</v>
      </c>
      <c r="K147" s="84" t="n">
        <f aca="false">IF($D147=1,INDEX(TblClusters[Tarif par nœud],$B147),"")</f>
        <v>736</v>
      </c>
      <c r="L147" s="14" t="n">
        <f aca="false">IF($D147=1,INDEX(TblClusters[CPU initial (vCPU)],$B147),"")</f>
        <v>96</v>
      </c>
      <c r="M147" s="14" t="n">
        <f aca="false">IF($D147=1,INDEX(TblClusters[RAM initiale (Go)],$B147),"")</f>
        <v>480</v>
      </c>
      <c r="N147" s="14" t="n">
        <f aca="false">IF($D147=1,INDEX(TblClusters[CPU min (vCPU)],$B147),"")</f>
        <v>96</v>
      </c>
      <c r="O147" s="14" t="n">
        <f aca="false">IF($D147=1,INDEX(TblClusters[RAM min (Go)],$B147),"")</f>
        <v>480</v>
      </c>
      <c r="P147" s="14" t="n">
        <f aca="false">IF($D147&lt;&gt;1,"",IF($G147="ROKS",SUMIFS(TblApplications[Besoin ROKS CPU (vCPU)],TblApplications[Cluster ROKS cible],$F147,TblApplications[Action],"À migrer",TblApplications[Déjà incluse ROKS],"Non",TblApplications[Mois prov (calc)],"&lt;="&amp;$E147),SUMIFS(TblApplications[CPU IKS libérable (vCPU)],TblApplications[Cluster IKS source],$F147,TblApplications[Mois lib (calc)],"&lt;="&amp;$E147)))</f>
        <v>77</v>
      </c>
      <c r="Q147" s="14" t="n">
        <f aca="false">IF($D147&lt;&gt;1,"",IF($G147="ROKS",SUMIFS(TblApplications[Besoin ROKS RAM (Go)],TblApplications[Cluster ROKS cible],$F147,TblApplications[Action],"À migrer",TblApplications[Déjà incluse ROKS],"Non",TblApplications[Mois prov (calc)],"&lt;="&amp;$E147),SUMIFS(TblApplications[RAM IKS libérable (Go)],TblApplications[Cluster IKS source],$F147,TblApplications[Mois lib (calc)],"&lt;="&amp;$E147)))</f>
        <v>448</v>
      </c>
      <c r="R147" s="14" t="n">
        <f aca="false">IF($D147&lt;&gt;1,"",IF($G147="ROKS",$L147+$P147,IF($AI147=1,0,MAX($N147,$L147-$P147))))</f>
        <v>173</v>
      </c>
      <c r="S147" s="14" t="n">
        <f aca="false">IF($D147&lt;&gt;1,"",IF($G147="ROKS",$M147+$Q147,IF($AI147=1,0,MAX($O147,$M147-$Q147))))</f>
        <v>928</v>
      </c>
      <c r="T147" s="14" t="n">
        <f aca="false">IF($D147&lt;&gt;1,"",IF($AI147=1,0,MAX($J147,ROUNDUP(MAX($R147/$H147,$S147/$I147),0))))</f>
        <v>12</v>
      </c>
      <c r="U147" s="14" t="n">
        <f aca="false">IF($D147&lt;&gt;1,"",IF(p_mode="Nœud",$T147*$H147,$R147))</f>
        <v>192</v>
      </c>
      <c r="V147" s="14" t="n">
        <f aca="false">IF($D147&lt;&gt;1,"",IF(p_mode="Nœud",$T147*$I147,$S147))</f>
        <v>960</v>
      </c>
      <c r="W147" s="84" t="n">
        <f aca="false">IF($D147&lt;&gt;1,"",IF(p_mode="Nœud",$T147*$K147,$R147*IF($G147="IKS",p_iks_cpu,p_roks_cpu)+$S147*IF($G147="IKS",p_iks_ram,p_roks_ram))*p_facteur)</f>
        <v>8832</v>
      </c>
      <c r="X147" s="14" t="n">
        <f aca="false">IF($D147&lt;&gt;1,"",IF($G147="ROKS",$R147,IF($AI147=1,0,MAX($N147,$L147-SUMIFS(TblApplications[CPU IKS libérable (vCPU)],TblApplications[Cluster IKS source],$F147,TblApplications[Action],"À migrer",TblApplications[Mois prov (calc)],"&lt;="&amp;$E147)-SUMIFS(TblApplications[CPU IKS libérable (vCPU)],TblApplications[Cluster IKS source],$F147,TblApplications[Action],"À décommissionner",TblApplications[Mois lib (calc)],"&lt;="&amp;$E147)))))</f>
        <v>173</v>
      </c>
      <c r="Y147" s="14" t="n">
        <f aca="false">IF($D147&lt;&gt;1,"",IF($G147="ROKS",$S147,IF($AI147=1,0,MAX($O147,$M147-SUMIFS(TblApplications[RAM IKS libérable (Go)],TblApplications[Cluster IKS source],$F147,TblApplications[Action],"À migrer",TblApplications[Mois prov (calc)],"&lt;="&amp;$E147)-SUMIFS(TblApplications[RAM IKS libérable (Go)],TblApplications[Cluster IKS source],$F147,TblApplications[Action],"À décommissionner",TblApplications[Mois lib (calc)],"&lt;="&amp;$E147)))))</f>
        <v>928</v>
      </c>
      <c r="Z147" s="14" t="n">
        <f aca="false">IF($D147&lt;&gt;1,"",IF($AI147=1,0,MAX($J147,ROUNDUP(MAX($X147/$H147,$Y147/$I147),0))))</f>
        <v>12</v>
      </c>
      <c r="AA147" s="84" t="n">
        <f aca="false">IF($D147&lt;&gt;1,"",IF(p_mode="Nœud",$Z147*$K147,$X147*IF($G147="IKS",p_iks_cpu,p_roks_cpu)+$Y147*IF($G147="IKS",p_iks_ram,p_roks_ram))*p_facteur)</f>
        <v>8832</v>
      </c>
      <c r="AB147" s="14" t="n">
        <f aca="false">IF($D147&lt;&gt;1,"",MAX($J147,ROUNDUP(MAX($L147/$H147,$M147/$I147),0)))</f>
        <v>6</v>
      </c>
      <c r="AC147" s="84" t="n">
        <f aca="false">IF($D147&lt;&gt;1,"",IF(p_mode="Nœud",$AB147*$K147,$L147*IF($G147="IKS",p_iks_cpu,p_roks_cpu)+$M147*IF($G147="IKS",p_iks_ram,p_roks_ram))*p_facteur)</f>
        <v>4416</v>
      </c>
      <c r="AD147" s="14" t="n">
        <f aca="false">IF($D147&lt;&gt;1,"",IF(AND($G147="IKS",$AI147&lt;&gt;1,OR($L147-$P147&lt;$N147,$M147-$Q147&lt;$O147)),1,0))</f>
        <v>0</v>
      </c>
      <c r="AE147" s="14" t="n">
        <f aca="false">IF($D147&lt;&gt;1,"",IF(AND($G147="ROKS",$T147&gt;p_maxworkers),1,0))</f>
        <v>0</v>
      </c>
      <c r="AF147" s="14" t="str">
        <f aca="false">IF($D147&lt;&gt;1,"",IF(INDEX(TblClusters[Environnement],$B147)="","(vide)",INDEX(TblClusters[Environnement],$B147)))</f>
        <v>NPRD</v>
      </c>
      <c r="AG147" s="14" t="n">
        <f aca="false">IF($D147&lt;&gt;1,"",$R147+p_poidsram*$S147)</f>
        <v>265.8</v>
      </c>
      <c r="AH147" s="14" t="n">
        <f aca="false">IF($D147&lt;&gt;1,"",IFERROR($W147/$AG147,0))</f>
        <v>33.2279909706546</v>
      </c>
      <c r="AI147" s="14" t="n">
        <f aca="false">IF($D147&lt;&gt;1,"",IF(AND($G147="IKS",ISNUMBER(INDEX(TblClusters[Fermeture retenue],$B147))),IF($E147&gt;=INDEX(TblClusters[Fermeture retenue],$B147),1,0),0))</f>
        <v>0</v>
      </c>
    </row>
    <row r="148" customFormat="false" ht="15" hidden="false" customHeight="false" outlineLevel="0" collapsed="false">
      <c r="A148" s="14" t="n">
        <v>143</v>
      </c>
      <c r="B148" s="14" t="n">
        <f aca="false">INT(($A148-1)/36)+1</f>
        <v>4</v>
      </c>
      <c r="C148" s="14" t="n">
        <f aca="false">MOD($A148-1,36)+1</f>
        <v>35</v>
      </c>
      <c r="D148" s="14" t="n">
        <f aca="false">IF($C148&gt;p_horizon,0,IFERROR(IF(AND(INDEX(TblClusters[Cluster],$B148)&lt;&gt;"",ISNUMBER(INDEX(TblClusters[CPU initial (vCPU)],$B148)),ISNUMBER(INDEX(TblClusters[CPU min (vCPU)],$B148)),OR(INDEX(TblClusters[Plateforme],$B148)="IKS",INDEX(TblClusters[Plateforme],$B148)="ROKS")),1,0),0))</f>
        <v>1</v>
      </c>
      <c r="E148" s="83" t="n">
        <f aca="false">IF($D148=1,EDATE(p_debut,$C148-1),"")</f>
        <v>47331</v>
      </c>
      <c r="F148" s="14" t="str">
        <f aca="false">IF($D148=1,INDEX(TblClusters[Cluster],$B148),"")</f>
        <v>ROKS-NPR-01</v>
      </c>
      <c r="G148" s="14" t="str">
        <f aca="false">IF($D148=1,INDEX(TblClusters[Plateforme],$B148),"")</f>
        <v>ROKS</v>
      </c>
      <c r="H148" s="14" t="n">
        <f aca="false">IF($D148=1,INDEX(TblClusters[vCPU par nœud],$B148),"")</f>
        <v>16</v>
      </c>
      <c r="I148" s="14" t="n">
        <f aca="false">IF($D148=1,INDEX(TblClusters[RAM par nœud (Go)],$B148),"")</f>
        <v>80</v>
      </c>
      <c r="J148" s="14" t="n">
        <f aca="false">IF($D148=1,INDEX(TblClusters[Workers min],$B148),"")</f>
        <v>6</v>
      </c>
      <c r="K148" s="84" t="n">
        <f aca="false">IF($D148=1,INDEX(TblClusters[Tarif par nœud],$B148),"")</f>
        <v>736</v>
      </c>
      <c r="L148" s="14" t="n">
        <f aca="false">IF($D148=1,INDEX(TblClusters[CPU initial (vCPU)],$B148),"")</f>
        <v>96</v>
      </c>
      <c r="M148" s="14" t="n">
        <f aca="false">IF($D148=1,INDEX(TblClusters[RAM initiale (Go)],$B148),"")</f>
        <v>480</v>
      </c>
      <c r="N148" s="14" t="n">
        <f aca="false">IF($D148=1,INDEX(TblClusters[CPU min (vCPU)],$B148),"")</f>
        <v>96</v>
      </c>
      <c r="O148" s="14" t="n">
        <f aca="false">IF($D148=1,INDEX(TblClusters[RAM min (Go)],$B148),"")</f>
        <v>480</v>
      </c>
      <c r="P148" s="14" t="n">
        <f aca="false">IF($D148&lt;&gt;1,"",IF($G148="ROKS",SUMIFS(TblApplications[Besoin ROKS CPU (vCPU)],TblApplications[Cluster ROKS cible],$F148,TblApplications[Action],"À migrer",TblApplications[Déjà incluse ROKS],"Non",TblApplications[Mois prov (calc)],"&lt;="&amp;$E148),SUMIFS(TblApplications[CPU IKS libérable (vCPU)],TblApplications[Cluster IKS source],$F148,TblApplications[Mois lib (calc)],"&lt;="&amp;$E148)))</f>
        <v>77</v>
      </c>
      <c r="Q148" s="14" t="n">
        <f aca="false">IF($D148&lt;&gt;1,"",IF($G148="ROKS",SUMIFS(TblApplications[Besoin ROKS RAM (Go)],TblApplications[Cluster ROKS cible],$F148,TblApplications[Action],"À migrer",TblApplications[Déjà incluse ROKS],"Non",TblApplications[Mois prov (calc)],"&lt;="&amp;$E148),SUMIFS(TblApplications[RAM IKS libérable (Go)],TblApplications[Cluster IKS source],$F148,TblApplications[Mois lib (calc)],"&lt;="&amp;$E148)))</f>
        <v>448</v>
      </c>
      <c r="R148" s="14" t="n">
        <f aca="false">IF($D148&lt;&gt;1,"",IF($G148="ROKS",$L148+$P148,IF($AI148=1,0,MAX($N148,$L148-$P148))))</f>
        <v>173</v>
      </c>
      <c r="S148" s="14" t="n">
        <f aca="false">IF($D148&lt;&gt;1,"",IF($G148="ROKS",$M148+$Q148,IF($AI148=1,0,MAX($O148,$M148-$Q148))))</f>
        <v>928</v>
      </c>
      <c r="T148" s="14" t="n">
        <f aca="false">IF($D148&lt;&gt;1,"",IF($AI148=1,0,MAX($J148,ROUNDUP(MAX($R148/$H148,$S148/$I148),0))))</f>
        <v>12</v>
      </c>
      <c r="U148" s="14" t="n">
        <f aca="false">IF($D148&lt;&gt;1,"",IF(p_mode="Nœud",$T148*$H148,$R148))</f>
        <v>192</v>
      </c>
      <c r="V148" s="14" t="n">
        <f aca="false">IF($D148&lt;&gt;1,"",IF(p_mode="Nœud",$T148*$I148,$S148))</f>
        <v>960</v>
      </c>
      <c r="W148" s="84" t="n">
        <f aca="false">IF($D148&lt;&gt;1,"",IF(p_mode="Nœud",$T148*$K148,$R148*IF($G148="IKS",p_iks_cpu,p_roks_cpu)+$S148*IF($G148="IKS",p_iks_ram,p_roks_ram))*p_facteur)</f>
        <v>8832</v>
      </c>
      <c r="X148" s="14" t="n">
        <f aca="false">IF($D148&lt;&gt;1,"",IF($G148="ROKS",$R148,IF($AI148=1,0,MAX($N148,$L148-SUMIFS(TblApplications[CPU IKS libérable (vCPU)],TblApplications[Cluster IKS source],$F148,TblApplications[Action],"À migrer",TblApplications[Mois prov (calc)],"&lt;="&amp;$E148)-SUMIFS(TblApplications[CPU IKS libérable (vCPU)],TblApplications[Cluster IKS source],$F148,TblApplications[Action],"À décommissionner",TblApplications[Mois lib (calc)],"&lt;="&amp;$E148)))))</f>
        <v>173</v>
      </c>
      <c r="Y148" s="14" t="n">
        <f aca="false">IF($D148&lt;&gt;1,"",IF($G148="ROKS",$S148,IF($AI148=1,0,MAX($O148,$M148-SUMIFS(TblApplications[RAM IKS libérable (Go)],TblApplications[Cluster IKS source],$F148,TblApplications[Action],"À migrer",TblApplications[Mois prov (calc)],"&lt;="&amp;$E148)-SUMIFS(TblApplications[RAM IKS libérable (Go)],TblApplications[Cluster IKS source],$F148,TblApplications[Action],"À décommissionner",TblApplications[Mois lib (calc)],"&lt;="&amp;$E148)))))</f>
        <v>928</v>
      </c>
      <c r="Z148" s="14" t="n">
        <f aca="false">IF($D148&lt;&gt;1,"",IF($AI148=1,0,MAX($J148,ROUNDUP(MAX($X148/$H148,$Y148/$I148),0))))</f>
        <v>12</v>
      </c>
      <c r="AA148" s="84" t="n">
        <f aca="false">IF($D148&lt;&gt;1,"",IF(p_mode="Nœud",$Z148*$K148,$X148*IF($G148="IKS",p_iks_cpu,p_roks_cpu)+$Y148*IF($G148="IKS",p_iks_ram,p_roks_ram))*p_facteur)</f>
        <v>8832</v>
      </c>
      <c r="AB148" s="14" t="n">
        <f aca="false">IF($D148&lt;&gt;1,"",MAX($J148,ROUNDUP(MAX($L148/$H148,$M148/$I148),0)))</f>
        <v>6</v>
      </c>
      <c r="AC148" s="84" t="n">
        <f aca="false">IF($D148&lt;&gt;1,"",IF(p_mode="Nœud",$AB148*$K148,$L148*IF($G148="IKS",p_iks_cpu,p_roks_cpu)+$M148*IF($G148="IKS",p_iks_ram,p_roks_ram))*p_facteur)</f>
        <v>4416</v>
      </c>
      <c r="AD148" s="14" t="n">
        <f aca="false">IF($D148&lt;&gt;1,"",IF(AND($G148="IKS",$AI148&lt;&gt;1,OR($L148-$P148&lt;$N148,$M148-$Q148&lt;$O148)),1,0))</f>
        <v>0</v>
      </c>
      <c r="AE148" s="14" t="n">
        <f aca="false">IF($D148&lt;&gt;1,"",IF(AND($G148="ROKS",$T148&gt;p_maxworkers),1,0))</f>
        <v>0</v>
      </c>
      <c r="AF148" s="14" t="str">
        <f aca="false">IF($D148&lt;&gt;1,"",IF(INDEX(TblClusters[Environnement],$B148)="","(vide)",INDEX(TblClusters[Environnement],$B148)))</f>
        <v>NPRD</v>
      </c>
      <c r="AG148" s="14" t="n">
        <f aca="false">IF($D148&lt;&gt;1,"",$R148+p_poidsram*$S148)</f>
        <v>265.8</v>
      </c>
      <c r="AH148" s="14" t="n">
        <f aca="false">IF($D148&lt;&gt;1,"",IFERROR($W148/$AG148,0))</f>
        <v>33.2279909706546</v>
      </c>
      <c r="AI148" s="14" t="n">
        <f aca="false">IF($D148&lt;&gt;1,"",IF(AND($G148="IKS",ISNUMBER(INDEX(TblClusters[Fermeture retenue],$B148))),IF($E148&gt;=INDEX(TblClusters[Fermeture retenue],$B148),1,0),0))</f>
        <v>0</v>
      </c>
    </row>
    <row r="149" customFormat="false" ht="15" hidden="false" customHeight="false" outlineLevel="0" collapsed="false">
      <c r="A149" s="14" t="n">
        <v>144</v>
      </c>
      <c r="B149" s="14" t="n">
        <f aca="false">INT(($A149-1)/36)+1</f>
        <v>4</v>
      </c>
      <c r="C149" s="14" t="n">
        <f aca="false">MOD($A149-1,36)+1</f>
        <v>36</v>
      </c>
      <c r="D149" s="14" t="n">
        <f aca="false">IF($C149&gt;p_horizon,0,IFERROR(IF(AND(INDEX(TblClusters[Cluster],$B149)&lt;&gt;"",ISNUMBER(INDEX(TblClusters[CPU initial (vCPU)],$B149)),ISNUMBER(INDEX(TblClusters[CPU min (vCPU)],$B149)),OR(INDEX(TblClusters[Plateforme],$B149)="IKS",INDEX(TblClusters[Plateforme],$B149)="ROKS")),1,0),0))</f>
        <v>1</v>
      </c>
      <c r="E149" s="83" t="n">
        <f aca="false">IF($D149=1,EDATE(p_debut,$C149-1),"")</f>
        <v>47362</v>
      </c>
      <c r="F149" s="14" t="str">
        <f aca="false">IF($D149=1,INDEX(TblClusters[Cluster],$B149),"")</f>
        <v>ROKS-NPR-01</v>
      </c>
      <c r="G149" s="14" t="str">
        <f aca="false">IF($D149=1,INDEX(TblClusters[Plateforme],$B149),"")</f>
        <v>ROKS</v>
      </c>
      <c r="H149" s="14" t="n">
        <f aca="false">IF($D149=1,INDEX(TblClusters[vCPU par nœud],$B149),"")</f>
        <v>16</v>
      </c>
      <c r="I149" s="14" t="n">
        <f aca="false">IF($D149=1,INDEX(TblClusters[RAM par nœud (Go)],$B149),"")</f>
        <v>80</v>
      </c>
      <c r="J149" s="14" t="n">
        <f aca="false">IF($D149=1,INDEX(TblClusters[Workers min],$B149),"")</f>
        <v>6</v>
      </c>
      <c r="K149" s="84" t="n">
        <f aca="false">IF($D149=1,INDEX(TblClusters[Tarif par nœud],$B149),"")</f>
        <v>736</v>
      </c>
      <c r="L149" s="14" t="n">
        <f aca="false">IF($D149=1,INDEX(TblClusters[CPU initial (vCPU)],$B149),"")</f>
        <v>96</v>
      </c>
      <c r="M149" s="14" t="n">
        <f aca="false">IF($D149=1,INDEX(TblClusters[RAM initiale (Go)],$B149),"")</f>
        <v>480</v>
      </c>
      <c r="N149" s="14" t="n">
        <f aca="false">IF($D149=1,INDEX(TblClusters[CPU min (vCPU)],$B149),"")</f>
        <v>96</v>
      </c>
      <c r="O149" s="14" t="n">
        <f aca="false">IF($D149=1,INDEX(TblClusters[RAM min (Go)],$B149),"")</f>
        <v>480</v>
      </c>
      <c r="P149" s="14" t="n">
        <f aca="false">IF($D149&lt;&gt;1,"",IF($G149="ROKS",SUMIFS(TblApplications[Besoin ROKS CPU (vCPU)],TblApplications[Cluster ROKS cible],$F149,TblApplications[Action],"À migrer",TblApplications[Déjà incluse ROKS],"Non",TblApplications[Mois prov (calc)],"&lt;="&amp;$E149),SUMIFS(TblApplications[CPU IKS libérable (vCPU)],TblApplications[Cluster IKS source],$F149,TblApplications[Mois lib (calc)],"&lt;="&amp;$E149)))</f>
        <v>77</v>
      </c>
      <c r="Q149" s="14" t="n">
        <f aca="false">IF($D149&lt;&gt;1,"",IF($G149="ROKS",SUMIFS(TblApplications[Besoin ROKS RAM (Go)],TblApplications[Cluster ROKS cible],$F149,TblApplications[Action],"À migrer",TblApplications[Déjà incluse ROKS],"Non",TblApplications[Mois prov (calc)],"&lt;="&amp;$E149),SUMIFS(TblApplications[RAM IKS libérable (Go)],TblApplications[Cluster IKS source],$F149,TblApplications[Mois lib (calc)],"&lt;="&amp;$E149)))</f>
        <v>448</v>
      </c>
      <c r="R149" s="14" t="n">
        <f aca="false">IF($D149&lt;&gt;1,"",IF($G149="ROKS",$L149+$P149,IF($AI149=1,0,MAX($N149,$L149-$P149))))</f>
        <v>173</v>
      </c>
      <c r="S149" s="14" t="n">
        <f aca="false">IF($D149&lt;&gt;1,"",IF($G149="ROKS",$M149+$Q149,IF($AI149=1,0,MAX($O149,$M149-$Q149))))</f>
        <v>928</v>
      </c>
      <c r="T149" s="14" t="n">
        <f aca="false">IF($D149&lt;&gt;1,"",IF($AI149=1,0,MAX($J149,ROUNDUP(MAX($R149/$H149,$S149/$I149),0))))</f>
        <v>12</v>
      </c>
      <c r="U149" s="14" t="n">
        <f aca="false">IF($D149&lt;&gt;1,"",IF(p_mode="Nœud",$T149*$H149,$R149))</f>
        <v>192</v>
      </c>
      <c r="V149" s="14" t="n">
        <f aca="false">IF($D149&lt;&gt;1,"",IF(p_mode="Nœud",$T149*$I149,$S149))</f>
        <v>960</v>
      </c>
      <c r="W149" s="84" t="n">
        <f aca="false">IF($D149&lt;&gt;1,"",IF(p_mode="Nœud",$T149*$K149,$R149*IF($G149="IKS",p_iks_cpu,p_roks_cpu)+$S149*IF($G149="IKS",p_iks_ram,p_roks_ram))*p_facteur)</f>
        <v>8832</v>
      </c>
      <c r="X149" s="14" t="n">
        <f aca="false">IF($D149&lt;&gt;1,"",IF($G149="ROKS",$R149,IF($AI149=1,0,MAX($N149,$L149-SUMIFS(TblApplications[CPU IKS libérable (vCPU)],TblApplications[Cluster IKS source],$F149,TblApplications[Action],"À migrer",TblApplications[Mois prov (calc)],"&lt;="&amp;$E149)-SUMIFS(TblApplications[CPU IKS libérable (vCPU)],TblApplications[Cluster IKS source],$F149,TblApplications[Action],"À décommissionner",TblApplications[Mois lib (calc)],"&lt;="&amp;$E149)))))</f>
        <v>173</v>
      </c>
      <c r="Y149" s="14" t="n">
        <f aca="false">IF($D149&lt;&gt;1,"",IF($G149="ROKS",$S149,IF($AI149=1,0,MAX($O149,$M149-SUMIFS(TblApplications[RAM IKS libérable (Go)],TblApplications[Cluster IKS source],$F149,TblApplications[Action],"À migrer",TblApplications[Mois prov (calc)],"&lt;="&amp;$E149)-SUMIFS(TblApplications[RAM IKS libérable (Go)],TblApplications[Cluster IKS source],$F149,TblApplications[Action],"À décommissionner",TblApplications[Mois lib (calc)],"&lt;="&amp;$E149)))))</f>
        <v>928</v>
      </c>
      <c r="Z149" s="14" t="n">
        <f aca="false">IF($D149&lt;&gt;1,"",IF($AI149=1,0,MAX($J149,ROUNDUP(MAX($X149/$H149,$Y149/$I149),0))))</f>
        <v>12</v>
      </c>
      <c r="AA149" s="84" t="n">
        <f aca="false">IF($D149&lt;&gt;1,"",IF(p_mode="Nœud",$Z149*$K149,$X149*IF($G149="IKS",p_iks_cpu,p_roks_cpu)+$Y149*IF($G149="IKS",p_iks_ram,p_roks_ram))*p_facteur)</f>
        <v>8832</v>
      </c>
      <c r="AB149" s="14" t="n">
        <f aca="false">IF($D149&lt;&gt;1,"",MAX($J149,ROUNDUP(MAX($L149/$H149,$M149/$I149),0)))</f>
        <v>6</v>
      </c>
      <c r="AC149" s="84" t="n">
        <f aca="false">IF($D149&lt;&gt;1,"",IF(p_mode="Nœud",$AB149*$K149,$L149*IF($G149="IKS",p_iks_cpu,p_roks_cpu)+$M149*IF($G149="IKS",p_iks_ram,p_roks_ram))*p_facteur)</f>
        <v>4416</v>
      </c>
      <c r="AD149" s="14" t="n">
        <f aca="false">IF($D149&lt;&gt;1,"",IF(AND($G149="IKS",$AI149&lt;&gt;1,OR($L149-$P149&lt;$N149,$M149-$Q149&lt;$O149)),1,0))</f>
        <v>0</v>
      </c>
      <c r="AE149" s="14" t="n">
        <f aca="false">IF($D149&lt;&gt;1,"",IF(AND($G149="ROKS",$T149&gt;p_maxworkers),1,0))</f>
        <v>0</v>
      </c>
      <c r="AF149" s="14" t="str">
        <f aca="false">IF($D149&lt;&gt;1,"",IF(INDEX(TblClusters[Environnement],$B149)="","(vide)",INDEX(TblClusters[Environnement],$B149)))</f>
        <v>NPRD</v>
      </c>
      <c r="AG149" s="14" t="n">
        <f aca="false">IF($D149&lt;&gt;1,"",$R149+p_poidsram*$S149)</f>
        <v>265.8</v>
      </c>
      <c r="AH149" s="14" t="n">
        <f aca="false">IF($D149&lt;&gt;1,"",IFERROR($W149/$AG149,0))</f>
        <v>33.2279909706546</v>
      </c>
      <c r="AI149" s="14" t="n">
        <f aca="false">IF($D149&lt;&gt;1,"",IF(AND($G149="IKS",ISNUMBER(INDEX(TblClusters[Fermeture retenue],$B149))),IF($E149&gt;=INDEX(TblClusters[Fermeture retenue],$B149),1,0),0))</f>
        <v>0</v>
      </c>
    </row>
    <row r="150" customFormat="false" ht="15" hidden="false" customHeight="false" outlineLevel="0" collapsed="false">
      <c r="A150" s="14" t="n">
        <v>145</v>
      </c>
      <c r="B150" s="14" t="n">
        <f aca="false">INT(($A150-1)/36)+1</f>
        <v>5</v>
      </c>
      <c r="C150" s="14" t="n">
        <f aca="false">MOD($A150-1,36)+1</f>
        <v>1</v>
      </c>
      <c r="D150" s="14" t="n">
        <f aca="false">IF($C150&gt;p_horizon,0,IFERROR(IF(AND(INDEX(TblClusters[Cluster],$B150)&lt;&gt;"",ISNUMBER(INDEX(TblClusters[CPU initial (vCPU)],$B150)),ISNUMBER(INDEX(TblClusters[CPU min (vCPU)],$B150)),OR(INDEX(TblClusters[Plateforme],$B150)="IKS",INDEX(TblClusters[Plateforme],$B150)="ROKS")),1,0),0))</f>
        <v>0</v>
      </c>
      <c r="E150" s="83" t="str">
        <f aca="false">IF($D150=1,EDATE(p_debut,$C150-1),"")</f>
        <v/>
      </c>
      <c r="F150" s="14" t="str">
        <f aca="false">IF($D150=1,INDEX(TblClusters[Cluster],$B150),"")</f>
        <v/>
      </c>
      <c r="G150" s="14" t="str">
        <f aca="false">IF($D150=1,INDEX(TblClusters[Plateforme],$B150),"")</f>
        <v/>
      </c>
      <c r="H150" s="14" t="str">
        <f aca="false">IF($D150=1,INDEX(TblClusters[vCPU par nœud],$B150),"")</f>
        <v/>
      </c>
      <c r="I150" s="14" t="str">
        <f aca="false">IF($D150=1,INDEX(TblClusters[RAM par nœud (Go)],$B150),"")</f>
        <v/>
      </c>
      <c r="J150" s="14" t="str">
        <f aca="false">IF($D150=1,INDEX(TblClusters[Workers min],$B150),"")</f>
        <v/>
      </c>
      <c r="K150" s="84" t="str">
        <f aca="false">IF($D150=1,INDEX(TblClusters[Tarif par nœud],$B150),"")</f>
        <v/>
      </c>
      <c r="L150" s="14" t="str">
        <f aca="false">IF($D150=1,INDEX(TblClusters[CPU initial (vCPU)],$B150),"")</f>
        <v/>
      </c>
      <c r="M150" s="14" t="str">
        <f aca="false">IF($D150=1,INDEX(TblClusters[RAM initiale (Go)],$B150),"")</f>
        <v/>
      </c>
      <c r="N150" s="14" t="str">
        <f aca="false">IF($D150=1,INDEX(TblClusters[CPU min (vCPU)],$B150),"")</f>
        <v/>
      </c>
      <c r="O150" s="14" t="str">
        <f aca="false">IF($D150=1,INDEX(TblClusters[RAM min (Go)],$B150),"")</f>
        <v/>
      </c>
      <c r="P150" s="14" t="str">
        <f aca="false">IF($D150&lt;&gt;1,"",IF($G150="ROKS",SUMIFS(TblApplications[Besoin ROKS CPU (vCPU)],TblApplications[Cluster ROKS cible],$F150,TblApplications[Action],"À migrer",TblApplications[Déjà incluse ROKS],"Non",TblApplications[Mois prov (calc)],"&lt;="&amp;$E150),SUMIFS(TblApplications[CPU IKS libérable (vCPU)],TblApplications[Cluster IKS source],$F150,TblApplications[Mois lib (calc)],"&lt;="&amp;$E150)))</f>
        <v/>
      </c>
      <c r="Q150" s="14" t="str">
        <f aca="false">IF($D150&lt;&gt;1,"",IF($G150="ROKS",SUMIFS(TblApplications[Besoin ROKS RAM (Go)],TblApplications[Cluster ROKS cible],$F150,TblApplications[Action],"À migrer",TblApplications[Déjà incluse ROKS],"Non",TblApplications[Mois prov (calc)],"&lt;="&amp;$E150),SUMIFS(TblApplications[RAM IKS libérable (Go)],TblApplications[Cluster IKS source],$F150,TblApplications[Mois lib (calc)],"&lt;="&amp;$E150)))</f>
        <v/>
      </c>
      <c r="R150" s="14" t="str">
        <f aca="false">IF($D150&lt;&gt;1,"",IF($G150="ROKS",$L150+$P150,IF($AI150=1,0,MAX($N150,$L150-$P150))))</f>
        <v/>
      </c>
      <c r="S150" s="14" t="str">
        <f aca="false">IF($D150&lt;&gt;1,"",IF($G150="ROKS",$M150+$Q150,IF($AI150=1,0,MAX($O150,$M150-$Q150))))</f>
        <v/>
      </c>
      <c r="T150" s="14" t="str">
        <f aca="false">IF($D150&lt;&gt;1,"",IF($AI150=1,0,MAX($J150,ROUNDUP(MAX($R150/$H150,$S150/$I150),0))))</f>
        <v/>
      </c>
      <c r="U150" s="14" t="str">
        <f aca="false">IF($D150&lt;&gt;1,"",IF(p_mode="Nœud",$T150*$H150,$R150))</f>
        <v/>
      </c>
      <c r="V150" s="14" t="str">
        <f aca="false">IF($D150&lt;&gt;1,"",IF(p_mode="Nœud",$T150*$I150,$S150))</f>
        <v/>
      </c>
      <c r="W150" s="84" t="str">
        <f aca="false">IF($D150&lt;&gt;1,"",IF(p_mode="Nœud",$T150*$K150,$R150*IF($G150="IKS",p_iks_cpu,p_roks_cpu)+$S150*IF($G150="IKS",p_iks_ram,p_roks_ram))*p_facteur)</f>
        <v/>
      </c>
      <c r="X150" s="14" t="str">
        <f aca="false">IF($D150&lt;&gt;1,"",IF($G150="ROKS",$R150,IF($AI150=1,0,MAX($N150,$L150-SUMIFS(TblApplications[CPU IKS libérable (vCPU)],TblApplications[Cluster IKS source],$F150,TblApplications[Action],"À migrer",TblApplications[Mois prov (calc)],"&lt;="&amp;$E150)-SUMIFS(TblApplications[CPU IKS libérable (vCPU)],TblApplications[Cluster IKS source],$F150,TblApplications[Action],"À décommissionner",TblApplications[Mois lib (calc)],"&lt;="&amp;$E150)))))</f>
        <v/>
      </c>
      <c r="Y150" s="14" t="str">
        <f aca="false">IF($D150&lt;&gt;1,"",IF($G150="ROKS",$S150,IF($AI150=1,0,MAX($O150,$M150-SUMIFS(TblApplications[RAM IKS libérable (Go)],TblApplications[Cluster IKS source],$F150,TblApplications[Action],"À migrer",TblApplications[Mois prov (calc)],"&lt;="&amp;$E150)-SUMIFS(TblApplications[RAM IKS libérable (Go)],TblApplications[Cluster IKS source],$F150,TblApplications[Action],"À décommissionner",TblApplications[Mois lib (calc)],"&lt;="&amp;$E150)))))</f>
        <v/>
      </c>
      <c r="Z150" s="14" t="str">
        <f aca="false">IF($D150&lt;&gt;1,"",IF($AI150=1,0,MAX($J150,ROUNDUP(MAX($X150/$H150,$Y150/$I150),0))))</f>
        <v/>
      </c>
      <c r="AA150" s="84" t="str">
        <f aca="false">IF($D150&lt;&gt;1,"",IF(p_mode="Nœud",$Z150*$K150,$X150*IF($G150="IKS",p_iks_cpu,p_roks_cpu)+$Y150*IF($G150="IKS",p_iks_ram,p_roks_ram))*p_facteur)</f>
        <v/>
      </c>
      <c r="AB150" s="14" t="str">
        <f aca="false">IF($D150&lt;&gt;1,"",MAX($J150,ROUNDUP(MAX($L150/$H150,$M150/$I150),0)))</f>
        <v/>
      </c>
      <c r="AC150" s="84" t="str">
        <f aca="false">IF($D150&lt;&gt;1,"",IF(p_mode="Nœud",$AB150*$K150,$L150*IF($G150="IKS",p_iks_cpu,p_roks_cpu)+$M150*IF($G150="IKS",p_iks_ram,p_roks_ram))*p_facteur)</f>
        <v/>
      </c>
      <c r="AD150" s="14" t="str">
        <f aca="false">IF($D150&lt;&gt;1,"",IF(AND($G150="IKS",$AI150&lt;&gt;1,OR($L150-$P150&lt;$N150,$M150-$Q150&lt;$O150)),1,0))</f>
        <v/>
      </c>
      <c r="AE150" s="14" t="str">
        <f aca="false">IF($D150&lt;&gt;1,"",IF(AND($G150="ROKS",$T150&gt;p_maxworkers),1,0))</f>
        <v/>
      </c>
      <c r="AF150" s="14" t="str">
        <f aca="false">IF($D150&lt;&gt;1,"",IF(INDEX(TblClusters[Environnement],$B150)="","(vide)",INDEX(TblClusters[Environnement],$B150)))</f>
        <v/>
      </c>
      <c r="AG150" s="14" t="str">
        <f aca="false">IF($D150&lt;&gt;1,"",$R150+p_poidsram*$S150)</f>
        <v/>
      </c>
      <c r="AH150" s="14" t="str">
        <f aca="false">IF($D150&lt;&gt;1,"",IFERROR($W150/$AG150,0))</f>
        <v/>
      </c>
      <c r="AI150" s="14" t="str">
        <f aca="false">IF($D150&lt;&gt;1,"",IF(AND($G150="IKS",ISNUMBER(INDEX(TblClusters[Fermeture retenue],$B150))),IF($E150&gt;=INDEX(TblClusters[Fermeture retenue],$B150),1,0),0))</f>
        <v/>
      </c>
    </row>
    <row r="151" customFormat="false" ht="15" hidden="false" customHeight="false" outlineLevel="0" collapsed="false">
      <c r="A151" s="14" t="n">
        <v>146</v>
      </c>
      <c r="B151" s="14" t="n">
        <f aca="false">INT(($A151-1)/36)+1</f>
        <v>5</v>
      </c>
      <c r="C151" s="14" t="n">
        <f aca="false">MOD($A151-1,36)+1</f>
        <v>2</v>
      </c>
      <c r="D151" s="14" t="n">
        <f aca="false">IF($C151&gt;p_horizon,0,IFERROR(IF(AND(INDEX(TblClusters[Cluster],$B151)&lt;&gt;"",ISNUMBER(INDEX(TblClusters[CPU initial (vCPU)],$B151)),ISNUMBER(INDEX(TblClusters[CPU min (vCPU)],$B151)),OR(INDEX(TblClusters[Plateforme],$B151)="IKS",INDEX(TblClusters[Plateforme],$B151)="ROKS")),1,0),0))</f>
        <v>0</v>
      </c>
      <c r="E151" s="83" t="str">
        <f aca="false">IF($D151=1,EDATE(p_debut,$C151-1),"")</f>
        <v/>
      </c>
      <c r="F151" s="14" t="str">
        <f aca="false">IF($D151=1,INDEX(TblClusters[Cluster],$B151),"")</f>
        <v/>
      </c>
      <c r="G151" s="14" t="str">
        <f aca="false">IF($D151=1,INDEX(TblClusters[Plateforme],$B151),"")</f>
        <v/>
      </c>
      <c r="H151" s="14" t="str">
        <f aca="false">IF($D151=1,INDEX(TblClusters[vCPU par nœud],$B151),"")</f>
        <v/>
      </c>
      <c r="I151" s="14" t="str">
        <f aca="false">IF($D151=1,INDEX(TblClusters[RAM par nœud (Go)],$B151),"")</f>
        <v/>
      </c>
      <c r="J151" s="14" t="str">
        <f aca="false">IF($D151=1,INDEX(TblClusters[Workers min],$B151),"")</f>
        <v/>
      </c>
      <c r="K151" s="84" t="str">
        <f aca="false">IF($D151=1,INDEX(TblClusters[Tarif par nœud],$B151),"")</f>
        <v/>
      </c>
      <c r="L151" s="14" t="str">
        <f aca="false">IF($D151=1,INDEX(TblClusters[CPU initial (vCPU)],$B151),"")</f>
        <v/>
      </c>
      <c r="M151" s="14" t="str">
        <f aca="false">IF($D151=1,INDEX(TblClusters[RAM initiale (Go)],$B151),"")</f>
        <v/>
      </c>
      <c r="N151" s="14" t="str">
        <f aca="false">IF($D151=1,INDEX(TblClusters[CPU min (vCPU)],$B151),"")</f>
        <v/>
      </c>
      <c r="O151" s="14" t="str">
        <f aca="false">IF($D151=1,INDEX(TblClusters[RAM min (Go)],$B151),"")</f>
        <v/>
      </c>
      <c r="P151" s="14" t="str">
        <f aca="false">IF($D151&lt;&gt;1,"",IF($G151="ROKS",SUMIFS(TblApplications[Besoin ROKS CPU (vCPU)],TblApplications[Cluster ROKS cible],$F151,TblApplications[Action],"À migrer",TblApplications[Déjà incluse ROKS],"Non",TblApplications[Mois prov (calc)],"&lt;="&amp;$E151),SUMIFS(TblApplications[CPU IKS libérable (vCPU)],TblApplications[Cluster IKS source],$F151,TblApplications[Mois lib (calc)],"&lt;="&amp;$E151)))</f>
        <v/>
      </c>
      <c r="Q151" s="14" t="str">
        <f aca="false">IF($D151&lt;&gt;1,"",IF($G151="ROKS",SUMIFS(TblApplications[Besoin ROKS RAM (Go)],TblApplications[Cluster ROKS cible],$F151,TblApplications[Action],"À migrer",TblApplications[Déjà incluse ROKS],"Non",TblApplications[Mois prov (calc)],"&lt;="&amp;$E151),SUMIFS(TblApplications[RAM IKS libérable (Go)],TblApplications[Cluster IKS source],$F151,TblApplications[Mois lib (calc)],"&lt;="&amp;$E151)))</f>
        <v/>
      </c>
      <c r="R151" s="14" t="str">
        <f aca="false">IF($D151&lt;&gt;1,"",IF($G151="ROKS",$L151+$P151,IF($AI151=1,0,MAX($N151,$L151-$P151))))</f>
        <v/>
      </c>
      <c r="S151" s="14" t="str">
        <f aca="false">IF($D151&lt;&gt;1,"",IF($G151="ROKS",$M151+$Q151,IF($AI151=1,0,MAX($O151,$M151-$Q151))))</f>
        <v/>
      </c>
      <c r="T151" s="14" t="str">
        <f aca="false">IF($D151&lt;&gt;1,"",IF($AI151=1,0,MAX($J151,ROUNDUP(MAX($R151/$H151,$S151/$I151),0))))</f>
        <v/>
      </c>
      <c r="U151" s="14" t="str">
        <f aca="false">IF($D151&lt;&gt;1,"",IF(p_mode="Nœud",$T151*$H151,$R151))</f>
        <v/>
      </c>
      <c r="V151" s="14" t="str">
        <f aca="false">IF($D151&lt;&gt;1,"",IF(p_mode="Nœud",$T151*$I151,$S151))</f>
        <v/>
      </c>
      <c r="W151" s="84" t="str">
        <f aca="false">IF($D151&lt;&gt;1,"",IF(p_mode="Nœud",$T151*$K151,$R151*IF($G151="IKS",p_iks_cpu,p_roks_cpu)+$S151*IF($G151="IKS",p_iks_ram,p_roks_ram))*p_facteur)</f>
        <v/>
      </c>
      <c r="X151" s="14" t="str">
        <f aca="false">IF($D151&lt;&gt;1,"",IF($G151="ROKS",$R151,IF($AI151=1,0,MAX($N151,$L151-SUMIFS(TblApplications[CPU IKS libérable (vCPU)],TblApplications[Cluster IKS source],$F151,TblApplications[Action],"À migrer",TblApplications[Mois prov (calc)],"&lt;="&amp;$E151)-SUMIFS(TblApplications[CPU IKS libérable (vCPU)],TblApplications[Cluster IKS source],$F151,TblApplications[Action],"À décommissionner",TblApplications[Mois lib (calc)],"&lt;="&amp;$E151)))))</f>
        <v/>
      </c>
      <c r="Y151" s="14" t="str">
        <f aca="false">IF($D151&lt;&gt;1,"",IF($G151="ROKS",$S151,IF($AI151=1,0,MAX($O151,$M151-SUMIFS(TblApplications[RAM IKS libérable (Go)],TblApplications[Cluster IKS source],$F151,TblApplications[Action],"À migrer",TblApplications[Mois prov (calc)],"&lt;="&amp;$E151)-SUMIFS(TblApplications[RAM IKS libérable (Go)],TblApplications[Cluster IKS source],$F151,TblApplications[Action],"À décommissionner",TblApplications[Mois lib (calc)],"&lt;="&amp;$E151)))))</f>
        <v/>
      </c>
      <c r="Z151" s="14" t="str">
        <f aca="false">IF($D151&lt;&gt;1,"",IF($AI151=1,0,MAX($J151,ROUNDUP(MAX($X151/$H151,$Y151/$I151),0))))</f>
        <v/>
      </c>
      <c r="AA151" s="84" t="str">
        <f aca="false">IF($D151&lt;&gt;1,"",IF(p_mode="Nœud",$Z151*$K151,$X151*IF($G151="IKS",p_iks_cpu,p_roks_cpu)+$Y151*IF($G151="IKS",p_iks_ram,p_roks_ram))*p_facteur)</f>
        <v/>
      </c>
      <c r="AB151" s="14" t="str">
        <f aca="false">IF($D151&lt;&gt;1,"",MAX($J151,ROUNDUP(MAX($L151/$H151,$M151/$I151),0)))</f>
        <v/>
      </c>
      <c r="AC151" s="84" t="str">
        <f aca="false">IF($D151&lt;&gt;1,"",IF(p_mode="Nœud",$AB151*$K151,$L151*IF($G151="IKS",p_iks_cpu,p_roks_cpu)+$M151*IF($G151="IKS",p_iks_ram,p_roks_ram))*p_facteur)</f>
        <v/>
      </c>
      <c r="AD151" s="14" t="str">
        <f aca="false">IF($D151&lt;&gt;1,"",IF(AND($G151="IKS",$AI151&lt;&gt;1,OR($L151-$P151&lt;$N151,$M151-$Q151&lt;$O151)),1,0))</f>
        <v/>
      </c>
      <c r="AE151" s="14" t="str">
        <f aca="false">IF($D151&lt;&gt;1,"",IF(AND($G151="ROKS",$T151&gt;p_maxworkers),1,0))</f>
        <v/>
      </c>
      <c r="AF151" s="14" t="str">
        <f aca="false">IF($D151&lt;&gt;1,"",IF(INDEX(TblClusters[Environnement],$B151)="","(vide)",INDEX(TblClusters[Environnement],$B151)))</f>
        <v/>
      </c>
      <c r="AG151" s="14" t="str">
        <f aca="false">IF($D151&lt;&gt;1,"",$R151+p_poidsram*$S151)</f>
        <v/>
      </c>
      <c r="AH151" s="14" t="str">
        <f aca="false">IF($D151&lt;&gt;1,"",IFERROR($W151/$AG151,0))</f>
        <v/>
      </c>
      <c r="AI151" s="14" t="str">
        <f aca="false">IF($D151&lt;&gt;1,"",IF(AND($G151="IKS",ISNUMBER(INDEX(TblClusters[Fermeture retenue],$B151))),IF($E151&gt;=INDEX(TblClusters[Fermeture retenue],$B151),1,0),0))</f>
        <v/>
      </c>
    </row>
    <row r="152" customFormat="false" ht="15" hidden="false" customHeight="false" outlineLevel="0" collapsed="false">
      <c r="A152" s="14" t="n">
        <v>147</v>
      </c>
      <c r="B152" s="14" t="n">
        <f aca="false">INT(($A152-1)/36)+1</f>
        <v>5</v>
      </c>
      <c r="C152" s="14" t="n">
        <f aca="false">MOD($A152-1,36)+1</f>
        <v>3</v>
      </c>
      <c r="D152" s="14" t="n">
        <f aca="false">IF($C152&gt;p_horizon,0,IFERROR(IF(AND(INDEX(TblClusters[Cluster],$B152)&lt;&gt;"",ISNUMBER(INDEX(TblClusters[CPU initial (vCPU)],$B152)),ISNUMBER(INDEX(TblClusters[CPU min (vCPU)],$B152)),OR(INDEX(TblClusters[Plateforme],$B152)="IKS",INDEX(TblClusters[Plateforme],$B152)="ROKS")),1,0),0))</f>
        <v>0</v>
      </c>
      <c r="E152" s="83" t="str">
        <f aca="false">IF($D152=1,EDATE(p_debut,$C152-1),"")</f>
        <v/>
      </c>
      <c r="F152" s="14" t="str">
        <f aca="false">IF($D152=1,INDEX(TblClusters[Cluster],$B152),"")</f>
        <v/>
      </c>
      <c r="G152" s="14" t="str">
        <f aca="false">IF($D152=1,INDEX(TblClusters[Plateforme],$B152),"")</f>
        <v/>
      </c>
      <c r="H152" s="14" t="str">
        <f aca="false">IF($D152=1,INDEX(TblClusters[vCPU par nœud],$B152),"")</f>
        <v/>
      </c>
      <c r="I152" s="14" t="str">
        <f aca="false">IF($D152=1,INDEX(TblClusters[RAM par nœud (Go)],$B152),"")</f>
        <v/>
      </c>
      <c r="J152" s="14" t="str">
        <f aca="false">IF($D152=1,INDEX(TblClusters[Workers min],$B152),"")</f>
        <v/>
      </c>
      <c r="K152" s="84" t="str">
        <f aca="false">IF($D152=1,INDEX(TblClusters[Tarif par nœud],$B152),"")</f>
        <v/>
      </c>
      <c r="L152" s="14" t="str">
        <f aca="false">IF($D152=1,INDEX(TblClusters[CPU initial (vCPU)],$B152),"")</f>
        <v/>
      </c>
      <c r="M152" s="14" t="str">
        <f aca="false">IF($D152=1,INDEX(TblClusters[RAM initiale (Go)],$B152),"")</f>
        <v/>
      </c>
      <c r="N152" s="14" t="str">
        <f aca="false">IF($D152=1,INDEX(TblClusters[CPU min (vCPU)],$B152),"")</f>
        <v/>
      </c>
      <c r="O152" s="14" t="str">
        <f aca="false">IF($D152=1,INDEX(TblClusters[RAM min (Go)],$B152),"")</f>
        <v/>
      </c>
      <c r="P152" s="14" t="str">
        <f aca="false">IF($D152&lt;&gt;1,"",IF($G152="ROKS",SUMIFS(TblApplications[Besoin ROKS CPU (vCPU)],TblApplications[Cluster ROKS cible],$F152,TblApplications[Action],"À migrer",TblApplications[Déjà incluse ROKS],"Non",TblApplications[Mois prov (calc)],"&lt;="&amp;$E152),SUMIFS(TblApplications[CPU IKS libérable (vCPU)],TblApplications[Cluster IKS source],$F152,TblApplications[Mois lib (calc)],"&lt;="&amp;$E152)))</f>
        <v/>
      </c>
      <c r="Q152" s="14" t="str">
        <f aca="false">IF($D152&lt;&gt;1,"",IF($G152="ROKS",SUMIFS(TblApplications[Besoin ROKS RAM (Go)],TblApplications[Cluster ROKS cible],$F152,TblApplications[Action],"À migrer",TblApplications[Déjà incluse ROKS],"Non",TblApplications[Mois prov (calc)],"&lt;="&amp;$E152),SUMIFS(TblApplications[RAM IKS libérable (Go)],TblApplications[Cluster IKS source],$F152,TblApplications[Mois lib (calc)],"&lt;="&amp;$E152)))</f>
        <v/>
      </c>
      <c r="R152" s="14" t="str">
        <f aca="false">IF($D152&lt;&gt;1,"",IF($G152="ROKS",$L152+$P152,IF($AI152=1,0,MAX($N152,$L152-$P152))))</f>
        <v/>
      </c>
      <c r="S152" s="14" t="str">
        <f aca="false">IF($D152&lt;&gt;1,"",IF($G152="ROKS",$M152+$Q152,IF($AI152=1,0,MAX($O152,$M152-$Q152))))</f>
        <v/>
      </c>
      <c r="T152" s="14" t="str">
        <f aca="false">IF($D152&lt;&gt;1,"",IF($AI152=1,0,MAX($J152,ROUNDUP(MAX($R152/$H152,$S152/$I152),0))))</f>
        <v/>
      </c>
      <c r="U152" s="14" t="str">
        <f aca="false">IF($D152&lt;&gt;1,"",IF(p_mode="Nœud",$T152*$H152,$R152))</f>
        <v/>
      </c>
      <c r="V152" s="14" t="str">
        <f aca="false">IF($D152&lt;&gt;1,"",IF(p_mode="Nœud",$T152*$I152,$S152))</f>
        <v/>
      </c>
      <c r="W152" s="84" t="str">
        <f aca="false">IF($D152&lt;&gt;1,"",IF(p_mode="Nœud",$T152*$K152,$R152*IF($G152="IKS",p_iks_cpu,p_roks_cpu)+$S152*IF($G152="IKS",p_iks_ram,p_roks_ram))*p_facteur)</f>
        <v/>
      </c>
      <c r="X152" s="14" t="str">
        <f aca="false">IF($D152&lt;&gt;1,"",IF($G152="ROKS",$R152,IF($AI152=1,0,MAX($N152,$L152-SUMIFS(TblApplications[CPU IKS libérable (vCPU)],TblApplications[Cluster IKS source],$F152,TblApplications[Action],"À migrer",TblApplications[Mois prov (calc)],"&lt;="&amp;$E152)-SUMIFS(TblApplications[CPU IKS libérable (vCPU)],TblApplications[Cluster IKS source],$F152,TblApplications[Action],"À décommissionner",TblApplications[Mois lib (calc)],"&lt;="&amp;$E152)))))</f>
        <v/>
      </c>
      <c r="Y152" s="14" t="str">
        <f aca="false">IF($D152&lt;&gt;1,"",IF($G152="ROKS",$S152,IF($AI152=1,0,MAX($O152,$M152-SUMIFS(TblApplications[RAM IKS libérable (Go)],TblApplications[Cluster IKS source],$F152,TblApplications[Action],"À migrer",TblApplications[Mois prov (calc)],"&lt;="&amp;$E152)-SUMIFS(TblApplications[RAM IKS libérable (Go)],TblApplications[Cluster IKS source],$F152,TblApplications[Action],"À décommissionner",TblApplications[Mois lib (calc)],"&lt;="&amp;$E152)))))</f>
        <v/>
      </c>
      <c r="Z152" s="14" t="str">
        <f aca="false">IF($D152&lt;&gt;1,"",IF($AI152=1,0,MAX($J152,ROUNDUP(MAX($X152/$H152,$Y152/$I152),0))))</f>
        <v/>
      </c>
      <c r="AA152" s="84" t="str">
        <f aca="false">IF($D152&lt;&gt;1,"",IF(p_mode="Nœud",$Z152*$K152,$X152*IF($G152="IKS",p_iks_cpu,p_roks_cpu)+$Y152*IF($G152="IKS",p_iks_ram,p_roks_ram))*p_facteur)</f>
        <v/>
      </c>
      <c r="AB152" s="14" t="str">
        <f aca="false">IF($D152&lt;&gt;1,"",MAX($J152,ROUNDUP(MAX($L152/$H152,$M152/$I152),0)))</f>
        <v/>
      </c>
      <c r="AC152" s="84" t="str">
        <f aca="false">IF($D152&lt;&gt;1,"",IF(p_mode="Nœud",$AB152*$K152,$L152*IF($G152="IKS",p_iks_cpu,p_roks_cpu)+$M152*IF($G152="IKS",p_iks_ram,p_roks_ram))*p_facteur)</f>
        <v/>
      </c>
      <c r="AD152" s="14" t="str">
        <f aca="false">IF($D152&lt;&gt;1,"",IF(AND($G152="IKS",$AI152&lt;&gt;1,OR($L152-$P152&lt;$N152,$M152-$Q152&lt;$O152)),1,0))</f>
        <v/>
      </c>
      <c r="AE152" s="14" t="str">
        <f aca="false">IF($D152&lt;&gt;1,"",IF(AND($G152="ROKS",$T152&gt;p_maxworkers),1,0))</f>
        <v/>
      </c>
      <c r="AF152" s="14" t="str">
        <f aca="false">IF($D152&lt;&gt;1,"",IF(INDEX(TblClusters[Environnement],$B152)="","(vide)",INDEX(TblClusters[Environnement],$B152)))</f>
        <v/>
      </c>
      <c r="AG152" s="14" t="str">
        <f aca="false">IF($D152&lt;&gt;1,"",$R152+p_poidsram*$S152)</f>
        <v/>
      </c>
      <c r="AH152" s="14" t="str">
        <f aca="false">IF($D152&lt;&gt;1,"",IFERROR($W152/$AG152,0))</f>
        <v/>
      </c>
      <c r="AI152" s="14" t="str">
        <f aca="false">IF($D152&lt;&gt;1,"",IF(AND($G152="IKS",ISNUMBER(INDEX(TblClusters[Fermeture retenue],$B152))),IF($E152&gt;=INDEX(TblClusters[Fermeture retenue],$B152),1,0),0))</f>
        <v/>
      </c>
    </row>
    <row r="153" customFormat="false" ht="15" hidden="false" customHeight="false" outlineLevel="0" collapsed="false">
      <c r="A153" s="14" t="n">
        <v>148</v>
      </c>
      <c r="B153" s="14" t="n">
        <f aca="false">INT(($A153-1)/36)+1</f>
        <v>5</v>
      </c>
      <c r="C153" s="14" t="n">
        <f aca="false">MOD($A153-1,36)+1</f>
        <v>4</v>
      </c>
      <c r="D153" s="14" t="n">
        <f aca="false">IF($C153&gt;p_horizon,0,IFERROR(IF(AND(INDEX(TblClusters[Cluster],$B153)&lt;&gt;"",ISNUMBER(INDEX(TblClusters[CPU initial (vCPU)],$B153)),ISNUMBER(INDEX(TblClusters[CPU min (vCPU)],$B153)),OR(INDEX(TblClusters[Plateforme],$B153)="IKS",INDEX(TblClusters[Plateforme],$B153)="ROKS")),1,0),0))</f>
        <v>0</v>
      </c>
      <c r="E153" s="83" t="str">
        <f aca="false">IF($D153=1,EDATE(p_debut,$C153-1),"")</f>
        <v/>
      </c>
      <c r="F153" s="14" t="str">
        <f aca="false">IF($D153=1,INDEX(TblClusters[Cluster],$B153),"")</f>
        <v/>
      </c>
      <c r="G153" s="14" t="str">
        <f aca="false">IF($D153=1,INDEX(TblClusters[Plateforme],$B153),"")</f>
        <v/>
      </c>
      <c r="H153" s="14" t="str">
        <f aca="false">IF($D153=1,INDEX(TblClusters[vCPU par nœud],$B153),"")</f>
        <v/>
      </c>
      <c r="I153" s="14" t="str">
        <f aca="false">IF($D153=1,INDEX(TblClusters[RAM par nœud (Go)],$B153),"")</f>
        <v/>
      </c>
      <c r="J153" s="14" t="str">
        <f aca="false">IF($D153=1,INDEX(TblClusters[Workers min],$B153),"")</f>
        <v/>
      </c>
      <c r="K153" s="84" t="str">
        <f aca="false">IF($D153=1,INDEX(TblClusters[Tarif par nœud],$B153),"")</f>
        <v/>
      </c>
      <c r="L153" s="14" t="str">
        <f aca="false">IF($D153=1,INDEX(TblClusters[CPU initial (vCPU)],$B153),"")</f>
        <v/>
      </c>
      <c r="M153" s="14" t="str">
        <f aca="false">IF($D153=1,INDEX(TblClusters[RAM initiale (Go)],$B153),"")</f>
        <v/>
      </c>
      <c r="N153" s="14" t="str">
        <f aca="false">IF($D153=1,INDEX(TblClusters[CPU min (vCPU)],$B153),"")</f>
        <v/>
      </c>
      <c r="O153" s="14" t="str">
        <f aca="false">IF($D153=1,INDEX(TblClusters[RAM min (Go)],$B153),"")</f>
        <v/>
      </c>
      <c r="P153" s="14" t="str">
        <f aca="false">IF($D153&lt;&gt;1,"",IF($G153="ROKS",SUMIFS(TblApplications[Besoin ROKS CPU (vCPU)],TblApplications[Cluster ROKS cible],$F153,TblApplications[Action],"À migrer",TblApplications[Déjà incluse ROKS],"Non",TblApplications[Mois prov (calc)],"&lt;="&amp;$E153),SUMIFS(TblApplications[CPU IKS libérable (vCPU)],TblApplications[Cluster IKS source],$F153,TblApplications[Mois lib (calc)],"&lt;="&amp;$E153)))</f>
        <v/>
      </c>
      <c r="Q153" s="14" t="str">
        <f aca="false">IF($D153&lt;&gt;1,"",IF($G153="ROKS",SUMIFS(TblApplications[Besoin ROKS RAM (Go)],TblApplications[Cluster ROKS cible],$F153,TblApplications[Action],"À migrer",TblApplications[Déjà incluse ROKS],"Non",TblApplications[Mois prov (calc)],"&lt;="&amp;$E153),SUMIFS(TblApplications[RAM IKS libérable (Go)],TblApplications[Cluster IKS source],$F153,TblApplications[Mois lib (calc)],"&lt;="&amp;$E153)))</f>
        <v/>
      </c>
      <c r="R153" s="14" t="str">
        <f aca="false">IF($D153&lt;&gt;1,"",IF($G153="ROKS",$L153+$P153,IF($AI153=1,0,MAX($N153,$L153-$P153))))</f>
        <v/>
      </c>
      <c r="S153" s="14" t="str">
        <f aca="false">IF($D153&lt;&gt;1,"",IF($G153="ROKS",$M153+$Q153,IF($AI153=1,0,MAX($O153,$M153-$Q153))))</f>
        <v/>
      </c>
      <c r="T153" s="14" t="str">
        <f aca="false">IF($D153&lt;&gt;1,"",IF($AI153=1,0,MAX($J153,ROUNDUP(MAX($R153/$H153,$S153/$I153),0))))</f>
        <v/>
      </c>
      <c r="U153" s="14" t="str">
        <f aca="false">IF($D153&lt;&gt;1,"",IF(p_mode="Nœud",$T153*$H153,$R153))</f>
        <v/>
      </c>
      <c r="V153" s="14" t="str">
        <f aca="false">IF($D153&lt;&gt;1,"",IF(p_mode="Nœud",$T153*$I153,$S153))</f>
        <v/>
      </c>
      <c r="W153" s="84" t="str">
        <f aca="false">IF($D153&lt;&gt;1,"",IF(p_mode="Nœud",$T153*$K153,$R153*IF($G153="IKS",p_iks_cpu,p_roks_cpu)+$S153*IF($G153="IKS",p_iks_ram,p_roks_ram))*p_facteur)</f>
        <v/>
      </c>
      <c r="X153" s="14" t="str">
        <f aca="false">IF($D153&lt;&gt;1,"",IF($G153="ROKS",$R153,IF($AI153=1,0,MAX($N153,$L153-SUMIFS(TblApplications[CPU IKS libérable (vCPU)],TblApplications[Cluster IKS source],$F153,TblApplications[Action],"À migrer",TblApplications[Mois prov (calc)],"&lt;="&amp;$E153)-SUMIFS(TblApplications[CPU IKS libérable (vCPU)],TblApplications[Cluster IKS source],$F153,TblApplications[Action],"À décommissionner",TblApplications[Mois lib (calc)],"&lt;="&amp;$E153)))))</f>
        <v/>
      </c>
      <c r="Y153" s="14" t="str">
        <f aca="false">IF($D153&lt;&gt;1,"",IF($G153="ROKS",$S153,IF($AI153=1,0,MAX($O153,$M153-SUMIFS(TblApplications[RAM IKS libérable (Go)],TblApplications[Cluster IKS source],$F153,TblApplications[Action],"À migrer",TblApplications[Mois prov (calc)],"&lt;="&amp;$E153)-SUMIFS(TblApplications[RAM IKS libérable (Go)],TblApplications[Cluster IKS source],$F153,TblApplications[Action],"À décommissionner",TblApplications[Mois lib (calc)],"&lt;="&amp;$E153)))))</f>
        <v/>
      </c>
      <c r="Z153" s="14" t="str">
        <f aca="false">IF($D153&lt;&gt;1,"",IF($AI153=1,0,MAX($J153,ROUNDUP(MAX($X153/$H153,$Y153/$I153),0))))</f>
        <v/>
      </c>
      <c r="AA153" s="84" t="str">
        <f aca="false">IF($D153&lt;&gt;1,"",IF(p_mode="Nœud",$Z153*$K153,$X153*IF($G153="IKS",p_iks_cpu,p_roks_cpu)+$Y153*IF($G153="IKS",p_iks_ram,p_roks_ram))*p_facteur)</f>
        <v/>
      </c>
      <c r="AB153" s="14" t="str">
        <f aca="false">IF($D153&lt;&gt;1,"",MAX($J153,ROUNDUP(MAX($L153/$H153,$M153/$I153),0)))</f>
        <v/>
      </c>
      <c r="AC153" s="84" t="str">
        <f aca="false">IF($D153&lt;&gt;1,"",IF(p_mode="Nœud",$AB153*$K153,$L153*IF($G153="IKS",p_iks_cpu,p_roks_cpu)+$M153*IF($G153="IKS",p_iks_ram,p_roks_ram))*p_facteur)</f>
        <v/>
      </c>
      <c r="AD153" s="14" t="str">
        <f aca="false">IF($D153&lt;&gt;1,"",IF(AND($G153="IKS",$AI153&lt;&gt;1,OR($L153-$P153&lt;$N153,$M153-$Q153&lt;$O153)),1,0))</f>
        <v/>
      </c>
      <c r="AE153" s="14" t="str">
        <f aca="false">IF($D153&lt;&gt;1,"",IF(AND($G153="ROKS",$T153&gt;p_maxworkers),1,0))</f>
        <v/>
      </c>
      <c r="AF153" s="14" t="str">
        <f aca="false">IF($D153&lt;&gt;1,"",IF(INDEX(TblClusters[Environnement],$B153)="","(vide)",INDEX(TblClusters[Environnement],$B153)))</f>
        <v/>
      </c>
      <c r="AG153" s="14" t="str">
        <f aca="false">IF($D153&lt;&gt;1,"",$R153+p_poidsram*$S153)</f>
        <v/>
      </c>
      <c r="AH153" s="14" t="str">
        <f aca="false">IF($D153&lt;&gt;1,"",IFERROR($W153/$AG153,0))</f>
        <v/>
      </c>
      <c r="AI153" s="14" t="str">
        <f aca="false">IF($D153&lt;&gt;1,"",IF(AND($G153="IKS",ISNUMBER(INDEX(TblClusters[Fermeture retenue],$B153))),IF($E153&gt;=INDEX(TblClusters[Fermeture retenue],$B153),1,0),0))</f>
        <v/>
      </c>
    </row>
    <row r="154" customFormat="false" ht="15" hidden="false" customHeight="false" outlineLevel="0" collapsed="false">
      <c r="A154" s="14" t="n">
        <v>149</v>
      </c>
      <c r="B154" s="14" t="n">
        <f aca="false">INT(($A154-1)/36)+1</f>
        <v>5</v>
      </c>
      <c r="C154" s="14" t="n">
        <f aca="false">MOD($A154-1,36)+1</f>
        <v>5</v>
      </c>
      <c r="D154" s="14" t="n">
        <f aca="false">IF($C154&gt;p_horizon,0,IFERROR(IF(AND(INDEX(TblClusters[Cluster],$B154)&lt;&gt;"",ISNUMBER(INDEX(TblClusters[CPU initial (vCPU)],$B154)),ISNUMBER(INDEX(TblClusters[CPU min (vCPU)],$B154)),OR(INDEX(TblClusters[Plateforme],$B154)="IKS",INDEX(TblClusters[Plateforme],$B154)="ROKS")),1,0),0))</f>
        <v>0</v>
      </c>
      <c r="E154" s="83" t="str">
        <f aca="false">IF($D154=1,EDATE(p_debut,$C154-1),"")</f>
        <v/>
      </c>
      <c r="F154" s="14" t="str">
        <f aca="false">IF($D154=1,INDEX(TblClusters[Cluster],$B154),"")</f>
        <v/>
      </c>
      <c r="G154" s="14" t="str">
        <f aca="false">IF($D154=1,INDEX(TblClusters[Plateforme],$B154),"")</f>
        <v/>
      </c>
      <c r="H154" s="14" t="str">
        <f aca="false">IF($D154=1,INDEX(TblClusters[vCPU par nœud],$B154),"")</f>
        <v/>
      </c>
      <c r="I154" s="14" t="str">
        <f aca="false">IF($D154=1,INDEX(TblClusters[RAM par nœud (Go)],$B154),"")</f>
        <v/>
      </c>
      <c r="J154" s="14" t="str">
        <f aca="false">IF($D154=1,INDEX(TblClusters[Workers min],$B154),"")</f>
        <v/>
      </c>
      <c r="K154" s="84" t="str">
        <f aca="false">IF($D154=1,INDEX(TblClusters[Tarif par nœud],$B154),"")</f>
        <v/>
      </c>
      <c r="L154" s="14" t="str">
        <f aca="false">IF($D154=1,INDEX(TblClusters[CPU initial (vCPU)],$B154),"")</f>
        <v/>
      </c>
      <c r="M154" s="14" t="str">
        <f aca="false">IF($D154=1,INDEX(TblClusters[RAM initiale (Go)],$B154),"")</f>
        <v/>
      </c>
      <c r="N154" s="14" t="str">
        <f aca="false">IF($D154=1,INDEX(TblClusters[CPU min (vCPU)],$B154),"")</f>
        <v/>
      </c>
      <c r="O154" s="14" t="str">
        <f aca="false">IF($D154=1,INDEX(TblClusters[RAM min (Go)],$B154),"")</f>
        <v/>
      </c>
      <c r="P154" s="14" t="str">
        <f aca="false">IF($D154&lt;&gt;1,"",IF($G154="ROKS",SUMIFS(TblApplications[Besoin ROKS CPU (vCPU)],TblApplications[Cluster ROKS cible],$F154,TblApplications[Action],"À migrer",TblApplications[Déjà incluse ROKS],"Non",TblApplications[Mois prov (calc)],"&lt;="&amp;$E154),SUMIFS(TblApplications[CPU IKS libérable (vCPU)],TblApplications[Cluster IKS source],$F154,TblApplications[Mois lib (calc)],"&lt;="&amp;$E154)))</f>
        <v/>
      </c>
      <c r="Q154" s="14" t="str">
        <f aca="false">IF($D154&lt;&gt;1,"",IF($G154="ROKS",SUMIFS(TblApplications[Besoin ROKS RAM (Go)],TblApplications[Cluster ROKS cible],$F154,TblApplications[Action],"À migrer",TblApplications[Déjà incluse ROKS],"Non",TblApplications[Mois prov (calc)],"&lt;="&amp;$E154),SUMIFS(TblApplications[RAM IKS libérable (Go)],TblApplications[Cluster IKS source],$F154,TblApplications[Mois lib (calc)],"&lt;="&amp;$E154)))</f>
        <v/>
      </c>
      <c r="R154" s="14" t="str">
        <f aca="false">IF($D154&lt;&gt;1,"",IF($G154="ROKS",$L154+$P154,IF($AI154=1,0,MAX($N154,$L154-$P154))))</f>
        <v/>
      </c>
      <c r="S154" s="14" t="str">
        <f aca="false">IF($D154&lt;&gt;1,"",IF($G154="ROKS",$M154+$Q154,IF($AI154=1,0,MAX($O154,$M154-$Q154))))</f>
        <v/>
      </c>
      <c r="T154" s="14" t="str">
        <f aca="false">IF($D154&lt;&gt;1,"",IF($AI154=1,0,MAX($J154,ROUNDUP(MAX($R154/$H154,$S154/$I154),0))))</f>
        <v/>
      </c>
      <c r="U154" s="14" t="str">
        <f aca="false">IF($D154&lt;&gt;1,"",IF(p_mode="Nœud",$T154*$H154,$R154))</f>
        <v/>
      </c>
      <c r="V154" s="14" t="str">
        <f aca="false">IF($D154&lt;&gt;1,"",IF(p_mode="Nœud",$T154*$I154,$S154))</f>
        <v/>
      </c>
      <c r="W154" s="84" t="str">
        <f aca="false">IF($D154&lt;&gt;1,"",IF(p_mode="Nœud",$T154*$K154,$R154*IF($G154="IKS",p_iks_cpu,p_roks_cpu)+$S154*IF($G154="IKS",p_iks_ram,p_roks_ram))*p_facteur)</f>
        <v/>
      </c>
      <c r="X154" s="14" t="str">
        <f aca="false">IF($D154&lt;&gt;1,"",IF($G154="ROKS",$R154,IF($AI154=1,0,MAX($N154,$L154-SUMIFS(TblApplications[CPU IKS libérable (vCPU)],TblApplications[Cluster IKS source],$F154,TblApplications[Action],"À migrer",TblApplications[Mois prov (calc)],"&lt;="&amp;$E154)-SUMIFS(TblApplications[CPU IKS libérable (vCPU)],TblApplications[Cluster IKS source],$F154,TblApplications[Action],"À décommissionner",TblApplications[Mois lib (calc)],"&lt;="&amp;$E154)))))</f>
        <v/>
      </c>
      <c r="Y154" s="14" t="str">
        <f aca="false">IF($D154&lt;&gt;1,"",IF($G154="ROKS",$S154,IF($AI154=1,0,MAX($O154,$M154-SUMIFS(TblApplications[RAM IKS libérable (Go)],TblApplications[Cluster IKS source],$F154,TblApplications[Action],"À migrer",TblApplications[Mois prov (calc)],"&lt;="&amp;$E154)-SUMIFS(TblApplications[RAM IKS libérable (Go)],TblApplications[Cluster IKS source],$F154,TblApplications[Action],"À décommissionner",TblApplications[Mois lib (calc)],"&lt;="&amp;$E154)))))</f>
        <v/>
      </c>
      <c r="Z154" s="14" t="str">
        <f aca="false">IF($D154&lt;&gt;1,"",IF($AI154=1,0,MAX($J154,ROUNDUP(MAX($X154/$H154,$Y154/$I154),0))))</f>
        <v/>
      </c>
      <c r="AA154" s="84" t="str">
        <f aca="false">IF($D154&lt;&gt;1,"",IF(p_mode="Nœud",$Z154*$K154,$X154*IF($G154="IKS",p_iks_cpu,p_roks_cpu)+$Y154*IF($G154="IKS",p_iks_ram,p_roks_ram))*p_facteur)</f>
        <v/>
      </c>
      <c r="AB154" s="14" t="str">
        <f aca="false">IF($D154&lt;&gt;1,"",MAX($J154,ROUNDUP(MAX($L154/$H154,$M154/$I154),0)))</f>
        <v/>
      </c>
      <c r="AC154" s="84" t="str">
        <f aca="false">IF($D154&lt;&gt;1,"",IF(p_mode="Nœud",$AB154*$K154,$L154*IF($G154="IKS",p_iks_cpu,p_roks_cpu)+$M154*IF($G154="IKS",p_iks_ram,p_roks_ram))*p_facteur)</f>
        <v/>
      </c>
      <c r="AD154" s="14" t="str">
        <f aca="false">IF($D154&lt;&gt;1,"",IF(AND($G154="IKS",$AI154&lt;&gt;1,OR($L154-$P154&lt;$N154,$M154-$Q154&lt;$O154)),1,0))</f>
        <v/>
      </c>
      <c r="AE154" s="14" t="str">
        <f aca="false">IF($D154&lt;&gt;1,"",IF(AND($G154="ROKS",$T154&gt;p_maxworkers),1,0))</f>
        <v/>
      </c>
      <c r="AF154" s="14" t="str">
        <f aca="false">IF($D154&lt;&gt;1,"",IF(INDEX(TblClusters[Environnement],$B154)="","(vide)",INDEX(TblClusters[Environnement],$B154)))</f>
        <v/>
      </c>
      <c r="AG154" s="14" t="str">
        <f aca="false">IF($D154&lt;&gt;1,"",$R154+p_poidsram*$S154)</f>
        <v/>
      </c>
      <c r="AH154" s="14" t="str">
        <f aca="false">IF($D154&lt;&gt;1,"",IFERROR($W154/$AG154,0))</f>
        <v/>
      </c>
      <c r="AI154" s="14" t="str">
        <f aca="false">IF($D154&lt;&gt;1,"",IF(AND($G154="IKS",ISNUMBER(INDEX(TblClusters[Fermeture retenue],$B154))),IF($E154&gt;=INDEX(TblClusters[Fermeture retenue],$B154),1,0),0))</f>
        <v/>
      </c>
    </row>
    <row r="155" customFormat="false" ht="15" hidden="false" customHeight="false" outlineLevel="0" collapsed="false">
      <c r="A155" s="14" t="n">
        <v>150</v>
      </c>
      <c r="B155" s="14" t="n">
        <f aca="false">INT(($A155-1)/36)+1</f>
        <v>5</v>
      </c>
      <c r="C155" s="14" t="n">
        <f aca="false">MOD($A155-1,36)+1</f>
        <v>6</v>
      </c>
      <c r="D155" s="14" t="n">
        <f aca="false">IF($C155&gt;p_horizon,0,IFERROR(IF(AND(INDEX(TblClusters[Cluster],$B155)&lt;&gt;"",ISNUMBER(INDEX(TblClusters[CPU initial (vCPU)],$B155)),ISNUMBER(INDEX(TblClusters[CPU min (vCPU)],$B155)),OR(INDEX(TblClusters[Plateforme],$B155)="IKS",INDEX(TblClusters[Plateforme],$B155)="ROKS")),1,0),0))</f>
        <v>0</v>
      </c>
      <c r="E155" s="83" t="str">
        <f aca="false">IF($D155=1,EDATE(p_debut,$C155-1),"")</f>
        <v/>
      </c>
      <c r="F155" s="14" t="str">
        <f aca="false">IF($D155=1,INDEX(TblClusters[Cluster],$B155),"")</f>
        <v/>
      </c>
      <c r="G155" s="14" t="str">
        <f aca="false">IF($D155=1,INDEX(TblClusters[Plateforme],$B155),"")</f>
        <v/>
      </c>
      <c r="H155" s="14" t="str">
        <f aca="false">IF($D155=1,INDEX(TblClusters[vCPU par nœud],$B155),"")</f>
        <v/>
      </c>
      <c r="I155" s="14" t="str">
        <f aca="false">IF($D155=1,INDEX(TblClusters[RAM par nœud (Go)],$B155),"")</f>
        <v/>
      </c>
      <c r="J155" s="14" t="str">
        <f aca="false">IF($D155=1,INDEX(TblClusters[Workers min],$B155),"")</f>
        <v/>
      </c>
      <c r="K155" s="84" t="str">
        <f aca="false">IF($D155=1,INDEX(TblClusters[Tarif par nœud],$B155),"")</f>
        <v/>
      </c>
      <c r="L155" s="14" t="str">
        <f aca="false">IF($D155=1,INDEX(TblClusters[CPU initial (vCPU)],$B155),"")</f>
        <v/>
      </c>
      <c r="M155" s="14" t="str">
        <f aca="false">IF($D155=1,INDEX(TblClusters[RAM initiale (Go)],$B155),"")</f>
        <v/>
      </c>
      <c r="N155" s="14" t="str">
        <f aca="false">IF($D155=1,INDEX(TblClusters[CPU min (vCPU)],$B155),"")</f>
        <v/>
      </c>
      <c r="O155" s="14" t="str">
        <f aca="false">IF($D155=1,INDEX(TblClusters[RAM min (Go)],$B155),"")</f>
        <v/>
      </c>
      <c r="P155" s="14" t="str">
        <f aca="false">IF($D155&lt;&gt;1,"",IF($G155="ROKS",SUMIFS(TblApplications[Besoin ROKS CPU (vCPU)],TblApplications[Cluster ROKS cible],$F155,TblApplications[Action],"À migrer",TblApplications[Déjà incluse ROKS],"Non",TblApplications[Mois prov (calc)],"&lt;="&amp;$E155),SUMIFS(TblApplications[CPU IKS libérable (vCPU)],TblApplications[Cluster IKS source],$F155,TblApplications[Mois lib (calc)],"&lt;="&amp;$E155)))</f>
        <v/>
      </c>
      <c r="Q155" s="14" t="str">
        <f aca="false">IF($D155&lt;&gt;1,"",IF($G155="ROKS",SUMIFS(TblApplications[Besoin ROKS RAM (Go)],TblApplications[Cluster ROKS cible],$F155,TblApplications[Action],"À migrer",TblApplications[Déjà incluse ROKS],"Non",TblApplications[Mois prov (calc)],"&lt;="&amp;$E155),SUMIFS(TblApplications[RAM IKS libérable (Go)],TblApplications[Cluster IKS source],$F155,TblApplications[Mois lib (calc)],"&lt;="&amp;$E155)))</f>
        <v/>
      </c>
      <c r="R155" s="14" t="str">
        <f aca="false">IF($D155&lt;&gt;1,"",IF($G155="ROKS",$L155+$P155,IF($AI155=1,0,MAX($N155,$L155-$P155))))</f>
        <v/>
      </c>
      <c r="S155" s="14" t="str">
        <f aca="false">IF($D155&lt;&gt;1,"",IF($G155="ROKS",$M155+$Q155,IF($AI155=1,0,MAX($O155,$M155-$Q155))))</f>
        <v/>
      </c>
      <c r="T155" s="14" t="str">
        <f aca="false">IF($D155&lt;&gt;1,"",IF($AI155=1,0,MAX($J155,ROUNDUP(MAX($R155/$H155,$S155/$I155),0))))</f>
        <v/>
      </c>
      <c r="U155" s="14" t="str">
        <f aca="false">IF($D155&lt;&gt;1,"",IF(p_mode="Nœud",$T155*$H155,$R155))</f>
        <v/>
      </c>
      <c r="V155" s="14" t="str">
        <f aca="false">IF($D155&lt;&gt;1,"",IF(p_mode="Nœud",$T155*$I155,$S155))</f>
        <v/>
      </c>
      <c r="W155" s="84" t="str">
        <f aca="false">IF($D155&lt;&gt;1,"",IF(p_mode="Nœud",$T155*$K155,$R155*IF($G155="IKS",p_iks_cpu,p_roks_cpu)+$S155*IF($G155="IKS",p_iks_ram,p_roks_ram))*p_facteur)</f>
        <v/>
      </c>
      <c r="X155" s="14" t="str">
        <f aca="false">IF($D155&lt;&gt;1,"",IF($G155="ROKS",$R155,IF($AI155=1,0,MAX($N155,$L155-SUMIFS(TblApplications[CPU IKS libérable (vCPU)],TblApplications[Cluster IKS source],$F155,TblApplications[Action],"À migrer",TblApplications[Mois prov (calc)],"&lt;="&amp;$E155)-SUMIFS(TblApplications[CPU IKS libérable (vCPU)],TblApplications[Cluster IKS source],$F155,TblApplications[Action],"À décommissionner",TblApplications[Mois lib (calc)],"&lt;="&amp;$E155)))))</f>
        <v/>
      </c>
      <c r="Y155" s="14" t="str">
        <f aca="false">IF($D155&lt;&gt;1,"",IF($G155="ROKS",$S155,IF($AI155=1,0,MAX($O155,$M155-SUMIFS(TblApplications[RAM IKS libérable (Go)],TblApplications[Cluster IKS source],$F155,TblApplications[Action],"À migrer",TblApplications[Mois prov (calc)],"&lt;="&amp;$E155)-SUMIFS(TblApplications[RAM IKS libérable (Go)],TblApplications[Cluster IKS source],$F155,TblApplications[Action],"À décommissionner",TblApplications[Mois lib (calc)],"&lt;="&amp;$E155)))))</f>
        <v/>
      </c>
      <c r="Z155" s="14" t="str">
        <f aca="false">IF($D155&lt;&gt;1,"",IF($AI155=1,0,MAX($J155,ROUNDUP(MAX($X155/$H155,$Y155/$I155),0))))</f>
        <v/>
      </c>
      <c r="AA155" s="84" t="str">
        <f aca="false">IF($D155&lt;&gt;1,"",IF(p_mode="Nœud",$Z155*$K155,$X155*IF($G155="IKS",p_iks_cpu,p_roks_cpu)+$Y155*IF($G155="IKS",p_iks_ram,p_roks_ram))*p_facteur)</f>
        <v/>
      </c>
      <c r="AB155" s="14" t="str">
        <f aca="false">IF($D155&lt;&gt;1,"",MAX($J155,ROUNDUP(MAX($L155/$H155,$M155/$I155),0)))</f>
        <v/>
      </c>
      <c r="AC155" s="84" t="str">
        <f aca="false">IF($D155&lt;&gt;1,"",IF(p_mode="Nœud",$AB155*$K155,$L155*IF($G155="IKS",p_iks_cpu,p_roks_cpu)+$M155*IF($G155="IKS",p_iks_ram,p_roks_ram))*p_facteur)</f>
        <v/>
      </c>
      <c r="AD155" s="14" t="str">
        <f aca="false">IF($D155&lt;&gt;1,"",IF(AND($G155="IKS",$AI155&lt;&gt;1,OR($L155-$P155&lt;$N155,$M155-$Q155&lt;$O155)),1,0))</f>
        <v/>
      </c>
      <c r="AE155" s="14" t="str">
        <f aca="false">IF($D155&lt;&gt;1,"",IF(AND($G155="ROKS",$T155&gt;p_maxworkers),1,0))</f>
        <v/>
      </c>
      <c r="AF155" s="14" t="str">
        <f aca="false">IF($D155&lt;&gt;1,"",IF(INDEX(TblClusters[Environnement],$B155)="","(vide)",INDEX(TblClusters[Environnement],$B155)))</f>
        <v/>
      </c>
      <c r="AG155" s="14" t="str">
        <f aca="false">IF($D155&lt;&gt;1,"",$R155+p_poidsram*$S155)</f>
        <v/>
      </c>
      <c r="AH155" s="14" t="str">
        <f aca="false">IF($D155&lt;&gt;1,"",IFERROR($W155/$AG155,0))</f>
        <v/>
      </c>
      <c r="AI155" s="14" t="str">
        <f aca="false">IF($D155&lt;&gt;1,"",IF(AND($G155="IKS",ISNUMBER(INDEX(TblClusters[Fermeture retenue],$B155))),IF($E155&gt;=INDEX(TblClusters[Fermeture retenue],$B155),1,0),0))</f>
        <v/>
      </c>
    </row>
    <row r="156" customFormat="false" ht="15" hidden="false" customHeight="false" outlineLevel="0" collapsed="false">
      <c r="A156" s="14" t="n">
        <v>151</v>
      </c>
      <c r="B156" s="14" t="n">
        <f aca="false">INT(($A156-1)/36)+1</f>
        <v>5</v>
      </c>
      <c r="C156" s="14" t="n">
        <f aca="false">MOD($A156-1,36)+1</f>
        <v>7</v>
      </c>
      <c r="D156" s="14" t="n">
        <f aca="false">IF($C156&gt;p_horizon,0,IFERROR(IF(AND(INDEX(TblClusters[Cluster],$B156)&lt;&gt;"",ISNUMBER(INDEX(TblClusters[CPU initial (vCPU)],$B156)),ISNUMBER(INDEX(TblClusters[CPU min (vCPU)],$B156)),OR(INDEX(TblClusters[Plateforme],$B156)="IKS",INDEX(TblClusters[Plateforme],$B156)="ROKS")),1,0),0))</f>
        <v>0</v>
      </c>
      <c r="E156" s="83" t="str">
        <f aca="false">IF($D156=1,EDATE(p_debut,$C156-1),"")</f>
        <v/>
      </c>
      <c r="F156" s="14" t="str">
        <f aca="false">IF($D156=1,INDEX(TblClusters[Cluster],$B156),"")</f>
        <v/>
      </c>
      <c r="G156" s="14" t="str">
        <f aca="false">IF($D156=1,INDEX(TblClusters[Plateforme],$B156),"")</f>
        <v/>
      </c>
      <c r="H156" s="14" t="str">
        <f aca="false">IF($D156=1,INDEX(TblClusters[vCPU par nœud],$B156),"")</f>
        <v/>
      </c>
      <c r="I156" s="14" t="str">
        <f aca="false">IF($D156=1,INDEX(TblClusters[RAM par nœud (Go)],$B156),"")</f>
        <v/>
      </c>
      <c r="J156" s="14" t="str">
        <f aca="false">IF($D156=1,INDEX(TblClusters[Workers min],$B156),"")</f>
        <v/>
      </c>
      <c r="K156" s="84" t="str">
        <f aca="false">IF($D156=1,INDEX(TblClusters[Tarif par nœud],$B156),"")</f>
        <v/>
      </c>
      <c r="L156" s="14" t="str">
        <f aca="false">IF($D156=1,INDEX(TblClusters[CPU initial (vCPU)],$B156),"")</f>
        <v/>
      </c>
      <c r="M156" s="14" t="str">
        <f aca="false">IF($D156=1,INDEX(TblClusters[RAM initiale (Go)],$B156),"")</f>
        <v/>
      </c>
      <c r="N156" s="14" t="str">
        <f aca="false">IF($D156=1,INDEX(TblClusters[CPU min (vCPU)],$B156),"")</f>
        <v/>
      </c>
      <c r="O156" s="14" t="str">
        <f aca="false">IF($D156=1,INDEX(TblClusters[RAM min (Go)],$B156),"")</f>
        <v/>
      </c>
      <c r="P156" s="14" t="str">
        <f aca="false">IF($D156&lt;&gt;1,"",IF($G156="ROKS",SUMIFS(TblApplications[Besoin ROKS CPU (vCPU)],TblApplications[Cluster ROKS cible],$F156,TblApplications[Action],"À migrer",TblApplications[Déjà incluse ROKS],"Non",TblApplications[Mois prov (calc)],"&lt;="&amp;$E156),SUMIFS(TblApplications[CPU IKS libérable (vCPU)],TblApplications[Cluster IKS source],$F156,TblApplications[Mois lib (calc)],"&lt;="&amp;$E156)))</f>
        <v/>
      </c>
      <c r="Q156" s="14" t="str">
        <f aca="false">IF($D156&lt;&gt;1,"",IF($G156="ROKS",SUMIFS(TblApplications[Besoin ROKS RAM (Go)],TblApplications[Cluster ROKS cible],$F156,TblApplications[Action],"À migrer",TblApplications[Déjà incluse ROKS],"Non",TblApplications[Mois prov (calc)],"&lt;="&amp;$E156),SUMIFS(TblApplications[RAM IKS libérable (Go)],TblApplications[Cluster IKS source],$F156,TblApplications[Mois lib (calc)],"&lt;="&amp;$E156)))</f>
        <v/>
      </c>
      <c r="R156" s="14" t="str">
        <f aca="false">IF($D156&lt;&gt;1,"",IF($G156="ROKS",$L156+$P156,IF($AI156=1,0,MAX($N156,$L156-$P156))))</f>
        <v/>
      </c>
      <c r="S156" s="14" t="str">
        <f aca="false">IF($D156&lt;&gt;1,"",IF($G156="ROKS",$M156+$Q156,IF($AI156=1,0,MAX($O156,$M156-$Q156))))</f>
        <v/>
      </c>
      <c r="T156" s="14" t="str">
        <f aca="false">IF($D156&lt;&gt;1,"",IF($AI156=1,0,MAX($J156,ROUNDUP(MAX($R156/$H156,$S156/$I156),0))))</f>
        <v/>
      </c>
      <c r="U156" s="14" t="str">
        <f aca="false">IF($D156&lt;&gt;1,"",IF(p_mode="Nœud",$T156*$H156,$R156))</f>
        <v/>
      </c>
      <c r="V156" s="14" t="str">
        <f aca="false">IF($D156&lt;&gt;1,"",IF(p_mode="Nœud",$T156*$I156,$S156))</f>
        <v/>
      </c>
      <c r="W156" s="84" t="str">
        <f aca="false">IF($D156&lt;&gt;1,"",IF(p_mode="Nœud",$T156*$K156,$R156*IF($G156="IKS",p_iks_cpu,p_roks_cpu)+$S156*IF($G156="IKS",p_iks_ram,p_roks_ram))*p_facteur)</f>
        <v/>
      </c>
      <c r="X156" s="14" t="str">
        <f aca="false">IF($D156&lt;&gt;1,"",IF($G156="ROKS",$R156,IF($AI156=1,0,MAX($N156,$L156-SUMIFS(TblApplications[CPU IKS libérable (vCPU)],TblApplications[Cluster IKS source],$F156,TblApplications[Action],"À migrer",TblApplications[Mois prov (calc)],"&lt;="&amp;$E156)-SUMIFS(TblApplications[CPU IKS libérable (vCPU)],TblApplications[Cluster IKS source],$F156,TblApplications[Action],"À décommissionner",TblApplications[Mois lib (calc)],"&lt;="&amp;$E156)))))</f>
        <v/>
      </c>
      <c r="Y156" s="14" t="str">
        <f aca="false">IF($D156&lt;&gt;1,"",IF($G156="ROKS",$S156,IF($AI156=1,0,MAX($O156,$M156-SUMIFS(TblApplications[RAM IKS libérable (Go)],TblApplications[Cluster IKS source],$F156,TblApplications[Action],"À migrer",TblApplications[Mois prov (calc)],"&lt;="&amp;$E156)-SUMIFS(TblApplications[RAM IKS libérable (Go)],TblApplications[Cluster IKS source],$F156,TblApplications[Action],"À décommissionner",TblApplications[Mois lib (calc)],"&lt;="&amp;$E156)))))</f>
        <v/>
      </c>
      <c r="Z156" s="14" t="str">
        <f aca="false">IF($D156&lt;&gt;1,"",IF($AI156=1,0,MAX($J156,ROUNDUP(MAX($X156/$H156,$Y156/$I156),0))))</f>
        <v/>
      </c>
      <c r="AA156" s="84" t="str">
        <f aca="false">IF($D156&lt;&gt;1,"",IF(p_mode="Nœud",$Z156*$K156,$X156*IF($G156="IKS",p_iks_cpu,p_roks_cpu)+$Y156*IF($G156="IKS",p_iks_ram,p_roks_ram))*p_facteur)</f>
        <v/>
      </c>
      <c r="AB156" s="14" t="str">
        <f aca="false">IF($D156&lt;&gt;1,"",MAX($J156,ROUNDUP(MAX($L156/$H156,$M156/$I156),0)))</f>
        <v/>
      </c>
      <c r="AC156" s="84" t="str">
        <f aca="false">IF($D156&lt;&gt;1,"",IF(p_mode="Nœud",$AB156*$K156,$L156*IF($G156="IKS",p_iks_cpu,p_roks_cpu)+$M156*IF($G156="IKS",p_iks_ram,p_roks_ram))*p_facteur)</f>
        <v/>
      </c>
      <c r="AD156" s="14" t="str">
        <f aca="false">IF($D156&lt;&gt;1,"",IF(AND($G156="IKS",$AI156&lt;&gt;1,OR($L156-$P156&lt;$N156,$M156-$Q156&lt;$O156)),1,0))</f>
        <v/>
      </c>
      <c r="AE156" s="14" t="str">
        <f aca="false">IF($D156&lt;&gt;1,"",IF(AND($G156="ROKS",$T156&gt;p_maxworkers),1,0))</f>
        <v/>
      </c>
      <c r="AF156" s="14" t="str">
        <f aca="false">IF($D156&lt;&gt;1,"",IF(INDEX(TblClusters[Environnement],$B156)="","(vide)",INDEX(TblClusters[Environnement],$B156)))</f>
        <v/>
      </c>
      <c r="AG156" s="14" t="str">
        <f aca="false">IF($D156&lt;&gt;1,"",$R156+p_poidsram*$S156)</f>
        <v/>
      </c>
      <c r="AH156" s="14" t="str">
        <f aca="false">IF($D156&lt;&gt;1,"",IFERROR($W156/$AG156,0))</f>
        <v/>
      </c>
      <c r="AI156" s="14" t="str">
        <f aca="false">IF($D156&lt;&gt;1,"",IF(AND($G156="IKS",ISNUMBER(INDEX(TblClusters[Fermeture retenue],$B156))),IF($E156&gt;=INDEX(TblClusters[Fermeture retenue],$B156),1,0),0))</f>
        <v/>
      </c>
    </row>
    <row r="157" customFormat="false" ht="15" hidden="false" customHeight="false" outlineLevel="0" collapsed="false">
      <c r="A157" s="14" t="n">
        <v>152</v>
      </c>
      <c r="B157" s="14" t="n">
        <f aca="false">INT(($A157-1)/36)+1</f>
        <v>5</v>
      </c>
      <c r="C157" s="14" t="n">
        <f aca="false">MOD($A157-1,36)+1</f>
        <v>8</v>
      </c>
      <c r="D157" s="14" t="n">
        <f aca="false">IF($C157&gt;p_horizon,0,IFERROR(IF(AND(INDEX(TblClusters[Cluster],$B157)&lt;&gt;"",ISNUMBER(INDEX(TblClusters[CPU initial (vCPU)],$B157)),ISNUMBER(INDEX(TblClusters[CPU min (vCPU)],$B157)),OR(INDEX(TblClusters[Plateforme],$B157)="IKS",INDEX(TblClusters[Plateforme],$B157)="ROKS")),1,0),0))</f>
        <v>0</v>
      </c>
      <c r="E157" s="83" t="str">
        <f aca="false">IF($D157=1,EDATE(p_debut,$C157-1),"")</f>
        <v/>
      </c>
      <c r="F157" s="14" t="str">
        <f aca="false">IF($D157=1,INDEX(TblClusters[Cluster],$B157),"")</f>
        <v/>
      </c>
      <c r="G157" s="14" t="str">
        <f aca="false">IF($D157=1,INDEX(TblClusters[Plateforme],$B157),"")</f>
        <v/>
      </c>
      <c r="H157" s="14" t="str">
        <f aca="false">IF($D157=1,INDEX(TblClusters[vCPU par nœud],$B157),"")</f>
        <v/>
      </c>
      <c r="I157" s="14" t="str">
        <f aca="false">IF($D157=1,INDEX(TblClusters[RAM par nœud (Go)],$B157),"")</f>
        <v/>
      </c>
      <c r="J157" s="14" t="str">
        <f aca="false">IF($D157=1,INDEX(TblClusters[Workers min],$B157),"")</f>
        <v/>
      </c>
      <c r="K157" s="84" t="str">
        <f aca="false">IF($D157=1,INDEX(TblClusters[Tarif par nœud],$B157),"")</f>
        <v/>
      </c>
      <c r="L157" s="14" t="str">
        <f aca="false">IF($D157=1,INDEX(TblClusters[CPU initial (vCPU)],$B157),"")</f>
        <v/>
      </c>
      <c r="M157" s="14" t="str">
        <f aca="false">IF($D157=1,INDEX(TblClusters[RAM initiale (Go)],$B157),"")</f>
        <v/>
      </c>
      <c r="N157" s="14" t="str">
        <f aca="false">IF($D157=1,INDEX(TblClusters[CPU min (vCPU)],$B157),"")</f>
        <v/>
      </c>
      <c r="O157" s="14" t="str">
        <f aca="false">IF($D157=1,INDEX(TblClusters[RAM min (Go)],$B157),"")</f>
        <v/>
      </c>
      <c r="P157" s="14" t="str">
        <f aca="false">IF($D157&lt;&gt;1,"",IF($G157="ROKS",SUMIFS(TblApplications[Besoin ROKS CPU (vCPU)],TblApplications[Cluster ROKS cible],$F157,TblApplications[Action],"À migrer",TblApplications[Déjà incluse ROKS],"Non",TblApplications[Mois prov (calc)],"&lt;="&amp;$E157),SUMIFS(TblApplications[CPU IKS libérable (vCPU)],TblApplications[Cluster IKS source],$F157,TblApplications[Mois lib (calc)],"&lt;="&amp;$E157)))</f>
        <v/>
      </c>
      <c r="Q157" s="14" t="str">
        <f aca="false">IF($D157&lt;&gt;1,"",IF($G157="ROKS",SUMIFS(TblApplications[Besoin ROKS RAM (Go)],TblApplications[Cluster ROKS cible],$F157,TblApplications[Action],"À migrer",TblApplications[Déjà incluse ROKS],"Non",TblApplications[Mois prov (calc)],"&lt;="&amp;$E157),SUMIFS(TblApplications[RAM IKS libérable (Go)],TblApplications[Cluster IKS source],$F157,TblApplications[Mois lib (calc)],"&lt;="&amp;$E157)))</f>
        <v/>
      </c>
      <c r="R157" s="14" t="str">
        <f aca="false">IF($D157&lt;&gt;1,"",IF($G157="ROKS",$L157+$P157,IF($AI157=1,0,MAX($N157,$L157-$P157))))</f>
        <v/>
      </c>
      <c r="S157" s="14" t="str">
        <f aca="false">IF($D157&lt;&gt;1,"",IF($G157="ROKS",$M157+$Q157,IF($AI157=1,0,MAX($O157,$M157-$Q157))))</f>
        <v/>
      </c>
      <c r="T157" s="14" t="str">
        <f aca="false">IF($D157&lt;&gt;1,"",IF($AI157=1,0,MAX($J157,ROUNDUP(MAX($R157/$H157,$S157/$I157),0))))</f>
        <v/>
      </c>
      <c r="U157" s="14" t="str">
        <f aca="false">IF($D157&lt;&gt;1,"",IF(p_mode="Nœud",$T157*$H157,$R157))</f>
        <v/>
      </c>
      <c r="V157" s="14" t="str">
        <f aca="false">IF($D157&lt;&gt;1,"",IF(p_mode="Nœud",$T157*$I157,$S157))</f>
        <v/>
      </c>
      <c r="W157" s="84" t="str">
        <f aca="false">IF($D157&lt;&gt;1,"",IF(p_mode="Nœud",$T157*$K157,$R157*IF($G157="IKS",p_iks_cpu,p_roks_cpu)+$S157*IF($G157="IKS",p_iks_ram,p_roks_ram))*p_facteur)</f>
        <v/>
      </c>
      <c r="X157" s="14" t="str">
        <f aca="false">IF($D157&lt;&gt;1,"",IF($G157="ROKS",$R157,IF($AI157=1,0,MAX($N157,$L157-SUMIFS(TblApplications[CPU IKS libérable (vCPU)],TblApplications[Cluster IKS source],$F157,TblApplications[Action],"À migrer",TblApplications[Mois prov (calc)],"&lt;="&amp;$E157)-SUMIFS(TblApplications[CPU IKS libérable (vCPU)],TblApplications[Cluster IKS source],$F157,TblApplications[Action],"À décommissionner",TblApplications[Mois lib (calc)],"&lt;="&amp;$E157)))))</f>
        <v/>
      </c>
      <c r="Y157" s="14" t="str">
        <f aca="false">IF($D157&lt;&gt;1,"",IF($G157="ROKS",$S157,IF($AI157=1,0,MAX($O157,$M157-SUMIFS(TblApplications[RAM IKS libérable (Go)],TblApplications[Cluster IKS source],$F157,TblApplications[Action],"À migrer",TblApplications[Mois prov (calc)],"&lt;="&amp;$E157)-SUMIFS(TblApplications[RAM IKS libérable (Go)],TblApplications[Cluster IKS source],$F157,TblApplications[Action],"À décommissionner",TblApplications[Mois lib (calc)],"&lt;="&amp;$E157)))))</f>
        <v/>
      </c>
      <c r="Z157" s="14" t="str">
        <f aca="false">IF($D157&lt;&gt;1,"",IF($AI157=1,0,MAX($J157,ROUNDUP(MAX($X157/$H157,$Y157/$I157),0))))</f>
        <v/>
      </c>
      <c r="AA157" s="84" t="str">
        <f aca="false">IF($D157&lt;&gt;1,"",IF(p_mode="Nœud",$Z157*$K157,$X157*IF($G157="IKS",p_iks_cpu,p_roks_cpu)+$Y157*IF($G157="IKS",p_iks_ram,p_roks_ram))*p_facteur)</f>
        <v/>
      </c>
      <c r="AB157" s="14" t="str">
        <f aca="false">IF($D157&lt;&gt;1,"",MAX($J157,ROUNDUP(MAX($L157/$H157,$M157/$I157),0)))</f>
        <v/>
      </c>
      <c r="AC157" s="84" t="str">
        <f aca="false">IF($D157&lt;&gt;1,"",IF(p_mode="Nœud",$AB157*$K157,$L157*IF($G157="IKS",p_iks_cpu,p_roks_cpu)+$M157*IF($G157="IKS",p_iks_ram,p_roks_ram))*p_facteur)</f>
        <v/>
      </c>
      <c r="AD157" s="14" t="str">
        <f aca="false">IF($D157&lt;&gt;1,"",IF(AND($G157="IKS",$AI157&lt;&gt;1,OR($L157-$P157&lt;$N157,$M157-$Q157&lt;$O157)),1,0))</f>
        <v/>
      </c>
      <c r="AE157" s="14" t="str">
        <f aca="false">IF($D157&lt;&gt;1,"",IF(AND($G157="ROKS",$T157&gt;p_maxworkers),1,0))</f>
        <v/>
      </c>
      <c r="AF157" s="14" t="str">
        <f aca="false">IF($D157&lt;&gt;1,"",IF(INDEX(TblClusters[Environnement],$B157)="","(vide)",INDEX(TblClusters[Environnement],$B157)))</f>
        <v/>
      </c>
      <c r="AG157" s="14" t="str">
        <f aca="false">IF($D157&lt;&gt;1,"",$R157+p_poidsram*$S157)</f>
        <v/>
      </c>
      <c r="AH157" s="14" t="str">
        <f aca="false">IF($D157&lt;&gt;1,"",IFERROR($W157/$AG157,0))</f>
        <v/>
      </c>
      <c r="AI157" s="14" t="str">
        <f aca="false">IF($D157&lt;&gt;1,"",IF(AND($G157="IKS",ISNUMBER(INDEX(TblClusters[Fermeture retenue],$B157))),IF($E157&gt;=INDEX(TblClusters[Fermeture retenue],$B157),1,0),0))</f>
        <v/>
      </c>
    </row>
    <row r="158" customFormat="false" ht="15" hidden="false" customHeight="false" outlineLevel="0" collapsed="false">
      <c r="A158" s="14" t="n">
        <v>153</v>
      </c>
      <c r="B158" s="14" t="n">
        <f aca="false">INT(($A158-1)/36)+1</f>
        <v>5</v>
      </c>
      <c r="C158" s="14" t="n">
        <f aca="false">MOD($A158-1,36)+1</f>
        <v>9</v>
      </c>
      <c r="D158" s="14" t="n">
        <f aca="false">IF($C158&gt;p_horizon,0,IFERROR(IF(AND(INDEX(TblClusters[Cluster],$B158)&lt;&gt;"",ISNUMBER(INDEX(TblClusters[CPU initial (vCPU)],$B158)),ISNUMBER(INDEX(TblClusters[CPU min (vCPU)],$B158)),OR(INDEX(TblClusters[Plateforme],$B158)="IKS",INDEX(TblClusters[Plateforme],$B158)="ROKS")),1,0),0))</f>
        <v>0</v>
      </c>
      <c r="E158" s="83" t="str">
        <f aca="false">IF($D158=1,EDATE(p_debut,$C158-1),"")</f>
        <v/>
      </c>
      <c r="F158" s="14" t="str">
        <f aca="false">IF($D158=1,INDEX(TblClusters[Cluster],$B158),"")</f>
        <v/>
      </c>
      <c r="G158" s="14" t="str">
        <f aca="false">IF($D158=1,INDEX(TblClusters[Plateforme],$B158),"")</f>
        <v/>
      </c>
      <c r="H158" s="14" t="str">
        <f aca="false">IF($D158=1,INDEX(TblClusters[vCPU par nœud],$B158),"")</f>
        <v/>
      </c>
      <c r="I158" s="14" t="str">
        <f aca="false">IF($D158=1,INDEX(TblClusters[RAM par nœud (Go)],$B158),"")</f>
        <v/>
      </c>
      <c r="J158" s="14" t="str">
        <f aca="false">IF($D158=1,INDEX(TblClusters[Workers min],$B158),"")</f>
        <v/>
      </c>
      <c r="K158" s="84" t="str">
        <f aca="false">IF($D158=1,INDEX(TblClusters[Tarif par nœud],$B158),"")</f>
        <v/>
      </c>
      <c r="L158" s="14" t="str">
        <f aca="false">IF($D158=1,INDEX(TblClusters[CPU initial (vCPU)],$B158),"")</f>
        <v/>
      </c>
      <c r="M158" s="14" t="str">
        <f aca="false">IF($D158=1,INDEX(TblClusters[RAM initiale (Go)],$B158),"")</f>
        <v/>
      </c>
      <c r="N158" s="14" t="str">
        <f aca="false">IF($D158=1,INDEX(TblClusters[CPU min (vCPU)],$B158),"")</f>
        <v/>
      </c>
      <c r="O158" s="14" t="str">
        <f aca="false">IF($D158=1,INDEX(TblClusters[RAM min (Go)],$B158),"")</f>
        <v/>
      </c>
      <c r="P158" s="14" t="str">
        <f aca="false">IF($D158&lt;&gt;1,"",IF($G158="ROKS",SUMIFS(TblApplications[Besoin ROKS CPU (vCPU)],TblApplications[Cluster ROKS cible],$F158,TblApplications[Action],"À migrer",TblApplications[Déjà incluse ROKS],"Non",TblApplications[Mois prov (calc)],"&lt;="&amp;$E158),SUMIFS(TblApplications[CPU IKS libérable (vCPU)],TblApplications[Cluster IKS source],$F158,TblApplications[Mois lib (calc)],"&lt;="&amp;$E158)))</f>
        <v/>
      </c>
      <c r="Q158" s="14" t="str">
        <f aca="false">IF($D158&lt;&gt;1,"",IF($G158="ROKS",SUMIFS(TblApplications[Besoin ROKS RAM (Go)],TblApplications[Cluster ROKS cible],$F158,TblApplications[Action],"À migrer",TblApplications[Déjà incluse ROKS],"Non",TblApplications[Mois prov (calc)],"&lt;="&amp;$E158),SUMIFS(TblApplications[RAM IKS libérable (Go)],TblApplications[Cluster IKS source],$F158,TblApplications[Mois lib (calc)],"&lt;="&amp;$E158)))</f>
        <v/>
      </c>
      <c r="R158" s="14" t="str">
        <f aca="false">IF($D158&lt;&gt;1,"",IF($G158="ROKS",$L158+$P158,IF($AI158=1,0,MAX($N158,$L158-$P158))))</f>
        <v/>
      </c>
      <c r="S158" s="14" t="str">
        <f aca="false">IF($D158&lt;&gt;1,"",IF($G158="ROKS",$M158+$Q158,IF($AI158=1,0,MAX($O158,$M158-$Q158))))</f>
        <v/>
      </c>
      <c r="T158" s="14" t="str">
        <f aca="false">IF($D158&lt;&gt;1,"",IF($AI158=1,0,MAX($J158,ROUNDUP(MAX($R158/$H158,$S158/$I158),0))))</f>
        <v/>
      </c>
      <c r="U158" s="14" t="str">
        <f aca="false">IF($D158&lt;&gt;1,"",IF(p_mode="Nœud",$T158*$H158,$R158))</f>
        <v/>
      </c>
      <c r="V158" s="14" t="str">
        <f aca="false">IF($D158&lt;&gt;1,"",IF(p_mode="Nœud",$T158*$I158,$S158))</f>
        <v/>
      </c>
      <c r="W158" s="84" t="str">
        <f aca="false">IF($D158&lt;&gt;1,"",IF(p_mode="Nœud",$T158*$K158,$R158*IF($G158="IKS",p_iks_cpu,p_roks_cpu)+$S158*IF($G158="IKS",p_iks_ram,p_roks_ram))*p_facteur)</f>
        <v/>
      </c>
      <c r="X158" s="14" t="str">
        <f aca="false">IF($D158&lt;&gt;1,"",IF($G158="ROKS",$R158,IF($AI158=1,0,MAX($N158,$L158-SUMIFS(TblApplications[CPU IKS libérable (vCPU)],TblApplications[Cluster IKS source],$F158,TblApplications[Action],"À migrer",TblApplications[Mois prov (calc)],"&lt;="&amp;$E158)-SUMIFS(TblApplications[CPU IKS libérable (vCPU)],TblApplications[Cluster IKS source],$F158,TblApplications[Action],"À décommissionner",TblApplications[Mois lib (calc)],"&lt;="&amp;$E158)))))</f>
        <v/>
      </c>
      <c r="Y158" s="14" t="str">
        <f aca="false">IF($D158&lt;&gt;1,"",IF($G158="ROKS",$S158,IF($AI158=1,0,MAX($O158,$M158-SUMIFS(TblApplications[RAM IKS libérable (Go)],TblApplications[Cluster IKS source],$F158,TblApplications[Action],"À migrer",TblApplications[Mois prov (calc)],"&lt;="&amp;$E158)-SUMIFS(TblApplications[RAM IKS libérable (Go)],TblApplications[Cluster IKS source],$F158,TblApplications[Action],"À décommissionner",TblApplications[Mois lib (calc)],"&lt;="&amp;$E158)))))</f>
        <v/>
      </c>
      <c r="Z158" s="14" t="str">
        <f aca="false">IF($D158&lt;&gt;1,"",IF($AI158=1,0,MAX($J158,ROUNDUP(MAX($X158/$H158,$Y158/$I158),0))))</f>
        <v/>
      </c>
      <c r="AA158" s="84" t="str">
        <f aca="false">IF($D158&lt;&gt;1,"",IF(p_mode="Nœud",$Z158*$K158,$X158*IF($G158="IKS",p_iks_cpu,p_roks_cpu)+$Y158*IF($G158="IKS",p_iks_ram,p_roks_ram))*p_facteur)</f>
        <v/>
      </c>
      <c r="AB158" s="14" t="str">
        <f aca="false">IF($D158&lt;&gt;1,"",MAX($J158,ROUNDUP(MAX($L158/$H158,$M158/$I158),0)))</f>
        <v/>
      </c>
      <c r="AC158" s="84" t="str">
        <f aca="false">IF($D158&lt;&gt;1,"",IF(p_mode="Nœud",$AB158*$K158,$L158*IF($G158="IKS",p_iks_cpu,p_roks_cpu)+$M158*IF($G158="IKS",p_iks_ram,p_roks_ram))*p_facteur)</f>
        <v/>
      </c>
      <c r="AD158" s="14" t="str">
        <f aca="false">IF($D158&lt;&gt;1,"",IF(AND($G158="IKS",$AI158&lt;&gt;1,OR($L158-$P158&lt;$N158,$M158-$Q158&lt;$O158)),1,0))</f>
        <v/>
      </c>
      <c r="AE158" s="14" t="str">
        <f aca="false">IF($D158&lt;&gt;1,"",IF(AND($G158="ROKS",$T158&gt;p_maxworkers),1,0))</f>
        <v/>
      </c>
      <c r="AF158" s="14" t="str">
        <f aca="false">IF($D158&lt;&gt;1,"",IF(INDEX(TblClusters[Environnement],$B158)="","(vide)",INDEX(TblClusters[Environnement],$B158)))</f>
        <v/>
      </c>
      <c r="AG158" s="14" t="str">
        <f aca="false">IF($D158&lt;&gt;1,"",$R158+p_poidsram*$S158)</f>
        <v/>
      </c>
      <c r="AH158" s="14" t="str">
        <f aca="false">IF($D158&lt;&gt;1,"",IFERROR($W158/$AG158,0))</f>
        <v/>
      </c>
      <c r="AI158" s="14" t="str">
        <f aca="false">IF($D158&lt;&gt;1,"",IF(AND($G158="IKS",ISNUMBER(INDEX(TblClusters[Fermeture retenue],$B158))),IF($E158&gt;=INDEX(TblClusters[Fermeture retenue],$B158),1,0),0))</f>
        <v/>
      </c>
    </row>
    <row r="159" customFormat="false" ht="15" hidden="false" customHeight="false" outlineLevel="0" collapsed="false">
      <c r="A159" s="14" t="n">
        <v>154</v>
      </c>
      <c r="B159" s="14" t="n">
        <f aca="false">INT(($A159-1)/36)+1</f>
        <v>5</v>
      </c>
      <c r="C159" s="14" t="n">
        <f aca="false">MOD($A159-1,36)+1</f>
        <v>10</v>
      </c>
      <c r="D159" s="14" t="n">
        <f aca="false">IF($C159&gt;p_horizon,0,IFERROR(IF(AND(INDEX(TblClusters[Cluster],$B159)&lt;&gt;"",ISNUMBER(INDEX(TblClusters[CPU initial (vCPU)],$B159)),ISNUMBER(INDEX(TblClusters[CPU min (vCPU)],$B159)),OR(INDEX(TblClusters[Plateforme],$B159)="IKS",INDEX(TblClusters[Plateforme],$B159)="ROKS")),1,0),0))</f>
        <v>0</v>
      </c>
      <c r="E159" s="83" t="str">
        <f aca="false">IF($D159=1,EDATE(p_debut,$C159-1),"")</f>
        <v/>
      </c>
      <c r="F159" s="14" t="str">
        <f aca="false">IF($D159=1,INDEX(TblClusters[Cluster],$B159),"")</f>
        <v/>
      </c>
      <c r="G159" s="14" t="str">
        <f aca="false">IF($D159=1,INDEX(TblClusters[Plateforme],$B159),"")</f>
        <v/>
      </c>
      <c r="H159" s="14" t="str">
        <f aca="false">IF($D159=1,INDEX(TblClusters[vCPU par nœud],$B159),"")</f>
        <v/>
      </c>
      <c r="I159" s="14" t="str">
        <f aca="false">IF($D159=1,INDEX(TblClusters[RAM par nœud (Go)],$B159),"")</f>
        <v/>
      </c>
      <c r="J159" s="14" t="str">
        <f aca="false">IF($D159=1,INDEX(TblClusters[Workers min],$B159),"")</f>
        <v/>
      </c>
      <c r="K159" s="84" t="str">
        <f aca="false">IF($D159=1,INDEX(TblClusters[Tarif par nœud],$B159),"")</f>
        <v/>
      </c>
      <c r="L159" s="14" t="str">
        <f aca="false">IF($D159=1,INDEX(TblClusters[CPU initial (vCPU)],$B159),"")</f>
        <v/>
      </c>
      <c r="M159" s="14" t="str">
        <f aca="false">IF($D159=1,INDEX(TblClusters[RAM initiale (Go)],$B159),"")</f>
        <v/>
      </c>
      <c r="N159" s="14" t="str">
        <f aca="false">IF($D159=1,INDEX(TblClusters[CPU min (vCPU)],$B159),"")</f>
        <v/>
      </c>
      <c r="O159" s="14" t="str">
        <f aca="false">IF($D159=1,INDEX(TblClusters[RAM min (Go)],$B159),"")</f>
        <v/>
      </c>
      <c r="P159" s="14" t="str">
        <f aca="false">IF($D159&lt;&gt;1,"",IF($G159="ROKS",SUMIFS(TblApplications[Besoin ROKS CPU (vCPU)],TblApplications[Cluster ROKS cible],$F159,TblApplications[Action],"À migrer",TblApplications[Déjà incluse ROKS],"Non",TblApplications[Mois prov (calc)],"&lt;="&amp;$E159),SUMIFS(TblApplications[CPU IKS libérable (vCPU)],TblApplications[Cluster IKS source],$F159,TblApplications[Mois lib (calc)],"&lt;="&amp;$E159)))</f>
        <v/>
      </c>
      <c r="Q159" s="14" t="str">
        <f aca="false">IF($D159&lt;&gt;1,"",IF($G159="ROKS",SUMIFS(TblApplications[Besoin ROKS RAM (Go)],TblApplications[Cluster ROKS cible],$F159,TblApplications[Action],"À migrer",TblApplications[Déjà incluse ROKS],"Non",TblApplications[Mois prov (calc)],"&lt;="&amp;$E159),SUMIFS(TblApplications[RAM IKS libérable (Go)],TblApplications[Cluster IKS source],$F159,TblApplications[Mois lib (calc)],"&lt;="&amp;$E159)))</f>
        <v/>
      </c>
      <c r="R159" s="14" t="str">
        <f aca="false">IF($D159&lt;&gt;1,"",IF($G159="ROKS",$L159+$P159,IF($AI159=1,0,MAX($N159,$L159-$P159))))</f>
        <v/>
      </c>
      <c r="S159" s="14" t="str">
        <f aca="false">IF($D159&lt;&gt;1,"",IF($G159="ROKS",$M159+$Q159,IF($AI159=1,0,MAX($O159,$M159-$Q159))))</f>
        <v/>
      </c>
      <c r="T159" s="14" t="str">
        <f aca="false">IF($D159&lt;&gt;1,"",IF($AI159=1,0,MAX($J159,ROUNDUP(MAX($R159/$H159,$S159/$I159),0))))</f>
        <v/>
      </c>
      <c r="U159" s="14" t="str">
        <f aca="false">IF($D159&lt;&gt;1,"",IF(p_mode="Nœud",$T159*$H159,$R159))</f>
        <v/>
      </c>
      <c r="V159" s="14" t="str">
        <f aca="false">IF($D159&lt;&gt;1,"",IF(p_mode="Nœud",$T159*$I159,$S159))</f>
        <v/>
      </c>
      <c r="W159" s="84" t="str">
        <f aca="false">IF($D159&lt;&gt;1,"",IF(p_mode="Nœud",$T159*$K159,$R159*IF($G159="IKS",p_iks_cpu,p_roks_cpu)+$S159*IF($G159="IKS",p_iks_ram,p_roks_ram))*p_facteur)</f>
        <v/>
      </c>
      <c r="X159" s="14" t="str">
        <f aca="false">IF($D159&lt;&gt;1,"",IF($G159="ROKS",$R159,IF($AI159=1,0,MAX($N159,$L159-SUMIFS(TblApplications[CPU IKS libérable (vCPU)],TblApplications[Cluster IKS source],$F159,TblApplications[Action],"À migrer",TblApplications[Mois prov (calc)],"&lt;="&amp;$E159)-SUMIFS(TblApplications[CPU IKS libérable (vCPU)],TblApplications[Cluster IKS source],$F159,TblApplications[Action],"À décommissionner",TblApplications[Mois lib (calc)],"&lt;="&amp;$E159)))))</f>
        <v/>
      </c>
      <c r="Y159" s="14" t="str">
        <f aca="false">IF($D159&lt;&gt;1,"",IF($G159="ROKS",$S159,IF($AI159=1,0,MAX($O159,$M159-SUMIFS(TblApplications[RAM IKS libérable (Go)],TblApplications[Cluster IKS source],$F159,TblApplications[Action],"À migrer",TblApplications[Mois prov (calc)],"&lt;="&amp;$E159)-SUMIFS(TblApplications[RAM IKS libérable (Go)],TblApplications[Cluster IKS source],$F159,TblApplications[Action],"À décommissionner",TblApplications[Mois lib (calc)],"&lt;="&amp;$E159)))))</f>
        <v/>
      </c>
      <c r="Z159" s="14" t="str">
        <f aca="false">IF($D159&lt;&gt;1,"",IF($AI159=1,0,MAX($J159,ROUNDUP(MAX($X159/$H159,$Y159/$I159),0))))</f>
        <v/>
      </c>
      <c r="AA159" s="84" t="str">
        <f aca="false">IF($D159&lt;&gt;1,"",IF(p_mode="Nœud",$Z159*$K159,$X159*IF($G159="IKS",p_iks_cpu,p_roks_cpu)+$Y159*IF($G159="IKS",p_iks_ram,p_roks_ram))*p_facteur)</f>
        <v/>
      </c>
      <c r="AB159" s="14" t="str">
        <f aca="false">IF($D159&lt;&gt;1,"",MAX($J159,ROUNDUP(MAX($L159/$H159,$M159/$I159),0)))</f>
        <v/>
      </c>
      <c r="AC159" s="84" t="str">
        <f aca="false">IF($D159&lt;&gt;1,"",IF(p_mode="Nœud",$AB159*$K159,$L159*IF($G159="IKS",p_iks_cpu,p_roks_cpu)+$M159*IF($G159="IKS",p_iks_ram,p_roks_ram))*p_facteur)</f>
        <v/>
      </c>
      <c r="AD159" s="14" t="str">
        <f aca="false">IF($D159&lt;&gt;1,"",IF(AND($G159="IKS",$AI159&lt;&gt;1,OR($L159-$P159&lt;$N159,$M159-$Q159&lt;$O159)),1,0))</f>
        <v/>
      </c>
      <c r="AE159" s="14" t="str">
        <f aca="false">IF($D159&lt;&gt;1,"",IF(AND($G159="ROKS",$T159&gt;p_maxworkers),1,0))</f>
        <v/>
      </c>
      <c r="AF159" s="14" t="str">
        <f aca="false">IF($D159&lt;&gt;1,"",IF(INDEX(TblClusters[Environnement],$B159)="","(vide)",INDEX(TblClusters[Environnement],$B159)))</f>
        <v/>
      </c>
      <c r="AG159" s="14" t="str">
        <f aca="false">IF($D159&lt;&gt;1,"",$R159+p_poidsram*$S159)</f>
        <v/>
      </c>
      <c r="AH159" s="14" t="str">
        <f aca="false">IF($D159&lt;&gt;1,"",IFERROR($W159/$AG159,0))</f>
        <v/>
      </c>
      <c r="AI159" s="14" t="str">
        <f aca="false">IF($D159&lt;&gt;1,"",IF(AND($G159="IKS",ISNUMBER(INDEX(TblClusters[Fermeture retenue],$B159))),IF($E159&gt;=INDEX(TblClusters[Fermeture retenue],$B159),1,0),0))</f>
        <v/>
      </c>
    </row>
    <row r="160" customFormat="false" ht="15" hidden="false" customHeight="false" outlineLevel="0" collapsed="false">
      <c r="A160" s="14" t="n">
        <v>155</v>
      </c>
      <c r="B160" s="14" t="n">
        <f aca="false">INT(($A160-1)/36)+1</f>
        <v>5</v>
      </c>
      <c r="C160" s="14" t="n">
        <f aca="false">MOD($A160-1,36)+1</f>
        <v>11</v>
      </c>
      <c r="D160" s="14" t="n">
        <f aca="false">IF($C160&gt;p_horizon,0,IFERROR(IF(AND(INDEX(TblClusters[Cluster],$B160)&lt;&gt;"",ISNUMBER(INDEX(TblClusters[CPU initial (vCPU)],$B160)),ISNUMBER(INDEX(TblClusters[CPU min (vCPU)],$B160)),OR(INDEX(TblClusters[Plateforme],$B160)="IKS",INDEX(TblClusters[Plateforme],$B160)="ROKS")),1,0),0))</f>
        <v>0</v>
      </c>
      <c r="E160" s="83" t="str">
        <f aca="false">IF($D160=1,EDATE(p_debut,$C160-1),"")</f>
        <v/>
      </c>
      <c r="F160" s="14" t="str">
        <f aca="false">IF($D160=1,INDEX(TblClusters[Cluster],$B160),"")</f>
        <v/>
      </c>
      <c r="G160" s="14" t="str">
        <f aca="false">IF($D160=1,INDEX(TblClusters[Plateforme],$B160),"")</f>
        <v/>
      </c>
      <c r="H160" s="14" t="str">
        <f aca="false">IF($D160=1,INDEX(TblClusters[vCPU par nœud],$B160),"")</f>
        <v/>
      </c>
      <c r="I160" s="14" t="str">
        <f aca="false">IF($D160=1,INDEX(TblClusters[RAM par nœud (Go)],$B160),"")</f>
        <v/>
      </c>
      <c r="J160" s="14" t="str">
        <f aca="false">IF($D160=1,INDEX(TblClusters[Workers min],$B160),"")</f>
        <v/>
      </c>
      <c r="K160" s="84" t="str">
        <f aca="false">IF($D160=1,INDEX(TblClusters[Tarif par nœud],$B160),"")</f>
        <v/>
      </c>
      <c r="L160" s="14" t="str">
        <f aca="false">IF($D160=1,INDEX(TblClusters[CPU initial (vCPU)],$B160),"")</f>
        <v/>
      </c>
      <c r="M160" s="14" t="str">
        <f aca="false">IF($D160=1,INDEX(TblClusters[RAM initiale (Go)],$B160),"")</f>
        <v/>
      </c>
      <c r="N160" s="14" t="str">
        <f aca="false">IF($D160=1,INDEX(TblClusters[CPU min (vCPU)],$B160),"")</f>
        <v/>
      </c>
      <c r="O160" s="14" t="str">
        <f aca="false">IF($D160=1,INDEX(TblClusters[RAM min (Go)],$B160),"")</f>
        <v/>
      </c>
      <c r="P160" s="14" t="str">
        <f aca="false">IF($D160&lt;&gt;1,"",IF($G160="ROKS",SUMIFS(TblApplications[Besoin ROKS CPU (vCPU)],TblApplications[Cluster ROKS cible],$F160,TblApplications[Action],"À migrer",TblApplications[Déjà incluse ROKS],"Non",TblApplications[Mois prov (calc)],"&lt;="&amp;$E160),SUMIFS(TblApplications[CPU IKS libérable (vCPU)],TblApplications[Cluster IKS source],$F160,TblApplications[Mois lib (calc)],"&lt;="&amp;$E160)))</f>
        <v/>
      </c>
      <c r="Q160" s="14" t="str">
        <f aca="false">IF($D160&lt;&gt;1,"",IF($G160="ROKS",SUMIFS(TblApplications[Besoin ROKS RAM (Go)],TblApplications[Cluster ROKS cible],$F160,TblApplications[Action],"À migrer",TblApplications[Déjà incluse ROKS],"Non",TblApplications[Mois prov (calc)],"&lt;="&amp;$E160),SUMIFS(TblApplications[RAM IKS libérable (Go)],TblApplications[Cluster IKS source],$F160,TblApplications[Mois lib (calc)],"&lt;="&amp;$E160)))</f>
        <v/>
      </c>
      <c r="R160" s="14" t="str">
        <f aca="false">IF($D160&lt;&gt;1,"",IF($G160="ROKS",$L160+$P160,IF($AI160=1,0,MAX($N160,$L160-$P160))))</f>
        <v/>
      </c>
      <c r="S160" s="14" t="str">
        <f aca="false">IF($D160&lt;&gt;1,"",IF($G160="ROKS",$M160+$Q160,IF($AI160=1,0,MAX($O160,$M160-$Q160))))</f>
        <v/>
      </c>
      <c r="T160" s="14" t="str">
        <f aca="false">IF($D160&lt;&gt;1,"",IF($AI160=1,0,MAX($J160,ROUNDUP(MAX($R160/$H160,$S160/$I160),0))))</f>
        <v/>
      </c>
      <c r="U160" s="14" t="str">
        <f aca="false">IF($D160&lt;&gt;1,"",IF(p_mode="Nœud",$T160*$H160,$R160))</f>
        <v/>
      </c>
      <c r="V160" s="14" t="str">
        <f aca="false">IF($D160&lt;&gt;1,"",IF(p_mode="Nœud",$T160*$I160,$S160))</f>
        <v/>
      </c>
      <c r="W160" s="84" t="str">
        <f aca="false">IF($D160&lt;&gt;1,"",IF(p_mode="Nœud",$T160*$K160,$R160*IF($G160="IKS",p_iks_cpu,p_roks_cpu)+$S160*IF($G160="IKS",p_iks_ram,p_roks_ram))*p_facteur)</f>
        <v/>
      </c>
      <c r="X160" s="14" t="str">
        <f aca="false">IF($D160&lt;&gt;1,"",IF($G160="ROKS",$R160,IF($AI160=1,0,MAX($N160,$L160-SUMIFS(TblApplications[CPU IKS libérable (vCPU)],TblApplications[Cluster IKS source],$F160,TblApplications[Action],"À migrer",TblApplications[Mois prov (calc)],"&lt;="&amp;$E160)-SUMIFS(TblApplications[CPU IKS libérable (vCPU)],TblApplications[Cluster IKS source],$F160,TblApplications[Action],"À décommissionner",TblApplications[Mois lib (calc)],"&lt;="&amp;$E160)))))</f>
        <v/>
      </c>
      <c r="Y160" s="14" t="str">
        <f aca="false">IF($D160&lt;&gt;1,"",IF($G160="ROKS",$S160,IF($AI160=1,0,MAX($O160,$M160-SUMIFS(TblApplications[RAM IKS libérable (Go)],TblApplications[Cluster IKS source],$F160,TblApplications[Action],"À migrer",TblApplications[Mois prov (calc)],"&lt;="&amp;$E160)-SUMIFS(TblApplications[RAM IKS libérable (Go)],TblApplications[Cluster IKS source],$F160,TblApplications[Action],"À décommissionner",TblApplications[Mois lib (calc)],"&lt;="&amp;$E160)))))</f>
        <v/>
      </c>
      <c r="Z160" s="14" t="str">
        <f aca="false">IF($D160&lt;&gt;1,"",IF($AI160=1,0,MAX($J160,ROUNDUP(MAX($X160/$H160,$Y160/$I160),0))))</f>
        <v/>
      </c>
      <c r="AA160" s="84" t="str">
        <f aca="false">IF($D160&lt;&gt;1,"",IF(p_mode="Nœud",$Z160*$K160,$X160*IF($G160="IKS",p_iks_cpu,p_roks_cpu)+$Y160*IF($G160="IKS",p_iks_ram,p_roks_ram))*p_facteur)</f>
        <v/>
      </c>
      <c r="AB160" s="14" t="str">
        <f aca="false">IF($D160&lt;&gt;1,"",MAX($J160,ROUNDUP(MAX($L160/$H160,$M160/$I160),0)))</f>
        <v/>
      </c>
      <c r="AC160" s="84" t="str">
        <f aca="false">IF($D160&lt;&gt;1,"",IF(p_mode="Nœud",$AB160*$K160,$L160*IF($G160="IKS",p_iks_cpu,p_roks_cpu)+$M160*IF($G160="IKS",p_iks_ram,p_roks_ram))*p_facteur)</f>
        <v/>
      </c>
      <c r="AD160" s="14" t="str">
        <f aca="false">IF($D160&lt;&gt;1,"",IF(AND($G160="IKS",$AI160&lt;&gt;1,OR($L160-$P160&lt;$N160,$M160-$Q160&lt;$O160)),1,0))</f>
        <v/>
      </c>
      <c r="AE160" s="14" t="str">
        <f aca="false">IF($D160&lt;&gt;1,"",IF(AND($G160="ROKS",$T160&gt;p_maxworkers),1,0))</f>
        <v/>
      </c>
      <c r="AF160" s="14" t="str">
        <f aca="false">IF($D160&lt;&gt;1,"",IF(INDEX(TblClusters[Environnement],$B160)="","(vide)",INDEX(TblClusters[Environnement],$B160)))</f>
        <v/>
      </c>
      <c r="AG160" s="14" t="str">
        <f aca="false">IF($D160&lt;&gt;1,"",$R160+p_poidsram*$S160)</f>
        <v/>
      </c>
      <c r="AH160" s="14" t="str">
        <f aca="false">IF($D160&lt;&gt;1,"",IFERROR($W160/$AG160,0))</f>
        <v/>
      </c>
      <c r="AI160" s="14" t="str">
        <f aca="false">IF($D160&lt;&gt;1,"",IF(AND($G160="IKS",ISNUMBER(INDEX(TblClusters[Fermeture retenue],$B160))),IF($E160&gt;=INDEX(TblClusters[Fermeture retenue],$B160),1,0),0))</f>
        <v/>
      </c>
    </row>
    <row r="161" customFormat="false" ht="15" hidden="false" customHeight="false" outlineLevel="0" collapsed="false">
      <c r="A161" s="14" t="n">
        <v>156</v>
      </c>
      <c r="B161" s="14" t="n">
        <f aca="false">INT(($A161-1)/36)+1</f>
        <v>5</v>
      </c>
      <c r="C161" s="14" t="n">
        <f aca="false">MOD($A161-1,36)+1</f>
        <v>12</v>
      </c>
      <c r="D161" s="14" t="n">
        <f aca="false">IF($C161&gt;p_horizon,0,IFERROR(IF(AND(INDEX(TblClusters[Cluster],$B161)&lt;&gt;"",ISNUMBER(INDEX(TblClusters[CPU initial (vCPU)],$B161)),ISNUMBER(INDEX(TblClusters[CPU min (vCPU)],$B161)),OR(INDEX(TblClusters[Plateforme],$B161)="IKS",INDEX(TblClusters[Plateforme],$B161)="ROKS")),1,0),0))</f>
        <v>0</v>
      </c>
      <c r="E161" s="83" t="str">
        <f aca="false">IF($D161=1,EDATE(p_debut,$C161-1),"")</f>
        <v/>
      </c>
      <c r="F161" s="14" t="str">
        <f aca="false">IF($D161=1,INDEX(TblClusters[Cluster],$B161),"")</f>
        <v/>
      </c>
      <c r="G161" s="14" t="str">
        <f aca="false">IF($D161=1,INDEX(TblClusters[Plateforme],$B161),"")</f>
        <v/>
      </c>
      <c r="H161" s="14" t="str">
        <f aca="false">IF($D161=1,INDEX(TblClusters[vCPU par nœud],$B161),"")</f>
        <v/>
      </c>
      <c r="I161" s="14" t="str">
        <f aca="false">IF($D161=1,INDEX(TblClusters[RAM par nœud (Go)],$B161),"")</f>
        <v/>
      </c>
      <c r="J161" s="14" t="str">
        <f aca="false">IF($D161=1,INDEX(TblClusters[Workers min],$B161),"")</f>
        <v/>
      </c>
      <c r="K161" s="84" t="str">
        <f aca="false">IF($D161=1,INDEX(TblClusters[Tarif par nœud],$B161),"")</f>
        <v/>
      </c>
      <c r="L161" s="14" t="str">
        <f aca="false">IF($D161=1,INDEX(TblClusters[CPU initial (vCPU)],$B161),"")</f>
        <v/>
      </c>
      <c r="M161" s="14" t="str">
        <f aca="false">IF($D161=1,INDEX(TblClusters[RAM initiale (Go)],$B161),"")</f>
        <v/>
      </c>
      <c r="N161" s="14" t="str">
        <f aca="false">IF($D161=1,INDEX(TblClusters[CPU min (vCPU)],$B161),"")</f>
        <v/>
      </c>
      <c r="O161" s="14" t="str">
        <f aca="false">IF($D161=1,INDEX(TblClusters[RAM min (Go)],$B161),"")</f>
        <v/>
      </c>
      <c r="P161" s="14" t="str">
        <f aca="false">IF($D161&lt;&gt;1,"",IF($G161="ROKS",SUMIFS(TblApplications[Besoin ROKS CPU (vCPU)],TblApplications[Cluster ROKS cible],$F161,TblApplications[Action],"À migrer",TblApplications[Déjà incluse ROKS],"Non",TblApplications[Mois prov (calc)],"&lt;="&amp;$E161),SUMIFS(TblApplications[CPU IKS libérable (vCPU)],TblApplications[Cluster IKS source],$F161,TblApplications[Mois lib (calc)],"&lt;="&amp;$E161)))</f>
        <v/>
      </c>
      <c r="Q161" s="14" t="str">
        <f aca="false">IF($D161&lt;&gt;1,"",IF($G161="ROKS",SUMIFS(TblApplications[Besoin ROKS RAM (Go)],TblApplications[Cluster ROKS cible],$F161,TblApplications[Action],"À migrer",TblApplications[Déjà incluse ROKS],"Non",TblApplications[Mois prov (calc)],"&lt;="&amp;$E161),SUMIFS(TblApplications[RAM IKS libérable (Go)],TblApplications[Cluster IKS source],$F161,TblApplications[Mois lib (calc)],"&lt;="&amp;$E161)))</f>
        <v/>
      </c>
      <c r="R161" s="14" t="str">
        <f aca="false">IF($D161&lt;&gt;1,"",IF($G161="ROKS",$L161+$P161,IF($AI161=1,0,MAX($N161,$L161-$P161))))</f>
        <v/>
      </c>
      <c r="S161" s="14" t="str">
        <f aca="false">IF($D161&lt;&gt;1,"",IF($G161="ROKS",$M161+$Q161,IF($AI161=1,0,MAX($O161,$M161-$Q161))))</f>
        <v/>
      </c>
      <c r="T161" s="14" t="str">
        <f aca="false">IF($D161&lt;&gt;1,"",IF($AI161=1,0,MAX($J161,ROUNDUP(MAX($R161/$H161,$S161/$I161),0))))</f>
        <v/>
      </c>
      <c r="U161" s="14" t="str">
        <f aca="false">IF($D161&lt;&gt;1,"",IF(p_mode="Nœud",$T161*$H161,$R161))</f>
        <v/>
      </c>
      <c r="V161" s="14" t="str">
        <f aca="false">IF($D161&lt;&gt;1,"",IF(p_mode="Nœud",$T161*$I161,$S161))</f>
        <v/>
      </c>
      <c r="W161" s="84" t="str">
        <f aca="false">IF($D161&lt;&gt;1,"",IF(p_mode="Nœud",$T161*$K161,$R161*IF($G161="IKS",p_iks_cpu,p_roks_cpu)+$S161*IF($G161="IKS",p_iks_ram,p_roks_ram))*p_facteur)</f>
        <v/>
      </c>
      <c r="X161" s="14" t="str">
        <f aca="false">IF($D161&lt;&gt;1,"",IF($G161="ROKS",$R161,IF($AI161=1,0,MAX($N161,$L161-SUMIFS(TblApplications[CPU IKS libérable (vCPU)],TblApplications[Cluster IKS source],$F161,TblApplications[Action],"À migrer",TblApplications[Mois prov (calc)],"&lt;="&amp;$E161)-SUMIFS(TblApplications[CPU IKS libérable (vCPU)],TblApplications[Cluster IKS source],$F161,TblApplications[Action],"À décommissionner",TblApplications[Mois lib (calc)],"&lt;="&amp;$E161)))))</f>
        <v/>
      </c>
      <c r="Y161" s="14" t="str">
        <f aca="false">IF($D161&lt;&gt;1,"",IF($G161="ROKS",$S161,IF($AI161=1,0,MAX($O161,$M161-SUMIFS(TblApplications[RAM IKS libérable (Go)],TblApplications[Cluster IKS source],$F161,TblApplications[Action],"À migrer",TblApplications[Mois prov (calc)],"&lt;="&amp;$E161)-SUMIFS(TblApplications[RAM IKS libérable (Go)],TblApplications[Cluster IKS source],$F161,TblApplications[Action],"À décommissionner",TblApplications[Mois lib (calc)],"&lt;="&amp;$E161)))))</f>
        <v/>
      </c>
      <c r="Z161" s="14" t="str">
        <f aca="false">IF($D161&lt;&gt;1,"",IF($AI161=1,0,MAX($J161,ROUNDUP(MAX($X161/$H161,$Y161/$I161),0))))</f>
        <v/>
      </c>
      <c r="AA161" s="84" t="str">
        <f aca="false">IF($D161&lt;&gt;1,"",IF(p_mode="Nœud",$Z161*$K161,$X161*IF($G161="IKS",p_iks_cpu,p_roks_cpu)+$Y161*IF($G161="IKS",p_iks_ram,p_roks_ram))*p_facteur)</f>
        <v/>
      </c>
      <c r="AB161" s="14" t="str">
        <f aca="false">IF($D161&lt;&gt;1,"",MAX($J161,ROUNDUP(MAX($L161/$H161,$M161/$I161),0)))</f>
        <v/>
      </c>
      <c r="AC161" s="84" t="str">
        <f aca="false">IF($D161&lt;&gt;1,"",IF(p_mode="Nœud",$AB161*$K161,$L161*IF($G161="IKS",p_iks_cpu,p_roks_cpu)+$M161*IF($G161="IKS",p_iks_ram,p_roks_ram))*p_facteur)</f>
        <v/>
      </c>
      <c r="AD161" s="14" t="str">
        <f aca="false">IF($D161&lt;&gt;1,"",IF(AND($G161="IKS",$AI161&lt;&gt;1,OR($L161-$P161&lt;$N161,$M161-$Q161&lt;$O161)),1,0))</f>
        <v/>
      </c>
      <c r="AE161" s="14" t="str">
        <f aca="false">IF($D161&lt;&gt;1,"",IF(AND($G161="ROKS",$T161&gt;p_maxworkers),1,0))</f>
        <v/>
      </c>
      <c r="AF161" s="14" t="str">
        <f aca="false">IF($D161&lt;&gt;1,"",IF(INDEX(TblClusters[Environnement],$B161)="","(vide)",INDEX(TblClusters[Environnement],$B161)))</f>
        <v/>
      </c>
      <c r="AG161" s="14" t="str">
        <f aca="false">IF($D161&lt;&gt;1,"",$R161+p_poidsram*$S161)</f>
        <v/>
      </c>
      <c r="AH161" s="14" t="str">
        <f aca="false">IF($D161&lt;&gt;1,"",IFERROR($W161/$AG161,0))</f>
        <v/>
      </c>
      <c r="AI161" s="14" t="str">
        <f aca="false">IF($D161&lt;&gt;1,"",IF(AND($G161="IKS",ISNUMBER(INDEX(TblClusters[Fermeture retenue],$B161))),IF($E161&gt;=INDEX(TblClusters[Fermeture retenue],$B161),1,0),0))</f>
        <v/>
      </c>
    </row>
    <row r="162" customFormat="false" ht="15" hidden="false" customHeight="false" outlineLevel="0" collapsed="false">
      <c r="A162" s="14" t="n">
        <v>157</v>
      </c>
      <c r="B162" s="14" t="n">
        <f aca="false">INT(($A162-1)/36)+1</f>
        <v>5</v>
      </c>
      <c r="C162" s="14" t="n">
        <f aca="false">MOD($A162-1,36)+1</f>
        <v>13</v>
      </c>
      <c r="D162" s="14" t="n">
        <f aca="false">IF($C162&gt;p_horizon,0,IFERROR(IF(AND(INDEX(TblClusters[Cluster],$B162)&lt;&gt;"",ISNUMBER(INDEX(TblClusters[CPU initial (vCPU)],$B162)),ISNUMBER(INDEX(TblClusters[CPU min (vCPU)],$B162)),OR(INDEX(TblClusters[Plateforme],$B162)="IKS",INDEX(TblClusters[Plateforme],$B162)="ROKS")),1,0),0))</f>
        <v>0</v>
      </c>
      <c r="E162" s="83" t="str">
        <f aca="false">IF($D162=1,EDATE(p_debut,$C162-1),"")</f>
        <v/>
      </c>
      <c r="F162" s="14" t="str">
        <f aca="false">IF($D162=1,INDEX(TblClusters[Cluster],$B162),"")</f>
        <v/>
      </c>
      <c r="G162" s="14" t="str">
        <f aca="false">IF($D162=1,INDEX(TblClusters[Plateforme],$B162),"")</f>
        <v/>
      </c>
      <c r="H162" s="14" t="str">
        <f aca="false">IF($D162=1,INDEX(TblClusters[vCPU par nœud],$B162),"")</f>
        <v/>
      </c>
      <c r="I162" s="14" t="str">
        <f aca="false">IF($D162=1,INDEX(TblClusters[RAM par nœud (Go)],$B162),"")</f>
        <v/>
      </c>
      <c r="J162" s="14" t="str">
        <f aca="false">IF($D162=1,INDEX(TblClusters[Workers min],$B162),"")</f>
        <v/>
      </c>
      <c r="K162" s="84" t="str">
        <f aca="false">IF($D162=1,INDEX(TblClusters[Tarif par nœud],$B162),"")</f>
        <v/>
      </c>
      <c r="L162" s="14" t="str">
        <f aca="false">IF($D162=1,INDEX(TblClusters[CPU initial (vCPU)],$B162),"")</f>
        <v/>
      </c>
      <c r="M162" s="14" t="str">
        <f aca="false">IF($D162=1,INDEX(TblClusters[RAM initiale (Go)],$B162),"")</f>
        <v/>
      </c>
      <c r="N162" s="14" t="str">
        <f aca="false">IF($D162=1,INDEX(TblClusters[CPU min (vCPU)],$B162),"")</f>
        <v/>
      </c>
      <c r="O162" s="14" t="str">
        <f aca="false">IF($D162=1,INDEX(TblClusters[RAM min (Go)],$B162),"")</f>
        <v/>
      </c>
      <c r="P162" s="14" t="str">
        <f aca="false">IF($D162&lt;&gt;1,"",IF($G162="ROKS",SUMIFS(TblApplications[Besoin ROKS CPU (vCPU)],TblApplications[Cluster ROKS cible],$F162,TblApplications[Action],"À migrer",TblApplications[Déjà incluse ROKS],"Non",TblApplications[Mois prov (calc)],"&lt;="&amp;$E162),SUMIFS(TblApplications[CPU IKS libérable (vCPU)],TblApplications[Cluster IKS source],$F162,TblApplications[Mois lib (calc)],"&lt;="&amp;$E162)))</f>
        <v/>
      </c>
      <c r="Q162" s="14" t="str">
        <f aca="false">IF($D162&lt;&gt;1,"",IF($G162="ROKS",SUMIFS(TblApplications[Besoin ROKS RAM (Go)],TblApplications[Cluster ROKS cible],$F162,TblApplications[Action],"À migrer",TblApplications[Déjà incluse ROKS],"Non",TblApplications[Mois prov (calc)],"&lt;="&amp;$E162),SUMIFS(TblApplications[RAM IKS libérable (Go)],TblApplications[Cluster IKS source],$F162,TblApplications[Mois lib (calc)],"&lt;="&amp;$E162)))</f>
        <v/>
      </c>
      <c r="R162" s="14" t="str">
        <f aca="false">IF($D162&lt;&gt;1,"",IF($G162="ROKS",$L162+$P162,IF($AI162=1,0,MAX($N162,$L162-$P162))))</f>
        <v/>
      </c>
      <c r="S162" s="14" t="str">
        <f aca="false">IF($D162&lt;&gt;1,"",IF($G162="ROKS",$M162+$Q162,IF($AI162=1,0,MAX($O162,$M162-$Q162))))</f>
        <v/>
      </c>
      <c r="T162" s="14" t="str">
        <f aca="false">IF($D162&lt;&gt;1,"",IF($AI162=1,0,MAX($J162,ROUNDUP(MAX($R162/$H162,$S162/$I162),0))))</f>
        <v/>
      </c>
      <c r="U162" s="14" t="str">
        <f aca="false">IF($D162&lt;&gt;1,"",IF(p_mode="Nœud",$T162*$H162,$R162))</f>
        <v/>
      </c>
      <c r="V162" s="14" t="str">
        <f aca="false">IF($D162&lt;&gt;1,"",IF(p_mode="Nœud",$T162*$I162,$S162))</f>
        <v/>
      </c>
      <c r="W162" s="84" t="str">
        <f aca="false">IF($D162&lt;&gt;1,"",IF(p_mode="Nœud",$T162*$K162,$R162*IF($G162="IKS",p_iks_cpu,p_roks_cpu)+$S162*IF($G162="IKS",p_iks_ram,p_roks_ram))*p_facteur)</f>
        <v/>
      </c>
      <c r="X162" s="14" t="str">
        <f aca="false">IF($D162&lt;&gt;1,"",IF($G162="ROKS",$R162,IF($AI162=1,0,MAX($N162,$L162-SUMIFS(TblApplications[CPU IKS libérable (vCPU)],TblApplications[Cluster IKS source],$F162,TblApplications[Action],"À migrer",TblApplications[Mois prov (calc)],"&lt;="&amp;$E162)-SUMIFS(TblApplications[CPU IKS libérable (vCPU)],TblApplications[Cluster IKS source],$F162,TblApplications[Action],"À décommissionner",TblApplications[Mois lib (calc)],"&lt;="&amp;$E162)))))</f>
        <v/>
      </c>
      <c r="Y162" s="14" t="str">
        <f aca="false">IF($D162&lt;&gt;1,"",IF($G162="ROKS",$S162,IF($AI162=1,0,MAX($O162,$M162-SUMIFS(TblApplications[RAM IKS libérable (Go)],TblApplications[Cluster IKS source],$F162,TblApplications[Action],"À migrer",TblApplications[Mois prov (calc)],"&lt;="&amp;$E162)-SUMIFS(TblApplications[RAM IKS libérable (Go)],TblApplications[Cluster IKS source],$F162,TblApplications[Action],"À décommissionner",TblApplications[Mois lib (calc)],"&lt;="&amp;$E162)))))</f>
        <v/>
      </c>
      <c r="Z162" s="14" t="str">
        <f aca="false">IF($D162&lt;&gt;1,"",IF($AI162=1,0,MAX($J162,ROUNDUP(MAX($X162/$H162,$Y162/$I162),0))))</f>
        <v/>
      </c>
      <c r="AA162" s="84" t="str">
        <f aca="false">IF($D162&lt;&gt;1,"",IF(p_mode="Nœud",$Z162*$K162,$X162*IF($G162="IKS",p_iks_cpu,p_roks_cpu)+$Y162*IF($G162="IKS",p_iks_ram,p_roks_ram))*p_facteur)</f>
        <v/>
      </c>
      <c r="AB162" s="14" t="str">
        <f aca="false">IF($D162&lt;&gt;1,"",MAX($J162,ROUNDUP(MAX($L162/$H162,$M162/$I162),0)))</f>
        <v/>
      </c>
      <c r="AC162" s="84" t="str">
        <f aca="false">IF($D162&lt;&gt;1,"",IF(p_mode="Nœud",$AB162*$K162,$L162*IF($G162="IKS",p_iks_cpu,p_roks_cpu)+$M162*IF($G162="IKS",p_iks_ram,p_roks_ram))*p_facteur)</f>
        <v/>
      </c>
      <c r="AD162" s="14" t="str">
        <f aca="false">IF($D162&lt;&gt;1,"",IF(AND($G162="IKS",$AI162&lt;&gt;1,OR($L162-$P162&lt;$N162,$M162-$Q162&lt;$O162)),1,0))</f>
        <v/>
      </c>
      <c r="AE162" s="14" t="str">
        <f aca="false">IF($D162&lt;&gt;1,"",IF(AND($G162="ROKS",$T162&gt;p_maxworkers),1,0))</f>
        <v/>
      </c>
      <c r="AF162" s="14" t="str">
        <f aca="false">IF($D162&lt;&gt;1,"",IF(INDEX(TblClusters[Environnement],$B162)="","(vide)",INDEX(TblClusters[Environnement],$B162)))</f>
        <v/>
      </c>
      <c r="AG162" s="14" t="str">
        <f aca="false">IF($D162&lt;&gt;1,"",$R162+p_poidsram*$S162)</f>
        <v/>
      </c>
      <c r="AH162" s="14" t="str">
        <f aca="false">IF($D162&lt;&gt;1,"",IFERROR($W162/$AG162,0))</f>
        <v/>
      </c>
      <c r="AI162" s="14" t="str">
        <f aca="false">IF($D162&lt;&gt;1,"",IF(AND($G162="IKS",ISNUMBER(INDEX(TblClusters[Fermeture retenue],$B162))),IF($E162&gt;=INDEX(TblClusters[Fermeture retenue],$B162),1,0),0))</f>
        <v/>
      </c>
    </row>
    <row r="163" customFormat="false" ht="15" hidden="false" customHeight="false" outlineLevel="0" collapsed="false">
      <c r="A163" s="14" t="n">
        <v>158</v>
      </c>
      <c r="B163" s="14" t="n">
        <f aca="false">INT(($A163-1)/36)+1</f>
        <v>5</v>
      </c>
      <c r="C163" s="14" t="n">
        <f aca="false">MOD($A163-1,36)+1</f>
        <v>14</v>
      </c>
      <c r="D163" s="14" t="n">
        <f aca="false">IF($C163&gt;p_horizon,0,IFERROR(IF(AND(INDEX(TblClusters[Cluster],$B163)&lt;&gt;"",ISNUMBER(INDEX(TblClusters[CPU initial (vCPU)],$B163)),ISNUMBER(INDEX(TblClusters[CPU min (vCPU)],$B163)),OR(INDEX(TblClusters[Plateforme],$B163)="IKS",INDEX(TblClusters[Plateforme],$B163)="ROKS")),1,0),0))</f>
        <v>0</v>
      </c>
      <c r="E163" s="83" t="str">
        <f aca="false">IF($D163=1,EDATE(p_debut,$C163-1),"")</f>
        <v/>
      </c>
      <c r="F163" s="14" t="str">
        <f aca="false">IF($D163=1,INDEX(TblClusters[Cluster],$B163),"")</f>
        <v/>
      </c>
      <c r="G163" s="14" t="str">
        <f aca="false">IF($D163=1,INDEX(TblClusters[Plateforme],$B163),"")</f>
        <v/>
      </c>
      <c r="H163" s="14" t="str">
        <f aca="false">IF($D163=1,INDEX(TblClusters[vCPU par nœud],$B163),"")</f>
        <v/>
      </c>
      <c r="I163" s="14" t="str">
        <f aca="false">IF($D163=1,INDEX(TblClusters[RAM par nœud (Go)],$B163),"")</f>
        <v/>
      </c>
      <c r="J163" s="14" t="str">
        <f aca="false">IF($D163=1,INDEX(TblClusters[Workers min],$B163),"")</f>
        <v/>
      </c>
      <c r="K163" s="84" t="str">
        <f aca="false">IF($D163=1,INDEX(TblClusters[Tarif par nœud],$B163),"")</f>
        <v/>
      </c>
      <c r="L163" s="14" t="str">
        <f aca="false">IF($D163=1,INDEX(TblClusters[CPU initial (vCPU)],$B163),"")</f>
        <v/>
      </c>
      <c r="M163" s="14" t="str">
        <f aca="false">IF($D163=1,INDEX(TblClusters[RAM initiale (Go)],$B163),"")</f>
        <v/>
      </c>
      <c r="N163" s="14" t="str">
        <f aca="false">IF($D163=1,INDEX(TblClusters[CPU min (vCPU)],$B163),"")</f>
        <v/>
      </c>
      <c r="O163" s="14" t="str">
        <f aca="false">IF($D163=1,INDEX(TblClusters[RAM min (Go)],$B163),"")</f>
        <v/>
      </c>
      <c r="P163" s="14" t="str">
        <f aca="false">IF($D163&lt;&gt;1,"",IF($G163="ROKS",SUMIFS(TblApplications[Besoin ROKS CPU (vCPU)],TblApplications[Cluster ROKS cible],$F163,TblApplications[Action],"À migrer",TblApplications[Déjà incluse ROKS],"Non",TblApplications[Mois prov (calc)],"&lt;="&amp;$E163),SUMIFS(TblApplications[CPU IKS libérable (vCPU)],TblApplications[Cluster IKS source],$F163,TblApplications[Mois lib (calc)],"&lt;="&amp;$E163)))</f>
        <v/>
      </c>
      <c r="Q163" s="14" t="str">
        <f aca="false">IF($D163&lt;&gt;1,"",IF($G163="ROKS",SUMIFS(TblApplications[Besoin ROKS RAM (Go)],TblApplications[Cluster ROKS cible],$F163,TblApplications[Action],"À migrer",TblApplications[Déjà incluse ROKS],"Non",TblApplications[Mois prov (calc)],"&lt;="&amp;$E163),SUMIFS(TblApplications[RAM IKS libérable (Go)],TblApplications[Cluster IKS source],$F163,TblApplications[Mois lib (calc)],"&lt;="&amp;$E163)))</f>
        <v/>
      </c>
      <c r="R163" s="14" t="str">
        <f aca="false">IF($D163&lt;&gt;1,"",IF($G163="ROKS",$L163+$P163,IF($AI163=1,0,MAX($N163,$L163-$P163))))</f>
        <v/>
      </c>
      <c r="S163" s="14" t="str">
        <f aca="false">IF($D163&lt;&gt;1,"",IF($G163="ROKS",$M163+$Q163,IF($AI163=1,0,MAX($O163,$M163-$Q163))))</f>
        <v/>
      </c>
      <c r="T163" s="14" t="str">
        <f aca="false">IF($D163&lt;&gt;1,"",IF($AI163=1,0,MAX($J163,ROUNDUP(MAX($R163/$H163,$S163/$I163),0))))</f>
        <v/>
      </c>
      <c r="U163" s="14" t="str">
        <f aca="false">IF($D163&lt;&gt;1,"",IF(p_mode="Nœud",$T163*$H163,$R163))</f>
        <v/>
      </c>
      <c r="V163" s="14" t="str">
        <f aca="false">IF($D163&lt;&gt;1,"",IF(p_mode="Nœud",$T163*$I163,$S163))</f>
        <v/>
      </c>
      <c r="W163" s="84" t="str">
        <f aca="false">IF($D163&lt;&gt;1,"",IF(p_mode="Nœud",$T163*$K163,$R163*IF($G163="IKS",p_iks_cpu,p_roks_cpu)+$S163*IF($G163="IKS",p_iks_ram,p_roks_ram))*p_facteur)</f>
        <v/>
      </c>
      <c r="X163" s="14" t="str">
        <f aca="false">IF($D163&lt;&gt;1,"",IF($G163="ROKS",$R163,IF($AI163=1,0,MAX($N163,$L163-SUMIFS(TblApplications[CPU IKS libérable (vCPU)],TblApplications[Cluster IKS source],$F163,TblApplications[Action],"À migrer",TblApplications[Mois prov (calc)],"&lt;="&amp;$E163)-SUMIFS(TblApplications[CPU IKS libérable (vCPU)],TblApplications[Cluster IKS source],$F163,TblApplications[Action],"À décommissionner",TblApplications[Mois lib (calc)],"&lt;="&amp;$E163)))))</f>
        <v/>
      </c>
      <c r="Y163" s="14" t="str">
        <f aca="false">IF($D163&lt;&gt;1,"",IF($G163="ROKS",$S163,IF($AI163=1,0,MAX($O163,$M163-SUMIFS(TblApplications[RAM IKS libérable (Go)],TblApplications[Cluster IKS source],$F163,TblApplications[Action],"À migrer",TblApplications[Mois prov (calc)],"&lt;="&amp;$E163)-SUMIFS(TblApplications[RAM IKS libérable (Go)],TblApplications[Cluster IKS source],$F163,TblApplications[Action],"À décommissionner",TblApplications[Mois lib (calc)],"&lt;="&amp;$E163)))))</f>
        <v/>
      </c>
      <c r="Z163" s="14" t="str">
        <f aca="false">IF($D163&lt;&gt;1,"",IF($AI163=1,0,MAX($J163,ROUNDUP(MAX($X163/$H163,$Y163/$I163),0))))</f>
        <v/>
      </c>
      <c r="AA163" s="84" t="str">
        <f aca="false">IF($D163&lt;&gt;1,"",IF(p_mode="Nœud",$Z163*$K163,$X163*IF($G163="IKS",p_iks_cpu,p_roks_cpu)+$Y163*IF($G163="IKS",p_iks_ram,p_roks_ram))*p_facteur)</f>
        <v/>
      </c>
      <c r="AB163" s="14" t="str">
        <f aca="false">IF($D163&lt;&gt;1,"",MAX($J163,ROUNDUP(MAX($L163/$H163,$M163/$I163),0)))</f>
        <v/>
      </c>
      <c r="AC163" s="84" t="str">
        <f aca="false">IF($D163&lt;&gt;1,"",IF(p_mode="Nœud",$AB163*$K163,$L163*IF($G163="IKS",p_iks_cpu,p_roks_cpu)+$M163*IF($G163="IKS",p_iks_ram,p_roks_ram))*p_facteur)</f>
        <v/>
      </c>
      <c r="AD163" s="14" t="str">
        <f aca="false">IF($D163&lt;&gt;1,"",IF(AND($G163="IKS",$AI163&lt;&gt;1,OR($L163-$P163&lt;$N163,$M163-$Q163&lt;$O163)),1,0))</f>
        <v/>
      </c>
      <c r="AE163" s="14" t="str">
        <f aca="false">IF($D163&lt;&gt;1,"",IF(AND($G163="ROKS",$T163&gt;p_maxworkers),1,0))</f>
        <v/>
      </c>
      <c r="AF163" s="14" t="str">
        <f aca="false">IF($D163&lt;&gt;1,"",IF(INDEX(TblClusters[Environnement],$B163)="","(vide)",INDEX(TblClusters[Environnement],$B163)))</f>
        <v/>
      </c>
      <c r="AG163" s="14" t="str">
        <f aca="false">IF($D163&lt;&gt;1,"",$R163+p_poidsram*$S163)</f>
        <v/>
      </c>
      <c r="AH163" s="14" t="str">
        <f aca="false">IF($D163&lt;&gt;1,"",IFERROR($W163/$AG163,0))</f>
        <v/>
      </c>
      <c r="AI163" s="14" t="str">
        <f aca="false">IF($D163&lt;&gt;1,"",IF(AND($G163="IKS",ISNUMBER(INDEX(TblClusters[Fermeture retenue],$B163))),IF($E163&gt;=INDEX(TblClusters[Fermeture retenue],$B163),1,0),0))</f>
        <v/>
      </c>
    </row>
    <row r="164" customFormat="false" ht="15" hidden="false" customHeight="false" outlineLevel="0" collapsed="false">
      <c r="A164" s="14" t="n">
        <v>159</v>
      </c>
      <c r="B164" s="14" t="n">
        <f aca="false">INT(($A164-1)/36)+1</f>
        <v>5</v>
      </c>
      <c r="C164" s="14" t="n">
        <f aca="false">MOD($A164-1,36)+1</f>
        <v>15</v>
      </c>
      <c r="D164" s="14" t="n">
        <f aca="false">IF($C164&gt;p_horizon,0,IFERROR(IF(AND(INDEX(TblClusters[Cluster],$B164)&lt;&gt;"",ISNUMBER(INDEX(TblClusters[CPU initial (vCPU)],$B164)),ISNUMBER(INDEX(TblClusters[CPU min (vCPU)],$B164)),OR(INDEX(TblClusters[Plateforme],$B164)="IKS",INDEX(TblClusters[Plateforme],$B164)="ROKS")),1,0),0))</f>
        <v>0</v>
      </c>
      <c r="E164" s="83" t="str">
        <f aca="false">IF($D164=1,EDATE(p_debut,$C164-1),"")</f>
        <v/>
      </c>
      <c r="F164" s="14" t="str">
        <f aca="false">IF($D164=1,INDEX(TblClusters[Cluster],$B164),"")</f>
        <v/>
      </c>
      <c r="G164" s="14" t="str">
        <f aca="false">IF($D164=1,INDEX(TblClusters[Plateforme],$B164),"")</f>
        <v/>
      </c>
      <c r="H164" s="14" t="str">
        <f aca="false">IF($D164=1,INDEX(TblClusters[vCPU par nœud],$B164),"")</f>
        <v/>
      </c>
      <c r="I164" s="14" t="str">
        <f aca="false">IF($D164=1,INDEX(TblClusters[RAM par nœud (Go)],$B164),"")</f>
        <v/>
      </c>
      <c r="J164" s="14" t="str">
        <f aca="false">IF($D164=1,INDEX(TblClusters[Workers min],$B164),"")</f>
        <v/>
      </c>
      <c r="K164" s="84" t="str">
        <f aca="false">IF($D164=1,INDEX(TblClusters[Tarif par nœud],$B164),"")</f>
        <v/>
      </c>
      <c r="L164" s="14" t="str">
        <f aca="false">IF($D164=1,INDEX(TblClusters[CPU initial (vCPU)],$B164),"")</f>
        <v/>
      </c>
      <c r="M164" s="14" t="str">
        <f aca="false">IF($D164=1,INDEX(TblClusters[RAM initiale (Go)],$B164),"")</f>
        <v/>
      </c>
      <c r="N164" s="14" t="str">
        <f aca="false">IF($D164=1,INDEX(TblClusters[CPU min (vCPU)],$B164),"")</f>
        <v/>
      </c>
      <c r="O164" s="14" t="str">
        <f aca="false">IF($D164=1,INDEX(TblClusters[RAM min (Go)],$B164),"")</f>
        <v/>
      </c>
      <c r="P164" s="14" t="str">
        <f aca="false">IF($D164&lt;&gt;1,"",IF($G164="ROKS",SUMIFS(TblApplications[Besoin ROKS CPU (vCPU)],TblApplications[Cluster ROKS cible],$F164,TblApplications[Action],"À migrer",TblApplications[Déjà incluse ROKS],"Non",TblApplications[Mois prov (calc)],"&lt;="&amp;$E164),SUMIFS(TblApplications[CPU IKS libérable (vCPU)],TblApplications[Cluster IKS source],$F164,TblApplications[Mois lib (calc)],"&lt;="&amp;$E164)))</f>
        <v/>
      </c>
      <c r="Q164" s="14" t="str">
        <f aca="false">IF($D164&lt;&gt;1,"",IF($G164="ROKS",SUMIFS(TblApplications[Besoin ROKS RAM (Go)],TblApplications[Cluster ROKS cible],$F164,TblApplications[Action],"À migrer",TblApplications[Déjà incluse ROKS],"Non",TblApplications[Mois prov (calc)],"&lt;="&amp;$E164),SUMIFS(TblApplications[RAM IKS libérable (Go)],TblApplications[Cluster IKS source],$F164,TblApplications[Mois lib (calc)],"&lt;="&amp;$E164)))</f>
        <v/>
      </c>
      <c r="R164" s="14" t="str">
        <f aca="false">IF($D164&lt;&gt;1,"",IF($G164="ROKS",$L164+$P164,IF($AI164=1,0,MAX($N164,$L164-$P164))))</f>
        <v/>
      </c>
      <c r="S164" s="14" t="str">
        <f aca="false">IF($D164&lt;&gt;1,"",IF($G164="ROKS",$M164+$Q164,IF($AI164=1,0,MAX($O164,$M164-$Q164))))</f>
        <v/>
      </c>
      <c r="T164" s="14" t="str">
        <f aca="false">IF($D164&lt;&gt;1,"",IF($AI164=1,0,MAX($J164,ROUNDUP(MAX($R164/$H164,$S164/$I164),0))))</f>
        <v/>
      </c>
      <c r="U164" s="14" t="str">
        <f aca="false">IF($D164&lt;&gt;1,"",IF(p_mode="Nœud",$T164*$H164,$R164))</f>
        <v/>
      </c>
      <c r="V164" s="14" t="str">
        <f aca="false">IF($D164&lt;&gt;1,"",IF(p_mode="Nœud",$T164*$I164,$S164))</f>
        <v/>
      </c>
      <c r="W164" s="84" t="str">
        <f aca="false">IF($D164&lt;&gt;1,"",IF(p_mode="Nœud",$T164*$K164,$R164*IF($G164="IKS",p_iks_cpu,p_roks_cpu)+$S164*IF($G164="IKS",p_iks_ram,p_roks_ram))*p_facteur)</f>
        <v/>
      </c>
      <c r="X164" s="14" t="str">
        <f aca="false">IF($D164&lt;&gt;1,"",IF($G164="ROKS",$R164,IF($AI164=1,0,MAX($N164,$L164-SUMIFS(TblApplications[CPU IKS libérable (vCPU)],TblApplications[Cluster IKS source],$F164,TblApplications[Action],"À migrer",TblApplications[Mois prov (calc)],"&lt;="&amp;$E164)-SUMIFS(TblApplications[CPU IKS libérable (vCPU)],TblApplications[Cluster IKS source],$F164,TblApplications[Action],"À décommissionner",TblApplications[Mois lib (calc)],"&lt;="&amp;$E164)))))</f>
        <v/>
      </c>
      <c r="Y164" s="14" t="str">
        <f aca="false">IF($D164&lt;&gt;1,"",IF($G164="ROKS",$S164,IF($AI164=1,0,MAX($O164,$M164-SUMIFS(TblApplications[RAM IKS libérable (Go)],TblApplications[Cluster IKS source],$F164,TblApplications[Action],"À migrer",TblApplications[Mois prov (calc)],"&lt;="&amp;$E164)-SUMIFS(TblApplications[RAM IKS libérable (Go)],TblApplications[Cluster IKS source],$F164,TblApplications[Action],"À décommissionner",TblApplications[Mois lib (calc)],"&lt;="&amp;$E164)))))</f>
        <v/>
      </c>
      <c r="Z164" s="14" t="str">
        <f aca="false">IF($D164&lt;&gt;1,"",IF($AI164=1,0,MAX($J164,ROUNDUP(MAX($X164/$H164,$Y164/$I164),0))))</f>
        <v/>
      </c>
      <c r="AA164" s="84" t="str">
        <f aca="false">IF($D164&lt;&gt;1,"",IF(p_mode="Nœud",$Z164*$K164,$X164*IF($G164="IKS",p_iks_cpu,p_roks_cpu)+$Y164*IF($G164="IKS",p_iks_ram,p_roks_ram))*p_facteur)</f>
        <v/>
      </c>
      <c r="AB164" s="14" t="str">
        <f aca="false">IF($D164&lt;&gt;1,"",MAX($J164,ROUNDUP(MAX($L164/$H164,$M164/$I164),0)))</f>
        <v/>
      </c>
      <c r="AC164" s="84" t="str">
        <f aca="false">IF($D164&lt;&gt;1,"",IF(p_mode="Nœud",$AB164*$K164,$L164*IF($G164="IKS",p_iks_cpu,p_roks_cpu)+$M164*IF($G164="IKS",p_iks_ram,p_roks_ram))*p_facteur)</f>
        <v/>
      </c>
      <c r="AD164" s="14" t="str">
        <f aca="false">IF($D164&lt;&gt;1,"",IF(AND($G164="IKS",$AI164&lt;&gt;1,OR($L164-$P164&lt;$N164,$M164-$Q164&lt;$O164)),1,0))</f>
        <v/>
      </c>
      <c r="AE164" s="14" t="str">
        <f aca="false">IF($D164&lt;&gt;1,"",IF(AND($G164="ROKS",$T164&gt;p_maxworkers),1,0))</f>
        <v/>
      </c>
      <c r="AF164" s="14" t="str">
        <f aca="false">IF($D164&lt;&gt;1,"",IF(INDEX(TblClusters[Environnement],$B164)="","(vide)",INDEX(TblClusters[Environnement],$B164)))</f>
        <v/>
      </c>
      <c r="AG164" s="14" t="str">
        <f aca="false">IF($D164&lt;&gt;1,"",$R164+p_poidsram*$S164)</f>
        <v/>
      </c>
      <c r="AH164" s="14" t="str">
        <f aca="false">IF($D164&lt;&gt;1,"",IFERROR($W164/$AG164,0))</f>
        <v/>
      </c>
      <c r="AI164" s="14" t="str">
        <f aca="false">IF($D164&lt;&gt;1,"",IF(AND($G164="IKS",ISNUMBER(INDEX(TblClusters[Fermeture retenue],$B164))),IF($E164&gt;=INDEX(TblClusters[Fermeture retenue],$B164),1,0),0))</f>
        <v/>
      </c>
    </row>
    <row r="165" customFormat="false" ht="15" hidden="false" customHeight="false" outlineLevel="0" collapsed="false">
      <c r="A165" s="14" t="n">
        <v>160</v>
      </c>
      <c r="B165" s="14" t="n">
        <f aca="false">INT(($A165-1)/36)+1</f>
        <v>5</v>
      </c>
      <c r="C165" s="14" t="n">
        <f aca="false">MOD($A165-1,36)+1</f>
        <v>16</v>
      </c>
      <c r="D165" s="14" t="n">
        <f aca="false">IF($C165&gt;p_horizon,0,IFERROR(IF(AND(INDEX(TblClusters[Cluster],$B165)&lt;&gt;"",ISNUMBER(INDEX(TblClusters[CPU initial (vCPU)],$B165)),ISNUMBER(INDEX(TblClusters[CPU min (vCPU)],$B165)),OR(INDEX(TblClusters[Plateforme],$B165)="IKS",INDEX(TblClusters[Plateforme],$B165)="ROKS")),1,0),0))</f>
        <v>0</v>
      </c>
      <c r="E165" s="83" t="str">
        <f aca="false">IF($D165=1,EDATE(p_debut,$C165-1),"")</f>
        <v/>
      </c>
      <c r="F165" s="14" t="str">
        <f aca="false">IF($D165=1,INDEX(TblClusters[Cluster],$B165),"")</f>
        <v/>
      </c>
      <c r="G165" s="14" t="str">
        <f aca="false">IF($D165=1,INDEX(TblClusters[Plateforme],$B165),"")</f>
        <v/>
      </c>
      <c r="H165" s="14" t="str">
        <f aca="false">IF($D165=1,INDEX(TblClusters[vCPU par nœud],$B165),"")</f>
        <v/>
      </c>
      <c r="I165" s="14" t="str">
        <f aca="false">IF($D165=1,INDEX(TblClusters[RAM par nœud (Go)],$B165),"")</f>
        <v/>
      </c>
      <c r="J165" s="14" t="str">
        <f aca="false">IF($D165=1,INDEX(TblClusters[Workers min],$B165),"")</f>
        <v/>
      </c>
      <c r="K165" s="84" t="str">
        <f aca="false">IF($D165=1,INDEX(TblClusters[Tarif par nœud],$B165),"")</f>
        <v/>
      </c>
      <c r="L165" s="14" t="str">
        <f aca="false">IF($D165=1,INDEX(TblClusters[CPU initial (vCPU)],$B165),"")</f>
        <v/>
      </c>
      <c r="M165" s="14" t="str">
        <f aca="false">IF($D165=1,INDEX(TblClusters[RAM initiale (Go)],$B165),"")</f>
        <v/>
      </c>
      <c r="N165" s="14" t="str">
        <f aca="false">IF($D165=1,INDEX(TblClusters[CPU min (vCPU)],$B165),"")</f>
        <v/>
      </c>
      <c r="O165" s="14" t="str">
        <f aca="false">IF($D165=1,INDEX(TblClusters[RAM min (Go)],$B165),"")</f>
        <v/>
      </c>
      <c r="P165" s="14" t="str">
        <f aca="false">IF($D165&lt;&gt;1,"",IF($G165="ROKS",SUMIFS(TblApplications[Besoin ROKS CPU (vCPU)],TblApplications[Cluster ROKS cible],$F165,TblApplications[Action],"À migrer",TblApplications[Déjà incluse ROKS],"Non",TblApplications[Mois prov (calc)],"&lt;="&amp;$E165),SUMIFS(TblApplications[CPU IKS libérable (vCPU)],TblApplications[Cluster IKS source],$F165,TblApplications[Mois lib (calc)],"&lt;="&amp;$E165)))</f>
        <v/>
      </c>
      <c r="Q165" s="14" t="str">
        <f aca="false">IF($D165&lt;&gt;1,"",IF($G165="ROKS",SUMIFS(TblApplications[Besoin ROKS RAM (Go)],TblApplications[Cluster ROKS cible],$F165,TblApplications[Action],"À migrer",TblApplications[Déjà incluse ROKS],"Non",TblApplications[Mois prov (calc)],"&lt;="&amp;$E165),SUMIFS(TblApplications[RAM IKS libérable (Go)],TblApplications[Cluster IKS source],$F165,TblApplications[Mois lib (calc)],"&lt;="&amp;$E165)))</f>
        <v/>
      </c>
      <c r="R165" s="14" t="str">
        <f aca="false">IF($D165&lt;&gt;1,"",IF($G165="ROKS",$L165+$P165,IF($AI165=1,0,MAX($N165,$L165-$P165))))</f>
        <v/>
      </c>
      <c r="S165" s="14" t="str">
        <f aca="false">IF($D165&lt;&gt;1,"",IF($G165="ROKS",$M165+$Q165,IF($AI165=1,0,MAX($O165,$M165-$Q165))))</f>
        <v/>
      </c>
      <c r="T165" s="14" t="str">
        <f aca="false">IF($D165&lt;&gt;1,"",IF($AI165=1,0,MAX($J165,ROUNDUP(MAX($R165/$H165,$S165/$I165),0))))</f>
        <v/>
      </c>
      <c r="U165" s="14" t="str">
        <f aca="false">IF($D165&lt;&gt;1,"",IF(p_mode="Nœud",$T165*$H165,$R165))</f>
        <v/>
      </c>
      <c r="V165" s="14" t="str">
        <f aca="false">IF($D165&lt;&gt;1,"",IF(p_mode="Nœud",$T165*$I165,$S165))</f>
        <v/>
      </c>
      <c r="W165" s="84" t="str">
        <f aca="false">IF($D165&lt;&gt;1,"",IF(p_mode="Nœud",$T165*$K165,$R165*IF($G165="IKS",p_iks_cpu,p_roks_cpu)+$S165*IF($G165="IKS",p_iks_ram,p_roks_ram))*p_facteur)</f>
        <v/>
      </c>
      <c r="X165" s="14" t="str">
        <f aca="false">IF($D165&lt;&gt;1,"",IF($G165="ROKS",$R165,IF($AI165=1,0,MAX($N165,$L165-SUMIFS(TblApplications[CPU IKS libérable (vCPU)],TblApplications[Cluster IKS source],$F165,TblApplications[Action],"À migrer",TblApplications[Mois prov (calc)],"&lt;="&amp;$E165)-SUMIFS(TblApplications[CPU IKS libérable (vCPU)],TblApplications[Cluster IKS source],$F165,TblApplications[Action],"À décommissionner",TblApplications[Mois lib (calc)],"&lt;="&amp;$E165)))))</f>
        <v/>
      </c>
      <c r="Y165" s="14" t="str">
        <f aca="false">IF($D165&lt;&gt;1,"",IF($G165="ROKS",$S165,IF($AI165=1,0,MAX($O165,$M165-SUMIFS(TblApplications[RAM IKS libérable (Go)],TblApplications[Cluster IKS source],$F165,TblApplications[Action],"À migrer",TblApplications[Mois prov (calc)],"&lt;="&amp;$E165)-SUMIFS(TblApplications[RAM IKS libérable (Go)],TblApplications[Cluster IKS source],$F165,TblApplications[Action],"À décommissionner",TblApplications[Mois lib (calc)],"&lt;="&amp;$E165)))))</f>
        <v/>
      </c>
      <c r="Z165" s="14" t="str">
        <f aca="false">IF($D165&lt;&gt;1,"",IF($AI165=1,0,MAX($J165,ROUNDUP(MAX($X165/$H165,$Y165/$I165),0))))</f>
        <v/>
      </c>
      <c r="AA165" s="84" t="str">
        <f aca="false">IF($D165&lt;&gt;1,"",IF(p_mode="Nœud",$Z165*$K165,$X165*IF($G165="IKS",p_iks_cpu,p_roks_cpu)+$Y165*IF($G165="IKS",p_iks_ram,p_roks_ram))*p_facteur)</f>
        <v/>
      </c>
      <c r="AB165" s="14" t="str">
        <f aca="false">IF($D165&lt;&gt;1,"",MAX($J165,ROUNDUP(MAX($L165/$H165,$M165/$I165),0)))</f>
        <v/>
      </c>
      <c r="AC165" s="84" t="str">
        <f aca="false">IF($D165&lt;&gt;1,"",IF(p_mode="Nœud",$AB165*$K165,$L165*IF($G165="IKS",p_iks_cpu,p_roks_cpu)+$M165*IF($G165="IKS",p_iks_ram,p_roks_ram))*p_facteur)</f>
        <v/>
      </c>
      <c r="AD165" s="14" t="str">
        <f aca="false">IF($D165&lt;&gt;1,"",IF(AND($G165="IKS",$AI165&lt;&gt;1,OR($L165-$P165&lt;$N165,$M165-$Q165&lt;$O165)),1,0))</f>
        <v/>
      </c>
      <c r="AE165" s="14" t="str">
        <f aca="false">IF($D165&lt;&gt;1,"",IF(AND($G165="ROKS",$T165&gt;p_maxworkers),1,0))</f>
        <v/>
      </c>
      <c r="AF165" s="14" t="str">
        <f aca="false">IF($D165&lt;&gt;1,"",IF(INDEX(TblClusters[Environnement],$B165)="","(vide)",INDEX(TblClusters[Environnement],$B165)))</f>
        <v/>
      </c>
      <c r="AG165" s="14" t="str">
        <f aca="false">IF($D165&lt;&gt;1,"",$R165+p_poidsram*$S165)</f>
        <v/>
      </c>
      <c r="AH165" s="14" t="str">
        <f aca="false">IF($D165&lt;&gt;1,"",IFERROR($W165/$AG165,0))</f>
        <v/>
      </c>
      <c r="AI165" s="14" t="str">
        <f aca="false">IF($D165&lt;&gt;1,"",IF(AND($G165="IKS",ISNUMBER(INDEX(TblClusters[Fermeture retenue],$B165))),IF($E165&gt;=INDEX(TblClusters[Fermeture retenue],$B165),1,0),0))</f>
        <v/>
      </c>
    </row>
    <row r="166" customFormat="false" ht="15" hidden="false" customHeight="false" outlineLevel="0" collapsed="false">
      <c r="A166" s="14" t="n">
        <v>161</v>
      </c>
      <c r="B166" s="14" t="n">
        <f aca="false">INT(($A166-1)/36)+1</f>
        <v>5</v>
      </c>
      <c r="C166" s="14" t="n">
        <f aca="false">MOD($A166-1,36)+1</f>
        <v>17</v>
      </c>
      <c r="D166" s="14" t="n">
        <f aca="false">IF($C166&gt;p_horizon,0,IFERROR(IF(AND(INDEX(TblClusters[Cluster],$B166)&lt;&gt;"",ISNUMBER(INDEX(TblClusters[CPU initial (vCPU)],$B166)),ISNUMBER(INDEX(TblClusters[CPU min (vCPU)],$B166)),OR(INDEX(TblClusters[Plateforme],$B166)="IKS",INDEX(TblClusters[Plateforme],$B166)="ROKS")),1,0),0))</f>
        <v>0</v>
      </c>
      <c r="E166" s="83" t="str">
        <f aca="false">IF($D166=1,EDATE(p_debut,$C166-1),"")</f>
        <v/>
      </c>
      <c r="F166" s="14" t="str">
        <f aca="false">IF($D166=1,INDEX(TblClusters[Cluster],$B166),"")</f>
        <v/>
      </c>
      <c r="G166" s="14" t="str">
        <f aca="false">IF($D166=1,INDEX(TblClusters[Plateforme],$B166),"")</f>
        <v/>
      </c>
      <c r="H166" s="14" t="str">
        <f aca="false">IF($D166=1,INDEX(TblClusters[vCPU par nœud],$B166),"")</f>
        <v/>
      </c>
      <c r="I166" s="14" t="str">
        <f aca="false">IF($D166=1,INDEX(TblClusters[RAM par nœud (Go)],$B166),"")</f>
        <v/>
      </c>
      <c r="J166" s="14" t="str">
        <f aca="false">IF($D166=1,INDEX(TblClusters[Workers min],$B166),"")</f>
        <v/>
      </c>
      <c r="K166" s="84" t="str">
        <f aca="false">IF($D166=1,INDEX(TblClusters[Tarif par nœud],$B166),"")</f>
        <v/>
      </c>
      <c r="L166" s="14" t="str">
        <f aca="false">IF($D166=1,INDEX(TblClusters[CPU initial (vCPU)],$B166),"")</f>
        <v/>
      </c>
      <c r="M166" s="14" t="str">
        <f aca="false">IF($D166=1,INDEX(TblClusters[RAM initiale (Go)],$B166),"")</f>
        <v/>
      </c>
      <c r="N166" s="14" t="str">
        <f aca="false">IF($D166=1,INDEX(TblClusters[CPU min (vCPU)],$B166),"")</f>
        <v/>
      </c>
      <c r="O166" s="14" t="str">
        <f aca="false">IF($D166=1,INDEX(TblClusters[RAM min (Go)],$B166),"")</f>
        <v/>
      </c>
      <c r="P166" s="14" t="str">
        <f aca="false">IF($D166&lt;&gt;1,"",IF($G166="ROKS",SUMIFS(TblApplications[Besoin ROKS CPU (vCPU)],TblApplications[Cluster ROKS cible],$F166,TblApplications[Action],"À migrer",TblApplications[Déjà incluse ROKS],"Non",TblApplications[Mois prov (calc)],"&lt;="&amp;$E166),SUMIFS(TblApplications[CPU IKS libérable (vCPU)],TblApplications[Cluster IKS source],$F166,TblApplications[Mois lib (calc)],"&lt;="&amp;$E166)))</f>
        <v/>
      </c>
      <c r="Q166" s="14" t="str">
        <f aca="false">IF($D166&lt;&gt;1,"",IF($G166="ROKS",SUMIFS(TblApplications[Besoin ROKS RAM (Go)],TblApplications[Cluster ROKS cible],$F166,TblApplications[Action],"À migrer",TblApplications[Déjà incluse ROKS],"Non",TblApplications[Mois prov (calc)],"&lt;="&amp;$E166),SUMIFS(TblApplications[RAM IKS libérable (Go)],TblApplications[Cluster IKS source],$F166,TblApplications[Mois lib (calc)],"&lt;="&amp;$E166)))</f>
        <v/>
      </c>
      <c r="R166" s="14" t="str">
        <f aca="false">IF($D166&lt;&gt;1,"",IF($G166="ROKS",$L166+$P166,IF($AI166=1,0,MAX($N166,$L166-$P166))))</f>
        <v/>
      </c>
      <c r="S166" s="14" t="str">
        <f aca="false">IF($D166&lt;&gt;1,"",IF($G166="ROKS",$M166+$Q166,IF($AI166=1,0,MAX($O166,$M166-$Q166))))</f>
        <v/>
      </c>
      <c r="T166" s="14" t="str">
        <f aca="false">IF($D166&lt;&gt;1,"",IF($AI166=1,0,MAX($J166,ROUNDUP(MAX($R166/$H166,$S166/$I166),0))))</f>
        <v/>
      </c>
      <c r="U166" s="14" t="str">
        <f aca="false">IF($D166&lt;&gt;1,"",IF(p_mode="Nœud",$T166*$H166,$R166))</f>
        <v/>
      </c>
      <c r="V166" s="14" t="str">
        <f aca="false">IF($D166&lt;&gt;1,"",IF(p_mode="Nœud",$T166*$I166,$S166))</f>
        <v/>
      </c>
      <c r="W166" s="84" t="str">
        <f aca="false">IF($D166&lt;&gt;1,"",IF(p_mode="Nœud",$T166*$K166,$R166*IF($G166="IKS",p_iks_cpu,p_roks_cpu)+$S166*IF($G166="IKS",p_iks_ram,p_roks_ram))*p_facteur)</f>
        <v/>
      </c>
      <c r="X166" s="14" t="str">
        <f aca="false">IF($D166&lt;&gt;1,"",IF($G166="ROKS",$R166,IF($AI166=1,0,MAX($N166,$L166-SUMIFS(TblApplications[CPU IKS libérable (vCPU)],TblApplications[Cluster IKS source],$F166,TblApplications[Action],"À migrer",TblApplications[Mois prov (calc)],"&lt;="&amp;$E166)-SUMIFS(TblApplications[CPU IKS libérable (vCPU)],TblApplications[Cluster IKS source],$F166,TblApplications[Action],"À décommissionner",TblApplications[Mois lib (calc)],"&lt;="&amp;$E166)))))</f>
        <v/>
      </c>
      <c r="Y166" s="14" t="str">
        <f aca="false">IF($D166&lt;&gt;1,"",IF($G166="ROKS",$S166,IF($AI166=1,0,MAX($O166,$M166-SUMIFS(TblApplications[RAM IKS libérable (Go)],TblApplications[Cluster IKS source],$F166,TblApplications[Action],"À migrer",TblApplications[Mois prov (calc)],"&lt;="&amp;$E166)-SUMIFS(TblApplications[RAM IKS libérable (Go)],TblApplications[Cluster IKS source],$F166,TblApplications[Action],"À décommissionner",TblApplications[Mois lib (calc)],"&lt;="&amp;$E166)))))</f>
        <v/>
      </c>
      <c r="Z166" s="14" t="str">
        <f aca="false">IF($D166&lt;&gt;1,"",IF($AI166=1,0,MAX($J166,ROUNDUP(MAX($X166/$H166,$Y166/$I166),0))))</f>
        <v/>
      </c>
      <c r="AA166" s="84" t="str">
        <f aca="false">IF($D166&lt;&gt;1,"",IF(p_mode="Nœud",$Z166*$K166,$X166*IF($G166="IKS",p_iks_cpu,p_roks_cpu)+$Y166*IF($G166="IKS",p_iks_ram,p_roks_ram))*p_facteur)</f>
        <v/>
      </c>
      <c r="AB166" s="14" t="str">
        <f aca="false">IF($D166&lt;&gt;1,"",MAX($J166,ROUNDUP(MAX($L166/$H166,$M166/$I166),0)))</f>
        <v/>
      </c>
      <c r="AC166" s="84" t="str">
        <f aca="false">IF($D166&lt;&gt;1,"",IF(p_mode="Nœud",$AB166*$K166,$L166*IF($G166="IKS",p_iks_cpu,p_roks_cpu)+$M166*IF($G166="IKS",p_iks_ram,p_roks_ram))*p_facteur)</f>
        <v/>
      </c>
      <c r="AD166" s="14" t="str">
        <f aca="false">IF($D166&lt;&gt;1,"",IF(AND($G166="IKS",$AI166&lt;&gt;1,OR($L166-$P166&lt;$N166,$M166-$Q166&lt;$O166)),1,0))</f>
        <v/>
      </c>
      <c r="AE166" s="14" t="str">
        <f aca="false">IF($D166&lt;&gt;1,"",IF(AND($G166="ROKS",$T166&gt;p_maxworkers),1,0))</f>
        <v/>
      </c>
      <c r="AF166" s="14" t="str">
        <f aca="false">IF($D166&lt;&gt;1,"",IF(INDEX(TblClusters[Environnement],$B166)="","(vide)",INDEX(TblClusters[Environnement],$B166)))</f>
        <v/>
      </c>
      <c r="AG166" s="14" t="str">
        <f aca="false">IF($D166&lt;&gt;1,"",$R166+p_poidsram*$S166)</f>
        <v/>
      </c>
      <c r="AH166" s="14" t="str">
        <f aca="false">IF($D166&lt;&gt;1,"",IFERROR($W166/$AG166,0))</f>
        <v/>
      </c>
      <c r="AI166" s="14" t="str">
        <f aca="false">IF($D166&lt;&gt;1,"",IF(AND($G166="IKS",ISNUMBER(INDEX(TblClusters[Fermeture retenue],$B166))),IF($E166&gt;=INDEX(TblClusters[Fermeture retenue],$B166),1,0),0))</f>
        <v/>
      </c>
    </row>
    <row r="167" customFormat="false" ht="15" hidden="false" customHeight="false" outlineLevel="0" collapsed="false">
      <c r="A167" s="14" t="n">
        <v>162</v>
      </c>
      <c r="B167" s="14" t="n">
        <f aca="false">INT(($A167-1)/36)+1</f>
        <v>5</v>
      </c>
      <c r="C167" s="14" t="n">
        <f aca="false">MOD($A167-1,36)+1</f>
        <v>18</v>
      </c>
      <c r="D167" s="14" t="n">
        <f aca="false">IF($C167&gt;p_horizon,0,IFERROR(IF(AND(INDEX(TblClusters[Cluster],$B167)&lt;&gt;"",ISNUMBER(INDEX(TblClusters[CPU initial (vCPU)],$B167)),ISNUMBER(INDEX(TblClusters[CPU min (vCPU)],$B167)),OR(INDEX(TblClusters[Plateforme],$B167)="IKS",INDEX(TblClusters[Plateforme],$B167)="ROKS")),1,0),0))</f>
        <v>0</v>
      </c>
      <c r="E167" s="83" t="str">
        <f aca="false">IF($D167=1,EDATE(p_debut,$C167-1),"")</f>
        <v/>
      </c>
      <c r="F167" s="14" t="str">
        <f aca="false">IF($D167=1,INDEX(TblClusters[Cluster],$B167),"")</f>
        <v/>
      </c>
      <c r="G167" s="14" t="str">
        <f aca="false">IF($D167=1,INDEX(TblClusters[Plateforme],$B167),"")</f>
        <v/>
      </c>
      <c r="H167" s="14" t="str">
        <f aca="false">IF($D167=1,INDEX(TblClusters[vCPU par nœud],$B167),"")</f>
        <v/>
      </c>
      <c r="I167" s="14" t="str">
        <f aca="false">IF($D167=1,INDEX(TblClusters[RAM par nœud (Go)],$B167),"")</f>
        <v/>
      </c>
      <c r="J167" s="14" t="str">
        <f aca="false">IF($D167=1,INDEX(TblClusters[Workers min],$B167),"")</f>
        <v/>
      </c>
      <c r="K167" s="84" t="str">
        <f aca="false">IF($D167=1,INDEX(TblClusters[Tarif par nœud],$B167),"")</f>
        <v/>
      </c>
      <c r="L167" s="14" t="str">
        <f aca="false">IF($D167=1,INDEX(TblClusters[CPU initial (vCPU)],$B167),"")</f>
        <v/>
      </c>
      <c r="M167" s="14" t="str">
        <f aca="false">IF($D167=1,INDEX(TblClusters[RAM initiale (Go)],$B167),"")</f>
        <v/>
      </c>
      <c r="N167" s="14" t="str">
        <f aca="false">IF($D167=1,INDEX(TblClusters[CPU min (vCPU)],$B167),"")</f>
        <v/>
      </c>
      <c r="O167" s="14" t="str">
        <f aca="false">IF($D167=1,INDEX(TblClusters[RAM min (Go)],$B167),"")</f>
        <v/>
      </c>
      <c r="P167" s="14" t="str">
        <f aca="false">IF($D167&lt;&gt;1,"",IF($G167="ROKS",SUMIFS(TblApplications[Besoin ROKS CPU (vCPU)],TblApplications[Cluster ROKS cible],$F167,TblApplications[Action],"À migrer",TblApplications[Déjà incluse ROKS],"Non",TblApplications[Mois prov (calc)],"&lt;="&amp;$E167),SUMIFS(TblApplications[CPU IKS libérable (vCPU)],TblApplications[Cluster IKS source],$F167,TblApplications[Mois lib (calc)],"&lt;="&amp;$E167)))</f>
        <v/>
      </c>
      <c r="Q167" s="14" t="str">
        <f aca="false">IF($D167&lt;&gt;1,"",IF($G167="ROKS",SUMIFS(TblApplications[Besoin ROKS RAM (Go)],TblApplications[Cluster ROKS cible],$F167,TblApplications[Action],"À migrer",TblApplications[Déjà incluse ROKS],"Non",TblApplications[Mois prov (calc)],"&lt;="&amp;$E167),SUMIFS(TblApplications[RAM IKS libérable (Go)],TblApplications[Cluster IKS source],$F167,TblApplications[Mois lib (calc)],"&lt;="&amp;$E167)))</f>
        <v/>
      </c>
      <c r="R167" s="14" t="str">
        <f aca="false">IF($D167&lt;&gt;1,"",IF($G167="ROKS",$L167+$P167,IF($AI167=1,0,MAX($N167,$L167-$P167))))</f>
        <v/>
      </c>
      <c r="S167" s="14" t="str">
        <f aca="false">IF($D167&lt;&gt;1,"",IF($G167="ROKS",$M167+$Q167,IF($AI167=1,0,MAX($O167,$M167-$Q167))))</f>
        <v/>
      </c>
      <c r="T167" s="14" t="str">
        <f aca="false">IF($D167&lt;&gt;1,"",IF($AI167=1,0,MAX($J167,ROUNDUP(MAX($R167/$H167,$S167/$I167),0))))</f>
        <v/>
      </c>
      <c r="U167" s="14" t="str">
        <f aca="false">IF($D167&lt;&gt;1,"",IF(p_mode="Nœud",$T167*$H167,$R167))</f>
        <v/>
      </c>
      <c r="V167" s="14" t="str">
        <f aca="false">IF($D167&lt;&gt;1,"",IF(p_mode="Nœud",$T167*$I167,$S167))</f>
        <v/>
      </c>
      <c r="W167" s="84" t="str">
        <f aca="false">IF($D167&lt;&gt;1,"",IF(p_mode="Nœud",$T167*$K167,$R167*IF($G167="IKS",p_iks_cpu,p_roks_cpu)+$S167*IF($G167="IKS",p_iks_ram,p_roks_ram))*p_facteur)</f>
        <v/>
      </c>
      <c r="X167" s="14" t="str">
        <f aca="false">IF($D167&lt;&gt;1,"",IF($G167="ROKS",$R167,IF($AI167=1,0,MAX($N167,$L167-SUMIFS(TblApplications[CPU IKS libérable (vCPU)],TblApplications[Cluster IKS source],$F167,TblApplications[Action],"À migrer",TblApplications[Mois prov (calc)],"&lt;="&amp;$E167)-SUMIFS(TblApplications[CPU IKS libérable (vCPU)],TblApplications[Cluster IKS source],$F167,TblApplications[Action],"À décommissionner",TblApplications[Mois lib (calc)],"&lt;="&amp;$E167)))))</f>
        <v/>
      </c>
      <c r="Y167" s="14" t="str">
        <f aca="false">IF($D167&lt;&gt;1,"",IF($G167="ROKS",$S167,IF($AI167=1,0,MAX($O167,$M167-SUMIFS(TblApplications[RAM IKS libérable (Go)],TblApplications[Cluster IKS source],$F167,TblApplications[Action],"À migrer",TblApplications[Mois prov (calc)],"&lt;="&amp;$E167)-SUMIFS(TblApplications[RAM IKS libérable (Go)],TblApplications[Cluster IKS source],$F167,TblApplications[Action],"À décommissionner",TblApplications[Mois lib (calc)],"&lt;="&amp;$E167)))))</f>
        <v/>
      </c>
      <c r="Z167" s="14" t="str">
        <f aca="false">IF($D167&lt;&gt;1,"",IF($AI167=1,0,MAX($J167,ROUNDUP(MAX($X167/$H167,$Y167/$I167),0))))</f>
        <v/>
      </c>
      <c r="AA167" s="84" t="str">
        <f aca="false">IF($D167&lt;&gt;1,"",IF(p_mode="Nœud",$Z167*$K167,$X167*IF($G167="IKS",p_iks_cpu,p_roks_cpu)+$Y167*IF($G167="IKS",p_iks_ram,p_roks_ram))*p_facteur)</f>
        <v/>
      </c>
      <c r="AB167" s="14" t="str">
        <f aca="false">IF($D167&lt;&gt;1,"",MAX($J167,ROUNDUP(MAX($L167/$H167,$M167/$I167),0)))</f>
        <v/>
      </c>
      <c r="AC167" s="84" t="str">
        <f aca="false">IF($D167&lt;&gt;1,"",IF(p_mode="Nœud",$AB167*$K167,$L167*IF($G167="IKS",p_iks_cpu,p_roks_cpu)+$M167*IF($G167="IKS",p_iks_ram,p_roks_ram))*p_facteur)</f>
        <v/>
      </c>
      <c r="AD167" s="14" t="str">
        <f aca="false">IF($D167&lt;&gt;1,"",IF(AND($G167="IKS",$AI167&lt;&gt;1,OR($L167-$P167&lt;$N167,$M167-$Q167&lt;$O167)),1,0))</f>
        <v/>
      </c>
      <c r="AE167" s="14" t="str">
        <f aca="false">IF($D167&lt;&gt;1,"",IF(AND($G167="ROKS",$T167&gt;p_maxworkers),1,0))</f>
        <v/>
      </c>
      <c r="AF167" s="14" t="str">
        <f aca="false">IF($D167&lt;&gt;1,"",IF(INDEX(TblClusters[Environnement],$B167)="","(vide)",INDEX(TblClusters[Environnement],$B167)))</f>
        <v/>
      </c>
      <c r="AG167" s="14" t="str">
        <f aca="false">IF($D167&lt;&gt;1,"",$R167+p_poidsram*$S167)</f>
        <v/>
      </c>
      <c r="AH167" s="14" t="str">
        <f aca="false">IF($D167&lt;&gt;1,"",IFERROR($W167/$AG167,0))</f>
        <v/>
      </c>
      <c r="AI167" s="14" t="str">
        <f aca="false">IF($D167&lt;&gt;1,"",IF(AND($G167="IKS",ISNUMBER(INDEX(TblClusters[Fermeture retenue],$B167))),IF($E167&gt;=INDEX(TblClusters[Fermeture retenue],$B167),1,0),0))</f>
        <v/>
      </c>
    </row>
    <row r="168" customFormat="false" ht="15" hidden="false" customHeight="false" outlineLevel="0" collapsed="false">
      <c r="A168" s="14" t="n">
        <v>163</v>
      </c>
      <c r="B168" s="14" t="n">
        <f aca="false">INT(($A168-1)/36)+1</f>
        <v>5</v>
      </c>
      <c r="C168" s="14" t="n">
        <f aca="false">MOD($A168-1,36)+1</f>
        <v>19</v>
      </c>
      <c r="D168" s="14" t="n">
        <f aca="false">IF($C168&gt;p_horizon,0,IFERROR(IF(AND(INDEX(TblClusters[Cluster],$B168)&lt;&gt;"",ISNUMBER(INDEX(TblClusters[CPU initial (vCPU)],$B168)),ISNUMBER(INDEX(TblClusters[CPU min (vCPU)],$B168)),OR(INDEX(TblClusters[Plateforme],$B168)="IKS",INDEX(TblClusters[Plateforme],$B168)="ROKS")),1,0),0))</f>
        <v>0</v>
      </c>
      <c r="E168" s="83" t="str">
        <f aca="false">IF($D168=1,EDATE(p_debut,$C168-1),"")</f>
        <v/>
      </c>
      <c r="F168" s="14" t="str">
        <f aca="false">IF($D168=1,INDEX(TblClusters[Cluster],$B168),"")</f>
        <v/>
      </c>
      <c r="G168" s="14" t="str">
        <f aca="false">IF($D168=1,INDEX(TblClusters[Plateforme],$B168),"")</f>
        <v/>
      </c>
      <c r="H168" s="14" t="str">
        <f aca="false">IF($D168=1,INDEX(TblClusters[vCPU par nœud],$B168),"")</f>
        <v/>
      </c>
      <c r="I168" s="14" t="str">
        <f aca="false">IF($D168=1,INDEX(TblClusters[RAM par nœud (Go)],$B168),"")</f>
        <v/>
      </c>
      <c r="J168" s="14" t="str">
        <f aca="false">IF($D168=1,INDEX(TblClusters[Workers min],$B168),"")</f>
        <v/>
      </c>
      <c r="K168" s="84" t="str">
        <f aca="false">IF($D168=1,INDEX(TblClusters[Tarif par nœud],$B168),"")</f>
        <v/>
      </c>
      <c r="L168" s="14" t="str">
        <f aca="false">IF($D168=1,INDEX(TblClusters[CPU initial (vCPU)],$B168),"")</f>
        <v/>
      </c>
      <c r="M168" s="14" t="str">
        <f aca="false">IF($D168=1,INDEX(TblClusters[RAM initiale (Go)],$B168),"")</f>
        <v/>
      </c>
      <c r="N168" s="14" t="str">
        <f aca="false">IF($D168=1,INDEX(TblClusters[CPU min (vCPU)],$B168),"")</f>
        <v/>
      </c>
      <c r="O168" s="14" t="str">
        <f aca="false">IF($D168=1,INDEX(TblClusters[RAM min (Go)],$B168),"")</f>
        <v/>
      </c>
      <c r="P168" s="14" t="str">
        <f aca="false">IF($D168&lt;&gt;1,"",IF($G168="ROKS",SUMIFS(TblApplications[Besoin ROKS CPU (vCPU)],TblApplications[Cluster ROKS cible],$F168,TblApplications[Action],"À migrer",TblApplications[Déjà incluse ROKS],"Non",TblApplications[Mois prov (calc)],"&lt;="&amp;$E168),SUMIFS(TblApplications[CPU IKS libérable (vCPU)],TblApplications[Cluster IKS source],$F168,TblApplications[Mois lib (calc)],"&lt;="&amp;$E168)))</f>
        <v/>
      </c>
      <c r="Q168" s="14" t="str">
        <f aca="false">IF($D168&lt;&gt;1,"",IF($G168="ROKS",SUMIFS(TblApplications[Besoin ROKS RAM (Go)],TblApplications[Cluster ROKS cible],$F168,TblApplications[Action],"À migrer",TblApplications[Déjà incluse ROKS],"Non",TblApplications[Mois prov (calc)],"&lt;="&amp;$E168),SUMIFS(TblApplications[RAM IKS libérable (Go)],TblApplications[Cluster IKS source],$F168,TblApplications[Mois lib (calc)],"&lt;="&amp;$E168)))</f>
        <v/>
      </c>
      <c r="R168" s="14" t="str">
        <f aca="false">IF($D168&lt;&gt;1,"",IF($G168="ROKS",$L168+$P168,IF($AI168=1,0,MAX($N168,$L168-$P168))))</f>
        <v/>
      </c>
      <c r="S168" s="14" t="str">
        <f aca="false">IF($D168&lt;&gt;1,"",IF($G168="ROKS",$M168+$Q168,IF($AI168=1,0,MAX($O168,$M168-$Q168))))</f>
        <v/>
      </c>
      <c r="T168" s="14" t="str">
        <f aca="false">IF($D168&lt;&gt;1,"",IF($AI168=1,0,MAX($J168,ROUNDUP(MAX($R168/$H168,$S168/$I168),0))))</f>
        <v/>
      </c>
      <c r="U168" s="14" t="str">
        <f aca="false">IF($D168&lt;&gt;1,"",IF(p_mode="Nœud",$T168*$H168,$R168))</f>
        <v/>
      </c>
      <c r="V168" s="14" t="str">
        <f aca="false">IF($D168&lt;&gt;1,"",IF(p_mode="Nœud",$T168*$I168,$S168))</f>
        <v/>
      </c>
      <c r="W168" s="84" t="str">
        <f aca="false">IF($D168&lt;&gt;1,"",IF(p_mode="Nœud",$T168*$K168,$R168*IF($G168="IKS",p_iks_cpu,p_roks_cpu)+$S168*IF($G168="IKS",p_iks_ram,p_roks_ram))*p_facteur)</f>
        <v/>
      </c>
      <c r="X168" s="14" t="str">
        <f aca="false">IF($D168&lt;&gt;1,"",IF($G168="ROKS",$R168,IF($AI168=1,0,MAX($N168,$L168-SUMIFS(TblApplications[CPU IKS libérable (vCPU)],TblApplications[Cluster IKS source],$F168,TblApplications[Action],"À migrer",TblApplications[Mois prov (calc)],"&lt;="&amp;$E168)-SUMIFS(TblApplications[CPU IKS libérable (vCPU)],TblApplications[Cluster IKS source],$F168,TblApplications[Action],"À décommissionner",TblApplications[Mois lib (calc)],"&lt;="&amp;$E168)))))</f>
        <v/>
      </c>
      <c r="Y168" s="14" t="str">
        <f aca="false">IF($D168&lt;&gt;1,"",IF($G168="ROKS",$S168,IF($AI168=1,0,MAX($O168,$M168-SUMIFS(TblApplications[RAM IKS libérable (Go)],TblApplications[Cluster IKS source],$F168,TblApplications[Action],"À migrer",TblApplications[Mois prov (calc)],"&lt;="&amp;$E168)-SUMIFS(TblApplications[RAM IKS libérable (Go)],TblApplications[Cluster IKS source],$F168,TblApplications[Action],"À décommissionner",TblApplications[Mois lib (calc)],"&lt;="&amp;$E168)))))</f>
        <v/>
      </c>
      <c r="Z168" s="14" t="str">
        <f aca="false">IF($D168&lt;&gt;1,"",IF($AI168=1,0,MAX($J168,ROUNDUP(MAX($X168/$H168,$Y168/$I168),0))))</f>
        <v/>
      </c>
      <c r="AA168" s="84" t="str">
        <f aca="false">IF($D168&lt;&gt;1,"",IF(p_mode="Nœud",$Z168*$K168,$X168*IF($G168="IKS",p_iks_cpu,p_roks_cpu)+$Y168*IF($G168="IKS",p_iks_ram,p_roks_ram))*p_facteur)</f>
        <v/>
      </c>
      <c r="AB168" s="14" t="str">
        <f aca="false">IF($D168&lt;&gt;1,"",MAX($J168,ROUNDUP(MAX($L168/$H168,$M168/$I168),0)))</f>
        <v/>
      </c>
      <c r="AC168" s="84" t="str">
        <f aca="false">IF($D168&lt;&gt;1,"",IF(p_mode="Nœud",$AB168*$K168,$L168*IF($G168="IKS",p_iks_cpu,p_roks_cpu)+$M168*IF($G168="IKS",p_iks_ram,p_roks_ram))*p_facteur)</f>
        <v/>
      </c>
      <c r="AD168" s="14" t="str">
        <f aca="false">IF($D168&lt;&gt;1,"",IF(AND($G168="IKS",$AI168&lt;&gt;1,OR($L168-$P168&lt;$N168,$M168-$Q168&lt;$O168)),1,0))</f>
        <v/>
      </c>
      <c r="AE168" s="14" t="str">
        <f aca="false">IF($D168&lt;&gt;1,"",IF(AND($G168="ROKS",$T168&gt;p_maxworkers),1,0))</f>
        <v/>
      </c>
      <c r="AF168" s="14" t="str">
        <f aca="false">IF($D168&lt;&gt;1,"",IF(INDEX(TblClusters[Environnement],$B168)="","(vide)",INDEX(TblClusters[Environnement],$B168)))</f>
        <v/>
      </c>
      <c r="AG168" s="14" t="str">
        <f aca="false">IF($D168&lt;&gt;1,"",$R168+p_poidsram*$S168)</f>
        <v/>
      </c>
      <c r="AH168" s="14" t="str">
        <f aca="false">IF($D168&lt;&gt;1,"",IFERROR($W168/$AG168,0))</f>
        <v/>
      </c>
      <c r="AI168" s="14" t="str">
        <f aca="false">IF($D168&lt;&gt;1,"",IF(AND($G168="IKS",ISNUMBER(INDEX(TblClusters[Fermeture retenue],$B168))),IF($E168&gt;=INDEX(TblClusters[Fermeture retenue],$B168),1,0),0))</f>
        <v/>
      </c>
    </row>
    <row r="169" customFormat="false" ht="15" hidden="false" customHeight="false" outlineLevel="0" collapsed="false">
      <c r="A169" s="14" t="n">
        <v>164</v>
      </c>
      <c r="B169" s="14" t="n">
        <f aca="false">INT(($A169-1)/36)+1</f>
        <v>5</v>
      </c>
      <c r="C169" s="14" t="n">
        <f aca="false">MOD($A169-1,36)+1</f>
        <v>20</v>
      </c>
      <c r="D169" s="14" t="n">
        <f aca="false">IF($C169&gt;p_horizon,0,IFERROR(IF(AND(INDEX(TblClusters[Cluster],$B169)&lt;&gt;"",ISNUMBER(INDEX(TblClusters[CPU initial (vCPU)],$B169)),ISNUMBER(INDEX(TblClusters[CPU min (vCPU)],$B169)),OR(INDEX(TblClusters[Plateforme],$B169)="IKS",INDEX(TblClusters[Plateforme],$B169)="ROKS")),1,0),0))</f>
        <v>0</v>
      </c>
      <c r="E169" s="83" t="str">
        <f aca="false">IF($D169=1,EDATE(p_debut,$C169-1),"")</f>
        <v/>
      </c>
      <c r="F169" s="14" t="str">
        <f aca="false">IF($D169=1,INDEX(TblClusters[Cluster],$B169),"")</f>
        <v/>
      </c>
      <c r="G169" s="14" t="str">
        <f aca="false">IF($D169=1,INDEX(TblClusters[Plateforme],$B169),"")</f>
        <v/>
      </c>
      <c r="H169" s="14" t="str">
        <f aca="false">IF($D169=1,INDEX(TblClusters[vCPU par nœud],$B169),"")</f>
        <v/>
      </c>
      <c r="I169" s="14" t="str">
        <f aca="false">IF($D169=1,INDEX(TblClusters[RAM par nœud (Go)],$B169),"")</f>
        <v/>
      </c>
      <c r="J169" s="14" t="str">
        <f aca="false">IF($D169=1,INDEX(TblClusters[Workers min],$B169),"")</f>
        <v/>
      </c>
      <c r="K169" s="84" t="str">
        <f aca="false">IF($D169=1,INDEX(TblClusters[Tarif par nœud],$B169),"")</f>
        <v/>
      </c>
      <c r="L169" s="14" t="str">
        <f aca="false">IF($D169=1,INDEX(TblClusters[CPU initial (vCPU)],$B169),"")</f>
        <v/>
      </c>
      <c r="M169" s="14" t="str">
        <f aca="false">IF($D169=1,INDEX(TblClusters[RAM initiale (Go)],$B169),"")</f>
        <v/>
      </c>
      <c r="N169" s="14" t="str">
        <f aca="false">IF($D169=1,INDEX(TblClusters[CPU min (vCPU)],$B169),"")</f>
        <v/>
      </c>
      <c r="O169" s="14" t="str">
        <f aca="false">IF($D169=1,INDEX(TblClusters[RAM min (Go)],$B169),"")</f>
        <v/>
      </c>
      <c r="P169" s="14" t="str">
        <f aca="false">IF($D169&lt;&gt;1,"",IF($G169="ROKS",SUMIFS(TblApplications[Besoin ROKS CPU (vCPU)],TblApplications[Cluster ROKS cible],$F169,TblApplications[Action],"À migrer",TblApplications[Déjà incluse ROKS],"Non",TblApplications[Mois prov (calc)],"&lt;="&amp;$E169),SUMIFS(TblApplications[CPU IKS libérable (vCPU)],TblApplications[Cluster IKS source],$F169,TblApplications[Mois lib (calc)],"&lt;="&amp;$E169)))</f>
        <v/>
      </c>
      <c r="Q169" s="14" t="str">
        <f aca="false">IF($D169&lt;&gt;1,"",IF($G169="ROKS",SUMIFS(TblApplications[Besoin ROKS RAM (Go)],TblApplications[Cluster ROKS cible],$F169,TblApplications[Action],"À migrer",TblApplications[Déjà incluse ROKS],"Non",TblApplications[Mois prov (calc)],"&lt;="&amp;$E169),SUMIFS(TblApplications[RAM IKS libérable (Go)],TblApplications[Cluster IKS source],$F169,TblApplications[Mois lib (calc)],"&lt;="&amp;$E169)))</f>
        <v/>
      </c>
      <c r="R169" s="14" t="str">
        <f aca="false">IF($D169&lt;&gt;1,"",IF($G169="ROKS",$L169+$P169,IF($AI169=1,0,MAX($N169,$L169-$P169))))</f>
        <v/>
      </c>
      <c r="S169" s="14" t="str">
        <f aca="false">IF($D169&lt;&gt;1,"",IF($G169="ROKS",$M169+$Q169,IF($AI169=1,0,MAX($O169,$M169-$Q169))))</f>
        <v/>
      </c>
      <c r="T169" s="14" t="str">
        <f aca="false">IF($D169&lt;&gt;1,"",IF($AI169=1,0,MAX($J169,ROUNDUP(MAX($R169/$H169,$S169/$I169),0))))</f>
        <v/>
      </c>
      <c r="U169" s="14" t="str">
        <f aca="false">IF($D169&lt;&gt;1,"",IF(p_mode="Nœud",$T169*$H169,$R169))</f>
        <v/>
      </c>
      <c r="V169" s="14" t="str">
        <f aca="false">IF($D169&lt;&gt;1,"",IF(p_mode="Nœud",$T169*$I169,$S169))</f>
        <v/>
      </c>
      <c r="W169" s="84" t="str">
        <f aca="false">IF($D169&lt;&gt;1,"",IF(p_mode="Nœud",$T169*$K169,$R169*IF($G169="IKS",p_iks_cpu,p_roks_cpu)+$S169*IF($G169="IKS",p_iks_ram,p_roks_ram))*p_facteur)</f>
        <v/>
      </c>
      <c r="X169" s="14" t="str">
        <f aca="false">IF($D169&lt;&gt;1,"",IF($G169="ROKS",$R169,IF($AI169=1,0,MAX($N169,$L169-SUMIFS(TblApplications[CPU IKS libérable (vCPU)],TblApplications[Cluster IKS source],$F169,TblApplications[Action],"À migrer",TblApplications[Mois prov (calc)],"&lt;="&amp;$E169)-SUMIFS(TblApplications[CPU IKS libérable (vCPU)],TblApplications[Cluster IKS source],$F169,TblApplications[Action],"À décommissionner",TblApplications[Mois lib (calc)],"&lt;="&amp;$E169)))))</f>
        <v/>
      </c>
      <c r="Y169" s="14" t="str">
        <f aca="false">IF($D169&lt;&gt;1,"",IF($G169="ROKS",$S169,IF($AI169=1,0,MAX($O169,$M169-SUMIFS(TblApplications[RAM IKS libérable (Go)],TblApplications[Cluster IKS source],$F169,TblApplications[Action],"À migrer",TblApplications[Mois prov (calc)],"&lt;="&amp;$E169)-SUMIFS(TblApplications[RAM IKS libérable (Go)],TblApplications[Cluster IKS source],$F169,TblApplications[Action],"À décommissionner",TblApplications[Mois lib (calc)],"&lt;="&amp;$E169)))))</f>
        <v/>
      </c>
      <c r="Z169" s="14" t="str">
        <f aca="false">IF($D169&lt;&gt;1,"",IF($AI169=1,0,MAX($J169,ROUNDUP(MAX($X169/$H169,$Y169/$I169),0))))</f>
        <v/>
      </c>
      <c r="AA169" s="84" t="str">
        <f aca="false">IF($D169&lt;&gt;1,"",IF(p_mode="Nœud",$Z169*$K169,$X169*IF($G169="IKS",p_iks_cpu,p_roks_cpu)+$Y169*IF($G169="IKS",p_iks_ram,p_roks_ram))*p_facteur)</f>
        <v/>
      </c>
      <c r="AB169" s="14" t="str">
        <f aca="false">IF($D169&lt;&gt;1,"",MAX($J169,ROUNDUP(MAX($L169/$H169,$M169/$I169),0)))</f>
        <v/>
      </c>
      <c r="AC169" s="84" t="str">
        <f aca="false">IF($D169&lt;&gt;1,"",IF(p_mode="Nœud",$AB169*$K169,$L169*IF($G169="IKS",p_iks_cpu,p_roks_cpu)+$M169*IF($G169="IKS",p_iks_ram,p_roks_ram))*p_facteur)</f>
        <v/>
      </c>
      <c r="AD169" s="14" t="str">
        <f aca="false">IF($D169&lt;&gt;1,"",IF(AND($G169="IKS",$AI169&lt;&gt;1,OR($L169-$P169&lt;$N169,$M169-$Q169&lt;$O169)),1,0))</f>
        <v/>
      </c>
      <c r="AE169" s="14" t="str">
        <f aca="false">IF($D169&lt;&gt;1,"",IF(AND($G169="ROKS",$T169&gt;p_maxworkers),1,0))</f>
        <v/>
      </c>
      <c r="AF169" s="14" t="str">
        <f aca="false">IF($D169&lt;&gt;1,"",IF(INDEX(TblClusters[Environnement],$B169)="","(vide)",INDEX(TblClusters[Environnement],$B169)))</f>
        <v/>
      </c>
      <c r="AG169" s="14" t="str">
        <f aca="false">IF($D169&lt;&gt;1,"",$R169+p_poidsram*$S169)</f>
        <v/>
      </c>
      <c r="AH169" s="14" t="str">
        <f aca="false">IF($D169&lt;&gt;1,"",IFERROR($W169/$AG169,0))</f>
        <v/>
      </c>
      <c r="AI169" s="14" t="str">
        <f aca="false">IF($D169&lt;&gt;1,"",IF(AND($G169="IKS",ISNUMBER(INDEX(TblClusters[Fermeture retenue],$B169))),IF($E169&gt;=INDEX(TblClusters[Fermeture retenue],$B169),1,0),0))</f>
        <v/>
      </c>
    </row>
    <row r="170" customFormat="false" ht="15" hidden="false" customHeight="false" outlineLevel="0" collapsed="false">
      <c r="A170" s="14" t="n">
        <v>165</v>
      </c>
      <c r="B170" s="14" t="n">
        <f aca="false">INT(($A170-1)/36)+1</f>
        <v>5</v>
      </c>
      <c r="C170" s="14" t="n">
        <f aca="false">MOD($A170-1,36)+1</f>
        <v>21</v>
      </c>
      <c r="D170" s="14" t="n">
        <f aca="false">IF($C170&gt;p_horizon,0,IFERROR(IF(AND(INDEX(TblClusters[Cluster],$B170)&lt;&gt;"",ISNUMBER(INDEX(TblClusters[CPU initial (vCPU)],$B170)),ISNUMBER(INDEX(TblClusters[CPU min (vCPU)],$B170)),OR(INDEX(TblClusters[Plateforme],$B170)="IKS",INDEX(TblClusters[Plateforme],$B170)="ROKS")),1,0),0))</f>
        <v>0</v>
      </c>
      <c r="E170" s="83" t="str">
        <f aca="false">IF($D170=1,EDATE(p_debut,$C170-1),"")</f>
        <v/>
      </c>
      <c r="F170" s="14" t="str">
        <f aca="false">IF($D170=1,INDEX(TblClusters[Cluster],$B170),"")</f>
        <v/>
      </c>
      <c r="G170" s="14" t="str">
        <f aca="false">IF($D170=1,INDEX(TblClusters[Plateforme],$B170),"")</f>
        <v/>
      </c>
      <c r="H170" s="14" t="str">
        <f aca="false">IF($D170=1,INDEX(TblClusters[vCPU par nœud],$B170),"")</f>
        <v/>
      </c>
      <c r="I170" s="14" t="str">
        <f aca="false">IF($D170=1,INDEX(TblClusters[RAM par nœud (Go)],$B170),"")</f>
        <v/>
      </c>
      <c r="J170" s="14" t="str">
        <f aca="false">IF($D170=1,INDEX(TblClusters[Workers min],$B170),"")</f>
        <v/>
      </c>
      <c r="K170" s="84" t="str">
        <f aca="false">IF($D170=1,INDEX(TblClusters[Tarif par nœud],$B170),"")</f>
        <v/>
      </c>
      <c r="L170" s="14" t="str">
        <f aca="false">IF($D170=1,INDEX(TblClusters[CPU initial (vCPU)],$B170),"")</f>
        <v/>
      </c>
      <c r="M170" s="14" t="str">
        <f aca="false">IF($D170=1,INDEX(TblClusters[RAM initiale (Go)],$B170),"")</f>
        <v/>
      </c>
      <c r="N170" s="14" t="str">
        <f aca="false">IF($D170=1,INDEX(TblClusters[CPU min (vCPU)],$B170),"")</f>
        <v/>
      </c>
      <c r="O170" s="14" t="str">
        <f aca="false">IF($D170=1,INDEX(TblClusters[RAM min (Go)],$B170),"")</f>
        <v/>
      </c>
      <c r="P170" s="14" t="str">
        <f aca="false">IF($D170&lt;&gt;1,"",IF($G170="ROKS",SUMIFS(TblApplications[Besoin ROKS CPU (vCPU)],TblApplications[Cluster ROKS cible],$F170,TblApplications[Action],"À migrer",TblApplications[Déjà incluse ROKS],"Non",TblApplications[Mois prov (calc)],"&lt;="&amp;$E170),SUMIFS(TblApplications[CPU IKS libérable (vCPU)],TblApplications[Cluster IKS source],$F170,TblApplications[Mois lib (calc)],"&lt;="&amp;$E170)))</f>
        <v/>
      </c>
      <c r="Q170" s="14" t="str">
        <f aca="false">IF($D170&lt;&gt;1,"",IF($G170="ROKS",SUMIFS(TblApplications[Besoin ROKS RAM (Go)],TblApplications[Cluster ROKS cible],$F170,TblApplications[Action],"À migrer",TblApplications[Déjà incluse ROKS],"Non",TblApplications[Mois prov (calc)],"&lt;="&amp;$E170),SUMIFS(TblApplications[RAM IKS libérable (Go)],TblApplications[Cluster IKS source],$F170,TblApplications[Mois lib (calc)],"&lt;="&amp;$E170)))</f>
        <v/>
      </c>
      <c r="R170" s="14" t="str">
        <f aca="false">IF($D170&lt;&gt;1,"",IF($G170="ROKS",$L170+$P170,IF($AI170=1,0,MAX($N170,$L170-$P170))))</f>
        <v/>
      </c>
      <c r="S170" s="14" t="str">
        <f aca="false">IF($D170&lt;&gt;1,"",IF($G170="ROKS",$M170+$Q170,IF($AI170=1,0,MAX($O170,$M170-$Q170))))</f>
        <v/>
      </c>
      <c r="T170" s="14" t="str">
        <f aca="false">IF($D170&lt;&gt;1,"",IF($AI170=1,0,MAX($J170,ROUNDUP(MAX($R170/$H170,$S170/$I170),0))))</f>
        <v/>
      </c>
      <c r="U170" s="14" t="str">
        <f aca="false">IF($D170&lt;&gt;1,"",IF(p_mode="Nœud",$T170*$H170,$R170))</f>
        <v/>
      </c>
      <c r="V170" s="14" t="str">
        <f aca="false">IF($D170&lt;&gt;1,"",IF(p_mode="Nœud",$T170*$I170,$S170))</f>
        <v/>
      </c>
      <c r="W170" s="84" t="str">
        <f aca="false">IF($D170&lt;&gt;1,"",IF(p_mode="Nœud",$T170*$K170,$R170*IF($G170="IKS",p_iks_cpu,p_roks_cpu)+$S170*IF($G170="IKS",p_iks_ram,p_roks_ram))*p_facteur)</f>
        <v/>
      </c>
      <c r="X170" s="14" t="str">
        <f aca="false">IF($D170&lt;&gt;1,"",IF($G170="ROKS",$R170,IF($AI170=1,0,MAX($N170,$L170-SUMIFS(TblApplications[CPU IKS libérable (vCPU)],TblApplications[Cluster IKS source],$F170,TblApplications[Action],"À migrer",TblApplications[Mois prov (calc)],"&lt;="&amp;$E170)-SUMIFS(TblApplications[CPU IKS libérable (vCPU)],TblApplications[Cluster IKS source],$F170,TblApplications[Action],"À décommissionner",TblApplications[Mois lib (calc)],"&lt;="&amp;$E170)))))</f>
        <v/>
      </c>
      <c r="Y170" s="14" t="str">
        <f aca="false">IF($D170&lt;&gt;1,"",IF($G170="ROKS",$S170,IF($AI170=1,0,MAX($O170,$M170-SUMIFS(TblApplications[RAM IKS libérable (Go)],TblApplications[Cluster IKS source],$F170,TblApplications[Action],"À migrer",TblApplications[Mois prov (calc)],"&lt;="&amp;$E170)-SUMIFS(TblApplications[RAM IKS libérable (Go)],TblApplications[Cluster IKS source],$F170,TblApplications[Action],"À décommissionner",TblApplications[Mois lib (calc)],"&lt;="&amp;$E170)))))</f>
        <v/>
      </c>
      <c r="Z170" s="14" t="str">
        <f aca="false">IF($D170&lt;&gt;1,"",IF($AI170=1,0,MAX($J170,ROUNDUP(MAX($X170/$H170,$Y170/$I170),0))))</f>
        <v/>
      </c>
      <c r="AA170" s="84" t="str">
        <f aca="false">IF($D170&lt;&gt;1,"",IF(p_mode="Nœud",$Z170*$K170,$X170*IF($G170="IKS",p_iks_cpu,p_roks_cpu)+$Y170*IF($G170="IKS",p_iks_ram,p_roks_ram))*p_facteur)</f>
        <v/>
      </c>
      <c r="AB170" s="14" t="str">
        <f aca="false">IF($D170&lt;&gt;1,"",MAX($J170,ROUNDUP(MAX($L170/$H170,$M170/$I170),0)))</f>
        <v/>
      </c>
      <c r="AC170" s="84" t="str">
        <f aca="false">IF($D170&lt;&gt;1,"",IF(p_mode="Nœud",$AB170*$K170,$L170*IF($G170="IKS",p_iks_cpu,p_roks_cpu)+$M170*IF($G170="IKS",p_iks_ram,p_roks_ram))*p_facteur)</f>
        <v/>
      </c>
      <c r="AD170" s="14" t="str">
        <f aca="false">IF($D170&lt;&gt;1,"",IF(AND($G170="IKS",$AI170&lt;&gt;1,OR($L170-$P170&lt;$N170,$M170-$Q170&lt;$O170)),1,0))</f>
        <v/>
      </c>
      <c r="AE170" s="14" t="str">
        <f aca="false">IF($D170&lt;&gt;1,"",IF(AND($G170="ROKS",$T170&gt;p_maxworkers),1,0))</f>
        <v/>
      </c>
      <c r="AF170" s="14" t="str">
        <f aca="false">IF($D170&lt;&gt;1,"",IF(INDEX(TblClusters[Environnement],$B170)="","(vide)",INDEX(TblClusters[Environnement],$B170)))</f>
        <v/>
      </c>
      <c r="AG170" s="14" t="str">
        <f aca="false">IF($D170&lt;&gt;1,"",$R170+p_poidsram*$S170)</f>
        <v/>
      </c>
      <c r="AH170" s="14" t="str">
        <f aca="false">IF($D170&lt;&gt;1,"",IFERROR($W170/$AG170,0))</f>
        <v/>
      </c>
      <c r="AI170" s="14" t="str">
        <f aca="false">IF($D170&lt;&gt;1,"",IF(AND($G170="IKS",ISNUMBER(INDEX(TblClusters[Fermeture retenue],$B170))),IF($E170&gt;=INDEX(TblClusters[Fermeture retenue],$B170),1,0),0))</f>
        <v/>
      </c>
    </row>
    <row r="171" customFormat="false" ht="15" hidden="false" customHeight="false" outlineLevel="0" collapsed="false">
      <c r="A171" s="14" t="n">
        <v>166</v>
      </c>
      <c r="B171" s="14" t="n">
        <f aca="false">INT(($A171-1)/36)+1</f>
        <v>5</v>
      </c>
      <c r="C171" s="14" t="n">
        <f aca="false">MOD($A171-1,36)+1</f>
        <v>22</v>
      </c>
      <c r="D171" s="14" t="n">
        <f aca="false">IF($C171&gt;p_horizon,0,IFERROR(IF(AND(INDEX(TblClusters[Cluster],$B171)&lt;&gt;"",ISNUMBER(INDEX(TblClusters[CPU initial (vCPU)],$B171)),ISNUMBER(INDEX(TblClusters[CPU min (vCPU)],$B171)),OR(INDEX(TblClusters[Plateforme],$B171)="IKS",INDEX(TblClusters[Plateforme],$B171)="ROKS")),1,0),0))</f>
        <v>0</v>
      </c>
      <c r="E171" s="83" t="str">
        <f aca="false">IF($D171=1,EDATE(p_debut,$C171-1),"")</f>
        <v/>
      </c>
      <c r="F171" s="14" t="str">
        <f aca="false">IF($D171=1,INDEX(TblClusters[Cluster],$B171),"")</f>
        <v/>
      </c>
      <c r="G171" s="14" t="str">
        <f aca="false">IF($D171=1,INDEX(TblClusters[Plateforme],$B171),"")</f>
        <v/>
      </c>
      <c r="H171" s="14" t="str">
        <f aca="false">IF($D171=1,INDEX(TblClusters[vCPU par nœud],$B171),"")</f>
        <v/>
      </c>
      <c r="I171" s="14" t="str">
        <f aca="false">IF($D171=1,INDEX(TblClusters[RAM par nœud (Go)],$B171),"")</f>
        <v/>
      </c>
      <c r="J171" s="14" t="str">
        <f aca="false">IF($D171=1,INDEX(TblClusters[Workers min],$B171),"")</f>
        <v/>
      </c>
      <c r="K171" s="84" t="str">
        <f aca="false">IF($D171=1,INDEX(TblClusters[Tarif par nœud],$B171),"")</f>
        <v/>
      </c>
      <c r="L171" s="14" t="str">
        <f aca="false">IF($D171=1,INDEX(TblClusters[CPU initial (vCPU)],$B171),"")</f>
        <v/>
      </c>
      <c r="M171" s="14" t="str">
        <f aca="false">IF($D171=1,INDEX(TblClusters[RAM initiale (Go)],$B171),"")</f>
        <v/>
      </c>
      <c r="N171" s="14" t="str">
        <f aca="false">IF($D171=1,INDEX(TblClusters[CPU min (vCPU)],$B171),"")</f>
        <v/>
      </c>
      <c r="O171" s="14" t="str">
        <f aca="false">IF($D171=1,INDEX(TblClusters[RAM min (Go)],$B171),"")</f>
        <v/>
      </c>
      <c r="P171" s="14" t="str">
        <f aca="false">IF($D171&lt;&gt;1,"",IF($G171="ROKS",SUMIFS(TblApplications[Besoin ROKS CPU (vCPU)],TblApplications[Cluster ROKS cible],$F171,TblApplications[Action],"À migrer",TblApplications[Déjà incluse ROKS],"Non",TblApplications[Mois prov (calc)],"&lt;="&amp;$E171),SUMIFS(TblApplications[CPU IKS libérable (vCPU)],TblApplications[Cluster IKS source],$F171,TblApplications[Mois lib (calc)],"&lt;="&amp;$E171)))</f>
        <v/>
      </c>
      <c r="Q171" s="14" t="str">
        <f aca="false">IF($D171&lt;&gt;1,"",IF($G171="ROKS",SUMIFS(TblApplications[Besoin ROKS RAM (Go)],TblApplications[Cluster ROKS cible],$F171,TblApplications[Action],"À migrer",TblApplications[Déjà incluse ROKS],"Non",TblApplications[Mois prov (calc)],"&lt;="&amp;$E171),SUMIFS(TblApplications[RAM IKS libérable (Go)],TblApplications[Cluster IKS source],$F171,TblApplications[Mois lib (calc)],"&lt;="&amp;$E171)))</f>
        <v/>
      </c>
      <c r="R171" s="14" t="str">
        <f aca="false">IF($D171&lt;&gt;1,"",IF($G171="ROKS",$L171+$P171,IF($AI171=1,0,MAX($N171,$L171-$P171))))</f>
        <v/>
      </c>
      <c r="S171" s="14" t="str">
        <f aca="false">IF($D171&lt;&gt;1,"",IF($G171="ROKS",$M171+$Q171,IF($AI171=1,0,MAX($O171,$M171-$Q171))))</f>
        <v/>
      </c>
      <c r="T171" s="14" t="str">
        <f aca="false">IF($D171&lt;&gt;1,"",IF($AI171=1,0,MAX($J171,ROUNDUP(MAX($R171/$H171,$S171/$I171),0))))</f>
        <v/>
      </c>
      <c r="U171" s="14" t="str">
        <f aca="false">IF($D171&lt;&gt;1,"",IF(p_mode="Nœud",$T171*$H171,$R171))</f>
        <v/>
      </c>
      <c r="V171" s="14" t="str">
        <f aca="false">IF($D171&lt;&gt;1,"",IF(p_mode="Nœud",$T171*$I171,$S171))</f>
        <v/>
      </c>
      <c r="W171" s="84" t="str">
        <f aca="false">IF($D171&lt;&gt;1,"",IF(p_mode="Nœud",$T171*$K171,$R171*IF($G171="IKS",p_iks_cpu,p_roks_cpu)+$S171*IF($G171="IKS",p_iks_ram,p_roks_ram))*p_facteur)</f>
        <v/>
      </c>
      <c r="X171" s="14" t="str">
        <f aca="false">IF($D171&lt;&gt;1,"",IF($G171="ROKS",$R171,IF($AI171=1,0,MAX($N171,$L171-SUMIFS(TblApplications[CPU IKS libérable (vCPU)],TblApplications[Cluster IKS source],$F171,TblApplications[Action],"À migrer",TblApplications[Mois prov (calc)],"&lt;="&amp;$E171)-SUMIFS(TblApplications[CPU IKS libérable (vCPU)],TblApplications[Cluster IKS source],$F171,TblApplications[Action],"À décommissionner",TblApplications[Mois lib (calc)],"&lt;="&amp;$E171)))))</f>
        <v/>
      </c>
      <c r="Y171" s="14" t="str">
        <f aca="false">IF($D171&lt;&gt;1,"",IF($G171="ROKS",$S171,IF($AI171=1,0,MAX($O171,$M171-SUMIFS(TblApplications[RAM IKS libérable (Go)],TblApplications[Cluster IKS source],$F171,TblApplications[Action],"À migrer",TblApplications[Mois prov (calc)],"&lt;="&amp;$E171)-SUMIFS(TblApplications[RAM IKS libérable (Go)],TblApplications[Cluster IKS source],$F171,TblApplications[Action],"À décommissionner",TblApplications[Mois lib (calc)],"&lt;="&amp;$E171)))))</f>
        <v/>
      </c>
      <c r="Z171" s="14" t="str">
        <f aca="false">IF($D171&lt;&gt;1,"",IF($AI171=1,0,MAX($J171,ROUNDUP(MAX($X171/$H171,$Y171/$I171),0))))</f>
        <v/>
      </c>
      <c r="AA171" s="84" t="str">
        <f aca="false">IF($D171&lt;&gt;1,"",IF(p_mode="Nœud",$Z171*$K171,$X171*IF($G171="IKS",p_iks_cpu,p_roks_cpu)+$Y171*IF($G171="IKS",p_iks_ram,p_roks_ram))*p_facteur)</f>
        <v/>
      </c>
      <c r="AB171" s="14" t="str">
        <f aca="false">IF($D171&lt;&gt;1,"",MAX($J171,ROUNDUP(MAX($L171/$H171,$M171/$I171),0)))</f>
        <v/>
      </c>
      <c r="AC171" s="84" t="str">
        <f aca="false">IF($D171&lt;&gt;1,"",IF(p_mode="Nœud",$AB171*$K171,$L171*IF($G171="IKS",p_iks_cpu,p_roks_cpu)+$M171*IF($G171="IKS",p_iks_ram,p_roks_ram))*p_facteur)</f>
        <v/>
      </c>
      <c r="AD171" s="14" t="str">
        <f aca="false">IF($D171&lt;&gt;1,"",IF(AND($G171="IKS",$AI171&lt;&gt;1,OR($L171-$P171&lt;$N171,$M171-$Q171&lt;$O171)),1,0))</f>
        <v/>
      </c>
      <c r="AE171" s="14" t="str">
        <f aca="false">IF($D171&lt;&gt;1,"",IF(AND($G171="ROKS",$T171&gt;p_maxworkers),1,0))</f>
        <v/>
      </c>
      <c r="AF171" s="14" t="str">
        <f aca="false">IF($D171&lt;&gt;1,"",IF(INDEX(TblClusters[Environnement],$B171)="","(vide)",INDEX(TblClusters[Environnement],$B171)))</f>
        <v/>
      </c>
      <c r="AG171" s="14" t="str">
        <f aca="false">IF($D171&lt;&gt;1,"",$R171+p_poidsram*$S171)</f>
        <v/>
      </c>
      <c r="AH171" s="14" t="str">
        <f aca="false">IF($D171&lt;&gt;1,"",IFERROR($W171/$AG171,0))</f>
        <v/>
      </c>
      <c r="AI171" s="14" t="str">
        <f aca="false">IF($D171&lt;&gt;1,"",IF(AND($G171="IKS",ISNUMBER(INDEX(TblClusters[Fermeture retenue],$B171))),IF($E171&gt;=INDEX(TblClusters[Fermeture retenue],$B171),1,0),0))</f>
        <v/>
      </c>
    </row>
    <row r="172" customFormat="false" ht="15" hidden="false" customHeight="false" outlineLevel="0" collapsed="false">
      <c r="A172" s="14" t="n">
        <v>167</v>
      </c>
      <c r="B172" s="14" t="n">
        <f aca="false">INT(($A172-1)/36)+1</f>
        <v>5</v>
      </c>
      <c r="C172" s="14" t="n">
        <f aca="false">MOD($A172-1,36)+1</f>
        <v>23</v>
      </c>
      <c r="D172" s="14" t="n">
        <f aca="false">IF($C172&gt;p_horizon,0,IFERROR(IF(AND(INDEX(TblClusters[Cluster],$B172)&lt;&gt;"",ISNUMBER(INDEX(TblClusters[CPU initial (vCPU)],$B172)),ISNUMBER(INDEX(TblClusters[CPU min (vCPU)],$B172)),OR(INDEX(TblClusters[Plateforme],$B172)="IKS",INDEX(TblClusters[Plateforme],$B172)="ROKS")),1,0),0))</f>
        <v>0</v>
      </c>
      <c r="E172" s="83" t="str">
        <f aca="false">IF($D172=1,EDATE(p_debut,$C172-1),"")</f>
        <v/>
      </c>
      <c r="F172" s="14" t="str">
        <f aca="false">IF($D172=1,INDEX(TblClusters[Cluster],$B172),"")</f>
        <v/>
      </c>
      <c r="G172" s="14" t="str">
        <f aca="false">IF($D172=1,INDEX(TblClusters[Plateforme],$B172),"")</f>
        <v/>
      </c>
      <c r="H172" s="14" t="str">
        <f aca="false">IF($D172=1,INDEX(TblClusters[vCPU par nœud],$B172),"")</f>
        <v/>
      </c>
      <c r="I172" s="14" t="str">
        <f aca="false">IF($D172=1,INDEX(TblClusters[RAM par nœud (Go)],$B172),"")</f>
        <v/>
      </c>
      <c r="J172" s="14" t="str">
        <f aca="false">IF($D172=1,INDEX(TblClusters[Workers min],$B172),"")</f>
        <v/>
      </c>
      <c r="K172" s="84" t="str">
        <f aca="false">IF($D172=1,INDEX(TblClusters[Tarif par nœud],$B172),"")</f>
        <v/>
      </c>
      <c r="L172" s="14" t="str">
        <f aca="false">IF($D172=1,INDEX(TblClusters[CPU initial (vCPU)],$B172),"")</f>
        <v/>
      </c>
      <c r="M172" s="14" t="str">
        <f aca="false">IF($D172=1,INDEX(TblClusters[RAM initiale (Go)],$B172),"")</f>
        <v/>
      </c>
      <c r="N172" s="14" t="str">
        <f aca="false">IF($D172=1,INDEX(TblClusters[CPU min (vCPU)],$B172),"")</f>
        <v/>
      </c>
      <c r="O172" s="14" t="str">
        <f aca="false">IF($D172=1,INDEX(TblClusters[RAM min (Go)],$B172),"")</f>
        <v/>
      </c>
      <c r="P172" s="14" t="str">
        <f aca="false">IF($D172&lt;&gt;1,"",IF($G172="ROKS",SUMIFS(TblApplications[Besoin ROKS CPU (vCPU)],TblApplications[Cluster ROKS cible],$F172,TblApplications[Action],"À migrer",TblApplications[Déjà incluse ROKS],"Non",TblApplications[Mois prov (calc)],"&lt;="&amp;$E172),SUMIFS(TblApplications[CPU IKS libérable (vCPU)],TblApplications[Cluster IKS source],$F172,TblApplications[Mois lib (calc)],"&lt;="&amp;$E172)))</f>
        <v/>
      </c>
      <c r="Q172" s="14" t="str">
        <f aca="false">IF($D172&lt;&gt;1,"",IF($G172="ROKS",SUMIFS(TblApplications[Besoin ROKS RAM (Go)],TblApplications[Cluster ROKS cible],$F172,TblApplications[Action],"À migrer",TblApplications[Déjà incluse ROKS],"Non",TblApplications[Mois prov (calc)],"&lt;="&amp;$E172),SUMIFS(TblApplications[RAM IKS libérable (Go)],TblApplications[Cluster IKS source],$F172,TblApplications[Mois lib (calc)],"&lt;="&amp;$E172)))</f>
        <v/>
      </c>
      <c r="R172" s="14" t="str">
        <f aca="false">IF($D172&lt;&gt;1,"",IF($G172="ROKS",$L172+$P172,IF($AI172=1,0,MAX($N172,$L172-$P172))))</f>
        <v/>
      </c>
      <c r="S172" s="14" t="str">
        <f aca="false">IF($D172&lt;&gt;1,"",IF($G172="ROKS",$M172+$Q172,IF($AI172=1,0,MAX($O172,$M172-$Q172))))</f>
        <v/>
      </c>
      <c r="T172" s="14" t="str">
        <f aca="false">IF($D172&lt;&gt;1,"",IF($AI172=1,0,MAX($J172,ROUNDUP(MAX($R172/$H172,$S172/$I172),0))))</f>
        <v/>
      </c>
      <c r="U172" s="14" t="str">
        <f aca="false">IF($D172&lt;&gt;1,"",IF(p_mode="Nœud",$T172*$H172,$R172))</f>
        <v/>
      </c>
      <c r="V172" s="14" t="str">
        <f aca="false">IF($D172&lt;&gt;1,"",IF(p_mode="Nœud",$T172*$I172,$S172))</f>
        <v/>
      </c>
      <c r="W172" s="84" t="str">
        <f aca="false">IF($D172&lt;&gt;1,"",IF(p_mode="Nœud",$T172*$K172,$R172*IF($G172="IKS",p_iks_cpu,p_roks_cpu)+$S172*IF($G172="IKS",p_iks_ram,p_roks_ram))*p_facteur)</f>
        <v/>
      </c>
      <c r="X172" s="14" t="str">
        <f aca="false">IF($D172&lt;&gt;1,"",IF($G172="ROKS",$R172,IF($AI172=1,0,MAX($N172,$L172-SUMIFS(TblApplications[CPU IKS libérable (vCPU)],TblApplications[Cluster IKS source],$F172,TblApplications[Action],"À migrer",TblApplications[Mois prov (calc)],"&lt;="&amp;$E172)-SUMIFS(TblApplications[CPU IKS libérable (vCPU)],TblApplications[Cluster IKS source],$F172,TblApplications[Action],"À décommissionner",TblApplications[Mois lib (calc)],"&lt;="&amp;$E172)))))</f>
        <v/>
      </c>
      <c r="Y172" s="14" t="str">
        <f aca="false">IF($D172&lt;&gt;1,"",IF($G172="ROKS",$S172,IF($AI172=1,0,MAX($O172,$M172-SUMIFS(TblApplications[RAM IKS libérable (Go)],TblApplications[Cluster IKS source],$F172,TblApplications[Action],"À migrer",TblApplications[Mois prov (calc)],"&lt;="&amp;$E172)-SUMIFS(TblApplications[RAM IKS libérable (Go)],TblApplications[Cluster IKS source],$F172,TblApplications[Action],"À décommissionner",TblApplications[Mois lib (calc)],"&lt;="&amp;$E172)))))</f>
        <v/>
      </c>
      <c r="Z172" s="14" t="str">
        <f aca="false">IF($D172&lt;&gt;1,"",IF($AI172=1,0,MAX($J172,ROUNDUP(MAX($X172/$H172,$Y172/$I172),0))))</f>
        <v/>
      </c>
      <c r="AA172" s="84" t="str">
        <f aca="false">IF($D172&lt;&gt;1,"",IF(p_mode="Nœud",$Z172*$K172,$X172*IF($G172="IKS",p_iks_cpu,p_roks_cpu)+$Y172*IF($G172="IKS",p_iks_ram,p_roks_ram))*p_facteur)</f>
        <v/>
      </c>
      <c r="AB172" s="14" t="str">
        <f aca="false">IF($D172&lt;&gt;1,"",MAX($J172,ROUNDUP(MAX($L172/$H172,$M172/$I172),0)))</f>
        <v/>
      </c>
      <c r="AC172" s="84" t="str">
        <f aca="false">IF($D172&lt;&gt;1,"",IF(p_mode="Nœud",$AB172*$K172,$L172*IF($G172="IKS",p_iks_cpu,p_roks_cpu)+$M172*IF($G172="IKS",p_iks_ram,p_roks_ram))*p_facteur)</f>
        <v/>
      </c>
      <c r="AD172" s="14" t="str">
        <f aca="false">IF($D172&lt;&gt;1,"",IF(AND($G172="IKS",$AI172&lt;&gt;1,OR($L172-$P172&lt;$N172,$M172-$Q172&lt;$O172)),1,0))</f>
        <v/>
      </c>
      <c r="AE172" s="14" t="str">
        <f aca="false">IF($D172&lt;&gt;1,"",IF(AND($G172="ROKS",$T172&gt;p_maxworkers),1,0))</f>
        <v/>
      </c>
      <c r="AF172" s="14" t="str">
        <f aca="false">IF($D172&lt;&gt;1,"",IF(INDEX(TblClusters[Environnement],$B172)="","(vide)",INDEX(TblClusters[Environnement],$B172)))</f>
        <v/>
      </c>
      <c r="AG172" s="14" t="str">
        <f aca="false">IF($D172&lt;&gt;1,"",$R172+p_poidsram*$S172)</f>
        <v/>
      </c>
      <c r="AH172" s="14" t="str">
        <f aca="false">IF($D172&lt;&gt;1,"",IFERROR($W172/$AG172,0))</f>
        <v/>
      </c>
      <c r="AI172" s="14" t="str">
        <f aca="false">IF($D172&lt;&gt;1,"",IF(AND($G172="IKS",ISNUMBER(INDEX(TblClusters[Fermeture retenue],$B172))),IF($E172&gt;=INDEX(TblClusters[Fermeture retenue],$B172),1,0),0))</f>
        <v/>
      </c>
    </row>
    <row r="173" customFormat="false" ht="15" hidden="false" customHeight="false" outlineLevel="0" collapsed="false">
      <c r="A173" s="14" t="n">
        <v>168</v>
      </c>
      <c r="B173" s="14" t="n">
        <f aca="false">INT(($A173-1)/36)+1</f>
        <v>5</v>
      </c>
      <c r="C173" s="14" t="n">
        <f aca="false">MOD($A173-1,36)+1</f>
        <v>24</v>
      </c>
      <c r="D173" s="14" t="n">
        <f aca="false">IF($C173&gt;p_horizon,0,IFERROR(IF(AND(INDEX(TblClusters[Cluster],$B173)&lt;&gt;"",ISNUMBER(INDEX(TblClusters[CPU initial (vCPU)],$B173)),ISNUMBER(INDEX(TblClusters[CPU min (vCPU)],$B173)),OR(INDEX(TblClusters[Plateforme],$B173)="IKS",INDEX(TblClusters[Plateforme],$B173)="ROKS")),1,0),0))</f>
        <v>0</v>
      </c>
      <c r="E173" s="83" t="str">
        <f aca="false">IF($D173=1,EDATE(p_debut,$C173-1),"")</f>
        <v/>
      </c>
      <c r="F173" s="14" t="str">
        <f aca="false">IF($D173=1,INDEX(TblClusters[Cluster],$B173),"")</f>
        <v/>
      </c>
      <c r="G173" s="14" t="str">
        <f aca="false">IF($D173=1,INDEX(TblClusters[Plateforme],$B173),"")</f>
        <v/>
      </c>
      <c r="H173" s="14" t="str">
        <f aca="false">IF($D173=1,INDEX(TblClusters[vCPU par nœud],$B173),"")</f>
        <v/>
      </c>
      <c r="I173" s="14" t="str">
        <f aca="false">IF($D173=1,INDEX(TblClusters[RAM par nœud (Go)],$B173),"")</f>
        <v/>
      </c>
      <c r="J173" s="14" t="str">
        <f aca="false">IF($D173=1,INDEX(TblClusters[Workers min],$B173),"")</f>
        <v/>
      </c>
      <c r="K173" s="84" t="str">
        <f aca="false">IF($D173=1,INDEX(TblClusters[Tarif par nœud],$B173),"")</f>
        <v/>
      </c>
      <c r="L173" s="14" t="str">
        <f aca="false">IF($D173=1,INDEX(TblClusters[CPU initial (vCPU)],$B173),"")</f>
        <v/>
      </c>
      <c r="M173" s="14" t="str">
        <f aca="false">IF($D173=1,INDEX(TblClusters[RAM initiale (Go)],$B173),"")</f>
        <v/>
      </c>
      <c r="N173" s="14" t="str">
        <f aca="false">IF($D173=1,INDEX(TblClusters[CPU min (vCPU)],$B173),"")</f>
        <v/>
      </c>
      <c r="O173" s="14" t="str">
        <f aca="false">IF($D173=1,INDEX(TblClusters[RAM min (Go)],$B173),"")</f>
        <v/>
      </c>
      <c r="P173" s="14" t="str">
        <f aca="false">IF($D173&lt;&gt;1,"",IF($G173="ROKS",SUMIFS(TblApplications[Besoin ROKS CPU (vCPU)],TblApplications[Cluster ROKS cible],$F173,TblApplications[Action],"À migrer",TblApplications[Déjà incluse ROKS],"Non",TblApplications[Mois prov (calc)],"&lt;="&amp;$E173),SUMIFS(TblApplications[CPU IKS libérable (vCPU)],TblApplications[Cluster IKS source],$F173,TblApplications[Mois lib (calc)],"&lt;="&amp;$E173)))</f>
        <v/>
      </c>
      <c r="Q173" s="14" t="str">
        <f aca="false">IF($D173&lt;&gt;1,"",IF($G173="ROKS",SUMIFS(TblApplications[Besoin ROKS RAM (Go)],TblApplications[Cluster ROKS cible],$F173,TblApplications[Action],"À migrer",TblApplications[Déjà incluse ROKS],"Non",TblApplications[Mois prov (calc)],"&lt;="&amp;$E173),SUMIFS(TblApplications[RAM IKS libérable (Go)],TblApplications[Cluster IKS source],$F173,TblApplications[Mois lib (calc)],"&lt;="&amp;$E173)))</f>
        <v/>
      </c>
      <c r="R173" s="14" t="str">
        <f aca="false">IF($D173&lt;&gt;1,"",IF($G173="ROKS",$L173+$P173,IF($AI173=1,0,MAX($N173,$L173-$P173))))</f>
        <v/>
      </c>
      <c r="S173" s="14" t="str">
        <f aca="false">IF($D173&lt;&gt;1,"",IF($G173="ROKS",$M173+$Q173,IF($AI173=1,0,MAX($O173,$M173-$Q173))))</f>
        <v/>
      </c>
      <c r="T173" s="14" t="str">
        <f aca="false">IF($D173&lt;&gt;1,"",IF($AI173=1,0,MAX($J173,ROUNDUP(MAX($R173/$H173,$S173/$I173),0))))</f>
        <v/>
      </c>
      <c r="U173" s="14" t="str">
        <f aca="false">IF($D173&lt;&gt;1,"",IF(p_mode="Nœud",$T173*$H173,$R173))</f>
        <v/>
      </c>
      <c r="V173" s="14" t="str">
        <f aca="false">IF($D173&lt;&gt;1,"",IF(p_mode="Nœud",$T173*$I173,$S173))</f>
        <v/>
      </c>
      <c r="W173" s="84" t="str">
        <f aca="false">IF($D173&lt;&gt;1,"",IF(p_mode="Nœud",$T173*$K173,$R173*IF($G173="IKS",p_iks_cpu,p_roks_cpu)+$S173*IF($G173="IKS",p_iks_ram,p_roks_ram))*p_facteur)</f>
        <v/>
      </c>
      <c r="X173" s="14" t="str">
        <f aca="false">IF($D173&lt;&gt;1,"",IF($G173="ROKS",$R173,IF($AI173=1,0,MAX($N173,$L173-SUMIFS(TblApplications[CPU IKS libérable (vCPU)],TblApplications[Cluster IKS source],$F173,TblApplications[Action],"À migrer",TblApplications[Mois prov (calc)],"&lt;="&amp;$E173)-SUMIFS(TblApplications[CPU IKS libérable (vCPU)],TblApplications[Cluster IKS source],$F173,TblApplications[Action],"À décommissionner",TblApplications[Mois lib (calc)],"&lt;="&amp;$E173)))))</f>
        <v/>
      </c>
      <c r="Y173" s="14" t="str">
        <f aca="false">IF($D173&lt;&gt;1,"",IF($G173="ROKS",$S173,IF($AI173=1,0,MAX($O173,$M173-SUMIFS(TblApplications[RAM IKS libérable (Go)],TblApplications[Cluster IKS source],$F173,TblApplications[Action],"À migrer",TblApplications[Mois prov (calc)],"&lt;="&amp;$E173)-SUMIFS(TblApplications[RAM IKS libérable (Go)],TblApplications[Cluster IKS source],$F173,TblApplications[Action],"À décommissionner",TblApplications[Mois lib (calc)],"&lt;="&amp;$E173)))))</f>
        <v/>
      </c>
      <c r="Z173" s="14" t="str">
        <f aca="false">IF($D173&lt;&gt;1,"",IF($AI173=1,0,MAX($J173,ROUNDUP(MAX($X173/$H173,$Y173/$I173),0))))</f>
        <v/>
      </c>
      <c r="AA173" s="84" t="str">
        <f aca="false">IF($D173&lt;&gt;1,"",IF(p_mode="Nœud",$Z173*$K173,$X173*IF($G173="IKS",p_iks_cpu,p_roks_cpu)+$Y173*IF($G173="IKS",p_iks_ram,p_roks_ram))*p_facteur)</f>
        <v/>
      </c>
      <c r="AB173" s="14" t="str">
        <f aca="false">IF($D173&lt;&gt;1,"",MAX($J173,ROUNDUP(MAX($L173/$H173,$M173/$I173),0)))</f>
        <v/>
      </c>
      <c r="AC173" s="84" t="str">
        <f aca="false">IF($D173&lt;&gt;1,"",IF(p_mode="Nœud",$AB173*$K173,$L173*IF($G173="IKS",p_iks_cpu,p_roks_cpu)+$M173*IF($G173="IKS",p_iks_ram,p_roks_ram))*p_facteur)</f>
        <v/>
      </c>
      <c r="AD173" s="14" t="str">
        <f aca="false">IF($D173&lt;&gt;1,"",IF(AND($G173="IKS",$AI173&lt;&gt;1,OR($L173-$P173&lt;$N173,$M173-$Q173&lt;$O173)),1,0))</f>
        <v/>
      </c>
      <c r="AE173" s="14" t="str">
        <f aca="false">IF($D173&lt;&gt;1,"",IF(AND($G173="ROKS",$T173&gt;p_maxworkers),1,0))</f>
        <v/>
      </c>
      <c r="AF173" s="14" t="str">
        <f aca="false">IF($D173&lt;&gt;1,"",IF(INDEX(TblClusters[Environnement],$B173)="","(vide)",INDEX(TblClusters[Environnement],$B173)))</f>
        <v/>
      </c>
      <c r="AG173" s="14" t="str">
        <f aca="false">IF($D173&lt;&gt;1,"",$R173+p_poidsram*$S173)</f>
        <v/>
      </c>
      <c r="AH173" s="14" t="str">
        <f aca="false">IF($D173&lt;&gt;1,"",IFERROR($W173/$AG173,0))</f>
        <v/>
      </c>
      <c r="AI173" s="14" t="str">
        <f aca="false">IF($D173&lt;&gt;1,"",IF(AND($G173="IKS",ISNUMBER(INDEX(TblClusters[Fermeture retenue],$B173))),IF($E173&gt;=INDEX(TblClusters[Fermeture retenue],$B173),1,0),0))</f>
        <v/>
      </c>
    </row>
    <row r="174" customFormat="false" ht="15" hidden="false" customHeight="false" outlineLevel="0" collapsed="false">
      <c r="A174" s="14" t="n">
        <v>169</v>
      </c>
      <c r="B174" s="14" t="n">
        <f aca="false">INT(($A174-1)/36)+1</f>
        <v>5</v>
      </c>
      <c r="C174" s="14" t="n">
        <f aca="false">MOD($A174-1,36)+1</f>
        <v>25</v>
      </c>
      <c r="D174" s="14" t="n">
        <f aca="false">IF($C174&gt;p_horizon,0,IFERROR(IF(AND(INDEX(TblClusters[Cluster],$B174)&lt;&gt;"",ISNUMBER(INDEX(TblClusters[CPU initial (vCPU)],$B174)),ISNUMBER(INDEX(TblClusters[CPU min (vCPU)],$B174)),OR(INDEX(TblClusters[Plateforme],$B174)="IKS",INDEX(TblClusters[Plateforme],$B174)="ROKS")),1,0),0))</f>
        <v>0</v>
      </c>
      <c r="E174" s="83" t="str">
        <f aca="false">IF($D174=1,EDATE(p_debut,$C174-1),"")</f>
        <v/>
      </c>
      <c r="F174" s="14" t="str">
        <f aca="false">IF($D174=1,INDEX(TblClusters[Cluster],$B174),"")</f>
        <v/>
      </c>
      <c r="G174" s="14" t="str">
        <f aca="false">IF($D174=1,INDEX(TblClusters[Plateforme],$B174),"")</f>
        <v/>
      </c>
      <c r="H174" s="14" t="str">
        <f aca="false">IF($D174=1,INDEX(TblClusters[vCPU par nœud],$B174),"")</f>
        <v/>
      </c>
      <c r="I174" s="14" t="str">
        <f aca="false">IF($D174=1,INDEX(TblClusters[RAM par nœud (Go)],$B174),"")</f>
        <v/>
      </c>
      <c r="J174" s="14" t="str">
        <f aca="false">IF($D174=1,INDEX(TblClusters[Workers min],$B174),"")</f>
        <v/>
      </c>
      <c r="K174" s="84" t="str">
        <f aca="false">IF($D174=1,INDEX(TblClusters[Tarif par nœud],$B174),"")</f>
        <v/>
      </c>
      <c r="L174" s="14" t="str">
        <f aca="false">IF($D174=1,INDEX(TblClusters[CPU initial (vCPU)],$B174),"")</f>
        <v/>
      </c>
      <c r="M174" s="14" t="str">
        <f aca="false">IF($D174=1,INDEX(TblClusters[RAM initiale (Go)],$B174),"")</f>
        <v/>
      </c>
      <c r="N174" s="14" t="str">
        <f aca="false">IF($D174=1,INDEX(TblClusters[CPU min (vCPU)],$B174),"")</f>
        <v/>
      </c>
      <c r="O174" s="14" t="str">
        <f aca="false">IF($D174=1,INDEX(TblClusters[RAM min (Go)],$B174),"")</f>
        <v/>
      </c>
      <c r="P174" s="14" t="str">
        <f aca="false">IF($D174&lt;&gt;1,"",IF($G174="ROKS",SUMIFS(TblApplications[Besoin ROKS CPU (vCPU)],TblApplications[Cluster ROKS cible],$F174,TblApplications[Action],"À migrer",TblApplications[Déjà incluse ROKS],"Non",TblApplications[Mois prov (calc)],"&lt;="&amp;$E174),SUMIFS(TblApplications[CPU IKS libérable (vCPU)],TblApplications[Cluster IKS source],$F174,TblApplications[Mois lib (calc)],"&lt;="&amp;$E174)))</f>
        <v/>
      </c>
      <c r="Q174" s="14" t="str">
        <f aca="false">IF($D174&lt;&gt;1,"",IF($G174="ROKS",SUMIFS(TblApplications[Besoin ROKS RAM (Go)],TblApplications[Cluster ROKS cible],$F174,TblApplications[Action],"À migrer",TblApplications[Déjà incluse ROKS],"Non",TblApplications[Mois prov (calc)],"&lt;="&amp;$E174),SUMIFS(TblApplications[RAM IKS libérable (Go)],TblApplications[Cluster IKS source],$F174,TblApplications[Mois lib (calc)],"&lt;="&amp;$E174)))</f>
        <v/>
      </c>
      <c r="R174" s="14" t="str">
        <f aca="false">IF($D174&lt;&gt;1,"",IF($G174="ROKS",$L174+$P174,IF($AI174=1,0,MAX($N174,$L174-$P174))))</f>
        <v/>
      </c>
      <c r="S174" s="14" t="str">
        <f aca="false">IF($D174&lt;&gt;1,"",IF($G174="ROKS",$M174+$Q174,IF($AI174=1,0,MAX($O174,$M174-$Q174))))</f>
        <v/>
      </c>
      <c r="T174" s="14" t="str">
        <f aca="false">IF($D174&lt;&gt;1,"",IF($AI174=1,0,MAX($J174,ROUNDUP(MAX($R174/$H174,$S174/$I174),0))))</f>
        <v/>
      </c>
      <c r="U174" s="14" t="str">
        <f aca="false">IF($D174&lt;&gt;1,"",IF(p_mode="Nœud",$T174*$H174,$R174))</f>
        <v/>
      </c>
      <c r="V174" s="14" t="str">
        <f aca="false">IF($D174&lt;&gt;1,"",IF(p_mode="Nœud",$T174*$I174,$S174))</f>
        <v/>
      </c>
      <c r="W174" s="84" t="str">
        <f aca="false">IF($D174&lt;&gt;1,"",IF(p_mode="Nœud",$T174*$K174,$R174*IF($G174="IKS",p_iks_cpu,p_roks_cpu)+$S174*IF($G174="IKS",p_iks_ram,p_roks_ram))*p_facteur)</f>
        <v/>
      </c>
      <c r="X174" s="14" t="str">
        <f aca="false">IF($D174&lt;&gt;1,"",IF($G174="ROKS",$R174,IF($AI174=1,0,MAX($N174,$L174-SUMIFS(TblApplications[CPU IKS libérable (vCPU)],TblApplications[Cluster IKS source],$F174,TblApplications[Action],"À migrer",TblApplications[Mois prov (calc)],"&lt;="&amp;$E174)-SUMIFS(TblApplications[CPU IKS libérable (vCPU)],TblApplications[Cluster IKS source],$F174,TblApplications[Action],"À décommissionner",TblApplications[Mois lib (calc)],"&lt;="&amp;$E174)))))</f>
        <v/>
      </c>
      <c r="Y174" s="14" t="str">
        <f aca="false">IF($D174&lt;&gt;1,"",IF($G174="ROKS",$S174,IF($AI174=1,0,MAX($O174,$M174-SUMIFS(TblApplications[RAM IKS libérable (Go)],TblApplications[Cluster IKS source],$F174,TblApplications[Action],"À migrer",TblApplications[Mois prov (calc)],"&lt;="&amp;$E174)-SUMIFS(TblApplications[RAM IKS libérable (Go)],TblApplications[Cluster IKS source],$F174,TblApplications[Action],"À décommissionner",TblApplications[Mois lib (calc)],"&lt;="&amp;$E174)))))</f>
        <v/>
      </c>
      <c r="Z174" s="14" t="str">
        <f aca="false">IF($D174&lt;&gt;1,"",IF($AI174=1,0,MAX($J174,ROUNDUP(MAX($X174/$H174,$Y174/$I174),0))))</f>
        <v/>
      </c>
      <c r="AA174" s="84" t="str">
        <f aca="false">IF($D174&lt;&gt;1,"",IF(p_mode="Nœud",$Z174*$K174,$X174*IF($G174="IKS",p_iks_cpu,p_roks_cpu)+$Y174*IF($G174="IKS",p_iks_ram,p_roks_ram))*p_facteur)</f>
        <v/>
      </c>
      <c r="AB174" s="14" t="str">
        <f aca="false">IF($D174&lt;&gt;1,"",MAX($J174,ROUNDUP(MAX($L174/$H174,$M174/$I174),0)))</f>
        <v/>
      </c>
      <c r="AC174" s="84" t="str">
        <f aca="false">IF($D174&lt;&gt;1,"",IF(p_mode="Nœud",$AB174*$K174,$L174*IF($G174="IKS",p_iks_cpu,p_roks_cpu)+$M174*IF($G174="IKS",p_iks_ram,p_roks_ram))*p_facteur)</f>
        <v/>
      </c>
      <c r="AD174" s="14" t="str">
        <f aca="false">IF($D174&lt;&gt;1,"",IF(AND($G174="IKS",$AI174&lt;&gt;1,OR($L174-$P174&lt;$N174,$M174-$Q174&lt;$O174)),1,0))</f>
        <v/>
      </c>
      <c r="AE174" s="14" t="str">
        <f aca="false">IF($D174&lt;&gt;1,"",IF(AND($G174="ROKS",$T174&gt;p_maxworkers),1,0))</f>
        <v/>
      </c>
      <c r="AF174" s="14" t="str">
        <f aca="false">IF($D174&lt;&gt;1,"",IF(INDEX(TblClusters[Environnement],$B174)="","(vide)",INDEX(TblClusters[Environnement],$B174)))</f>
        <v/>
      </c>
      <c r="AG174" s="14" t="str">
        <f aca="false">IF($D174&lt;&gt;1,"",$R174+p_poidsram*$S174)</f>
        <v/>
      </c>
      <c r="AH174" s="14" t="str">
        <f aca="false">IF($D174&lt;&gt;1,"",IFERROR($W174/$AG174,0))</f>
        <v/>
      </c>
      <c r="AI174" s="14" t="str">
        <f aca="false">IF($D174&lt;&gt;1,"",IF(AND($G174="IKS",ISNUMBER(INDEX(TblClusters[Fermeture retenue],$B174))),IF($E174&gt;=INDEX(TblClusters[Fermeture retenue],$B174),1,0),0))</f>
        <v/>
      </c>
    </row>
    <row r="175" customFormat="false" ht="15" hidden="false" customHeight="false" outlineLevel="0" collapsed="false">
      <c r="A175" s="14" t="n">
        <v>170</v>
      </c>
      <c r="B175" s="14" t="n">
        <f aca="false">INT(($A175-1)/36)+1</f>
        <v>5</v>
      </c>
      <c r="C175" s="14" t="n">
        <f aca="false">MOD($A175-1,36)+1</f>
        <v>26</v>
      </c>
      <c r="D175" s="14" t="n">
        <f aca="false">IF($C175&gt;p_horizon,0,IFERROR(IF(AND(INDEX(TblClusters[Cluster],$B175)&lt;&gt;"",ISNUMBER(INDEX(TblClusters[CPU initial (vCPU)],$B175)),ISNUMBER(INDEX(TblClusters[CPU min (vCPU)],$B175)),OR(INDEX(TblClusters[Plateforme],$B175)="IKS",INDEX(TblClusters[Plateforme],$B175)="ROKS")),1,0),0))</f>
        <v>0</v>
      </c>
      <c r="E175" s="83" t="str">
        <f aca="false">IF($D175=1,EDATE(p_debut,$C175-1),"")</f>
        <v/>
      </c>
      <c r="F175" s="14" t="str">
        <f aca="false">IF($D175=1,INDEX(TblClusters[Cluster],$B175),"")</f>
        <v/>
      </c>
      <c r="G175" s="14" t="str">
        <f aca="false">IF($D175=1,INDEX(TblClusters[Plateforme],$B175),"")</f>
        <v/>
      </c>
      <c r="H175" s="14" t="str">
        <f aca="false">IF($D175=1,INDEX(TblClusters[vCPU par nœud],$B175),"")</f>
        <v/>
      </c>
      <c r="I175" s="14" t="str">
        <f aca="false">IF($D175=1,INDEX(TblClusters[RAM par nœud (Go)],$B175),"")</f>
        <v/>
      </c>
      <c r="J175" s="14" t="str">
        <f aca="false">IF($D175=1,INDEX(TblClusters[Workers min],$B175),"")</f>
        <v/>
      </c>
      <c r="K175" s="84" t="str">
        <f aca="false">IF($D175=1,INDEX(TblClusters[Tarif par nœud],$B175),"")</f>
        <v/>
      </c>
      <c r="L175" s="14" t="str">
        <f aca="false">IF($D175=1,INDEX(TblClusters[CPU initial (vCPU)],$B175),"")</f>
        <v/>
      </c>
      <c r="M175" s="14" t="str">
        <f aca="false">IF($D175=1,INDEX(TblClusters[RAM initiale (Go)],$B175),"")</f>
        <v/>
      </c>
      <c r="N175" s="14" t="str">
        <f aca="false">IF($D175=1,INDEX(TblClusters[CPU min (vCPU)],$B175),"")</f>
        <v/>
      </c>
      <c r="O175" s="14" t="str">
        <f aca="false">IF($D175=1,INDEX(TblClusters[RAM min (Go)],$B175),"")</f>
        <v/>
      </c>
      <c r="P175" s="14" t="str">
        <f aca="false">IF($D175&lt;&gt;1,"",IF($G175="ROKS",SUMIFS(TblApplications[Besoin ROKS CPU (vCPU)],TblApplications[Cluster ROKS cible],$F175,TblApplications[Action],"À migrer",TblApplications[Déjà incluse ROKS],"Non",TblApplications[Mois prov (calc)],"&lt;="&amp;$E175),SUMIFS(TblApplications[CPU IKS libérable (vCPU)],TblApplications[Cluster IKS source],$F175,TblApplications[Mois lib (calc)],"&lt;="&amp;$E175)))</f>
        <v/>
      </c>
      <c r="Q175" s="14" t="str">
        <f aca="false">IF($D175&lt;&gt;1,"",IF($G175="ROKS",SUMIFS(TblApplications[Besoin ROKS RAM (Go)],TblApplications[Cluster ROKS cible],$F175,TblApplications[Action],"À migrer",TblApplications[Déjà incluse ROKS],"Non",TblApplications[Mois prov (calc)],"&lt;="&amp;$E175),SUMIFS(TblApplications[RAM IKS libérable (Go)],TblApplications[Cluster IKS source],$F175,TblApplications[Mois lib (calc)],"&lt;="&amp;$E175)))</f>
        <v/>
      </c>
      <c r="R175" s="14" t="str">
        <f aca="false">IF($D175&lt;&gt;1,"",IF($G175="ROKS",$L175+$P175,IF($AI175=1,0,MAX($N175,$L175-$P175))))</f>
        <v/>
      </c>
      <c r="S175" s="14" t="str">
        <f aca="false">IF($D175&lt;&gt;1,"",IF($G175="ROKS",$M175+$Q175,IF($AI175=1,0,MAX($O175,$M175-$Q175))))</f>
        <v/>
      </c>
      <c r="T175" s="14" t="str">
        <f aca="false">IF($D175&lt;&gt;1,"",IF($AI175=1,0,MAX($J175,ROUNDUP(MAX($R175/$H175,$S175/$I175),0))))</f>
        <v/>
      </c>
      <c r="U175" s="14" t="str">
        <f aca="false">IF($D175&lt;&gt;1,"",IF(p_mode="Nœud",$T175*$H175,$R175))</f>
        <v/>
      </c>
      <c r="V175" s="14" t="str">
        <f aca="false">IF($D175&lt;&gt;1,"",IF(p_mode="Nœud",$T175*$I175,$S175))</f>
        <v/>
      </c>
      <c r="W175" s="84" t="str">
        <f aca="false">IF($D175&lt;&gt;1,"",IF(p_mode="Nœud",$T175*$K175,$R175*IF($G175="IKS",p_iks_cpu,p_roks_cpu)+$S175*IF($G175="IKS",p_iks_ram,p_roks_ram))*p_facteur)</f>
        <v/>
      </c>
      <c r="X175" s="14" t="str">
        <f aca="false">IF($D175&lt;&gt;1,"",IF($G175="ROKS",$R175,IF($AI175=1,0,MAX($N175,$L175-SUMIFS(TblApplications[CPU IKS libérable (vCPU)],TblApplications[Cluster IKS source],$F175,TblApplications[Action],"À migrer",TblApplications[Mois prov (calc)],"&lt;="&amp;$E175)-SUMIFS(TblApplications[CPU IKS libérable (vCPU)],TblApplications[Cluster IKS source],$F175,TblApplications[Action],"À décommissionner",TblApplications[Mois lib (calc)],"&lt;="&amp;$E175)))))</f>
        <v/>
      </c>
      <c r="Y175" s="14" t="str">
        <f aca="false">IF($D175&lt;&gt;1,"",IF($G175="ROKS",$S175,IF($AI175=1,0,MAX($O175,$M175-SUMIFS(TblApplications[RAM IKS libérable (Go)],TblApplications[Cluster IKS source],$F175,TblApplications[Action],"À migrer",TblApplications[Mois prov (calc)],"&lt;="&amp;$E175)-SUMIFS(TblApplications[RAM IKS libérable (Go)],TblApplications[Cluster IKS source],$F175,TblApplications[Action],"À décommissionner",TblApplications[Mois lib (calc)],"&lt;="&amp;$E175)))))</f>
        <v/>
      </c>
      <c r="Z175" s="14" t="str">
        <f aca="false">IF($D175&lt;&gt;1,"",IF($AI175=1,0,MAX($J175,ROUNDUP(MAX($X175/$H175,$Y175/$I175),0))))</f>
        <v/>
      </c>
      <c r="AA175" s="84" t="str">
        <f aca="false">IF($D175&lt;&gt;1,"",IF(p_mode="Nœud",$Z175*$K175,$X175*IF($G175="IKS",p_iks_cpu,p_roks_cpu)+$Y175*IF($G175="IKS",p_iks_ram,p_roks_ram))*p_facteur)</f>
        <v/>
      </c>
      <c r="AB175" s="14" t="str">
        <f aca="false">IF($D175&lt;&gt;1,"",MAX($J175,ROUNDUP(MAX($L175/$H175,$M175/$I175),0)))</f>
        <v/>
      </c>
      <c r="AC175" s="84" t="str">
        <f aca="false">IF($D175&lt;&gt;1,"",IF(p_mode="Nœud",$AB175*$K175,$L175*IF($G175="IKS",p_iks_cpu,p_roks_cpu)+$M175*IF($G175="IKS",p_iks_ram,p_roks_ram))*p_facteur)</f>
        <v/>
      </c>
      <c r="AD175" s="14" t="str">
        <f aca="false">IF($D175&lt;&gt;1,"",IF(AND($G175="IKS",$AI175&lt;&gt;1,OR($L175-$P175&lt;$N175,$M175-$Q175&lt;$O175)),1,0))</f>
        <v/>
      </c>
      <c r="AE175" s="14" t="str">
        <f aca="false">IF($D175&lt;&gt;1,"",IF(AND($G175="ROKS",$T175&gt;p_maxworkers),1,0))</f>
        <v/>
      </c>
      <c r="AF175" s="14" t="str">
        <f aca="false">IF($D175&lt;&gt;1,"",IF(INDEX(TblClusters[Environnement],$B175)="","(vide)",INDEX(TblClusters[Environnement],$B175)))</f>
        <v/>
      </c>
      <c r="AG175" s="14" t="str">
        <f aca="false">IF($D175&lt;&gt;1,"",$R175+p_poidsram*$S175)</f>
        <v/>
      </c>
      <c r="AH175" s="14" t="str">
        <f aca="false">IF($D175&lt;&gt;1,"",IFERROR($W175/$AG175,0))</f>
        <v/>
      </c>
      <c r="AI175" s="14" t="str">
        <f aca="false">IF($D175&lt;&gt;1,"",IF(AND($G175="IKS",ISNUMBER(INDEX(TblClusters[Fermeture retenue],$B175))),IF($E175&gt;=INDEX(TblClusters[Fermeture retenue],$B175),1,0),0))</f>
        <v/>
      </c>
    </row>
    <row r="176" customFormat="false" ht="15" hidden="false" customHeight="false" outlineLevel="0" collapsed="false">
      <c r="A176" s="14" t="n">
        <v>171</v>
      </c>
      <c r="B176" s="14" t="n">
        <f aca="false">INT(($A176-1)/36)+1</f>
        <v>5</v>
      </c>
      <c r="C176" s="14" t="n">
        <f aca="false">MOD($A176-1,36)+1</f>
        <v>27</v>
      </c>
      <c r="D176" s="14" t="n">
        <f aca="false">IF($C176&gt;p_horizon,0,IFERROR(IF(AND(INDEX(TblClusters[Cluster],$B176)&lt;&gt;"",ISNUMBER(INDEX(TblClusters[CPU initial (vCPU)],$B176)),ISNUMBER(INDEX(TblClusters[CPU min (vCPU)],$B176)),OR(INDEX(TblClusters[Plateforme],$B176)="IKS",INDEX(TblClusters[Plateforme],$B176)="ROKS")),1,0),0))</f>
        <v>0</v>
      </c>
      <c r="E176" s="83" t="str">
        <f aca="false">IF($D176=1,EDATE(p_debut,$C176-1),"")</f>
        <v/>
      </c>
      <c r="F176" s="14" t="str">
        <f aca="false">IF($D176=1,INDEX(TblClusters[Cluster],$B176),"")</f>
        <v/>
      </c>
      <c r="G176" s="14" t="str">
        <f aca="false">IF($D176=1,INDEX(TblClusters[Plateforme],$B176),"")</f>
        <v/>
      </c>
      <c r="H176" s="14" t="str">
        <f aca="false">IF($D176=1,INDEX(TblClusters[vCPU par nœud],$B176),"")</f>
        <v/>
      </c>
      <c r="I176" s="14" t="str">
        <f aca="false">IF($D176=1,INDEX(TblClusters[RAM par nœud (Go)],$B176),"")</f>
        <v/>
      </c>
      <c r="J176" s="14" t="str">
        <f aca="false">IF($D176=1,INDEX(TblClusters[Workers min],$B176),"")</f>
        <v/>
      </c>
      <c r="K176" s="84" t="str">
        <f aca="false">IF($D176=1,INDEX(TblClusters[Tarif par nœud],$B176),"")</f>
        <v/>
      </c>
      <c r="L176" s="14" t="str">
        <f aca="false">IF($D176=1,INDEX(TblClusters[CPU initial (vCPU)],$B176),"")</f>
        <v/>
      </c>
      <c r="M176" s="14" t="str">
        <f aca="false">IF($D176=1,INDEX(TblClusters[RAM initiale (Go)],$B176),"")</f>
        <v/>
      </c>
      <c r="N176" s="14" t="str">
        <f aca="false">IF($D176=1,INDEX(TblClusters[CPU min (vCPU)],$B176),"")</f>
        <v/>
      </c>
      <c r="O176" s="14" t="str">
        <f aca="false">IF($D176=1,INDEX(TblClusters[RAM min (Go)],$B176),"")</f>
        <v/>
      </c>
      <c r="P176" s="14" t="str">
        <f aca="false">IF($D176&lt;&gt;1,"",IF($G176="ROKS",SUMIFS(TblApplications[Besoin ROKS CPU (vCPU)],TblApplications[Cluster ROKS cible],$F176,TblApplications[Action],"À migrer",TblApplications[Déjà incluse ROKS],"Non",TblApplications[Mois prov (calc)],"&lt;="&amp;$E176),SUMIFS(TblApplications[CPU IKS libérable (vCPU)],TblApplications[Cluster IKS source],$F176,TblApplications[Mois lib (calc)],"&lt;="&amp;$E176)))</f>
        <v/>
      </c>
      <c r="Q176" s="14" t="str">
        <f aca="false">IF($D176&lt;&gt;1,"",IF($G176="ROKS",SUMIFS(TblApplications[Besoin ROKS RAM (Go)],TblApplications[Cluster ROKS cible],$F176,TblApplications[Action],"À migrer",TblApplications[Déjà incluse ROKS],"Non",TblApplications[Mois prov (calc)],"&lt;="&amp;$E176),SUMIFS(TblApplications[RAM IKS libérable (Go)],TblApplications[Cluster IKS source],$F176,TblApplications[Mois lib (calc)],"&lt;="&amp;$E176)))</f>
        <v/>
      </c>
      <c r="R176" s="14" t="str">
        <f aca="false">IF($D176&lt;&gt;1,"",IF($G176="ROKS",$L176+$P176,IF($AI176=1,0,MAX($N176,$L176-$P176))))</f>
        <v/>
      </c>
      <c r="S176" s="14" t="str">
        <f aca="false">IF($D176&lt;&gt;1,"",IF($G176="ROKS",$M176+$Q176,IF($AI176=1,0,MAX($O176,$M176-$Q176))))</f>
        <v/>
      </c>
      <c r="T176" s="14" t="str">
        <f aca="false">IF($D176&lt;&gt;1,"",IF($AI176=1,0,MAX($J176,ROUNDUP(MAX($R176/$H176,$S176/$I176),0))))</f>
        <v/>
      </c>
      <c r="U176" s="14" t="str">
        <f aca="false">IF($D176&lt;&gt;1,"",IF(p_mode="Nœud",$T176*$H176,$R176))</f>
        <v/>
      </c>
      <c r="V176" s="14" t="str">
        <f aca="false">IF($D176&lt;&gt;1,"",IF(p_mode="Nœud",$T176*$I176,$S176))</f>
        <v/>
      </c>
      <c r="W176" s="84" t="str">
        <f aca="false">IF($D176&lt;&gt;1,"",IF(p_mode="Nœud",$T176*$K176,$R176*IF($G176="IKS",p_iks_cpu,p_roks_cpu)+$S176*IF($G176="IKS",p_iks_ram,p_roks_ram))*p_facteur)</f>
        <v/>
      </c>
      <c r="X176" s="14" t="str">
        <f aca="false">IF($D176&lt;&gt;1,"",IF($G176="ROKS",$R176,IF($AI176=1,0,MAX($N176,$L176-SUMIFS(TblApplications[CPU IKS libérable (vCPU)],TblApplications[Cluster IKS source],$F176,TblApplications[Action],"À migrer",TblApplications[Mois prov (calc)],"&lt;="&amp;$E176)-SUMIFS(TblApplications[CPU IKS libérable (vCPU)],TblApplications[Cluster IKS source],$F176,TblApplications[Action],"À décommissionner",TblApplications[Mois lib (calc)],"&lt;="&amp;$E176)))))</f>
        <v/>
      </c>
      <c r="Y176" s="14" t="str">
        <f aca="false">IF($D176&lt;&gt;1,"",IF($G176="ROKS",$S176,IF($AI176=1,0,MAX($O176,$M176-SUMIFS(TblApplications[RAM IKS libérable (Go)],TblApplications[Cluster IKS source],$F176,TblApplications[Action],"À migrer",TblApplications[Mois prov (calc)],"&lt;="&amp;$E176)-SUMIFS(TblApplications[RAM IKS libérable (Go)],TblApplications[Cluster IKS source],$F176,TblApplications[Action],"À décommissionner",TblApplications[Mois lib (calc)],"&lt;="&amp;$E176)))))</f>
        <v/>
      </c>
      <c r="Z176" s="14" t="str">
        <f aca="false">IF($D176&lt;&gt;1,"",IF($AI176=1,0,MAX($J176,ROUNDUP(MAX($X176/$H176,$Y176/$I176),0))))</f>
        <v/>
      </c>
      <c r="AA176" s="84" t="str">
        <f aca="false">IF($D176&lt;&gt;1,"",IF(p_mode="Nœud",$Z176*$K176,$X176*IF($G176="IKS",p_iks_cpu,p_roks_cpu)+$Y176*IF($G176="IKS",p_iks_ram,p_roks_ram))*p_facteur)</f>
        <v/>
      </c>
      <c r="AB176" s="14" t="str">
        <f aca="false">IF($D176&lt;&gt;1,"",MAX($J176,ROUNDUP(MAX($L176/$H176,$M176/$I176),0)))</f>
        <v/>
      </c>
      <c r="AC176" s="84" t="str">
        <f aca="false">IF($D176&lt;&gt;1,"",IF(p_mode="Nœud",$AB176*$K176,$L176*IF($G176="IKS",p_iks_cpu,p_roks_cpu)+$M176*IF($G176="IKS",p_iks_ram,p_roks_ram))*p_facteur)</f>
        <v/>
      </c>
      <c r="AD176" s="14" t="str">
        <f aca="false">IF($D176&lt;&gt;1,"",IF(AND($G176="IKS",$AI176&lt;&gt;1,OR($L176-$P176&lt;$N176,$M176-$Q176&lt;$O176)),1,0))</f>
        <v/>
      </c>
      <c r="AE176" s="14" t="str">
        <f aca="false">IF($D176&lt;&gt;1,"",IF(AND($G176="ROKS",$T176&gt;p_maxworkers),1,0))</f>
        <v/>
      </c>
      <c r="AF176" s="14" t="str">
        <f aca="false">IF($D176&lt;&gt;1,"",IF(INDEX(TblClusters[Environnement],$B176)="","(vide)",INDEX(TblClusters[Environnement],$B176)))</f>
        <v/>
      </c>
      <c r="AG176" s="14" t="str">
        <f aca="false">IF($D176&lt;&gt;1,"",$R176+p_poidsram*$S176)</f>
        <v/>
      </c>
      <c r="AH176" s="14" t="str">
        <f aca="false">IF($D176&lt;&gt;1,"",IFERROR($W176/$AG176,0))</f>
        <v/>
      </c>
      <c r="AI176" s="14" t="str">
        <f aca="false">IF($D176&lt;&gt;1,"",IF(AND($G176="IKS",ISNUMBER(INDEX(TblClusters[Fermeture retenue],$B176))),IF($E176&gt;=INDEX(TblClusters[Fermeture retenue],$B176),1,0),0))</f>
        <v/>
      </c>
    </row>
    <row r="177" customFormat="false" ht="15" hidden="false" customHeight="false" outlineLevel="0" collapsed="false">
      <c r="A177" s="14" t="n">
        <v>172</v>
      </c>
      <c r="B177" s="14" t="n">
        <f aca="false">INT(($A177-1)/36)+1</f>
        <v>5</v>
      </c>
      <c r="C177" s="14" t="n">
        <f aca="false">MOD($A177-1,36)+1</f>
        <v>28</v>
      </c>
      <c r="D177" s="14" t="n">
        <f aca="false">IF($C177&gt;p_horizon,0,IFERROR(IF(AND(INDEX(TblClusters[Cluster],$B177)&lt;&gt;"",ISNUMBER(INDEX(TblClusters[CPU initial (vCPU)],$B177)),ISNUMBER(INDEX(TblClusters[CPU min (vCPU)],$B177)),OR(INDEX(TblClusters[Plateforme],$B177)="IKS",INDEX(TblClusters[Plateforme],$B177)="ROKS")),1,0),0))</f>
        <v>0</v>
      </c>
      <c r="E177" s="83" t="str">
        <f aca="false">IF($D177=1,EDATE(p_debut,$C177-1),"")</f>
        <v/>
      </c>
      <c r="F177" s="14" t="str">
        <f aca="false">IF($D177=1,INDEX(TblClusters[Cluster],$B177),"")</f>
        <v/>
      </c>
      <c r="G177" s="14" t="str">
        <f aca="false">IF($D177=1,INDEX(TblClusters[Plateforme],$B177),"")</f>
        <v/>
      </c>
      <c r="H177" s="14" t="str">
        <f aca="false">IF($D177=1,INDEX(TblClusters[vCPU par nœud],$B177),"")</f>
        <v/>
      </c>
      <c r="I177" s="14" t="str">
        <f aca="false">IF($D177=1,INDEX(TblClusters[RAM par nœud (Go)],$B177),"")</f>
        <v/>
      </c>
      <c r="J177" s="14" t="str">
        <f aca="false">IF($D177=1,INDEX(TblClusters[Workers min],$B177),"")</f>
        <v/>
      </c>
      <c r="K177" s="84" t="str">
        <f aca="false">IF($D177=1,INDEX(TblClusters[Tarif par nœud],$B177),"")</f>
        <v/>
      </c>
      <c r="L177" s="14" t="str">
        <f aca="false">IF($D177=1,INDEX(TblClusters[CPU initial (vCPU)],$B177),"")</f>
        <v/>
      </c>
      <c r="M177" s="14" t="str">
        <f aca="false">IF($D177=1,INDEX(TblClusters[RAM initiale (Go)],$B177),"")</f>
        <v/>
      </c>
      <c r="N177" s="14" t="str">
        <f aca="false">IF($D177=1,INDEX(TblClusters[CPU min (vCPU)],$B177),"")</f>
        <v/>
      </c>
      <c r="O177" s="14" t="str">
        <f aca="false">IF($D177=1,INDEX(TblClusters[RAM min (Go)],$B177),"")</f>
        <v/>
      </c>
      <c r="P177" s="14" t="str">
        <f aca="false">IF($D177&lt;&gt;1,"",IF($G177="ROKS",SUMIFS(TblApplications[Besoin ROKS CPU (vCPU)],TblApplications[Cluster ROKS cible],$F177,TblApplications[Action],"À migrer",TblApplications[Déjà incluse ROKS],"Non",TblApplications[Mois prov (calc)],"&lt;="&amp;$E177),SUMIFS(TblApplications[CPU IKS libérable (vCPU)],TblApplications[Cluster IKS source],$F177,TblApplications[Mois lib (calc)],"&lt;="&amp;$E177)))</f>
        <v/>
      </c>
      <c r="Q177" s="14" t="str">
        <f aca="false">IF($D177&lt;&gt;1,"",IF($G177="ROKS",SUMIFS(TblApplications[Besoin ROKS RAM (Go)],TblApplications[Cluster ROKS cible],$F177,TblApplications[Action],"À migrer",TblApplications[Déjà incluse ROKS],"Non",TblApplications[Mois prov (calc)],"&lt;="&amp;$E177),SUMIFS(TblApplications[RAM IKS libérable (Go)],TblApplications[Cluster IKS source],$F177,TblApplications[Mois lib (calc)],"&lt;="&amp;$E177)))</f>
        <v/>
      </c>
      <c r="R177" s="14" t="str">
        <f aca="false">IF($D177&lt;&gt;1,"",IF($G177="ROKS",$L177+$P177,IF($AI177=1,0,MAX($N177,$L177-$P177))))</f>
        <v/>
      </c>
      <c r="S177" s="14" t="str">
        <f aca="false">IF($D177&lt;&gt;1,"",IF($G177="ROKS",$M177+$Q177,IF($AI177=1,0,MAX($O177,$M177-$Q177))))</f>
        <v/>
      </c>
      <c r="T177" s="14" t="str">
        <f aca="false">IF($D177&lt;&gt;1,"",IF($AI177=1,0,MAX($J177,ROUNDUP(MAX($R177/$H177,$S177/$I177),0))))</f>
        <v/>
      </c>
      <c r="U177" s="14" t="str">
        <f aca="false">IF($D177&lt;&gt;1,"",IF(p_mode="Nœud",$T177*$H177,$R177))</f>
        <v/>
      </c>
      <c r="V177" s="14" t="str">
        <f aca="false">IF($D177&lt;&gt;1,"",IF(p_mode="Nœud",$T177*$I177,$S177))</f>
        <v/>
      </c>
      <c r="W177" s="84" t="str">
        <f aca="false">IF($D177&lt;&gt;1,"",IF(p_mode="Nœud",$T177*$K177,$R177*IF($G177="IKS",p_iks_cpu,p_roks_cpu)+$S177*IF($G177="IKS",p_iks_ram,p_roks_ram))*p_facteur)</f>
        <v/>
      </c>
      <c r="X177" s="14" t="str">
        <f aca="false">IF($D177&lt;&gt;1,"",IF($G177="ROKS",$R177,IF($AI177=1,0,MAX($N177,$L177-SUMIFS(TblApplications[CPU IKS libérable (vCPU)],TblApplications[Cluster IKS source],$F177,TblApplications[Action],"À migrer",TblApplications[Mois prov (calc)],"&lt;="&amp;$E177)-SUMIFS(TblApplications[CPU IKS libérable (vCPU)],TblApplications[Cluster IKS source],$F177,TblApplications[Action],"À décommissionner",TblApplications[Mois lib (calc)],"&lt;="&amp;$E177)))))</f>
        <v/>
      </c>
      <c r="Y177" s="14" t="str">
        <f aca="false">IF($D177&lt;&gt;1,"",IF($G177="ROKS",$S177,IF($AI177=1,0,MAX($O177,$M177-SUMIFS(TblApplications[RAM IKS libérable (Go)],TblApplications[Cluster IKS source],$F177,TblApplications[Action],"À migrer",TblApplications[Mois prov (calc)],"&lt;="&amp;$E177)-SUMIFS(TblApplications[RAM IKS libérable (Go)],TblApplications[Cluster IKS source],$F177,TblApplications[Action],"À décommissionner",TblApplications[Mois lib (calc)],"&lt;="&amp;$E177)))))</f>
        <v/>
      </c>
      <c r="Z177" s="14" t="str">
        <f aca="false">IF($D177&lt;&gt;1,"",IF($AI177=1,0,MAX($J177,ROUNDUP(MAX($X177/$H177,$Y177/$I177),0))))</f>
        <v/>
      </c>
      <c r="AA177" s="84" t="str">
        <f aca="false">IF($D177&lt;&gt;1,"",IF(p_mode="Nœud",$Z177*$K177,$X177*IF($G177="IKS",p_iks_cpu,p_roks_cpu)+$Y177*IF($G177="IKS",p_iks_ram,p_roks_ram))*p_facteur)</f>
        <v/>
      </c>
      <c r="AB177" s="14" t="str">
        <f aca="false">IF($D177&lt;&gt;1,"",MAX($J177,ROUNDUP(MAX($L177/$H177,$M177/$I177),0)))</f>
        <v/>
      </c>
      <c r="AC177" s="84" t="str">
        <f aca="false">IF($D177&lt;&gt;1,"",IF(p_mode="Nœud",$AB177*$K177,$L177*IF($G177="IKS",p_iks_cpu,p_roks_cpu)+$M177*IF($G177="IKS",p_iks_ram,p_roks_ram))*p_facteur)</f>
        <v/>
      </c>
      <c r="AD177" s="14" t="str">
        <f aca="false">IF($D177&lt;&gt;1,"",IF(AND($G177="IKS",$AI177&lt;&gt;1,OR($L177-$P177&lt;$N177,$M177-$Q177&lt;$O177)),1,0))</f>
        <v/>
      </c>
      <c r="AE177" s="14" t="str">
        <f aca="false">IF($D177&lt;&gt;1,"",IF(AND($G177="ROKS",$T177&gt;p_maxworkers),1,0))</f>
        <v/>
      </c>
      <c r="AF177" s="14" t="str">
        <f aca="false">IF($D177&lt;&gt;1,"",IF(INDEX(TblClusters[Environnement],$B177)="","(vide)",INDEX(TblClusters[Environnement],$B177)))</f>
        <v/>
      </c>
      <c r="AG177" s="14" t="str">
        <f aca="false">IF($D177&lt;&gt;1,"",$R177+p_poidsram*$S177)</f>
        <v/>
      </c>
      <c r="AH177" s="14" t="str">
        <f aca="false">IF($D177&lt;&gt;1,"",IFERROR($W177/$AG177,0))</f>
        <v/>
      </c>
      <c r="AI177" s="14" t="str">
        <f aca="false">IF($D177&lt;&gt;1,"",IF(AND($G177="IKS",ISNUMBER(INDEX(TblClusters[Fermeture retenue],$B177))),IF($E177&gt;=INDEX(TblClusters[Fermeture retenue],$B177),1,0),0))</f>
        <v/>
      </c>
    </row>
    <row r="178" customFormat="false" ht="15" hidden="false" customHeight="false" outlineLevel="0" collapsed="false">
      <c r="A178" s="14" t="n">
        <v>173</v>
      </c>
      <c r="B178" s="14" t="n">
        <f aca="false">INT(($A178-1)/36)+1</f>
        <v>5</v>
      </c>
      <c r="C178" s="14" t="n">
        <f aca="false">MOD($A178-1,36)+1</f>
        <v>29</v>
      </c>
      <c r="D178" s="14" t="n">
        <f aca="false">IF($C178&gt;p_horizon,0,IFERROR(IF(AND(INDEX(TblClusters[Cluster],$B178)&lt;&gt;"",ISNUMBER(INDEX(TblClusters[CPU initial (vCPU)],$B178)),ISNUMBER(INDEX(TblClusters[CPU min (vCPU)],$B178)),OR(INDEX(TblClusters[Plateforme],$B178)="IKS",INDEX(TblClusters[Plateforme],$B178)="ROKS")),1,0),0))</f>
        <v>0</v>
      </c>
      <c r="E178" s="83" t="str">
        <f aca="false">IF($D178=1,EDATE(p_debut,$C178-1),"")</f>
        <v/>
      </c>
      <c r="F178" s="14" t="str">
        <f aca="false">IF($D178=1,INDEX(TblClusters[Cluster],$B178),"")</f>
        <v/>
      </c>
      <c r="G178" s="14" t="str">
        <f aca="false">IF($D178=1,INDEX(TblClusters[Plateforme],$B178),"")</f>
        <v/>
      </c>
      <c r="H178" s="14" t="str">
        <f aca="false">IF($D178=1,INDEX(TblClusters[vCPU par nœud],$B178),"")</f>
        <v/>
      </c>
      <c r="I178" s="14" t="str">
        <f aca="false">IF($D178=1,INDEX(TblClusters[RAM par nœud (Go)],$B178),"")</f>
        <v/>
      </c>
      <c r="J178" s="14" t="str">
        <f aca="false">IF($D178=1,INDEX(TblClusters[Workers min],$B178),"")</f>
        <v/>
      </c>
      <c r="K178" s="84" t="str">
        <f aca="false">IF($D178=1,INDEX(TblClusters[Tarif par nœud],$B178),"")</f>
        <v/>
      </c>
      <c r="L178" s="14" t="str">
        <f aca="false">IF($D178=1,INDEX(TblClusters[CPU initial (vCPU)],$B178),"")</f>
        <v/>
      </c>
      <c r="M178" s="14" t="str">
        <f aca="false">IF($D178=1,INDEX(TblClusters[RAM initiale (Go)],$B178),"")</f>
        <v/>
      </c>
      <c r="N178" s="14" t="str">
        <f aca="false">IF($D178=1,INDEX(TblClusters[CPU min (vCPU)],$B178),"")</f>
        <v/>
      </c>
      <c r="O178" s="14" t="str">
        <f aca="false">IF($D178=1,INDEX(TblClusters[RAM min (Go)],$B178),"")</f>
        <v/>
      </c>
      <c r="P178" s="14" t="str">
        <f aca="false">IF($D178&lt;&gt;1,"",IF($G178="ROKS",SUMIFS(TblApplications[Besoin ROKS CPU (vCPU)],TblApplications[Cluster ROKS cible],$F178,TblApplications[Action],"À migrer",TblApplications[Déjà incluse ROKS],"Non",TblApplications[Mois prov (calc)],"&lt;="&amp;$E178),SUMIFS(TblApplications[CPU IKS libérable (vCPU)],TblApplications[Cluster IKS source],$F178,TblApplications[Mois lib (calc)],"&lt;="&amp;$E178)))</f>
        <v/>
      </c>
      <c r="Q178" s="14" t="str">
        <f aca="false">IF($D178&lt;&gt;1,"",IF($G178="ROKS",SUMIFS(TblApplications[Besoin ROKS RAM (Go)],TblApplications[Cluster ROKS cible],$F178,TblApplications[Action],"À migrer",TblApplications[Déjà incluse ROKS],"Non",TblApplications[Mois prov (calc)],"&lt;="&amp;$E178),SUMIFS(TblApplications[RAM IKS libérable (Go)],TblApplications[Cluster IKS source],$F178,TblApplications[Mois lib (calc)],"&lt;="&amp;$E178)))</f>
        <v/>
      </c>
      <c r="R178" s="14" t="str">
        <f aca="false">IF($D178&lt;&gt;1,"",IF($G178="ROKS",$L178+$P178,IF($AI178=1,0,MAX($N178,$L178-$P178))))</f>
        <v/>
      </c>
      <c r="S178" s="14" t="str">
        <f aca="false">IF($D178&lt;&gt;1,"",IF($G178="ROKS",$M178+$Q178,IF($AI178=1,0,MAX($O178,$M178-$Q178))))</f>
        <v/>
      </c>
      <c r="T178" s="14" t="str">
        <f aca="false">IF($D178&lt;&gt;1,"",IF($AI178=1,0,MAX($J178,ROUNDUP(MAX($R178/$H178,$S178/$I178),0))))</f>
        <v/>
      </c>
      <c r="U178" s="14" t="str">
        <f aca="false">IF($D178&lt;&gt;1,"",IF(p_mode="Nœud",$T178*$H178,$R178))</f>
        <v/>
      </c>
      <c r="V178" s="14" t="str">
        <f aca="false">IF($D178&lt;&gt;1,"",IF(p_mode="Nœud",$T178*$I178,$S178))</f>
        <v/>
      </c>
      <c r="W178" s="84" t="str">
        <f aca="false">IF($D178&lt;&gt;1,"",IF(p_mode="Nœud",$T178*$K178,$R178*IF($G178="IKS",p_iks_cpu,p_roks_cpu)+$S178*IF($G178="IKS",p_iks_ram,p_roks_ram))*p_facteur)</f>
        <v/>
      </c>
      <c r="X178" s="14" t="str">
        <f aca="false">IF($D178&lt;&gt;1,"",IF($G178="ROKS",$R178,IF($AI178=1,0,MAX($N178,$L178-SUMIFS(TblApplications[CPU IKS libérable (vCPU)],TblApplications[Cluster IKS source],$F178,TblApplications[Action],"À migrer",TblApplications[Mois prov (calc)],"&lt;="&amp;$E178)-SUMIFS(TblApplications[CPU IKS libérable (vCPU)],TblApplications[Cluster IKS source],$F178,TblApplications[Action],"À décommissionner",TblApplications[Mois lib (calc)],"&lt;="&amp;$E178)))))</f>
        <v/>
      </c>
      <c r="Y178" s="14" t="str">
        <f aca="false">IF($D178&lt;&gt;1,"",IF($G178="ROKS",$S178,IF($AI178=1,0,MAX($O178,$M178-SUMIFS(TblApplications[RAM IKS libérable (Go)],TblApplications[Cluster IKS source],$F178,TblApplications[Action],"À migrer",TblApplications[Mois prov (calc)],"&lt;="&amp;$E178)-SUMIFS(TblApplications[RAM IKS libérable (Go)],TblApplications[Cluster IKS source],$F178,TblApplications[Action],"À décommissionner",TblApplications[Mois lib (calc)],"&lt;="&amp;$E178)))))</f>
        <v/>
      </c>
      <c r="Z178" s="14" t="str">
        <f aca="false">IF($D178&lt;&gt;1,"",IF($AI178=1,0,MAX($J178,ROUNDUP(MAX($X178/$H178,$Y178/$I178),0))))</f>
        <v/>
      </c>
      <c r="AA178" s="84" t="str">
        <f aca="false">IF($D178&lt;&gt;1,"",IF(p_mode="Nœud",$Z178*$K178,$X178*IF($G178="IKS",p_iks_cpu,p_roks_cpu)+$Y178*IF($G178="IKS",p_iks_ram,p_roks_ram))*p_facteur)</f>
        <v/>
      </c>
      <c r="AB178" s="14" t="str">
        <f aca="false">IF($D178&lt;&gt;1,"",MAX($J178,ROUNDUP(MAX($L178/$H178,$M178/$I178),0)))</f>
        <v/>
      </c>
      <c r="AC178" s="84" t="str">
        <f aca="false">IF($D178&lt;&gt;1,"",IF(p_mode="Nœud",$AB178*$K178,$L178*IF($G178="IKS",p_iks_cpu,p_roks_cpu)+$M178*IF($G178="IKS",p_iks_ram,p_roks_ram))*p_facteur)</f>
        <v/>
      </c>
      <c r="AD178" s="14" t="str">
        <f aca="false">IF($D178&lt;&gt;1,"",IF(AND($G178="IKS",$AI178&lt;&gt;1,OR($L178-$P178&lt;$N178,$M178-$Q178&lt;$O178)),1,0))</f>
        <v/>
      </c>
      <c r="AE178" s="14" t="str">
        <f aca="false">IF($D178&lt;&gt;1,"",IF(AND($G178="ROKS",$T178&gt;p_maxworkers),1,0))</f>
        <v/>
      </c>
      <c r="AF178" s="14" t="str">
        <f aca="false">IF($D178&lt;&gt;1,"",IF(INDEX(TblClusters[Environnement],$B178)="","(vide)",INDEX(TblClusters[Environnement],$B178)))</f>
        <v/>
      </c>
      <c r="AG178" s="14" t="str">
        <f aca="false">IF($D178&lt;&gt;1,"",$R178+p_poidsram*$S178)</f>
        <v/>
      </c>
      <c r="AH178" s="14" t="str">
        <f aca="false">IF($D178&lt;&gt;1,"",IFERROR($W178/$AG178,0))</f>
        <v/>
      </c>
      <c r="AI178" s="14" t="str">
        <f aca="false">IF($D178&lt;&gt;1,"",IF(AND($G178="IKS",ISNUMBER(INDEX(TblClusters[Fermeture retenue],$B178))),IF($E178&gt;=INDEX(TblClusters[Fermeture retenue],$B178),1,0),0))</f>
        <v/>
      </c>
    </row>
    <row r="179" customFormat="false" ht="15" hidden="false" customHeight="false" outlineLevel="0" collapsed="false">
      <c r="A179" s="14" t="n">
        <v>174</v>
      </c>
      <c r="B179" s="14" t="n">
        <f aca="false">INT(($A179-1)/36)+1</f>
        <v>5</v>
      </c>
      <c r="C179" s="14" t="n">
        <f aca="false">MOD($A179-1,36)+1</f>
        <v>30</v>
      </c>
      <c r="D179" s="14" t="n">
        <f aca="false">IF($C179&gt;p_horizon,0,IFERROR(IF(AND(INDEX(TblClusters[Cluster],$B179)&lt;&gt;"",ISNUMBER(INDEX(TblClusters[CPU initial (vCPU)],$B179)),ISNUMBER(INDEX(TblClusters[CPU min (vCPU)],$B179)),OR(INDEX(TblClusters[Plateforme],$B179)="IKS",INDEX(TblClusters[Plateforme],$B179)="ROKS")),1,0),0))</f>
        <v>0</v>
      </c>
      <c r="E179" s="83" t="str">
        <f aca="false">IF($D179=1,EDATE(p_debut,$C179-1),"")</f>
        <v/>
      </c>
      <c r="F179" s="14" t="str">
        <f aca="false">IF($D179=1,INDEX(TblClusters[Cluster],$B179),"")</f>
        <v/>
      </c>
      <c r="G179" s="14" t="str">
        <f aca="false">IF($D179=1,INDEX(TblClusters[Plateforme],$B179),"")</f>
        <v/>
      </c>
      <c r="H179" s="14" t="str">
        <f aca="false">IF($D179=1,INDEX(TblClusters[vCPU par nœud],$B179),"")</f>
        <v/>
      </c>
      <c r="I179" s="14" t="str">
        <f aca="false">IF($D179=1,INDEX(TblClusters[RAM par nœud (Go)],$B179),"")</f>
        <v/>
      </c>
      <c r="J179" s="14" t="str">
        <f aca="false">IF($D179=1,INDEX(TblClusters[Workers min],$B179),"")</f>
        <v/>
      </c>
      <c r="K179" s="84" t="str">
        <f aca="false">IF($D179=1,INDEX(TblClusters[Tarif par nœud],$B179),"")</f>
        <v/>
      </c>
      <c r="L179" s="14" t="str">
        <f aca="false">IF($D179=1,INDEX(TblClusters[CPU initial (vCPU)],$B179),"")</f>
        <v/>
      </c>
      <c r="M179" s="14" t="str">
        <f aca="false">IF($D179=1,INDEX(TblClusters[RAM initiale (Go)],$B179),"")</f>
        <v/>
      </c>
      <c r="N179" s="14" t="str">
        <f aca="false">IF($D179=1,INDEX(TblClusters[CPU min (vCPU)],$B179),"")</f>
        <v/>
      </c>
      <c r="O179" s="14" t="str">
        <f aca="false">IF($D179=1,INDEX(TblClusters[RAM min (Go)],$B179),"")</f>
        <v/>
      </c>
      <c r="P179" s="14" t="str">
        <f aca="false">IF($D179&lt;&gt;1,"",IF($G179="ROKS",SUMIFS(TblApplications[Besoin ROKS CPU (vCPU)],TblApplications[Cluster ROKS cible],$F179,TblApplications[Action],"À migrer",TblApplications[Déjà incluse ROKS],"Non",TblApplications[Mois prov (calc)],"&lt;="&amp;$E179),SUMIFS(TblApplications[CPU IKS libérable (vCPU)],TblApplications[Cluster IKS source],$F179,TblApplications[Mois lib (calc)],"&lt;="&amp;$E179)))</f>
        <v/>
      </c>
      <c r="Q179" s="14" t="str">
        <f aca="false">IF($D179&lt;&gt;1,"",IF($G179="ROKS",SUMIFS(TblApplications[Besoin ROKS RAM (Go)],TblApplications[Cluster ROKS cible],$F179,TblApplications[Action],"À migrer",TblApplications[Déjà incluse ROKS],"Non",TblApplications[Mois prov (calc)],"&lt;="&amp;$E179),SUMIFS(TblApplications[RAM IKS libérable (Go)],TblApplications[Cluster IKS source],$F179,TblApplications[Mois lib (calc)],"&lt;="&amp;$E179)))</f>
        <v/>
      </c>
      <c r="R179" s="14" t="str">
        <f aca="false">IF($D179&lt;&gt;1,"",IF($G179="ROKS",$L179+$P179,IF($AI179=1,0,MAX($N179,$L179-$P179))))</f>
        <v/>
      </c>
      <c r="S179" s="14" t="str">
        <f aca="false">IF($D179&lt;&gt;1,"",IF($G179="ROKS",$M179+$Q179,IF($AI179=1,0,MAX($O179,$M179-$Q179))))</f>
        <v/>
      </c>
      <c r="T179" s="14" t="str">
        <f aca="false">IF($D179&lt;&gt;1,"",IF($AI179=1,0,MAX($J179,ROUNDUP(MAX($R179/$H179,$S179/$I179),0))))</f>
        <v/>
      </c>
      <c r="U179" s="14" t="str">
        <f aca="false">IF($D179&lt;&gt;1,"",IF(p_mode="Nœud",$T179*$H179,$R179))</f>
        <v/>
      </c>
      <c r="V179" s="14" t="str">
        <f aca="false">IF($D179&lt;&gt;1,"",IF(p_mode="Nœud",$T179*$I179,$S179))</f>
        <v/>
      </c>
      <c r="W179" s="84" t="str">
        <f aca="false">IF($D179&lt;&gt;1,"",IF(p_mode="Nœud",$T179*$K179,$R179*IF($G179="IKS",p_iks_cpu,p_roks_cpu)+$S179*IF($G179="IKS",p_iks_ram,p_roks_ram))*p_facteur)</f>
        <v/>
      </c>
      <c r="X179" s="14" t="str">
        <f aca="false">IF($D179&lt;&gt;1,"",IF($G179="ROKS",$R179,IF($AI179=1,0,MAX($N179,$L179-SUMIFS(TblApplications[CPU IKS libérable (vCPU)],TblApplications[Cluster IKS source],$F179,TblApplications[Action],"À migrer",TblApplications[Mois prov (calc)],"&lt;="&amp;$E179)-SUMIFS(TblApplications[CPU IKS libérable (vCPU)],TblApplications[Cluster IKS source],$F179,TblApplications[Action],"À décommissionner",TblApplications[Mois lib (calc)],"&lt;="&amp;$E179)))))</f>
        <v/>
      </c>
      <c r="Y179" s="14" t="str">
        <f aca="false">IF($D179&lt;&gt;1,"",IF($G179="ROKS",$S179,IF($AI179=1,0,MAX($O179,$M179-SUMIFS(TblApplications[RAM IKS libérable (Go)],TblApplications[Cluster IKS source],$F179,TblApplications[Action],"À migrer",TblApplications[Mois prov (calc)],"&lt;="&amp;$E179)-SUMIFS(TblApplications[RAM IKS libérable (Go)],TblApplications[Cluster IKS source],$F179,TblApplications[Action],"À décommissionner",TblApplications[Mois lib (calc)],"&lt;="&amp;$E179)))))</f>
        <v/>
      </c>
      <c r="Z179" s="14" t="str">
        <f aca="false">IF($D179&lt;&gt;1,"",IF($AI179=1,0,MAX($J179,ROUNDUP(MAX($X179/$H179,$Y179/$I179),0))))</f>
        <v/>
      </c>
      <c r="AA179" s="84" t="str">
        <f aca="false">IF($D179&lt;&gt;1,"",IF(p_mode="Nœud",$Z179*$K179,$X179*IF($G179="IKS",p_iks_cpu,p_roks_cpu)+$Y179*IF($G179="IKS",p_iks_ram,p_roks_ram))*p_facteur)</f>
        <v/>
      </c>
      <c r="AB179" s="14" t="str">
        <f aca="false">IF($D179&lt;&gt;1,"",MAX($J179,ROUNDUP(MAX($L179/$H179,$M179/$I179),0)))</f>
        <v/>
      </c>
      <c r="AC179" s="84" t="str">
        <f aca="false">IF($D179&lt;&gt;1,"",IF(p_mode="Nœud",$AB179*$K179,$L179*IF($G179="IKS",p_iks_cpu,p_roks_cpu)+$M179*IF($G179="IKS",p_iks_ram,p_roks_ram))*p_facteur)</f>
        <v/>
      </c>
      <c r="AD179" s="14" t="str">
        <f aca="false">IF($D179&lt;&gt;1,"",IF(AND($G179="IKS",$AI179&lt;&gt;1,OR($L179-$P179&lt;$N179,$M179-$Q179&lt;$O179)),1,0))</f>
        <v/>
      </c>
      <c r="AE179" s="14" t="str">
        <f aca="false">IF($D179&lt;&gt;1,"",IF(AND($G179="ROKS",$T179&gt;p_maxworkers),1,0))</f>
        <v/>
      </c>
      <c r="AF179" s="14" t="str">
        <f aca="false">IF($D179&lt;&gt;1,"",IF(INDEX(TblClusters[Environnement],$B179)="","(vide)",INDEX(TblClusters[Environnement],$B179)))</f>
        <v/>
      </c>
      <c r="AG179" s="14" t="str">
        <f aca="false">IF($D179&lt;&gt;1,"",$R179+p_poidsram*$S179)</f>
        <v/>
      </c>
      <c r="AH179" s="14" t="str">
        <f aca="false">IF($D179&lt;&gt;1,"",IFERROR($W179/$AG179,0))</f>
        <v/>
      </c>
      <c r="AI179" s="14" t="str">
        <f aca="false">IF($D179&lt;&gt;1,"",IF(AND($G179="IKS",ISNUMBER(INDEX(TblClusters[Fermeture retenue],$B179))),IF($E179&gt;=INDEX(TblClusters[Fermeture retenue],$B179),1,0),0))</f>
        <v/>
      </c>
    </row>
    <row r="180" customFormat="false" ht="15" hidden="false" customHeight="false" outlineLevel="0" collapsed="false">
      <c r="A180" s="14" t="n">
        <v>175</v>
      </c>
      <c r="B180" s="14" t="n">
        <f aca="false">INT(($A180-1)/36)+1</f>
        <v>5</v>
      </c>
      <c r="C180" s="14" t="n">
        <f aca="false">MOD($A180-1,36)+1</f>
        <v>31</v>
      </c>
      <c r="D180" s="14" t="n">
        <f aca="false">IF($C180&gt;p_horizon,0,IFERROR(IF(AND(INDEX(TblClusters[Cluster],$B180)&lt;&gt;"",ISNUMBER(INDEX(TblClusters[CPU initial (vCPU)],$B180)),ISNUMBER(INDEX(TblClusters[CPU min (vCPU)],$B180)),OR(INDEX(TblClusters[Plateforme],$B180)="IKS",INDEX(TblClusters[Plateforme],$B180)="ROKS")),1,0),0))</f>
        <v>0</v>
      </c>
      <c r="E180" s="83" t="str">
        <f aca="false">IF($D180=1,EDATE(p_debut,$C180-1),"")</f>
        <v/>
      </c>
      <c r="F180" s="14" t="str">
        <f aca="false">IF($D180=1,INDEX(TblClusters[Cluster],$B180),"")</f>
        <v/>
      </c>
      <c r="G180" s="14" t="str">
        <f aca="false">IF($D180=1,INDEX(TblClusters[Plateforme],$B180),"")</f>
        <v/>
      </c>
      <c r="H180" s="14" t="str">
        <f aca="false">IF($D180=1,INDEX(TblClusters[vCPU par nœud],$B180),"")</f>
        <v/>
      </c>
      <c r="I180" s="14" t="str">
        <f aca="false">IF($D180=1,INDEX(TblClusters[RAM par nœud (Go)],$B180),"")</f>
        <v/>
      </c>
      <c r="J180" s="14" t="str">
        <f aca="false">IF($D180=1,INDEX(TblClusters[Workers min],$B180),"")</f>
        <v/>
      </c>
      <c r="K180" s="84" t="str">
        <f aca="false">IF($D180=1,INDEX(TblClusters[Tarif par nœud],$B180),"")</f>
        <v/>
      </c>
      <c r="L180" s="14" t="str">
        <f aca="false">IF($D180=1,INDEX(TblClusters[CPU initial (vCPU)],$B180),"")</f>
        <v/>
      </c>
      <c r="M180" s="14" t="str">
        <f aca="false">IF($D180=1,INDEX(TblClusters[RAM initiale (Go)],$B180),"")</f>
        <v/>
      </c>
      <c r="N180" s="14" t="str">
        <f aca="false">IF($D180=1,INDEX(TblClusters[CPU min (vCPU)],$B180),"")</f>
        <v/>
      </c>
      <c r="O180" s="14" t="str">
        <f aca="false">IF($D180=1,INDEX(TblClusters[RAM min (Go)],$B180),"")</f>
        <v/>
      </c>
      <c r="P180" s="14" t="str">
        <f aca="false">IF($D180&lt;&gt;1,"",IF($G180="ROKS",SUMIFS(TblApplications[Besoin ROKS CPU (vCPU)],TblApplications[Cluster ROKS cible],$F180,TblApplications[Action],"À migrer",TblApplications[Déjà incluse ROKS],"Non",TblApplications[Mois prov (calc)],"&lt;="&amp;$E180),SUMIFS(TblApplications[CPU IKS libérable (vCPU)],TblApplications[Cluster IKS source],$F180,TblApplications[Mois lib (calc)],"&lt;="&amp;$E180)))</f>
        <v/>
      </c>
      <c r="Q180" s="14" t="str">
        <f aca="false">IF($D180&lt;&gt;1,"",IF($G180="ROKS",SUMIFS(TblApplications[Besoin ROKS RAM (Go)],TblApplications[Cluster ROKS cible],$F180,TblApplications[Action],"À migrer",TblApplications[Déjà incluse ROKS],"Non",TblApplications[Mois prov (calc)],"&lt;="&amp;$E180),SUMIFS(TblApplications[RAM IKS libérable (Go)],TblApplications[Cluster IKS source],$F180,TblApplications[Mois lib (calc)],"&lt;="&amp;$E180)))</f>
        <v/>
      </c>
      <c r="R180" s="14" t="str">
        <f aca="false">IF($D180&lt;&gt;1,"",IF($G180="ROKS",$L180+$P180,IF($AI180=1,0,MAX($N180,$L180-$P180))))</f>
        <v/>
      </c>
      <c r="S180" s="14" t="str">
        <f aca="false">IF($D180&lt;&gt;1,"",IF($G180="ROKS",$M180+$Q180,IF($AI180=1,0,MAX($O180,$M180-$Q180))))</f>
        <v/>
      </c>
      <c r="T180" s="14" t="str">
        <f aca="false">IF($D180&lt;&gt;1,"",IF($AI180=1,0,MAX($J180,ROUNDUP(MAX($R180/$H180,$S180/$I180),0))))</f>
        <v/>
      </c>
      <c r="U180" s="14" t="str">
        <f aca="false">IF($D180&lt;&gt;1,"",IF(p_mode="Nœud",$T180*$H180,$R180))</f>
        <v/>
      </c>
      <c r="V180" s="14" t="str">
        <f aca="false">IF($D180&lt;&gt;1,"",IF(p_mode="Nœud",$T180*$I180,$S180))</f>
        <v/>
      </c>
      <c r="W180" s="84" t="str">
        <f aca="false">IF($D180&lt;&gt;1,"",IF(p_mode="Nœud",$T180*$K180,$R180*IF($G180="IKS",p_iks_cpu,p_roks_cpu)+$S180*IF($G180="IKS",p_iks_ram,p_roks_ram))*p_facteur)</f>
        <v/>
      </c>
      <c r="X180" s="14" t="str">
        <f aca="false">IF($D180&lt;&gt;1,"",IF($G180="ROKS",$R180,IF($AI180=1,0,MAX($N180,$L180-SUMIFS(TblApplications[CPU IKS libérable (vCPU)],TblApplications[Cluster IKS source],$F180,TblApplications[Action],"À migrer",TblApplications[Mois prov (calc)],"&lt;="&amp;$E180)-SUMIFS(TblApplications[CPU IKS libérable (vCPU)],TblApplications[Cluster IKS source],$F180,TblApplications[Action],"À décommissionner",TblApplications[Mois lib (calc)],"&lt;="&amp;$E180)))))</f>
        <v/>
      </c>
      <c r="Y180" s="14" t="str">
        <f aca="false">IF($D180&lt;&gt;1,"",IF($G180="ROKS",$S180,IF($AI180=1,0,MAX($O180,$M180-SUMIFS(TblApplications[RAM IKS libérable (Go)],TblApplications[Cluster IKS source],$F180,TblApplications[Action],"À migrer",TblApplications[Mois prov (calc)],"&lt;="&amp;$E180)-SUMIFS(TblApplications[RAM IKS libérable (Go)],TblApplications[Cluster IKS source],$F180,TblApplications[Action],"À décommissionner",TblApplications[Mois lib (calc)],"&lt;="&amp;$E180)))))</f>
        <v/>
      </c>
      <c r="Z180" s="14" t="str">
        <f aca="false">IF($D180&lt;&gt;1,"",IF($AI180=1,0,MAX($J180,ROUNDUP(MAX($X180/$H180,$Y180/$I180),0))))</f>
        <v/>
      </c>
      <c r="AA180" s="84" t="str">
        <f aca="false">IF($D180&lt;&gt;1,"",IF(p_mode="Nœud",$Z180*$K180,$X180*IF($G180="IKS",p_iks_cpu,p_roks_cpu)+$Y180*IF($G180="IKS",p_iks_ram,p_roks_ram))*p_facteur)</f>
        <v/>
      </c>
      <c r="AB180" s="14" t="str">
        <f aca="false">IF($D180&lt;&gt;1,"",MAX($J180,ROUNDUP(MAX($L180/$H180,$M180/$I180),0)))</f>
        <v/>
      </c>
      <c r="AC180" s="84" t="str">
        <f aca="false">IF($D180&lt;&gt;1,"",IF(p_mode="Nœud",$AB180*$K180,$L180*IF($G180="IKS",p_iks_cpu,p_roks_cpu)+$M180*IF($G180="IKS",p_iks_ram,p_roks_ram))*p_facteur)</f>
        <v/>
      </c>
      <c r="AD180" s="14" t="str">
        <f aca="false">IF($D180&lt;&gt;1,"",IF(AND($G180="IKS",$AI180&lt;&gt;1,OR($L180-$P180&lt;$N180,$M180-$Q180&lt;$O180)),1,0))</f>
        <v/>
      </c>
      <c r="AE180" s="14" t="str">
        <f aca="false">IF($D180&lt;&gt;1,"",IF(AND($G180="ROKS",$T180&gt;p_maxworkers),1,0))</f>
        <v/>
      </c>
      <c r="AF180" s="14" t="str">
        <f aca="false">IF($D180&lt;&gt;1,"",IF(INDEX(TblClusters[Environnement],$B180)="","(vide)",INDEX(TblClusters[Environnement],$B180)))</f>
        <v/>
      </c>
      <c r="AG180" s="14" t="str">
        <f aca="false">IF($D180&lt;&gt;1,"",$R180+p_poidsram*$S180)</f>
        <v/>
      </c>
      <c r="AH180" s="14" t="str">
        <f aca="false">IF($D180&lt;&gt;1,"",IFERROR($W180/$AG180,0))</f>
        <v/>
      </c>
      <c r="AI180" s="14" t="str">
        <f aca="false">IF($D180&lt;&gt;1,"",IF(AND($G180="IKS",ISNUMBER(INDEX(TblClusters[Fermeture retenue],$B180))),IF($E180&gt;=INDEX(TblClusters[Fermeture retenue],$B180),1,0),0))</f>
        <v/>
      </c>
    </row>
    <row r="181" customFormat="false" ht="15" hidden="false" customHeight="false" outlineLevel="0" collapsed="false">
      <c r="A181" s="14" t="n">
        <v>176</v>
      </c>
      <c r="B181" s="14" t="n">
        <f aca="false">INT(($A181-1)/36)+1</f>
        <v>5</v>
      </c>
      <c r="C181" s="14" t="n">
        <f aca="false">MOD($A181-1,36)+1</f>
        <v>32</v>
      </c>
      <c r="D181" s="14" t="n">
        <f aca="false">IF($C181&gt;p_horizon,0,IFERROR(IF(AND(INDEX(TblClusters[Cluster],$B181)&lt;&gt;"",ISNUMBER(INDEX(TblClusters[CPU initial (vCPU)],$B181)),ISNUMBER(INDEX(TblClusters[CPU min (vCPU)],$B181)),OR(INDEX(TblClusters[Plateforme],$B181)="IKS",INDEX(TblClusters[Plateforme],$B181)="ROKS")),1,0),0))</f>
        <v>0</v>
      </c>
      <c r="E181" s="83" t="str">
        <f aca="false">IF($D181=1,EDATE(p_debut,$C181-1),"")</f>
        <v/>
      </c>
      <c r="F181" s="14" t="str">
        <f aca="false">IF($D181=1,INDEX(TblClusters[Cluster],$B181),"")</f>
        <v/>
      </c>
      <c r="G181" s="14" t="str">
        <f aca="false">IF($D181=1,INDEX(TblClusters[Plateforme],$B181),"")</f>
        <v/>
      </c>
      <c r="H181" s="14" t="str">
        <f aca="false">IF($D181=1,INDEX(TblClusters[vCPU par nœud],$B181),"")</f>
        <v/>
      </c>
      <c r="I181" s="14" t="str">
        <f aca="false">IF($D181=1,INDEX(TblClusters[RAM par nœud (Go)],$B181),"")</f>
        <v/>
      </c>
      <c r="J181" s="14" t="str">
        <f aca="false">IF($D181=1,INDEX(TblClusters[Workers min],$B181),"")</f>
        <v/>
      </c>
      <c r="K181" s="84" t="str">
        <f aca="false">IF($D181=1,INDEX(TblClusters[Tarif par nœud],$B181),"")</f>
        <v/>
      </c>
      <c r="L181" s="14" t="str">
        <f aca="false">IF($D181=1,INDEX(TblClusters[CPU initial (vCPU)],$B181),"")</f>
        <v/>
      </c>
      <c r="M181" s="14" t="str">
        <f aca="false">IF($D181=1,INDEX(TblClusters[RAM initiale (Go)],$B181),"")</f>
        <v/>
      </c>
      <c r="N181" s="14" t="str">
        <f aca="false">IF($D181=1,INDEX(TblClusters[CPU min (vCPU)],$B181),"")</f>
        <v/>
      </c>
      <c r="O181" s="14" t="str">
        <f aca="false">IF($D181=1,INDEX(TblClusters[RAM min (Go)],$B181),"")</f>
        <v/>
      </c>
      <c r="P181" s="14" t="str">
        <f aca="false">IF($D181&lt;&gt;1,"",IF($G181="ROKS",SUMIFS(TblApplications[Besoin ROKS CPU (vCPU)],TblApplications[Cluster ROKS cible],$F181,TblApplications[Action],"À migrer",TblApplications[Déjà incluse ROKS],"Non",TblApplications[Mois prov (calc)],"&lt;="&amp;$E181),SUMIFS(TblApplications[CPU IKS libérable (vCPU)],TblApplications[Cluster IKS source],$F181,TblApplications[Mois lib (calc)],"&lt;="&amp;$E181)))</f>
        <v/>
      </c>
      <c r="Q181" s="14" t="str">
        <f aca="false">IF($D181&lt;&gt;1,"",IF($G181="ROKS",SUMIFS(TblApplications[Besoin ROKS RAM (Go)],TblApplications[Cluster ROKS cible],$F181,TblApplications[Action],"À migrer",TblApplications[Déjà incluse ROKS],"Non",TblApplications[Mois prov (calc)],"&lt;="&amp;$E181),SUMIFS(TblApplications[RAM IKS libérable (Go)],TblApplications[Cluster IKS source],$F181,TblApplications[Mois lib (calc)],"&lt;="&amp;$E181)))</f>
        <v/>
      </c>
      <c r="R181" s="14" t="str">
        <f aca="false">IF($D181&lt;&gt;1,"",IF($G181="ROKS",$L181+$P181,IF($AI181=1,0,MAX($N181,$L181-$P181))))</f>
        <v/>
      </c>
      <c r="S181" s="14" t="str">
        <f aca="false">IF($D181&lt;&gt;1,"",IF($G181="ROKS",$M181+$Q181,IF($AI181=1,0,MAX($O181,$M181-$Q181))))</f>
        <v/>
      </c>
      <c r="T181" s="14" t="str">
        <f aca="false">IF($D181&lt;&gt;1,"",IF($AI181=1,0,MAX($J181,ROUNDUP(MAX($R181/$H181,$S181/$I181),0))))</f>
        <v/>
      </c>
      <c r="U181" s="14" t="str">
        <f aca="false">IF($D181&lt;&gt;1,"",IF(p_mode="Nœud",$T181*$H181,$R181))</f>
        <v/>
      </c>
      <c r="V181" s="14" t="str">
        <f aca="false">IF($D181&lt;&gt;1,"",IF(p_mode="Nœud",$T181*$I181,$S181))</f>
        <v/>
      </c>
      <c r="W181" s="84" t="str">
        <f aca="false">IF($D181&lt;&gt;1,"",IF(p_mode="Nœud",$T181*$K181,$R181*IF($G181="IKS",p_iks_cpu,p_roks_cpu)+$S181*IF($G181="IKS",p_iks_ram,p_roks_ram))*p_facteur)</f>
        <v/>
      </c>
      <c r="X181" s="14" t="str">
        <f aca="false">IF($D181&lt;&gt;1,"",IF($G181="ROKS",$R181,IF($AI181=1,0,MAX($N181,$L181-SUMIFS(TblApplications[CPU IKS libérable (vCPU)],TblApplications[Cluster IKS source],$F181,TblApplications[Action],"À migrer",TblApplications[Mois prov (calc)],"&lt;="&amp;$E181)-SUMIFS(TblApplications[CPU IKS libérable (vCPU)],TblApplications[Cluster IKS source],$F181,TblApplications[Action],"À décommissionner",TblApplications[Mois lib (calc)],"&lt;="&amp;$E181)))))</f>
        <v/>
      </c>
      <c r="Y181" s="14" t="str">
        <f aca="false">IF($D181&lt;&gt;1,"",IF($G181="ROKS",$S181,IF($AI181=1,0,MAX($O181,$M181-SUMIFS(TblApplications[RAM IKS libérable (Go)],TblApplications[Cluster IKS source],$F181,TblApplications[Action],"À migrer",TblApplications[Mois prov (calc)],"&lt;="&amp;$E181)-SUMIFS(TblApplications[RAM IKS libérable (Go)],TblApplications[Cluster IKS source],$F181,TblApplications[Action],"À décommissionner",TblApplications[Mois lib (calc)],"&lt;="&amp;$E181)))))</f>
        <v/>
      </c>
      <c r="Z181" s="14" t="str">
        <f aca="false">IF($D181&lt;&gt;1,"",IF($AI181=1,0,MAX($J181,ROUNDUP(MAX($X181/$H181,$Y181/$I181),0))))</f>
        <v/>
      </c>
      <c r="AA181" s="84" t="str">
        <f aca="false">IF($D181&lt;&gt;1,"",IF(p_mode="Nœud",$Z181*$K181,$X181*IF($G181="IKS",p_iks_cpu,p_roks_cpu)+$Y181*IF($G181="IKS",p_iks_ram,p_roks_ram))*p_facteur)</f>
        <v/>
      </c>
      <c r="AB181" s="14" t="str">
        <f aca="false">IF($D181&lt;&gt;1,"",MAX($J181,ROUNDUP(MAX($L181/$H181,$M181/$I181),0)))</f>
        <v/>
      </c>
      <c r="AC181" s="84" t="str">
        <f aca="false">IF($D181&lt;&gt;1,"",IF(p_mode="Nœud",$AB181*$K181,$L181*IF($G181="IKS",p_iks_cpu,p_roks_cpu)+$M181*IF($G181="IKS",p_iks_ram,p_roks_ram))*p_facteur)</f>
        <v/>
      </c>
      <c r="AD181" s="14" t="str">
        <f aca="false">IF($D181&lt;&gt;1,"",IF(AND($G181="IKS",$AI181&lt;&gt;1,OR($L181-$P181&lt;$N181,$M181-$Q181&lt;$O181)),1,0))</f>
        <v/>
      </c>
      <c r="AE181" s="14" t="str">
        <f aca="false">IF($D181&lt;&gt;1,"",IF(AND($G181="ROKS",$T181&gt;p_maxworkers),1,0))</f>
        <v/>
      </c>
      <c r="AF181" s="14" t="str">
        <f aca="false">IF($D181&lt;&gt;1,"",IF(INDEX(TblClusters[Environnement],$B181)="","(vide)",INDEX(TblClusters[Environnement],$B181)))</f>
        <v/>
      </c>
      <c r="AG181" s="14" t="str">
        <f aca="false">IF($D181&lt;&gt;1,"",$R181+p_poidsram*$S181)</f>
        <v/>
      </c>
      <c r="AH181" s="14" t="str">
        <f aca="false">IF($D181&lt;&gt;1,"",IFERROR($W181/$AG181,0))</f>
        <v/>
      </c>
      <c r="AI181" s="14" t="str">
        <f aca="false">IF($D181&lt;&gt;1,"",IF(AND($G181="IKS",ISNUMBER(INDEX(TblClusters[Fermeture retenue],$B181))),IF($E181&gt;=INDEX(TblClusters[Fermeture retenue],$B181),1,0),0))</f>
        <v/>
      </c>
    </row>
    <row r="182" customFormat="false" ht="15" hidden="false" customHeight="false" outlineLevel="0" collapsed="false">
      <c r="A182" s="14" t="n">
        <v>177</v>
      </c>
      <c r="B182" s="14" t="n">
        <f aca="false">INT(($A182-1)/36)+1</f>
        <v>5</v>
      </c>
      <c r="C182" s="14" t="n">
        <f aca="false">MOD($A182-1,36)+1</f>
        <v>33</v>
      </c>
      <c r="D182" s="14" t="n">
        <f aca="false">IF($C182&gt;p_horizon,0,IFERROR(IF(AND(INDEX(TblClusters[Cluster],$B182)&lt;&gt;"",ISNUMBER(INDEX(TblClusters[CPU initial (vCPU)],$B182)),ISNUMBER(INDEX(TblClusters[CPU min (vCPU)],$B182)),OR(INDEX(TblClusters[Plateforme],$B182)="IKS",INDEX(TblClusters[Plateforme],$B182)="ROKS")),1,0),0))</f>
        <v>0</v>
      </c>
      <c r="E182" s="83" t="str">
        <f aca="false">IF($D182=1,EDATE(p_debut,$C182-1),"")</f>
        <v/>
      </c>
      <c r="F182" s="14" t="str">
        <f aca="false">IF($D182=1,INDEX(TblClusters[Cluster],$B182),"")</f>
        <v/>
      </c>
      <c r="G182" s="14" t="str">
        <f aca="false">IF($D182=1,INDEX(TblClusters[Plateforme],$B182),"")</f>
        <v/>
      </c>
      <c r="H182" s="14" t="str">
        <f aca="false">IF($D182=1,INDEX(TblClusters[vCPU par nœud],$B182),"")</f>
        <v/>
      </c>
      <c r="I182" s="14" t="str">
        <f aca="false">IF($D182=1,INDEX(TblClusters[RAM par nœud (Go)],$B182),"")</f>
        <v/>
      </c>
      <c r="J182" s="14" t="str">
        <f aca="false">IF($D182=1,INDEX(TblClusters[Workers min],$B182),"")</f>
        <v/>
      </c>
      <c r="K182" s="84" t="str">
        <f aca="false">IF($D182=1,INDEX(TblClusters[Tarif par nœud],$B182),"")</f>
        <v/>
      </c>
      <c r="L182" s="14" t="str">
        <f aca="false">IF($D182=1,INDEX(TblClusters[CPU initial (vCPU)],$B182),"")</f>
        <v/>
      </c>
      <c r="M182" s="14" t="str">
        <f aca="false">IF($D182=1,INDEX(TblClusters[RAM initiale (Go)],$B182),"")</f>
        <v/>
      </c>
      <c r="N182" s="14" t="str">
        <f aca="false">IF($D182=1,INDEX(TblClusters[CPU min (vCPU)],$B182),"")</f>
        <v/>
      </c>
      <c r="O182" s="14" t="str">
        <f aca="false">IF($D182=1,INDEX(TblClusters[RAM min (Go)],$B182),"")</f>
        <v/>
      </c>
      <c r="P182" s="14" t="str">
        <f aca="false">IF($D182&lt;&gt;1,"",IF($G182="ROKS",SUMIFS(TblApplications[Besoin ROKS CPU (vCPU)],TblApplications[Cluster ROKS cible],$F182,TblApplications[Action],"À migrer",TblApplications[Déjà incluse ROKS],"Non",TblApplications[Mois prov (calc)],"&lt;="&amp;$E182),SUMIFS(TblApplications[CPU IKS libérable (vCPU)],TblApplications[Cluster IKS source],$F182,TblApplications[Mois lib (calc)],"&lt;="&amp;$E182)))</f>
        <v/>
      </c>
      <c r="Q182" s="14" t="str">
        <f aca="false">IF($D182&lt;&gt;1,"",IF($G182="ROKS",SUMIFS(TblApplications[Besoin ROKS RAM (Go)],TblApplications[Cluster ROKS cible],$F182,TblApplications[Action],"À migrer",TblApplications[Déjà incluse ROKS],"Non",TblApplications[Mois prov (calc)],"&lt;="&amp;$E182),SUMIFS(TblApplications[RAM IKS libérable (Go)],TblApplications[Cluster IKS source],$F182,TblApplications[Mois lib (calc)],"&lt;="&amp;$E182)))</f>
        <v/>
      </c>
      <c r="R182" s="14" t="str">
        <f aca="false">IF($D182&lt;&gt;1,"",IF($G182="ROKS",$L182+$P182,IF($AI182=1,0,MAX($N182,$L182-$P182))))</f>
        <v/>
      </c>
      <c r="S182" s="14" t="str">
        <f aca="false">IF($D182&lt;&gt;1,"",IF($G182="ROKS",$M182+$Q182,IF($AI182=1,0,MAX($O182,$M182-$Q182))))</f>
        <v/>
      </c>
      <c r="T182" s="14" t="str">
        <f aca="false">IF($D182&lt;&gt;1,"",IF($AI182=1,0,MAX($J182,ROUNDUP(MAX($R182/$H182,$S182/$I182),0))))</f>
        <v/>
      </c>
      <c r="U182" s="14" t="str">
        <f aca="false">IF($D182&lt;&gt;1,"",IF(p_mode="Nœud",$T182*$H182,$R182))</f>
        <v/>
      </c>
      <c r="V182" s="14" t="str">
        <f aca="false">IF($D182&lt;&gt;1,"",IF(p_mode="Nœud",$T182*$I182,$S182))</f>
        <v/>
      </c>
      <c r="W182" s="84" t="str">
        <f aca="false">IF($D182&lt;&gt;1,"",IF(p_mode="Nœud",$T182*$K182,$R182*IF($G182="IKS",p_iks_cpu,p_roks_cpu)+$S182*IF($G182="IKS",p_iks_ram,p_roks_ram))*p_facteur)</f>
        <v/>
      </c>
      <c r="X182" s="14" t="str">
        <f aca="false">IF($D182&lt;&gt;1,"",IF($G182="ROKS",$R182,IF($AI182=1,0,MAX($N182,$L182-SUMIFS(TblApplications[CPU IKS libérable (vCPU)],TblApplications[Cluster IKS source],$F182,TblApplications[Action],"À migrer",TblApplications[Mois prov (calc)],"&lt;="&amp;$E182)-SUMIFS(TblApplications[CPU IKS libérable (vCPU)],TblApplications[Cluster IKS source],$F182,TblApplications[Action],"À décommissionner",TblApplications[Mois lib (calc)],"&lt;="&amp;$E182)))))</f>
        <v/>
      </c>
      <c r="Y182" s="14" t="str">
        <f aca="false">IF($D182&lt;&gt;1,"",IF($G182="ROKS",$S182,IF($AI182=1,0,MAX($O182,$M182-SUMIFS(TblApplications[RAM IKS libérable (Go)],TblApplications[Cluster IKS source],$F182,TblApplications[Action],"À migrer",TblApplications[Mois prov (calc)],"&lt;="&amp;$E182)-SUMIFS(TblApplications[RAM IKS libérable (Go)],TblApplications[Cluster IKS source],$F182,TblApplications[Action],"À décommissionner",TblApplications[Mois lib (calc)],"&lt;="&amp;$E182)))))</f>
        <v/>
      </c>
      <c r="Z182" s="14" t="str">
        <f aca="false">IF($D182&lt;&gt;1,"",IF($AI182=1,0,MAX($J182,ROUNDUP(MAX($X182/$H182,$Y182/$I182),0))))</f>
        <v/>
      </c>
      <c r="AA182" s="84" t="str">
        <f aca="false">IF($D182&lt;&gt;1,"",IF(p_mode="Nœud",$Z182*$K182,$X182*IF($G182="IKS",p_iks_cpu,p_roks_cpu)+$Y182*IF($G182="IKS",p_iks_ram,p_roks_ram))*p_facteur)</f>
        <v/>
      </c>
      <c r="AB182" s="14" t="str">
        <f aca="false">IF($D182&lt;&gt;1,"",MAX($J182,ROUNDUP(MAX($L182/$H182,$M182/$I182),0)))</f>
        <v/>
      </c>
      <c r="AC182" s="84" t="str">
        <f aca="false">IF($D182&lt;&gt;1,"",IF(p_mode="Nœud",$AB182*$K182,$L182*IF($G182="IKS",p_iks_cpu,p_roks_cpu)+$M182*IF($G182="IKS",p_iks_ram,p_roks_ram))*p_facteur)</f>
        <v/>
      </c>
      <c r="AD182" s="14" t="str">
        <f aca="false">IF($D182&lt;&gt;1,"",IF(AND($G182="IKS",$AI182&lt;&gt;1,OR($L182-$P182&lt;$N182,$M182-$Q182&lt;$O182)),1,0))</f>
        <v/>
      </c>
      <c r="AE182" s="14" t="str">
        <f aca="false">IF($D182&lt;&gt;1,"",IF(AND($G182="ROKS",$T182&gt;p_maxworkers),1,0))</f>
        <v/>
      </c>
      <c r="AF182" s="14" t="str">
        <f aca="false">IF($D182&lt;&gt;1,"",IF(INDEX(TblClusters[Environnement],$B182)="","(vide)",INDEX(TblClusters[Environnement],$B182)))</f>
        <v/>
      </c>
      <c r="AG182" s="14" t="str">
        <f aca="false">IF($D182&lt;&gt;1,"",$R182+p_poidsram*$S182)</f>
        <v/>
      </c>
      <c r="AH182" s="14" t="str">
        <f aca="false">IF($D182&lt;&gt;1,"",IFERROR($W182/$AG182,0))</f>
        <v/>
      </c>
      <c r="AI182" s="14" t="str">
        <f aca="false">IF($D182&lt;&gt;1,"",IF(AND($G182="IKS",ISNUMBER(INDEX(TblClusters[Fermeture retenue],$B182))),IF($E182&gt;=INDEX(TblClusters[Fermeture retenue],$B182),1,0),0))</f>
        <v/>
      </c>
    </row>
    <row r="183" customFormat="false" ht="15" hidden="false" customHeight="false" outlineLevel="0" collapsed="false">
      <c r="A183" s="14" t="n">
        <v>178</v>
      </c>
      <c r="B183" s="14" t="n">
        <f aca="false">INT(($A183-1)/36)+1</f>
        <v>5</v>
      </c>
      <c r="C183" s="14" t="n">
        <f aca="false">MOD($A183-1,36)+1</f>
        <v>34</v>
      </c>
      <c r="D183" s="14" t="n">
        <f aca="false">IF($C183&gt;p_horizon,0,IFERROR(IF(AND(INDEX(TblClusters[Cluster],$B183)&lt;&gt;"",ISNUMBER(INDEX(TblClusters[CPU initial (vCPU)],$B183)),ISNUMBER(INDEX(TblClusters[CPU min (vCPU)],$B183)),OR(INDEX(TblClusters[Plateforme],$B183)="IKS",INDEX(TblClusters[Plateforme],$B183)="ROKS")),1,0),0))</f>
        <v>0</v>
      </c>
      <c r="E183" s="83" t="str">
        <f aca="false">IF($D183=1,EDATE(p_debut,$C183-1),"")</f>
        <v/>
      </c>
      <c r="F183" s="14" t="str">
        <f aca="false">IF($D183=1,INDEX(TblClusters[Cluster],$B183),"")</f>
        <v/>
      </c>
      <c r="G183" s="14" t="str">
        <f aca="false">IF($D183=1,INDEX(TblClusters[Plateforme],$B183),"")</f>
        <v/>
      </c>
      <c r="H183" s="14" t="str">
        <f aca="false">IF($D183=1,INDEX(TblClusters[vCPU par nœud],$B183),"")</f>
        <v/>
      </c>
      <c r="I183" s="14" t="str">
        <f aca="false">IF($D183=1,INDEX(TblClusters[RAM par nœud (Go)],$B183),"")</f>
        <v/>
      </c>
      <c r="J183" s="14" t="str">
        <f aca="false">IF($D183=1,INDEX(TblClusters[Workers min],$B183),"")</f>
        <v/>
      </c>
      <c r="K183" s="84" t="str">
        <f aca="false">IF($D183=1,INDEX(TblClusters[Tarif par nœud],$B183),"")</f>
        <v/>
      </c>
      <c r="L183" s="14" t="str">
        <f aca="false">IF($D183=1,INDEX(TblClusters[CPU initial (vCPU)],$B183),"")</f>
        <v/>
      </c>
      <c r="M183" s="14" t="str">
        <f aca="false">IF($D183=1,INDEX(TblClusters[RAM initiale (Go)],$B183),"")</f>
        <v/>
      </c>
      <c r="N183" s="14" t="str">
        <f aca="false">IF($D183=1,INDEX(TblClusters[CPU min (vCPU)],$B183),"")</f>
        <v/>
      </c>
      <c r="O183" s="14" t="str">
        <f aca="false">IF($D183=1,INDEX(TblClusters[RAM min (Go)],$B183),"")</f>
        <v/>
      </c>
      <c r="P183" s="14" t="str">
        <f aca="false">IF($D183&lt;&gt;1,"",IF($G183="ROKS",SUMIFS(TblApplications[Besoin ROKS CPU (vCPU)],TblApplications[Cluster ROKS cible],$F183,TblApplications[Action],"À migrer",TblApplications[Déjà incluse ROKS],"Non",TblApplications[Mois prov (calc)],"&lt;="&amp;$E183),SUMIFS(TblApplications[CPU IKS libérable (vCPU)],TblApplications[Cluster IKS source],$F183,TblApplications[Mois lib (calc)],"&lt;="&amp;$E183)))</f>
        <v/>
      </c>
      <c r="Q183" s="14" t="str">
        <f aca="false">IF($D183&lt;&gt;1,"",IF($G183="ROKS",SUMIFS(TblApplications[Besoin ROKS RAM (Go)],TblApplications[Cluster ROKS cible],$F183,TblApplications[Action],"À migrer",TblApplications[Déjà incluse ROKS],"Non",TblApplications[Mois prov (calc)],"&lt;="&amp;$E183),SUMIFS(TblApplications[RAM IKS libérable (Go)],TblApplications[Cluster IKS source],$F183,TblApplications[Mois lib (calc)],"&lt;="&amp;$E183)))</f>
        <v/>
      </c>
      <c r="R183" s="14" t="str">
        <f aca="false">IF($D183&lt;&gt;1,"",IF($G183="ROKS",$L183+$P183,IF($AI183=1,0,MAX($N183,$L183-$P183))))</f>
        <v/>
      </c>
      <c r="S183" s="14" t="str">
        <f aca="false">IF($D183&lt;&gt;1,"",IF($G183="ROKS",$M183+$Q183,IF($AI183=1,0,MAX($O183,$M183-$Q183))))</f>
        <v/>
      </c>
      <c r="T183" s="14" t="str">
        <f aca="false">IF($D183&lt;&gt;1,"",IF($AI183=1,0,MAX($J183,ROUNDUP(MAX($R183/$H183,$S183/$I183),0))))</f>
        <v/>
      </c>
      <c r="U183" s="14" t="str">
        <f aca="false">IF($D183&lt;&gt;1,"",IF(p_mode="Nœud",$T183*$H183,$R183))</f>
        <v/>
      </c>
      <c r="V183" s="14" t="str">
        <f aca="false">IF($D183&lt;&gt;1,"",IF(p_mode="Nœud",$T183*$I183,$S183))</f>
        <v/>
      </c>
      <c r="W183" s="84" t="str">
        <f aca="false">IF($D183&lt;&gt;1,"",IF(p_mode="Nœud",$T183*$K183,$R183*IF($G183="IKS",p_iks_cpu,p_roks_cpu)+$S183*IF($G183="IKS",p_iks_ram,p_roks_ram))*p_facteur)</f>
        <v/>
      </c>
      <c r="X183" s="14" t="str">
        <f aca="false">IF($D183&lt;&gt;1,"",IF($G183="ROKS",$R183,IF($AI183=1,0,MAX($N183,$L183-SUMIFS(TblApplications[CPU IKS libérable (vCPU)],TblApplications[Cluster IKS source],$F183,TblApplications[Action],"À migrer",TblApplications[Mois prov (calc)],"&lt;="&amp;$E183)-SUMIFS(TblApplications[CPU IKS libérable (vCPU)],TblApplications[Cluster IKS source],$F183,TblApplications[Action],"À décommissionner",TblApplications[Mois lib (calc)],"&lt;="&amp;$E183)))))</f>
        <v/>
      </c>
      <c r="Y183" s="14" t="str">
        <f aca="false">IF($D183&lt;&gt;1,"",IF($G183="ROKS",$S183,IF($AI183=1,0,MAX($O183,$M183-SUMIFS(TblApplications[RAM IKS libérable (Go)],TblApplications[Cluster IKS source],$F183,TblApplications[Action],"À migrer",TblApplications[Mois prov (calc)],"&lt;="&amp;$E183)-SUMIFS(TblApplications[RAM IKS libérable (Go)],TblApplications[Cluster IKS source],$F183,TblApplications[Action],"À décommissionner",TblApplications[Mois lib (calc)],"&lt;="&amp;$E183)))))</f>
        <v/>
      </c>
      <c r="Z183" s="14" t="str">
        <f aca="false">IF($D183&lt;&gt;1,"",IF($AI183=1,0,MAX($J183,ROUNDUP(MAX($X183/$H183,$Y183/$I183),0))))</f>
        <v/>
      </c>
      <c r="AA183" s="84" t="str">
        <f aca="false">IF($D183&lt;&gt;1,"",IF(p_mode="Nœud",$Z183*$K183,$X183*IF($G183="IKS",p_iks_cpu,p_roks_cpu)+$Y183*IF($G183="IKS",p_iks_ram,p_roks_ram))*p_facteur)</f>
        <v/>
      </c>
      <c r="AB183" s="14" t="str">
        <f aca="false">IF($D183&lt;&gt;1,"",MAX($J183,ROUNDUP(MAX($L183/$H183,$M183/$I183),0)))</f>
        <v/>
      </c>
      <c r="AC183" s="84" t="str">
        <f aca="false">IF($D183&lt;&gt;1,"",IF(p_mode="Nœud",$AB183*$K183,$L183*IF($G183="IKS",p_iks_cpu,p_roks_cpu)+$M183*IF($G183="IKS",p_iks_ram,p_roks_ram))*p_facteur)</f>
        <v/>
      </c>
      <c r="AD183" s="14" t="str">
        <f aca="false">IF($D183&lt;&gt;1,"",IF(AND($G183="IKS",$AI183&lt;&gt;1,OR($L183-$P183&lt;$N183,$M183-$Q183&lt;$O183)),1,0))</f>
        <v/>
      </c>
      <c r="AE183" s="14" t="str">
        <f aca="false">IF($D183&lt;&gt;1,"",IF(AND($G183="ROKS",$T183&gt;p_maxworkers),1,0))</f>
        <v/>
      </c>
      <c r="AF183" s="14" t="str">
        <f aca="false">IF($D183&lt;&gt;1,"",IF(INDEX(TblClusters[Environnement],$B183)="","(vide)",INDEX(TblClusters[Environnement],$B183)))</f>
        <v/>
      </c>
      <c r="AG183" s="14" t="str">
        <f aca="false">IF($D183&lt;&gt;1,"",$R183+p_poidsram*$S183)</f>
        <v/>
      </c>
      <c r="AH183" s="14" t="str">
        <f aca="false">IF($D183&lt;&gt;1,"",IFERROR($W183/$AG183,0))</f>
        <v/>
      </c>
      <c r="AI183" s="14" t="str">
        <f aca="false">IF($D183&lt;&gt;1,"",IF(AND($G183="IKS",ISNUMBER(INDEX(TblClusters[Fermeture retenue],$B183))),IF($E183&gt;=INDEX(TblClusters[Fermeture retenue],$B183),1,0),0))</f>
        <v/>
      </c>
    </row>
    <row r="184" customFormat="false" ht="15" hidden="false" customHeight="false" outlineLevel="0" collapsed="false">
      <c r="A184" s="14" t="n">
        <v>179</v>
      </c>
      <c r="B184" s="14" t="n">
        <f aca="false">INT(($A184-1)/36)+1</f>
        <v>5</v>
      </c>
      <c r="C184" s="14" t="n">
        <f aca="false">MOD($A184-1,36)+1</f>
        <v>35</v>
      </c>
      <c r="D184" s="14" t="n">
        <f aca="false">IF($C184&gt;p_horizon,0,IFERROR(IF(AND(INDEX(TblClusters[Cluster],$B184)&lt;&gt;"",ISNUMBER(INDEX(TblClusters[CPU initial (vCPU)],$B184)),ISNUMBER(INDEX(TblClusters[CPU min (vCPU)],$B184)),OR(INDEX(TblClusters[Plateforme],$B184)="IKS",INDEX(TblClusters[Plateforme],$B184)="ROKS")),1,0),0))</f>
        <v>0</v>
      </c>
      <c r="E184" s="83" t="str">
        <f aca="false">IF($D184=1,EDATE(p_debut,$C184-1),"")</f>
        <v/>
      </c>
      <c r="F184" s="14" t="str">
        <f aca="false">IF($D184=1,INDEX(TblClusters[Cluster],$B184),"")</f>
        <v/>
      </c>
      <c r="G184" s="14" t="str">
        <f aca="false">IF($D184=1,INDEX(TblClusters[Plateforme],$B184),"")</f>
        <v/>
      </c>
      <c r="H184" s="14" t="str">
        <f aca="false">IF($D184=1,INDEX(TblClusters[vCPU par nœud],$B184),"")</f>
        <v/>
      </c>
      <c r="I184" s="14" t="str">
        <f aca="false">IF($D184=1,INDEX(TblClusters[RAM par nœud (Go)],$B184),"")</f>
        <v/>
      </c>
      <c r="J184" s="14" t="str">
        <f aca="false">IF($D184=1,INDEX(TblClusters[Workers min],$B184),"")</f>
        <v/>
      </c>
      <c r="K184" s="84" t="str">
        <f aca="false">IF($D184=1,INDEX(TblClusters[Tarif par nœud],$B184),"")</f>
        <v/>
      </c>
      <c r="L184" s="14" t="str">
        <f aca="false">IF($D184=1,INDEX(TblClusters[CPU initial (vCPU)],$B184),"")</f>
        <v/>
      </c>
      <c r="M184" s="14" t="str">
        <f aca="false">IF($D184=1,INDEX(TblClusters[RAM initiale (Go)],$B184),"")</f>
        <v/>
      </c>
      <c r="N184" s="14" t="str">
        <f aca="false">IF($D184=1,INDEX(TblClusters[CPU min (vCPU)],$B184),"")</f>
        <v/>
      </c>
      <c r="O184" s="14" t="str">
        <f aca="false">IF($D184=1,INDEX(TblClusters[RAM min (Go)],$B184),"")</f>
        <v/>
      </c>
      <c r="P184" s="14" t="str">
        <f aca="false">IF($D184&lt;&gt;1,"",IF($G184="ROKS",SUMIFS(TblApplications[Besoin ROKS CPU (vCPU)],TblApplications[Cluster ROKS cible],$F184,TblApplications[Action],"À migrer",TblApplications[Déjà incluse ROKS],"Non",TblApplications[Mois prov (calc)],"&lt;="&amp;$E184),SUMIFS(TblApplications[CPU IKS libérable (vCPU)],TblApplications[Cluster IKS source],$F184,TblApplications[Mois lib (calc)],"&lt;="&amp;$E184)))</f>
        <v/>
      </c>
      <c r="Q184" s="14" t="str">
        <f aca="false">IF($D184&lt;&gt;1,"",IF($G184="ROKS",SUMIFS(TblApplications[Besoin ROKS RAM (Go)],TblApplications[Cluster ROKS cible],$F184,TblApplications[Action],"À migrer",TblApplications[Déjà incluse ROKS],"Non",TblApplications[Mois prov (calc)],"&lt;="&amp;$E184),SUMIFS(TblApplications[RAM IKS libérable (Go)],TblApplications[Cluster IKS source],$F184,TblApplications[Mois lib (calc)],"&lt;="&amp;$E184)))</f>
        <v/>
      </c>
      <c r="R184" s="14" t="str">
        <f aca="false">IF($D184&lt;&gt;1,"",IF($G184="ROKS",$L184+$P184,IF($AI184=1,0,MAX($N184,$L184-$P184))))</f>
        <v/>
      </c>
      <c r="S184" s="14" t="str">
        <f aca="false">IF($D184&lt;&gt;1,"",IF($G184="ROKS",$M184+$Q184,IF($AI184=1,0,MAX($O184,$M184-$Q184))))</f>
        <v/>
      </c>
      <c r="T184" s="14" t="str">
        <f aca="false">IF($D184&lt;&gt;1,"",IF($AI184=1,0,MAX($J184,ROUNDUP(MAX($R184/$H184,$S184/$I184),0))))</f>
        <v/>
      </c>
      <c r="U184" s="14" t="str">
        <f aca="false">IF($D184&lt;&gt;1,"",IF(p_mode="Nœud",$T184*$H184,$R184))</f>
        <v/>
      </c>
      <c r="V184" s="14" t="str">
        <f aca="false">IF($D184&lt;&gt;1,"",IF(p_mode="Nœud",$T184*$I184,$S184))</f>
        <v/>
      </c>
      <c r="W184" s="84" t="str">
        <f aca="false">IF($D184&lt;&gt;1,"",IF(p_mode="Nœud",$T184*$K184,$R184*IF($G184="IKS",p_iks_cpu,p_roks_cpu)+$S184*IF($G184="IKS",p_iks_ram,p_roks_ram))*p_facteur)</f>
        <v/>
      </c>
      <c r="X184" s="14" t="str">
        <f aca="false">IF($D184&lt;&gt;1,"",IF($G184="ROKS",$R184,IF($AI184=1,0,MAX($N184,$L184-SUMIFS(TblApplications[CPU IKS libérable (vCPU)],TblApplications[Cluster IKS source],$F184,TblApplications[Action],"À migrer",TblApplications[Mois prov (calc)],"&lt;="&amp;$E184)-SUMIFS(TblApplications[CPU IKS libérable (vCPU)],TblApplications[Cluster IKS source],$F184,TblApplications[Action],"À décommissionner",TblApplications[Mois lib (calc)],"&lt;="&amp;$E184)))))</f>
        <v/>
      </c>
      <c r="Y184" s="14" t="str">
        <f aca="false">IF($D184&lt;&gt;1,"",IF($G184="ROKS",$S184,IF($AI184=1,0,MAX($O184,$M184-SUMIFS(TblApplications[RAM IKS libérable (Go)],TblApplications[Cluster IKS source],$F184,TblApplications[Action],"À migrer",TblApplications[Mois prov (calc)],"&lt;="&amp;$E184)-SUMIFS(TblApplications[RAM IKS libérable (Go)],TblApplications[Cluster IKS source],$F184,TblApplications[Action],"À décommissionner",TblApplications[Mois lib (calc)],"&lt;="&amp;$E184)))))</f>
        <v/>
      </c>
      <c r="Z184" s="14" t="str">
        <f aca="false">IF($D184&lt;&gt;1,"",IF($AI184=1,0,MAX($J184,ROUNDUP(MAX($X184/$H184,$Y184/$I184),0))))</f>
        <v/>
      </c>
      <c r="AA184" s="84" t="str">
        <f aca="false">IF($D184&lt;&gt;1,"",IF(p_mode="Nœud",$Z184*$K184,$X184*IF($G184="IKS",p_iks_cpu,p_roks_cpu)+$Y184*IF($G184="IKS",p_iks_ram,p_roks_ram))*p_facteur)</f>
        <v/>
      </c>
      <c r="AB184" s="14" t="str">
        <f aca="false">IF($D184&lt;&gt;1,"",MAX($J184,ROUNDUP(MAX($L184/$H184,$M184/$I184),0)))</f>
        <v/>
      </c>
      <c r="AC184" s="84" t="str">
        <f aca="false">IF($D184&lt;&gt;1,"",IF(p_mode="Nœud",$AB184*$K184,$L184*IF($G184="IKS",p_iks_cpu,p_roks_cpu)+$M184*IF($G184="IKS",p_iks_ram,p_roks_ram))*p_facteur)</f>
        <v/>
      </c>
      <c r="AD184" s="14" t="str">
        <f aca="false">IF($D184&lt;&gt;1,"",IF(AND($G184="IKS",$AI184&lt;&gt;1,OR($L184-$P184&lt;$N184,$M184-$Q184&lt;$O184)),1,0))</f>
        <v/>
      </c>
      <c r="AE184" s="14" t="str">
        <f aca="false">IF($D184&lt;&gt;1,"",IF(AND($G184="ROKS",$T184&gt;p_maxworkers),1,0))</f>
        <v/>
      </c>
      <c r="AF184" s="14" t="str">
        <f aca="false">IF($D184&lt;&gt;1,"",IF(INDEX(TblClusters[Environnement],$B184)="","(vide)",INDEX(TblClusters[Environnement],$B184)))</f>
        <v/>
      </c>
      <c r="AG184" s="14" t="str">
        <f aca="false">IF($D184&lt;&gt;1,"",$R184+p_poidsram*$S184)</f>
        <v/>
      </c>
      <c r="AH184" s="14" t="str">
        <f aca="false">IF($D184&lt;&gt;1,"",IFERROR($W184/$AG184,0))</f>
        <v/>
      </c>
      <c r="AI184" s="14" t="str">
        <f aca="false">IF($D184&lt;&gt;1,"",IF(AND($G184="IKS",ISNUMBER(INDEX(TblClusters[Fermeture retenue],$B184))),IF($E184&gt;=INDEX(TblClusters[Fermeture retenue],$B184),1,0),0))</f>
        <v/>
      </c>
    </row>
    <row r="185" customFormat="false" ht="15" hidden="false" customHeight="false" outlineLevel="0" collapsed="false">
      <c r="A185" s="14" t="n">
        <v>180</v>
      </c>
      <c r="B185" s="14" t="n">
        <f aca="false">INT(($A185-1)/36)+1</f>
        <v>5</v>
      </c>
      <c r="C185" s="14" t="n">
        <f aca="false">MOD($A185-1,36)+1</f>
        <v>36</v>
      </c>
      <c r="D185" s="14" t="n">
        <f aca="false">IF($C185&gt;p_horizon,0,IFERROR(IF(AND(INDEX(TblClusters[Cluster],$B185)&lt;&gt;"",ISNUMBER(INDEX(TblClusters[CPU initial (vCPU)],$B185)),ISNUMBER(INDEX(TblClusters[CPU min (vCPU)],$B185)),OR(INDEX(TblClusters[Plateforme],$B185)="IKS",INDEX(TblClusters[Plateforme],$B185)="ROKS")),1,0),0))</f>
        <v>0</v>
      </c>
      <c r="E185" s="83" t="str">
        <f aca="false">IF($D185=1,EDATE(p_debut,$C185-1),"")</f>
        <v/>
      </c>
      <c r="F185" s="14" t="str">
        <f aca="false">IF($D185=1,INDEX(TblClusters[Cluster],$B185),"")</f>
        <v/>
      </c>
      <c r="G185" s="14" t="str">
        <f aca="false">IF($D185=1,INDEX(TblClusters[Plateforme],$B185),"")</f>
        <v/>
      </c>
      <c r="H185" s="14" t="str">
        <f aca="false">IF($D185=1,INDEX(TblClusters[vCPU par nœud],$B185),"")</f>
        <v/>
      </c>
      <c r="I185" s="14" t="str">
        <f aca="false">IF($D185=1,INDEX(TblClusters[RAM par nœud (Go)],$B185),"")</f>
        <v/>
      </c>
      <c r="J185" s="14" t="str">
        <f aca="false">IF($D185=1,INDEX(TblClusters[Workers min],$B185),"")</f>
        <v/>
      </c>
      <c r="K185" s="84" t="str">
        <f aca="false">IF($D185=1,INDEX(TblClusters[Tarif par nœud],$B185),"")</f>
        <v/>
      </c>
      <c r="L185" s="14" t="str">
        <f aca="false">IF($D185=1,INDEX(TblClusters[CPU initial (vCPU)],$B185),"")</f>
        <v/>
      </c>
      <c r="M185" s="14" t="str">
        <f aca="false">IF($D185=1,INDEX(TblClusters[RAM initiale (Go)],$B185),"")</f>
        <v/>
      </c>
      <c r="N185" s="14" t="str">
        <f aca="false">IF($D185=1,INDEX(TblClusters[CPU min (vCPU)],$B185),"")</f>
        <v/>
      </c>
      <c r="O185" s="14" t="str">
        <f aca="false">IF($D185=1,INDEX(TblClusters[RAM min (Go)],$B185),"")</f>
        <v/>
      </c>
      <c r="P185" s="14" t="str">
        <f aca="false">IF($D185&lt;&gt;1,"",IF($G185="ROKS",SUMIFS(TblApplications[Besoin ROKS CPU (vCPU)],TblApplications[Cluster ROKS cible],$F185,TblApplications[Action],"À migrer",TblApplications[Déjà incluse ROKS],"Non",TblApplications[Mois prov (calc)],"&lt;="&amp;$E185),SUMIFS(TblApplications[CPU IKS libérable (vCPU)],TblApplications[Cluster IKS source],$F185,TblApplications[Mois lib (calc)],"&lt;="&amp;$E185)))</f>
        <v/>
      </c>
      <c r="Q185" s="14" t="str">
        <f aca="false">IF($D185&lt;&gt;1,"",IF($G185="ROKS",SUMIFS(TblApplications[Besoin ROKS RAM (Go)],TblApplications[Cluster ROKS cible],$F185,TblApplications[Action],"À migrer",TblApplications[Déjà incluse ROKS],"Non",TblApplications[Mois prov (calc)],"&lt;="&amp;$E185),SUMIFS(TblApplications[RAM IKS libérable (Go)],TblApplications[Cluster IKS source],$F185,TblApplications[Mois lib (calc)],"&lt;="&amp;$E185)))</f>
        <v/>
      </c>
      <c r="R185" s="14" t="str">
        <f aca="false">IF($D185&lt;&gt;1,"",IF($G185="ROKS",$L185+$P185,IF($AI185=1,0,MAX($N185,$L185-$P185))))</f>
        <v/>
      </c>
      <c r="S185" s="14" t="str">
        <f aca="false">IF($D185&lt;&gt;1,"",IF($G185="ROKS",$M185+$Q185,IF($AI185=1,0,MAX($O185,$M185-$Q185))))</f>
        <v/>
      </c>
      <c r="T185" s="14" t="str">
        <f aca="false">IF($D185&lt;&gt;1,"",IF($AI185=1,0,MAX($J185,ROUNDUP(MAX($R185/$H185,$S185/$I185),0))))</f>
        <v/>
      </c>
      <c r="U185" s="14" t="str">
        <f aca="false">IF($D185&lt;&gt;1,"",IF(p_mode="Nœud",$T185*$H185,$R185))</f>
        <v/>
      </c>
      <c r="V185" s="14" t="str">
        <f aca="false">IF($D185&lt;&gt;1,"",IF(p_mode="Nœud",$T185*$I185,$S185))</f>
        <v/>
      </c>
      <c r="W185" s="84" t="str">
        <f aca="false">IF($D185&lt;&gt;1,"",IF(p_mode="Nœud",$T185*$K185,$R185*IF($G185="IKS",p_iks_cpu,p_roks_cpu)+$S185*IF($G185="IKS",p_iks_ram,p_roks_ram))*p_facteur)</f>
        <v/>
      </c>
      <c r="X185" s="14" t="str">
        <f aca="false">IF($D185&lt;&gt;1,"",IF($G185="ROKS",$R185,IF($AI185=1,0,MAX($N185,$L185-SUMIFS(TblApplications[CPU IKS libérable (vCPU)],TblApplications[Cluster IKS source],$F185,TblApplications[Action],"À migrer",TblApplications[Mois prov (calc)],"&lt;="&amp;$E185)-SUMIFS(TblApplications[CPU IKS libérable (vCPU)],TblApplications[Cluster IKS source],$F185,TblApplications[Action],"À décommissionner",TblApplications[Mois lib (calc)],"&lt;="&amp;$E185)))))</f>
        <v/>
      </c>
      <c r="Y185" s="14" t="str">
        <f aca="false">IF($D185&lt;&gt;1,"",IF($G185="ROKS",$S185,IF($AI185=1,0,MAX($O185,$M185-SUMIFS(TblApplications[RAM IKS libérable (Go)],TblApplications[Cluster IKS source],$F185,TblApplications[Action],"À migrer",TblApplications[Mois prov (calc)],"&lt;="&amp;$E185)-SUMIFS(TblApplications[RAM IKS libérable (Go)],TblApplications[Cluster IKS source],$F185,TblApplications[Action],"À décommissionner",TblApplications[Mois lib (calc)],"&lt;="&amp;$E185)))))</f>
        <v/>
      </c>
      <c r="Z185" s="14" t="str">
        <f aca="false">IF($D185&lt;&gt;1,"",IF($AI185=1,0,MAX($J185,ROUNDUP(MAX($X185/$H185,$Y185/$I185),0))))</f>
        <v/>
      </c>
      <c r="AA185" s="84" t="str">
        <f aca="false">IF($D185&lt;&gt;1,"",IF(p_mode="Nœud",$Z185*$K185,$X185*IF($G185="IKS",p_iks_cpu,p_roks_cpu)+$Y185*IF($G185="IKS",p_iks_ram,p_roks_ram))*p_facteur)</f>
        <v/>
      </c>
      <c r="AB185" s="14" t="str">
        <f aca="false">IF($D185&lt;&gt;1,"",MAX($J185,ROUNDUP(MAX($L185/$H185,$M185/$I185),0)))</f>
        <v/>
      </c>
      <c r="AC185" s="84" t="str">
        <f aca="false">IF($D185&lt;&gt;1,"",IF(p_mode="Nœud",$AB185*$K185,$L185*IF($G185="IKS",p_iks_cpu,p_roks_cpu)+$M185*IF($G185="IKS",p_iks_ram,p_roks_ram))*p_facteur)</f>
        <v/>
      </c>
      <c r="AD185" s="14" t="str">
        <f aca="false">IF($D185&lt;&gt;1,"",IF(AND($G185="IKS",$AI185&lt;&gt;1,OR($L185-$P185&lt;$N185,$M185-$Q185&lt;$O185)),1,0))</f>
        <v/>
      </c>
      <c r="AE185" s="14" t="str">
        <f aca="false">IF($D185&lt;&gt;1,"",IF(AND($G185="ROKS",$T185&gt;p_maxworkers),1,0))</f>
        <v/>
      </c>
      <c r="AF185" s="14" t="str">
        <f aca="false">IF($D185&lt;&gt;1,"",IF(INDEX(TblClusters[Environnement],$B185)="","(vide)",INDEX(TblClusters[Environnement],$B185)))</f>
        <v/>
      </c>
      <c r="AG185" s="14" t="str">
        <f aca="false">IF($D185&lt;&gt;1,"",$R185+p_poidsram*$S185)</f>
        <v/>
      </c>
      <c r="AH185" s="14" t="str">
        <f aca="false">IF($D185&lt;&gt;1,"",IFERROR($W185/$AG185,0))</f>
        <v/>
      </c>
      <c r="AI185" s="14" t="str">
        <f aca="false">IF($D185&lt;&gt;1,"",IF(AND($G185="IKS",ISNUMBER(INDEX(TblClusters[Fermeture retenue],$B185))),IF($E185&gt;=INDEX(TblClusters[Fermeture retenue],$B185),1,0),0))</f>
        <v/>
      </c>
    </row>
    <row r="186" customFormat="false" ht="15" hidden="false" customHeight="false" outlineLevel="0" collapsed="false">
      <c r="A186" s="14" t="n">
        <v>181</v>
      </c>
      <c r="B186" s="14" t="n">
        <f aca="false">INT(($A186-1)/36)+1</f>
        <v>6</v>
      </c>
      <c r="C186" s="14" t="n">
        <f aca="false">MOD($A186-1,36)+1</f>
        <v>1</v>
      </c>
      <c r="D186" s="14" t="n">
        <f aca="false">IF($C186&gt;p_horizon,0,IFERROR(IF(AND(INDEX(TblClusters[Cluster],$B186)&lt;&gt;"",ISNUMBER(INDEX(TblClusters[CPU initial (vCPU)],$B186)),ISNUMBER(INDEX(TblClusters[CPU min (vCPU)],$B186)),OR(INDEX(TblClusters[Plateforme],$B186)="IKS",INDEX(TblClusters[Plateforme],$B186)="ROKS")),1,0),0))</f>
        <v>0</v>
      </c>
      <c r="E186" s="83" t="str">
        <f aca="false">IF($D186=1,EDATE(p_debut,$C186-1),"")</f>
        <v/>
      </c>
      <c r="F186" s="14" t="str">
        <f aca="false">IF($D186=1,INDEX(TblClusters[Cluster],$B186),"")</f>
        <v/>
      </c>
      <c r="G186" s="14" t="str">
        <f aca="false">IF($D186=1,INDEX(TblClusters[Plateforme],$B186),"")</f>
        <v/>
      </c>
      <c r="H186" s="14" t="str">
        <f aca="false">IF($D186=1,INDEX(TblClusters[vCPU par nœud],$B186),"")</f>
        <v/>
      </c>
      <c r="I186" s="14" t="str">
        <f aca="false">IF($D186=1,INDEX(TblClusters[RAM par nœud (Go)],$B186),"")</f>
        <v/>
      </c>
      <c r="J186" s="14" t="str">
        <f aca="false">IF($D186=1,INDEX(TblClusters[Workers min],$B186),"")</f>
        <v/>
      </c>
      <c r="K186" s="84" t="str">
        <f aca="false">IF($D186=1,INDEX(TblClusters[Tarif par nœud],$B186),"")</f>
        <v/>
      </c>
      <c r="L186" s="14" t="str">
        <f aca="false">IF($D186=1,INDEX(TblClusters[CPU initial (vCPU)],$B186),"")</f>
        <v/>
      </c>
      <c r="M186" s="14" t="str">
        <f aca="false">IF($D186=1,INDEX(TblClusters[RAM initiale (Go)],$B186),"")</f>
        <v/>
      </c>
      <c r="N186" s="14" t="str">
        <f aca="false">IF($D186=1,INDEX(TblClusters[CPU min (vCPU)],$B186),"")</f>
        <v/>
      </c>
      <c r="O186" s="14" t="str">
        <f aca="false">IF($D186=1,INDEX(TblClusters[RAM min (Go)],$B186),"")</f>
        <v/>
      </c>
      <c r="P186" s="14" t="str">
        <f aca="false">IF($D186&lt;&gt;1,"",IF($G186="ROKS",SUMIFS(TblApplications[Besoin ROKS CPU (vCPU)],TblApplications[Cluster ROKS cible],$F186,TblApplications[Action],"À migrer",TblApplications[Déjà incluse ROKS],"Non",TblApplications[Mois prov (calc)],"&lt;="&amp;$E186),SUMIFS(TblApplications[CPU IKS libérable (vCPU)],TblApplications[Cluster IKS source],$F186,TblApplications[Mois lib (calc)],"&lt;="&amp;$E186)))</f>
        <v/>
      </c>
      <c r="Q186" s="14" t="str">
        <f aca="false">IF($D186&lt;&gt;1,"",IF($G186="ROKS",SUMIFS(TblApplications[Besoin ROKS RAM (Go)],TblApplications[Cluster ROKS cible],$F186,TblApplications[Action],"À migrer",TblApplications[Déjà incluse ROKS],"Non",TblApplications[Mois prov (calc)],"&lt;="&amp;$E186),SUMIFS(TblApplications[RAM IKS libérable (Go)],TblApplications[Cluster IKS source],$F186,TblApplications[Mois lib (calc)],"&lt;="&amp;$E186)))</f>
        <v/>
      </c>
      <c r="R186" s="14" t="str">
        <f aca="false">IF($D186&lt;&gt;1,"",IF($G186="ROKS",$L186+$P186,IF($AI186=1,0,MAX($N186,$L186-$P186))))</f>
        <v/>
      </c>
      <c r="S186" s="14" t="str">
        <f aca="false">IF($D186&lt;&gt;1,"",IF($G186="ROKS",$M186+$Q186,IF($AI186=1,0,MAX($O186,$M186-$Q186))))</f>
        <v/>
      </c>
      <c r="T186" s="14" t="str">
        <f aca="false">IF($D186&lt;&gt;1,"",IF($AI186=1,0,MAX($J186,ROUNDUP(MAX($R186/$H186,$S186/$I186),0))))</f>
        <v/>
      </c>
      <c r="U186" s="14" t="str">
        <f aca="false">IF($D186&lt;&gt;1,"",IF(p_mode="Nœud",$T186*$H186,$R186))</f>
        <v/>
      </c>
      <c r="V186" s="14" t="str">
        <f aca="false">IF($D186&lt;&gt;1,"",IF(p_mode="Nœud",$T186*$I186,$S186))</f>
        <v/>
      </c>
      <c r="W186" s="84" t="str">
        <f aca="false">IF($D186&lt;&gt;1,"",IF(p_mode="Nœud",$T186*$K186,$R186*IF($G186="IKS",p_iks_cpu,p_roks_cpu)+$S186*IF($G186="IKS",p_iks_ram,p_roks_ram))*p_facteur)</f>
        <v/>
      </c>
      <c r="X186" s="14" t="str">
        <f aca="false">IF($D186&lt;&gt;1,"",IF($G186="ROKS",$R186,IF($AI186=1,0,MAX($N186,$L186-SUMIFS(TblApplications[CPU IKS libérable (vCPU)],TblApplications[Cluster IKS source],$F186,TblApplications[Action],"À migrer",TblApplications[Mois prov (calc)],"&lt;="&amp;$E186)-SUMIFS(TblApplications[CPU IKS libérable (vCPU)],TblApplications[Cluster IKS source],$F186,TblApplications[Action],"À décommissionner",TblApplications[Mois lib (calc)],"&lt;="&amp;$E186)))))</f>
        <v/>
      </c>
      <c r="Y186" s="14" t="str">
        <f aca="false">IF($D186&lt;&gt;1,"",IF($G186="ROKS",$S186,IF($AI186=1,0,MAX($O186,$M186-SUMIFS(TblApplications[RAM IKS libérable (Go)],TblApplications[Cluster IKS source],$F186,TblApplications[Action],"À migrer",TblApplications[Mois prov (calc)],"&lt;="&amp;$E186)-SUMIFS(TblApplications[RAM IKS libérable (Go)],TblApplications[Cluster IKS source],$F186,TblApplications[Action],"À décommissionner",TblApplications[Mois lib (calc)],"&lt;="&amp;$E186)))))</f>
        <v/>
      </c>
      <c r="Z186" s="14" t="str">
        <f aca="false">IF($D186&lt;&gt;1,"",IF($AI186=1,0,MAX($J186,ROUNDUP(MAX($X186/$H186,$Y186/$I186),0))))</f>
        <v/>
      </c>
      <c r="AA186" s="84" t="str">
        <f aca="false">IF($D186&lt;&gt;1,"",IF(p_mode="Nœud",$Z186*$K186,$X186*IF($G186="IKS",p_iks_cpu,p_roks_cpu)+$Y186*IF($G186="IKS",p_iks_ram,p_roks_ram))*p_facteur)</f>
        <v/>
      </c>
      <c r="AB186" s="14" t="str">
        <f aca="false">IF($D186&lt;&gt;1,"",MAX($J186,ROUNDUP(MAX($L186/$H186,$M186/$I186),0)))</f>
        <v/>
      </c>
      <c r="AC186" s="84" t="str">
        <f aca="false">IF($D186&lt;&gt;1,"",IF(p_mode="Nœud",$AB186*$K186,$L186*IF($G186="IKS",p_iks_cpu,p_roks_cpu)+$M186*IF($G186="IKS",p_iks_ram,p_roks_ram))*p_facteur)</f>
        <v/>
      </c>
      <c r="AD186" s="14" t="str">
        <f aca="false">IF($D186&lt;&gt;1,"",IF(AND($G186="IKS",$AI186&lt;&gt;1,OR($L186-$P186&lt;$N186,$M186-$Q186&lt;$O186)),1,0))</f>
        <v/>
      </c>
      <c r="AE186" s="14" t="str">
        <f aca="false">IF($D186&lt;&gt;1,"",IF(AND($G186="ROKS",$T186&gt;p_maxworkers),1,0))</f>
        <v/>
      </c>
      <c r="AF186" s="14" t="str">
        <f aca="false">IF($D186&lt;&gt;1,"",IF(INDEX(TblClusters[Environnement],$B186)="","(vide)",INDEX(TblClusters[Environnement],$B186)))</f>
        <v/>
      </c>
      <c r="AG186" s="14" t="str">
        <f aca="false">IF($D186&lt;&gt;1,"",$R186+p_poidsram*$S186)</f>
        <v/>
      </c>
      <c r="AH186" s="14" t="str">
        <f aca="false">IF($D186&lt;&gt;1,"",IFERROR($W186/$AG186,0))</f>
        <v/>
      </c>
      <c r="AI186" s="14" t="str">
        <f aca="false">IF($D186&lt;&gt;1,"",IF(AND($G186="IKS",ISNUMBER(INDEX(TblClusters[Fermeture retenue],$B186))),IF($E186&gt;=INDEX(TblClusters[Fermeture retenue],$B186),1,0),0))</f>
        <v/>
      </c>
    </row>
    <row r="187" customFormat="false" ht="15" hidden="false" customHeight="false" outlineLevel="0" collapsed="false">
      <c r="A187" s="14" t="n">
        <v>182</v>
      </c>
      <c r="B187" s="14" t="n">
        <f aca="false">INT(($A187-1)/36)+1</f>
        <v>6</v>
      </c>
      <c r="C187" s="14" t="n">
        <f aca="false">MOD($A187-1,36)+1</f>
        <v>2</v>
      </c>
      <c r="D187" s="14" t="n">
        <f aca="false">IF($C187&gt;p_horizon,0,IFERROR(IF(AND(INDEX(TblClusters[Cluster],$B187)&lt;&gt;"",ISNUMBER(INDEX(TblClusters[CPU initial (vCPU)],$B187)),ISNUMBER(INDEX(TblClusters[CPU min (vCPU)],$B187)),OR(INDEX(TblClusters[Plateforme],$B187)="IKS",INDEX(TblClusters[Plateforme],$B187)="ROKS")),1,0),0))</f>
        <v>0</v>
      </c>
      <c r="E187" s="83" t="str">
        <f aca="false">IF($D187=1,EDATE(p_debut,$C187-1),"")</f>
        <v/>
      </c>
      <c r="F187" s="14" t="str">
        <f aca="false">IF($D187=1,INDEX(TblClusters[Cluster],$B187),"")</f>
        <v/>
      </c>
      <c r="G187" s="14" t="str">
        <f aca="false">IF($D187=1,INDEX(TblClusters[Plateforme],$B187),"")</f>
        <v/>
      </c>
      <c r="H187" s="14" t="str">
        <f aca="false">IF($D187=1,INDEX(TblClusters[vCPU par nœud],$B187),"")</f>
        <v/>
      </c>
      <c r="I187" s="14" t="str">
        <f aca="false">IF($D187=1,INDEX(TblClusters[RAM par nœud (Go)],$B187),"")</f>
        <v/>
      </c>
      <c r="J187" s="14" t="str">
        <f aca="false">IF($D187=1,INDEX(TblClusters[Workers min],$B187),"")</f>
        <v/>
      </c>
      <c r="K187" s="84" t="str">
        <f aca="false">IF($D187=1,INDEX(TblClusters[Tarif par nœud],$B187),"")</f>
        <v/>
      </c>
      <c r="L187" s="14" t="str">
        <f aca="false">IF($D187=1,INDEX(TblClusters[CPU initial (vCPU)],$B187),"")</f>
        <v/>
      </c>
      <c r="M187" s="14" t="str">
        <f aca="false">IF($D187=1,INDEX(TblClusters[RAM initiale (Go)],$B187),"")</f>
        <v/>
      </c>
      <c r="N187" s="14" t="str">
        <f aca="false">IF($D187=1,INDEX(TblClusters[CPU min (vCPU)],$B187),"")</f>
        <v/>
      </c>
      <c r="O187" s="14" t="str">
        <f aca="false">IF($D187=1,INDEX(TblClusters[RAM min (Go)],$B187),"")</f>
        <v/>
      </c>
      <c r="P187" s="14" t="str">
        <f aca="false">IF($D187&lt;&gt;1,"",IF($G187="ROKS",SUMIFS(TblApplications[Besoin ROKS CPU (vCPU)],TblApplications[Cluster ROKS cible],$F187,TblApplications[Action],"À migrer",TblApplications[Déjà incluse ROKS],"Non",TblApplications[Mois prov (calc)],"&lt;="&amp;$E187),SUMIFS(TblApplications[CPU IKS libérable (vCPU)],TblApplications[Cluster IKS source],$F187,TblApplications[Mois lib (calc)],"&lt;="&amp;$E187)))</f>
        <v/>
      </c>
      <c r="Q187" s="14" t="str">
        <f aca="false">IF($D187&lt;&gt;1,"",IF($G187="ROKS",SUMIFS(TblApplications[Besoin ROKS RAM (Go)],TblApplications[Cluster ROKS cible],$F187,TblApplications[Action],"À migrer",TblApplications[Déjà incluse ROKS],"Non",TblApplications[Mois prov (calc)],"&lt;="&amp;$E187),SUMIFS(TblApplications[RAM IKS libérable (Go)],TblApplications[Cluster IKS source],$F187,TblApplications[Mois lib (calc)],"&lt;="&amp;$E187)))</f>
        <v/>
      </c>
      <c r="R187" s="14" t="str">
        <f aca="false">IF($D187&lt;&gt;1,"",IF($G187="ROKS",$L187+$P187,IF($AI187=1,0,MAX($N187,$L187-$P187))))</f>
        <v/>
      </c>
      <c r="S187" s="14" t="str">
        <f aca="false">IF($D187&lt;&gt;1,"",IF($G187="ROKS",$M187+$Q187,IF($AI187=1,0,MAX($O187,$M187-$Q187))))</f>
        <v/>
      </c>
      <c r="T187" s="14" t="str">
        <f aca="false">IF($D187&lt;&gt;1,"",IF($AI187=1,0,MAX($J187,ROUNDUP(MAX($R187/$H187,$S187/$I187),0))))</f>
        <v/>
      </c>
      <c r="U187" s="14" t="str">
        <f aca="false">IF($D187&lt;&gt;1,"",IF(p_mode="Nœud",$T187*$H187,$R187))</f>
        <v/>
      </c>
      <c r="V187" s="14" t="str">
        <f aca="false">IF($D187&lt;&gt;1,"",IF(p_mode="Nœud",$T187*$I187,$S187))</f>
        <v/>
      </c>
      <c r="W187" s="84" t="str">
        <f aca="false">IF($D187&lt;&gt;1,"",IF(p_mode="Nœud",$T187*$K187,$R187*IF($G187="IKS",p_iks_cpu,p_roks_cpu)+$S187*IF($G187="IKS",p_iks_ram,p_roks_ram))*p_facteur)</f>
        <v/>
      </c>
      <c r="X187" s="14" t="str">
        <f aca="false">IF($D187&lt;&gt;1,"",IF($G187="ROKS",$R187,IF($AI187=1,0,MAX($N187,$L187-SUMIFS(TblApplications[CPU IKS libérable (vCPU)],TblApplications[Cluster IKS source],$F187,TblApplications[Action],"À migrer",TblApplications[Mois prov (calc)],"&lt;="&amp;$E187)-SUMIFS(TblApplications[CPU IKS libérable (vCPU)],TblApplications[Cluster IKS source],$F187,TblApplications[Action],"À décommissionner",TblApplications[Mois lib (calc)],"&lt;="&amp;$E187)))))</f>
        <v/>
      </c>
      <c r="Y187" s="14" t="str">
        <f aca="false">IF($D187&lt;&gt;1,"",IF($G187="ROKS",$S187,IF($AI187=1,0,MAX($O187,$M187-SUMIFS(TblApplications[RAM IKS libérable (Go)],TblApplications[Cluster IKS source],$F187,TblApplications[Action],"À migrer",TblApplications[Mois prov (calc)],"&lt;="&amp;$E187)-SUMIFS(TblApplications[RAM IKS libérable (Go)],TblApplications[Cluster IKS source],$F187,TblApplications[Action],"À décommissionner",TblApplications[Mois lib (calc)],"&lt;="&amp;$E187)))))</f>
        <v/>
      </c>
      <c r="Z187" s="14" t="str">
        <f aca="false">IF($D187&lt;&gt;1,"",IF($AI187=1,0,MAX($J187,ROUNDUP(MAX($X187/$H187,$Y187/$I187),0))))</f>
        <v/>
      </c>
      <c r="AA187" s="84" t="str">
        <f aca="false">IF($D187&lt;&gt;1,"",IF(p_mode="Nœud",$Z187*$K187,$X187*IF($G187="IKS",p_iks_cpu,p_roks_cpu)+$Y187*IF($G187="IKS",p_iks_ram,p_roks_ram))*p_facteur)</f>
        <v/>
      </c>
      <c r="AB187" s="14" t="str">
        <f aca="false">IF($D187&lt;&gt;1,"",MAX($J187,ROUNDUP(MAX($L187/$H187,$M187/$I187),0)))</f>
        <v/>
      </c>
      <c r="AC187" s="84" t="str">
        <f aca="false">IF($D187&lt;&gt;1,"",IF(p_mode="Nœud",$AB187*$K187,$L187*IF($G187="IKS",p_iks_cpu,p_roks_cpu)+$M187*IF($G187="IKS",p_iks_ram,p_roks_ram))*p_facteur)</f>
        <v/>
      </c>
      <c r="AD187" s="14" t="str">
        <f aca="false">IF($D187&lt;&gt;1,"",IF(AND($G187="IKS",$AI187&lt;&gt;1,OR($L187-$P187&lt;$N187,$M187-$Q187&lt;$O187)),1,0))</f>
        <v/>
      </c>
      <c r="AE187" s="14" t="str">
        <f aca="false">IF($D187&lt;&gt;1,"",IF(AND($G187="ROKS",$T187&gt;p_maxworkers),1,0))</f>
        <v/>
      </c>
      <c r="AF187" s="14" t="str">
        <f aca="false">IF($D187&lt;&gt;1,"",IF(INDEX(TblClusters[Environnement],$B187)="","(vide)",INDEX(TblClusters[Environnement],$B187)))</f>
        <v/>
      </c>
      <c r="AG187" s="14" t="str">
        <f aca="false">IF($D187&lt;&gt;1,"",$R187+p_poidsram*$S187)</f>
        <v/>
      </c>
      <c r="AH187" s="14" t="str">
        <f aca="false">IF($D187&lt;&gt;1,"",IFERROR($W187/$AG187,0))</f>
        <v/>
      </c>
      <c r="AI187" s="14" t="str">
        <f aca="false">IF($D187&lt;&gt;1,"",IF(AND($G187="IKS",ISNUMBER(INDEX(TblClusters[Fermeture retenue],$B187))),IF($E187&gt;=INDEX(TblClusters[Fermeture retenue],$B187),1,0),0))</f>
        <v/>
      </c>
    </row>
    <row r="188" customFormat="false" ht="15" hidden="false" customHeight="false" outlineLevel="0" collapsed="false">
      <c r="A188" s="14" t="n">
        <v>183</v>
      </c>
      <c r="B188" s="14" t="n">
        <f aca="false">INT(($A188-1)/36)+1</f>
        <v>6</v>
      </c>
      <c r="C188" s="14" t="n">
        <f aca="false">MOD($A188-1,36)+1</f>
        <v>3</v>
      </c>
      <c r="D188" s="14" t="n">
        <f aca="false">IF($C188&gt;p_horizon,0,IFERROR(IF(AND(INDEX(TblClusters[Cluster],$B188)&lt;&gt;"",ISNUMBER(INDEX(TblClusters[CPU initial (vCPU)],$B188)),ISNUMBER(INDEX(TblClusters[CPU min (vCPU)],$B188)),OR(INDEX(TblClusters[Plateforme],$B188)="IKS",INDEX(TblClusters[Plateforme],$B188)="ROKS")),1,0),0))</f>
        <v>0</v>
      </c>
      <c r="E188" s="83" t="str">
        <f aca="false">IF($D188=1,EDATE(p_debut,$C188-1),"")</f>
        <v/>
      </c>
      <c r="F188" s="14" t="str">
        <f aca="false">IF($D188=1,INDEX(TblClusters[Cluster],$B188),"")</f>
        <v/>
      </c>
      <c r="G188" s="14" t="str">
        <f aca="false">IF($D188=1,INDEX(TblClusters[Plateforme],$B188),"")</f>
        <v/>
      </c>
      <c r="H188" s="14" t="str">
        <f aca="false">IF($D188=1,INDEX(TblClusters[vCPU par nœud],$B188),"")</f>
        <v/>
      </c>
      <c r="I188" s="14" t="str">
        <f aca="false">IF($D188=1,INDEX(TblClusters[RAM par nœud (Go)],$B188),"")</f>
        <v/>
      </c>
      <c r="J188" s="14" t="str">
        <f aca="false">IF($D188=1,INDEX(TblClusters[Workers min],$B188),"")</f>
        <v/>
      </c>
      <c r="K188" s="84" t="str">
        <f aca="false">IF($D188=1,INDEX(TblClusters[Tarif par nœud],$B188),"")</f>
        <v/>
      </c>
      <c r="L188" s="14" t="str">
        <f aca="false">IF($D188=1,INDEX(TblClusters[CPU initial (vCPU)],$B188),"")</f>
        <v/>
      </c>
      <c r="M188" s="14" t="str">
        <f aca="false">IF($D188=1,INDEX(TblClusters[RAM initiale (Go)],$B188),"")</f>
        <v/>
      </c>
      <c r="N188" s="14" t="str">
        <f aca="false">IF($D188=1,INDEX(TblClusters[CPU min (vCPU)],$B188),"")</f>
        <v/>
      </c>
      <c r="O188" s="14" t="str">
        <f aca="false">IF($D188=1,INDEX(TblClusters[RAM min (Go)],$B188),"")</f>
        <v/>
      </c>
      <c r="P188" s="14" t="str">
        <f aca="false">IF($D188&lt;&gt;1,"",IF($G188="ROKS",SUMIFS(TblApplications[Besoin ROKS CPU (vCPU)],TblApplications[Cluster ROKS cible],$F188,TblApplications[Action],"À migrer",TblApplications[Déjà incluse ROKS],"Non",TblApplications[Mois prov (calc)],"&lt;="&amp;$E188),SUMIFS(TblApplications[CPU IKS libérable (vCPU)],TblApplications[Cluster IKS source],$F188,TblApplications[Mois lib (calc)],"&lt;="&amp;$E188)))</f>
        <v/>
      </c>
      <c r="Q188" s="14" t="str">
        <f aca="false">IF($D188&lt;&gt;1,"",IF($G188="ROKS",SUMIFS(TblApplications[Besoin ROKS RAM (Go)],TblApplications[Cluster ROKS cible],$F188,TblApplications[Action],"À migrer",TblApplications[Déjà incluse ROKS],"Non",TblApplications[Mois prov (calc)],"&lt;="&amp;$E188),SUMIFS(TblApplications[RAM IKS libérable (Go)],TblApplications[Cluster IKS source],$F188,TblApplications[Mois lib (calc)],"&lt;="&amp;$E188)))</f>
        <v/>
      </c>
      <c r="R188" s="14" t="str">
        <f aca="false">IF($D188&lt;&gt;1,"",IF($G188="ROKS",$L188+$P188,IF($AI188=1,0,MAX($N188,$L188-$P188))))</f>
        <v/>
      </c>
      <c r="S188" s="14" t="str">
        <f aca="false">IF($D188&lt;&gt;1,"",IF($G188="ROKS",$M188+$Q188,IF($AI188=1,0,MAX($O188,$M188-$Q188))))</f>
        <v/>
      </c>
      <c r="T188" s="14" t="str">
        <f aca="false">IF($D188&lt;&gt;1,"",IF($AI188=1,0,MAX($J188,ROUNDUP(MAX($R188/$H188,$S188/$I188),0))))</f>
        <v/>
      </c>
      <c r="U188" s="14" t="str">
        <f aca="false">IF($D188&lt;&gt;1,"",IF(p_mode="Nœud",$T188*$H188,$R188))</f>
        <v/>
      </c>
      <c r="V188" s="14" t="str">
        <f aca="false">IF($D188&lt;&gt;1,"",IF(p_mode="Nœud",$T188*$I188,$S188))</f>
        <v/>
      </c>
      <c r="W188" s="84" t="str">
        <f aca="false">IF($D188&lt;&gt;1,"",IF(p_mode="Nœud",$T188*$K188,$R188*IF($G188="IKS",p_iks_cpu,p_roks_cpu)+$S188*IF($G188="IKS",p_iks_ram,p_roks_ram))*p_facteur)</f>
        <v/>
      </c>
      <c r="X188" s="14" t="str">
        <f aca="false">IF($D188&lt;&gt;1,"",IF($G188="ROKS",$R188,IF($AI188=1,0,MAX($N188,$L188-SUMIFS(TblApplications[CPU IKS libérable (vCPU)],TblApplications[Cluster IKS source],$F188,TblApplications[Action],"À migrer",TblApplications[Mois prov (calc)],"&lt;="&amp;$E188)-SUMIFS(TblApplications[CPU IKS libérable (vCPU)],TblApplications[Cluster IKS source],$F188,TblApplications[Action],"À décommissionner",TblApplications[Mois lib (calc)],"&lt;="&amp;$E188)))))</f>
        <v/>
      </c>
      <c r="Y188" s="14" t="str">
        <f aca="false">IF($D188&lt;&gt;1,"",IF($G188="ROKS",$S188,IF($AI188=1,0,MAX($O188,$M188-SUMIFS(TblApplications[RAM IKS libérable (Go)],TblApplications[Cluster IKS source],$F188,TblApplications[Action],"À migrer",TblApplications[Mois prov (calc)],"&lt;="&amp;$E188)-SUMIFS(TblApplications[RAM IKS libérable (Go)],TblApplications[Cluster IKS source],$F188,TblApplications[Action],"À décommissionner",TblApplications[Mois lib (calc)],"&lt;="&amp;$E188)))))</f>
        <v/>
      </c>
      <c r="Z188" s="14" t="str">
        <f aca="false">IF($D188&lt;&gt;1,"",IF($AI188=1,0,MAX($J188,ROUNDUP(MAX($X188/$H188,$Y188/$I188),0))))</f>
        <v/>
      </c>
      <c r="AA188" s="84" t="str">
        <f aca="false">IF($D188&lt;&gt;1,"",IF(p_mode="Nœud",$Z188*$K188,$X188*IF($G188="IKS",p_iks_cpu,p_roks_cpu)+$Y188*IF($G188="IKS",p_iks_ram,p_roks_ram))*p_facteur)</f>
        <v/>
      </c>
      <c r="AB188" s="14" t="str">
        <f aca="false">IF($D188&lt;&gt;1,"",MAX($J188,ROUNDUP(MAX($L188/$H188,$M188/$I188),0)))</f>
        <v/>
      </c>
      <c r="AC188" s="84" t="str">
        <f aca="false">IF($D188&lt;&gt;1,"",IF(p_mode="Nœud",$AB188*$K188,$L188*IF($G188="IKS",p_iks_cpu,p_roks_cpu)+$M188*IF($G188="IKS",p_iks_ram,p_roks_ram))*p_facteur)</f>
        <v/>
      </c>
      <c r="AD188" s="14" t="str">
        <f aca="false">IF($D188&lt;&gt;1,"",IF(AND($G188="IKS",$AI188&lt;&gt;1,OR($L188-$P188&lt;$N188,$M188-$Q188&lt;$O188)),1,0))</f>
        <v/>
      </c>
      <c r="AE188" s="14" t="str">
        <f aca="false">IF($D188&lt;&gt;1,"",IF(AND($G188="ROKS",$T188&gt;p_maxworkers),1,0))</f>
        <v/>
      </c>
      <c r="AF188" s="14" t="str">
        <f aca="false">IF($D188&lt;&gt;1,"",IF(INDEX(TblClusters[Environnement],$B188)="","(vide)",INDEX(TblClusters[Environnement],$B188)))</f>
        <v/>
      </c>
      <c r="AG188" s="14" t="str">
        <f aca="false">IF($D188&lt;&gt;1,"",$R188+p_poidsram*$S188)</f>
        <v/>
      </c>
      <c r="AH188" s="14" t="str">
        <f aca="false">IF($D188&lt;&gt;1,"",IFERROR($W188/$AG188,0))</f>
        <v/>
      </c>
      <c r="AI188" s="14" t="str">
        <f aca="false">IF($D188&lt;&gt;1,"",IF(AND($G188="IKS",ISNUMBER(INDEX(TblClusters[Fermeture retenue],$B188))),IF($E188&gt;=INDEX(TblClusters[Fermeture retenue],$B188),1,0),0))</f>
        <v/>
      </c>
    </row>
    <row r="189" customFormat="false" ht="15" hidden="false" customHeight="false" outlineLevel="0" collapsed="false">
      <c r="A189" s="14" t="n">
        <v>184</v>
      </c>
      <c r="B189" s="14" t="n">
        <f aca="false">INT(($A189-1)/36)+1</f>
        <v>6</v>
      </c>
      <c r="C189" s="14" t="n">
        <f aca="false">MOD($A189-1,36)+1</f>
        <v>4</v>
      </c>
      <c r="D189" s="14" t="n">
        <f aca="false">IF($C189&gt;p_horizon,0,IFERROR(IF(AND(INDEX(TblClusters[Cluster],$B189)&lt;&gt;"",ISNUMBER(INDEX(TblClusters[CPU initial (vCPU)],$B189)),ISNUMBER(INDEX(TblClusters[CPU min (vCPU)],$B189)),OR(INDEX(TblClusters[Plateforme],$B189)="IKS",INDEX(TblClusters[Plateforme],$B189)="ROKS")),1,0),0))</f>
        <v>0</v>
      </c>
      <c r="E189" s="83" t="str">
        <f aca="false">IF($D189=1,EDATE(p_debut,$C189-1),"")</f>
        <v/>
      </c>
      <c r="F189" s="14" t="str">
        <f aca="false">IF($D189=1,INDEX(TblClusters[Cluster],$B189),"")</f>
        <v/>
      </c>
      <c r="G189" s="14" t="str">
        <f aca="false">IF($D189=1,INDEX(TblClusters[Plateforme],$B189),"")</f>
        <v/>
      </c>
      <c r="H189" s="14" t="str">
        <f aca="false">IF($D189=1,INDEX(TblClusters[vCPU par nœud],$B189),"")</f>
        <v/>
      </c>
      <c r="I189" s="14" t="str">
        <f aca="false">IF($D189=1,INDEX(TblClusters[RAM par nœud (Go)],$B189),"")</f>
        <v/>
      </c>
      <c r="J189" s="14" t="str">
        <f aca="false">IF($D189=1,INDEX(TblClusters[Workers min],$B189),"")</f>
        <v/>
      </c>
      <c r="K189" s="84" t="str">
        <f aca="false">IF($D189=1,INDEX(TblClusters[Tarif par nœud],$B189),"")</f>
        <v/>
      </c>
      <c r="L189" s="14" t="str">
        <f aca="false">IF($D189=1,INDEX(TblClusters[CPU initial (vCPU)],$B189),"")</f>
        <v/>
      </c>
      <c r="M189" s="14" t="str">
        <f aca="false">IF($D189=1,INDEX(TblClusters[RAM initiale (Go)],$B189),"")</f>
        <v/>
      </c>
      <c r="N189" s="14" t="str">
        <f aca="false">IF($D189=1,INDEX(TblClusters[CPU min (vCPU)],$B189),"")</f>
        <v/>
      </c>
      <c r="O189" s="14" t="str">
        <f aca="false">IF($D189=1,INDEX(TblClusters[RAM min (Go)],$B189),"")</f>
        <v/>
      </c>
      <c r="P189" s="14" t="str">
        <f aca="false">IF($D189&lt;&gt;1,"",IF($G189="ROKS",SUMIFS(TblApplications[Besoin ROKS CPU (vCPU)],TblApplications[Cluster ROKS cible],$F189,TblApplications[Action],"À migrer",TblApplications[Déjà incluse ROKS],"Non",TblApplications[Mois prov (calc)],"&lt;="&amp;$E189),SUMIFS(TblApplications[CPU IKS libérable (vCPU)],TblApplications[Cluster IKS source],$F189,TblApplications[Mois lib (calc)],"&lt;="&amp;$E189)))</f>
        <v/>
      </c>
      <c r="Q189" s="14" t="str">
        <f aca="false">IF($D189&lt;&gt;1,"",IF($G189="ROKS",SUMIFS(TblApplications[Besoin ROKS RAM (Go)],TblApplications[Cluster ROKS cible],$F189,TblApplications[Action],"À migrer",TblApplications[Déjà incluse ROKS],"Non",TblApplications[Mois prov (calc)],"&lt;="&amp;$E189),SUMIFS(TblApplications[RAM IKS libérable (Go)],TblApplications[Cluster IKS source],$F189,TblApplications[Mois lib (calc)],"&lt;="&amp;$E189)))</f>
        <v/>
      </c>
      <c r="R189" s="14" t="str">
        <f aca="false">IF($D189&lt;&gt;1,"",IF($G189="ROKS",$L189+$P189,IF($AI189=1,0,MAX($N189,$L189-$P189))))</f>
        <v/>
      </c>
      <c r="S189" s="14" t="str">
        <f aca="false">IF($D189&lt;&gt;1,"",IF($G189="ROKS",$M189+$Q189,IF($AI189=1,0,MAX($O189,$M189-$Q189))))</f>
        <v/>
      </c>
      <c r="T189" s="14" t="str">
        <f aca="false">IF($D189&lt;&gt;1,"",IF($AI189=1,0,MAX($J189,ROUNDUP(MAX($R189/$H189,$S189/$I189),0))))</f>
        <v/>
      </c>
      <c r="U189" s="14" t="str">
        <f aca="false">IF($D189&lt;&gt;1,"",IF(p_mode="Nœud",$T189*$H189,$R189))</f>
        <v/>
      </c>
      <c r="V189" s="14" t="str">
        <f aca="false">IF($D189&lt;&gt;1,"",IF(p_mode="Nœud",$T189*$I189,$S189))</f>
        <v/>
      </c>
      <c r="W189" s="84" t="str">
        <f aca="false">IF($D189&lt;&gt;1,"",IF(p_mode="Nœud",$T189*$K189,$R189*IF($G189="IKS",p_iks_cpu,p_roks_cpu)+$S189*IF($G189="IKS",p_iks_ram,p_roks_ram))*p_facteur)</f>
        <v/>
      </c>
      <c r="X189" s="14" t="str">
        <f aca="false">IF($D189&lt;&gt;1,"",IF($G189="ROKS",$R189,IF($AI189=1,0,MAX($N189,$L189-SUMIFS(TblApplications[CPU IKS libérable (vCPU)],TblApplications[Cluster IKS source],$F189,TblApplications[Action],"À migrer",TblApplications[Mois prov (calc)],"&lt;="&amp;$E189)-SUMIFS(TblApplications[CPU IKS libérable (vCPU)],TblApplications[Cluster IKS source],$F189,TblApplications[Action],"À décommissionner",TblApplications[Mois lib (calc)],"&lt;="&amp;$E189)))))</f>
        <v/>
      </c>
      <c r="Y189" s="14" t="str">
        <f aca="false">IF($D189&lt;&gt;1,"",IF($G189="ROKS",$S189,IF($AI189=1,0,MAX($O189,$M189-SUMIFS(TblApplications[RAM IKS libérable (Go)],TblApplications[Cluster IKS source],$F189,TblApplications[Action],"À migrer",TblApplications[Mois prov (calc)],"&lt;="&amp;$E189)-SUMIFS(TblApplications[RAM IKS libérable (Go)],TblApplications[Cluster IKS source],$F189,TblApplications[Action],"À décommissionner",TblApplications[Mois lib (calc)],"&lt;="&amp;$E189)))))</f>
        <v/>
      </c>
      <c r="Z189" s="14" t="str">
        <f aca="false">IF($D189&lt;&gt;1,"",IF($AI189=1,0,MAX($J189,ROUNDUP(MAX($X189/$H189,$Y189/$I189),0))))</f>
        <v/>
      </c>
      <c r="AA189" s="84" t="str">
        <f aca="false">IF($D189&lt;&gt;1,"",IF(p_mode="Nœud",$Z189*$K189,$X189*IF($G189="IKS",p_iks_cpu,p_roks_cpu)+$Y189*IF($G189="IKS",p_iks_ram,p_roks_ram))*p_facteur)</f>
        <v/>
      </c>
      <c r="AB189" s="14" t="str">
        <f aca="false">IF($D189&lt;&gt;1,"",MAX($J189,ROUNDUP(MAX($L189/$H189,$M189/$I189),0)))</f>
        <v/>
      </c>
      <c r="AC189" s="84" t="str">
        <f aca="false">IF($D189&lt;&gt;1,"",IF(p_mode="Nœud",$AB189*$K189,$L189*IF($G189="IKS",p_iks_cpu,p_roks_cpu)+$M189*IF($G189="IKS",p_iks_ram,p_roks_ram))*p_facteur)</f>
        <v/>
      </c>
      <c r="AD189" s="14" t="str">
        <f aca="false">IF($D189&lt;&gt;1,"",IF(AND($G189="IKS",$AI189&lt;&gt;1,OR($L189-$P189&lt;$N189,$M189-$Q189&lt;$O189)),1,0))</f>
        <v/>
      </c>
      <c r="AE189" s="14" t="str">
        <f aca="false">IF($D189&lt;&gt;1,"",IF(AND($G189="ROKS",$T189&gt;p_maxworkers),1,0))</f>
        <v/>
      </c>
      <c r="AF189" s="14" t="str">
        <f aca="false">IF($D189&lt;&gt;1,"",IF(INDEX(TblClusters[Environnement],$B189)="","(vide)",INDEX(TblClusters[Environnement],$B189)))</f>
        <v/>
      </c>
      <c r="AG189" s="14" t="str">
        <f aca="false">IF($D189&lt;&gt;1,"",$R189+p_poidsram*$S189)</f>
        <v/>
      </c>
      <c r="AH189" s="14" t="str">
        <f aca="false">IF($D189&lt;&gt;1,"",IFERROR($W189/$AG189,0))</f>
        <v/>
      </c>
      <c r="AI189" s="14" t="str">
        <f aca="false">IF($D189&lt;&gt;1,"",IF(AND($G189="IKS",ISNUMBER(INDEX(TblClusters[Fermeture retenue],$B189))),IF($E189&gt;=INDEX(TblClusters[Fermeture retenue],$B189),1,0),0))</f>
        <v/>
      </c>
    </row>
    <row r="190" customFormat="false" ht="15" hidden="false" customHeight="false" outlineLevel="0" collapsed="false">
      <c r="A190" s="14" t="n">
        <v>185</v>
      </c>
      <c r="B190" s="14" t="n">
        <f aca="false">INT(($A190-1)/36)+1</f>
        <v>6</v>
      </c>
      <c r="C190" s="14" t="n">
        <f aca="false">MOD($A190-1,36)+1</f>
        <v>5</v>
      </c>
      <c r="D190" s="14" t="n">
        <f aca="false">IF($C190&gt;p_horizon,0,IFERROR(IF(AND(INDEX(TblClusters[Cluster],$B190)&lt;&gt;"",ISNUMBER(INDEX(TblClusters[CPU initial (vCPU)],$B190)),ISNUMBER(INDEX(TblClusters[CPU min (vCPU)],$B190)),OR(INDEX(TblClusters[Plateforme],$B190)="IKS",INDEX(TblClusters[Plateforme],$B190)="ROKS")),1,0),0))</f>
        <v>0</v>
      </c>
      <c r="E190" s="83" t="str">
        <f aca="false">IF($D190=1,EDATE(p_debut,$C190-1),"")</f>
        <v/>
      </c>
      <c r="F190" s="14" t="str">
        <f aca="false">IF($D190=1,INDEX(TblClusters[Cluster],$B190),"")</f>
        <v/>
      </c>
      <c r="G190" s="14" t="str">
        <f aca="false">IF($D190=1,INDEX(TblClusters[Plateforme],$B190),"")</f>
        <v/>
      </c>
      <c r="H190" s="14" t="str">
        <f aca="false">IF($D190=1,INDEX(TblClusters[vCPU par nœud],$B190),"")</f>
        <v/>
      </c>
      <c r="I190" s="14" t="str">
        <f aca="false">IF($D190=1,INDEX(TblClusters[RAM par nœud (Go)],$B190),"")</f>
        <v/>
      </c>
      <c r="J190" s="14" t="str">
        <f aca="false">IF($D190=1,INDEX(TblClusters[Workers min],$B190),"")</f>
        <v/>
      </c>
      <c r="K190" s="84" t="str">
        <f aca="false">IF($D190=1,INDEX(TblClusters[Tarif par nœud],$B190),"")</f>
        <v/>
      </c>
      <c r="L190" s="14" t="str">
        <f aca="false">IF($D190=1,INDEX(TblClusters[CPU initial (vCPU)],$B190),"")</f>
        <v/>
      </c>
      <c r="M190" s="14" t="str">
        <f aca="false">IF($D190=1,INDEX(TblClusters[RAM initiale (Go)],$B190),"")</f>
        <v/>
      </c>
      <c r="N190" s="14" t="str">
        <f aca="false">IF($D190=1,INDEX(TblClusters[CPU min (vCPU)],$B190),"")</f>
        <v/>
      </c>
      <c r="O190" s="14" t="str">
        <f aca="false">IF($D190=1,INDEX(TblClusters[RAM min (Go)],$B190),"")</f>
        <v/>
      </c>
      <c r="P190" s="14" t="str">
        <f aca="false">IF($D190&lt;&gt;1,"",IF($G190="ROKS",SUMIFS(TblApplications[Besoin ROKS CPU (vCPU)],TblApplications[Cluster ROKS cible],$F190,TblApplications[Action],"À migrer",TblApplications[Déjà incluse ROKS],"Non",TblApplications[Mois prov (calc)],"&lt;="&amp;$E190),SUMIFS(TblApplications[CPU IKS libérable (vCPU)],TblApplications[Cluster IKS source],$F190,TblApplications[Mois lib (calc)],"&lt;="&amp;$E190)))</f>
        <v/>
      </c>
      <c r="Q190" s="14" t="str">
        <f aca="false">IF($D190&lt;&gt;1,"",IF($G190="ROKS",SUMIFS(TblApplications[Besoin ROKS RAM (Go)],TblApplications[Cluster ROKS cible],$F190,TblApplications[Action],"À migrer",TblApplications[Déjà incluse ROKS],"Non",TblApplications[Mois prov (calc)],"&lt;="&amp;$E190),SUMIFS(TblApplications[RAM IKS libérable (Go)],TblApplications[Cluster IKS source],$F190,TblApplications[Mois lib (calc)],"&lt;="&amp;$E190)))</f>
        <v/>
      </c>
      <c r="R190" s="14" t="str">
        <f aca="false">IF($D190&lt;&gt;1,"",IF($G190="ROKS",$L190+$P190,IF($AI190=1,0,MAX($N190,$L190-$P190))))</f>
        <v/>
      </c>
      <c r="S190" s="14" t="str">
        <f aca="false">IF($D190&lt;&gt;1,"",IF($G190="ROKS",$M190+$Q190,IF($AI190=1,0,MAX($O190,$M190-$Q190))))</f>
        <v/>
      </c>
      <c r="T190" s="14" t="str">
        <f aca="false">IF($D190&lt;&gt;1,"",IF($AI190=1,0,MAX($J190,ROUNDUP(MAX($R190/$H190,$S190/$I190),0))))</f>
        <v/>
      </c>
      <c r="U190" s="14" t="str">
        <f aca="false">IF($D190&lt;&gt;1,"",IF(p_mode="Nœud",$T190*$H190,$R190))</f>
        <v/>
      </c>
      <c r="V190" s="14" t="str">
        <f aca="false">IF($D190&lt;&gt;1,"",IF(p_mode="Nœud",$T190*$I190,$S190))</f>
        <v/>
      </c>
      <c r="W190" s="84" t="str">
        <f aca="false">IF($D190&lt;&gt;1,"",IF(p_mode="Nœud",$T190*$K190,$R190*IF($G190="IKS",p_iks_cpu,p_roks_cpu)+$S190*IF($G190="IKS",p_iks_ram,p_roks_ram))*p_facteur)</f>
        <v/>
      </c>
      <c r="X190" s="14" t="str">
        <f aca="false">IF($D190&lt;&gt;1,"",IF($G190="ROKS",$R190,IF($AI190=1,0,MAX($N190,$L190-SUMIFS(TblApplications[CPU IKS libérable (vCPU)],TblApplications[Cluster IKS source],$F190,TblApplications[Action],"À migrer",TblApplications[Mois prov (calc)],"&lt;="&amp;$E190)-SUMIFS(TblApplications[CPU IKS libérable (vCPU)],TblApplications[Cluster IKS source],$F190,TblApplications[Action],"À décommissionner",TblApplications[Mois lib (calc)],"&lt;="&amp;$E190)))))</f>
        <v/>
      </c>
      <c r="Y190" s="14" t="str">
        <f aca="false">IF($D190&lt;&gt;1,"",IF($G190="ROKS",$S190,IF($AI190=1,0,MAX($O190,$M190-SUMIFS(TblApplications[RAM IKS libérable (Go)],TblApplications[Cluster IKS source],$F190,TblApplications[Action],"À migrer",TblApplications[Mois prov (calc)],"&lt;="&amp;$E190)-SUMIFS(TblApplications[RAM IKS libérable (Go)],TblApplications[Cluster IKS source],$F190,TblApplications[Action],"À décommissionner",TblApplications[Mois lib (calc)],"&lt;="&amp;$E190)))))</f>
        <v/>
      </c>
      <c r="Z190" s="14" t="str">
        <f aca="false">IF($D190&lt;&gt;1,"",IF($AI190=1,0,MAX($J190,ROUNDUP(MAX($X190/$H190,$Y190/$I190),0))))</f>
        <v/>
      </c>
      <c r="AA190" s="84" t="str">
        <f aca="false">IF($D190&lt;&gt;1,"",IF(p_mode="Nœud",$Z190*$K190,$X190*IF($G190="IKS",p_iks_cpu,p_roks_cpu)+$Y190*IF($G190="IKS",p_iks_ram,p_roks_ram))*p_facteur)</f>
        <v/>
      </c>
      <c r="AB190" s="14" t="str">
        <f aca="false">IF($D190&lt;&gt;1,"",MAX($J190,ROUNDUP(MAX($L190/$H190,$M190/$I190),0)))</f>
        <v/>
      </c>
      <c r="AC190" s="84" t="str">
        <f aca="false">IF($D190&lt;&gt;1,"",IF(p_mode="Nœud",$AB190*$K190,$L190*IF($G190="IKS",p_iks_cpu,p_roks_cpu)+$M190*IF($G190="IKS",p_iks_ram,p_roks_ram))*p_facteur)</f>
        <v/>
      </c>
      <c r="AD190" s="14" t="str">
        <f aca="false">IF($D190&lt;&gt;1,"",IF(AND($G190="IKS",$AI190&lt;&gt;1,OR($L190-$P190&lt;$N190,$M190-$Q190&lt;$O190)),1,0))</f>
        <v/>
      </c>
      <c r="AE190" s="14" t="str">
        <f aca="false">IF($D190&lt;&gt;1,"",IF(AND($G190="ROKS",$T190&gt;p_maxworkers),1,0))</f>
        <v/>
      </c>
      <c r="AF190" s="14" t="str">
        <f aca="false">IF($D190&lt;&gt;1,"",IF(INDEX(TblClusters[Environnement],$B190)="","(vide)",INDEX(TblClusters[Environnement],$B190)))</f>
        <v/>
      </c>
      <c r="AG190" s="14" t="str">
        <f aca="false">IF($D190&lt;&gt;1,"",$R190+p_poidsram*$S190)</f>
        <v/>
      </c>
      <c r="AH190" s="14" t="str">
        <f aca="false">IF($D190&lt;&gt;1,"",IFERROR($W190/$AG190,0))</f>
        <v/>
      </c>
      <c r="AI190" s="14" t="str">
        <f aca="false">IF($D190&lt;&gt;1,"",IF(AND($G190="IKS",ISNUMBER(INDEX(TblClusters[Fermeture retenue],$B190))),IF($E190&gt;=INDEX(TblClusters[Fermeture retenue],$B190),1,0),0))</f>
        <v/>
      </c>
    </row>
    <row r="191" customFormat="false" ht="15" hidden="false" customHeight="false" outlineLevel="0" collapsed="false">
      <c r="A191" s="14" t="n">
        <v>186</v>
      </c>
      <c r="B191" s="14" t="n">
        <f aca="false">INT(($A191-1)/36)+1</f>
        <v>6</v>
      </c>
      <c r="C191" s="14" t="n">
        <f aca="false">MOD($A191-1,36)+1</f>
        <v>6</v>
      </c>
      <c r="D191" s="14" t="n">
        <f aca="false">IF($C191&gt;p_horizon,0,IFERROR(IF(AND(INDEX(TblClusters[Cluster],$B191)&lt;&gt;"",ISNUMBER(INDEX(TblClusters[CPU initial (vCPU)],$B191)),ISNUMBER(INDEX(TblClusters[CPU min (vCPU)],$B191)),OR(INDEX(TblClusters[Plateforme],$B191)="IKS",INDEX(TblClusters[Plateforme],$B191)="ROKS")),1,0),0))</f>
        <v>0</v>
      </c>
      <c r="E191" s="83" t="str">
        <f aca="false">IF($D191=1,EDATE(p_debut,$C191-1),"")</f>
        <v/>
      </c>
      <c r="F191" s="14" t="str">
        <f aca="false">IF($D191=1,INDEX(TblClusters[Cluster],$B191),"")</f>
        <v/>
      </c>
      <c r="G191" s="14" t="str">
        <f aca="false">IF($D191=1,INDEX(TblClusters[Plateforme],$B191),"")</f>
        <v/>
      </c>
      <c r="H191" s="14" t="str">
        <f aca="false">IF($D191=1,INDEX(TblClusters[vCPU par nœud],$B191),"")</f>
        <v/>
      </c>
      <c r="I191" s="14" t="str">
        <f aca="false">IF($D191=1,INDEX(TblClusters[RAM par nœud (Go)],$B191),"")</f>
        <v/>
      </c>
      <c r="J191" s="14" t="str">
        <f aca="false">IF($D191=1,INDEX(TblClusters[Workers min],$B191),"")</f>
        <v/>
      </c>
      <c r="K191" s="84" t="str">
        <f aca="false">IF($D191=1,INDEX(TblClusters[Tarif par nœud],$B191),"")</f>
        <v/>
      </c>
      <c r="L191" s="14" t="str">
        <f aca="false">IF($D191=1,INDEX(TblClusters[CPU initial (vCPU)],$B191),"")</f>
        <v/>
      </c>
      <c r="M191" s="14" t="str">
        <f aca="false">IF($D191=1,INDEX(TblClusters[RAM initiale (Go)],$B191),"")</f>
        <v/>
      </c>
      <c r="N191" s="14" t="str">
        <f aca="false">IF($D191=1,INDEX(TblClusters[CPU min (vCPU)],$B191),"")</f>
        <v/>
      </c>
      <c r="O191" s="14" t="str">
        <f aca="false">IF($D191=1,INDEX(TblClusters[RAM min (Go)],$B191),"")</f>
        <v/>
      </c>
      <c r="P191" s="14" t="str">
        <f aca="false">IF($D191&lt;&gt;1,"",IF($G191="ROKS",SUMIFS(TblApplications[Besoin ROKS CPU (vCPU)],TblApplications[Cluster ROKS cible],$F191,TblApplications[Action],"À migrer",TblApplications[Déjà incluse ROKS],"Non",TblApplications[Mois prov (calc)],"&lt;="&amp;$E191),SUMIFS(TblApplications[CPU IKS libérable (vCPU)],TblApplications[Cluster IKS source],$F191,TblApplications[Mois lib (calc)],"&lt;="&amp;$E191)))</f>
        <v/>
      </c>
      <c r="Q191" s="14" t="str">
        <f aca="false">IF($D191&lt;&gt;1,"",IF($G191="ROKS",SUMIFS(TblApplications[Besoin ROKS RAM (Go)],TblApplications[Cluster ROKS cible],$F191,TblApplications[Action],"À migrer",TblApplications[Déjà incluse ROKS],"Non",TblApplications[Mois prov (calc)],"&lt;="&amp;$E191),SUMIFS(TblApplications[RAM IKS libérable (Go)],TblApplications[Cluster IKS source],$F191,TblApplications[Mois lib (calc)],"&lt;="&amp;$E191)))</f>
        <v/>
      </c>
      <c r="R191" s="14" t="str">
        <f aca="false">IF($D191&lt;&gt;1,"",IF($G191="ROKS",$L191+$P191,IF($AI191=1,0,MAX($N191,$L191-$P191))))</f>
        <v/>
      </c>
      <c r="S191" s="14" t="str">
        <f aca="false">IF($D191&lt;&gt;1,"",IF($G191="ROKS",$M191+$Q191,IF($AI191=1,0,MAX($O191,$M191-$Q191))))</f>
        <v/>
      </c>
      <c r="T191" s="14" t="str">
        <f aca="false">IF($D191&lt;&gt;1,"",IF($AI191=1,0,MAX($J191,ROUNDUP(MAX($R191/$H191,$S191/$I191),0))))</f>
        <v/>
      </c>
      <c r="U191" s="14" t="str">
        <f aca="false">IF($D191&lt;&gt;1,"",IF(p_mode="Nœud",$T191*$H191,$R191))</f>
        <v/>
      </c>
      <c r="V191" s="14" t="str">
        <f aca="false">IF($D191&lt;&gt;1,"",IF(p_mode="Nœud",$T191*$I191,$S191))</f>
        <v/>
      </c>
      <c r="W191" s="84" t="str">
        <f aca="false">IF($D191&lt;&gt;1,"",IF(p_mode="Nœud",$T191*$K191,$R191*IF($G191="IKS",p_iks_cpu,p_roks_cpu)+$S191*IF($G191="IKS",p_iks_ram,p_roks_ram))*p_facteur)</f>
        <v/>
      </c>
      <c r="X191" s="14" t="str">
        <f aca="false">IF($D191&lt;&gt;1,"",IF($G191="ROKS",$R191,IF($AI191=1,0,MAX($N191,$L191-SUMIFS(TblApplications[CPU IKS libérable (vCPU)],TblApplications[Cluster IKS source],$F191,TblApplications[Action],"À migrer",TblApplications[Mois prov (calc)],"&lt;="&amp;$E191)-SUMIFS(TblApplications[CPU IKS libérable (vCPU)],TblApplications[Cluster IKS source],$F191,TblApplications[Action],"À décommissionner",TblApplications[Mois lib (calc)],"&lt;="&amp;$E191)))))</f>
        <v/>
      </c>
      <c r="Y191" s="14" t="str">
        <f aca="false">IF($D191&lt;&gt;1,"",IF($G191="ROKS",$S191,IF($AI191=1,0,MAX($O191,$M191-SUMIFS(TblApplications[RAM IKS libérable (Go)],TblApplications[Cluster IKS source],$F191,TblApplications[Action],"À migrer",TblApplications[Mois prov (calc)],"&lt;="&amp;$E191)-SUMIFS(TblApplications[RAM IKS libérable (Go)],TblApplications[Cluster IKS source],$F191,TblApplications[Action],"À décommissionner",TblApplications[Mois lib (calc)],"&lt;="&amp;$E191)))))</f>
        <v/>
      </c>
      <c r="Z191" s="14" t="str">
        <f aca="false">IF($D191&lt;&gt;1,"",IF($AI191=1,0,MAX($J191,ROUNDUP(MAX($X191/$H191,$Y191/$I191),0))))</f>
        <v/>
      </c>
      <c r="AA191" s="84" t="str">
        <f aca="false">IF($D191&lt;&gt;1,"",IF(p_mode="Nœud",$Z191*$K191,$X191*IF($G191="IKS",p_iks_cpu,p_roks_cpu)+$Y191*IF($G191="IKS",p_iks_ram,p_roks_ram))*p_facteur)</f>
        <v/>
      </c>
      <c r="AB191" s="14" t="str">
        <f aca="false">IF($D191&lt;&gt;1,"",MAX($J191,ROUNDUP(MAX($L191/$H191,$M191/$I191),0)))</f>
        <v/>
      </c>
      <c r="AC191" s="84" t="str">
        <f aca="false">IF($D191&lt;&gt;1,"",IF(p_mode="Nœud",$AB191*$K191,$L191*IF($G191="IKS",p_iks_cpu,p_roks_cpu)+$M191*IF($G191="IKS",p_iks_ram,p_roks_ram))*p_facteur)</f>
        <v/>
      </c>
      <c r="AD191" s="14" t="str">
        <f aca="false">IF($D191&lt;&gt;1,"",IF(AND($G191="IKS",$AI191&lt;&gt;1,OR($L191-$P191&lt;$N191,$M191-$Q191&lt;$O191)),1,0))</f>
        <v/>
      </c>
      <c r="AE191" s="14" t="str">
        <f aca="false">IF($D191&lt;&gt;1,"",IF(AND($G191="ROKS",$T191&gt;p_maxworkers),1,0))</f>
        <v/>
      </c>
      <c r="AF191" s="14" t="str">
        <f aca="false">IF($D191&lt;&gt;1,"",IF(INDEX(TblClusters[Environnement],$B191)="","(vide)",INDEX(TblClusters[Environnement],$B191)))</f>
        <v/>
      </c>
      <c r="AG191" s="14" t="str">
        <f aca="false">IF($D191&lt;&gt;1,"",$R191+p_poidsram*$S191)</f>
        <v/>
      </c>
      <c r="AH191" s="14" t="str">
        <f aca="false">IF($D191&lt;&gt;1,"",IFERROR($W191/$AG191,0))</f>
        <v/>
      </c>
      <c r="AI191" s="14" t="str">
        <f aca="false">IF($D191&lt;&gt;1,"",IF(AND($G191="IKS",ISNUMBER(INDEX(TblClusters[Fermeture retenue],$B191))),IF($E191&gt;=INDEX(TblClusters[Fermeture retenue],$B191),1,0),0))</f>
        <v/>
      </c>
    </row>
    <row r="192" customFormat="false" ht="15" hidden="false" customHeight="false" outlineLevel="0" collapsed="false">
      <c r="A192" s="14" t="n">
        <v>187</v>
      </c>
      <c r="B192" s="14" t="n">
        <f aca="false">INT(($A192-1)/36)+1</f>
        <v>6</v>
      </c>
      <c r="C192" s="14" t="n">
        <f aca="false">MOD($A192-1,36)+1</f>
        <v>7</v>
      </c>
      <c r="D192" s="14" t="n">
        <f aca="false">IF($C192&gt;p_horizon,0,IFERROR(IF(AND(INDEX(TblClusters[Cluster],$B192)&lt;&gt;"",ISNUMBER(INDEX(TblClusters[CPU initial (vCPU)],$B192)),ISNUMBER(INDEX(TblClusters[CPU min (vCPU)],$B192)),OR(INDEX(TblClusters[Plateforme],$B192)="IKS",INDEX(TblClusters[Plateforme],$B192)="ROKS")),1,0),0))</f>
        <v>0</v>
      </c>
      <c r="E192" s="83" t="str">
        <f aca="false">IF($D192=1,EDATE(p_debut,$C192-1),"")</f>
        <v/>
      </c>
      <c r="F192" s="14" t="str">
        <f aca="false">IF($D192=1,INDEX(TblClusters[Cluster],$B192),"")</f>
        <v/>
      </c>
      <c r="G192" s="14" t="str">
        <f aca="false">IF($D192=1,INDEX(TblClusters[Plateforme],$B192),"")</f>
        <v/>
      </c>
      <c r="H192" s="14" t="str">
        <f aca="false">IF($D192=1,INDEX(TblClusters[vCPU par nœud],$B192),"")</f>
        <v/>
      </c>
      <c r="I192" s="14" t="str">
        <f aca="false">IF($D192=1,INDEX(TblClusters[RAM par nœud (Go)],$B192),"")</f>
        <v/>
      </c>
      <c r="J192" s="14" t="str">
        <f aca="false">IF($D192=1,INDEX(TblClusters[Workers min],$B192),"")</f>
        <v/>
      </c>
      <c r="K192" s="84" t="str">
        <f aca="false">IF($D192=1,INDEX(TblClusters[Tarif par nœud],$B192),"")</f>
        <v/>
      </c>
      <c r="L192" s="14" t="str">
        <f aca="false">IF($D192=1,INDEX(TblClusters[CPU initial (vCPU)],$B192),"")</f>
        <v/>
      </c>
      <c r="M192" s="14" t="str">
        <f aca="false">IF($D192=1,INDEX(TblClusters[RAM initiale (Go)],$B192),"")</f>
        <v/>
      </c>
      <c r="N192" s="14" t="str">
        <f aca="false">IF($D192=1,INDEX(TblClusters[CPU min (vCPU)],$B192),"")</f>
        <v/>
      </c>
      <c r="O192" s="14" t="str">
        <f aca="false">IF($D192=1,INDEX(TblClusters[RAM min (Go)],$B192),"")</f>
        <v/>
      </c>
      <c r="P192" s="14" t="str">
        <f aca="false">IF($D192&lt;&gt;1,"",IF($G192="ROKS",SUMIFS(TblApplications[Besoin ROKS CPU (vCPU)],TblApplications[Cluster ROKS cible],$F192,TblApplications[Action],"À migrer",TblApplications[Déjà incluse ROKS],"Non",TblApplications[Mois prov (calc)],"&lt;="&amp;$E192),SUMIFS(TblApplications[CPU IKS libérable (vCPU)],TblApplications[Cluster IKS source],$F192,TblApplications[Mois lib (calc)],"&lt;="&amp;$E192)))</f>
        <v/>
      </c>
      <c r="Q192" s="14" t="str">
        <f aca="false">IF($D192&lt;&gt;1,"",IF($G192="ROKS",SUMIFS(TblApplications[Besoin ROKS RAM (Go)],TblApplications[Cluster ROKS cible],$F192,TblApplications[Action],"À migrer",TblApplications[Déjà incluse ROKS],"Non",TblApplications[Mois prov (calc)],"&lt;="&amp;$E192),SUMIFS(TblApplications[RAM IKS libérable (Go)],TblApplications[Cluster IKS source],$F192,TblApplications[Mois lib (calc)],"&lt;="&amp;$E192)))</f>
        <v/>
      </c>
      <c r="R192" s="14" t="str">
        <f aca="false">IF($D192&lt;&gt;1,"",IF($G192="ROKS",$L192+$P192,IF($AI192=1,0,MAX($N192,$L192-$P192))))</f>
        <v/>
      </c>
      <c r="S192" s="14" t="str">
        <f aca="false">IF($D192&lt;&gt;1,"",IF($G192="ROKS",$M192+$Q192,IF($AI192=1,0,MAX($O192,$M192-$Q192))))</f>
        <v/>
      </c>
      <c r="T192" s="14" t="str">
        <f aca="false">IF($D192&lt;&gt;1,"",IF($AI192=1,0,MAX($J192,ROUNDUP(MAX($R192/$H192,$S192/$I192),0))))</f>
        <v/>
      </c>
      <c r="U192" s="14" t="str">
        <f aca="false">IF($D192&lt;&gt;1,"",IF(p_mode="Nœud",$T192*$H192,$R192))</f>
        <v/>
      </c>
      <c r="V192" s="14" t="str">
        <f aca="false">IF($D192&lt;&gt;1,"",IF(p_mode="Nœud",$T192*$I192,$S192))</f>
        <v/>
      </c>
      <c r="W192" s="84" t="str">
        <f aca="false">IF($D192&lt;&gt;1,"",IF(p_mode="Nœud",$T192*$K192,$R192*IF($G192="IKS",p_iks_cpu,p_roks_cpu)+$S192*IF($G192="IKS",p_iks_ram,p_roks_ram))*p_facteur)</f>
        <v/>
      </c>
      <c r="X192" s="14" t="str">
        <f aca="false">IF($D192&lt;&gt;1,"",IF($G192="ROKS",$R192,IF($AI192=1,0,MAX($N192,$L192-SUMIFS(TblApplications[CPU IKS libérable (vCPU)],TblApplications[Cluster IKS source],$F192,TblApplications[Action],"À migrer",TblApplications[Mois prov (calc)],"&lt;="&amp;$E192)-SUMIFS(TblApplications[CPU IKS libérable (vCPU)],TblApplications[Cluster IKS source],$F192,TblApplications[Action],"À décommissionner",TblApplications[Mois lib (calc)],"&lt;="&amp;$E192)))))</f>
        <v/>
      </c>
      <c r="Y192" s="14" t="str">
        <f aca="false">IF($D192&lt;&gt;1,"",IF($G192="ROKS",$S192,IF($AI192=1,0,MAX($O192,$M192-SUMIFS(TblApplications[RAM IKS libérable (Go)],TblApplications[Cluster IKS source],$F192,TblApplications[Action],"À migrer",TblApplications[Mois prov (calc)],"&lt;="&amp;$E192)-SUMIFS(TblApplications[RAM IKS libérable (Go)],TblApplications[Cluster IKS source],$F192,TblApplications[Action],"À décommissionner",TblApplications[Mois lib (calc)],"&lt;="&amp;$E192)))))</f>
        <v/>
      </c>
      <c r="Z192" s="14" t="str">
        <f aca="false">IF($D192&lt;&gt;1,"",IF($AI192=1,0,MAX($J192,ROUNDUP(MAX($X192/$H192,$Y192/$I192),0))))</f>
        <v/>
      </c>
      <c r="AA192" s="84" t="str">
        <f aca="false">IF($D192&lt;&gt;1,"",IF(p_mode="Nœud",$Z192*$K192,$X192*IF($G192="IKS",p_iks_cpu,p_roks_cpu)+$Y192*IF($G192="IKS",p_iks_ram,p_roks_ram))*p_facteur)</f>
        <v/>
      </c>
      <c r="AB192" s="14" t="str">
        <f aca="false">IF($D192&lt;&gt;1,"",MAX($J192,ROUNDUP(MAX($L192/$H192,$M192/$I192),0)))</f>
        <v/>
      </c>
      <c r="AC192" s="84" t="str">
        <f aca="false">IF($D192&lt;&gt;1,"",IF(p_mode="Nœud",$AB192*$K192,$L192*IF($G192="IKS",p_iks_cpu,p_roks_cpu)+$M192*IF($G192="IKS",p_iks_ram,p_roks_ram))*p_facteur)</f>
        <v/>
      </c>
      <c r="AD192" s="14" t="str">
        <f aca="false">IF($D192&lt;&gt;1,"",IF(AND($G192="IKS",$AI192&lt;&gt;1,OR($L192-$P192&lt;$N192,$M192-$Q192&lt;$O192)),1,0))</f>
        <v/>
      </c>
      <c r="AE192" s="14" t="str">
        <f aca="false">IF($D192&lt;&gt;1,"",IF(AND($G192="ROKS",$T192&gt;p_maxworkers),1,0))</f>
        <v/>
      </c>
      <c r="AF192" s="14" t="str">
        <f aca="false">IF($D192&lt;&gt;1,"",IF(INDEX(TblClusters[Environnement],$B192)="","(vide)",INDEX(TblClusters[Environnement],$B192)))</f>
        <v/>
      </c>
      <c r="AG192" s="14" t="str">
        <f aca="false">IF($D192&lt;&gt;1,"",$R192+p_poidsram*$S192)</f>
        <v/>
      </c>
      <c r="AH192" s="14" t="str">
        <f aca="false">IF($D192&lt;&gt;1,"",IFERROR($W192/$AG192,0))</f>
        <v/>
      </c>
      <c r="AI192" s="14" t="str">
        <f aca="false">IF($D192&lt;&gt;1,"",IF(AND($G192="IKS",ISNUMBER(INDEX(TblClusters[Fermeture retenue],$B192))),IF($E192&gt;=INDEX(TblClusters[Fermeture retenue],$B192),1,0),0))</f>
        <v/>
      </c>
    </row>
    <row r="193" customFormat="false" ht="15" hidden="false" customHeight="false" outlineLevel="0" collapsed="false">
      <c r="A193" s="14" t="n">
        <v>188</v>
      </c>
      <c r="B193" s="14" t="n">
        <f aca="false">INT(($A193-1)/36)+1</f>
        <v>6</v>
      </c>
      <c r="C193" s="14" t="n">
        <f aca="false">MOD($A193-1,36)+1</f>
        <v>8</v>
      </c>
      <c r="D193" s="14" t="n">
        <f aca="false">IF($C193&gt;p_horizon,0,IFERROR(IF(AND(INDEX(TblClusters[Cluster],$B193)&lt;&gt;"",ISNUMBER(INDEX(TblClusters[CPU initial (vCPU)],$B193)),ISNUMBER(INDEX(TblClusters[CPU min (vCPU)],$B193)),OR(INDEX(TblClusters[Plateforme],$B193)="IKS",INDEX(TblClusters[Plateforme],$B193)="ROKS")),1,0),0))</f>
        <v>0</v>
      </c>
      <c r="E193" s="83" t="str">
        <f aca="false">IF($D193=1,EDATE(p_debut,$C193-1),"")</f>
        <v/>
      </c>
      <c r="F193" s="14" t="str">
        <f aca="false">IF($D193=1,INDEX(TblClusters[Cluster],$B193),"")</f>
        <v/>
      </c>
      <c r="G193" s="14" t="str">
        <f aca="false">IF($D193=1,INDEX(TblClusters[Plateforme],$B193),"")</f>
        <v/>
      </c>
      <c r="H193" s="14" t="str">
        <f aca="false">IF($D193=1,INDEX(TblClusters[vCPU par nœud],$B193),"")</f>
        <v/>
      </c>
      <c r="I193" s="14" t="str">
        <f aca="false">IF($D193=1,INDEX(TblClusters[RAM par nœud (Go)],$B193),"")</f>
        <v/>
      </c>
      <c r="J193" s="14" t="str">
        <f aca="false">IF($D193=1,INDEX(TblClusters[Workers min],$B193),"")</f>
        <v/>
      </c>
      <c r="K193" s="84" t="str">
        <f aca="false">IF($D193=1,INDEX(TblClusters[Tarif par nœud],$B193),"")</f>
        <v/>
      </c>
      <c r="L193" s="14" t="str">
        <f aca="false">IF($D193=1,INDEX(TblClusters[CPU initial (vCPU)],$B193),"")</f>
        <v/>
      </c>
      <c r="M193" s="14" t="str">
        <f aca="false">IF($D193=1,INDEX(TblClusters[RAM initiale (Go)],$B193),"")</f>
        <v/>
      </c>
      <c r="N193" s="14" t="str">
        <f aca="false">IF($D193=1,INDEX(TblClusters[CPU min (vCPU)],$B193),"")</f>
        <v/>
      </c>
      <c r="O193" s="14" t="str">
        <f aca="false">IF($D193=1,INDEX(TblClusters[RAM min (Go)],$B193),"")</f>
        <v/>
      </c>
      <c r="P193" s="14" t="str">
        <f aca="false">IF($D193&lt;&gt;1,"",IF($G193="ROKS",SUMIFS(TblApplications[Besoin ROKS CPU (vCPU)],TblApplications[Cluster ROKS cible],$F193,TblApplications[Action],"À migrer",TblApplications[Déjà incluse ROKS],"Non",TblApplications[Mois prov (calc)],"&lt;="&amp;$E193),SUMIFS(TblApplications[CPU IKS libérable (vCPU)],TblApplications[Cluster IKS source],$F193,TblApplications[Mois lib (calc)],"&lt;="&amp;$E193)))</f>
        <v/>
      </c>
      <c r="Q193" s="14" t="str">
        <f aca="false">IF($D193&lt;&gt;1,"",IF($G193="ROKS",SUMIFS(TblApplications[Besoin ROKS RAM (Go)],TblApplications[Cluster ROKS cible],$F193,TblApplications[Action],"À migrer",TblApplications[Déjà incluse ROKS],"Non",TblApplications[Mois prov (calc)],"&lt;="&amp;$E193),SUMIFS(TblApplications[RAM IKS libérable (Go)],TblApplications[Cluster IKS source],$F193,TblApplications[Mois lib (calc)],"&lt;="&amp;$E193)))</f>
        <v/>
      </c>
      <c r="R193" s="14" t="str">
        <f aca="false">IF($D193&lt;&gt;1,"",IF($G193="ROKS",$L193+$P193,IF($AI193=1,0,MAX($N193,$L193-$P193))))</f>
        <v/>
      </c>
      <c r="S193" s="14" t="str">
        <f aca="false">IF($D193&lt;&gt;1,"",IF($G193="ROKS",$M193+$Q193,IF($AI193=1,0,MAX($O193,$M193-$Q193))))</f>
        <v/>
      </c>
      <c r="T193" s="14" t="str">
        <f aca="false">IF($D193&lt;&gt;1,"",IF($AI193=1,0,MAX($J193,ROUNDUP(MAX($R193/$H193,$S193/$I193),0))))</f>
        <v/>
      </c>
      <c r="U193" s="14" t="str">
        <f aca="false">IF($D193&lt;&gt;1,"",IF(p_mode="Nœud",$T193*$H193,$R193))</f>
        <v/>
      </c>
      <c r="V193" s="14" t="str">
        <f aca="false">IF($D193&lt;&gt;1,"",IF(p_mode="Nœud",$T193*$I193,$S193))</f>
        <v/>
      </c>
      <c r="W193" s="84" t="str">
        <f aca="false">IF($D193&lt;&gt;1,"",IF(p_mode="Nœud",$T193*$K193,$R193*IF($G193="IKS",p_iks_cpu,p_roks_cpu)+$S193*IF($G193="IKS",p_iks_ram,p_roks_ram))*p_facteur)</f>
        <v/>
      </c>
      <c r="X193" s="14" t="str">
        <f aca="false">IF($D193&lt;&gt;1,"",IF($G193="ROKS",$R193,IF($AI193=1,0,MAX($N193,$L193-SUMIFS(TblApplications[CPU IKS libérable (vCPU)],TblApplications[Cluster IKS source],$F193,TblApplications[Action],"À migrer",TblApplications[Mois prov (calc)],"&lt;="&amp;$E193)-SUMIFS(TblApplications[CPU IKS libérable (vCPU)],TblApplications[Cluster IKS source],$F193,TblApplications[Action],"À décommissionner",TblApplications[Mois lib (calc)],"&lt;="&amp;$E193)))))</f>
        <v/>
      </c>
      <c r="Y193" s="14" t="str">
        <f aca="false">IF($D193&lt;&gt;1,"",IF($G193="ROKS",$S193,IF($AI193=1,0,MAX($O193,$M193-SUMIFS(TblApplications[RAM IKS libérable (Go)],TblApplications[Cluster IKS source],$F193,TblApplications[Action],"À migrer",TblApplications[Mois prov (calc)],"&lt;="&amp;$E193)-SUMIFS(TblApplications[RAM IKS libérable (Go)],TblApplications[Cluster IKS source],$F193,TblApplications[Action],"À décommissionner",TblApplications[Mois lib (calc)],"&lt;="&amp;$E193)))))</f>
        <v/>
      </c>
      <c r="Z193" s="14" t="str">
        <f aca="false">IF($D193&lt;&gt;1,"",IF($AI193=1,0,MAX($J193,ROUNDUP(MAX($X193/$H193,$Y193/$I193),0))))</f>
        <v/>
      </c>
      <c r="AA193" s="84" t="str">
        <f aca="false">IF($D193&lt;&gt;1,"",IF(p_mode="Nœud",$Z193*$K193,$X193*IF($G193="IKS",p_iks_cpu,p_roks_cpu)+$Y193*IF($G193="IKS",p_iks_ram,p_roks_ram))*p_facteur)</f>
        <v/>
      </c>
      <c r="AB193" s="14" t="str">
        <f aca="false">IF($D193&lt;&gt;1,"",MAX($J193,ROUNDUP(MAX($L193/$H193,$M193/$I193),0)))</f>
        <v/>
      </c>
      <c r="AC193" s="84" t="str">
        <f aca="false">IF($D193&lt;&gt;1,"",IF(p_mode="Nœud",$AB193*$K193,$L193*IF($G193="IKS",p_iks_cpu,p_roks_cpu)+$M193*IF($G193="IKS",p_iks_ram,p_roks_ram))*p_facteur)</f>
        <v/>
      </c>
      <c r="AD193" s="14" t="str">
        <f aca="false">IF($D193&lt;&gt;1,"",IF(AND($G193="IKS",$AI193&lt;&gt;1,OR($L193-$P193&lt;$N193,$M193-$Q193&lt;$O193)),1,0))</f>
        <v/>
      </c>
      <c r="AE193" s="14" t="str">
        <f aca="false">IF($D193&lt;&gt;1,"",IF(AND($G193="ROKS",$T193&gt;p_maxworkers),1,0))</f>
        <v/>
      </c>
      <c r="AF193" s="14" t="str">
        <f aca="false">IF($D193&lt;&gt;1,"",IF(INDEX(TblClusters[Environnement],$B193)="","(vide)",INDEX(TblClusters[Environnement],$B193)))</f>
        <v/>
      </c>
      <c r="AG193" s="14" t="str">
        <f aca="false">IF($D193&lt;&gt;1,"",$R193+p_poidsram*$S193)</f>
        <v/>
      </c>
      <c r="AH193" s="14" t="str">
        <f aca="false">IF($D193&lt;&gt;1,"",IFERROR($W193/$AG193,0))</f>
        <v/>
      </c>
      <c r="AI193" s="14" t="str">
        <f aca="false">IF($D193&lt;&gt;1,"",IF(AND($G193="IKS",ISNUMBER(INDEX(TblClusters[Fermeture retenue],$B193))),IF($E193&gt;=INDEX(TblClusters[Fermeture retenue],$B193),1,0),0))</f>
        <v/>
      </c>
    </row>
    <row r="194" customFormat="false" ht="15" hidden="false" customHeight="false" outlineLevel="0" collapsed="false">
      <c r="A194" s="14" t="n">
        <v>189</v>
      </c>
      <c r="B194" s="14" t="n">
        <f aca="false">INT(($A194-1)/36)+1</f>
        <v>6</v>
      </c>
      <c r="C194" s="14" t="n">
        <f aca="false">MOD($A194-1,36)+1</f>
        <v>9</v>
      </c>
      <c r="D194" s="14" t="n">
        <f aca="false">IF($C194&gt;p_horizon,0,IFERROR(IF(AND(INDEX(TblClusters[Cluster],$B194)&lt;&gt;"",ISNUMBER(INDEX(TblClusters[CPU initial (vCPU)],$B194)),ISNUMBER(INDEX(TblClusters[CPU min (vCPU)],$B194)),OR(INDEX(TblClusters[Plateforme],$B194)="IKS",INDEX(TblClusters[Plateforme],$B194)="ROKS")),1,0),0))</f>
        <v>0</v>
      </c>
      <c r="E194" s="83" t="str">
        <f aca="false">IF($D194=1,EDATE(p_debut,$C194-1),"")</f>
        <v/>
      </c>
      <c r="F194" s="14" t="str">
        <f aca="false">IF($D194=1,INDEX(TblClusters[Cluster],$B194),"")</f>
        <v/>
      </c>
      <c r="G194" s="14" t="str">
        <f aca="false">IF($D194=1,INDEX(TblClusters[Plateforme],$B194),"")</f>
        <v/>
      </c>
      <c r="H194" s="14" t="str">
        <f aca="false">IF($D194=1,INDEX(TblClusters[vCPU par nœud],$B194),"")</f>
        <v/>
      </c>
      <c r="I194" s="14" t="str">
        <f aca="false">IF($D194=1,INDEX(TblClusters[RAM par nœud (Go)],$B194),"")</f>
        <v/>
      </c>
      <c r="J194" s="14" t="str">
        <f aca="false">IF($D194=1,INDEX(TblClusters[Workers min],$B194),"")</f>
        <v/>
      </c>
      <c r="K194" s="84" t="str">
        <f aca="false">IF($D194=1,INDEX(TblClusters[Tarif par nœud],$B194),"")</f>
        <v/>
      </c>
      <c r="L194" s="14" t="str">
        <f aca="false">IF($D194=1,INDEX(TblClusters[CPU initial (vCPU)],$B194),"")</f>
        <v/>
      </c>
      <c r="M194" s="14" t="str">
        <f aca="false">IF($D194=1,INDEX(TblClusters[RAM initiale (Go)],$B194),"")</f>
        <v/>
      </c>
      <c r="N194" s="14" t="str">
        <f aca="false">IF($D194=1,INDEX(TblClusters[CPU min (vCPU)],$B194),"")</f>
        <v/>
      </c>
      <c r="O194" s="14" t="str">
        <f aca="false">IF($D194=1,INDEX(TblClusters[RAM min (Go)],$B194),"")</f>
        <v/>
      </c>
      <c r="P194" s="14" t="str">
        <f aca="false">IF($D194&lt;&gt;1,"",IF($G194="ROKS",SUMIFS(TblApplications[Besoin ROKS CPU (vCPU)],TblApplications[Cluster ROKS cible],$F194,TblApplications[Action],"À migrer",TblApplications[Déjà incluse ROKS],"Non",TblApplications[Mois prov (calc)],"&lt;="&amp;$E194),SUMIFS(TblApplications[CPU IKS libérable (vCPU)],TblApplications[Cluster IKS source],$F194,TblApplications[Mois lib (calc)],"&lt;="&amp;$E194)))</f>
        <v/>
      </c>
      <c r="Q194" s="14" t="str">
        <f aca="false">IF($D194&lt;&gt;1,"",IF($G194="ROKS",SUMIFS(TblApplications[Besoin ROKS RAM (Go)],TblApplications[Cluster ROKS cible],$F194,TblApplications[Action],"À migrer",TblApplications[Déjà incluse ROKS],"Non",TblApplications[Mois prov (calc)],"&lt;="&amp;$E194),SUMIFS(TblApplications[RAM IKS libérable (Go)],TblApplications[Cluster IKS source],$F194,TblApplications[Mois lib (calc)],"&lt;="&amp;$E194)))</f>
        <v/>
      </c>
      <c r="R194" s="14" t="str">
        <f aca="false">IF($D194&lt;&gt;1,"",IF($G194="ROKS",$L194+$P194,IF($AI194=1,0,MAX($N194,$L194-$P194))))</f>
        <v/>
      </c>
      <c r="S194" s="14" t="str">
        <f aca="false">IF($D194&lt;&gt;1,"",IF($G194="ROKS",$M194+$Q194,IF($AI194=1,0,MAX($O194,$M194-$Q194))))</f>
        <v/>
      </c>
      <c r="T194" s="14" t="str">
        <f aca="false">IF($D194&lt;&gt;1,"",IF($AI194=1,0,MAX($J194,ROUNDUP(MAX($R194/$H194,$S194/$I194),0))))</f>
        <v/>
      </c>
      <c r="U194" s="14" t="str">
        <f aca="false">IF($D194&lt;&gt;1,"",IF(p_mode="Nœud",$T194*$H194,$R194))</f>
        <v/>
      </c>
      <c r="V194" s="14" t="str">
        <f aca="false">IF($D194&lt;&gt;1,"",IF(p_mode="Nœud",$T194*$I194,$S194))</f>
        <v/>
      </c>
      <c r="W194" s="84" t="str">
        <f aca="false">IF($D194&lt;&gt;1,"",IF(p_mode="Nœud",$T194*$K194,$R194*IF($G194="IKS",p_iks_cpu,p_roks_cpu)+$S194*IF($G194="IKS",p_iks_ram,p_roks_ram))*p_facteur)</f>
        <v/>
      </c>
      <c r="X194" s="14" t="str">
        <f aca="false">IF($D194&lt;&gt;1,"",IF($G194="ROKS",$R194,IF($AI194=1,0,MAX($N194,$L194-SUMIFS(TblApplications[CPU IKS libérable (vCPU)],TblApplications[Cluster IKS source],$F194,TblApplications[Action],"À migrer",TblApplications[Mois prov (calc)],"&lt;="&amp;$E194)-SUMIFS(TblApplications[CPU IKS libérable (vCPU)],TblApplications[Cluster IKS source],$F194,TblApplications[Action],"À décommissionner",TblApplications[Mois lib (calc)],"&lt;="&amp;$E194)))))</f>
        <v/>
      </c>
      <c r="Y194" s="14" t="str">
        <f aca="false">IF($D194&lt;&gt;1,"",IF($G194="ROKS",$S194,IF($AI194=1,0,MAX($O194,$M194-SUMIFS(TblApplications[RAM IKS libérable (Go)],TblApplications[Cluster IKS source],$F194,TblApplications[Action],"À migrer",TblApplications[Mois prov (calc)],"&lt;="&amp;$E194)-SUMIFS(TblApplications[RAM IKS libérable (Go)],TblApplications[Cluster IKS source],$F194,TblApplications[Action],"À décommissionner",TblApplications[Mois lib (calc)],"&lt;="&amp;$E194)))))</f>
        <v/>
      </c>
      <c r="Z194" s="14" t="str">
        <f aca="false">IF($D194&lt;&gt;1,"",IF($AI194=1,0,MAX($J194,ROUNDUP(MAX($X194/$H194,$Y194/$I194),0))))</f>
        <v/>
      </c>
      <c r="AA194" s="84" t="str">
        <f aca="false">IF($D194&lt;&gt;1,"",IF(p_mode="Nœud",$Z194*$K194,$X194*IF($G194="IKS",p_iks_cpu,p_roks_cpu)+$Y194*IF($G194="IKS",p_iks_ram,p_roks_ram))*p_facteur)</f>
        <v/>
      </c>
      <c r="AB194" s="14" t="str">
        <f aca="false">IF($D194&lt;&gt;1,"",MAX($J194,ROUNDUP(MAX($L194/$H194,$M194/$I194),0)))</f>
        <v/>
      </c>
      <c r="AC194" s="84" t="str">
        <f aca="false">IF($D194&lt;&gt;1,"",IF(p_mode="Nœud",$AB194*$K194,$L194*IF($G194="IKS",p_iks_cpu,p_roks_cpu)+$M194*IF($G194="IKS",p_iks_ram,p_roks_ram))*p_facteur)</f>
        <v/>
      </c>
      <c r="AD194" s="14" t="str">
        <f aca="false">IF($D194&lt;&gt;1,"",IF(AND($G194="IKS",$AI194&lt;&gt;1,OR($L194-$P194&lt;$N194,$M194-$Q194&lt;$O194)),1,0))</f>
        <v/>
      </c>
      <c r="AE194" s="14" t="str">
        <f aca="false">IF($D194&lt;&gt;1,"",IF(AND($G194="ROKS",$T194&gt;p_maxworkers),1,0))</f>
        <v/>
      </c>
      <c r="AF194" s="14" t="str">
        <f aca="false">IF($D194&lt;&gt;1,"",IF(INDEX(TblClusters[Environnement],$B194)="","(vide)",INDEX(TblClusters[Environnement],$B194)))</f>
        <v/>
      </c>
      <c r="AG194" s="14" t="str">
        <f aca="false">IF($D194&lt;&gt;1,"",$R194+p_poidsram*$S194)</f>
        <v/>
      </c>
      <c r="AH194" s="14" t="str">
        <f aca="false">IF($D194&lt;&gt;1,"",IFERROR($W194/$AG194,0))</f>
        <v/>
      </c>
      <c r="AI194" s="14" t="str">
        <f aca="false">IF($D194&lt;&gt;1,"",IF(AND($G194="IKS",ISNUMBER(INDEX(TblClusters[Fermeture retenue],$B194))),IF($E194&gt;=INDEX(TblClusters[Fermeture retenue],$B194),1,0),0))</f>
        <v/>
      </c>
    </row>
    <row r="195" customFormat="false" ht="15" hidden="false" customHeight="false" outlineLevel="0" collapsed="false">
      <c r="A195" s="14" t="n">
        <v>190</v>
      </c>
      <c r="B195" s="14" t="n">
        <f aca="false">INT(($A195-1)/36)+1</f>
        <v>6</v>
      </c>
      <c r="C195" s="14" t="n">
        <f aca="false">MOD($A195-1,36)+1</f>
        <v>10</v>
      </c>
      <c r="D195" s="14" t="n">
        <f aca="false">IF($C195&gt;p_horizon,0,IFERROR(IF(AND(INDEX(TblClusters[Cluster],$B195)&lt;&gt;"",ISNUMBER(INDEX(TblClusters[CPU initial (vCPU)],$B195)),ISNUMBER(INDEX(TblClusters[CPU min (vCPU)],$B195)),OR(INDEX(TblClusters[Plateforme],$B195)="IKS",INDEX(TblClusters[Plateforme],$B195)="ROKS")),1,0),0))</f>
        <v>0</v>
      </c>
      <c r="E195" s="83" t="str">
        <f aca="false">IF($D195=1,EDATE(p_debut,$C195-1),"")</f>
        <v/>
      </c>
      <c r="F195" s="14" t="str">
        <f aca="false">IF($D195=1,INDEX(TblClusters[Cluster],$B195),"")</f>
        <v/>
      </c>
      <c r="G195" s="14" t="str">
        <f aca="false">IF($D195=1,INDEX(TblClusters[Plateforme],$B195),"")</f>
        <v/>
      </c>
      <c r="H195" s="14" t="str">
        <f aca="false">IF($D195=1,INDEX(TblClusters[vCPU par nœud],$B195),"")</f>
        <v/>
      </c>
      <c r="I195" s="14" t="str">
        <f aca="false">IF($D195=1,INDEX(TblClusters[RAM par nœud (Go)],$B195),"")</f>
        <v/>
      </c>
      <c r="J195" s="14" t="str">
        <f aca="false">IF($D195=1,INDEX(TblClusters[Workers min],$B195),"")</f>
        <v/>
      </c>
      <c r="K195" s="84" t="str">
        <f aca="false">IF($D195=1,INDEX(TblClusters[Tarif par nœud],$B195),"")</f>
        <v/>
      </c>
      <c r="L195" s="14" t="str">
        <f aca="false">IF($D195=1,INDEX(TblClusters[CPU initial (vCPU)],$B195),"")</f>
        <v/>
      </c>
      <c r="M195" s="14" t="str">
        <f aca="false">IF($D195=1,INDEX(TblClusters[RAM initiale (Go)],$B195),"")</f>
        <v/>
      </c>
      <c r="N195" s="14" t="str">
        <f aca="false">IF($D195=1,INDEX(TblClusters[CPU min (vCPU)],$B195),"")</f>
        <v/>
      </c>
      <c r="O195" s="14" t="str">
        <f aca="false">IF($D195=1,INDEX(TblClusters[RAM min (Go)],$B195),"")</f>
        <v/>
      </c>
      <c r="P195" s="14" t="str">
        <f aca="false">IF($D195&lt;&gt;1,"",IF($G195="ROKS",SUMIFS(TblApplications[Besoin ROKS CPU (vCPU)],TblApplications[Cluster ROKS cible],$F195,TblApplications[Action],"À migrer",TblApplications[Déjà incluse ROKS],"Non",TblApplications[Mois prov (calc)],"&lt;="&amp;$E195),SUMIFS(TblApplications[CPU IKS libérable (vCPU)],TblApplications[Cluster IKS source],$F195,TblApplications[Mois lib (calc)],"&lt;="&amp;$E195)))</f>
        <v/>
      </c>
      <c r="Q195" s="14" t="str">
        <f aca="false">IF($D195&lt;&gt;1,"",IF($G195="ROKS",SUMIFS(TblApplications[Besoin ROKS RAM (Go)],TblApplications[Cluster ROKS cible],$F195,TblApplications[Action],"À migrer",TblApplications[Déjà incluse ROKS],"Non",TblApplications[Mois prov (calc)],"&lt;="&amp;$E195),SUMIFS(TblApplications[RAM IKS libérable (Go)],TblApplications[Cluster IKS source],$F195,TblApplications[Mois lib (calc)],"&lt;="&amp;$E195)))</f>
        <v/>
      </c>
      <c r="R195" s="14" t="str">
        <f aca="false">IF($D195&lt;&gt;1,"",IF($G195="ROKS",$L195+$P195,IF($AI195=1,0,MAX($N195,$L195-$P195))))</f>
        <v/>
      </c>
      <c r="S195" s="14" t="str">
        <f aca="false">IF($D195&lt;&gt;1,"",IF($G195="ROKS",$M195+$Q195,IF($AI195=1,0,MAX($O195,$M195-$Q195))))</f>
        <v/>
      </c>
      <c r="T195" s="14" t="str">
        <f aca="false">IF($D195&lt;&gt;1,"",IF($AI195=1,0,MAX($J195,ROUNDUP(MAX($R195/$H195,$S195/$I195),0))))</f>
        <v/>
      </c>
      <c r="U195" s="14" t="str">
        <f aca="false">IF($D195&lt;&gt;1,"",IF(p_mode="Nœud",$T195*$H195,$R195))</f>
        <v/>
      </c>
      <c r="V195" s="14" t="str">
        <f aca="false">IF($D195&lt;&gt;1,"",IF(p_mode="Nœud",$T195*$I195,$S195))</f>
        <v/>
      </c>
      <c r="W195" s="84" t="str">
        <f aca="false">IF($D195&lt;&gt;1,"",IF(p_mode="Nœud",$T195*$K195,$R195*IF($G195="IKS",p_iks_cpu,p_roks_cpu)+$S195*IF($G195="IKS",p_iks_ram,p_roks_ram))*p_facteur)</f>
        <v/>
      </c>
      <c r="X195" s="14" t="str">
        <f aca="false">IF($D195&lt;&gt;1,"",IF($G195="ROKS",$R195,IF($AI195=1,0,MAX($N195,$L195-SUMIFS(TblApplications[CPU IKS libérable (vCPU)],TblApplications[Cluster IKS source],$F195,TblApplications[Action],"À migrer",TblApplications[Mois prov (calc)],"&lt;="&amp;$E195)-SUMIFS(TblApplications[CPU IKS libérable (vCPU)],TblApplications[Cluster IKS source],$F195,TblApplications[Action],"À décommissionner",TblApplications[Mois lib (calc)],"&lt;="&amp;$E195)))))</f>
        <v/>
      </c>
      <c r="Y195" s="14" t="str">
        <f aca="false">IF($D195&lt;&gt;1,"",IF($G195="ROKS",$S195,IF($AI195=1,0,MAX($O195,$M195-SUMIFS(TblApplications[RAM IKS libérable (Go)],TblApplications[Cluster IKS source],$F195,TblApplications[Action],"À migrer",TblApplications[Mois prov (calc)],"&lt;="&amp;$E195)-SUMIFS(TblApplications[RAM IKS libérable (Go)],TblApplications[Cluster IKS source],$F195,TblApplications[Action],"À décommissionner",TblApplications[Mois lib (calc)],"&lt;="&amp;$E195)))))</f>
        <v/>
      </c>
      <c r="Z195" s="14" t="str">
        <f aca="false">IF($D195&lt;&gt;1,"",IF($AI195=1,0,MAX($J195,ROUNDUP(MAX($X195/$H195,$Y195/$I195),0))))</f>
        <v/>
      </c>
      <c r="AA195" s="84" t="str">
        <f aca="false">IF($D195&lt;&gt;1,"",IF(p_mode="Nœud",$Z195*$K195,$X195*IF($G195="IKS",p_iks_cpu,p_roks_cpu)+$Y195*IF($G195="IKS",p_iks_ram,p_roks_ram))*p_facteur)</f>
        <v/>
      </c>
      <c r="AB195" s="14" t="str">
        <f aca="false">IF($D195&lt;&gt;1,"",MAX($J195,ROUNDUP(MAX($L195/$H195,$M195/$I195),0)))</f>
        <v/>
      </c>
      <c r="AC195" s="84" t="str">
        <f aca="false">IF($D195&lt;&gt;1,"",IF(p_mode="Nœud",$AB195*$K195,$L195*IF($G195="IKS",p_iks_cpu,p_roks_cpu)+$M195*IF($G195="IKS",p_iks_ram,p_roks_ram))*p_facteur)</f>
        <v/>
      </c>
      <c r="AD195" s="14" t="str">
        <f aca="false">IF($D195&lt;&gt;1,"",IF(AND($G195="IKS",$AI195&lt;&gt;1,OR($L195-$P195&lt;$N195,$M195-$Q195&lt;$O195)),1,0))</f>
        <v/>
      </c>
      <c r="AE195" s="14" t="str">
        <f aca="false">IF($D195&lt;&gt;1,"",IF(AND($G195="ROKS",$T195&gt;p_maxworkers),1,0))</f>
        <v/>
      </c>
      <c r="AF195" s="14" t="str">
        <f aca="false">IF($D195&lt;&gt;1,"",IF(INDEX(TblClusters[Environnement],$B195)="","(vide)",INDEX(TblClusters[Environnement],$B195)))</f>
        <v/>
      </c>
      <c r="AG195" s="14" t="str">
        <f aca="false">IF($D195&lt;&gt;1,"",$R195+p_poidsram*$S195)</f>
        <v/>
      </c>
      <c r="AH195" s="14" t="str">
        <f aca="false">IF($D195&lt;&gt;1,"",IFERROR($W195/$AG195,0))</f>
        <v/>
      </c>
      <c r="AI195" s="14" t="str">
        <f aca="false">IF($D195&lt;&gt;1,"",IF(AND($G195="IKS",ISNUMBER(INDEX(TblClusters[Fermeture retenue],$B195))),IF($E195&gt;=INDEX(TblClusters[Fermeture retenue],$B195),1,0),0))</f>
        <v/>
      </c>
    </row>
    <row r="196" customFormat="false" ht="15" hidden="false" customHeight="false" outlineLevel="0" collapsed="false">
      <c r="A196" s="14" t="n">
        <v>191</v>
      </c>
      <c r="B196" s="14" t="n">
        <f aca="false">INT(($A196-1)/36)+1</f>
        <v>6</v>
      </c>
      <c r="C196" s="14" t="n">
        <f aca="false">MOD($A196-1,36)+1</f>
        <v>11</v>
      </c>
      <c r="D196" s="14" t="n">
        <f aca="false">IF($C196&gt;p_horizon,0,IFERROR(IF(AND(INDEX(TblClusters[Cluster],$B196)&lt;&gt;"",ISNUMBER(INDEX(TblClusters[CPU initial (vCPU)],$B196)),ISNUMBER(INDEX(TblClusters[CPU min (vCPU)],$B196)),OR(INDEX(TblClusters[Plateforme],$B196)="IKS",INDEX(TblClusters[Plateforme],$B196)="ROKS")),1,0),0))</f>
        <v>0</v>
      </c>
      <c r="E196" s="83" t="str">
        <f aca="false">IF($D196=1,EDATE(p_debut,$C196-1),"")</f>
        <v/>
      </c>
      <c r="F196" s="14" t="str">
        <f aca="false">IF($D196=1,INDEX(TblClusters[Cluster],$B196),"")</f>
        <v/>
      </c>
      <c r="G196" s="14" t="str">
        <f aca="false">IF($D196=1,INDEX(TblClusters[Plateforme],$B196),"")</f>
        <v/>
      </c>
      <c r="H196" s="14" t="str">
        <f aca="false">IF($D196=1,INDEX(TblClusters[vCPU par nœud],$B196),"")</f>
        <v/>
      </c>
      <c r="I196" s="14" t="str">
        <f aca="false">IF($D196=1,INDEX(TblClusters[RAM par nœud (Go)],$B196),"")</f>
        <v/>
      </c>
      <c r="J196" s="14" t="str">
        <f aca="false">IF($D196=1,INDEX(TblClusters[Workers min],$B196),"")</f>
        <v/>
      </c>
      <c r="K196" s="84" t="str">
        <f aca="false">IF($D196=1,INDEX(TblClusters[Tarif par nœud],$B196),"")</f>
        <v/>
      </c>
      <c r="L196" s="14" t="str">
        <f aca="false">IF($D196=1,INDEX(TblClusters[CPU initial (vCPU)],$B196),"")</f>
        <v/>
      </c>
      <c r="M196" s="14" t="str">
        <f aca="false">IF($D196=1,INDEX(TblClusters[RAM initiale (Go)],$B196),"")</f>
        <v/>
      </c>
      <c r="N196" s="14" t="str">
        <f aca="false">IF($D196=1,INDEX(TblClusters[CPU min (vCPU)],$B196),"")</f>
        <v/>
      </c>
      <c r="O196" s="14" t="str">
        <f aca="false">IF($D196=1,INDEX(TblClusters[RAM min (Go)],$B196),"")</f>
        <v/>
      </c>
      <c r="P196" s="14" t="str">
        <f aca="false">IF($D196&lt;&gt;1,"",IF($G196="ROKS",SUMIFS(TblApplications[Besoin ROKS CPU (vCPU)],TblApplications[Cluster ROKS cible],$F196,TblApplications[Action],"À migrer",TblApplications[Déjà incluse ROKS],"Non",TblApplications[Mois prov (calc)],"&lt;="&amp;$E196),SUMIFS(TblApplications[CPU IKS libérable (vCPU)],TblApplications[Cluster IKS source],$F196,TblApplications[Mois lib (calc)],"&lt;="&amp;$E196)))</f>
        <v/>
      </c>
      <c r="Q196" s="14" t="str">
        <f aca="false">IF($D196&lt;&gt;1,"",IF($G196="ROKS",SUMIFS(TblApplications[Besoin ROKS RAM (Go)],TblApplications[Cluster ROKS cible],$F196,TblApplications[Action],"À migrer",TblApplications[Déjà incluse ROKS],"Non",TblApplications[Mois prov (calc)],"&lt;="&amp;$E196),SUMIFS(TblApplications[RAM IKS libérable (Go)],TblApplications[Cluster IKS source],$F196,TblApplications[Mois lib (calc)],"&lt;="&amp;$E196)))</f>
        <v/>
      </c>
      <c r="R196" s="14" t="str">
        <f aca="false">IF($D196&lt;&gt;1,"",IF($G196="ROKS",$L196+$P196,IF($AI196=1,0,MAX($N196,$L196-$P196))))</f>
        <v/>
      </c>
      <c r="S196" s="14" t="str">
        <f aca="false">IF($D196&lt;&gt;1,"",IF($G196="ROKS",$M196+$Q196,IF($AI196=1,0,MAX($O196,$M196-$Q196))))</f>
        <v/>
      </c>
      <c r="T196" s="14" t="str">
        <f aca="false">IF($D196&lt;&gt;1,"",IF($AI196=1,0,MAX($J196,ROUNDUP(MAX($R196/$H196,$S196/$I196),0))))</f>
        <v/>
      </c>
      <c r="U196" s="14" t="str">
        <f aca="false">IF($D196&lt;&gt;1,"",IF(p_mode="Nœud",$T196*$H196,$R196))</f>
        <v/>
      </c>
      <c r="V196" s="14" t="str">
        <f aca="false">IF($D196&lt;&gt;1,"",IF(p_mode="Nœud",$T196*$I196,$S196))</f>
        <v/>
      </c>
      <c r="W196" s="84" t="str">
        <f aca="false">IF($D196&lt;&gt;1,"",IF(p_mode="Nœud",$T196*$K196,$R196*IF($G196="IKS",p_iks_cpu,p_roks_cpu)+$S196*IF($G196="IKS",p_iks_ram,p_roks_ram))*p_facteur)</f>
        <v/>
      </c>
      <c r="X196" s="14" t="str">
        <f aca="false">IF($D196&lt;&gt;1,"",IF($G196="ROKS",$R196,IF($AI196=1,0,MAX($N196,$L196-SUMIFS(TblApplications[CPU IKS libérable (vCPU)],TblApplications[Cluster IKS source],$F196,TblApplications[Action],"À migrer",TblApplications[Mois prov (calc)],"&lt;="&amp;$E196)-SUMIFS(TblApplications[CPU IKS libérable (vCPU)],TblApplications[Cluster IKS source],$F196,TblApplications[Action],"À décommissionner",TblApplications[Mois lib (calc)],"&lt;="&amp;$E196)))))</f>
        <v/>
      </c>
      <c r="Y196" s="14" t="str">
        <f aca="false">IF($D196&lt;&gt;1,"",IF($G196="ROKS",$S196,IF($AI196=1,0,MAX($O196,$M196-SUMIFS(TblApplications[RAM IKS libérable (Go)],TblApplications[Cluster IKS source],$F196,TblApplications[Action],"À migrer",TblApplications[Mois prov (calc)],"&lt;="&amp;$E196)-SUMIFS(TblApplications[RAM IKS libérable (Go)],TblApplications[Cluster IKS source],$F196,TblApplications[Action],"À décommissionner",TblApplications[Mois lib (calc)],"&lt;="&amp;$E196)))))</f>
        <v/>
      </c>
      <c r="Z196" s="14" t="str">
        <f aca="false">IF($D196&lt;&gt;1,"",IF($AI196=1,0,MAX($J196,ROUNDUP(MAX($X196/$H196,$Y196/$I196),0))))</f>
        <v/>
      </c>
      <c r="AA196" s="84" t="str">
        <f aca="false">IF($D196&lt;&gt;1,"",IF(p_mode="Nœud",$Z196*$K196,$X196*IF($G196="IKS",p_iks_cpu,p_roks_cpu)+$Y196*IF($G196="IKS",p_iks_ram,p_roks_ram))*p_facteur)</f>
        <v/>
      </c>
      <c r="AB196" s="14" t="str">
        <f aca="false">IF($D196&lt;&gt;1,"",MAX($J196,ROUNDUP(MAX($L196/$H196,$M196/$I196),0)))</f>
        <v/>
      </c>
      <c r="AC196" s="84" t="str">
        <f aca="false">IF($D196&lt;&gt;1,"",IF(p_mode="Nœud",$AB196*$K196,$L196*IF($G196="IKS",p_iks_cpu,p_roks_cpu)+$M196*IF($G196="IKS",p_iks_ram,p_roks_ram))*p_facteur)</f>
        <v/>
      </c>
      <c r="AD196" s="14" t="str">
        <f aca="false">IF($D196&lt;&gt;1,"",IF(AND($G196="IKS",$AI196&lt;&gt;1,OR($L196-$P196&lt;$N196,$M196-$Q196&lt;$O196)),1,0))</f>
        <v/>
      </c>
      <c r="AE196" s="14" t="str">
        <f aca="false">IF($D196&lt;&gt;1,"",IF(AND($G196="ROKS",$T196&gt;p_maxworkers),1,0))</f>
        <v/>
      </c>
      <c r="AF196" s="14" t="str">
        <f aca="false">IF($D196&lt;&gt;1,"",IF(INDEX(TblClusters[Environnement],$B196)="","(vide)",INDEX(TblClusters[Environnement],$B196)))</f>
        <v/>
      </c>
      <c r="AG196" s="14" t="str">
        <f aca="false">IF($D196&lt;&gt;1,"",$R196+p_poidsram*$S196)</f>
        <v/>
      </c>
      <c r="AH196" s="14" t="str">
        <f aca="false">IF($D196&lt;&gt;1,"",IFERROR($W196/$AG196,0))</f>
        <v/>
      </c>
      <c r="AI196" s="14" t="str">
        <f aca="false">IF($D196&lt;&gt;1,"",IF(AND($G196="IKS",ISNUMBER(INDEX(TblClusters[Fermeture retenue],$B196))),IF($E196&gt;=INDEX(TblClusters[Fermeture retenue],$B196),1,0),0))</f>
        <v/>
      </c>
    </row>
    <row r="197" customFormat="false" ht="15" hidden="false" customHeight="false" outlineLevel="0" collapsed="false">
      <c r="A197" s="14" t="n">
        <v>192</v>
      </c>
      <c r="B197" s="14" t="n">
        <f aca="false">INT(($A197-1)/36)+1</f>
        <v>6</v>
      </c>
      <c r="C197" s="14" t="n">
        <f aca="false">MOD($A197-1,36)+1</f>
        <v>12</v>
      </c>
      <c r="D197" s="14" t="n">
        <f aca="false">IF($C197&gt;p_horizon,0,IFERROR(IF(AND(INDEX(TblClusters[Cluster],$B197)&lt;&gt;"",ISNUMBER(INDEX(TblClusters[CPU initial (vCPU)],$B197)),ISNUMBER(INDEX(TblClusters[CPU min (vCPU)],$B197)),OR(INDEX(TblClusters[Plateforme],$B197)="IKS",INDEX(TblClusters[Plateforme],$B197)="ROKS")),1,0),0))</f>
        <v>0</v>
      </c>
      <c r="E197" s="83" t="str">
        <f aca="false">IF($D197=1,EDATE(p_debut,$C197-1),"")</f>
        <v/>
      </c>
      <c r="F197" s="14" t="str">
        <f aca="false">IF($D197=1,INDEX(TblClusters[Cluster],$B197),"")</f>
        <v/>
      </c>
      <c r="G197" s="14" t="str">
        <f aca="false">IF($D197=1,INDEX(TblClusters[Plateforme],$B197),"")</f>
        <v/>
      </c>
      <c r="H197" s="14" t="str">
        <f aca="false">IF($D197=1,INDEX(TblClusters[vCPU par nœud],$B197),"")</f>
        <v/>
      </c>
      <c r="I197" s="14" t="str">
        <f aca="false">IF($D197=1,INDEX(TblClusters[RAM par nœud (Go)],$B197),"")</f>
        <v/>
      </c>
      <c r="J197" s="14" t="str">
        <f aca="false">IF($D197=1,INDEX(TblClusters[Workers min],$B197),"")</f>
        <v/>
      </c>
      <c r="K197" s="84" t="str">
        <f aca="false">IF($D197=1,INDEX(TblClusters[Tarif par nœud],$B197),"")</f>
        <v/>
      </c>
      <c r="L197" s="14" t="str">
        <f aca="false">IF($D197=1,INDEX(TblClusters[CPU initial (vCPU)],$B197),"")</f>
        <v/>
      </c>
      <c r="M197" s="14" t="str">
        <f aca="false">IF($D197=1,INDEX(TblClusters[RAM initiale (Go)],$B197),"")</f>
        <v/>
      </c>
      <c r="N197" s="14" t="str">
        <f aca="false">IF($D197=1,INDEX(TblClusters[CPU min (vCPU)],$B197),"")</f>
        <v/>
      </c>
      <c r="O197" s="14" t="str">
        <f aca="false">IF($D197=1,INDEX(TblClusters[RAM min (Go)],$B197),"")</f>
        <v/>
      </c>
      <c r="P197" s="14" t="str">
        <f aca="false">IF($D197&lt;&gt;1,"",IF($G197="ROKS",SUMIFS(TblApplications[Besoin ROKS CPU (vCPU)],TblApplications[Cluster ROKS cible],$F197,TblApplications[Action],"À migrer",TblApplications[Déjà incluse ROKS],"Non",TblApplications[Mois prov (calc)],"&lt;="&amp;$E197),SUMIFS(TblApplications[CPU IKS libérable (vCPU)],TblApplications[Cluster IKS source],$F197,TblApplications[Mois lib (calc)],"&lt;="&amp;$E197)))</f>
        <v/>
      </c>
      <c r="Q197" s="14" t="str">
        <f aca="false">IF($D197&lt;&gt;1,"",IF($G197="ROKS",SUMIFS(TblApplications[Besoin ROKS RAM (Go)],TblApplications[Cluster ROKS cible],$F197,TblApplications[Action],"À migrer",TblApplications[Déjà incluse ROKS],"Non",TblApplications[Mois prov (calc)],"&lt;="&amp;$E197),SUMIFS(TblApplications[RAM IKS libérable (Go)],TblApplications[Cluster IKS source],$F197,TblApplications[Mois lib (calc)],"&lt;="&amp;$E197)))</f>
        <v/>
      </c>
      <c r="R197" s="14" t="str">
        <f aca="false">IF($D197&lt;&gt;1,"",IF($G197="ROKS",$L197+$P197,IF($AI197=1,0,MAX($N197,$L197-$P197))))</f>
        <v/>
      </c>
      <c r="S197" s="14" t="str">
        <f aca="false">IF($D197&lt;&gt;1,"",IF($G197="ROKS",$M197+$Q197,IF($AI197=1,0,MAX($O197,$M197-$Q197))))</f>
        <v/>
      </c>
      <c r="T197" s="14" t="str">
        <f aca="false">IF($D197&lt;&gt;1,"",IF($AI197=1,0,MAX($J197,ROUNDUP(MAX($R197/$H197,$S197/$I197),0))))</f>
        <v/>
      </c>
      <c r="U197" s="14" t="str">
        <f aca="false">IF($D197&lt;&gt;1,"",IF(p_mode="Nœud",$T197*$H197,$R197))</f>
        <v/>
      </c>
      <c r="V197" s="14" t="str">
        <f aca="false">IF($D197&lt;&gt;1,"",IF(p_mode="Nœud",$T197*$I197,$S197))</f>
        <v/>
      </c>
      <c r="W197" s="84" t="str">
        <f aca="false">IF($D197&lt;&gt;1,"",IF(p_mode="Nœud",$T197*$K197,$R197*IF($G197="IKS",p_iks_cpu,p_roks_cpu)+$S197*IF($G197="IKS",p_iks_ram,p_roks_ram))*p_facteur)</f>
        <v/>
      </c>
      <c r="X197" s="14" t="str">
        <f aca="false">IF($D197&lt;&gt;1,"",IF($G197="ROKS",$R197,IF($AI197=1,0,MAX($N197,$L197-SUMIFS(TblApplications[CPU IKS libérable (vCPU)],TblApplications[Cluster IKS source],$F197,TblApplications[Action],"À migrer",TblApplications[Mois prov (calc)],"&lt;="&amp;$E197)-SUMIFS(TblApplications[CPU IKS libérable (vCPU)],TblApplications[Cluster IKS source],$F197,TblApplications[Action],"À décommissionner",TblApplications[Mois lib (calc)],"&lt;="&amp;$E197)))))</f>
        <v/>
      </c>
      <c r="Y197" s="14" t="str">
        <f aca="false">IF($D197&lt;&gt;1,"",IF($G197="ROKS",$S197,IF($AI197=1,0,MAX($O197,$M197-SUMIFS(TblApplications[RAM IKS libérable (Go)],TblApplications[Cluster IKS source],$F197,TblApplications[Action],"À migrer",TblApplications[Mois prov (calc)],"&lt;="&amp;$E197)-SUMIFS(TblApplications[RAM IKS libérable (Go)],TblApplications[Cluster IKS source],$F197,TblApplications[Action],"À décommissionner",TblApplications[Mois lib (calc)],"&lt;="&amp;$E197)))))</f>
        <v/>
      </c>
      <c r="Z197" s="14" t="str">
        <f aca="false">IF($D197&lt;&gt;1,"",IF($AI197=1,0,MAX($J197,ROUNDUP(MAX($X197/$H197,$Y197/$I197),0))))</f>
        <v/>
      </c>
      <c r="AA197" s="84" t="str">
        <f aca="false">IF($D197&lt;&gt;1,"",IF(p_mode="Nœud",$Z197*$K197,$X197*IF($G197="IKS",p_iks_cpu,p_roks_cpu)+$Y197*IF($G197="IKS",p_iks_ram,p_roks_ram))*p_facteur)</f>
        <v/>
      </c>
      <c r="AB197" s="14" t="str">
        <f aca="false">IF($D197&lt;&gt;1,"",MAX($J197,ROUNDUP(MAX($L197/$H197,$M197/$I197),0)))</f>
        <v/>
      </c>
      <c r="AC197" s="84" t="str">
        <f aca="false">IF($D197&lt;&gt;1,"",IF(p_mode="Nœud",$AB197*$K197,$L197*IF($G197="IKS",p_iks_cpu,p_roks_cpu)+$M197*IF($G197="IKS",p_iks_ram,p_roks_ram))*p_facteur)</f>
        <v/>
      </c>
      <c r="AD197" s="14" t="str">
        <f aca="false">IF($D197&lt;&gt;1,"",IF(AND($G197="IKS",$AI197&lt;&gt;1,OR($L197-$P197&lt;$N197,$M197-$Q197&lt;$O197)),1,0))</f>
        <v/>
      </c>
      <c r="AE197" s="14" t="str">
        <f aca="false">IF($D197&lt;&gt;1,"",IF(AND($G197="ROKS",$T197&gt;p_maxworkers),1,0))</f>
        <v/>
      </c>
      <c r="AF197" s="14" t="str">
        <f aca="false">IF($D197&lt;&gt;1,"",IF(INDEX(TblClusters[Environnement],$B197)="","(vide)",INDEX(TblClusters[Environnement],$B197)))</f>
        <v/>
      </c>
      <c r="AG197" s="14" t="str">
        <f aca="false">IF($D197&lt;&gt;1,"",$R197+p_poidsram*$S197)</f>
        <v/>
      </c>
      <c r="AH197" s="14" t="str">
        <f aca="false">IF($D197&lt;&gt;1,"",IFERROR($W197/$AG197,0))</f>
        <v/>
      </c>
      <c r="AI197" s="14" t="str">
        <f aca="false">IF($D197&lt;&gt;1,"",IF(AND($G197="IKS",ISNUMBER(INDEX(TblClusters[Fermeture retenue],$B197))),IF($E197&gt;=INDEX(TblClusters[Fermeture retenue],$B197),1,0),0))</f>
        <v/>
      </c>
    </row>
    <row r="198" customFormat="false" ht="15" hidden="false" customHeight="false" outlineLevel="0" collapsed="false">
      <c r="A198" s="14" t="n">
        <v>193</v>
      </c>
      <c r="B198" s="14" t="n">
        <f aca="false">INT(($A198-1)/36)+1</f>
        <v>6</v>
      </c>
      <c r="C198" s="14" t="n">
        <f aca="false">MOD($A198-1,36)+1</f>
        <v>13</v>
      </c>
      <c r="D198" s="14" t="n">
        <f aca="false">IF($C198&gt;p_horizon,0,IFERROR(IF(AND(INDEX(TblClusters[Cluster],$B198)&lt;&gt;"",ISNUMBER(INDEX(TblClusters[CPU initial (vCPU)],$B198)),ISNUMBER(INDEX(TblClusters[CPU min (vCPU)],$B198)),OR(INDEX(TblClusters[Plateforme],$B198)="IKS",INDEX(TblClusters[Plateforme],$B198)="ROKS")),1,0),0))</f>
        <v>0</v>
      </c>
      <c r="E198" s="83" t="str">
        <f aca="false">IF($D198=1,EDATE(p_debut,$C198-1),"")</f>
        <v/>
      </c>
      <c r="F198" s="14" t="str">
        <f aca="false">IF($D198=1,INDEX(TblClusters[Cluster],$B198),"")</f>
        <v/>
      </c>
      <c r="G198" s="14" t="str">
        <f aca="false">IF($D198=1,INDEX(TblClusters[Plateforme],$B198),"")</f>
        <v/>
      </c>
      <c r="H198" s="14" t="str">
        <f aca="false">IF($D198=1,INDEX(TblClusters[vCPU par nœud],$B198),"")</f>
        <v/>
      </c>
      <c r="I198" s="14" t="str">
        <f aca="false">IF($D198=1,INDEX(TblClusters[RAM par nœud (Go)],$B198),"")</f>
        <v/>
      </c>
      <c r="J198" s="14" t="str">
        <f aca="false">IF($D198=1,INDEX(TblClusters[Workers min],$B198),"")</f>
        <v/>
      </c>
      <c r="K198" s="84" t="str">
        <f aca="false">IF($D198=1,INDEX(TblClusters[Tarif par nœud],$B198),"")</f>
        <v/>
      </c>
      <c r="L198" s="14" t="str">
        <f aca="false">IF($D198=1,INDEX(TblClusters[CPU initial (vCPU)],$B198),"")</f>
        <v/>
      </c>
      <c r="M198" s="14" t="str">
        <f aca="false">IF($D198=1,INDEX(TblClusters[RAM initiale (Go)],$B198),"")</f>
        <v/>
      </c>
      <c r="N198" s="14" t="str">
        <f aca="false">IF($D198=1,INDEX(TblClusters[CPU min (vCPU)],$B198),"")</f>
        <v/>
      </c>
      <c r="O198" s="14" t="str">
        <f aca="false">IF($D198=1,INDEX(TblClusters[RAM min (Go)],$B198),"")</f>
        <v/>
      </c>
      <c r="P198" s="14" t="str">
        <f aca="false">IF($D198&lt;&gt;1,"",IF($G198="ROKS",SUMIFS(TblApplications[Besoin ROKS CPU (vCPU)],TblApplications[Cluster ROKS cible],$F198,TblApplications[Action],"À migrer",TblApplications[Déjà incluse ROKS],"Non",TblApplications[Mois prov (calc)],"&lt;="&amp;$E198),SUMIFS(TblApplications[CPU IKS libérable (vCPU)],TblApplications[Cluster IKS source],$F198,TblApplications[Mois lib (calc)],"&lt;="&amp;$E198)))</f>
        <v/>
      </c>
      <c r="Q198" s="14" t="str">
        <f aca="false">IF($D198&lt;&gt;1,"",IF($G198="ROKS",SUMIFS(TblApplications[Besoin ROKS RAM (Go)],TblApplications[Cluster ROKS cible],$F198,TblApplications[Action],"À migrer",TblApplications[Déjà incluse ROKS],"Non",TblApplications[Mois prov (calc)],"&lt;="&amp;$E198),SUMIFS(TblApplications[RAM IKS libérable (Go)],TblApplications[Cluster IKS source],$F198,TblApplications[Mois lib (calc)],"&lt;="&amp;$E198)))</f>
        <v/>
      </c>
      <c r="R198" s="14" t="str">
        <f aca="false">IF($D198&lt;&gt;1,"",IF($G198="ROKS",$L198+$P198,IF($AI198=1,0,MAX($N198,$L198-$P198))))</f>
        <v/>
      </c>
      <c r="S198" s="14" t="str">
        <f aca="false">IF($D198&lt;&gt;1,"",IF($G198="ROKS",$M198+$Q198,IF($AI198=1,0,MAX($O198,$M198-$Q198))))</f>
        <v/>
      </c>
      <c r="T198" s="14" t="str">
        <f aca="false">IF($D198&lt;&gt;1,"",IF($AI198=1,0,MAX($J198,ROUNDUP(MAX($R198/$H198,$S198/$I198),0))))</f>
        <v/>
      </c>
      <c r="U198" s="14" t="str">
        <f aca="false">IF($D198&lt;&gt;1,"",IF(p_mode="Nœud",$T198*$H198,$R198))</f>
        <v/>
      </c>
      <c r="V198" s="14" t="str">
        <f aca="false">IF($D198&lt;&gt;1,"",IF(p_mode="Nœud",$T198*$I198,$S198))</f>
        <v/>
      </c>
      <c r="W198" s="84" t="str">
        <f aca="false">IF($D198&lt;&gt;1,"",IF(p_mode="Nœud",$T198*$K198,$R198*IF($G198="IKS",p_iks_cpu,p_roks_cpu)+$S198*IF($G198="IKS",p_iks_ram,p_roks_ram))*p_facteur)</f>
        <v/>
      </c>
      <c r="X198" s="14" t="str">
        <f aca="false">IF($D198&lt;&gt;1,"",IF($G198="ROKS",$R198,IF($AI198=1,0,MAX($N198,$L198-SUMIFS(TblApplications[CPU IKS libérable (vCPU)],TblApplications[Cluster IKS source],$F198,TblApplications[Action],"À migrer",TblApplications[Mois prov (calc)],"&lt;="&amp;$E198)-SUMIFS(TblApplications[CPU IKS libérable (vCPU)],TblApplications[Cluster IKS source],$F198,TblApplications[Action],"À décommissionner",TblApplications[Mois lib (calc)],"&lt;="&amp;$E198)))))</f>
        <v/>
      </c>
      <c r="Y198" s="14" t="str">
        <f aca="false">IF($D198&lt;&gt;1,"",IF($G198="ROKS",$S198,IF($AI198=1,0,MAX($O198,$M198-SUMIFS(TblApplications[RAM IKS libérable (Go)],TblApplications[Cluster IKS source],$F198,TblApplications[Action],"À migrer",TblApplications[Mois prov (calc)],"&lt;="&amp;$E198)-SUMIFS(TblApplications[RAM IKS libérable (Go)],TblApplications[Cluster IKS source],$F198,TblApplications[Action],"À décommissionner",TblApplications[Mois lib (calc)],"&lt;="&amp;$E198)))))</f>
        <v/>
      </c>
      <c r="Z198" s="14" t="str">
        <f aca="false">IF($D198&lt;&gt;1,"",IF($AI198=1,0,MAX($J198,ROUNDUP(MAX($X198/$H198,$Y198/$I198),0))))</f>
        <v/>
      </c>
      <c r="AA198" s="84" t="str">
        <f aca="false">IF($D198&lt;&gt;1,"",IF(p_mode="Nœud",$Z198*$K198,$X198*IF($G198="IKS",p_iks_cpu,p_roks_cpu)+$Y198*IF($G198="IKS",p_iks_ram,p_roks_ram))*p_facteur)</f>
        <v/>
      </c>
      <c r="AB198" s="14" t="str">
        <f aca="false">IF($D198&lt;&gt;1,"",MAX($J198,ROUNDUP(MAX($L198/$H198,$M198/$I198),0)))</f>
        <v/>
      </c>
      <c r="AC198" s="84" t="str">
        <f aca="false">IF($D198&lt;&gt;1,"",IF(p_mode="Nœud",$AB198*$K198,$L198*IF($G198="IKS",p_iks_cpu,p_roks_cpu)+$M198*IF($G198="IKS",p_iks_ram,p_roks_ram))*p_facteur)</f>
        <v/>
      </c>
      <c r="AD198" s="14" t="str">
        <f aca="false">IF($D198&lt;&gt;1,"",IF(AND($G198="IKS",$AI198&lt;&gt;1,OR($L198-$P198&lt;$N198,$M198-$Q198&lt;$O198)),1,0))</f>
        <v/>
      </c>
      <c r="AE198" s="14" t="str">
        <f aca="false">IF($D198&lt;&gt;1,"",IF(AND($G198="ROKS",$T198&gt;p_maxworkers),1,0))</f>
        <v/>
      </c>
      <c r="AF198" s="14" t="str">
        <f aca="false">IF($D198&lt;&gt;1,"",IF(INDEX(TblClusters[Environnement],$B198)="","(vide)",INDEX(TblClusters[Environnement],$B198)))</f>
        <v/>
      </c>
      <c r="AG198" s="14" t="str">
        <f aca="false">IF($D198&lt;&gt;1,"",$R198+p_poidsram*$S198)</f>
        <v/>
      </c>
      <c r="AH198" s="14" t="str">
        <f aca="false">IF($D198&lt;&gt;1,"",IFERROR($W198/$AG198,0))</f>
        <v/>
      </c>
      <c r="AI198" s="14" t="str">
        <f aca="false">IF($D198&lt;&gt;1,"",IF(AND($G198="IKS",ISNUMBER(INDEX(TblClusters[Fermeture retenue],$B198))),IF($E198&gt;=INDEX(TblClusters[Fermeture retenue],$B198),1,0),0))</f>
        <v/>
      </c>
    </row>
    <row r="199" customFormat="false" ht="15" hidden="false" customHeight="false" outlineLevel="0" collapsed="false">
      <c r="A199" s="14" t="n">
        <v>194</v>
      </c>
      <c r="B199" s="14" t="n">
        <f aca="false">INT(($A199-1)/36)+1</f>
        <v>6</v>
      </c>
      <c r="C199" s="14" t="n">
        <f aca="false">MOD($A199-1,36)+1</f>
        <v>14</v>
      </c>
      <c r="D199" s="14" t="n">
        <f aca="false">IF($C199&gt;p_horizon,0,IFERROR(IF(AND(INDEX(TblClusters[Cluster],$B199)&lt;&gt;"",ISNUMBER(INDEX(TblClusters[CPU initial (vCPU)],$B199)),ISNUMBER(INDEX(TblClusters[CPU min (vCPU)],$B199)),OR(INDEX(TblClusters[Plateforme],$B199)="IKS",INDEX(TblClusters[Plateforme],$B199)="ROKS")),1,0),0))</f>
        <v>0</v>
      </c>
      <c r="E199" s="83" t="str">
        <f aca="false">IF($D199=1,EDATE(p_debut,$C199-1),"")</f>
        <v/>
      </c>
      <c r="F199" s="14" t="str">
        <f aca="false">IF($D199=1,INDEX(TblClusters[Cluster],$B199),"")</f>
        <v/>
      </c>
      <c r="G199" s="14" t="str">
        <f aca="false">IF($D199=1,INDEX(TblClusters[Plateforme],$B199),"")</f>
        <v/>
      </c>
      <c r="H199" s="14" t="str">
        <f aca="false">IF($D199=1,INDEX(TblClusters[vCPU par nœud],$B199),"")</f>
        <v/>
      </c>
      <c r="I199" s="14" t="str">
        <f aca="false">IF($D199=1,INDEX(TblClusters[RAM par nœud (Go)],$B199),"")</f>
        <v/>
      </c>
      <c r="J199" s="14" t="str">
        <f aca="false">IF($D199=1,INDEX(TblClusters[Workers min],$B199),"")</f>
        <v/>
      </c>
      <c r="K199" s="84" t="str">
        <f aca="false">IF($D199=1,INDEX(TblClusters[Tarif par nœud],$B199),"")</f>
        <v/>
      </c>
      <c r="L199" s="14" t="str">
        <f aca="false">IF($D199=1,INDEX(TblClusters[CPU initial (vCPU)],$B199),"")</f>
        <v/>
      </c>
      <c r="M199" s="14" t="str">
        <f aca="false">IF($D199=1,INDEX(TblClusters[RAM initiale (Go)],$B199),"")</f>
        <v/>
      </c>
      <c r="N199" s="14" t="str">
        <f aca="false">IF($D199=1,INDEX(TblClusters[CPU min (vCPU)],$B199),"")</f>
        <v/>
      </c>
      <c r="O199" s="14" t="str">
        <f aca="false">IF($D199=1,INDEX(TblClusters[RAM min (Go)],$B199),"")</f>
        <v/>
      </c>
      <c r="P199" s="14" t="str">
        <f aca="false">IF($D199&lt;&gt;1,"",IF($G199="ROKS",SUMIFS(TblApplications[Besoin ROKS CPU (vCPU)],TblApplications[Cluster ROKS cible],$F199,TblApplications[Action],"À migrer",TblApplications[Déjà incluse ROKS],"Non",TblApplications[Mois prov (calc)],"&lt;="&amp;$E199),SUMIFS(TblApplications[CPU IKS libérable (vCPU)],TblApplications[Cluster IKS source],$F199,TblApplications[Mois lib (calc)],"&lt;="&amp;$E199)))</f>
        <v/>
      </c>
      <c r="Q199" s="14" t="str">
        <f aca="false">IF($D199&lt;&gt;1,"",IF($G199="ROKS",SUMIFS(TblApplications[Besoin ROKS RAM (Go)],TblApplications[Cluster ROKS cible],$F199,TblApplications[Action],"À migrer",TblApplications[Déjà incluse ROKS],"Non",TblApplications[Mois prov (calc)],"&lt;="&amp;$E199),SUMIFS(TblApplications[RAM IKS libérable (Go)],TblApplications[Cluster IKS source],$F199,TblApplications[Mois lib (calc)],"&lt;="&amp;$E199)))</f>
        <v/>
      </c>
      <c r="R199" s="14" t="str">
        <f aca="false">IF($D199&lt;&gt;1,"",IF($G199="ROKS",$L199+$P199,IF($AI199=1,0,MAX($N199,$L199-$P199))))</f>
        <v/>
      </c>
      <c r="S199" s="14" t="str">
        <f aca="false">IF($D199&lt;&gt;1,"",IF($G199="ROKS",$M199+$Q199,IF($AI199=1,0,MAX($O199,$M199-$Q199))))</f>
        <v/>
      </c>
      <c r="T199" s="14" t="str">
        <f aca="false">IF($D199&lt;&gt;1,"",IF($AI199=1,0,MAX($J199,ROUNDUP(MAX($R199/$H199,$S199/$I199),0))))</f>
        <v/>
      </c>
      <c r="U199" s="14" t="str">
        <f aca="false">IF($D199&lt;&gt;1,"",IF(p_mode="Nœud",$T199*$H199,$R199))</f>
        <v/>
      </c>
      <c r="V199" s="14" t="str">
        <f aca="false">IF($D199&lt;&gt;1,"",IF(p_mode="Nœud",$T199*$I199,$S199))</f>
        <v/>
      </c>
      <c r="W199" s="84" t="str">
        <f aca="false">IF($D199&lt;&gt;1,"",IF(p_mode="Nœud",$T199*$K199,$R199*IF($G199="IKS",p_iks_cpu,p_roks_cpu)+$S199*IF($G199="IKS",p_iks_ram,p_roks_ram))*p_facteur)</f>
        <v/>
      </c>
      <c r="X199" s="14" t="str">
        <f aca="false">IF($D199&lt;&gt;1,"",IF($G199="ROKS",$R199,IF($AI199=1,0,MAX($N199,$L199-SUMIFS(TblApplications[CPU IKS libérable (vCPU)],TblApplications[Cluster IKS source],$F199,TblApplications[Action],"À migrer",TblApplications[Mois prov (calc)],"&lt;="&amp;$E199)-SUMIFS(TblApplications[CPU IKS libérable (vCPU)],TblApplications[Cluster IKS source],$F199,TblApplications[Action],"À décommissionner",TblApplications[Mois lib (calc)],"&lt;="&amp;$E199)))))</f>
        <v/>
      </c>
      <c r="Y199" s="14" t="str">
        <f aca="false">IF($D199&lt;&gt;1,"",IF($G199="ROKS",$S199,IF($AI199=1,0,MAX($O199,$M199-SUMIFS(TblApplications[RAM IKS libérable (Go)],TblApplications[Cluster IKS source],$F199,TblApplications[Action],"À migrer",TblApplications[Mois prov (calc)],"&lt;="&amp;$E199)-SUMIFS(TblApplications[RAM IKS libérable (Go)],TblApplications[Cluster IKS source],$F199,TblApplications[Action],"À décommissionner",TblApplications[Mois lib (calc)],"&lt;="&amp;$E199)))))</f>
        <v/>
      </c>
      <c r="Z199" s="14" t="str">
        <f aca="false">IF($D199&lt;&gt;1,"",IF($AI199=1,0,MAX($J199,ROUNDUP(MAX($X199/$H199,$Y199/$I199),0))))</f>
        <v/>
      </c>
      <c r="AA199" s="84" t="str">
        <f aca="false">IF($D199&lt;&gt;1,"",IF(p_mode="Nœud",$Z199*$K199,$X199*IF($G199="IKS",p_iks_cpu,p_roks_cpu)+$Y199*IF($G199="IKS",p_iks_ram,p_roks_ram))*p_facteur)</f>
        <v/>
      </c>
      <c r="AB199" s="14" t="str">
        <f aca="false">IF($D199&lt;&gt;1,"",MAX($J199,ROUNDUP(MAX($L199/$H199,$M199/$I199),0)))</f>
        <v/>
      </c>
      <c r="AC199" s="84" t="str">
        <f aca="false">IF($D199&lt;&gt;1,"",IF(p_mode="Nœud",$AB199*$K199,$L199*IF($G199="IKS",p_iks_cpu,p_roks_cpu)+$M199*IF($G199="IKS",p_iks_ram,p_roks_ram))*p_facteur)</f>
        <v/>
      </c>
      <c r="AD199" s="14" t="str">
        <f aca="false">IF($D199&lt;&gt;1,"",IF(AND($G199="IKS",$AI199&lt;&gt;1,OR($L199-$P199&lt;$N199,$M199-$Q199&lt;$O199)),1,0))</f>
        <v/>
      </c>
      <c r="AE199" s="14" t="str">
        <f aca="false">IF($D199&lt;&gt;1,"",IF(AND($G199="ROKS",$T199&gt;p_maxworkers),1,0))</f>
        <v/>
      </c>
      <c r="AF199" s="14" t="str">
        <f aca="false">IF($D199&lt;&gt;1,"",IF(INDEX(TblClusters[Environnement],$B199)="","(vide)",INDEX(TblClusters[Environnement],$B199)))</f>
        <v/>
      </c>
      <c r="AG199" s="14" t="str">
        <f aca="false">IF($D199&lt;&gt;1,"",$R199+p_poidsram*$S199)</f>
        <v/>
      </c>
      <c r="AH199" s="14" t="str">
        <f aca="false">IF($D199&lt;&gt;1,"",IFERROR($W199/$AG199,0))</f>
        <v/>
      </c>
      <c r="AI199" s="14" t="str">
        <f aca="false">IF($D199&lt;&gt;1,"",IF(AND($G199="IKS",ISNUMBER(INDEX(TblClusters[Fermeture retenue],$B199))),IF($E199&gt;=INDEX(TblClusters[Fermeture retenue],$B199),1,0),0))</f>
        <v/>
      </c>
    </row>
    <row r="200" customFormat="false" ht="15" hidden="false" customHeight="false" outlineLevel="0" collapsed="false">
      <c r="A200" s="14" t="n">
        <v>195</v>
      </c>
      <c r="B200" s="14" t="n">
        <f aca="false">INT(($A200-1)/36)+1</f>
        <v>6</v>
      </c>
      <c r="C200" s="14" t="n">
        <f aca="false">MOD($A200-1,36)+1</f>
        <v>15</v>
      </c>
      <c r="D200" s="14" t="n">
        <f aca="false">IF($C200&gt;p_horizon,0,IFERROR(IF(AND(INDEX(TblClusters[Cluster],$B200)&lt;&gt;"",ISNUMBER(INDEX(TblClusters[CPU initial (vCPU)],$B200)),ISNUMBER(INDEX(TblClusters[CPU min (vCPU)],$B200)),OR(INDEX(TblClusters[Plateforme],$B200)="IKS",INDEX(TblClusters[Plateforme],$B200)="ROKS")),1,0),0))</f>
        <v>0</v>
      </c>
      <c r="E200" s="83" t="str">
        <f aca="false">IF($D200=1,EDATE(p_debut,$C200-1),"")</f>
        <v/>
      </c>
      <c r="F200" s="14" t="str">
        <f aca="false">IF($D200=1,INDEX(TblClusters[Cluster],$B200),"")</f>
        <v/>
      </c>
      <c r="G200" s="14" t="str">
        <f aca="false">IF($D200=1,INDEX(TblClusters[Plateforme],$B200),"")</f>
        <v/>
      </c>
      <c r="H200" s="14" t="str">
        <f aca="false">IF($D200=1,INDEX(TblClusters[vCPU par nœud],$B200),"")</f>
        <v/>
      </c>
      <c r="I200" s="14" t="str">
        <f aca="false">IF($D200=1,INDEX(TblClusters[RAM par nœud (Go)],$B200),"")</f>
        <v/>
      </c>
      <c r="J200" s="14" t="str">
        <f aca="false">IF($D200=1,INDEX(TblClusters[Workers min],$B200),"")</f>
        <v/>
      </c>
      <c r="K200" s="84" t="str">
        <f aca="false">IF($D200=1,INDEX(TblClusters[Tarif par nœud],$B200),"")</f>
        <v/>
      </c>
      <c r="L200" s="14" t="str">
        <f aca="false">IF($D200=1,INDEX(TblClusters[CPU initial (vCPU)],$B200),"")</f>
        <v/>
      </c>
      <c r="M200" s="14" t="str">
        <f aca="false">IF($D200=1,INDEX(TblClusters[RAM initiale (Go)],$B200),"")</f>
        <v/>
      </c>
      <c r="N200" s="14" t="str">
        <f aca="false">IF($D200=1,INDEX(TblClusters[CPU min (vCPU)],$B200),"")</f>
        <v/>
      </c>
      <c r="O200" s="14" t="str">
        <f aca="false">IF($D200=1,INDEX(TblClusters[RAM min (Go)],$B200),"")</f>
        <v/>
      </c>
      <c r="P200" s="14" t="str">
        <f aca="false">IF($D200&lt;&gt;1,"",IF($G200="ROKS",SUMIFS(TblApplications[Besoin ROKS CPU (vCPU)],TblApplications[Cluster ROKS cible],$F200,TblApplications[Action],"À migrer",TblApplications[Déjà incluse ROKS],"Non",TblApplications[Mois prov (calc)],"&lt;="&amp;$E200),SUMIFS(TblApplications[CPU IKS libérable (vCPU)],TblApplications[Cluster IKS source],$F200,TblApplications[Mois lib (calc)],"&lt;="&amp;$E200)))</f>
        <v/>
      </c>
      <c r="Q200" s="14" t="str">
        <f aca="false">IF($D200&lt;&gt;1,"",IF($G200="ROKS",SUMIFS(TblApplications[Besoin ROKS RAM (Go)],TblApplications[Cluster ROKS cible],$F200,TblApplications[Action],"À migrer",TblApplications[Déjà incluse ROKS],"Non",TblApplications[Mois prov (calc)],"&lt;="&amp;$E200),SUMIFS(TblApplications[RAM IKS libérable (Go)],TblApplications[Cluster IKS source],$F200,TblApplications[Mois lib (calc)],"&lt;="&amp;$E200)))</f>
        <v/>
      </c>
      <c r="R200" s="14" t="str">
        <f aca="false">IF($D200&lt;&gt;1,"",IF($G200="ROKS",$L200+$P200,IF($AI200=1,0,MAX($N200,$L200-$P200))))</f>
        <v/>
      </c>
      <c r="S200" s="14" t="str">
        <f aca="false">IF($D200&lt;&gt;1,"",IF($G200="ROKS",$M200+$Q200,IF($AI200=1,0,MAX($O200,$M200-$Q200))))</f>
        <v/>
      </c>
      <c r="T200" s="14" t="str">
        <f aca="false">IF($D200&lt;&gt;1,"",IF($AI200=1,0,MAX($J200,ROUNDUP(MAX($R200/$H200,$S200/$I200),0))))</f>
        <v/>
      </c>
      <c r="U200" s="14" t="str">
        <f aca="false">IF($D200&lt;&gt;1,"",IF(p_mode="Nœud",$T200*$H200,$R200))</f>
        <v/>
      </c>
      <c r="V200" s="14" t="str">
        <f aca="false">IF($D200&lt;&gt;1,"",IF(p_mode="Nœud",$T200*$I200,$S200))</f>
        <v/>
      </c>
      <c r="W200" s="84" t="str">
        <f aca="false">IF($D200&lt;&gt;1,"",IF(p_mode="Nœud",$T200*$K200,$R200*IF($G200="IKS",p_iks_cpu,p_roks_cpu)+$S200*IF($G200="IKS",p_iks_ram,p_roks_ram))*p_facteur)</f>
        <v/>
      </c>
      <c r="X200" s="14" t="str">
        <f aca="false">IF($D200&lt;&gt;1,"",IF($G200="ROKS",$R200,IF($AI200=1,0,MAX($N200,$L200-SUMIFS(TblApplications[CPU IKS libérable (vCPU)],TblApplications[Cluster IKS source],$F200,TblApplications[Action],"À migrer",TblApplications[Mois prov (calc)],"&lt;="&amp;$E200)-SUMIFS(TblApplications[CPU IKS libérable (vCPU)],TblApplications[Cluster IKS source],$F200,TblApplications[Action],"À décommissionner",TblApplications[Mois lib (calc)],"&lt;="&amp;$E200)))))</f>
        <v/>
      </c>
      <c r="Y200" s="14" t="str">
        <f aca="false">IF($D200&lt;&gt;1,"",IF($G200="ROKS",$S200,IF($AI200=1,0,MAX($O200,$M200-SUMIFS(TblApplications[RAM IKS libérable (Go)],TblApplications[Cluster IKS source],$F200,TblApplications[Action],"À migrer",TblApplications[Mois prov (calc)],"&lt;="&amp;$E200)-SUMIFS(TblApplications[RAM IKS libérable (Go)],TblApplications[Cluster IKS source],$F200,TblApplications[Action],"À décommissionner",TblApplications[Mois lib (calc)],"&lt;="&amp;$E200)))))</f>
        <v/>
      </c>
      <c r="Z200" s="14" t="str">
        <f aca="false">IF($D200&lt;&gt;1,"",IF($AI200=1,0,MAX($J200,ROUNDUP(MAX($X200/$H200,$Y200/$I200),0))))</f>
        <v/>
      </c>
      <c r="AA200" s="84" t="str">
        <f aca="false">IF($D200&lt;&gt;1,"",IF(p_mode="Nœud",$Z200*$K200,$X200*IF($G200="IKS",p_iks_cpu,p_roks_cpu)+$Y200*IF($G200="IKS",p_iks_ram,p_roks_ram))*p_facteur)</f>
        <v/>
      </c>
      <c r="AB200" s="14" t="str">
        <f aca="false">IF($D200&lt;&gt;1,"",MAX($J200,ROUNDUP(MAX($L200/$H200,$M200/$I200),0)))</f>
        <v/>
      </c>
      <c r="AC200" s="84" t="str">
        <f aca="false">IF($D200&lt;&gt;1,"",IF(p_mode="Nœud",$AB200*$K200,$L200*IF($G200="IKS",p_iks_cpu,p_roks_cpu)+$M200*IF($G200="IKS",p_iks_ram,p_roks_ram))*p_facteur)</f>
        <v/>
      </c>
      <c r="AD200" s="14" t="str">
        <f aca="false">IF($D200&lt;&gt;1,"",IF(AND($G200="IKS",$AI200&lt;&gt;1,OR($L200-$P200&lt;$N200,$M200-$Q200&lt;$O200)),1,0))</f>
        <v/>
      </c>
      <c r="AE200" s="14" t="str">
        <f aca="false">IF($D200&lt;&gt;1,"",IF(AND($G200="ROKS",$T200&gt;p_maxworkers),1,0))</f>
        <v/>
      </c>
      <c r="AF200" s="14" t="str">
        <f aca="false">IF($D200&lt;&gt;1,"",IF(INDEX(TblClusters[Environnement],$B200)="","(vide)",INDEX(TblClusters[Environnement],$B200)))</f>
        <v/>
      </c>
      <c r="AG200" s="14" t="str">
        <f aca="false">IF($D200&lt;&gt;1,"",$R200+p_poidsram*$S200)</f>
        <v/>
      </c>
      <c r="AH200" s="14" t="str">
        <f aca="false">IF($D200&lt;&gt;1,"",IFERROR($W200/$AG200,0))</f>
        <v/>
      </c>
      <c r="AI200" s="14" t="str">
        <f aca="false">IF($D200&lt;&gt;1,"",IF(AND($G200="IKS",ISNUMBER(INDEX(TblClusters[Fermeture retenue],$B200))),IF($E200&gt;=INDEX(TblClusters[Fermeture retenue],$B200),1,0),0))</f>
        <v/>
      </c>
    </row>
    <row r="201" customFormat="false" ht="15" hidden="false" customHeight="false" outlineLevel="0" collapsed="false">
      <c r="A201" s="14" t="n">
        <v>196</v>
      </c>
      <c r="B201" s="14" t="n">
        <f aca="false">INT(($A201-1)/36)+1</f>
        <v>6</v>
      </c>
      <c r="C201" s="14" t="n">
        <f aca="false">MOD($A201-1,36)+1</f>
        <v>16</v>
      </c>
      <c r="D201" s="14" t="n">
        <f aca="false">IF($C201&gt;p_horizon,0,IFERROR(IF(AND(INDEX(TblClusters[Cluster],$B201)&lt;&gt;"",ISNUMBER(INDEX(TblClusters[CPU initial (vCPU)],$B201)),ISNUMBER(INDEX(TblClusters[CPU min (vCPU)],$B201)),OR(INDEX(TblClusters[Plateforme],$B201)="IKS",INDEX(TblClusters[Plateforme],$B201)="ROKS")),1,0),0))</f>
        <v>0</v>
      </c>
      <c r="E201" s="83" t="str">
        <f aca="false">IF($D201=1,EDATE(p_debut,$C201-1),"")</f>
        <v/>
      </c>
      <c r="F201" s="14" t="str">
        <f aca="false">IF($D201=1,INDEX(TblClusters[Cluster],$B201),"")</f>
        <v/>
      </c>
      <c r="G201" s="14" t="str">
        <f aca="false">IF($D201=1,INDEX(TblClusters[Plateforme],$B201),"")</f>
        <v/>
      </c>
      <c r="H201" s="14" t="str">
        <f aca="false">IF($D201=1,INDEX(TblClusters[vCPU par nœud],$B201),"")</f>
        <v/>
      </c>
      <c r="I201" s="14" t="str">
        <f aca="false">IF($D201=1,INDEX(TblClusters[RAM par nœud (Go)],$B201),"")</f>
        <v/>
      </c>
      <c r="J201" s="14" t="str">
        <f aca="false">IF($D201=1,INDEX(TblClusters[Workers min],$B201),"")</f>
        <v/>
      </c>
      <c r="K201" s="84" t="str">
        <f aca="false">IF($D201=1,INDEX(TblClusters[Tarif par nœud],$B201),"")</f>
        <v/>
      </c>
      <c r="L201" s="14" t="str">
        <f aca="false">IF($D201=1,INDEX(TblClusters[CPU initial (vCPU)],$B201),"")</f>
        <v/>
      </c>
      <c r="M201" s="14" t="str">
        <f aca="false">IF($D201=1,INDEX(TblClusters[RAM initiale (Go)],$B201),"")</f>
        <v/>
      </c>
      <c r="N201" s="14" t="str">
        <f aca="false">IF($D201=1,INDEX(TblClusters[CPU min (vCPU)],$B201),"")</f>
        <v/>
      </c>
      <c r="O201" s="14" t="str">
        <f aca="false">IF($D201=1,INDEX(TblClusters[RAM min (Go)],$B201),"")</f>
        <v/>
      </c>
      <c r="P201" s="14" t="str">
        <f aca="false">IF($D201&lt;&gt;1,"",IF($G201="ROKS",SUMIFS(TblApplications[Besoin ROKS CPU (vCPU)],TblApplications[Cluster ROKS cible],$F201,TblApplications[Action],"À migrer",TblApplications[Déjà incluse ROKS],"Non",TblApplications[Mois prov (calc)],"&lt;="&amp;$E201),SUMIFS(TblApplications[CPU IKS libérable (vCPU)],TblApplications[Cluster IKS source],$F201,TblApplications[Mois lib (calc)],"&lt;="&amp;$E201)))</f>
        <v/>
      </c>
      <c r="Q201" s="14" t="str">
        <f aca="false">IF($D201&lt;&gt;1,"",IF($G201="ROKS",SUMIFS(TblApplications[Besoin ROKS RAM (Go)],TblApplications[Cluster ROKS cible],$F201,TblApplications[Action],"À migrer",TblApplications[Déjà incluse ROKS],"Non",TblApplications[Mois prov (calc)],"&lt;="&amp;$E201),SUMIFS(TblApplications[RAM IKS libérable (Go)],TblApplications[Cluster IKS source],$F201,TblApplications[Mois lib (calc)],"&lt;="&amp;$E201)))</f>
        <v/>
      </c>
      <c r="R201" s="14" t="str">
        <f aca="false">IF($D201&lt;&gt;1,"",IF($G201="ROKS",$L201+$P201,IF($AI201=1,0,MAX($N201,$L201-$P201))))</f>
        <v/>
      </c>
      <c r="S201" s="14" t="str">
        <f aca="false">IF($D201&lt;&gt;1,"",IF($G201="ROKS",$M201+$Q201,IF($AI201=1,0,MAX($O201,$M201-$Q201))))</f>
        <v/>
      </c>
      <c r="T201" s="14" t="str">
        <f aca="false">IF($D201&lt;&gt;1,"",IF($AI201=1,0,MAX($J201,ROUNDUP(MAX($R201/$H201,$S201/$I201),0))))</f>
        <v/>
      </c>
      <c r="U201" s="14" t="str">
        <f aca="false">IF($D201&lt;&gt;1,"",IF(p_mode="Nœud",$T201*$H201,$R201))</f>
        <v/>
      </c>
      <c r="V201" s="14" t="str">
        <f aca="false">IF($D201&lt;&gt;1,"",IF(p_mode="Nœud",$T201*$I201,$S201))</f>
        <v/>
      </c>
      <c r="W201" s="84" t="str">
        <f aca="false">IF($D201&lt;&gt;1,"",IF(p_mode="Nœud",$T201*$K201,$R201*IF($G201="IKS",p_iks_cpu,p_roks_cpu)+$S201*IF($G201="IKS",p_iks_ram,p_roks_ram))*p_facteur)</f>
        <v/>
      </c>
      <c r="X201" s="14" t="str">
        <f aca="false">IF($D201&lt;&gt;1,"",IF($G201="ROKS",$R201,IF($AI201=1,0,MAX($N201,$L201-SUMIFS(TblApplications[CPU IKS libérable (vCPU)],TblApplications[Cluster IKS source],$F201,TblApplications[Action],"À migrer",TblApplications[Mois prov (calc)],"&lt;="&amp;$E201)-SUMIFS(TblApplications[CPU IKS libérable (vCPU)],TblApplications[Cluster IKS source],$F201,TblApplications[Action],"À décommissionner",TblApplications[Mois lib (calc)],"&lt;="&amp;$E201)))))</f>
        <v/>
      </c>
      <c r="Y201" s="14" t="str">
        <f aca="false">IF($D201&lt;&gt;1,"",IF($G201="ROKS",$S201,IF($AI201=1,0,MAX($O201,$M201-SUMIFS(TblApplications[RAM IKS libérable (Go)],TblApplications[Cluster IKS source],$F201,TblApplications[Action],"À migrer",TblApplications[Mois prov (calc)],"&lt;="&amp;$E201)-SUMIFS(TblApplications[RAM IKS libérable (Go)],TblApplications[Cluster IKS source],$F201,TblApplications[Action],"À décommissionner",TblApplications[Mois lib (calc)],"&lt;="&amp;$E201)))))</f>
        <v/>
      </c>
      <c r="Z201" s="14" t="str">
        <f aca="false">IF($D201&lt;&gt;1,"",IF($AI201=1,0,MAX($J201,ROUNDUP(MAX($X201/$H201,$Y201/$I201),0))))</f>
        <v/>
      </c>
      <c r="AA201" s="84" t="str">
        <f aca="false">IF($D201&lt;&gt;1,"",IF(p_mode="Nœud",$Z201*$K201,$X201*IF($G201="IKS",p_iks_cpu,p_roks_cpu)+$Y201*IF($G201="IKS",p_iks_ram,p_roks_ram))*p_facteur)</f>
        <v/>
      </c>
      <c r="AB201" s="14" t="str">
        <f aca="false">IF($D201&lt;&gt;1,"",MAX($J201,ROUNDUP(MAX($L201/$H201,$M201/$I201),0)))</f>
        <v/>
      </c>
      <c r="AC201" s="84" t="str">
        <f aca="false">IF($D201&lt;&gt;1,"",IF(p_mode="Nœud",$AB201*$K201,$L201*IF($G201="IKS",p_iks_cpu,p_roks_cpu)+$M201*IF($G201="IKS",p_iks_ram,p_roks_ram))*p_facteur)</f>
        <v/>
      </c>
      <c r="AD201" s="14" t="str">
        <f aca="false">IF($D201&lt;&gt;1,"",IF(AND($G201="IKS",$AI201&lt;&gt;1,OR($L201-$P201&lt;$N201,$M201-$Q201&lt;$O201)),1,0))</f>
        <v/>
      </c>
      <c r="AE201" s="14" t="str">
        <f aca="false">IF($D201&lt;&gt;1,"",IF(AND($G201="ROKS",$T201&gt;p_maxworkers),1,0))</f>
        <v/>
      </c>
      <c r="AF201" s="14" t="str">
        <f aca="false">IF($D201&lt;&gt;1,"",IF(INDEX(TblClusters[Environnement],$B201)="","(vide)",INDEX(TblClusters[Environnement],$B201)))</f>
        <v/>
      </c>
      <c r="AG201" s="14" t="str">
        <f aca="false">IF($D201&lt;&gt;1,"",$R201+p_poidsram*$S201)</f>
        <v/>
      </c>
      <c r="AH201" s="14" t="str">
        <f aca="false">IF($D201&lt;&gt;1,"",IFERROR($W201/$AG201,0))</f>
        <v/>
      </c>
      <c r="AI201" s="14" t="str">
        <f aca="false">IF($D201&lt;&gt;1,"",IF(AND($G201="IKS",ISNUMBER(INDEX(TblClusters[Fermeture retenue],$B201))),IF($E201&gt;=INDEX(TblClusters[Fermeture retenue],$B201),1,0),0))</f>
        <v/>
      </c>
    </row>
    <row r="202" customFormat="false" ht="15" hidden="false" customHeight="false" outlineLevel="0" collapsed="false">
      <c r="A202" s="14" t="n">
        <v>197</v>
      </c>
      <c r="B202" s="14" t="n">
        <f aca="false">INT(($A202-1)/36)+1</f>
        <v>6</v>
      </c>
      <c r="C202" s="14" t="n">
        <f aca="false">MOD($A202-1,36)+1</f>
        <v>17</v>
      </c>
      <c r="D202" s="14" t="n">
        <f aca="false">IF($C202&gt;p_horizon,0,IFERROR(IF(AND(INDEX(TblClusters[Cluster],$B202)&lt;&gt;"",ISNUMBER(INDEX(TblClusters[CPU initial (vCPU)],$B202)),ISNUMBER(INDEX(TblClusters[CPU min (vCPU)],$B202)),OR(INDEX(TblClusters[Plateforme],$B202)="IKS",INDEX(TblClusters[Plateforme],$B202)="ROKS")),1,0),0))</f>
        <v>0</v>
      </c>
      <c r="E202" s="83" t="str">
        <f aca="false">IF($D202=1,EDATE(p_debut,$C202-1),"")</f>
        <v/>
      </c>
      <c r="F202" s="14" t="str">
        <f aca="false">IF($D202=1,INDEX(TblClusters[Cluster],$B202),"")</f>
        <v/>
      </c>
      <c r="G202" s="14" t="str">
        <f aca="false">IF($D202=1,INDEX(TblClusters[Plateforme],$B202),"")</f>
        <v/>
      </c>
      <c r="H202" s="14" t="str">
        <f aca="false">IF($D202=1,INDEX(TblClusters[vCPU par nœud],$B202),"")</f>
        <v/>
      </c>
      <c r="I202" s="14" t="str">
        <f aca="false">IF($D202=1,INDEX(TblClusters[RAM par nœud (Go)],$B202),"")</f>
        <v/>
      </c>
      <c r="J202" s="14" t="str">
        <f aca="false">IF($D202=1,INDEX(TblClusters[Workers min],$B202),"")</f>
        <v/>
      </c>
      <c r="K202" s="84" t="str">
        <f aca="false">IF($D202=1,INDEX(TblClusters[Tarif par nœud],$B202),"")</f>
        <v/>
      </c>
      <c r="L202" s="14" t="str">
        <f aca="false">IF($D202=1,INDEX(TblClusters[CPU initial (vCPU)],$B202),"")</f>
        <v/>
      </c>
      <c r="M202" s="14" t="str">
        <f aca="false">IF($D202=1,INDEX(TblClusters[RAM initiale (Go)],$B202),"")</f>
        <v/>
      </c>
      <c r="N202" s="14" t="str">
        <f aca="false">IF($D202=1,INDEX(TblClusters[CPU min (vCPU)],$B202),"")</f>
        <v/>
      </c>
      <c r="O202" s="14" t="str">
        <f aca="false">IF($D202=1,INDEX(TblClusters[RAM min (Go)],$B202),"")</f>
        <v/>
      </c>
      <c r="P202" s="14" t="str">
        <f aca="false">IF($D202&lt;&gt;1,"",IF($G202="ROKS",SUMIFS(TblApplications[Besoin ROKS CPU (vCPU)],TblApplications[Cluster ROKS cible],$F202,TblApplications[Action],"À migrer",TblApplications[Déjà incluse ROKS],"Non",TblApplications[Mois prov (calc)],"&lt;="&amp;$E202),SUMIFS(TblApplications[CPU IKS libérable (vCPU)],TblApplications[Cluster IKS source],$F202,TblApplications[Mois lib (calc)],"&lt;="&amp;$E202)))</f>
        <v/>
      </c>
      <c r="Q202" s="14" t="str">
        <f aca="false">IF($D202&lt;&gt;1,"",IF($G202="ROKS",SUMIFS(TblApplications[Besoin ROKS RAM (Go)],TblApplications[Cluster ROKS cible],$F202,TblApplications[Action],"À migrer",TblApplications[Déjà incluse ROKS],"Non",TblApplications[Mois prov (calc)],"&lt;="&amp;$E202),SUMIFS(TblApplications[RAM IKS libérable (Go)],TblApplications[Cluster IKS source],$F202,TblApplications[Mois lib (calc)],"&lt;="&amp;$E202)))</f>
        <v/>
      </c>
      <c r="R202" s="14" t="str">
        <f aca="false">IF($D202&lt;&gt;1,"",IF($G202="ROKS",$L202+$P202,IF($AI202=1,0,MAX($N202,$L202-$P202))))</f>
        <v/>
      </c>
      <c r="S202" s="14" t="str">
        <f aca="false">IF($D202&lt;&gt;1,"",IF($G202="ROKS",$M202+$Q202,IF($AI202=1,0,MAX($O202,$M202-$Q202))))</f>
        <v/>
      </c>
      <c r="T202" s="14" t="str">
        <f aca="false">IF($D202&lt;&gt;1,"",IF($AI202=1,0,MAX($J202,ROUNDUP(MAX($R202/$H202,$S202/$I202),0))))</f>
        <v/>
      </c>
      <c r="U202" s="14" t="str">
        <f aca="false">IF($D202&lt;&gt;1,"",IF(p_mode="Nœud",$T202*$H202,$R202))</f>
        <v/>
      </c>
      <c r="V202" s="14" t="str">
        <f aca="false">IF($D202&lt;&gt;1,"",IF(p_mode="Nœud",$T202*$I202,$S202))</f>
        <v/>
      </c>
      <c r="W202" s="84" t="str">
        <f aca="false">IF($D202&lt;&gt;1,"",IF(p_mode="Nœud",$T202*$K202,$R202*IF($G202="IKS",p_iks_cpu,p_roks_cpu)+$S202*IF($G202="IKS",p_iks_ram,p_roks_ram))*p_facteur)</f>
        <v/>
      </c>
      <c r="X202" s="14" t="str">
        <f aca="false">IF($D202&lt;&gt;1,"",IF($G202="ROKS",$R202,IF($AI202=1,0,MAX($N202,$L202-SUMIFS(TblApplications[CPU IKS libérable (vCPU)],TblApplications[Cluster IKS source],$F202,TblApplications[Action],"À migrer",TblApplications[Mois prov (calc)],"&lt;="&amp;$E202)-SUMIFS(TblApplications[CPU IKS libérable (vCPU)],TblApplications[Cluster IKS source],$F202,TblApplications[Action],"À décommissionner",TblApplications[Mois lib (calc)],"&lt;="&amp;$E202)))))</f>
        <v/>
      </c>
      <c r="Y202" s="14" t="str">
        <f aca="false">IF($D202&lt;&gt;1,"",IF($G202="ROKS",$S202,IF($AI202=1,0,MAX($O202,$M202-SUMIFS(TblApplications[RAM IKS libérable (Go)],TblApplications[Cluster IKS source],$F202,TblApplications[Action],"À migrer",TblApplications[Mois prov (calc)],"&lt;="&amp;$E202)-SUMIFS(TblApplications[RAM IKS libérable (Go)],TblApplications[Cluster IKS source],$F202,TblApplications[Action],"À décommissionner",TblApplications[Mois lib (calc)],"&lt;="&amp;$E202)))))</f>
        <v/>
      </c>
      <c r="Z202" s="14" t="str">
        <f aca="false">IF($D202&lt;&gt;1,"",IF($AI202=1,0,MAX($J202,ROUNDUP(MAX($X202/$H202,$Y202/$I202),0))))</f>
        <v/>
      </c>
      <c r="AA202" s="84" t="str">
        <f aca="false">IF($D202&lt;&gt;1,"",IF(p_mode="Nœud",$Z202*$K202,$X202*IF($G202="IKS",p_iks_cpu,p_roks_cpu)+$Y202*IF($G202="IKS",p_iks_ram,p_roks_ram))*p_facteur)</f>
        <v/>
      </c>
      <c r="AB202" s="14" t="str">
        <f aca="false">IF($D202&lt;&gt;1,"",MAX($J202,ROUNDUP(MAX($L202/$H202,$M202/$I202),0)))</f>
        <v/>
      </c>
      <c r="AC202" s="84" t="str">
        <f aca="false">IF($D202&lt;&gt;1,"",IF(p_mode="Nœud",$AB202*$K202,$L202*IF($G202="IKS",p_iks_cpu,p_roks_cpu)+$M202*IF($G202="IKS",p_iks_ram,p_roks_ram))*p_facteur)</f>
        <v/>
      </c>
      <c r="AD202" s="14" t="str">
        <f aca="false">IF($D202&lt;&gt;1,"",IF(AND($G202="IKS",$AI202&lt;&gt;1,OR($L202-$P202&lt;$N202,$M202-$Q202&lt;$O202)),1,0))</f>
        <v/>
      </c>
      <c r="AE202" s="14" t="str">
        <f aca="false">IF($D202&lt;&gt;1,"",IF(AND($G202="ROKS",$T202&gt;p_maxworkers),1,0))</f>
        <v/>
      </c>
      <c r="AF202" s="14" t="str">
        <f aca="false">IF($D202&lt;&gt;1,"",IF(INDEX(TblClusters[Environnement],$B202)="","(vide)",INDEX(TblClusters[Environnement],$B202)))</f>
        <v/>
      </c>
      <c r="AG202" s="14" t="str">
        <f aca="false">IF($D202&lt;&gt;1,"",$R202+p_poidsram*$S202)</f>
        <v/>
      </c>
      <c r="AH202" s="14" t="str">
        <f aca="false">IF($D202&lt;&gt;1,"",IFERROR($W202/$AG202,0))</f>
        <v/>
      </c>
      <c r="AI202" s="14" t="str">
        <f aca="false">IF($D202&lt;&gt;1,"",IF(AND($G202="IKS",ISNUMBER(INDEX(TblClusters[Fermeture retenue],$B202))),IF($E202&gt;=INDEX(TblClusters[Fermeture retenue],$B202),1,0),0))</f>
        <v/>
      </c>
    </row>
    <row r="203" customFormat="false" ht="15" hidden="false" customHeight="false" outlineLevel="0" collapsed="false">
      <c r="A203" s="14" t="n">
        <v>198</v>
      </c>
      <c r="B203" s="14" t="n">
        <f aca="false">INT(($A203-1)/36)+1</f>
        <v>6</v>
      </c>
      <c r="C203" s="14" t="n">
        <f aca="false">MOD($A203-1,36)+1</f>
        <v>18</v>
      </c>
      <c r="D203" s="14" t="n">
        <f aca="false">IF($C203&gt;p_horizon,0,IFERROR(IF(AND(INDEX(TblClusters[Cluster],$B203)&lt;&gt;"",ISNUMBER(INDEX(TblClusters[CPU initial (vCPU)],$B203)),ISNUMBER(INDEX(TblClusters[CPU min (vCPU)],$B203)),OR(INDEX(TblClusters[Plateforme],$B203)="IKS",INDEX(TblClusters[Plateforme],$B203)="ROKS")),1,0),0))</f>
        <v>0</v>
      </c>
      <c r="E203" s="83" t="str">
        <f aca="false">IF($D203=1,EDATE(p_debut,$C203-1),"")</f>
        <v/>
      </c>
      <c r="F203" s="14" t="str">
        <f aca="false">IF($D203=1,INDEX(TblClusters[Cluster],$B203),"")</f>
        <v/>
      </c>
      <c r="G203" s="14" t="str">
        <f aca="false">IF($D203=1,INDEX(TblClusters[Plateforme],$B203),"")</f>
        <v/>
      </c>
      <c r="H203" s="14" t="str">
        <f aca="false">IF($D203=1,INDEX(TblClusters[vCPU par nœud],$B203),"")</f>
        <v/>
      </c>
      <c r="I203" s="14" t="str">
        <f aca="false">IF($D203=1,INDEX(TblClusters[RAM par nœud (Go)],$B203),"")</f>
        <v/>
      </c>
      <c r="J203" s="14" t="str">
        <f aca="false">IF($D203=1,INDEX(TblClusters[Workers min],$B203),"")</f>
        <v/>
      </c>
      <c r="K203" s="84" t="str">
        <f aca="false">IF($D203=1,INDEX(TblClusters[Tarif par nœud],$B203),"")</f>
        <v/>
      </c>
      <c r="L203" s="14" t="str">
        <f aca="false">IF($D203=1,INDEX(TblClusters[CPU initial (vCPU)],$B203),"")</f>
        <v/>
      </c>
      <c r="M203" s="14" t="str">
        <f aca="false">IF($D203=1,INDEX(TblClusters[RAM initiale (Go)],$B203),"")</f>
        <v/>
      </c>
      <c r="N203" s="14" t="str">
        <f aca="false">IF($D203=1,INDEX(TblClusters[CPU min (vCPU)],$B203),"")</f>
        <v/>
      </c>
      <c r="O203" s="14" t="str">
        <f aca="false">IF($D203=1,INDEX(TblClusters[RAM min (Go)],$B203),"")</f>
        <v/>
      </c>
      <c r="P203" s="14" t="str">
        <f aca="false">IF($D203&lt;&gt;1,"",IF($G203="ROKS",SUMIFS(TblApplications[Besoin ROKS CPU (vCPU)],TblApplications[Cluster ROKS cible],$F203,TblApplications[Action],"À migrer",TblApplications[Déjà incluse ROKS],"Non",TblApplications[Mois prov (calc)],"&lt;="&amp;$E203),SUMIFS(TblApplications[CPU IKS libérable (vCPU)],TblApplications[Cluster IKS source],$F203,TblApplications[Mois lib (calc)],"&lt;="&amp;$E203)))</f>
        <v/>
      </c>
      <c r="Q203" s="14" t="str">
        <f aca="false">IF($D203&lt;&gt;1,"",IF($G203="ROKS",SUMIFS(TblApplications[Besoin ROKS RAM (Go)],TblApplications[Cluster ROKS cible],$F203,TblApplications[Action],"À migrer",TblApplications[Déjà incluse ROKS],"Non",TblApplications[Mois prov (calc)],"&lt;="&amp;$E203),SUMIFS(TblApplications[RAM IKS libérable (Go)],TblApplications[Cluster IKS source],$F203,TblApplications[Mois lib (calc)],"&lt;="&amp;$E203)))</f>
        <v/>
      </c>
      <c r="R203" s="14" t="str">
        <f aca="false">IF($D203&lt;&gt;1,"",IF($G203="ROKS",$L203+$P203,IF($AI203=1,0,MAX($N203,$L203-$P203))))</f>
        <v/>
      </c>
      <c r="S203" s="14" t="str">
        <f aca="false">IF($D203&lt;&gt;1,"",IF($G203="ROKS",$M203+$Q203,IF($AI203=1,0,MAX($O203,$M203-$Q203))))</f>
        <v/>
      </c>
      <c r="T203" s="14" t="str">
        <f aca="false">IF($D203&lt;&gt;1,"",IF($AI203=1,0,MAX($J203,ROUNDUP(MAX($R203/$H203,$S203/$I203),0))))</f>
        <v/>
      </c>
      <c r="U203" s="14" t="str">
        <f aca="false">IF($D203&lt;&gt;1,"",IF(p_mode="Nœud",$T203*$H203,$R203))</f>
        <v/>
      </c>
      <c r="V203" s="14" t="str">
        <f aca="false">IF($D203&lt;&gt;1,"",IF(p_mode="Nœud",$T203*$I203,$S203))</f>
        <v/>
      </c>
      <c r="W203" s="84" t="str">
        <f aca="false">IF($D203&lt;&gt;1,"",IF(p_mode="Nœud",$T203*$K203,$R203*IF($G203="IKS",p_iks_cpu,p_roks_cpu)+$S203*IF($G203="IKS",p_iks_ram,p_roks_ram))*p_facteur)</f>
        <v/>
      </c>
      <c r="X203" s="14" t="str">
        <f aca="false">IF($D203&lt;&gt;1,"",IF($G203="ROKS",$R203,IF($AI203=1,0,MAX($N203,$L203-SUMIFS(TblApplications[CPU IKS libérable (vCPU)],TblApplications[Cluster IKS source],$F203,TblApplications[Action],"À migrer",TblApplications[Mois prov (calc)],"&lt;="&amp;$E203)-SUMIFS(TblApplications[CPU IKS libérable (vCPU)],TblApplications[Cluster IKS source],$F203,TblApplications[Action],"À décommissionner",TblApplications[Mois lib (calc)],"&lt;="&amp;$E203)))))</f>
        <v/>
      </c>
      <c r="Y203" s="14" t="str">
        <f aca="false">IF($D203&lt;&gt;1,"",IF($G203="ROKS",$S203,IF($AI203=1,0,MAX($O203,$M203-SUMIFS(TblApplications[RAM IKS libérable (Go)],TblApplications[Cluster IKS source],$F203,TblApplications[Action],"À migrer",TblApplications[Mois prov (calc)],"&lt;="&amp;$E203)-SUMIFS(TblApplications[RAM IKS libérable (Go)],TblApplications[Cluster IKS source],$F203,TblApplications[Action],"À décommissionner",TblApplications[Mois lib (calc)],"&lt;="&amp;$E203)))))</f>
        <v/>
      </c>
      <c r="Z203" s="14" t="str">
        <f aca="false">IF($D203&lt;&gt;1,"",IF($AI203=1,0,MAX($J203,ROUNDUP(MAX($X203/$H203,$Y203/$I203),0))))</f>
        <v/>
      </c>
      <c r="AA203" s="84" t="str">
        <f aca="false">IF($D203&lt;&gt;1,"",IF(p_mode="Nœud",$Z203*$K203,$X203*IF($G203="IKS",p_iks_cpu,p_roks_cpu)+$Y203*IF($G203="IKS",p_iks_ram,p_roks_ram))*p_facteur)</f>
        <v/>
      </c>
      <c r="AB203" s="14" t="str">
        <f aca="false">IF($D203&lt;&gt;1,"",MAX($J203,ROUNDUP(MAX($L203/$H203,$M203/$I203),0)))</f>
        <v/>
      </c>
      <c r="AC203" s="84" t="str">
        <f aca="false">IF($D203&lt;&gt;1,"",IF(p_mode="Nœud",$AB203*$K203,$L203*IF($G203="IKS",p_iks_cpu,p_roks_cpu)+$M203*IF($G203="IKS",p_iks_ram,p_roks_ram))*p_facteur)</f>
        <v/>
      </c>
      <c r="AD203" s="14" t="str">
        <f aca="false">IF($D203&lt;&gt;1,"",IF(AND($G203="IKS",$AI203&lt;&gt;1,OR($L203-$P203&lt;$N203,$M203-$Q203&lt;$O203)),1,0))</f>
        <v/>
      </c>
      <c r="AE203" s="14" t="str">
        <f aca="false">IF($D203&lt;&gt;1,"",IF(AND($G203="ROKS",$T203&gt;p_maxworkers),1,0))</f>
        <v/>
      </c>
      <c r="AF203" s="14" t="str">
        <f aca="false">IF($D203&lt;&gt;1,"",IF(INDEX(TblClusters[Environnement],$B203)="","(vide)",INDEX(TblClusters[Environnement],$B203)))</f>
        <v/>
      </c>
      <c r="AG203" s="14" t="str">
        <f aca="false">IF($D203&lt;&gt;1,"",$R203+p_poidsram*$S203)</f>
        <v/>
      </c>
      <c r="AH203" s="14" t="str">
        <f aca="false">IF($D203&lt;&gt;1,"",IFERROR($W203/$AG203,0))</f>
        <v/>
      </c>
      <c r="AI203" s="14" t="str">
        <f aca="false">IF($D203&lt;&gt;1,"",IF(AND($G203="IKS",ISNUMBER(INDEX(TblClusters[Fermeture retenue],$B203))),IF($E203&gt;=INDEX(TblClusters[Fermeture retenue],$B203),1,0),0))</f>
        <v/>
      </c>
    </row>
    <row r="204" customFormat="false" ht="15" hidden="false" customHeight="false" outlineLevel="0" collapsed="false">
      <c r="A204" s="14" t="n">
        <v>199</v>
      </c>
      <c r="B204" s="14" t="n">
        <f aca="false">INT(($A204-1)/36)+1</f>
        <v>6</v>
      </c>
      <c r="C204" s="14" t="n">
        <f aca="false">MOD($A204-1,36)+1</f>
        <v>19</v>
      </c>
      <c r="D204" s="14" t="n">
        <f aca="false">IF($C204&gt;p_horizon,0,IFERROR(IF(AND(INDEX(TblClusters[Cluster],$B204)&lt;&gt;"",ISNUMBER(INDEX(TblClusters[CPU initial (vCPU)],$B204)),ISNUMBER(INDEX(TblClusters[CPU min (vCPU)],$B204)),OR(INDEX(TblClusters[Plateforme],$B204)="IKS",INDEX(TblClusters[Plateforme],$B204)="ROKS")),1,0),0))</f>
        <v>0</v>
      </c>
      <c r="E204" s="83" t="str">
        <f aca="false">IF($D204=1,EDATE(p_debut,$C204-1),"")</f>
        <v/>
      </c>
      <c r="F204" s="14" t="str">
        <f aca="false">IF($D204=1,INDEX(TblClusters[Cluster],$B204),"")</f>
        <v/>
      </c>
      <c r="G204" s="14" t="str">
        <f aca="false">IF($D204=1,INDEX(TblClusters[Plateforme],$B204),"")</f>
        <v/>
      </c>
      <c r="H204" s="14" t="str">
        <f aca="false">IF($D204=1,INDEX(TblClusters[vCPU par nœud],$B204),"")</f>
        <v/>
      </c>
      <c r="I204" s="14" t="str">
        <f aca="false">IF($D204=1,INDEX(TblClusters[RAM par nœud (Go)],$B204),"")</f>
        <v/>
      </c>
      <c r="J204" s="14" t="str">
        <f aca="false">IF($D204=1,INDEX(TblClusters[Workers min],$B204),"")</f>
        <v/>
      </c>
      <c r="K204" s="84" t="str">
        <f aca="false">IF($D204=1,INDEX(TblClusters[Tarif par nœud],$B204),"")</f>
        <v/>
      </c>
      <c r="L204" s="14" t="str">
        <f aca="false">IF($D204=1,INDEX(TblClusters[CPU initial (vCPU)],$B204),"")</f>
        <v/>
      </c>
      <c r="M204" s="14" t="str">
        <f aca="false">IF($D204=1,INDEX(TblClusters[RAM initiale (Go)],$B204),"")</f>
        <v/>
      </c>
      <c r="N204" s="14" t="str">
        <f aca="false">IF($D204=1,INDEX(TblClusters[CPU min (vCPU)],$B204),"")</f>
        <v/>
      </c>
      <c r="O204" s="14" t="str">
        <f aca="false">IF($D204=1,INDEX(TblClusters[RAM min (Go)],$B204),"")</f>
        <v/>
      </c>
      <c r="P204" s="14" t="str">
        <f aca="false">IF($D204&lt;&gt;1,"",IF($G204="ROKS",SUMIFS(TblApplications[Besoin ROKS CPU (vCPU)],TblApplications[Cluster ROKS cible],$F204,TblApplications[Action],"À migrer",TblApplications[Déjà incluse ROKS],"Non",TblApplications[Mois prov (calc)],"&lt;="&amp;$E204),SUMIFS(TblApplications[CPU IKS libérable (vCPU)],TblApplications[Cluster IKS source],$F204,TblApplications[Mois lib (calc)],"&lt;="&amp;$E204)))</f>
        <v/>
      </c>
      <c r="Q204" s="14" t="str">
        <f aca="false">IF($D204&lt;&gt;1,"",IF($G204="ROKS",SUMIFS(TblApplications[Besoin ROKS RAM (Go)],TblApplications[Cluster ROKS cible],$F204,TblApplications[Action],"À migrer",TblApplications[Déjà incluse ROKS],"Non",TblApplications[Mois prov (calc)],"&lt;="&amp;$E204),SUMIFS(TblApplications[RAM IKS libérable (Go)],TblApplications[Cluster IKS source],$F204,TblApplications[Mois lib (calc)],"&lt;="&amp;$E204)))</f>
        <v/>
      </c>
      <c r="R204" s="14" t="str">
        <f aca="false">IF($D204&lt;&gt;1,"",IF($G204="ROKS",$L204+$P204,IF($AI204=1,0,MAX($N204,$L204-$P204))))</f>
        <v/>
      </c>
      <c r="S204" s="14" t="str">
        <f aca="false">IF($D204&lt;&gt;1,"",IF($G204="ROKS",$M204+$Q204,IF($AI204=1,0,MAX($O204,$M204-$Q204))))</f>
        <v/>
      </c>
      <c r="T204" s="14" t="str">
        <f aca="false">IF($D204&lt;&gt;1,"",IF($AI204=1,0,MAX($J204,ROUNDUP(MAX($R204/$H204,$S204/$I204),0))))</f>
        <v/>
      </c>
      <c r="U204" s="14" t="str">
        <f aca="false">IF($D204&lt;&gt;1,"",IF(p_mode="Nœud",$T204*$H204,$R204))</f>
        <v/>
      </c>
      <c r="V204" s="14" t="str">
        <f aca="false">IF($D204&lt;&gt;1,"",IF(p_mode="Nœud",$T204*$I204,$S204))</f>
        <v/>
      </c>
      <c r="W204" s="84" t="str">
        <f aca="false">IF($D204&lt;&gt;1,"",IF(p_mode="Nœud",$T204*$K204,$R204*IF($G204="IKS",p_iks_cpu,p_roks_cpu)+$S204*IF($G204="IKS",p_iks_ram,p_roks_ram))*p_facteur)</f>
        <v/>
      </c>
      <c r="X204" s="14" t="str">
        <f aca="false">IF($D204&lt;&gt;1,"",IF($G204="ROKS",$R204,IF($AI204=1,0,MAX($N204,$L204-SUMIFS(TblApplications[CPU IKS libérable (vCPU)],TblApplications[Cluster IKS source],$F204,TblApplications[Action],"À migrer",TblApplications[Mois prov (calc)],"&lt;="&amp;$E204)-SUMIFS(TblApplications[CPU IKS libérable (vCPU)],TblApplications[Cluster IKS source],$F204,TblApplications[Action],"À décommissionner",TblApplications[Mois lib (calc)],"&lt;="&amp;$E204)))))</f>
        <v/>
      </c>
      <c r="Y204" s="14" t="str">
        <f aca="false">IF($D204&lt;&gt;1,"",IF($G204="ROKS",$S204,IF($AI204=1,0,MAX($O204,$M204-SUMIFS(TblApplications[RAM IKS libérable (Go)],TblApplications[Cluster IKS source],$F204,TblApplications[Action],"À migrer",TblApplications[Mois prov (calc)],"&lt;="&amp;$E204)-SUMIFS(TblApplications[RAM IKS libérable (Go)],TblApplications[Cluster IKS source],$F204,TblApplications[Action],"À décommissionner",TblApplications[Mois lib (calc)],"&lt;="&amp;$E204)))))</f>
        <v/>
      </c>
      <c r="Z204" s="14" t="str">
        <f aca="false">IF($D204&lt;&gt;1,"",IF($AI204=1,0,MAX($J204,ROUNDUP(MAX($X204/$H204,$Y204/$I204),0))))</f>
        <v/>
      </c>
      <c r="AA204" s="84" t="str">
        <f aca="false">IF($D204&lt;&gt;1,"",IF(p_mode="Nœud",$Z204*$K204,$X204*IF($G204="IKS",p_iks_cpu,p_roks_cpu)+$Y204*IF($G204="IKS",p_iks_ram,p_roks_ram))*p_facteur)</f>
        <v/>
      </c>
      <c r="AB204" s="14" t="str">
        <f aca="false">IF($D204&lt;&gt;1,"",MAX($J204,ROUNDUP(MAX($L204/$H204,$M204/$I204),0)))</f>
        <v/>
      </c>
      <c r="AC204" s="84" t="str">
        <f aca="false">IF($D204&lt;&gt;1,"",IF(p_mode="Nœud",$AB204*$K204,$L204*IF($G204="IKS",p_iks_cpu,p_roks_cpu)+$M204*IF($G204="IKS",p_iks_ram,p_roks_ram))*p_facteur)</f>
        <v/>
      </c>
      <c r="AD204" s="14" t="str">
        <f aca="false">IF($D204&lt;&gt;1,"",IF(AND($G204="IKS",$AI204&lt;&gt;1,OR($L204-$P204&lt;$N204,$M204-$Q204&lt;$O204)),1,0))</f>
        <v/>
      </c>
      <c r="AE204" s="14" t="str">
        <f aca="false">IF($D204&lt;&gt;1,"",IF(AND($G204="ROKS",$T204&gt;p_maxworkers),1,0))</f>
        <v/>
      </c>
      <c r="AF204" s="14" t="str">
        <f aca="false">IF($D204&lt;&gt;1,"",IF(INDEX(TblClusters[Environnement],$B204)="","(vide)",INDEX(TblClusters[Environnement],$B204)))</f>
        <v/>
      </c>
      <c r="AG204" s="14" t="str">
        <f aca="false">IF($D204&lt;&gt;1,"",$R204+p_poidsram*$S204)</f>
        <v/>
      </c>
      <c r="AH204" s="14" t="str">
        <f aca="false">IF($D204&lt;&gt;1,"",IFERROR($W204/$AG204,0))</f>
        <v/>
      </c>
      <c r="AI204" s="14" t="str">
        <f aca="false">IF($D204&lt;&gt;1,"",IF(AND($G204="IKS",ISNUMBER(INDEX(TblClusters[Fermeture retenue],$B204))),IF($E204&gt;=INDEX(TblClusters[Fermeture retenue],$B204),1,0),0))</f>
        <v/>
      </c>
    </row>
    <row r="205" customFormat="false" ht="15" hidden="false" customHeight="false" outlineLevel="0" collapsed="false">
      <c r="A205" s="14" t="n">
        <v>200</v>
      </c>
      <c r="B205" s="14" t="n">
        <f aca="false">INT(($A205-1)/36)+1</f>
        <v>6</v>
      </c>
      <c r="C205" s="14" t="n">
        <f aca="false">MOD($A205-1,36)+1</f>
        <v>20</v>
      </c>
      <c r="D205" s="14" t="n">
        <f aca="false">IF($C205&gt;p_horizon,0,IFERROR(IF(AND(INDEX(TblClusters[Cluster],$B205)&lt;&gt;"",ISNUMBER(INDEX(TblClusters[CPU initial (vCPU)],$B205)),ISNUMBER(INDEX(TblClusters[CPU min (vCPU)],$B205)),OR(INDEX(TblClusters[Plateforme],$B205)="IKS",INDEX(TblClusters[Plateforme],$B205)="ROKS")),1,0),0))</f>
        <v>0</v>
      </c>
      <c r="E205" s="83" t="str">
        <f aca="false">IF($D205=1,EDATE(p_debut,$C205-1),"")</f>
        <v/>
      </c>
      <c r="F205" s="14" t="str">
        <f aca="false">IF($D205=1,INDEX(TblClusters[Cluster],$B205),"")</f>
        <v/>
      </c>
      <c r="G205" s="14" t="str">
        <f aca="false">IF($D205=1,INDEX(TblClusters[Plateforme],$B205),"")</f>
        <v/>
      </c>
      <c r="H205" s="14" t="str">
        <f aca="false">IF($D205=1,INDEX(TblClusters[vCPU par nœud],$B205),"")</f>
        <v/>
      </c>
      <c r="I205" s="14" t="str">
        <f aca="false">IF($D205=1,INDEX(TblClusters[RAM par nœud (Go)],$B205),"")</f>
        <v/>
      </c>
      <c r="J205" s="14" t="str">
        <f aca="false">IF($D205=1,INDEX(TblClusters[Workers min],$B205),"")</f>
        <v/>
      </c>
      <c r="K205" s="84" t="str">
        <f aca="false">IF($D205=1,INDEX(TblClusters[Tarif par nœud],$B205),"")</f>
        <v/>
      </c>
      <c r="L205" s="14" t="str">
        <f aca="false">IF($D205=1,INDEX(TblClusters[CPU initial (vCPU)],$B205),"")</f>
        <v/>
      </c>
      <c r="M205" s="14" t="str">
        <f aca="false">IF($D205=1,INDEX(TblClusters[RAM initiale (Go)],$B205),"")</f>
        <v/>
      </c>
      <c r="N205" s="14" t="str">
        <f aca="false">IF($D205=1,INDEX(TblClusters[CPU min (vCPU)],$B205),"")</f>
        <v/>
      </c>
      <c r="O205" s="14" t="str">
        <f aca="false">IF($D205=1,INDEX(TblClusters[RAM min (Go)],$B205),"")</f>
        <v/>
      </c>
      <c r="P205" s="14" t="str">
        <f aca="false">IF($D205&lt;&gt;1,"",IF($G205="ROKS",SUMIFS(TblApplications[Besoin ROKS CPU (vCPU)],TblApplications[Cluster ROKS cible],$F205,TblApplications[Action],"À migrer",TblApplications[Déjà incluse ROKS],"Non",TblApplications[Mois prov (calc)],"&lt;="&amp;$E205),SUMIFS(TblApplications[CPU IKS libérable (vCPU)],TblApplications[Cluster IKS source],$F205,TblApplications[Mois lib (calc)],"&lt;="&amp;$E205)))</f>
        <v/>
      </c>
      <c r="Q205" s="14" t="str">
        <f aca="false">IF($D205&lt;&gt;1,"",IF($G205="ROKS",SUMIFS(TblApplications[Besoin ROKS RAM (Go)],TblApplications[Cluster ROKS cible],$F205,TblApplications[Action],"À migrer",TblApplications[Déjà incluse ROKS],"Non",TblApplications[Mois prov (calc)],"&lt;="&amp;$E205),SUMIFS(TblApplications[RAM IKS libérable (Go)],TblApplications[Cluster IKS source],$F205,TblApplications[Mois lib (calc)],"&lt;="&amp;$E205)))</f>
        <v/>
      </c>
      <c r="R205" s="14" t="str">
        <f aca="false">IF($D205&lt;&gt;1,"",IF($G205="ROKS",$L205+$P205,IF($AI205=1,0,MAX($N205,$L205-$P205))))</f>
        <v/>
      </c>
      <c r="S205" s="14" t="str">
        <f aca="false">IF($D205&lt;&gt;1,"",IF($G205="ROKS",$M205+$Q205,IF($AI205=1,0,MAX($O205,$M205-$Q205))))</f>
        <v/>
      </c>
      <c r="T205" s="14" t="str">
        <f aca="false">IF($D205&lt;&gt;1,"",IF($AI205=1,0,MAX($J205,ROUNDUP(MAX($R205/$H205,$S205/$I205),0))))</f>
        <v/>
      </c>
      <c r="U205" s="14" t="str">
        <f aca="false">IF($D205&lt;&gt;1,"",IF(p_mode="Nœud",$T205*$H205,$R205))</f>
        <v/>
      </c>
      <c r="V205" s="14" t="str">
        <f aca="false">IF($D205&lt;&gt;1,"",IF(p_mode="Nœud",$T205*$I205,$S205))</f>
        <v/>
      </c>
      <c r="W205" s="84" t="str">
        <f aca="false">IF($D205&lt;&gt;1,"",IF(p_mode="Nœud",$T205*$K205,$R205*IF($G205="IKS",p_iks_cpu,p_roks_cpu)+$S205*IF($G205="IKS",p_iks_ram,p_roks_ram))*p_facteur)</f>
        <v/>
      </c>
      <c r="X205" s="14" t="str">
        <f aca="false">IF($D205&lt;&gt;1,"",IF($G205="ROKS",$R205,IF($AI205=1,0,MAX($N205,$L205-SUMIFS(TblApplications[CPU IKS libérable (vCPU)],TblApplications[Cluster IKS source],$F205,TblApplications[Action],"À migrer",TblApplications[Mois prov (calc)],"&lt;="&amp;$E205)-SUMIFS(TblApplications[CPU IKS libérable (vCPU)],TblApplications[Cluster IKS source],$F205,TblApplications[Action],"À décommissionner",TblApplications[Mois lib (calc)],"&lt;="&amp;$E205)))))</f>
        <v/>
      </c>
      <c r="Y205" s="14" t="str">
        <f aca="false">IF($D205&lt;&gt;1,"",IF($G205="ROKS",$S205,IF($AI205=1,0,MAX($O205,$M205-SUMIFS(TblApplications[RAM IKS libérable (Go)],TblApplications[Cluster IKS source],$F205,TblApplications[Action],"À migrer",TblApplications[Mois prov (calc)],"&lt;="&amp;$E205)-SUMIFS(TblApplications[RAM IKS libérable (Go)],TblApplications[Cluster IKS source],$F205,TblApplications[Action],"À décommissionner",TblApplications[Mois lib (calc)],"&lt;="&amp;$E205)))))</f>
        <v/>
      </c>
      <c r="Z205" s="14" t="str">
        <f aca="false">IF($D205&lt;&gt;1,"",IF($AI205=1,0,MAX($J205,ROUNDUP(MAX($X205/$H205,$Y205/$I205),0))))</f>
        <v/>
      </c>
      <c r="AA205" s="84" t="str">
        <f aca="false">IF($D205&lt;&gt;1,"",IF(p_mode="Nœud",$Z205*$K205,$X205*IF($G205="IKS",p_iks_cpu,p_roks_cpu)+$Y205*IF($G205="IKS",p_iks_ram,p_roks_ram))*p_facteur)</f>
        <v/>
      </c>
      <c r="AB205" s="14" t="str">
        <f aca="false">IF($D205&lt;&gt;1,"",MAX($J205,ROUNDUP(MAX($L205/$H205,$M205/$I205),0)))</f>
        <v/>
      </c>
      <c r="AC205" s="84" t="str">
        <f aca="false">IF($D205&lt;&gt;1,"",IF(p_mode="Nœud",$AB205*$K205,$L205*IF($G205="IKS",p_iks_cpu,p_roks_cpu)+$M205*IF($G205="IKS",p_iks_ram,p_roks_ram))*p_facteur)</f>
        <v/>
      </c>
      <c r="AD205" s="14" t="str">
        <f aca="false">IF($D205&lt;&gt;1,"",IF(AND($G205="IKS",$AI205&lt;&gt;1,OR($L205-$P205&lt;$N205,$M205-$Q205&lt;$O205)),1,0))</f>
        <v/>
      </c>
      <c r="AE205" s="14" t="str">
        <f aca="false">IF($D205&lt;&gt;1,"",IF(AND($G205="ROKS",$T205&gt;p_maxworkers),1,0))</f>
        <v/>
      </c>
      <c r="AF205" s="14" t="str">
        <f aca="false">IF($D205&lt;&gt;1,"",IF(INDEX(TblClusters[Environnement],$B205)="","(vide)",INDEX(TblClusters[Environnement],$B205)))</f>
        <v/>
      </c>
      <c r="AG205" s="14" t="str">
        <f aca="false">IF($D205&lt;&gt;1,"",$R205+p_poidsram*$S205)</f>
        <v/>
      </c>
      <c r="AH205" s="14" t="str">
        <f aca="false">IF($D205&lt;&gt;1,"",IFERROR($W205/$AG205,0))</f>
        <v/>
      </c>
      <c r="AI205" s="14" t="str">
        <f aca="false">IF($D205&lt;&gt;1,"",IF(AND($G205="IKS",ISNUMBER(INDEX(TblClusters[Fermeture retenue],$B205))),IF($E205&gt;=INDEX(TblClusters[Fermeture retenue],$B205),1,0),0))</f>
        <v/>
      </c>
    </row>
    <row r="206" customFormat="false" ht="15" hidden="false" customHeight="false" outlineLevel="0" collapsed="false">
      <c r="A206" s="14" t="n">
        <v>201</v>
      </c>
      <c r="B206" s="14" t="n">
        <f aca="false">INT(($A206-1)/36)+1</f>
        <v>6</v>
      </c>
      <c r="C206" s="14" t="n">
        <f aca="false">MOD($A206-1,36)+1</f>
        <v>21</v>
      </c>
      <c r="D206" s="14" t="n">
        <f aca="false">IF($C206&gt;p_horizon,0,IFERROR(IF(AND(INDEX(TblClusters[Cluster],$B206)&lt;&gt;"",ISNUMBER(INDEX(TblClusters[CPU initial (vCPU)],$B206)),ISNUMBER(INDEX(TblClusters[CPU min (vCPU)],$B206)),OR(INDEX(TblClusters[Plateforme],$B206)="IKS",INDEX(TblClusters[Plateforme],$B206)="ROKS")),1,0),0))</f>
        <v>0</v>
      </c>
      <c r="E206" s="83" t="str">
        <f aca="false">IF($D206=1,EDATE(p_debut,$C206-1),"")</f>
        <v/>
      </c>
      <c r="F206" s="14" t="str">
        <f aca="false">IF($D206=1,INDEX(TblClusters[Cluster],$B206),"")</f>
        <v/>
      </c>
      <c r="G206" s="14" t="str">
        <f aca="false">IF($D206=1,INDEX(TblClusters[Plateforme],$B206),"")</f>
        <v/>
      </c>
      <c r="H206" s="14" t="str">
        <f aca="false">IF($D206=1,INDEX(TblClusters[vCPU par nœud],$B206),"")</f>
        <v/>
      </c>
      <c r="I206" s="14" t="str">
        <f aca="false">IF($D206=1,INDEX(TblClusters[RAM par nœud (Go)],$B206),"")</f>
        <v/>
      </c>
      <c r="J206" s="14" t="str">
        <f aca="false">IF($D206=1,INDEX(TblClusters[Workers min],$B206),"")</f>
        <v/>
      </c>
      <c r="K206" s="84" t="str">
        <f aca="false">IF($D206=1,INDEX(TblClusters[Tarif par nœud],$B206),"")</f>
        <v/>
      </c>
      <c r="L206" s="14" t="str">
        <f aca="false">IF($D206=1,INDEX(TblClusters[CPU initial (vCPU)],$B206),"")</f>
        <v/>
      </c>
      <c r="M206" s="14" t="str">
        <f aca="false">IF($D206=1,INDEX(TblClusters[RAM initiale (Go)],$B206),"")</f>
        <v/>
      </c>
      <c r="N206" s="14" t="str">
        <f aca="false">IF($D206=1,INDEX(TblClusters[CPU min (vCPU)],$B206),"")</f>
        <v/>
      </c>
      <c r="O206" s="14" t="str">
        <f aca="false">IF($D206=1,INDEX(TblClusters[RAM min (Go)],$B206),"")</f>
        <v/>
      </c>
      <c r="P206" s="14" t="str">
        <f aca="false">IF($D206&lt;&gt;1,"",IF($G206="ROKS",SUMIFS(TblApplications[Besoin ROKS CPU (vCPU)],TblApplications[Cluster ROKS cible],$F206,TblApplications[Action],"À migrer",TblApplications[Déjà incluse ROKS],"Non",TblApplications[Mois prov (calc)],"&lt;="&amp;$E206),SUMIFS(TblApplications[CPU IKS libérable (vCPU)],TblApplications[Cluster IKS source],$F206,TblApplications[Mois lib (calc)],"&lt;="&amp;$E206)))</f>
        <v/>
      </c>
      <c r="Q206" s="14" t="str">
        <f aca="false">IF($D206&lt;&gt;1,"",IF($G206="ROKS",SUMIFS(TblApplications[Besoin ROKS RAM (Go)],TblApplications[Cluster ROKS cible],$F206,TblApplications[Action],"À migrer",TblApplications[Déjà incluse ROKS],"Non",TblApplications[Mois prov (calc)],"&lt;="&amp;$E206),SUMIFS(TblApplications[RAM IKS libérable (Go)],TblApplications[Cluster IKS source],$F206,TblApplications[Mois lib (calc)],"&lt;="&amp;$E206)))</f>
        <v/>
      </c>
      <c r="R206" s="14" t="str">
        <f aca="false">IF($D206&lt;&gt;1,"",IF($G206="ROKS",$L206+$P206,IF($AI206=1,0,MAX($N206,$L206-$P206))))</f>
        <v/>
      </c>
      <c r="S206" s="14" t="str">
        <f aca="false">IF($D206&lt;&gt;1,"",IF($G206="ROKS",$M206+$Q206,IF($AI206=1,0,MAX($O206,$M206-$Q206))))</f>
        <v/>
      </c>
      <c r="T206" s="14" t="str">
        <f aca="false">IF($D206&lt;&gt;1,"",IF($AI206=1,0,MAX($J206,ROUNDUP(MAX($R206/$H206,$S206/$I206),0))))</f>
        <v/>
      </c>
      <c r="U206" s="14" t="str">
        <f aca="false">IF($D206&lt;&gt;1,"",IF(p_mode="Nœud",$T206*$H206,$R206))</f>
        <v/>
      </c>
      <c r="V206" s="14" t="str">
        <f aca="false">IF($D206&lt;&gt;1,"",IF(p_mode="Nœud",$T206*$I206,$S206))</f>
        <v/>
      </c>
      <c r="W206" s="84" t="str">
        <f aca="false">IF($D206&lt;&gt;1,"",IF(p_mode="Nœud",$T206*$K206,$R206*IF($G206="IKS",p_iks_cpu,p_roks_cpu)+$S206*IF($G206="IKS",p_iks_ram,p_roks_ram))*p_facteur)</f>
        <v/>
      </c>
      <c r="X206" s="14" t="str">
        <f aca="false">IF($D206&lt;&gt;1,"",IF($G206="ROKS",$R206,IF($AI206=1,0,MAX($N206,$L206-SUMIFS(TblApplications[CPU IKS libérable (vCPU)],TblApplications[Cluster IKS source],$F206,TblApplications[Action],"À migrer",TblApplications[Mois prov (calc)],"&lt;="&amp;$E206)-SUMIFS(TblApplications[CPU IKS libérable (vCPU)],TblApplications[Cluster IKS source],$F206,TblApplications[Action],"À décommissionner",TblApplications[Mois lib (calc)],"&lt;="&amp;$E206)))))</f>
        <v/>
      </c>
      <c r="Y206" s="14" t="str">
        <f aca="false">IF($D206&lt;&gt;1,"",IF($G206="ROKS",$S206,IF($AI206=1,0,MAX($O206,$M206-SUMIFS(TblApplications[RAM IKS libérable (Go)],TblApplications[Cluster IKS source],$F206,TblApplications[Action],"À migrer",TblApplications[Mois prov (calc)],"&lt;="&amp;$E206)-SUMIFS(TblApplications[RAM IKS libérable (Go)],TblApplications[Cluster IKS source],$F206,TblApplications[Action],"À décommissionner",TblApplications[Mois lib (calc)],"&lt;="&amp;$E206)))))</f>
        <v/>
      </c>
      <c r="Z206" s="14" t="str">
        <f aca="false">IF($D206&lt;&gt;1,"",IF($AI206=1,0,MAX($J206,ROUNDUP(MAX($X206/$H206,$Y206/$I206),0))))</f>
        <v/>
      </c>
      <c r="AA206" s="84" t="str">
        <f aca="false">IF($D206&lt;&gt;1,"",IF(p_mode="Nœud",$Z206*$K206,$X206*IF($G206="IKS",p_iks_cpu,p_roks_cpu)+$Y206*IF($G206="IKS",p_iks_ram,p_roks_ram))*p_facteur)</f>
        <v/>
      </c>
      <c r="AB206" s="14" t="str">
        <f aca="false">IF($D206&lt;&gt;1,"",MAX($J206,ROUNDUP(MAX($L206/$H206,$M206/$I206),0)))</f>
        <v/>
      </c>
      <c r="AC206" s="84" t="str">
        <f aca="false">IF($D206&lt;&gt;1,"",IF(p_mode="Nœud",$AB206*$K206,$L206*IF($G206="IKS",p_iks_cpu,p_roks_cpu)+$M206*IF($G206="IKS",p_iks_ram,p_roks_ram))*p_facteur)</f>
        <v/>
      </c>
      <c r="AD206" s="14" t="str">
        <f aca="false">IF($D206&lt;&gt;1,"",IF(AND($G206="IKS",$AI206&lt;&gt;1,OR($L206-$P206&lt;$N206,$M206-$Q206&lt;$O206)),1,0))</f>
        <v/>
      </c>
      <c r="AE206" s="14" t="str">
        <f aca="false">IF($D206&lt;&gt;1,"",IF(AND($G206="ROKS",$T206&gt;p_maxworkers),1,0))</f>
        <v/>
      </c>
      <c r="AF206" s="14" t="str">
        <f aca="false">IF($D206&lt;&gt;1,"",IF(INDEX(TblClusters[Environnement],$B206)="","(vide)",INDEX(TblClusters[Environnement],$B206)))</f>
        <v/>
      </c>
      <c r="AG206" s="14" t="str">
        <f aca="false">IF($D206&lt;&gt;1,"",$R206+p_poidsram*$S206)</f>
        <v/>
      </c>
      <c r="AH206" s="14" t="str">
        <f aca="false">IF($D206&lt;&gt;1,"",IFERROR($W206/$AG206,0))</f>
        <v/>
      </c>
      <c r="AI206" s="14" t="str">
        <f aca="false">IF($D206&lt;&gt;1,"",IF(AND($G206="IKS",ISNUMBER(INDEX(TblClusters[Fermeture retenue],$B206))),IF($E206&gt;=INDEX(TblClusters[Fermeture retenue],$B206),1,0),0))</f>
        <v/>
      </c>
    </row>
    <row r="207" customFormat="false" ht="15" hidden="false" customHeight="false" outlineLevel="0" collapsed="false">
      <c r="A207" s="14" t="n">
        <v>202</v>
      </c>
      <c r="B207" s="14" t="n">
        <f aca="false">INT(($A207-1)/36)+1</f>
        <v>6</v>
      </c>
      <c r="C207" s="14" t="n">
        <f aca="false">MOD($A207-1,36)+1</f>
        <v>22</v>
      </c>
      <c r="D207" s="14" t="n">
        <f aca="false">IF($C207&gt;p_horizon,0,IFERROR(IF(AND(INDEX(TblClusters[Cluster],$B207)&lt;&gt;"",ISNUMBER(INDEX(TblClusters[CPU initial (vCPU)],$B207)),ISNUMBER(INDEX(TblClusters[CPU min (vCPU)],$B207)),OR(INDEX(TblClusters[Plateforme],$B207)="IKS",INDEX(TblClusters[Plateforme],$B207)="ROKS")),1,0),0))</f>
        <v>0</v>
      </c>
      <c r="E207" s="83" t="str">
        <f aca="false">IF($D207=1,EDATE(p_debut,$C207-1),"")</f>
        <v/>
      </c>
      <c r="F207" s="14" t="str">
        <f aca="false">IF($D207=1,INDEX(TblClusters[Cluster],$B207),"")</f>
        <v/>
      </c>
      <c r="G207" s="14" t="str">
        <f aca="false">IF($D207=1,INDEX(TblClusters[Plateforme],$B207),"")</f>
        <v/>
      </c>
      <c r="H207" s="14" t="str">
        <f aca="false">IF($D207=1,INDEX(TblClusters[vCPU par nœud],$B207),"")</f>
        <v/>
      </c>
      <c r="I207" s="14" t="str">
        <f aca="false">IF($D207=1,INDEX(TblClusters[RAM par nœud (Go)],$B207),"")</f>
        <v/>
      </c>
      <c r="J207" s="14" t="str">
        <f aca="false">IF($D207=1,INDEX(TblClusters[Workers min],$B207),"")</f>
        <v/>
      </c>
      <c r="K207" s="84" t="str">
        <f aca="false">IF($D207=1,INDEX(TblClusters[Tarif par nœud],$B207),"")</f>
        <v/>
      </c>
      <c r="L207" s="14" t="str">
        <f aca="false">IF($D207=1,INDEX(TblClusters[CPU initial (vCPU)],$B207),"")</f>
        <v/>
      </c>
      <c r="M207" s="14" t="str">
        <f aca="false">IF($D207=1,INDEX(TblClusters[RAM initiale (Go)],$B207),"")</f>
        <v/>
      </c>
      <c r="N207" s="14" t="str">
        <f aca="false">IF($D207=1,INDEX(TblClusters[CPU min (vCPU)],$B207),"")</f>
        <v/>
      </c>
      <c r="O207" s="14" t="str">
        <f aca="false">IF($D207=1,INDEX(TblClusters[RAM min (Go)],$B207),"")</f>
        <v/>
      </c>
      <c r="P207" s="14" t="str">
        <f aca="false">IF($D207&lt;&gt;1,"",IF($G207="ROKS",SUMIFS(TblApplications[Besoin ROKS CPU (vCPU)],TblApplications[Cluster ROKS cible],$F207,TblApplications[Action],"À migrer",TblApplications[Déjà incluse ROKS],"Non",TblApplications[Mois prov (calc)],"&lt;="&amp;$E207),SUMIFS(TblApplications[CPU IKS libérable (vCPU)],TblApplications[Cluster IKS source],$F207,TblApplications[Mois lib (calc)],"&lt;="&amp;$E207)))</f>
        <v/>
      </c>
      <c r="Q207" s="14" t="str">
        <f aca="false">IF($D207&lt;&gt;1,"",IF($G207="ROKS",SUMIFS(TblApplications[Besoin ROKS RAM (Go)],TblApplications[Cluster ROKS cible],$F207,TblApplications[Action],"À migrer",TblApplications[Déjà incluse ROKS],"Non",TblApplications[Mois prov (calc)],"&lt;="&amp;$E207),SUMIFS(TblApplications[RAM IKS libérable (Go)],TblApplications[Cluster IKS source],$F207,TblApplications[Mois lib (calc)],"&lt;="&amp;$E207)))</f>
        <v/>
      </c>
      <c r="R207" s="14" t="str">
        <f aca="false">IF($D207&lt;&gt;1,"",IF($G207="ROKS",$L207+$P207,IF($AI207=1,0,MAX($N207,$L207-$P207))))</f>
        <v/>
      </c>
      <c r="S207" s="14" t="str">
        <f aca="false">IF($D207&lt;&gt;1,"",IF($G207="ROKS",$M207+$Q207,IF($AI207=1,0,MAX($O207,$M207-$Q207))))</f>
        <v/>
      </c>
      <c r="T207" s="14" t="str">
        <f aca="false">IF($D207&lt;&gt;1,"",IF($AI207=1,0,MAX($J207,ROUNDUP(MAX($R207/$H207,$S207/$I207),0))))</f>
        <v/>
      </c>
      <c r="U207" s="14" t="str">
        <f aca="false">IF($D207&lt;&gt;1,"",IF(p_mode="Nœud",$T207*$H207,$R207))</f>
        <v/>
      </c>
      <c r="V207" s="14" t="str">
        <f aca="false">IF($D207&lt;&gt;1,"",IF(p_mode="Nœud",$T207*$I207,$S207))</f>
        <v/>
      </c>
      <c r="W207" s="84" t="str">
        <f aca="false">IF($D207&lt;&gt;1,"",IF(p_mode="Nœud",$T207*$K207,$R207*IF($G207="IKS",p_iks_cpu,p_roks_cpu)+$S207*IF($G207="IKS",p_iks_ram,p_roks_ram))*p_facteur)</f>
        <v/>
      </c>
      <c r="X207" s="14" t="str">
        <f aca="false">IF($D207&lt;&gt;1,"",IF($G207="ROKS",$R207,IF($AI207=1,0,MAX($N207,$L207-SUMIFS(TblApplications[CPU IKS libérable (vCPU)],TblApplications[Cluster IKS source],$F207,TblApplications[Action],"À migrer",TblApplications[Mois prov (calc)],"&lt;="&amp;$E207)-SUMIFS(TblApplications[CPU IKS libérable (vCPU)],TblApplications[Cluster IKS source],$F207,TblApplications[Action],"À décommissionner",TblApplications[Mois lib (calc)],"&lt;="&amp;$E207)))))</f>
        <v/>
      </c>
      <c r="Y207" s="14" t="str">
        <f aca="false">IF($D207&lt;&gt;1,"",IF($G207="ROKS",$S207,IF($AI207=1,0,MAX($O207,$M207-SUMIFS(TblApplications[RAM IKS libérable (Go)],TblApplications[Cluster IKS source],$F207,TblApplications[Action],"À migrer",TblApplications[Mois prov (calc)],"&lt;="&amp;$E207)-SUMIFS(TblApplications[RAM IKS libérable (Go)],TblApplications[Cluster IKS source],$F207,TblApplications[Action],"À décommissionner",TblApplications[Mois lib (calc)],"&lt;="&amp;$E207)))))</f>
        <v/>
      </c>
      <c r="Z207" s="14" t="str">
        <f aca="false">IF($D207&lt;&gt;1,"",IF($AI207=1,0,MAX($J207,ROUNDUP(MAX($X207/$H207,$Y207/$I207),0))))</f>
        <v/>
      </c>
      <c r="AA207" s="84" t="str">
        <f aca="false">IF($D207&lt;&gt;1,"",IF(p_mode="Nœud",$Z207*$K207,$X207*IF($G207="IKS",p_iks_cpu,p_roks_cpu)+$Y207*IF($G207="IKS",p_iks_ram,p_roks_ram))*p_facteur)</f>
        <v/>
      </c>
      <c r="AB207" s="14" t="str">
        <f aca="false">IF($D207&lt;&gt;1,"",MAX($J207,ROUNDUP(MAX($L207/$H207,$M207/$I207),0)))</f>
        <v/>
      </c>
      <c r="AC207" s="84" t="str">
        <f aca="false">IF($D207&lt;&gt;1,"",IF(p_mode="Nœud",$AB207*$K207,$L207*IF($G207="IKS",p_iks_cpu,p_roks_cpu)+$M207*IF($G207="IKS",p_iks_ram,p_roks_ram))*p_facteur)</f>
        <v/>
      </c>
      <c r="AD207" s="14" t="str">
        <f aca="false">IF($D207&lt;&gt;1,"",IF(AND($G207="IKS",$AI207&lt;&gt;1,OR($L207-$P207&lt;$N207,$M207-$Q207&lt;$O207)),1,0))</f>
        <v/>
      </c>
      <c r="AE207" s="14" t="str">
        <f aca="false">IF($D207&lt;&gt;1,"",IF(AND($G207="ROKS",$T207&gt;p_maxworkers),1,0))</f>
        <v/>
      </c>
      <c r="AF207" s="14" t="str">
        <f aca="false">IF($D207&lt;&gt;1,"",IF(INDEX(TblClusters[Environnement],$B207)="","(vide)",INDEX(TblClusters[Environnement],$B207)))</f>
        <v/>
      </c>
      <c r="AG207" s="14" t="str">
        <f aca="false">IF($D207&lt;&gt;1,"",$R207+p_poidsram*$S207)</f>
        <v/>
      </c>
      <c r="AH207" s="14" t="str">
        <f aca="false">IF($D207&lt;&gt;1,"",IFERROR($W207/$AG207,0))</f>
        <v/>
      </c>
      <c r="AI207" s="14" t="str">
        <f aca="false">IF($D207&lt;&gt;1,"",IF(AND($G207="IKS",ISNUMBER(INDEX(TblClusters[Fermeture retenue],$B207))),IF($E207&gt;=INDEX(TblClusters[Fermeture retenue],$B207),1,0),0))</f>
        <v/>
      </c>
    </row>
    <row r="208" customFormat="false" ht="15" hidden="false" customHeight="false" outlineLevel="0" collapsed="false">
      <c r="A208" s="14" t="n">
        <v>203</v>
      </c>
      <c r="B208" s="14" t="n">
        <f aca="false">INT(($A208-1)/36)+1</f>
        <v>6</v>
      </c>
      <c r="C208" s="14" t="n">
        <f aca="false">MOD($A208-1,36)+1</f>
        <v>23</v>
      </c>
      <c r="D208" s="14" t="n">
        <f aca="false">IF($C208&gt;p_horizon,0,IFERROR(IF(AND(INDEX(TblClusters[Cluster],$B208)&lt;&gt;"",ISNUMBER(INDEX(TblClusters[CPU initial (vCPU)],$B208)),ISNUMBER(INDEX(TblClusters[CPU min (vCPU)],$B208)),OR(INDEX(TblClusters[Plateforme],$B208)="IKS",INDEX(TblClusters[Plateforme],$B208)="ROKS")),1,0),0))</f>
        <v>0</v>
      </c>
      <c r="E208" s="83" t="str">
        <f aca="false">IF($D208=1,EDATE(p_debut,$C208-1),"")</f>
        <v/>
      </c>
      <c r="F208" s="14" t="str">
        <f aca="false">IF($D208=1,INDEX(TblClusters[Cluster],$B208),"")</f>
        <v/>
      </c>
      <c r="G208" s="14" t="str">
        <f aca="false">IF($D208=1,INDEX(TblClusters[Plateforme],$B208),"")</f>
        <v/>
      </c>
      <c r="H208" s="14" t="str">
        <f aca="false">IF($D208=1,INDEX(TblClusters[vCPU par nœud],$B208),"")</f>
        <v/>
      </c>
      <c r="I208" s="14" t="str">
        <f aca="false">IF($D208=1,INDEX(TblClusters[RAM par nœud (Go)],$B208),"")</f>
        <v/>
      </c>
      <c r="J208" s="14" t="str">
        <f aca="false">IF($D208=1,INDEX(TblClusters[Workers min],$B208),"")</f>
        <v/>
      </c>
      <c r="K208" s="84" t="str">
        <f aca="false">IF($D208=1,INDEX(TblClusters[Tarif par nœud],$B208),"")</f>
        <v/>
      </c>
      <c r="L208" s="14" t="str">
        <f aca="false">IF($D208=1,INDEX(TblClusters[CPU initial (vCPU)],$B208),"")</f>
        <v/>
      </c>
      <c r="M208" s="14" t="str">
        <f aca="false">IF($D208=1,INDEX(TblClusters[RAM initiale (Go)],$B208),"")</f>
        <v/>
      </c>
      <c r="N208" s="14" t="str">
        <f aca="false">IF($D208=1,INDEX(TblClusters[CPU min (vCPU)],$B208),"")</f>
        <v/>
      </c>
      <c r="O208" s="14" t="str">
        <f aca="false">IF($D208=1,INDEX(TblClusters[RAM min (Go)],$B208),"")</f>
        <v/>
      </c>
      <c r="P208" s="14" t="str">
        <f aca="false">IF($D208&lt;&gt;1,"",IF($G208="ROKS",SUMIFS(TblApplications[Besoin ROKS CPU (vCPU)],TblApplications[Cluster ROKS cible],$F208,TblApplications[Action],"À migrer",TblApplications[Déjà incluse ROKS],"Non",TblApplications[Mois prov (calc)],"&lt;="&amp;$E208),SUMIFS(TblApplications[CPU IKS libérable (vCPU)],TblApplications[Cluster IKS source],$F208,TblApplications[Mois lib (calc)],"&lt;="&amp;$E208)))</f>
        <v/>
      </c>
      <c r="Q208" s="14" t="str">
        <f aca="false">IF($D208&lt;&gt;1,"",IF($G208="ROKS",SUMIFS(TblApplications[Besoin ROKS RAM (Go)],TblApplications[Cluster ROKS cible],$F208,TblApplications[Action],"À migrer",TblApplications[Déjà incluse ROKS],"Non",TblApplications[Mois prov (calc)],"&lt;="&amp;$E208),SUMIFS(TblApplications[RAM IKS libérable (Go)],TblApplications[Cluster IKS source],$F208,TblApplications[Mois lib (calc)],"&lt;="&amp;$E208)))</f>
        <v/>
      </c>
      <c r="R208" s="14" t="str">
        <f aca="false">IF($D208&lt;&gt;1,"",IF($G208="ROKS",$L208+$P208,IF($AI208=1,0,MAX($N208,$L208-$P208))))</f>
        <v/>
      </c>
      <c r="S208" s="14" t="str">
        <f aca="false">IF($D208&lt;&gt;1,"",IF($G208="ROKS",$M208+$Q208,IF($AI208=1,0,MAX($O208,$M208-$Q208))))</f>
        <v/>
      </c>
      <c r="T208" s="14" t="str">
        <f aca="false">IF($D208&lt;&gt;1,"",IF($AI208=1,0,MAX($J208,ROUNDUP(MAX($R208/$H208,$S208/$I208),0))))</f>
        <v/>
      </c>
      <c r="U208" s="14" t="str">
        <f aca="false">IF($D208&lt;&gt;1,"",IF(p_mode="Nœud",$T208*$H208,$R208))</f>
        <v/>
      </c>
      <c r="V208" s="14" t="str">
        <f aca="false">IF($D208&lt;&gt;1,"",IF(p_mode="Nœud",$T208*$I208,$S208))</f>
        <v/>
      </c>
      <c r="W208" s="84" t="str">
        <f aca="false">IF($D208&lt;&gt;1,"",IF(p_mode="Nœud",$T208*$K208,$R208*IF($G208="IKS",p_iks_cpu,p_roks_cpu)+$S208*IF($G208="IKS",p_iks_ram,p_roks_ram))*p_facteur)</f>
        <v/>
      </c>
      <c r="X208" s="14" t="str">
        <f aca="false">IF($D208&lt;&gt;1,"",IF($G208="ROKS",$R208,IF($AI208=1,0,MAX($N208,$L208-SUMIFS(TblApplications[CPU IKS libérable (vCPU)],TblApplications[Cluster IKS source],$F208,TblApplications[Action],"À migrer",TblApplications[Mois prov (calc)],"&lt;="&amp;$E208)-SUMIFS(TblApplications[CPU IKS libérable (vCPU)],TblApplications[Cluster IKS source],$F208,TblApplications[Action],"À décommissionner",TblApplications[Mois lib (calc)],"&lt;="&amp;$E208)))))</f>
        <v/>
      </c>
      <c r="Y208" s="14" t="str">
        <f aca="false">IF($D208&lt;&gt;1,"",IF($G208="ROKS",$S208,IF($AI208=1,0,MAX($O208,$M208-SUMIFS(TblApplications[RAM IKS libérable (Go)],TblApplications[Cluster IKS source],$F208,TblApplications[Action],"À migrer",TblApplications[Mois prov (calc)],"&lt;="&amp;$E208)-SUMIFS(TblApplications[RAM IKS libérable (Go)],TblApplications[Cluster IKS source],$F208,TblApplications[Action],"À décommissionner",TblApplications[Mois lib (calc)],"&lt;="&amp;$E208)))))</f>
        <v/>
      </c>
      <c r="Z208" s="14" t="str">
        <f aca="false">IF($D208&lt;&gt;1,"",IF($AI208=1,0,MAX($J208,ROUNDUP(MAX($X208/$H208,$Y208/$I208),0))))</f>
        <v/>
      </c>
      <c r="AA208" s="84" t="str">
        <f aca="false">IF($D208&lt;&gt;1,"",IF(p_mode="Nœud",$Z208*$K208,$X208*IF($G208="IKS",p_iks_cpu,p_roks_cpu)+$Y208*IF($G208="IKS",p_iks_ram,p_roks_ram))*p_facteur)</f>
        <v/>
      </c>
      <c r="AB208" s="14" t="str">
        <f aca="false">IF($D208&lt;&gt;1,"",MAX($J208,ROUNDUP(MAX($L208/$H208,$M208/$I208),0)))</f>
        <v/>
      </c>
      <c r="AC208" s="84" t="str">
        <f aca="false">IF($D208&lt;&gt;1,"",IF(p_mode="Nœud",$AB208*$K208,$L208*IF($G208="IKS",p_iks_cpu,p_roks_cpu)+$M208*IF($G208="IKS",p_iks_ram,p_roks_ram))*p_facteur)</f>
        <v/>
      </c>
      <c r="AD208" s="14" t="str">
        <f aca="false">IF($D208&lt;&gt;1,"",IF(AND($G208="IKS",$AI208&lt;&gt;1,OR($L208-$P208&lt;$N208,$M208-$Q208&lt;$O208)),1,0))</f>
        <v/>
      </c>
      <c r="AE208" s="14" t="str">
        <f aca="false">IF($D208&lt;&gt;1,"",IF(AND($G208="ROKS",$T208&gt;p_maxworkers),1,0))</f>
        <v/>
      </c>
      <c r="AF208" s="14" t="str">
        <f aca="false">IF($D208&lt;&gt;1,"",IF(INDEX(TblClusters[Environnement],$B208)="","(vide)",INDEX(TblClusters[Environnement],$B208)))</f>
        <v/>
      </c>
      <c r="AG208" s="14" t="str">
        <f aca="false">IF($D208&lt;&gt;1,"",$R208+p_poidsram*$S208)</f>
        <v/>
      </c>
      <c r="AH208" s="14" t="str">
        <f aca="false">IF($D208&lt;&gt;1,"",IFERROR($W208/$AG208,0))</f>
        <v/>
      </c>
      <c r="AI208" s="14" t="str">
        <f aca="false">IF($D208&lt;&gt;1,"",IF(AND($G208="IKS",ISNUMBER(INDEX(TblClusters[Fermeture retenue],$B208))),IF($E208&gt;=INDEX(TblClusters[Fermeture retenue],$B208),1,0),0))</f>
        <v/>
      </c>
    </row>
    <row r="209" customFormat="false" ht="15" hidden="false" customHeight="false" outlineLevel="0" collapsed="false">
      <c r="A209" s="14" t="n">
        <v>204</v>
      </c>
      <c r="B209" s="14" t="n">
        <f aca="false">INT(($A209-1)/36)+1</f>
        <v>6</v>
      </c>
      <c r="C209" s="14" t="n">
        <f aca="false">MOD($A209-1,36)+1</f>
        <v>24</v>
      </c>
      <c r="D209" s="14" t="n">
        <f aca="false">IF($C209&gt;p_horizon,0,IFERROR(IF(AND(INDEX(TblClusters[Cluster],$B209)&lt;&gt;"",ISNUMBER(INDEX(TblClusters[CPU initial (vCPU)],$B209)),ISNUMBER(INDEX(TblClusters[CPU min (vCPU)],$B209)),OR(INDEX(TblClusters[Plateforme],$B209)="IKS",INDEX(TblClusters[Plateforme],$B209)="ROKS")),1,0),0))</f>
        <v>0</v>
      </c>
      <c r="E209" s="83" t="str">
        <f aca="false">IF($D209=1,EDATE(p_debut,$C209-1),"")</f>
        <v/>
      </c>
      <c r="F209" s="14" t="str">
        <f aca="false">IF($D209=1,INDEX(TblClusters[Cluster],$B209),"")</f>
        <v/>
      </c>
      <c r="G209" s="14" t="str">
        <f aca="false">IF($D209=1,INDEX(TblClusters[Plateforme],$B209),"")</f>
        <v/>
      </c>
      <c r="H209" s="14" t="str">
        <f aca="false">IF($D209=1,INDEX(TblClusters[vCPU par nœud],$B209),"")</f>
        <v/>
      </c>
      <c r="I209" s="14" t="str">
        <f aca="false">IF($D209=1,INDEX(TblClusters[RAM par nœud (Go)],$B209),"")</f>
        <v/>
      </c>
      <c r="J209" s="14" t="str">
        <f aca="false">IF($D209=1,INDEX(TblClusters[Workers min],$B209),"")</f>
        <v/>
      </c>
      <c r="K209" s="84" t="str">
        <f aca="false">IF($D209=1,INDEX(TblClusters[Tarif par nœud],$B209),"")</f>
        <v/>
      </c>
      <c r="L209" s="14" t="str">
        <f aca="false">IF($D209=1,INDEX(TblClusters[CPU initial (vCPU)],$B209),"")</f>
        <v/>
      </c>
      <c r="M209" s="14" t="str">
        <f aca="false">IF($D209=1,INDEX(TblClusters[RAM initiale (Go)],$B209),"")</f>
        <v/>
      </c>
      <c r="N209" s="14" t="str">
        <f aca="false">IF($D209=1,INDEX(TblClusters[CPU min (vCPU)],$B209),"")</f>
        <v/>
      </c>
      <c r="O209" s="14" t="str">
        <f aca="false">IF($D209=1,INDEX(TblClusters[RAM min (Go)],$B209),"")</f>
        <v/>
      </c>
      <c r="P209" s="14" t="str">
        <f aca="false">IF($D209&lt;&gt;1,"",IF($G209="ROKS",SUMIFS(TblApplications[Besoin ROKS CPU (vCPU)],TblApplications[Cluster ROKS cible],$F209,TblApplications[Action],"À migrer",TblApplications[Déjà incluse ROKS],"Non",TblApplications[Mois prov (calc)],"&lt;="&amp;$E209),SUMIFS(TblApplications[CPU IKS libérable (vCPU)],TblApplications[Cluster IKS source],$F209,TblApplications[Mois lib (calc)],"&lt;="&amp;$E209)))</f>
        <v/>
      </c>
      <c r="Q209" s="14" t="str">
        <f aca="false">IF($D209&lt;&gt;1,"",IF($G209="ROKS",SUMIFS(TblApplications[Besoin ROKS RAM (Go)],TblApplications[Cluster ROKS cible],$F209,TblApplications[Action],"À migrer",TblApplications[Déjà incluse ROKS],"Non",TblApplications[Mois prov (calc)],"&lt;="&amp;$E209),SUMIFS(TblApplications[RAM IKS libérable (Go)],TblApplications[Cluster IKS source],$F209,TblApplications[Mois lib (calc)],"&lt;="&amp;$E209)))</f>
        <v/>
      </c>
      <c r="R209" s="14" t="str">
        <f aca="false">IF($D209&lt;&gt;1,"",IF($G209="ROKS",$L209+$P209,IF($AI209=1,0,MAX($N209,$L209-$P209))))</f>
        <v/>
      </c>
      <c r="S209" s="14" t="str">
        <f aca="false">IF($D209&lt;&gt;1,"",IF($G209="ROKS",$M209+$Q209,IF($AI209=1,0,MAX($O209,$M209-$Q209))))</f>
        <v/>
      </c>
      <c r="T209" s="14" t="str">
        <f aca="false">IF($D209&lt;&gt;1,"",IF($AI209=1,0,MAX($J209,ROUNDUP(MAX($R209/$H209,$S209/$I209),0))))</f>
        <v/>
      </c>
      <c r="U209" s="14" t="str">
        <f aca="false">IF($D209&lt;&gt;1,"",IF(p_mode="Nœud",$T209*$H209,$R209))</f>
        <v/>
      </c>
      <c r="V209" s="14" t="str">
        <f aca="false">IF($D209&lt;&gt;1,"",IF(p_mode="Nœud",$T209*$I209,$S209))</f>
        <v/>
      </c>
      <c r="W209" s="84" t="str">
        <f aca="false">IF($D209&lt;&gt;1,"",IF(p_mode="Nœud",$T209*$K209,$R209*IF($G209="IKS",p_iks_cpu,p_roks_cpu)+$S209*IF($G209="IKS",p_iks_ram,p_roks_ram))*p_facteur)</f>
        <v/>
      </c>
      <c r="X209" s="14" t="str">
        <f aca="false">IF($D209&lt;&gt;1,"",IF($G209="ROKS",$R209,IF($AI209=1,0,MAX($N209,$L209-SUMIFS(TblApplications[CPU IKS libérable (vCPU)],TblApplications[Cluster IKS source],$F209,TblApplications[Action],"À migrer",TblApplications[Mois prov (calc)],"&lt;="&amp;$E209)-SUMIFS(TblApplications[CPU IKS libérable (vCPU)],TblApplications[Cluster IKS source],$F209,TblApplications[Action],"À décommissionner",TblApplications[Mois lib (calc)],"&lt;="&amp;$E209)))))</f>
        <v/>
      </c>
      <c r="Y209" s="14" t="str">
        <f aca="false">IF($D209&lt;&gt;1,"",IF($G209="ROKS",$S209,IF($AI209=1,0,MAX($O209,$M209-SUMIFS(TblApplications[RAM IKS libérable (Go)],TblApplications[Cluster IKS source],$F209,TblApplications[Action],"À migrer",TblApplications[Mois prov (calc)],"&lt;="&amp;$E209)-SUMIFS(TblApplications[RAM IKS libérable (Go)],TblApplications[Cluster IKS source],$F209,TblApplications[Action],"À décommissionner",TblApplications[Mois lib (calc)],"&lt;="&amp;$E209)))))</f>
        <v/>
      </c>
      <c r="Z209" s="14" t="str">
        <f aca="false">IF($D209&lt;&gt;1,"",IF($AI209=1,0,MAX($J209,ROUNDUP(MAX($X209/$H209,$Y209/$I209),0))))</f>
        <v/>
      </c>
      <c r="AA209" s="84" t="str">
        <f aca="false">IF($D209&lt;&gt;1,"",IF(p_mode="Nœud",$Z209*$K209,$X209*IF($G209="IKS",p_iks_cpu,p_roks_cpu)+$Y209*IF($G209="IKS",p_iks_ram,p_roks_ram))*p_facteur)</f>
        <v/>
      </c>
      <c r="AB209" s="14" t="str">
        <f aca="false">IF($D209&lt;&gt;1,"",MAX($J209,ROUNDUP(MAX($L209/$H209,$M209/$I209),0)))</f>
        <v/>
      </c>
      <c r="AC209" s="84" t="str">
        <f aca="false">IF($D209&lt;&gt;1,"",IF(p_mode="Nœud",$AB209*$K209,$L209*IF($G209="IKS",p_iks_cpu,p_roks_cpu)+$M209*IF($G209="IKS",p_iks_ram,p_roks_ram))*p_facteur)</f>
        <v/>
      </c>
      <c r="AD209" s="14" t="str">
        <f aca="false">IF($D209&lt;&gt;1,"",IF(AND($G209="IKS",$AI209&lt;&gt;1,OR($L209-$P209&lt;$N209,$M209-$Q209&lt;$O209)),1,0))</f>
        <v/>
      </c>
      <c r="AE209" s="14" t="str">
        <f aca="false">IF($D209&lt;&gt;1,"",IF(AND($G209="ROKS",$T209&gt;p_maxworkers),1,0))</f>
        <v/>
      </c>
      <c r="AF209" s="14" t="str">
        <f aca="false">IF($D209&lt;&gt;1,"",IF(INDEX(TblClusters[Environnement],$B209)="","(vide)",INDEX(TblClusters[Environnement],$B209)))</f>
        <v/>
      </c>
      <c r="AG209" s="14" t="str">
        <f aca="false">IF($D209&lt;&gt;1,"",$R209+p_poidsram*$S209)</f>
        <v/>
      </c>
      <c r="AH209" s="14" t="str">
        <f aca="false">IF($D209&lt;&gt;1,"",IFERROR($W209/$AG209,0))</f>
        <v/>
      </c>
      <c r="AI209" s="14" t="str">
        <f aca="false">IF($D209&lt;&gt;1,"",IF(AND($G209="IKS",ISNUMBER(INDEX(TblClusters[Fermeture retenue],$B209))),IF($E209&gt;=INDEX(TblClusters[Fermeture retenue],$B209),1,0),0))</f>
        <v/>
      </c>
    </row>
    <row r="210" customFormat="false" ht="15" hidden="false" customHeight="false" outlineLevel="0" collapsed="false">
      <c r="A210" s="14" t="n">
        <v>205</v>
      </c>
      <c r="B210" s="14" t="n">
        <f aca="false">INT(($A210-1)/36)+1</f>
        <v>6</v>
      </c>
      <c r="C210" s="14" t="n">
        <f aca="false">MOD($A210-1,36)+1</f>
        <v>25</v>
      </c>
      <c r="D210" s="14" t="n">
        <f aca="false">IF($C210&gt;p_horizon,0,IFERROR(IF(AND(INDEX(TblClusters[Cluster],$B210)&lt;&gt;"",ISNUMBER(INDEX(TblClusters[CPU initial (vCPU)],$B210)),ISNUMBER(INDEX(TblClusters[CPU min (vCPU)],$B210)),OR(INDEX(TblClusters[Plateforme],$B210)="IKS",INDEX(TblClusters[Plateforme],$B210)="ROKS")),1,0),0))</f>
        <v>0</v>
      </c>
      <c r="E210" s="83" t="str">
        <f aca="false">IF($D210=1,EDATE(p_debut,$C210-1),"")</f>
        <v/>
      </c>
      <c r="F210" s="14" t="str">
        <f aca="false">IF($D210=1,INDEX(TblClusters[Cluster],$B210),"")</f>
        <v/>
      </c>
      <c r="G210" s="14" t="str">
        <f aca="false">IF($D210=1,INDEX(TblClusters[Plateforme],$B210),"")</f>
        <v/>
      </c>
      <c r="H210" s="14" t="str">
        <f aca="false">IF($D210=1,INDEX(TblClusters[vCPU par nœud],$B210),"")</f>
        <v/>
      </c>
      <c r="I210" s="14" t="str">
        <f aca="false">IF($D210=1,INDEX(TblClusters[RAM par nœud (Go)],$B210),"")</f>
        <v/>
      </c>
      <c r="J210" s="14" t="str">
        <f aca="false">IF($D210=1,INDEX(TblClusters[Workers min],$B210),"")</f>
        <v/>
      </c>
      <c r="K210" s="84" t="str">
        <f aca="false">IF($D210=1,INDEX(TblClusters[Tarif par nœud],$B210),"")</f>
        <v/>
      </c>
      <c r="L210" s="14" t="str">
        <f aca="false">IF($D210=1,INDEX(TblClusters[CPU initial (vCPU)],$B210),"")</f>
        <v/>
      </c>
      <c r="M210" s="14" t="str">
        <f aca="false">IF($D210=1,INDEX(TblClusters[RAM initiale (Go)],$B210),"")</f>
        <v/>
      </c>
      <c r="N210" s="14" t="str">
        <f aca="false">IF($D210=1,INDEX(TblClusters[CPU min (vCPU)],$B210),"")</f>
        <v/>
      </c>
      <c r="O210" s="14" t="str">
        <f aca="false">IF($D210=1,INDEX(TblClusters[RAM min (Go)],$B210),"")</f>
        <v/>
      </c>
      <c r="P210" s="14" t="str">
        <f aca="false">IF($D210&lt;&gt;1,"",IF($G210="ROKS",SUMIFS(TblApplications[Besoin ROKS CPU (vCPU)],TblApplications[Cluster ROKS cible],$F210,TblApplications[Action],"À migrer",TblApplications[Déjà incluse ROKS],"Non",TblApplications[Mois prov (calc)],"&lt;="&amp;$E210),SUMIFS(TblApplications[CPU IKS libérable (vCPU)],TblApplications[Cluster IKS source],$F210,TblApplications[Mois lib (calc)],"&lt;="&amp;$E210)))</f>
        <v/>
      </c>
      <c r="Q210" s="14" t="str">
        <f aca="false">IF($D210&lt;&gt;1,"",IF($G210="ROKS",SUMIFS(TblApplications[Besoin ROKS RAM (Go)],TblApplications[Cluster ROKS cible],$F210,TblApplications[Action],"À migrer",TblApplications[Déjà incluse ROKS],"Non",TblApplications[Mois prov (calc)],"&lt;="&amp;$E210),SUMIFS(TblApplications[RAM IKS libérable (Go)],TblApplications[Cluster IKS source],$F210,TblApplications[Mois lib (calc)],"&lt;="&amp;$E210)))</f>
        <v/>
      </c>
      <c r="R210" s="14" t="str">
        <f aca="false">IF($D210&lt;&gt;1,"",IF($G210="ROKS",$L210+$P210,IF($AI210=1,0,MAX($N210,$L210-$P210))))</f>
        <v/>
      </c>
      <c r="S210" s="14" t="str">
        <f aca="false">IF($D210&lt;&gt;1,"",IF($G210="ROKS",$M210+$Q210,IF($AI210=1,0,MAX($O210,$M210-$Q210))))</f>
        <v/>
      </c>
      <c r="T210" s="14" t="str">
        <f aca="false">IF($D210&lt;&gt;1,"",IF($AI210=1,0,MAX($J210,ROUNDUP(MAX($R210/$H210,$S210/$I210),0))))</f>
        <v/>
      </c>
      <c r="U210" s="14" t="str">
        <f aca="false">IF($D210&lt;&gt;1,"",IF(p_mode="Nœud",$T210*$H210,$R210))</f>
        <v/>
      </c>
      <c r="V210" s="14" t="str">
        <f aca="false">IF($D210&lt;&gt;1,"",IF(p_mode="Nœud",$T210*$I210,$S210))</f>
        <v/>
      </c>
      <c r="W210" s="84" t="str">
        <f aca="false">IF($D210&lt;&gt;1,"",IF(p_mode="Nœud",$T210*$K210,$R210*IF($G210="IKS",p_iks_cpu,p_roks_cpu)+$S210*IF($G210="IKS",p_iks_ram,p_roks_ram))*p_facteur)</f>
        <v/>
      </c>
      <c r="X210" s="14" t="str">
        <f aca="false">IF($D210&lt;&gt;1,"",IF($G210="ROKS",$R210,IF($AI210=1,0,MAX($N210,$L210-SUMIFS(TblApplications[CPU IKS libérable (vCPU)],TblApplications[Cluster IKS source],$F210,TblApplications[Action],"À migrer",TblApplications[Mois prov (calc)],"&lt;="&amp;$E210)-SUMIFS(TblApplications[CPU IKS libérable (vCPU)],TblApplications[Cluster IKS source],$F210,TblApplications[Action],"À décommissionner",TblApplications[Mois lib (calc)],"&lt;="&amp;$E210)))))</f>
        <v/>
      </c>
      <c r="Y210" s="14" t="str">
        <f aca="false">IF($D210&lt;&gt;1,"",IF($G210="ROKS",$S210,IF($AI210=1,0,MAX($O210,$M210-SUMIFS(TblApplications[RAM IKS libérable (Go)],TblApplications[Cluster IKS source],$F210,TblApplications[Action],"À migrer",TblApplications[Mois prov (calc)],"&lt;="&amp;$E210)-SUMIFS(TblApplications[RAM IKS libérable (Go)],TblApplications[Cluster IKS source],$F210,TblApplications[Action],"À décommissionner",TblApplications[Mois lib (calc)],"&lt;="&amp;$E210)))))</f>
        <v/>
      </c>
      <c r="Z210" s="14" t="str">
        <f aca="false">IF($D210&lt;&gt;1,"",IF($AI210=1,0,MAX($J210,ROUNDUP(MAX($X210/$H210,$Y210/$I210),0))))</f>
        <v/>
      </c>
      <c r="AA210" s="84" t="str">
        <f aca="false">IF($D210&lt;&gt;1,"",IF(p_mode="Nœud",$Z210*$K210,$X210*IF($G210="IKS",p_iks_cpu,p_roks_cpu)+$Y210*IF($G210="IKS",p_iks_ram,p_roks_ram))*p_facteur)</f>
        <v/>
      </c>
      <c r="AB210" s="14" t="str">
        <f aca="false">IF($D210&lt;&gt;1,"",MAX($J210,ROUNDUP(MAX($L210/$H210,$M210/$I210),0)))</f>
        <v/>
      </c>
      <c r="AC210" s="84" t="str">
        <f aca="false">IF($D210&lt;&gt;1,"",IF(p_mode="Nœud",$AB210*$K210,$L210*IF($G210="IKS",p_iks_cpu,p_roks_cpu)+$M210*IF($G210="IKS",p_iks_ram,p_roks_ram))*p_facteur)</f>
        <v/>
      </c>
      <c r="AD210" s="14" t="str">
        <f aca="false">IF($D210&lt;&gt;1,"",IF(AND($G210="IKS",$AI210&lt;&gt;1,OR($L210-$P210&lt;$N210,$M210-$Q210&lt;$O210)),1,0))</f>
        <v/>
      </c>
      <c r="AE210" s="14" t="str">
        <f aca="false">IF($D210&lt;&gt;1,"",IF(AND($G210="ROKS",$T210&gt;p_maxworkers),1,0))</f>
        <v/>
      </c>
      <c r="AF210" s="14" t="str">
        <f aca="false">IF($D210&lt;&gt;1,"",IF(INDEX(TblClusters[Environnement],$B210)="","(vide)",INDEX(TblClusters[Environnement],$B210)))</f>
        <v/>
      </c>
      <c r="AG210" s="14" t="str">
        <f aca="false">IF($D210&lt;&gt;1,"",$R210+p_poidsram*$S210)</f>
        <v/>
      </c>
      <c r="AH210" s="14" t="str">
        <f aca="false">IF($D210&lt;&gt;1,"",IFERROR($W210/$AG210,0))</f>
        <v/>
      </c>
      <c r="AI210" s="14" t="str">
        <f aca="false">IF($D210&lt;&gt;1,"",IF(AND($G210="IKS",ISNUMBER(INDEX(TblClusters[Fermeture retenue],$B210))),IF($E210&gt;=INDEX(TblClusters[Fermeture retenue],$B210),1,0),0))</f>
        <v/>
      </c>
    </row>
    <row r="211" customFormat="false" ht="15" hidden="false" customHeight="false" outlineLevel="0" collapsed="false">
      <c r="A211" s="14" t="n">
        <v>206</v>
      </c>
      <c r="B211" s="14" t="n">
        <f aca="false">INT(($A211-1)/36)+1</f>
        <v>6</v>
      </c>
      <c r="C211" s="14" t="n">
        <f aca="false">MOD($A211-1,36)+1</f>
        <v>26</v>
      </c>
      <c r="D211" s="14" t="n">
        <f aca="false">IF($C211&gt;p_horizon,0,IFERROR(IF(AND(INDEX(TblClusters[Cluster],$B211)&lt;&gt;"",ISNUMBER(INDEX(TblClusters[CPU initial (vCPU)],$B211)),ISNUMBER(INDEX(TblClusters[CPU min (vCPU)],$B211)),OR(INDEX(TblClusters[Plateforme],$B211)="IKS",INDEX(TblClusters[Plateforme],$B211)="ROKS")),1,0),0))</f>
        <v>0</v>
      </c>
      <c r="E211" s="83" t="str">
        <f aca="false">IF($D211=1,EDATE(p_debut,$C211-1),"")</f>
        <v/>
      </c>
      <c r="F211" s="14" t="str">
        <f aca="false">IF($D211=1,INDEX(TblClusters[Cluster],$B211),"")</f>
        <v/>
      </c>
      <c r="G211" s="14" t="str">
        <f aca="false">IF($D211=1,INDEX(TblClusters[Plateforme],$B211),"")</f>
        <v/>
      </c>
      <c r="H211" s="14" t="str">
        <f aca="false">IF($D211=1,INDEX(TblClusters[vCPU par nœud],$B211),"")</f>
        <v/>
      </c>
      <c r="I211" s="14" t="str">
        <f aca="false">IF($D211=1,INDEX(TblClusters[RAM par nœud (Go)],$B211),"")</f>
        <v/>
      </c>
      <c r="J211" s="14" t="str">
        <f aca="false">IF($D211=1,INDEX(TblClusters[Workers min],$B211),"")</f>
        <v/>
      </c>
      <c r="K211" s="84" t="str">
        <f aca="false">IF($D211=1,INDEX(TblClusters[Tarif par nœud],$B211),"")</f>
        <v/>
      </c>
      <c r="L211" s="14" t="str">
        <f aca="false">IF($D211=1,INDEX(TblClusters[CPU initial (vCPU)],$B211),"")</f>
        <v/>
      </c>
      <c r="M211" s="14" t="str">
        <f aca="false">IF($D211=1,INDEX(TblClusters[RAM initiale (Go)],$B211),"")</f>
        <v/>
      </c>
      <c r="N211" s="14" t="str">
        <f aca="false">IF($D211=1,INDEX(TblClusters[CPU min (vCPU)],$B211),"")</f>
        <v/>
      </c>
      <c r="O211" s="14" t="str">
        <f aca="false">IF($D211=1,INDEX(TblClusters[RAM min (Go)],$B211),"")</f>
        <v/>
      </c>
      <c r="P211" s="14" t="str">
        <f aca="false">IF($D211&lt;&gt;1,"",IF($G211="ROKS",SUMIFS(TblApplications[Besoin ROKS CPU (vCPU)],TblApplications[Cluster ROKS cible],$F211,TblApplications[Action],"À migrer",TblApplications[Déjà incluse ROKS],"Non",TblApplications[Mois prov (calc)],"&lt;="&amp;$E211),SUMIFS(TblApplications[CPU IKS libérable (vCPU)],TblApplications[Cluster IKS source],$F211,TblApplications[Mois lib (calc)],"&lt;="&amp;$E211)))</f>
        <v/>
      </c>
      <c r="Q211" s="14" t="str">
        <f aca="false">IF($D211&lt;&gt;1,"",IF($G211="ROKS",SUMIFS(TblApplications[Besoin ROKS RAM (Go)],TblApplications[Cluster ROKS cible],$F211,TblApplications[Action],"À migrer",TblApplications[Déjà incluse ROKS],"Non",TblApplications[Mois prov (calc)],"&lt;="&amp;$E211),SUMIFS(TblApplications[RAM IKS libérable (Go)],TblApplications[Cluster IKS source],$F211,TblApplications[Mois lib (calc)],"&lt;="&amp;$E211)))</f>
        <v/>
      </c>
      <c r="R211" s="14" t="str">
        <f aca="false">IF($D211&lt;&gt;1,"",IF($G211="ROKS",$L211+$P211,IF($AI211=1,0,MAX($N211,$L211-$P211))))</f>
        <v/>
      </c>
      <c r="S211" s="14" t="str">
        <f aca="false">IF($D211&lt;&gt;1,"",IF($G211="ROKS",$M211+$Q211,IF($AI211=1,0,MAX($O211,$M211-$Q211))))</f>
        <v/>
      </c>
      <c r="T211" s="14" t="str">
        <f aca="false">IF($D211&lt;&gt;1,"",IF($AI211=1,0,MAX($J211,ROUNDUP(MAX($R211/$H211,$S211/$I211),0))))</f>
        <v/>
      </c>
      <c r="U211" s="14" t="str">
        <f aca="false">IF($D211&lt;&gt;1,"",IF(p_mode="Nœud",$T211*$H211,$R211))</f>
        <v/>
      </c>
      <c r="V211" s="14" t="str">
        <f aca="false">IF($D211&lt;&gt;1,"",IF(p_mode="Nœud",$T211*$I211,$S211))</f>
        <v/>
      </c>
      <c r="W211" s="84" t="str">
        <f aca="false">IF($D211&lt;&gt;1,"",IF(p_mode="Nœud",$T211*$K211,$R211*IF($G211="IKS",p_iks_cpu,p_roks_cpu)+$S211*IF($G211="IKS",p_iks_ram,p_roks_ram))*p_facteur)</f>
        <v/>
      </c>
      <c r="X211" s="14" t="str">
        <f aca="false">IF($D211&lt;&gt;1,"",IF($G211="ROKS",$R211,IF($AI211=1,0,MAX($N211,$L211-SUMIFS(TblApplications[CPU IKS libérable (vCPU)],TblApplications[Cluster IKS source],$F211,TblApplications[Action],"À migrer",TblApplications[Mois prov (calc)],"&lt;="&amp;$E211)-SUMIFS(TblApplications[CPU IKS libérable (vCPU)],TblApplications[Cluster IKS source],$F211,TblApplications[Action],"À décommissionner",TblApplications[Mois lib (calc)],"&lt;="&amp;$E211)))))</f>
        <v/>
      </c>
      <c r="Y211" s="14" t="str">
        <f aca="false">IF($D211&lt;&gt;1,"",IF($G211="ROKS",$S211,IF($AI211=1,0,MAX($O211,$M211-SUMIFS(TblApplications[RAM IKS libérable (Go)],TblApplications[Cluster IKS source],$F211,TblApplications[Action],"À migrer",TblApplications[Mois prov (calc)],"&lt;="&amp;$E211)-SUMIFS(TblApplications[RAM IKS libérable (Go)],TblApplications[Cluster IKS source],$F211,TblApplications[Action],"À décommissionner",TblApplications[Mois lib (calc)],"&lt;="&amp;$E211)))))</f>
        <v/>
      </c>
      <c r="Z211" s="14" t="str">
        <f aca="false">IF($D211&lt;&gt;1,"",IF($AI211=1,0,MAX($J211,ROUNDUP(MAX($X211/$H211,$Y211/$I211),0))))</f>
        <v/>
      </c>
      <c r="AA211" s="84" t="str">
        <f aca="false">IF($D211&lt;&gt;1,"",IF(p_mode="Nœud",$Z211*$K211,$X211*IF($G211="IKS",p_iks_cpu,p_roks_cpu)+$Y211*IF($G211="IKS",p_iks_ram,p_roks_ram))*p_facteur)</f>
        <v/>
      </c>
      <c r="AB211" s="14" t="str">
        <f aca="false">IF($D211&lt;&gt;1,"",MAX($J211,ROUNDUP(MAX($L211/$H211,$M211/$I211),0)))</f>
        <v/>
      </c>
      <c r="AC211" s="84" t="str">
        <f aca="false">IF($D211&lt;&gt;1,"",IF(p_mode="Nœud",$AB211*$K211,$L211*IF($G211="IKS",p_iks_cpu,p_roks_cpu)+$M211*IF($G211="IKS",p_iks_ram,p_roks_ram))*p_facteur)</f>
        <v/>
      </c>
      <c r="AD211" s="14" t="str">
        <f aca="false">IF($D211&lt;&gt;1,"",IF(AND($G211="IKS",$AI211&lt;&gt;1,OR($L211-$P211&lt;$N211,$M211-$Q211&lt;$O211)),1,0))</f>
        <v/>
      </c>
      <c r="AE211" s="14" t="str">
        <f aca="false">IF($D211&lt;&gt;1,"",IF(AND($G211="ROKS",$T211&gt;p_maxworkers),1,0))</f>
        <v/>
      </c>
      <c r="AF211" s="14" t="str">
        <f aca="false">IF($D211&lt;&gt;1,"",IF(INDEX(TblClusters[Environnement],$B211)="","(vide)",INDEX(TblClusters[Environnement],$B211)))</f>
        <v/>
      </c>
      <c r="AG211" s="14" t="str">
        <f aca="false">IF($D211&lt;&gt;1,"",$R211+p_poidsram*$S211)</f>
        <v/>
      </c>
      <c r="AH211" s="14" t="str">
        <f aca="false">IF($D211&lt;&gt;1,"",IFERROR($W211/$AG211,0))</f>
        <v/>
      </c>
      <c r="AI211" s="14" t="str">
        <f aca="false">IF($D211&lt;&gt;1,"",IF(AND($G211="IKS",ISNUMBER(INDEX(TblClusters[Fermeture retenue],$B211))),IF($E211&gt;=INDEX(TblClusters[Fermeture retenue],$B211),1,0),0))</f>
        <v/>
      </c>
    </row>
    <row r="212" customFormat="false" ht="15" hidden="false" customHeight="false" outlineLevel="0" collapsed="false">
      <c r="A212" s="14" t="n">
        <v>207</v>
      </c>
      <c r="B212" s="14" t="n">
        <f aca="false">INT(($A212-1)/36)+1</f>
        <v>6</v>
      </c>
      <c r="C212" s="14" t="n">
        <f aca="false">MOD($A212-1,36)+1</f>
        <v>27</v>
      </c>
      <c r="D212" s="14" t="n">
        <f aca="false">IF($C212&gt;p_horizon,0,IFERROR(IF(AND(INDEX(TblClusters[Cluster],$B212)&lt;&gt;"",ISNUMBER(INDEX(TblClusters[CPU initial (vCPU)],$B212)),ISNUMBER(INDEX(TblClusters[CPU min (vCPU)],$B212)),OR(INDEX(TblClusters[Plateforme],$B212)="IKS",INDEX(TblClusters[Plateforme],$B212)="ROKS")),1,0),0))</f>
        <v>0</v>
      </c>
      <c r="E212" s="83" t="str">
        <f aca="false">IF($D212=1,EDATE(p_debut,$C212-1),"")</f>
        <v/>
      </c>
      <c r="F212" s="14" t="str">
        <f aca="false">IF($D212=1,INDEX(TblClusters[Cluster],$B212),"")</f>
        <v/>
      </c>
      <c r="G212" s="14" t="str">
        <f aca="false">IF($D212=1,INDEX(TblClusters[Plateforme],$B212),"")</f>
        <v/>
      </c>
      <c r="H212" s="14" t="str">
        <f aca="false">IF($D212=1,INDEX(TblClusters[vCPU par nœud],$B212),"")</f>
        <v/>
      </c>
      <c r="I212" s="14" t="str">
        <f aca="false">IF($D212=1,INDEX(TblClusters[RAM par nœud (Go)],$B212),"")</f>
        <v/>
      </c>
      <c r="J212" s="14" t="str">
        <f aca="false">IF($D212=1,INDEX(TblClusters[Workers min],$B212),"")</f>
        <v/>
      </c>
      <c r="K212" s="84" t="str">
        <f aca="false">IF($D212=1,INDEX(TblClusters[Tarif par nœud],$B212),"")</f>
        <v/>
      </c>
      <c r="L212" s="14" t="str">
        <f aca="false">IF($D212=1,INDEX(TblClusters[CPU initial (vCPU)],$B212),"")</f>
        <v/>
      </c>
      <c r="M212" s="14" t="str">
        <f aca="false">IF($D212=1,INDEX(TblClusters[RAM initiale (Go)],$B212),"")</f>
        <v/>
      </c>
      <c r="N212" s="14" t="str">
        <f aca="false">IF($D212=1,INDEX(TblClusters[CPU min (vCPU)],$B212),"")</f>
        <v/>
      </c>
      <c r="O212" s="14" t="str">
        <f aca="false">IF($D212=1,INDEX(TblClusters[RAM min (Go)],$B212),"")</f>
        <v/>
      </c>
      <c r="P212" s="14" t="str">
        <f aca="false">IF($D212&lt;&gt;1,"",IF($G212="ROKS",SUMIFS(TblApplications[Besoin ROKS CPU (vCPU)],TblApplications[Cluster ROKS cible],$F212,TblApplications[Action],"À migrer",TblApplications[Déjà incluse ROKS],"Non",TblApplications[Mois prov (calc)],"&lt;="&amp;$E212),SUMIFS(TblApplications[CPU IKS libérable (vCPU)],TblApplications[Cluster IKS source],$F212,TblApplications[Mois lib (calc)],"&lt;="&amp;$E212)))</f>
        <v/>
      </c>
      <c r="Q212" s="14" t="str">
        <f aca="false">IF($D212&lt;&gt;1,"",IF($G212="ROKS",SUMIFS(TblApplications[Besoin ROKS RAM (Go)],TblApplications[Cluster ROKS cible],$F212,TblApplications[Action],"À migrer",TblApplications[Déjà incluse ROKS],"Non",TblApplications[Mois prov (calc)],"&lt;="&amp;$E212),SUMIFS(TblApplications[RAM IKS libérable (Go)],TblApplications[Cluster IKS source],$F212,TblApplications[Mois lib (calc)],"&lt;="&amp;$E212)))</f>
        <v/>
      </c>
      <c r="R212" s="14" t="str">
        <f aca="false">IF($D212&lt;&gt;1,"",IF($G212="ROKS",$L212+$P212,IF($AI212=1,0,MAX($N212,$L212-$P212))))</f>
        <v/>
      </c>
      <c r="S212" s="14" t="str">
        <f aca="false">IF($D212&lt;&gt;1,"",IF($G212="ROKS",$M212+$Q212,IF($AI212=1,0,MAX($O212,$M212-$Q212))))</f>
        <v/>
      </c>
      <c r="T212" s="14" t="str">
        <f aca="false">IF($D212&lt;&gt;1,"",IF($AI212=1,0,MAX($J212,ROUNDUP(MAX($R212/$H212,$S212/$I212),0))))</f>
        <v/>
      </c>
      <c r="U212" s="14" t="str">
        <f aca="false">IF($D212&lt;&gt;1,"",IF(p_mode="Nœud",$T212*$H212,$R212))</f>
        <v/>
      </c>
      <c r="V212" s="14" t="str">
        <f aca="false">IF($D212&lt;&gt;1,"",IF(p_mode="Nœud",$T212*$I212,$S212))</f>
        <v/>
      </c>
      <c r="W212" s="84" t="str">
        <f aca="false">IF($D212&lt;&gt;1,"",IF(p_mode="Nœud",$T212*$K212,$R212*IF($G212="IKS",p_iks_cpu,p_roks_cpu)+$S212*IF($G212="IKS",p_iks_ram,p_roks_ram))*p_facteur)</f>
        <v/>
      </c>
      <c r="X212" s="14" t="str">
        <f aca="false">IF($D212&lt;&gt;1,"",IF($G212="ROKS",$R212,IF($AI212=1,0,MAX($N212,$L212-SUMIFS(TblApplications[CPU IKS libérable (vCPU)],TblApplications[Cluster IKS source],$F212,TblApplications[Action],"À migrer",TblApplications[Mois prov (calc)],"&lt;="&amp;$E212)-SUMIFS(TblApplications[CPU IKS libérable (vCPU)],TblApplications[Cluster IKS source],$F212,TblApplications[Action],"À décommissionner",TblApplications[Mois lib (calc)],"&lt;="&amp;$E212)))))</f>
        <v/>
      </c>
      <c r="Y212" s="14" t="str">
        <f aca="false">IF($D212&lt;&gt;1,"",IF($G212="ROKS",$S212,IF($AI212=1,0,MAX($O212,$M212-SUMIFS(TblApplications[RAM IKS libérable (Go)],TblApplications[Cluster IKS source],$F212,TblApplications[Action],"À migrer",TblApplications[Mois prov (calc)],"&lt;="&amp;$E212)-SUMIFS(TblApplications[RAM IKS libérable (Go)],TblApplications[Cluster IKS source],$F212,TblApplications[Action],"À décommissionner",TblApplications[Mois lib (calc)],"&lt;="&amp;$E212)))))</f>
        <v/>
      </c>
      <c r="Z212" s="14" t="str">
        <f aca="false">IF($D212&lt;&gt;1,"",IF($AI212=1,0,MAX($J212,ROUNDUP(MAX($X212/$H212,$Y212/$I212),0))))</f>
        <v/>
      </c>
      <c r="AA212" s="84" t="str">
        <f aca="false">IF($D212&lt;&gt;1,"",IF(p_mode="Nœud",$Z212*$K212,$X212*IF($G212="IKS",p_iks_cpu,p_roks_cpu)+$Y212*IF($G212="IKS",p_iks_ram,p_roks_ram))*p_facteur)</f>
        <v/>
      </c>
      <c r="AB212" s="14" t="str">
        <f aca="false">IF($D212&lt;&gt;1,"",MAX($J212,ROUNDUP(MAX($L212/$H212,$M212/$I212),0)))</f>
        <v/>
      </c>
      <c r="AC212" s="84" t="str">
        <f aca="false">IF($D212&lt;&gt;1,"",IF(p_mode="Nœud",$AB212*$K212,$L212*IF($G212="IKS",p_iks_cpu,p_roks_cpu)+$M212*IF($G212="IKS",p_iks_ram,p_roks_ram))*p_facteur)</f>
        <v/>
      </c>
      <c r="AD212" s="14" t="str">
        <f aca="false">IF($D212&lt;&gt;1,"",IF(AND($G212="IKS",$AI212&lt;&gt;1,OR($L212-$P212&lt;$N212,$M212-$Q212&lt;$O212)),1,0))</f>
        <v/>
      </c>
      <c r="AE212" s="14" t="str">
        <f aca="false">IF($D212&lt;&gt;1,"",IF(AND($G212="ROKS",$T212&gt;p_maxworkers),1,0))</f>
        <v/>
      </c>
      <c r="AF212" s="14" t="str">
        <f aca="false">IF($D212&lt;&gt;1,"",IF(INDEX(TblClusters[Environnement],$B212)="","(vide)",INDEX(TblClusters[Environnement],$B212)))</f>
        <v/>
      </c>
      <c r="AG212" s="14" t="str">
        <f aca="false">IF($D212&lt;&gt;1,"",$R212+p_poidsram*$S212)</f>
        <v/>
      </c>
      <c r="AH212" s="14" t="str">
        <f aca="false">IF($D212&lt;&gt;1,"",IFERROR($W212/$AG212,0))</f>
        <v/>
      </c>
      <c r="AI212" s="14" t="str">
        <f aca="false">IF($D212&lt;&gt;1,"",IF(AND($G212="IKS",ISNUMBER(INDEX(TblClusters[Fermeture retenue],$B212))),IF($E212&gt;=INDEX(TblClusters[Fermeture retenue],$B212),1,0),0))</f>
        <v/>
      </c>
    </row>
    <row r="213" customFormat="false" ht="15" hidden="false" customHeight="false" outlineLevel="0" collapsed="false">
      <c r="A213" s="14" t="n">
        <v>208</v>
      </c>
      <c r="B213" s="14" t="n">
        <f aca="false">INT(($A213-1)/36)+1</f>
        <v>6</v>
      </c>
      <c r="C213" s="14" t="n">
        <f aca="false">MOD($A213-1,36)+1</f>
        <v>28</v>
      </c>
      <c r="D213" s="14" t="n">
        <f aca="false">IF($C213&gt;p_horizon,0,IFERROR(IF(AND(INDEX(TblClusters[Cluster],$B213)&lt;&gt;"",ISNUMBER(INDEX(TblClusters[CPU initial (vCPU)],$B213)),ISNUMBER(INDEX(TblClusters[CPU min (vCPU)],$B213)),OR(INDEX(TblClusters[Plateforme],$B213)="IKS",INDEX(TblClusters[Plateforme],$B213)="ROKS")),1,0),0))</f>
        <v>0</v>
      </c>
      <c r="E213" s="83" t="str">
        <f aca="false">IF($D213=1,EDATE(p_debut,$C213-1),"")</f>
        <v/>
      </c>
      <c r="F213" s="14" t="str">
        <f aca="false">IF($D213=1,INDEX(TblClusters[Cluster],$B213),"")</f>
        <v/>
      </c>
      <c r="G213" s="14" t="str">
        <f aca="false">IF($D213=1,INDEX(TblClusters[Plateforme],$B213),"")</f>
        <v/>
      </c>
      <c r="H213" s="14" t="str">
        <f aca="false">IF($D213=1,INDEX(TblClusters[vCPU par nœud],$B213),"")</f>
        <v/>
      </c>
      <c r="I213" s="14" t="str">
        <f aca="false">IF($D213=1,INDEX(TblClusters[RAM par nœud (Go)],$B213),"")</f>
        <v/>
      </c>
      <c r="J213" s="14" t="str">
        <f aca="false">IF($D213=1,INDEX(TblClusters[Workers min],$B213),"")</f>
        <v/>
      </c>
      <c r="K213" s="84" t="str">
        <f aca="false">IF($D213=1,INDEX(TblClusters[Tarif par nœud],$B213),"")</f>
        <v/>
      </c>
      <c r="L213" s="14" t="str">
        <f aca="false">IF($D213=1,INDEX(TblClusters[CPU initial (vCPU)],$B213),"")</f>
        <v/>
      </c>
      <c r="M213" s="14" t="str">
        <f aca="false">IF($D213=1,INDEX(TblClusters[RAM initiale (Go)],$B213),"")</f>
        <v/>
      </c>
      <c r="N213" s="14" t="str">
        <f aca="false">IF($D213=1,INDEX(TblClusters[CPU min (vCPU)],$B213),"")</f>
        <v/>
      </c>
      <c r="O213" s="14" t="str">
        <f aca="false">IF($D213=1,INDEX(TblClusters[RAM min (Go)],$B213),"")</f>
        <v/>
      </c>
      <c r="P213" s="14" t="str">
        <f aca="false">IF($D213&lt;&gt;1,"",IF($G213="ROKS",SUMIFS(TblApplications[Besoin ROKS CPU (vCPU)],TblApplications[Cluster ROKS cible],$F213,TblApplications[Action],"À migrer",TblApplications[Déjà incluse ROKS],"Non",TblApplications[Mois prov (calc)],"&lt;="&amp;$E213),SUMIFS(TblApplications[CPU IKS libérable (vCPU)],TblApplications[Cluster IKS source],$F213,TblApplications[Mois lib (calc)],"&lt;="&amp;$E213)))</f>
        <v/>
      </c>
      <c r="Q213" s="14" t="str">
        <f aca="false">IF($D213&lt;&gt;1,"",IF($G213="ROKS",SUMIFS(TblApplications[Besoin ROKS RAM (Go)],TblApplications[Cluster ROKS cible],$F213,TblApplications[Action],"À migrer",TblApplications[Déjà incluse ROKS],"Non",TblApplications[Mois prov (calc)],"&lt;="&amp;$E213),SUMIFS(TblApplications[RAM IKS libérable (Go)],TblApplications[Cluster IKS source],$F213,TblApplications[Mois lib (calc)],"&lt;="&amp;$E213)))</f>
        <v/>
      </c>
      <c r="R213" s="14" t="str">
        <f aca="false">IF($D213&lt;&gt;1,"",IF($G213="ROKS",$L213+$P213,IF($AI213=1,0,MAX($N213,$L213-$P213))))</f>
        <v/>
      </c>
      <c r="S213" s="14" t="str">
        <f aca="false">IF($D213&lt;&gt;1,"",IF($G213="ROKS",$M213+$Q213,IF($AI213=1,0,MAX($O213,$M213-$Q213))))</f>
        <v/>
      </c>
      <c r="T213" s="14" t="str">
        <f aca="false">IF($D213&lt;&gt;1,"",IF($AI213=1,0,MAX($J213,ROUNDUP(MAX($R213/$H213,$S213/$I213),0))))</f>
        <v/>
      </c>
      <c r="U213" s="14" t="str">
        <f aca="false">IF($D213&lt;&gt;1,"",IF(p_mode="Nœud",$T213*$H213,$R213))</f>
        <v/>
      </c>
      <c r="V213" s="14" t="str">
        <f aca="false">IF($D213&lt;&gt;1,"",IF(p_mode="Nœud",$T213*$I213,$S213))</f>
        <v/>
      </c>
      <c r="W213" s="84" t="str">
        <f aca="false">IF($D213&lt;&gt;1,"",IF(p_mode="Nœud",$T213*$K213,$R213*IF($G213="IKS",p_iks_cpu,p_roks_cpu)+$S213*IF($G213="IKS",p_iks_ram,p_roks_ram))*p_facteur)</f>
        <v/>
      </c>
      <c r="X213" s="14" t="str">
        <f aca="false">IF($D213&lt;&gt;1,"",IF($G213="ROKS",$R213,IF($AI213=1,0,MAX($N213,$L213-SUMIFS(TblApplications[CPU IKS libérable (vCPU)],TblApplications[Cluster IKS source],$F213,TblApplications[Action],"À migrer",TblApplications[Mois prov (calc)],"&lt;="&amp;$E213)-SUMIFS(TblApplications[CPU IKS libérable (vCPU)],TblApplications[Cluster IKS source],$F213,TblApplications[Action],"À décommissionner",TblApplications[Mois lib (calc)],"&lt;="&amp;$E213)))))</f>
        <v/>
      </c>
      <c r="Y213" s="14" t="str">
        <f aca="false">IF($D213&lt;&gt;1,"",IF($G213="ROKS",$S213,IF($AI213=1,0,MAX($O213,$M213-SUMIFS(TblApplications[RAM IKS libérable (Go)],TblApplications[Cluster IKS source],$F213,TblApplications[Action],"À migrer",TblApplications[Mois prov (calc)],"&lt;="&amp;$E213)-SUMIFS(TblApplications[RAM IKS libérable (Go)],TblApplications[Cluster IKS source],$F213,TblApplications[Action],"À décommissionner",TblApplications[Mois lib (calc)],"&lt;="&amp;$E213)))))</f>
        <v/>
      </c>
      <c r="Z213" s="14" t="str">
        <f aca="false">IF($D213&lt;&gt;1,"",IF($AI213=1,0,MAX($J213,ROUNDUP(MAX($X213/$H213,$Y213/$I213),0))))</f>
        <v/>
      </c>
      <c r="AA213" s="84" t="str">
        <f aca="false">IF($D213&lt;&gt;1,"",IF(p_mode="Nœud",$Z213*$K213,$X213*IF($G213="IKS",p_iks_cpu,p_roks_cpu)+$Y213*IF($G213="IKS",p_iks_ram,p_roks_ram))*p_facteur)</f>
        <v/>
      </c>
      <c r="AB213" s="14" t="str">
        <f aca="false">IF($D213&lt;&gt;1,"",MAX($J213,ROUNDUP(MAX($L213/$H213,$M213/$I213),0)))</f>
        <v/>
      </c>
      <c r="AC213" s="84" t="str">
        <f aca="false">IF($D213&lt;&gt;1,"",IF(p_mode="Nœud",$AB213*$K213,$L213*IF($G213="IKS",p_iks_cpu,p_roks_cpu)+$M213*IF($G213="IKS",p_iks_ram,p_roks_ram))*p_facteur)</f>
        <v/>
      </c>
      <c r="AD213" s="14" t="str">
        <f aca="false">IF($D213&lt;&gt;1,"",IF(AND($G213="IKS",$AI213&lt;&gt;1,OR($L213-$P213&lt;$N213,$M213-$Q213&lt;$O213)),1,0))</f>
        <v/>
      </c>
      <c r="AE213" s="14" t="str">
        <f aca="false">IF($D213&lt;&gt;1,"",IF(AND($G213="ROKS",$T213&gt;p_maxworkers),1,0))</f>
        <v/>
      </c>
      <c r="AF213" s="14" t="str">
        <f aca="false">IF($D213&lt;&gt;1,"",IF(INDEX(TblClusters[Environnement],$B213)="","(vide)",INDEX(TblClusters[Environnement],$B213)))</f>
        <v/>
      </c>
      <c r="AG213" s="14" t="str">
        <f aca="false">IF($D213&lt;&gt;1,"",$R213+p_poidsram*$S213)</f>
        <v/>
      </c>
      <c r="AH213" s="14" t="str">
        <f aca="false">IF($D213&lt;&gt;1,"",IFERROR($W213/$AG213,0))</f>
        <v/>
      </c>
      <c r="AI213" s="14" t="str">
        <f aca="false">IF($D213&lt;&gt;1,"",IF(AND($G213="IKS",ISNUMBER(INDEX(TblClusters[Fermeture retenue],$B213))),IF($E213&gt;=INDEX(TblClusters[Fermeture retenue],$B213),1,0),0))</f>
        <v/>
      </c>
    </row>
    <row r="214" customFormat="false" ht="15" hidden="false" customHeight="false" outlineLevel="0" collapsed="false">
      <c r="A214" s="14" t="n">
        <v>209</v>
      </c>
      <c r="B214" s="14" t="n">
        <f aca="false">INT(($A214-1)/36)+1</f>
        <v>6</v>
      </c>
      <c r="C214" s="14" t="n">
        <f aca="false">MOD($A214-1,36)+1</f>
        <v>29</v>
      </c>
      <c r="D214" s="14" t="n">
        <f aca="false">IF($C214&gt;p_horizon,0,IFERROR(IF(AND(INDEX(TblClusters[Cluster],$B214)&lt;&gt;"",ISNUMBER(INDEX(TblClusters[CPU initial (vCPU)],$B214)),ISNUMBER(INDEX(TblClusters[CPU min (vCPU)],$B214)),OR(INDEX(TblClusters[Plateforme],$B214)="IKS",INDEX(TblClusters[Plateforme],$B214)="ROKS")),1,0),0))</f>
        <v>0</v>
      </c>
      <c r="E214" s="83" t="str">
        <f aca="false">IF($D214=1,EDATE(p_debut,$C214-1),"")</f>
        <v/>
      </c>
      <c r="F214" s="14" t="str">
        <f aca="false">IF($D214=1,INDEX(TblClusters[Cluster],$B214),"")</f>
        <v/>
      </c>
      <c r="G214" s="14" t="str">
        <f aca="false">IF($D214=1,INDEX(TblClusters[Plateforme],$B214),"")</f>
        <v/>
      </c>
      <c r="H214" s="14" t="str">
        <f aca="false">IF($D214=1,INDEX(TblClusters[vCPU par nœud],$B214),"")</f>
        <v/>
      </c>
      <c r="I214" s="14" t="str">
        <f aca="false">IF($D214=1,INDEX(TblClusters[RAM par nœud (Go)],$B214),"")</f>
        <v/>
      </c>
      <c r="J214" s="14" t="str">
        <f aca="false">IF($D214=1,INDEX(TblClusters[Workers min],$B214),"")</f>
        <v/>
      </c>
      <c r="K214" s="84" t="str">
        <f aca="false">IF($D214=1,INDEX(TblClusters[Tarif par nœud],$B214),"")</f>
        <v/>
      </c>
      <c r="L214" s="14" t="str">
        <f aca="false">IF($D214=1,INDEX(TblClusters[CPU initial (vCPU)],$B214),"")</f>
        <v/>
      </c>
      <c r="M214" s="14" t="str">
        <f aca="false">IF($D214=1,INDEX(TblClusters[RAM initiale (Go)],$B214),"")</f>
        <v/>
      </c>
      <c r="N214" s="14" t="str">
        <f aca="false">IF($D214=1,INDEX(TblClusters[CPU min (vCPU)],$B214),"")</f>
        <v/>
      </c>
      <c r="O214" s="14" t="str">
        <f aca="false">IF($D214=1,INDEX(TblClusters[RAM min (Go)],$B214),"")</f>
        <v/>
      </c>
      <c r="P214" s="14" t="str">
        <f aca="false">IF($D214&lt;&gt;1,"",IF($G214="ROKS",SUMIFS(TblApplications[Besoin ROKS CPU (vCPU)],TblApplications[Cluster ROKS cible],$F214,TblApplications[Action],"À migrer",TblApplications[Déjà incluse ROKS],"Non",TblApplications[Mois prov (calc)],"&lt;="&amp;$E214),SUMIFS(TblApplications[CPU IKS libérable (vCPU)],TblApplications[Cluster IKS source],$F214,TblApplications[Mois lib (calc)],"&lt;="&amp;$E214)))</f>
        <v/>
      </c>
      <c r="Q214" s="14" t="str">
        <f aca="false">IF($D214&lt;&gt;1,"",IF($G214="ROKS",SUMIFS(TblApplications[Besoin ROKS RAM (Go)],TblApplications[Cluster ROKS cible],$F214,TblApplications[Action],"À migrer",TblApplications[Déjà incluse ROKS],"Non",TblApplications[Mois prov (calc)],"&lt;="&amp;$E214),SUMIFS(TblApplications[RAM IKS libérable (Go)],TblApplications[Cluster IKS source],$F214,TblApplications[Mois lib (calc)],"&lt;="&amp;$E214)))</f>
        <v/>
      </c>
      <c r="R214" s="14" t="str">
        <f aca="false">IF($D214&lt;&gt;1,"",IF($G214="ROKS",$L214+$P214,IF($AI214=1,0,MAX($N214,$L214-$P214))))</f>
        <v/>
      </c>
      <c r="S214" s="14" t="str">
        <f aca="false">IF($D214&lt;&gt;1,"",IF($G214="ROKS",$M214+$Q214,IF($AI214=1,0,MAX($O214,$M214-$Q214))))</f>
        <v/>
      </c>
      <c r="T214" s="14" t="str">
        <f aca="false">IF($D214&lt;&gt;1,"",IF($AI214=1,0,MAX($J214,ROUNDUP(MAX($R214/$H214,$S214/$I214),0))))</f>
        <v/>
      </c>
      <c r="U214" s="14" t="str">
        <f aca="false">IF($D214&lt;&gt;1,"",IF(p_mode="Nœud",$T214*$H214,$R214))</f>
        <v/>
      </c>
      <c r="V214" s="14" t="str">
        <f aca="false">IF($D214&lt;&gt;1,"",IF(p_mode="Nœud",$T214*$I214,$S214))</f>
        <v/>
      </c>
      <c r="W214" s="84" t="str">
        <f aca="false">IF($D214&lt;&gt;1,"",IF(p_mode="Nœud",$T214*$K214,$R214*IF($G214="IKS",p_iks_cpu,p_roks_cpu)+$S214*IF($G214="IKS",p_iks_ram,p_roks_ram))*p_facteur)</f>
        <v/>
      </c>
      <c r="X214" s="14" t="str">
        <f aca="false">IF($D214&lt;&gt;1,"",IF($G214="ROKS",$R214,IF($AI214=1,0,MAX($N214,$L214-SUMIFS(TblApplications[CPU IKS libérable (vCPU)],TblApplications[Cluster IKS source],$F214,TblApplications[Action],"À migrer",TblApplications[Mois prov (calc)],"&lt;="&amp;$E214)-SUMIFS(TblApplications[CPU IKS libérable (vCPU)],TblApplications[Cluster IKS source],$F214,TblApplications[Action],"À décommissionner",TblApplications[Mois lib (calc)],"&lt;="&amp;$E214)))))</f>
        <v/>
      </c>
      <c r="Y214" s="14" t="str">
        <f aca="false">IF($D214&lt;&gt;1,"",IF($G214="ROKS",$S214,IF($AI214=1,0,MAX($O214,$M214-SUMIFS(TblApplications[RAM IKS libérable (Go)],TblApplications[Cluster IKS source],$F214,TblApplications[Action],"À migrer",TblApplications[Mois prov (calc)],"&lt;="&amp;$E214)-SUMIFS(TblApplications[RAM IKS libérable (Go)],TblApplications[Cluster IKS source],$F214,TblApplications[Action],"À décommissionner",TblApplications[Mois lib (calc)],"&lt;="&amp;$E214)))))</f>
        <v/>
      </c>
      <c r="Z214" s="14" t="str">
        <f aca="false">IF($D214&lt;&gt;1,"",IF($AI214=1,0,MAX($J214,ROUNDUP(MAX($X214/$H214,$Y214/$I214),0))))</f>
        <v/>
      </c>
      <c r="AA214" s="84" t="str">
        <f aca="false">IF($D214&lt;&gt;1,"",IF(p_mode="Nœud",$Z214*$K214,$X214*IF($G214="IKS",p_iks_cpu,p_roks_cpu)+$Y214*IF($G214="IKS",p_iks_ram,p_roks_ram))*p_facteur)</f>
        <v/>
      </c>
      <c r="AB214" s="14" t="str">
        <f aca="false">IF($D214&lt;&gt;1,"",MAX($J214,ROUNDUP(MAX($L214/$H214,$M214/$I214),0)))</f>
        <v/>
      </c>
      <c r="AC214" s="84" t="str">
        <f aca="false">IF($D214&lt;&gt;1,"",IF(p_mode="Nœud",$AB214*$K214,$L214*IF($G214="IKS",p_iks_cpu,p_roks_cpu)+$M214*IF($G214="IKS",p_iks_ram,p_roks_ram))*p_facteur)</f>
        <v/>
      </c>
      <c r="AD214" s="14" t="str">
        <f aca="false">IF($D214&lt;&gt;1,"",IF(AND($G214="IKS",$AI214&lt;&gt;1,OR($L214-$P214&lt;$N214,$M214-$Q214&lt;$O214)),1,0))</f>
        <v/>
      </c>
      <c r="AE214" s="14" t="str">
        <f aca="false">IF($D214&lt;&gt;1,"",IF(AND($G214="ROKS",$T214&gt;p_maxworkers),1,0))</f>
        <v/>
      </c>
      <c r="AF214" s="14" t="str">
        <f aca="false">IF($D214&lt;&gt;1,"",IF(INDEX(TblClusters[Environnement],$B214)="","(vide)",INDEX(TblClusters[Environnement],$B214)))</f>
        <v/>
      </c>
      <c r="AG214" s="14" t="str">
        <f aca="false">IF($D214&lt;&gt;1,"",$R214+p_poidsram*$S214)</f>
        <v/>
      </c>
      <c r="AH214" s="14" t="str">
        <f aca="false">IF($D214&lt;&gt;1,"",IFERROR($W214/$AG214,0))</f>
        <v/>
      </c>
      <c r="AI214" s="14" t="str">
        <f aca="false">IF($D214&lt;&gt;1,"",IF(AND($G214="IKS",ISNUMBER(INDEX(TblClusters[Fermeture retenue],$B214))),IF($E214&gt;=INDEX(TblClusters[Fermeture retenue],$B214),1,0),0))</f>
        <v/>
      </c>
    </row>
    <row r="215" customFormat="false" ht="15" hidden="false" customHeight="false" outlineLevel="0" collapsed="false">
      <c r="A215" s="14" t="n">
        <v>210</v>
      </c>
      <c r="B215" s="14" t="n">
        <f aca="false">INT(($A215-1)/36)+1</f>
        <v>6</v>
      </c>
      <c r="C215" s="14" t="n">
        <f aca="false">MOD($A215-1,36)+1</f>
        <v>30</v>
      </c>
      <c r="D215" s="14" t="n">
        <f aca="false">IF($C215&gt;p_horizon,0,IFERROR(IF(AND(INDEX(TblClusters[Cluster],$B215)&lt;&gt;"",ISNUMBER(INDEX(TblClusters[CPU initial (vCPU)],$B215)),ISNUMBER(INDEX(TblClusters[CPU min (vCPU)],$B215)),OR(INDEX(TblClusters[Plateforme],$B215)="IKS",INDEX(TblClusters[Plateforme],$B215)="ROKS")),1,0),0))</f>
        <v>0</v>
      </c>
      <c r="E215" s="83" t="str">
        <f aca="false">IF($D215=1,EDATE(p_debut,$C215-1),"")</f>
        <v/>
      </c>
      <c r="F215" s="14" t="str">
        <f aca="false">IF($D215=1,INDEX(TblClusters[Cluster],$B215),"")</f>
        <v/>
      </c>
      <c r="G215" s="14" t="str">
        <f aca="false">IF($D215=1,INDEX(TblClusters[Plateforme],$B215),"")</f>
        <v/>
      </c>
      <c r="H215" s="14" t="str">
        <f aca="false">IF($D215=1,INDEX(TblClusters[vCPU par nœud],$B215),"")</f>
        <v/>
      </c>
      <c r="I215" s="14" t="str">
        <f aca="false">IF($D215=1,INDEX(TblClusters[RAM par nœud (Go)],$B215),"")</f>
        <v/>
      </c>
      <c r="J215" s="14" t="str">
        <f aca="false">IF($D215=1,INDEX(TblClusters[Workers min],$B215),"")</f>
        <v/>
      </c>
      <c r="K215" s="84" t="str">
        <f aca="false">IF($D215=1,INDEX(TblClusters[Tarif par nœud],$B215),"")</f>
        <v/>
      </c>
      <c r="L215" s="14" t="str">
        <f aca="false">IF($D215=1,INDEX(TblClusters[CPU initial (vCPU)],$B215),"")</f>
        <v/>
      </c>
      <c r="M215" s="14" t="str">
        <f aca="false">IF($D215=1,INDEX(TblClusters[RAM initiale (Go)],$B215),"")</f>
        <v/>
      </c>
      <c r="N215" s="14" t="str">
        <f aca="false">IF($D215=1,INDEX(TblClusters[CPU min (vCPU)],$B215),"")</f>
        <v/>
      </c>
      <c r="O215" s="14" t="str">
        <f aca="false">IF($D215=1,INDEX(TblClusters[RAM min (Go)],$B215),"")</f>
        <v/>
      </c>
      <c r="P215" s="14" t="str">
        <f aca="false">IF($D215&lt;&gt;1,"",IF($G215="ROKS",SUMIFS(TblApplications[Besoin ROKS CPU (vCPU)],TblApplications[Cluster ROKS cible],$F215,TblApplications[Action],"À migrer",TblApplications[Déjà incluse ROKS],"Non",TblApplications[Mois prov (calc)],"&lt;="&amp;$E215),SUMIFS(TblApplications[CPU IKS libérable (vCPU)],TblApplications[Cluster IKS source],$F215,TblApplications[Mois lib (calc)],"&lt;="&amp;$E215)))</f>
        <v/>
      </c>
      <c r="Q215" s="14" t="str">
        <f aca="false">IF($D215&lt;&gt;1,"",IF($G215="ROKS",SUMIFS(TblApplications[Besoin ROKS RAM (Go)],TblApplications[Cluster ROKS cible],$F215,TblApplications[Action],"À migrer",TblApplications[Déjà incluse ROKS],"Non",TblApplications[Mois prov (calc)],"&lt;="&amp;$E215),SUMIFS(TblApplications[RAM IKS libérable (Go)],TblApplications[Cluster IKS source],$F215,TblApplications[Mois lib (calc)],"&lt;="&amp;$E215)))</f>
        <v/>
      </c>
      <c r="R215" s="14" t="str">
        <f aca="false">IF($D215&lt;&gt;1,"",IF($G215="ROKS",$L215+$P215,IF($AI215=1,0,MAX($N215,$L215-$P215))))</f>
        <v/>
      </c>
      <c r="S215" s="14" t="str">
        <f aca="false">IF($D215&lt;&gt;1,"",IF($G215="ROKS",$M215+$Q215,IF($AI215=1,0,MAX($O215,$M215-$Q215))))</f>
        <v/>
      </c>
      <c r="T215" s="14" t="str">
        <f aca="false">IF($D215&lt;&gt;1,"",IF($AI215=1,0,MAX($J215,ROUNDUP(MAX($R215/$H215,$S215/$I215),0))))</f>
        <v/>
      </c>
      <c r="U215" s="14" t="str">
        <f aca="false">IF($D215&lt;&gt;1,"",IF(p_mode="Nœud",$T215*$H215,$R215))</f>
        <v/>
      </c>
      <c r="V215" s="14" t="str">
        <f aca="false">IF($D215&lt;&gt;1,"",IF(p_mode="Nœud",$T215*$I215,$S215))</f>
        <v/>
      </c>
      <c r="W215" s="84" t="str">
        <f aca="false">IF($D215&lt;&gt;1,"",IF(p_mode="Nœud",$T215*$K215,$R215*IF($G215="IKS",p_iks_cpu,p_roks_cpu)+$S215*IF($G215="IKS",p_iks_ram,p_roks_ram))*p_facteur)</f>
        <v/>
      </c>
      <c r="X215" s="14" t="str">
        <f aca="false">IF($D215&lt;&gt;1,"",IF($G215="ROKS",$R215,IF($AI215=1,0,MAX($N215,$L215-SUMIFS(TblApplications[CPU IKS libérable (vCPU)],TblApplications[Cluster IKS source],$F215,TblApplications[Action],"À migrer",TblApplications[Mois prov (calc)],"&lt;="&amp;$E215)-SUMIFS(TblApplications[CPU IKS libérable (vCPU)],TblApplications[Cluster IKS source],$F215,TblApplications[Action],"À décommissionner",TblApplications[Mois lib (calc)],"&lt;="&amp;$E215)))))</f>
        <v/>
      </c>
      <c r="Y215" s="14" t="str">
        <f aca="false">IF($D215&lt;&gt;1,"",IF($G215="ROKS",$S215,IF($AI215=1,0,MAX($O215,$M215-SUMIFS(TblApplications[RAM IKS libérable (Go)],TblApplications[Cluster IKS source],$F215,TblApplications[Action],"À migrer",TblApplications[Mois prov (calc)],"&lt;="&amp;$E215)-SUMIFS(TblApplications[RAM IKS libérable (Go)],TblApplications[Cluster IKS source],$F215,TblApplications[Action],"À décommissionner",TblApplications[Mois lib (calc)],"&lt;="&amp;$E215)))))</f>
        <v/>
      </c>
      <c r="Z215" s="14" t="str">
        <f aca="false">IF($D215&lt;&gt;1,"",IF($AI215=1,0,MAX($J215,ROUNDUP(MAX($X215/$H215,$Y215/$I215),0))))</f>
        <v/>
      </c>
      <c r="AA215" s="84" t="str">
        <f aca="false">IF($D215&lt;&gt;1,"",IF(p_mode="Nœud",$Z215*$K215,$X215*IF($G215="IKS",p_iks_cpu,p_roks_cpu)+$Y215*IF($G215="IKS",p_iks_ram,p_roks_ram))*p_facteur)</f>
        <v/>
      </c>
      <c r="AB215" s="14" t="str">
        <f aca="false">IF($D215&lt;&gt;1,"",MAX($J215,ROUNDUP(MAX($L215/$H215,$M215/$I215),0)))</f>
        <v/>
      </c>
      <c r="AC215" s="84" t="str">
        <f aca="false">IF($D215&lt;&gt;1,"",IF(p_mode="Nœud",$AB215*$K215,$L215*IF($G215="IKS",p_iks_cpu,p_roks_cpu)+$M215*IF($G215="IKS",p_iks_ram,p_roks_ram))*p_facteur)</f>
        <v/>
      </c>
      <c r="AD215" s="14" t="str">
        <f aca="false">IF($D215&lt;&gt;1,"",IF(AND($G215="IKS",$AI215&lt;&gt;1,OR($L215-$P215&lt;$N215,$M215-$Q215&lt;$O215)),1,0))</f>
        <v/>
      </c>
      <c r="AE215" s="14" t="str">
        <f aca="false">IF($D215&lt;&gt;1,"",IF(AND($G215="ROKS",$T215&gt;p_maxworkers),1,0))</f>
        <v/>
      </c>
      <c r="AF215" s="14" t="str">
        <f aca="false">IF($D215&lt;&gt;1,"",IF(INDEX(TblClusters[Environnement],$B215)="","(vide)",INDEX(TblClusters[Environnement],$B215)))</f>
        <v/>
      </c>
      <c r="AG215" s="14" t="str">
        <f aca="false">IF($D215&lt;&gt;1,"",$R215+p_poidsram*$S215)</f>
        <v/>
      </c>
      <c r="AH215" s="14" t="str">
        <f aca="false">IF($D215&lt;&gt;1,"",IFERROR($W215/$AG215,0))</f>
        <v/>
      </c>
      <c r="AI215" s="14" t="str">
        <f aca="false">IF($D215&lt;&gt;1,"",IF(AND($G215="IKS",ISNUMBER(INDEX(TblClusters[Fermeture retenue],$B215))),IF($E215&gt;=INDEX(TblClusters[Fermeture retenue],$B215),1,0),0))</f>
        <v/>
      </c>
    </row>
    <row r="216" customFormat="false" ht="15" hidden="false" customHeight="false" outlineLevel="0" collapsed="false">
      <c r="A216" s="14" t="n">
        <v>211</v>
      </c>
      <c r="B216" s="14" t="n">
        <f aca="false">INT(($A216-1)/36)+1</f>
        <v>6</v>
      </c>
      <c r="C216" s="14" t="n">
        <f aca="false">MOD($A216-1,36)+1</f>
        <v>31</v>
      </c>
      <c r="D216" s="14" t="n">
        <f aca="false">IF($C216&gt;p_horizon,0,IFERROR(IF(AND(INDEX(TblClusters[Cluster],$B216)&lt;&gt;"",ISNUMBER(INDEX(TblClusters[CPU initial (vCPU)],$B216)),ISNUMBER(INDEX(TblClusters[CPU min (vCPU)],$B216)),OR(INDEX(TblClusters[Plateforme],$B216)="IKS",INDEX(TblClusters[Plateforme],$B216)="ROKS")),1,0),0))</f>
        <v>0</v>
      </c>
      <c r="E216" s="83" t="str">
        <f aca="false">IF($D216=1,EDATE(p_debut,$C216-1),"")</f>
        <v/>
      </c>
      <c r="F216" s="14" t="str">
        <f aca="false">IF($D216=1,INDEX(TblClusters[Cluster],$B216),"")</f>
        <v/>
      </c>
      <c r="G216" s="14" t="str">
        <f aca="false">IF($D216=1,INDEX(TblClusters[Plateforme],$B216),"")</f>
        <v/>
      </c>
      <c r="H216" s="14" t="str">
        <f aca="false">IF($D216=1,INDEX(TblClusters[vCPU par nœud],$B216),"")</f>
        <v/>
      </c>
      <c r="I216" s="14" t="str">
        <f aca="false">IF($D216=1,INDEX(TblClusters[RAM par nœud (Go)],$B216),"")</f>
        <v/>
      </c>
      <c r="J216" s="14" t="str">
        <f aca="false">IF($D216=1,INDEX(TblClusters[Workers min],$B216),"")</f>
        <v/>
      </c>
      <c r="K216" s="84" t="str">
        <f aca="false">IF($D216=1,INDEX(TblClusters[Tarif par nœud],$B216),"")</f>
        <v/>
      </c>
      <c r="L216" s="14" t="str">
        <f aca="false">IF($D216=1,INDEX(TblClusters[CPU initial (vCPU)],$B216),"")</f>
        <v/>
      </c>
      <c r="M216" s="14" t="str">
        <f aca="false">IF($D216=1,INDEX(TblClusters[RAM initiale (Go)],$B216),"")</f>
        <v/>
      </c>
      <c r="N216" s="14" t="str">
        <f aca="false">IF($D216=1,INDEX(TblClusters[CPU min (vCPU)],$B216),"")</f>
        <v/>
      </c>
      <c r="O216" s="14" t="str">
        <f aca="false">IF($D216=1,INDEX(TblClusters[RAM min (Go)],$B216),"")</f>
        <v/>
      </c>
      <c r="P216" s="14" t="str">
        <f aca="false">IF($D216&lt;&gt;1,"",IF($G216="ROKS",SUMIFS(TblApplications[Besoin ROKS CPU (vCPU)],TblApplications[Cluster ROKS cible],$F216,TblApplications[Action],"À migrer",TblApplications[Déjà incluse ROKS],"Non",TblApplications[Mois prov (calc)],"&lt;="&amp;$E216),SUMIFS(TblApplications[CPU IKS libérable (vCPU)],TblApplications[Cluster IKS source],$F216,TblApplications[Mois lib (calc)],"&lt;="&amp;$E216)))</f>
        <v/>
      </c>
      <c r="Q216" s="14" t="str">
        <f aca="false">IF($D216&lt;&gt;1,"",IF($G216="ROKS",SUMIFS(TblApplications[Besoin ROKS RAM (Go)],TblApplications[Cluster ROKS cible],$F216,TblApplications[Action],"À migrer",TblApplications[Déjà incluse ROKS],"Non",TblApplications[Mois prov (calc)],"&lt;="&amp;$E216),SUMIFS(TblApplications[RAM IKS libérable (Go)],TblApplications[Cluster IKS source],$F216,TblApplications[Mois lib (calc)],"&lt;="&amp;$E216)))</f>
        <v/>
      </c>
      <c r="R216" s="14" t="str">
        <f aca="false">IF($D216&lt;&gt;1,"",IF($G216="ROKS",$L216+$P216,IF($AI216=1,0,MAX($N216,$L216-$P216))))</f>
        <v/>
      </c>
      <c r="S216" s="14" t="str">
        <f aca="false">IF($D216&lt;&gt;1,"",IF($G216="ROKS",$M216+$Q216,IF($AI216=1,0,MAX($O216,$M216-$Q216))))</f>
        <v/>
      </c>
      <c r="T216" s="14" t="str">
        <f aca="false">IF($D216&lt;&gt;1,"",IF($AI216=1,0,MAX($J216,ROUNDUP(MAX($R216/$H216,$S216/$I216),0))))</f>
        <v/>
      </c>
      <c r="U216" s="14" t="str">
        <f aca="false">IF($D216&lt;&gt;1,"",IF(p_mode="Nœud",$T216*$H216,$R216))</f>
        <v/>
      </c>
      <c r="V216" s="14" t="str">
        <f aca="false">IF($D216&lt;&gt;1,"",IF(p_mode="Nœud",$T216*$I216,$S216))</f>
        <v/>
      </c>
      <c r="W216" s="84" t="str">
        <f aca="false">IF($D216&lt;&gt;1,"",IF(p_mode="Nœud",$T216*$K216,$R216*IF($G216="IKS",p_iks_cpu,p_roks_cpu)+$S216*IF($G216="IKS",p_iks_ram,p_roks_ram))*p_facteur)</f>
        <v/>
      </c>
      <c r="X216" s="14" t="str">
        <f aca="false">IF($D216&lt;&gt;1,"",IF($G216="ROKS",$R216,IF($AI216=1,0,MAX($N216,$L216-SUMIFS(TblApplications[CPU IKS libérable (vCPU)],TblApplications[Cluster IKS source],$F216,TblApplications[Action],"À migrer",TblApplications[Mois prov (calc)],"&lt;="&amp;$E216)-SUMIFS(TblApplications[CPU IKS libérable (vCPU)],TblApplications[Cluster IKS source],$F216,TblApplications[Action],"À décommissionner",TblApplications[Mois lib (calc)],"&lt;="&amp;$E216)))))</f>
        <v/>
      </c>
      <c r="Y216" s="14" t="str">
        <f aca="false">IF($D216&lt;&gt;1,"",IF($G216="ROKS",$S216,IF($AI216=1,0,MAX($O216,$M216-SUMIFS(TblApplications[RAM IKS libérable (Go)],TblApplications[Cluster IKS source],$F216,TblApplications[Action],"À migrer",TblApplications[Mois prov (calc)],"&lt;="&amp;$E216)-SUMIFS(TblApplications[RAM IKS libérable (Go)],TblApplications[Cluster IKS source],$F216,TblApplications[Action],"À décommissionner",TblApplications[Mois lib (calc)],"&lt;="&amp;$E216)))))</f>
        <v/>
      </c>
      <c r="Z216" s="14" t="str">
        <f aca="false">IF($D216&lt;&gt;1,"",IF($AI216=1,0,MAX($J216,ROUNDUP(MAX($X216/$H216,$Y216/$I216),0))))</f>
        <v/>
      </c>
      <c r="AA216" s="84" t="str">
        <f aca="false">IF($D216&lt;&gt;1,"",IF(p_mode="Nœud",$Z216*$K216,$X216*IF($G216="IKS",p_iks_cpu,p_roks_cpu)+$Y216*IF($G216="IKS",p_iks_ram,p_roks_ram))*p_facteur)</f>
        <v/>
      </c>
      <c r="AB216" s="14" t="str">
        <f aca="false">IF($D216&lt;&gt;1,"",MAX($J216,ROUNDUP(MAX($L216/$H216,$M216/$I216),0)))</f>
        <v/>
      </c>
      <c r="AC216" s="84" t="str">
        <f aca="false">IF($D216&lt;&gt;1,"",IF(p_mode="Nœud",$AB216*$K216,$L216*IF($G216="IKS",p_iks_cpu,p_roks_cpu)+$M216*IF($G216="IKS",p_iks_ram,p_roks_ram))*p_facteur)</f>
        <v/>
      </c>
      <c r="AD216" s="14" t="str">
        <f aca="false">IF($D216&lt;&gt;1,"",IF(AND($G216="IKS",$AI216&lt;&gt;1,OR($L216-$P216&lt;$N216,$M216-$Q216&lt;$O216)),1,0))</f>
        <v/>
      </c>
      <c r="AE216" s="14" t="str">
        <f aca="false">IF($D216&lt;&gt;1,"",IF(AND($G216="ROKS",$T216&gt;p_maxworkers),1,0))</f>
        <v/>
      </c>
      <c r="AF216" s="14" t="str">
        <f aca="false">IF($D216&lt;&gt;1,"",IF(INDEX(TblClusters[Environnement],$B216)="","(vide)",INDEX(TblClusters[Environnement],$B216)))</f>
        <v/>
      </c>
      <c r="AG216" s="14" t="str">
        <f aca="false">IF($D216&lt;&gt;1,"",$R216+p_poidsram*$S216)</f>
        <v/>
      </c>
      <c r="AH216" s="14" t="str">
        <f aca="false">IF($D216&lt;&gt;1,"",IFERROR($W216/$AG216,0))</f>
        <v/>
      </c>
      <c r="AI216" s="14" t="str">
        <f aca="false">IF($D216&lt;&gt;1,"",IF(AND($G216="IKS",ISNUMBER(INDEX(TblClusters[Fermeture retenue],$B216))),IF($E216&gt;=INDEX(TblClusters[Fermeture retenue],$B216),1,0),0))</f>
        <v/>
      </c>
    </row>
    <row r="217" customFormat="false" ht="15" hidden="false" customHeight="false" outlineLevel="0" collapsed="false">
      <c r="A217" s="14" t="n">
        <v>212</v>
      </c>
      <c r="B217" s="14" t="n">
        <f aca="false">INT(($A217-1)/36)+1</f>
        <v>6</v>
      </c>
      <c r="C217" s="14" t="n">
        <f aca="false">MOD($A217-1,36)+1</f>
        <v>32</v>
      </c>
      <c r="D217" s="14" t="n">
        <f aca="false">IF($C217&gt;p_horizon,0,IFERROR(IF(AND(INDEX(TblClusters[Cluster],$B217)&lt;&gt;"",ISNUMBER(INDEX(TblClusters[CPU initial (vCPU)],$B217)),ISNUMBER(INDEX(TblClusters[CPU min (vCPU)],$B217)),OR(INDEX(TblClusters[Plateforme],$B217)="IKS",INDEX(TblClusters[Plateforme],$B217)="ROKS")),1,0),0))</f>
        <v>0</v>
      </c>
      <c r="E217" s="83" t="str">
        <f aca="false">IF($D217=1,EDATE(p_debut,$C217-1),"")</f>
        <v/>
      </c>
      <c r="F217" s="14" t="str">
        <f aca="false">IF($D217=1,INDEX(TblClusters[Cluster],$B217),"")</f>
        <v/>
      </c>
      <c r="G217" s="14" t="str">
        <f aca="false">IF($D217=1,INDEX(TblClusters[Plateforme],$B217),"")</f>
        <v/>
      </c>
      <c r="H217" s="14" t="str">
        <f aca="false">IF($D217=1,INDEX(TblClusters[vCPU par nœud],$B217),"")</f>
        <v/>
      </c>
      <c r="I217" s="14" t="str">
        <f aca="false">IF($D217=1,INDEX(TblClusters[RAM par nœud (Go)],$B217),"")</f>
        <v/>
      </c>
      <c r="J217" s="14" t="str">
        <f aca="false">IF($D217=1,INDEX(TblClusters[Workers min],$B217),"")</f>
        <v/>
      </c>
      <c r="K217" s="84" t="str">
        <f aca="false">IF($D217=1,INDEX(TblClusters[Tarif par nœud],$B217),"")</f>
        <v/>
      </c>
      <c r="L217" s="14" t="str">
        <f aca="false">IF($D217=1,INDEX(TblClusters[CPU initial (vCPU)],$B217),"")</f>
        <v/>
      </c>
      <c r="M217" s="14" t="str">
        <f aca="false">IF($D217=1,INDEX(TblClusters[RAM initiale (Go)],$B217),"")</f>
        <v/>
      </c>
      <c r="N217" s="14" t="str">
        <f aca="false">IF($D217=1,INDEX(TblClusters[CPU min (vCPU)],$B217),"")</f>
        <v/>
      </c>
      <c r="O217" s="14" t="str">
        <f aca="false">IF($D217=1,INDEX(TblClusters[RAM min (Go)],$B217),"")</f>
        <v/>
      </c>
      <c r="P217" s="14" t="str">
        <f aca="false">IF($D217&lt;&gt;1,"",IF($G217="ROKS",SUMIFS(TblApplications[Besoin ROKS CPU (vCPU)],TblApplications[Cluster ROKS cible],$F217,TblApplications[Action],"À migrer",TblApplications[Déjà incluse ROKS],"Non",TblApplications[Mois prov (calc)],"&lt;="&amp;$E217),SUMIFS(TblApplications[CPU IKS libérable (vCPU)],TblApplications[Cluster IKS source],$F217,TblApplications[Mois lib (calc)],"&lt;="&amp;$E217)))</f>
        <v/>
      </c>
      <c r="Q217" s="14" t="str">
        <f aca="false">IF($D217&lt;&gt;1,"",IF($G217="ROKS",SUMIFS(TblApplications[Besoin ROKS RAM (Go)],TblApplications[Cluster ROKS cible],$F217,TblApplications[Action],"À migrer",TblApplications[Déjà incluse ROKS],"Non",TblApplications[Mois prov (calc)],"&lt;="&amp;$E217),SUMIFS(TblApplications[RAM IKS libérable (Go)],TblApplications[Cluster IKS source],$F217,TblApplications[Mois lib (calc)],"&lt;="&amp;$E217)))</f>
        <v/>
      </c>
      <c r="R217" s="14" t="str">
        <f aca="false">IF($D217&lt;&gt;1,"",IF($G217="ROKS",$L217+$P217,IF($AI217=1,0,MAX($N217,$L217-$P217))))</f>
        <v/>
      </c>
      <c r="S217" s="14" t="str">
        <f aca="false">IF($D217&lt;&gt;1,"",IF($G217="ROKS",$M217+$Q217,IF($AI217=1,0,MAX($O217,$M217-$Q217))))</f>
        <v/>
      </c>
      <c r="T217" s="14" t="str">
        <f aca="false">IF($D217&lt;&gt;1,"",IF($AI217=1,0,MAX($J217,ROUNDUP(MAX($R217/$H217,$S217/$I217),0))))</f>
        <v/>
      </c>
      <c r="U217" s="14" t="str">
        <f aca="false">IF($D217&lt;&gt;1,"",IF(p_mode="Nœud",$T217*$H217,$R217))</f>
        <v/>
      </c>
      <c r="V217" s="14" t="str">
        <f aca="false">IF($D217&lt;&gt;1,"",IF(p_mode="Nœud",$T217*$I217,$S217))</f>
        <v/>
      </c>
      <c r="W217" s="84" t="str">
        <f aca="false">IF($D217&lt;&gt;1,"",IF(p_mode="Nœud",$T217*$K217,$R217*IF($G217="IKS",p_iks_cpu,p_roks_cpu)+$S217*IF($G217="IKS",p_iks_ram,p_roks_ram))*p_facteur)</f>
        <v/>
      </c>
      <c r="X217" s="14" t="str">
        <f aca="false">IF($D217&lt;&gt;1,"",IF($G217="ROKS",$R217,IF($AI217=1,0,MAX($N217,$L217-SUMIFS(TblApplications[CPU IKS libérable (vCPU)],TblApplications[Cluster IKS source],$F217,TblApplications[Action],"À migrer",TblApplications[Mois prov (calc)],"&lt;="&amp;$E217)-SUMIFS(TblApplications[CPU IKS libérable (vCPU)],TblApplications[Cluster IKS source],$F217,TblApplications[Action],"À décommissionner",TblApplications[Mois lib (calc)],"&lt;="&amp;$E217)))))</f>
        <v/>
      </c>
      <c r="Y217" s="14" t="str">
        <f aca="false">IF($D217&lt;&gt;1,"",IF($G217="ROKS",$S217,IF($AI217=1,0,MAX($O217,$M217-SUMIFS(TblApplications[RAM IKS libérable (Go)],TblApplications[Cluster IKS source],$F217,TblApplications[Action],"À migrer",TblApplications[Mois prov (calc)],"&lt;="&amp;$E217)-SUMIFS(TblApplications[RAM IKS libérable (Go)],TblApplications[Cluster IKS source],$F217,TblApplications[Action],"À décommissionner",TblApplications[Mois lib (calc)],"&lt;="&amp;$E217)))))</f>
        <v/>
      </c>
      <c r="Z217" s="14" t="str">
        <f aca="false">IF($D217&lt;&gt;1,"",IF($AI217=1,0,MAX($J217,ROUNDUP(MAX($X217/$H217,$Y217/$I217),0))))</f>
        <v/>
      </c>
      <c r="AA217" s="84" t="str">
        <f aca="false">IF($D217&lt;&gt;1,"",IF(p_mode="Nœud",$Z217*$K217,$X217*IF($G217="IKS",p_iks_cpu,p_roks_cpu)+$Y217*IF($G217="IKS",p_iks_ram,p_roks_ram))*p_facteur)</f>
        <v/>
      </c>
      <c r="AB217" s="14" t="str">
        <f aca="false">IF($D217&lt;&gt;1,"",MAX($J217,ROUNDUP(MAX($L217/$H217,$M217/$I217),0)))</f>
        <v/>
      </c>
      <c r="AC217" s="84" t="str">
        <f aca="false">IF($D217&lt;&gt;1,"",IF(p_mode="Nœud",$AB217*$K217,$L217*IF($G217="IKS",p_iks_cpu,p_roks_cpu)+$M217*IF($G217="IKS",p_iks_ram,p_roks_ram))*p_facteur)</f>
        <v/>
      </c>
      <c r="AD217" s="14" t="str">
        <f aca="false">IF($D217&lt;&gt;1,"",IF(AND($G217="IKS",$AI217&lt;&gt;1,OR($L217-$P217&lt;$N217,$M217-$Q217&lt;$O217)),1,0))</f>
        <v/>
      </c>
      <c r="AE217" s="14" t="str">
        <f aca="false">IF($D217&lt;&gt;1,"",IF(AND($G217="ROKS",$T217&gt;p_maxworkers),1,0))</f>
        <v/>
      </c>
      <c r="AF217" s="14" t="str">
        <f aca="false">IF($D217&lt;&gt;1,"",IF(INDEX(TblClusters[Environnement],$B217)="","(vide)",INDEX(TblClusters[Environnement],$B217)))</f>
        <v/>
      </c>
      <c r="AG217" s="14" t="str">
        <f aca="false">IF($D217&lt;&gt;1,"",$R217+p_poidsram*$S217)</f>
        <v/>
      </c>
      <c r="AH217" s="14" t="str">
        <f aca="false">IF($D217&lt;&gt;1,"",IFERROR($W217/$AG217,0))</f>
        <v/>
      </c>
      <c r="AI217" s="14" t="str">
        <f aca="false">IF($D217&lt;&gt;1,"",IF(AND($G217="IKS",ISNUMBER(INDEX(TblClusters[Fermeture retenue],$B217))),IF($E217&gt;=INDEX(TblClusters[Fermeture retenue],$B217),1,0),0))</f>
        <v/>
      </c>
    </row>
    <row r="218" customFormat="false" ht="15" hidden="false" customHeight="false" outlineLevel="0" collapsed="false">
      <c r="A218" s="14" t="n">
        <v>213</v>
      </c>
      <c r="B218" s="14" t="n">
        <f aca="false">INT(($A218-1)/36)+1</f>
        <v>6</v>
      </c>
      <c r="C218" s="14" t="n">
        <f aca="false">MOD($A218-1,36)+1</f>
        <v>33</v>
      </c>
      <c r="D218" s="14" t="n">
        <f aca="false">IF($C218&gt;p_horizon,0,IFERROR(IF(AND(INDEX(TblClusters[Cluster],$B218)&lt;&gt;"",ISNUMBER(INDEX(TblClusters[CPU initial (vCPU)],$B218)),ISNUMBER(INDEX(TblClusters[CPU min (vCPU)],$B218)),OR(INDEX(TblClusters[Plateforme],$B218)="IKS",INDEX(TblClusters[Plateforme],$B218)="ROKS")),1,0),0))</f>
        <v>0</v>
      </c>
      <c r="E218" s="83" t="str">
        <f aca="false">IF($D218=1,EDATE(p_debut,$C218-1),"")</f>
        <v/>
      </c>
      <c r="F218" s="14" t="str">
        <f aca="false">IF($D218=1,INDEX(TblClusters[Cluster],$B218),"")</f>
        <v/>
      </c>
      <c r="G218" s="14" t="str">
        <f aca="false">IF($D218=1,INDEX(TblClusters[Plateforme],$B218),"")</f>
        <v/>
      </c>
      <c r="H218" s="14" t="str">
        <f aca="false">IF($D218=1,INDEX(TblClusters[vCPU par nœud],$B218),"")</f>
        <v/>
      </c>
      <c r="I218" s="14" t="str">
        <f aca="false">IF($D218=1,INDEX(TblClusters[RAM par nœud (Go)],$B218),"")</f>
        <v/>
      </c>
      <c r="J218" s="14" t="str">
        <f aca="false">IF($D218=1,INDEX(TblClusters[Workers min],$B218),"")</f>
        <v/>
      </c>
      <c r="K218" s="84" t="str">
        <f aca="false">IF($D218=1,INDEX(TblClusters[Tarif par nœud],$B218),"")</f>
        <v/>
      </c>
      <c r="L218" s="14" t="str">
        <f aca="false">IF($D218=1,INDEX(TblClusters[CPU initial (vCPU)],$B218),"")</f>
        <v/>
      </c>
      <c r="M218" s="14" t="str">
        <f aca="false">IF($D218=1,INDEX(TblClusters[RAM initiale (Go)],$B218),"")</f>
        <v/>
      </c>
      <c r="N218" s="14" t="str">
        <f aca="false">IF($D218=1,INDEX(TblClusters[CPU min (vCPU)],$B218),"")</f>
        <v/>
      </c>
      <c r="O218" s="14" t="str">
        <f aca="false">IF($D218=1,INDEX(TblClusters[RAM min (Go)],$B218),"")</f>
        <v/>
      </c>
      <c r="P218" s="14" t="str">
        <f aca="false">IF($D218&lt;&gt;1,"",IF($G218="ROKS",SUMIFS(TblApplications[Besoin ROKS CPU (vCPU)],TblApplications[Cluster ROKS cible],$F218,TblApplications[Action],"À migrer",TblApplications[Déjà incluse ROKS],"Non",TblApplications[Mois prov (calc)],"&lt;="&amp;$E218),SUMIFS(TblApplications[CPU IKS libérable (vCPU)],TblApplications[Cluster IKS source],$F218,TblApplications[Mois lib (calc)],"&lt;="&amp;$E218)))</f>
        <v/>
      </c>
      <c r="Q218" s="14" t="str">
        <f aca="false">IF($D218&lt;&gt;1,"",IF($G218="ROKS",SUMIFS(TblApplications[Besoin ROKS RAM (Go)],TblApplications[Cluster ROKS cible],$F218,TblApplications[Action],"À migrer",TblApplications[Déjà incluse ROKS],"Non",TblApplications[Mois prov (calc)],"&lt;="&amp;$E218),SUMIFS(TblApplications[RAM IKS libérable (Go)],TblApplications[Cluster IKS source],$F218,TblApplications[Mois lib (calc)],"&lt;="&amp;$E218)))</f>
        <v/>
      </c>
      <c r="R218" s="14" t="str">
        <f aca="false">IF($D218&lt;&gt;1,"",IF($G218="ROKS",$L218+$P218,IF($AI218=1,0,MAX($N218,$L218-$P218))))</f>
        <v/>
      </c>
      <c r="S218" s="14" t="str">
        <f aca="false">IF($D218&lt;&gt;1,"",IF($G218="ROKS",$M218+$Q218,IF($AI218=1,0,MAX($O218,$M218-$Q218))))</f>
        <v/>
      </c>
      <c r="T218" s="14" t="str">
        <f aca="false">IF($D218&lt;&gt;1,"",IF($AI218=1,0,MAX($J218,ROUNDUP(MAX($R218/$H218,$S218/$I218),0))))</f>
        <v/>
      </c>
      <c r="U218" s="14" t="str">
        <f aca="false">IF($D218&lt;&gt;1,"",IF(p_mode="Nœud",$T218*$H218,$R218))</f>
        <v/>
      </c>
      <c r="V218" s="14" t="str">
        <f aca="false">IF($D218&lt;&gt;1,"",IF(p_mode="Nœud",$T218*$I218,$S218))</f>
        <v/>
      </c>
      <c r="W218" s="84" t="str">
        <f aca="false">IF($D218&lt;&gt;1,"",IF(p_mode="Nœud",$T218*$K218,$R218*IF($G218="IKS",p_iks_cpu,p_roks_cpu)+$S218*IF($G218="IKS",p_iks_ram,p_roks_ram))*p_facteur)</f>
        <v/>
      </c>
      <c r="X218" s="14" t="str">
        <f aca="false">IF($D218&lt;&gt;1,"",IF($G218="ROKS",$R218,IF($AI218=1,0,MAX($N218,$L218-SUMIFS(TblApplications[CPU IKS libérable (vCPU)],TblApplications[Cluster IKS source],$F218,TblApplications[Action],"À migrer",TblApplications[Mois prov (calc)],"&lt;="&amp;$E218)-SUMIFS(TblApplications[CPU IKS libérable (vCPU)],TblApplications[Cluster IKS source],$F218,TblApplications[Action],"À décommissionner",TblApplications[Mois lib (calc)],"&lt;="&amp;$E218)))))</f>
        <v/>
      </c>
      <c r="Y218" s="14" t="str">
        <f aca="false">IF($D218&lt;&gt;1,"",IF($G218="ROKS",$S218,IF($AI218=1,0,MAX($O218,$M218-SUMIFS(TblApplications[RAM IKS libérable (Go)],TblApplications[Cluster IKS source],$F218,TblApplications[Action],"À migrer",TblApplications[Mois prov (calc)],"&lt;="&amp;$E218)-SUMIFS(TblApplications[RAM IKS libérable (Go)],TblApplications[Cluster IKS source],$F218,TblApplications[Action],"À décommissionner",TblApplications[Mois lib (calc)],"&lt;="&amp;$E218)))))</f>
        <v/>
      </c>
      <c r="Z218" s="14" t="str">
        <f aca="false">IF($D218&lt;&gt;1,"",IF($AI218=1,0,MAX($J218,ROUNDUP(MAX($X218/$H218,$Y218/$I218),0))))</f>
        <v/>
      </c>
      <c r="AA218" s="84" t="str">
        <f aca="false">IF($D218&lt;&gt;1,"",IF(p_mode="Nœud",$Z218*$K218,$X218*IF($G218="IKS",p_iks_cpu,p_roks_cpu)+$Y218*IF($G218="IKS",p_iks_ram,p_roks_ram))*p_facteur)</f>
        <v/>
      </c>
      <c r="AB218" s="14" t="str">
        <f aca="false">IF($D218&lt;&gt;1,"",MAX($J218,ROUNDUP(MAX($L218/$H218,$M218/$I218),0)))</f>
        <v/>
      </c>
      <c r="AC218" s="84" t="str">
        <f aca="false">IF($D218&lt;&gt;1,"",IF(p_mode="Nœud",$AB218*$K218,$L218*IF($G218="IKS",p_iks_cpu,p_roks_cpu)+$M218*IF($G218="IKS",p_iks_ram,p_roks_ram))*p_facteur)</f>
        <v/>
      </c>
      <c r="AD218" s="14" t="str">
        <f aca="false">IF($D218&lt;&gt;1,"",IF(AND($G218="IKS",$AI218&lt;&gt;1,OR($L218-$P218&lt;$N218,$M218-$Q218&lt;$O218)),1,0))</f>
        <v/>
      </c>
      <c r="AE218" s="14" t="str">
        <f aca="false">IF($D218&lt;&gt;1,"",IF(AND($G218="ROKS",$T218&gt;p_maxworkers),1,0))</f>
        <v/>
      </c>
      <c r="AF218" s="14" t="str">
        <f aca="false">IF($D218&lt;&gt;1,"",IF(INDEX(TblClusters[Environnement],$B218)="","(vide)",INDEX(TblClusters[Environnement],$B218)))</f>
        <v/>
      </c>
      <c r="AG218" s="14" t="str">
        <f aca="false">IF($D218&lt;&gt;1,"",$R218+p_poidsram*$S218)</f>
        <v/>
      </c>
      <c r="AH218" s="14" t="str">
        <f aca="false">IF($D218&lt;&gt;1,"",IFERROR($W218/$AG218,0))</f>
        <v/>
      </c>
      <c r="AI218" s="14" t="str">
        <f aca="false">IF($D218&lt;&gt;1,"",IF(AND($G218="IKS",ISNUMBER(INDEX(TblClusters[Fermeture retenue],$B218))),IF($E218&gt;=INDEX(TblClusters[Fermeture retenue],$B218),1,0),0))</f>
        <v/>
      </c>
    </row>
    <row r="219" customFormat="false" ht="15" hidden="false" customHeight="false" outlineLevel="0" collapsed="false">
      <c r="A219" s="14" t="n">
        <v>214</v>
      </c>
      <c r="B219" s="14" t="n">
        <f aca="false">INT(($A219-1)/36)+1</f>
        <v>6</v>
      </c>
      <c r="C219" s="14" t="n">
        <f aca="false">MOD($A219-1,36)+1</f>
        <v>34</v>
      </c>
      <c r="D219" s="14" t="n">
        <f aca="false">IF($C219&gt;p_horizon,0,IFERROR(IF(AND(INDEX(TblClusters[Cluster],$B219)&lt;&gt;"",ISNUMBER(INDEX(TblClusters[CPU initial (vCPU)],$B219)),ISNUMBER(INDEX(TblClusters[CPU min (vCPU)],$B219)),OR(INDEX(TblClusters[Plateforme],$B219)="IKS",INDEX(TblClusters[Plateforme],$B219)="ROKS")),1,0),0))</f>
        <v>0</v>
      </c>
      <c r="E219" s="83" t="str">
        <f aca="false">IF($D219=1,EDATE(p_debut,$C219-1),"")</f>
        <v/>
      </c>
      <c r="F219" s="14" t="str">
        <f aca="false">IF($D219=1,INDEX(TblClusters[Cluster],$B219),"")</f>
        <v/>
      </c>
      <c r="G219" s="14" t="str">
        <f aca="false">IF($D219=1,INDEX(TblClusters[Plateforme],$B219),"")</f>
        <v/>
      </c>
      <c r="H219" s="14" t="str">
        <f aca="false">IF($D219=1,INDEX(TblClusters[vCPU par nœud],$B219),"")</f>
        <v/>
      </c>
      <c r="I219" s="14" t="str">
        <f aca="false">IF($D219=1,INDEX(TblClusters[RAM par nœud (Go)],$B219),"")</f>
        <v/>
      </c>
      <c r="J219" s="14" t="str">
        <f aca="false">IF($D219=1,INDEX(TblClusters[Workers min],$B219),"")</f>
        <v/>
      </c>
      <c r="K219" s="84" t="str">
        <f aca="false">IF($D219=1,INDEX(TblClusters[Tarif par nœud],$B219),"")</f>
        <v/>
      </c>
      <c r="L219" s="14" t="str">
        <f aca="false">IF($D219=1,INDEX(TblClusters[CPU initial (vCPU)],$B219),"")</f>
        <v/>
      </c>
      <c r="M219" s="14" t="str">
        <f aca="false">IF($D219=1,INDEX(TblClusters[RAM initiale (Go)],$B219),"")</f>
        <v/>
      </c>
      <c r="N219" s="14" t="str">
        <f aca="false">IF($D219=1,INDEX(TblClusters[CPU min (vCPU)],$B219),"")</f>
        <v/>
      </c>
      <c r="O219" s="14" t="str">
        <f aca="false">IF($D219=1,INDEX(TblClusters[RAM min (Go)],$B219),"")</f>
        <v/>
      </c>
      <c r="P219" s="14" t="str">
        <f aca="false">IF($D219&lt;&gt;1,"",IF($G219="ROKS",SUMIFS(TblApplications[Besoin ROKS CPU (vCPU)],TblApplications[Cluster ROKS cible],$F219,TblApplications[Action],"À migrer",TblApplications[Déjà incluse ROKS],"Non",TblApplications[Mois prov (calc)],"&lt;="&amp;$E219),SUMIFS(TblApplications[CPU IKS libérable (vCPU)],TblApplications[Cluster IKS source],$F219,TblApplications[Mois lib (calc)],"&lt;="&amp;$E219)))</f>
        <v/>
      </c>
      <c r="Q219" s="14" t="str">
        <f aca="false">IF($D219&lt;&gt;1,"",IF($G219="ROKS",SUMIFS(TblApplications[Besoin ROKS RAM (Go)],TblApplications[Cluster ROKS cible],$F219,TblApplications[Action],"À migrer",TblApplications[Déjà incluse ROKS],"Non",TblApplications[Mois prov (calc)],"&lt;="&amp;$E219),SUMIFS(TblApplications[RAM IKS libérable (Go)],TblApplications[Cluster IKS source],$F219,TblApplications[Mois lib (calc)],"&lt;="&amp;$E219)))</f>
        <v/>
      </c>
      <c r="R219" s="14" t="str">
        <f aca="false">IF($D219&lt;&gt;1,"",IF($G219="ROKS",$L219+$P219,IF($AI219=1,0,MAX($N219,$L219-$P219))))</f>
        <v/>
      </c>
      <c r="S219" s="14" t="str">
        <f aca="false">IF($D219&lt;&gt;1,"",IF($G219="ROKS",$M219+$Q219,IF($AI219=1,0,MAX($O219,$M219-$Q219))))</f>
        <v/>
      </c>
      <c r="T219" s="14" t="str">
        <f aca="false">IF($D219&lt;&gt;1,"",IF($AI219=1,0,MAX($J219,ROUNDUP(MAX($R219/$H219,$S219/$I219),0))))</f>
        <v/>
      </c>
      <c r="U219" s="14" t="str">
        <f aca="false">IF($D219&lt;&gt;1,"",IF(p_mode="Nœud",$T219*$H219,$R219))</f>
        <v/>
      </c>
      <c r="V219" s="14" t="str">
        <f aca="false">IF($D219&lt;&gt;1,"",IF(p_mode="Nœud",$T219*$I219,$S219))</f>
        <v/>
      </c>
      <c r="W219" s="84" t="str">
        <f aca="false">IF($D219&lt;&gt;1,"",IF(p_mode="Nœud",$T219*$K219,$R219*IF($G219="IKS",p_iks_cpu,p_roks_cpu)+$S219*IF($G219="IKS",p_iks_ram,p_roks_ram))*p_facteur)</f>
        <v/>
      </c>
      <c r="X219" s="14" t="str">
        <f aca="false">IF($D219&lt;&gt;1,"",IF($G219="ROKS",$R219,IF($AI219=1,0,MAX($N219,$L219-SUMIFS(TblApplications[CPU IKS libérable (vCPU)],TblApplications[Cluster IKS source],$F219,TblApplications[Action],"À migrer",TblApplications[Mois prov (calc)],"&lt;="&amp;$E219)-SUMIFS(TblApplications[CPU IKS libérable (vCPU)],TblApplications[Cluster IKS source],$F219,TblApplications[Action],"À décommissionner",TblApplications[Mois lib (calc)],"&lt;="&amp;$E219)))))</f>
        <v/>
      </c>
      <c r="Y219" s="14" t="str">
        <f aca="false">IF($D219&lt;&gt;1,"",IF($G219="ROKS",$S219,IF($AI219=1,0,MAX($O219,$M219-SUMIFS(TblApplications[RAM IKS libérable (Go)],TblApplications[Cluster IKS source],$F219,TblApplications[Action],"À migrer",TblApplications[Mois prov (calc)],"&lt;="&amp;$E219)-SUMIFS(TblApplications[RAM IKS libérable (Go)],TblApplications[Cluster IKS source],$F219,TblApplications[Action],"À décommissionner",TblApplications[Mois lib (calc)],"&lt;="&amp;$E219)))))</f>
        <v/>
      </c>
      <c r="Z219" s="14" t="str">
        <f aca="false">IF($D219&lt;&gt;1,"",IF($AI219=1,0,MAX($J219,ROUNDUP(MAX($X219/$H219,$Y219/$I219),0))))</f>
        <v/>
      </c>
      <c r="AA219" s="84" t="str">
        <f aca="false">IF($D219&lt;&gt;1,"",IF(p_mode="Nœud",$Z219*$K219,$X219*IF($G219="IKS",p_iks_cpu,p_roks_cpu)+$Y219*IF($G219="IKS",p_iks_ram,p_roks_ram))*p_facteur)</f>
        <v/>
      </c>
      <c r="AB219" s="14" t="str">
        <f aca="false">IF($D219&lt;&gt;1,"",MAX($J219,ROUNDUP(MAX($L219/$H219,$M219/$I219),0)))</f>
        <v/>
      </c>
      <c r="AC219" s="84" t="str">
        <f aca="false">IF($D219&lt;&gt;1,"",IF(p_mode="Nœud",$AB219*$K219,$L219*IF($G219="IKS",p_iks_cpu,p_roks_cpu)+$M219*IF($G219="IKS",p_iks_ram,p_roks_ram))*p_facteur)</f>
        <v/>
      </c>
      <c r="AD219" s="14" t="str">
        <f aca="false">IF($D219&lt;&gt;1,"",IF(AND($G219="IKS",$AI219&lt;&gt;1,OR($L219-$P219&lt;$N219,$M219-$Q219&lt;$O219)),1,0))</f>
        <v/>
      </c>
      <c r="AE219" s="14" t="str">
        <f aca="false">IF($D219&lt;&gt;1,"",IF(AND($G219="ROKS",$T219&gt;p_maxworkers),1,0))</f>
        <v/>
      </c>
      <c r="AF219" s="14" t="str">
        <f aca="false">IF($D219&lt;&gt;1,"",IF(INDEX(TblClusters[Environnement],$B219)="","(vide)",INDEX(TblClusters[Environnement],$B219)))</f>
        <v/>
      </c>
      <c r="AG219" s="14" t="str">
        <f aca="false">IF($D219&lt;&gt;1,"",$R219+p_poidsram*$S219)</f>
        <v/>
      </c>
      <c r="AH219" s="14" t="str">
        <f aca="false">IF($D219&lt;&gt;1,"",IFERROR($W219/$AG219,0))</f>
        <v/>
      </c>
      <c r="AI219" s="14" t="str">
        <f aca="false">IF($D219&lt;&gt;1,"",IF(AND($G219="IKS",ISNUMBER(INDEX(TblClusters[Fermeture retenue],$B219))),IF($E219&gt;=INDEX(TblClusters[Fermeture retenue],$B219),1,0),0))</f>
        <v/>
      </c>
    </row>
    <row r="220" customFormat="false" ht="15" hidden="false" customHeight="false" outlineLevel="0" collapsed="false">
      <c r="A220" s="14" t="n">
        <v>215</v>
      </c>
      <c r="B220" s="14" t="n">
        <f aca="false">INT(($A220-1)/36)+1</f>
        <v>6</v>
      </c>
      <c r="C220" s="14" t="n">
        <f aca="false">MOD($A220-1,36)+1</f>
        <v>35</v>
      </c>
      <c r="D220" s="14" t="n">
        <f aca="false">IF($C220&gt;p_horizon,0,IFERROR(IF(AND(INDEX(TblClusters[Cluster],$B220)&lt;&gt;"",ISNUMBER(INDEX(TblClusters[CPU initial (vCPU)],$B220)),ISNUMBER(INDEX(TblClusters[CPU min (vCPU)],$B220)),OR(INDEX(TblClusters[Plateforme],$B220)="IKS",INDEX(TblClusters[Plateforme],$B220)="ROKS")),1,0),0))</f>
        <v>0</v>
      </c>
      <c r="E220" s="83" t="str">
        <f aca="false">IF($D220=1,EDATE(p_debut,$C220-1),"")</f>
        <v/>
      </c>
      <c r="F220" s="14" t="str">
        <f aca="false">IF($D220=1,INDEX(TblClusters[Cluster],$B220),"")</f>
        <v/>
      </c>
      <c r="G220" s="14" t="str">
        <f aca="false">IF($D220=1,INDEX(TblClusters[Plateforme],$B220),"")</f>
        <v/>
      </c>
      <c r="H220" s="14" t="str">
        <f aca="false">IF($D220=1,INDEX(TblClusters[vCPU par nœud],$B220),"")</f>
        <v/>
      </c>
      <c r="I220" s="14" t="str">
        <f aca="false">IF($D220=1,INDEX(TblClusters[RAM par nœud (Go)],$B220),"")</f>
        <v/>
      </c>
      <c r="J220" s="14" t="str">
        <f aca="false">IF($D220=1,INDEX(TblClusters[Workers min],$B220),"")</f>
        <v/>
      </c>
      <c r="K220" s="84" t="str">
        <f aca="false">IF($D220=1,INDEX(TblClusters[Tarif par nœud],$B220),"")</f>
        <v/>
      </c>
      <c r="L220" s="14" t="str">
        <f aca="false">IF($D220=1,INDEX(TblClusters[CPU initial (vCPU)],$B220),"")</f>
        <v/>
      </c>
      <c r="M220" s="14" t="str">
        <f aca="false">IF($D220=1,INDEX(TblClusters[RAM initiale (Go)],$B220),"")</f>
        <v/>
      </c>
      <c r="N220" s="14" t="str">
        <f aca="false">IF($D220=1,INDEX(TblClusters[CPU min (vCPU)],$B220),"")</f>
        <v/>
      </c>
      <c r="O220" s="14" t="str">
        <f aca="false">IF($D220=1,INDEX(TblClusters[RAM min (Go)],$B220),"")</f>
        <v/>
      </c>
      <c r="P220" s="14" t="str">
        <f aca="false">IF($D220&lt;&gt;1,"",IF($G220="ROKS",SUMIFS(TblApplications[Besoin ROKS CPU (vCPU)],TblApplications[Cluster ROKS cible],$F220,TblApplications[Action],"À migrer",TblApplications[Déjà incluse ROKS],"Non",TblApplications[Mois prov (calc)],"&lt;="&amp;$E220),SUMIFS(TblApplications[CPU IKS libérable (vCPU)],TblApplications[Cluster IKS source],$F220,TblApplications[Mois lib (calc)],"&lt;="&amp;$E220)))</f>
        <v/>
      </c>
      <c r="Q220" s="14" t="str">
        <f aca="false">IF($D220&lt;&gt;1,"",IF($G220="ROKS",SUMIFS(TblApplications[Besoin ROKS RAM (Go)],TblApplications[Cluster ROKS cible],$F220,TblApplications[Action],"À migrer",TblApplications[Déjà incluse ROKS],"Non",TblApplications[Mois prov (calc)],"&lt;="&amp;$E220),SUMIFS(TblApplications[RAM IKS libérable (Go)],TblApplications[Cluster IKS source],$F220,TblApplications[Mois lib (calc)],"&lt;="&amp;$E220)))</f>
        <v/>
      </c>
      <c r="R220" s="14" t="str">
        <f aca="false">IF($D220&lt;&gt;1,"",IF($G220="ROKS",$L220+$P220,IF($AI220=1,0,MAX($N220,$L220-$P220))))</f>
        <v/>
      </c>
      <c r="S220" s="14" t="str">
        <f aca="false">IF($D220&lt;&gt;1,"",IF($G220="ROKS",$M220+$Q220,IF($AI220=1,0,MAX($O220,$M220-$Q220))))</f>
        <v/>
      </c>
      <c r="T220" s="14" t="str">
        <f aca="false">IF($D220&lt;&gt;1,"",IF($AI220=1,0,MAX($J220,ROUNDUP(MAX($R220/$H220,$S220/$I220),0))))</f>
        <v/>
      </c>
      <c r="U220" s="14" t="str">
        <f aca="false">IF($D220&lt;&gt;1,"",IF(p_mode="Nœud",$T220*$H220,$R220))</f>
        <v/>
      </c>
      <c r="V220" s="14" t="str">
        <f aca="false">IF($D220&lt;&gt;1,"",IF(p_mode="Nœud",$T220*$I220,$S220))</f>
        <v/>
      </c>
      <c r="W220" s="84" t="str">
        <f aca="false">IF($D220&lt;&gt;1,"",IF(p_mode="Nœud",$T220*$K220,$R220*IF($G220="IKS",p_iks_cpu,p_roks_cpu)+$S220*IF($G220="IKS",p_iks_ram,p_roks_ram))*p_facteur)</f>
        <v/>
      </c>
      <c r="X220" s="14" t="str">
        <f aca="false">IF($D220&lt;&gt;1,"",IF($G220="ROKS",$R220,IF($AI220=1,0,MAX($N220,$L220-SUMIFS(TblApplications[CPU IKS libérable (vCPU)],TblApplications[Cluster IKS source],$F220,TblApplications[Action],"À migrer",TblApplications[Mois prov (calc)],"&lt;="&amp;$E220)-SUMIFS(TblApplications[CPU IKS libérable (vCPU)],TblApplications[Cluster IKS source],$F220,TblApplications[Action],"À décommissionner",TblApplications[Mois lib (calc)],"&lt;="&amp;$E220)))))</f>
        <v/>
      </c>
      <c r="Y220" s="14" t="str">
        <f aca="false">IF($D220&lt;&gt;1,"",IF($G220="ROKS",$S220,IF($AI220=1,0,MAX($O220,$M220-SUMIFS(TblApplications[RAM IKS libérable (Go)],TblApplications[Cluster IKS source],$F220,TblApplications[Action],"À migrer",TblApplications[Mois prov (calc)],"&lt;="&amp;$E220)-SUMIFS(TblApplications[RAM IKS libérable (Go)],TblApplications[Cluster IKS source],$F220,TblApplications[Action],"À décommissionner",TblApplications[Mois lib (calc)],"&lt;="&amp;$E220)))))</f>
        <v/>
      </c>
      <c r="Z220" s="14" t="str">
        <f aca="false">IF($D220&lt;&gt;1,"",IF($AI220=1,0,MAX($J220,ROUNDUP(MAX($X220/$H220,$Y220/$I220),0))))</f>
        <v/>
      </c>
      <c r="AA220" s="84" t="str">
        <f aca="false">IF($D220&lt;&gt;1,"",IF(p_mode="Nœud",$Z220*$K220,$X220*IF($G220="IKS",p_iks_cpu,p_roks_cpu)+$Y220*IF($G220="IKS",p_iks_ram,p_roks_ram))*p_facteur)</f>
        <v/>
      </c>
      <c r="AB220" s="14" t="str">
        <f aca="false">IF($D220&lt;&gt;1,"",MAX($J220,ROUNDUP(MAX($L220/$H220,$M220/$I220),0)))</f>
        <v/>
      </c>
      <c r="AC220" s="84" t="str">
        <f aca="false">IF($D220&lt;&gt;1,"",IF(p_mode="Nœud",$AB220*$K220,$L220*IF($G220="IKS",p_iks_cpu,p_roks_cpu)+$M220*IF($G220="IKS",p_iks_ram,p_roks_ram))*p_facteur)</f>
        <v/>
      </c>
      <c r="AD220" s="14" t="str">
        <f aca="false">IF($D220&lt;&gt;1,"",IF(AND($G220="IKS",$AI220&lt;&gt;1,OR($L220-$P220&lt;$N220,$M220-$Q220&lt;$O220)),1,0))</f>
        <v/>
      </c>
      <c r="AE220" s="14" t="str">
        <f aca="false">IF($D220&lt;&gt;1,"",IF(AND($G220="ROKS",$T220&gt;p_maxworkers),1,0))</f>
        <v/>
      </c>
      <c r="AF220" s="14" t="str">
        <f aca="false">IF($D220&lt;&gt;1,"",IF(INDEX(TblClusters[Environnement],$B220)="","(vide)",INDEX(TblClusters[Environnement],$B220)))</f>
        <v/>
      </c>
      <c r="AG220" s="14" t="str">
        <f aca="false">IF($D220&lt;&gt;1,"",$R220+p_poidsram*$S220)</f>
        <v/>
      </c>
      <c r="AH220" s="14" t="str">
        <f aca="false">IF($D220&lt;&gt;1,"",IFERROR($W220/$AG220,0))</f>
        <v/>
      </c>
      <c r="AI220" s="14" t="str">
        <f aca="false">IF($D220&lt;&gt;1,"",IF(AND($G220="IKS",ISNUMBER(INDEX(TblClusters[Fermeture retenue],$B220))),IF($E220&gt;=INDEX(TblClusters[Fermeture retenue],$B220),1,0),0))</f>
        <v/>
      </c>
    </row>
    <row r="221" customFormat="false" ht="15" hidden="false" customHeight="false" outlineLevel="0" collapsed="false">
      <c r="A221" s="14" t="n">
        <v>216</v>
      </c>
      <c r="B221" s="14" t="n">
        <f aca="false">INT(($A221-1)/36)+1</f>
        <v>6</v>
      </c>
      <c r="C221" s="14" t="n">
        <f aca="false">MOD($A221-1,36)+1</f>
        <v>36</v>
      </c>
      <c r="D221" s="14" t="n">
        <f aca="false">IF($C221&gt;p_horizon,0,IFERROR(IF(AND(INDEX(TblClusters[Cluster],$B221)&lt;&gt;"",ISNUMBER(INDEX(TblClusters[CPU initial (vCPU)],$B221)),ISNUMBER(INDEX(TblClusters[CPU min (vCPU)],$B221)),OR(INDEX(TblClusters[Plateforme],$B221)="IKS",INDEX(TblClusters[Plateforme],$B221)="ROKS")),1,0),0))</f>
        <v>0</v>
      </c>
      <c r="E221" s="83" t="str">
        <f aca="false">IF($D221=1,EDATE(p_debut,$C221-1),"")</f>
        <v/>
      </c>
      <c r="F221" s="14" t="str">
        <f aca="false">IF($D221=1,INDEX(TblClusters[Cluster],$B221),"")</f>
        <v/>
      </c>
      <c r="G221" s="14" t="str">
        <f aca="false">IF($D221=1,INDEX(TblClusters[Plateforme],$B221),"")</f>
        <v/>
      </c>
      <c r="H221" s="14" t="str">
        <f aca="false">IF($D221=1,INDEX(TblClusters[vCPU par nœud],$B221),"")</f>
        <v/>
      </c>
      <c r="I221" s="14" t="str">
        <f aca="false">IF($D221=1,INDEX(TblClusters[RAM par nœud (Go)],$B221),"")</f>
        <v/>
      </c>
      <c r="J221" s="14" t="str">
        <f aca="false">IF($D221=1,INDEX(TblClusters[Workers min],$B221),"")</f>
        <v/>
      </c>
      <c r="K221" s="84" t="str">
        <f aca="false">IF($D221=1,INDEX(TblClusters[Tarif par nœud],$B221),"")</f>
        <v/>
      </c>
      <c r="L221" s="14" t="str">
        <f aca="false">IF($D221=1,INDEX(TblClusters[CPU initial (vCPU)],$B221),"")</f>
        <v/>
      </c>
      <c r="M221" s="14" t="str">
        <f aca="false">IF($D221=1,INDEX(TblClusters[RAM initiale (Go)],$B221),"")</f>
        <v/>
      </c>
      <c r="N221" s="14" t="str">
        <f aca="false">IF($D221=1,INDEX(TblClusters[CPU min (vCPU)],$B221),"")</f>
        <v/>
      </c>
      <c r="O221" s="14" t="str">
        <f aca="false">IF($D221=1,INDEX(TblClusters[RAM min (Go)],$B221),"")</f>
        <v/>
      </c>
      <c r="P221" s="14" t="str">
        <f aca="false">IF($D221&lt;&gt;1,"",IF($G221="ROKS",SUMIFS(TblApplications[Besoin ROKS CPU (vCPU)],TblApplications[Cluster ROKS cible],$F221,TblApplications[Action],"À migrer",TblApplications[Déjà incluse ROKS],"Non",TblApplications[Mois prov (calc)],"&lt;="&amp;$E221),SUMIFS(TblApplications[CPU IKS libérable (vCPU)],TblApplications[Cluster IKS source],$F221,TblApplications[Mois lib (calc)],"&lt;="&amp;$E221)))</f>
        <v/>
      </c>
      <c r="Q221" s="14" t="str">
        <f aca="false">IF($D221&lt;&gt;1,"",IF($G221="ROKS",SUMIFS(TblApplications[Besoin ROKS RAM (Go)],TblApplications[Cluster ROKS cible],$F221,TblApplications[Action],"À migrer",TblApplications[Déjà incluse ROKS],"Non",TblApplications[Mois prov (calc)],"&lt;="&amp;$E221),SUMIFS(TblApplications[RAM IKS libérable (Go)],TblApplications[Cluster IKS source],$F221,TblApplications[Mois lib (calc)],"&lt;="&amp;$E221)))</f>
        <v/>
      </c>
      <c r="R221" s="14" t="str">
        <f aca="false">IF($D221&lt;&gt;1,"",IF($G221="ROKS",$L221+$P221,IF($AI221=1,0,MAX($N221,$L221-$P221))))</f>
        <v/>
      </c>
      <c r="S221" s="14" t="str">
        <f aca="false">IF($D221&lt;&gt;1,"",IF($G221="ROKS",$M221+$Q221,IF($AI221=1,0,MAX($O221,$M221-$Q221))))</f>
        <v/>
      </c>
      <c r="T221" s="14" t="str">
        <f aca="false">IF($D221&lt;&gt;1,"",IF($AI221=1,0,MAX($J221,ROUNDUP(MAX($R221/$H221,$S221/$I221),0))))</f>
        <v/>
      </c>
      <c r="U221" s="14" t="str">
        <f aca="false">IF($D221&lt;&gt;1,"",IF(p_mode="Nœud",$T221*$H221,$R221))</f>
        <v/>
      </c>
      <c r="V221" s="14" t="str">
        <f aca="false">IF($D221&lt;&gt;1,"",IF(p_mode="Nœud",$T221*$I221,$S221))</f>
        <v/>
      </c>
      <c r="W221" s="84" t="str">
        <f aca="false">IF($D221&lt;&gt;1,"",IF(p_mode="Nœud",$T221*$K221,$R221*IF($G221="IKS",p_iks_cpu,p_roks_cpu)+$S221*IF($G221="IKS",p_iks_ram,p_roks_ram))*p_facteur)</f>
        <v/>
      </c>
      <c r="X221" s="14" t="str">
        <f aca="false">IF($D221&lt;&gt;1,"",IF($G221="ROKS",$R221,IF($AI221=1,0,MAX($N221,$L221-SUMIFS(TblApplications[CPU IKS libérable (vCPU)],TblApplications[Cluster IKS source],$F221,TblApplications[Action],"À migrer",TblApplications[Mois prov (calc)],"&lt;="&amp;$E221)-SUMIFS(TblApplications[CPU IKS libérable (vCPU)],TblApplications[Cluster IKS source],$F221,TblApplications[Action],"À décommissionner",TblApplications[Mois lib (calc)],"&lt;="&amp;$E221)))))</f>
        <v/>
      </c>
      <c r="Y221" s="14" t="str">
        <f aca="false">IF($D221&lt;&gt;1,"",IF($G221="ROKS",$S221,IF($AI221=1,0,MAX($O221,$M221-SUMIFS(TblApplications[RAM IKS libérable (Go)],TblApplications[Cluster IKS source],$F221,TblApplications[Action],"À migrer",TblApplications[Mois prov (calc)],"&lt;="&amp;$E221)-SUMIFS(TblApplications[RAM IKS libérable (Go)],TblApplications[Cluster IKS source],$F221,TblApplications[Action],"À décommissionner",TblApplications[Mois lib (calc)],"&lt;="&amp;$E221)))))</f>
        <v/>
      </c>
      <c r="Z221" s="14" t="str">
        <f aca="false">IF($D221&lt;&gt;1,"",IF($AI221=1,0,MAX($J221,ROUNDUP(MAX($X221/$H221,$Y221/$I221),0))))</f>
        <v/>
      </c>
      <c r="AA221" s="84" t="str">
        <f aca="false">IF($D221&lt;&gt;1,"",IF(p_mode="Nœud",$Z221*$K221,$X221*IF($G221="IKS",p_iks_cpu,p_roks_cpu)+$Y221*IF($G221="IKS",p_iks_ram,p_roks_ram))*p_facteur)</f>
        <v/>
      </c>
      <c r="AB221" s="14" t="str">
        <f aca="false">IF($D221&lt;&gt;1,"",MAX($J221,ROUNDUP(MAX($L221/$H221,$M221/$I221),0)))</f>
        <v/>
      </c>
      <c r="AC221" s="84" t="str">
        <f aca="false">IF($D221&lt;&gt;1,"",IF(p_mode="Nœud",$AB221*$K221,$L221*IF($G221="IKS",p_iks_cpu,p_roks_cpu)+$M221*IF($G221="IKS",p_iks_ram,p_roks_ram))*p_facteur)</f>
        <v/>
      </c>
      <c r="AD221" s="14" t="str">
        <f aca="false">IF($D221&lt;&gt;1,"",IF(AND($G221="IKS",$AI221&lt;&gt;1,OR($L221-$P221&lt;$N221,$M221-$Q221&lt;$O221)),1,0))</f>
        <v/>
      </c>
      <c r="AE221" s="14" t="str">
        <f aca="false">IF($D221&lt;&gt;1,"",IF(AND($G221="ROKS",$T221&gt;p_maxworkers),1,0))</f>
        <v/>
      </c>
      <c r="AF221" s="14" t="str">
        <f aca="false">IF($D221&lt;&gt;1,"",IF(INDEX(TblClusters[Environnement],$B221)="","(vide)",INDEX(TblClusters[Environnement],$B221)))</f>
        <v/>
      </c>
      <c r="AG221" s="14" t="str">
        <f aca="false">IF($D221&lt;&gt;1,"",$R221+p_poidsram*$S221)</f>
        <v/>
      </c>
      <c r="AH221" s="14" t="str">
        <f aca="false">IF($D221&lt;&gt;1,"",IFERROR($W221/$AG221,0))</f>
        <v/>
      </c>
      <c r="AI221" s="14" t="str">
        <f aca="false">IF($D221&lt;&gt;1,"",IF(AND($G221="IKS",ISNUMBER(INDEX(TblClusters[Fermeture retenue],$B221))),IF($E221&gt;=INDEX(TblClusters[Fermeture retenue],$B221),1,0),0))</f>
        <v/>
      </c>
    </row>
    <row r="222" customFormat="false" ht="15" hidden="false" customHeight="false" outlineLevel="0" collapsed="false">
      <c r="A222" s="14" t="n">
        <v>217</v>
      </c>
      <c r="B222" s="14" t="n">
        <f aca="false">INT(($A222-1)/36)+1</f>
        <v>7</v>
      </c>
      <c r="C222" s="14" t="n">
        <f aca="false">MOD($A222-1,36)+1</f>
        <v>1</v>
      </c>
      <c r="D222" s="14" t="n">
        <f aca="false">IF($C222&gt;p_horizon,0,IFERROR(IF(AND(INDEX(TblClusters[Cluster],$B222)&lt;&gt;"",ISNUMBER(INDEX(TblClusters[CPU initial (vCPU)],$B222)),ISNUMBER(INDEX(TblClusters[CPU min (vCPU)],$B222)),OR(INDEX(TblClusters[Plateforme],$B222)="IKS",INDEX(TblClusters[Plateforme],$B222)="ROKS")),1,0),0))</f>
        <v>0</v>
      </c>
      <c r="E222" s="83" t="str">
        <f aca="false">IF($D222=1,EDATE(p_debut,$C222-1),"")</f>
        <v/>
      </c>
      <c r="F222" s="14" t="str">
        <f aca="false">IF($D222=1,INDEX(TblClusters[Cluster],$B222),"")</f>
        <v/>
      </c>
      <c r="G222" s="14" t="str">
        <f aca="false">IF($D222=1,INDEX(TblClusters[Plateforme],$B222),"")</f>
        <v/>
      </c>
      <c r="H222" s="14" t="str">
        <f aca="false">IF($D222=1,INDEX(TblClusters[vCPU par nœud],$B222),"")</f>
        <v/>
      </c>
      <c r="I222" s="14" t="str">
        <f aca="false">IF($D222=1,INDEX(TblClusters[RAM par nœud (Go)],$B222),"")</f>
        <v/>
      </c>
      <c r="J222" s="14" t="str">
        <f aca="false">IF($D222=1,INDEX(TblClusters[Workers min],$B222),"")</f>
        <v/>
      </c>
      <c r="K222" s="84" t="str">
        <f aca="false">IF($D222=1,INDEX(TblClusters[Tarif par nœud],$B222),"")</f>
        <v/>
      </c>
      <c r="L222" s="14" t="str">
        <f aca="false">IF($D222=1,INDEX(TblClusters[CPU initial (vCPU)],$B222),"")</f>
        <v/>
      </c>
      <c r="M222" s="14" t="str">
        <f aca="false">IF($D222=1,INDEX(TblClusters[RAM initiale (Go)],$B222),"")</f>
        <v/>
      </c>
      <c r="N222" s="14" t="str">
        <f aca="false">IF($D222=1,INDEX(TblClusters[CPU min (vCPU)],$B222),"")</f>
        <v/>
      </c>
      <c r="O222" s="14" t="str">
        <f aca="false">IF($D222=1,INDEX(TblClusters[RAM min (Go)],$B222),"")</f>
        <v/>
      </c>
      <c r="P222" s="14" t="str">
        <f aca="false">IF($D222&lt;&gt;1,"",IF($G222="ROKS",SUMIFS(TblApplications[Besoin ROKS CPU (vCPU)],TblApplications[Cluster ROKS cible],$F222,TblApplications[Action],"À migrer",TblApplications[Déjà incluse ROKS],"Non",TblApplications[Mois prov (calc)],"&lt;="&amp;$E222),SUMIFS(TblApplications[CPU IKS libérable (vCPU)],TblApplications[Cluster IKS source],$F222,TblApplications[Mois lib (calc)],"&lt;="&amp;$E222)))</f>
        <v/>
      </c>
      <c r="Q222" s="14" t="str">
        <f aca="false">IF($D222&lt;&gt;1,"",IF($G222="ROKS",SUMIFS(TblApplications[Besoin ROKS RAM (Go)],TblApplications[Cluster ROKS cible],$F222,TblApplications[Action],"À migrer",TblApplications[Déjà incluse ROKS],"Non",TblApplications[Mois prov (calc)],"&lt;="&amp;$E222),SUMIFS(TblApplications[RAM IKS libérable (Go)],TblApplications[Cluster IKS source],$F222,TblApplications[Mois lib (calc)],"&lt;="&amp;$E222)))</f>
        <v/>
      </c>
      <c r="R222" s="14" t="str">
        <f aca="false">IF($D222&lt;&gt;1,"",IF($G222="ROKS",$L222+$P222,IF($AI222=1,0,MAX($N222,$L222-$P222))))</f>
        <v/>
      </c>
      <c r="S222" s="14" t="str">
        <f aca="false">IF($D222&lt;&gt;1,"",IF($G222="ROKS",$M222+$Q222,IF($AI222=1,0,MAX($O222,$M222-$Q222))))</f>
        <v/>
      </c>
      <c r="T222" s="14" t="str">
        <f aca="false">IF($D222&lt;&gt;1,"",IF($AI222=1,0,MAX($J222,ROUNDUP(MAX($R222/$H222,$S222/$I222),0))))</f>
        <v/>
      </c>
      <c r="U222" s="14" t="str">
        <f aca="false">IF($D222&lt;&gt;1,"",IF(p_mode="Nœud",$T222*$H222,$R222))</f>
        <v/>
      </c>
      <c r="V222" s="14" t="str">
        <f aca="false">IF($D222&lt;&gt;1,"",IF(p_mode="Nœud",$T222*$I222,$S222))</f>
        <v/>
      </c>
      <c r="W222" s="84" t="str">
        <f aca="false">IF($D222&lt;&gt;1,"",IF(p_mode="Nœud",$T222*$K222,$R222*IF($G222="IKS",p_iks_cpu,p_roks_cpu)+$S222*IF($G222="IKS",p_iks_ram,p_roks_ram))*p_facteur)</f>
        <v/>
      </c>
      <c r="X222" s="14" t="str">
        <f aca="false">IF($D222&lt;&gt;1,"",IF($G222="ROKS",$R222,IF($AI222=1,0,MAX($N222,$L222-SUMIFS(TblApplications[CPU IKS libérable (vCPU)],TblApplications[Cluster IKS source],$F222,TblApplications[Action],"À migrer",TblApplications[Mois prov (calc)],"&lt;="&amp;$E222)-SUMIFS(TblApplications[CPU IKS libérable (vCPU)],TblApplications[Cluster IKS source],$F222,TblApplications[Action],"À décommissionner",TblApplications[Mois lib (calc)],"&lt;="&amp;$E222)))))</f>
        <v/>
      </c>
      <c r="Y222" s="14" t="str">
        <f aca="false">IF($D222&lt;&gt;1,"",IF($G222="ROKS",$S222,IF($AI222=1,0,MAX($O222,$M222-SUMIFS(TblApplications[RAM IKS libérable (Go)],TblApplications[Cluster IKS source],$F222,TblApplications[Action],"À migrer",TblApplications[Mois prov (calc)],"&lt;="&amp;$E222)-SUMIFS(TblApplications[RAM IKS libérable (Go)],TblApplications[Cluster IKS source],$F222,TblApplications[Action],"À décommissionner",TblApplications[Mois lib (calc)],"&lt;="&amp;$E222)))))</f>
        <v/>
      </c>
      <c r="Z222" s="14" t="str">
        <f aca="false">IF($D222&lt;&gt;1,"",IF($AI222=1,0,MAX($J222,ROUNDUP(MAX($X222/$H222,$Y222/$I222),0))))</f>
        <v/>
      </c>
      <c r="AA222" s="84" t="str">
        <f aca="false">IF($D222&lt;&gt;1,"",IF(p_mode="Nœud",$Z222*$K222,$X222*IF($G222="IKS",p_iks_cpu,p_roks_cpu)+$Y222*IF($G222="IKS",p_iks_ram,p_roks_ram))*p_facteur)</f>
        <v/>
      </c>
      <c r="AB222" s="14" t="str">
        <f aca="false">IF($D222&lt;&gt;1,"",MAX($J222,ROUNDUP(MAX($L222/$H222,$M222/$I222),0)))</f>
        <v/>
      </c>
      <c r="AC222" s="84" t="str">
        <f aca="false">IF($D222&lt;&gt;1,"",IF(p_mode="Nœud",$AB222*$K222,$L222*IF($G222="IKS",p_iks_cpu,p_roks_cpu)+$M222*IF($G222="IKS",p_iks_ram,p_roks_ram))*p_facteur)</f>
        <v/>
      </c>
      <c r="AD222" s="14" t="str">
        <f aca="false">IF($D222&lt;&gt;1,"",IF(AND($G222="IKS",$AI222&lt;&gt;1,OR($L222-$P222&lt;$N222,$M222-$Q222&lt;$O222)),1,0))</f>
        <v/>
      </c>
      <c r="AE222" s="14" t="str">
        <f aca="false">IF($D222&lt;&gt;1,"",IF(AND($G222="ROKS",$T222&gt;p_maxworkers),1,0))</f>
        <v/>
      </c>
      <c r="AF222" s="14" t="str">
        <f aca="false">IF($D222&lt;&gt;1,"",IF(INDEX(TblClusters[Environnement],$B222)="","(vide)",INDEX(TblClusters[Environnement],$B222)))</f>
        <v/>
      </c>
      <c r="AG222" s="14" t="str">
        <f aca="false">IF($D222&lt;&gt;1,"",$R222+p_poidsram*$S222)</f>
        <v/>
      </c>
      <c r="AH222" s="14" t="str">
        <f aca="false">IF($D222&lt;&gt;1,"",IFERROR($W222/$AG222,0))</f>
        <v/>
      </c>
      <c r="AI222" s="14" t="str">
        <f aca="false">IF($D222&lt;&gt;1,"",IF(AND($G222="IKS",ISNUMBER(INDEX(TblClusters[Fermeture retenue],$B222))),IF($E222&gt;=INDEX(TblClusters[Fermeture retenue],$B222),1,0),0))</f>
        <v/>
      </c>
    </row>
    <row r="223" customFormat="false" ht="15" hidden="false" customHeight="false" outlineLevel="0" collapsed="false">
      <c r="A223" s="14" t="n">
        <v>218</v>
      </c>
      <c r="B223" s="14" t="n">
        <f aca="false">INT(($A223-1)/36)+1</f>
        <v>7</v>
      </c>
      <c r="C223" s="14" t="n">
        <f aca="false">MOD($A223-1,36)+1</f>
        <v>2</v>
      </c>
      <c r="D223" s="14" t="n">
        <f aca="false">IF($C223&gt;p_horizon,0,IFERROR(IF(AND(INDEX(TblClusters[Cluster],$B223)&lt;&gt;"",ISNUMBER(INDEX(TblClusters[CPU initial (vCPU)],$B223)),ISNUMBER(INDEX(TblClusters[CPU min (vCPU)],$B223)),OR(INDEX(TblClusters[Plateforme],$B223)="IKS",INDEX(TblClusters[Plateforme],$B223)="ROKS")),1,0),0))</f>
        <v>0</v>
      </c>
      <c r="E223" s="83" t="str">
        <f aca="false">IF($D223=1,EDATE(p_debut,$C223-1),"")</f>
        <v/>
      </c>
      <c r="F223" s="14" t="str">
        <f aca="false">IF($D223=1,INDEX(TblClusters[Cluster],$B223),"")</f>
        <v/>
      </c>
      <c r="G223" s="14" t="str">
        <f aca="false">IF($D223=1,INDEX(TblClusters[Plateforme],$B223),"")</f>
        <v/>
      </c>
      <c r="H223" s="14" t="str">
        <f aca="false">IF($D223=1,INDEX(TblClusters[vCPU par nœud],$B223),"")</f>
        <v/>
      </c>
      <c r="I223" s="14" t="str">
        <f aca="false">IF($D223=1,INDEX(TblClusters[RAM par nœud (Go)],$B223),"")</f>
        <v/>
      </c>
      <c r="J223" s="14" t="str">
        <f aca="false">IF($D223=1,INDEX(TblClusters[Workers min],$B223),"")</f>
        <v/>
      </c>
      <c r="K223" s="84" t="str">
        <f aca="false">IF($D223=1,INDEX(TblClusters[Tarif par nœud],$B223),"")</f>
        <v/>
      </c>
      <c r="L223" s="14" t="str">
        <f aca="false">IF($D223=1,INDEX(TblClusters[CPU initial (vCPU)],$B223),"")</f>
        <v/>
      </c>
      <c r="M223" s="14" t="str">
        <f aca="false">IF($D223=1,INDEX(TblClusters[RAM initiale (Go)],$B223),"")</f>
        <v/>
      </c>
      <c r="N223" s="14" t="str">
        <f aca="false">IF($D223=1,INDEX(TblClusters[CPU min (vCPU)],$B223),"")</f>
        <v/>
      </c>
      <c r="O223" s="14" t="str">
        <f aca="false">IF($D223=1,INDEX(TblClusters[RAM min (Go)],$B223),"")</f>
        <v/>
      </c>
      <c r="P223" s="14" t="str">
        <f aca="false">IF($D223&lt;&gt;1,"",IF($G223="ROKS",SUMIFS(TblApplications[Besoin ROKS CPU (vCPU)],TblApplications[Cluster ROKS cible],$F223,TblApplications[Action],"À migrer",TblApplications[Déjà incluse ROKS],"Non",TblApplications[Mois prov (calc)],"&lt;="&amp;$E223),SUMIFS(TblApplications[CPU IKS libérable (vCPU)],TblApplications[Cluster IKS source],$F223,TblApplications[Mois lib (calc)],"&lt;="&amp;$E223)))</f>
        <v/>
      </c>
      <c r="Q223" s="14" t="str">
        <f aca="false">IF($D223&lt;&gt;1,"",IF($G223="ROKS",SUMIFS(TblApplications[Besoin ROKS RAM (Go)],TblApplications[Cluster ROKS cible],$F223,TblApplications[Action],"À migrer",TblApplications[Déjà incluse ROKS],"Non",TblApplications[Mois prov (calc)],"&lt;="&amp;$E223),SUMIFS(TblApplications[RAM IKS libérable (Go)],TblApplications[Cluster IKS source],$F223,TblApplications[Mois lib (calc)],"&lt;="&amp;$E223)))</f>
        <v/>
      </c>
      <c r="R223" s="14" t="str">
        <f aca="false">IF($D223&lt;&gt;1,"",IF($G223="ROKS",$L223+$P223,IF($AI223=1,0,MAX($N223,$L223-$P223))))</f>
        <v/>
      </c>
      <c r="S223" s="14" t="str">
        <f aca="false">IF($D223&lt;&gt;1,"",IF($G223="ROKS",$M223+$Q223,IF($AI223=1,0,MAX($O223,$M223-$Q223))))</f>
        <v/>
      </c>
      <c r="T223" s="14" t="str">
        <f aca="false">IF($D223&lt;&gt;1,"",IF($AI223=1,0,MAX($J223,ROUNDUP(MAX($R223/$H223,$S223/$I223),0))))</f>
        <v/>
      </c>
      <c r="U223" s="14" t="str">
        <f aca="false">IF($D223&lt;&gt;1,"",IF(p_mode="Nœud",$T223*$H223,$R223))</f>
        <v/>
      </c>
      <c r="V223" s="14" t="str">
        <f aca="false">IF($D223&lt;&gt;1,"",IF(p_mode="Nœud",$T223*$I223,$S223))</f>
        <v/>
      </c>
      <c r="W223" s="84" t="str">
        <f aca="false">IF($D223&lt;&gt;1,"",IF(p_mode="Nœud",$T223*$K223,$R223*IF($G223="IKS",p_iks_cpu,p_roks_cpu)+$S223*IF($G223="IKS",p_iks_ram,p_roks_ram))*p_facteur)</f>
        <v/>
      </c>
      <c r="X223" s="14" t="str">
        <f aca="false">IF($D223&lt;&gt;1,"",IF($G223="ROKS",$R223,IF($AI223=1,0,MAX($N223,$L223-SUMIFS(TblApplications[CPU IKS libérable (vCPU)],TblApplications[Cluster IKS source],$F223,TblApplications[Action],"À migrer",TblApplications[Mois prov (calc)],"&lt;="&amp;$E223)-SUMIFS(TblApplications[CPU IKS libérable (vCPU)],TblApplications[Cluster IKS source],$F223,TblApplications[Action],"À décommissionner",TblApplications[Mois lib (calc)],"&lt;="&amp;$E223)))))</f>
        <v/>
      </c>
      <c r="Y223" s="14" t="str">
        <f aca="false">IF($D223&lt;&gt;1,"",IF($G223="ROKS",$S223,IF($AI223=1,0,MAX($O223,$M223-SUMIFS(TblApplications[RAM IKS libérable (Go)],TblApplications[Cluster IKS source],$F223,TblApplications[Action],"À migrer",TblApplications[Mois prov (calc)],"&lt;="&amp;$E223)-SUMIFS(TblApplications[RAM IKS libérable (Go)],TblApplications[Cluster IKS source],$F223,TblApplications[Action],"À décommissionner",TblApplications[Mois lib (calc)],"&lt;="&amp;$E223)))))</f>
        <v/>
      </c>
      <c r="Z223" s="14" t="str">
        <f aca="false">IF($D223&lt;&gt;1,"",IF($AI223=1,0,MAX($J223,ROUNDUP(MAX($X223/$H223,$Y223/$I223),0))))</f>
        <v/>
      </c>
      <c r="AA223" s="84" t="str">
        <f aca="false">IF($D223&lt;&gt;1,"",IF(p_mode="Nœud",$Z223*$K223,$X223*IF($G223="IKS",p_iks_cpu,p_roks_cpu)+$Y223*IF($G223="IKS",p_iks_ram,p_roks_ram))*p_facteur)</f>
        <v/>
      </c>
      <c r="AB223" s="14" t="str">
        <f aca="false">IF($D223&lt;&gt;1,"",MAX($J223,ROUNDUP(MAX($L223/$H223,$M223/$I223),0)))</f>
        <v/>
      </c>
      <c r="AC223" s="84" t="str">
        <f aca="false">IF($D223&lt;&gt;1,"",IF(p_mode="Nœud",$AB223*$K223,$L223*IF($G223="IKS",p_iks_cpu,p_roks_cpu)+$M223*IF($G223="IKS",p_iks_ram,p_roks_ram))*p_facteur)</f>
        <v/>
      </c>
      <c r="AD223" s="14" t="str">
        <f aca="false">IF($D223&lt;&gt;1,"",IF(AND($G223="IKS",$AI223&lt;&gt;1,OR($L223-$P223&lt;$N223,$M223-$Q223&lt;$O223)),1,0))</f>
        <v/>
      </c>
      <c r="AE223" s="14" t="str">
        <f aca="false">IF($D223&lt;&gt;1,"",IF(AND($G223="ROKS",$T223&gt;p_maxworkers),1,0))</f>
        <v/>
      </c>
      <c r="AF223" s="14" t="str">
        <f aca="false">IF($D223&lt;&gt;1,"",IF(INDEX(TblClusters[Environnement],$B223)="","(vide)",INDEX(TblClusters[Environnement],$B223)))</f>
        <v/>
      </c>
      <c r="AG223" s="14" t="str">
        <f aca="false">IF($D223&lt;&gt;1,"",$R223+p_poidsram*$S223)</f>
        <v/>
      </c>
      <c r="AH223" s="14" t="str">
        <f aca="false">IF($D223&lt;&gt;1,"",IFERROR($W223/$AG223,0))</f>
        <v/>
      </c>
      <c r="AI223" s="14" t="str">
        <f aca="false">IF($D223&lt;&gt;1,"",IF(AND($G223="IKS",ISNUMBER(INDEX(TblClusters[Fermeture retenue],$B223))),IF($E223&gt;=INDEX(TblClusters[Fermeture retenue],$B223),1,0),0))</f>
        <v/>
      </c>
    </row>
    <row r="224" customFormat="false" ht="15" hidden="false" customHeight="false" outlineLevel="0" collapsed="false">
      <c r="A224" s="14" t="n">
        <v>219</v>
      </c>
      <c r="B224" s="14" t="n">
        <f aca="false">INT(($A224-1)/36)+1</f>
        <v>7</v>
      </c>
      <c r="C224" s="14" t="n">
        <f aca="false">MOD($A224-1,36)+1</f>
        <v>3</v>
      </c>
      <c r="D224" s="14" t="n">
        <f aca="false">IF($C224&gt;p_horizon,0,IFERROR(IF(AND(INDEX(TblClusters[Cluster],$B224)&lt;&gt;"",ISNUMBER(INDEX(TblClusters[CPU initial (vCPU)],$B224)),ISNUMBER(INDEX(TblClusters[CPU min (vCPU)],$B224)),OR(INDEX(TblClusters[Plateforme],$B224)="IKS",INDEX(TblClusters[Plateforme],$B224)="ROKS")),1,0),0))</f>
        <v>0</v>
      </c>
      <c r="E224" s="83" t="str">
        <f aca="false">IF($D224=1,EDATE(p_debut,$C224-1),"")</f>
        <v/>
      </c>
      <c r="F224" s="14" t="str">
        <f aca="false">IF($D224=1,INDEX(TblClusters[Cluster],$B224),"")</f>
        <v/>
      </c>
      <c r="G224" s="14" t="str">
        <f aca="false">IF($D224=1,INDEX(TblClusters[Plateforme],$B224),"")</f>
        <v/>
      </c>
      <c r="H224" s="14" t="str">
        <f aca="false">IF($D224=1,INDEX(TblClusters[vCPU par nœud],$B224),"")</f>
        <v/>
      </c>
      <c r="I224" s="14" t="str">
        <f aca="false">IF($D224=1,INDEX(TblClusters[RAM par nœud (Go)],$B224),"")</f>
        <v/>
      </c>
      <c r="J224" s="14" t="str">
        <f aca="false">IF($D224=1,INDEX(TblClusters[Workers min],$B224),"")</f>
        <v/>
      </c>
      <c r="K224" s="84" t="str">
        <f aca="false">IF($D224=1,INDEX(TblClusters[Tarif par nœud],$B224),"")</f>
        <v/>
      </c>
      <c r="L224" s="14" t="str">
        <f aca="false">IF($D224=1,INDEX(TblClusters[CPU initial (vCPU)],$B224),"")</f>
        <v/>
      </c>
      <c r="M224" s="14" t="str">
        <f aca="false">IF($D224=1,INDEX(TblClusters[RAM initiale (Go)],$B224),"")</f>
        <v/>
      </c>
      <c r="N224" s="14" t="str">
        <f aca="false">IF($D224=1,INDEX(TblClusters[CPU min (vCPU)],$B224),"")</f>
        <v/>
      </c>
      <c r="O224" s="14" t="str">
        <f aca="false">IF($D224=1,INDEX(TblClusters[RAM min (Go)],$B224),"")</f>
        <v/>
      </c>
      <c r="P224" s="14" t="str">
        <f aca="false">IF($D224&lt;&gt;1,"",IF($G224="ROKS",SUMIFS(TblApplications[Besoin ROKS CPU (vCPU)],TblApplications[Cluster ROKS cible],$F224,TblApplications[Action],"À migrer",TblApplications[Déjà incluse ROKS],"Non",TblApplications[Mois prov (calc)],"&lt;="&amp;$E224),SUMIFS(TblApplications[CPU IKS libérable (vCPU)],TblApplications[Cluster IKS source],$F224,TblApplications[Mois lib (calc)],"&lt;="&amp;$E224)))</f>
        <v/>
      </c>
      <c r="Q224" s="14" t="str">
        <f aca="false">IF($D224&lt;&gt;1,"",IF($G224="ROKS",SUMIFS(TblApplications[Besoin ROKS RAM (Go)],TblApplications[Cluster ROKS cible],$F224,TblApplications[Action],"À migrer",TblApplications[Déjà incluse ROKS],"Non",TblApplications[Mois prov (calc)],"&lt;="&amp;$E224),SUMIFS(TblApplications[RAM IKS libérable (Go)],TblApplications[Cluster IKS source],$F224,TblApplications[Mois lib (calc)],"&lt;="&amp;$E224)))</f>
        <v/>
      </c>
      <c r="R224" s="14" t="str">
        <f aca="false">IF($D224&lt;&gt;1,"",IF($G224="ROKS",$L224+$P224,IF($AI224=1,0,MAX($N224,$L224-$P224))))</f>
        <v/>
      </c>
      <c r="S224" s="14" t="str">
        <f aca="false">IF($D224&lt;&gt;1,"",IF($G224="ROKS",$M224+$Q224,IF($AI224=1,0,MAX($O224,$M224-$Q224))))</f>
        <v/>
      </c>
      <c r="T224" s="14" t="str">
        <f aca="false">IF($D224&lt;&gt;1,"",IF($AI224=1,0,MAX($J224,ROUNDUP(MAX($R224/$H224,$S224/$I224),0))))</f>
        <v/>
      </c>
      <c r="U224" s="14" t="str">
        <f aca="false">IF($D224&lt;&gt;1,"",IF(p_mode="Nœud",$T224*$H224,$R224))</f>
        <v/>
      </c>
      <c r="V224" s="14" t="str">
        <f aca="false">IF($D224&lt;&gt;1,"",IF(p_mode="Nœud",$T224*$I224,$S224))</f>
        <v/>
      </c>
      <c r="W224" s="84" t="str">
        <f aca="false">IF($D224&lt;&gt;1,"",IF(p_mode="Nœud",$T224*$K224,$R224*IF($G224="IKS",p_iks_cpu,p_roks_cpu)+$S224*IF($G224="IKS",p_iks_ram,p_roks_ram))*p_facteur)</f>
        <v/>
      </c>
      <c r="X224" s="14" t="str">
        <f aca="false">IF($D224&lt;&gt;1,"",IF($G224="ROKS",$R224,IF($AI224=1,0,MAX($N224,$L224-SUMIFS(TblApplications[CPU IKS libérable (vCPU)],TblApplications[Cluster IKS source],$F224,TblApplications[Action],"À migrer",TblApplications[Mois prov (calc)],"&lt;="&amp;$E224)-SUMIFS(TblApplications[CPU IKS libérable (vCPU)],TblApplications[Cluster IKS source],$F224,TblApplications[Action],"À décommissionner",TblApplications[Mois lib (calc)],"&lt;="&amp;$E224)))))</f>
        <v/>
      </c>
      <c r="Y224" s="14" t="str">
        <f aca="false">IF($D224&lt;&gt;1,"",IF($G224="ROKS",$S224,IF($AI224=1,0,MAX($O224,$M224-SUMIFS(TblApplications[RAM IKS libérable (Go)],TblApplications[Cluster IKS source],$F224,TblApplications[Action],"À migrer",TblApplications[Mois prov (calc)],"&lt;="&amp;$E224)-SUMIFS(TblApplications[RAM IKS libérable (Go)],TblApplications[Cluster IKS source],$F224,TblApplications[Action],"À décommissionner",TblApplications[Mois lib (calc)],"&lt;="&amp;$E224)))))</f>
        <v/>
      </c>
      <c r="Z224" s="14" t="str">
        <f aca="false">IF($D224&lt;&gt;1,"",IF($AI224=1,0,MAX($J224,ROUNDUP(MAX($X224/$H224,$Y224/$I224),0))))</f>
        <v/>
      </c>
      <c r="AA224" s="84" t="str">
        <f aca="false">IF($D224&lt;&gt;1,"",IF(p_mode="Nœud",$Z224*$K224,$X224*IF($G224="IKS",p_iks_cpu,p_roks_cpu)+$Y224*IF($G224="IKS",p_iks_ram,p_roks_ram))*p_facteur)</f>
        <v/>
      </c>
      <c r="AB224" s="14" t="str">
        <f aca="false">IF($D224&lt;&gt;1,"",MAX($J224,ROUNDUP(MAX($L224/$H224,$M224/$I224),0)))</f>
        <v/>
      </c>
      <c r="AC224" s="84" t="str">
        <f aca="false">IF($D224&lt;&gt;1,"",IF(p_mode="Nœud",$AB224*$K224,$L224*IF($G224="IKS",p_iks_cpu,p_roks_cpu)+$M224*IF($G224="IKS",p_iks_ram,p_roks_ram))*p_facteur)</f>
        <v/>
      </c>
      <c r="AD224" s="14" t="str">
        <f aca="false">IF($D224&lt;&gt;1,"",IF(AND($G224="IKS",$AI224&lt;&gt;1,OR($L224-$P224&lt;$N224,$M224-$Q224&lt;$O224)),1,0))</f>
        <v/>
      </c>
      <c r="AE224" s="14" t="str">
        <f aca="false">IF($D224&lt;&gt;1,"",IF(AND($G224="ROKS",$T224&gt;p_maxworkers),1,0))</f>
        <v/>
      </c>
      <c r="AF224" s="14" t="str">
        <f aca="false">IF($D224&lt;&gt;1,"",IF(INDEX(TblClusters[Environnement],$B224)="","(vide)",INDEX(TblClusters[Environnement],$B224)))</f>
        <v/>
      </c>
      <c r="AG224" s="14" t="str">
        <f aca="false">IF($D224&lt;&gt;1,"",$R224+p_poidsram*$S224)</f>
        <v/>
      </c>
      <c r="AH224" s="14" t="str">
        <f aca="false">IF($D224&lt;&gt;1,"",IFERROR($W224/$AG224,0))</f>
        <v/>
      </c>
      <c r="AI224" s="14" t="str">
        <f aca="false">IF($D224&lt;&gt;1,"",IF(AND($G224="IKS",ISNUMBER(INDEX(TblClusters[Fermeture retenue],$B224))),IF($E224&gt;=INDEX(TblClusters[Fermeture retenue],$B224),1,0),0))</f>
        <v/>
      </c>
    </row>
    <row r="225" customFormat="false" ht="15" hidden="false" customHeight="false" outlineLevel="0" collapsed="false">
      <c r="A225" s="14" t="n">
        <v>220</v>
      </c>
      <c r="B225" s="14" t="n">
        <f aca="false">INT(($A225-1)/36)+1</f>
        <v>7</v>
      </c>
      <c r="C225" s="14" t="n">
        <f aca="false">MOD($A225-1,36)+1</f>
        <v>4</v>
      </c>
      <c r="D225" s="14" t="n">
        <f aca="false">IF($C225&gt;p_horizon,0,IFERROR(IF(AND(INDEX(TblClusters[Cluster],$B225)&lt;&gt;"",ISNUMBER(INDEX(TblClusters[CPU initial (vCPU)],$B225)),ISNUMBER(INDEX(TblClusters[CPU min (vCPU)],$B225)),OR(INDEX(TblClusters[Plateforme],$B225)="IKS",INDEX(TblClusters[Plateforme],$B225)="ROKS")),1,0),0))</f>
        <v>0</v>
      </c>
      <c r="E225" s="83" t="str">
        <f aca="false">IF($D225=1,EDATE(p_debut,$C225-1),"")</f>
        <v/>
      </c>
      <c r="F225" s="14" t="str">
        <f aca="false">IF($D225=1,INDEX(TblClusters[Cluster],$B225),"")</f>
        <v/>
      </c>
      <c r="G225" s="14" t="str">
        <f aca="false">IF($D225=1,INDEX(TblClusters[Plateforme],$B225),"")</f>
        <v/>
      </c>
      <c r="H225" s="14" t="str">
        <f aca="false">IF($D225=1,INDEX(TblClusters[vCPU par nœud],$B225),"")</f>
        <v/>
      </c>
      <c r="I225" s="14" t="str">
        <f aca="false">IF($D225=1,INDEX(TblClusters[RAM par nœud (Go)],$B225),"")</f>
        <v/>
      </c>
      <c r="J225" s="14" t="str">
        <f aca="false">IF($D225=1,INDEX(TblClusters[Workers min],$B225),"")</f>
        <v/>
      </c>
      <c r="K225" s="84" t="str">
        <f aca="false">IF($D225=1,INDEX(TblClusters[Tarif par nœud],$B225),"")</f>
        <v/>
      </c>
      <c r="L225" s="14" t="str">
        <f aca="false">IF($D225=1,INDEX(TblClusters[CPU initial (vCPU)],$B225),"")</f>
        <v/>
      </c>
      <c r="M225" s="14" t="str">
        <f aca="false">IF($D225=1,INDEX(TblClusters[RAM initiale (Go)],$B225),"")</f>
        <v/>
      </c>
      <c r="N225" s="14" t="str">
        <f aca="false">IF($D225=1,INDEX(TblClusters[CPU min (vCPU)],$B225),"")</f>
        <v/>
      </c>
      <c r="O225" s="14" t="str">
        <f aca="false">IF($D225=1,INDEX(TblClusters[RAM min (Go)],$B225),"")</f>
        <v/>
      </c>
      <c r="P225" s="14" t="str">
        <f aca="false">IF($D225&lt;&gt;1,"",IF($G225="ROKS",SUMIFS(TblApplications[Besoin ROKS CPU (vCPU)],TblApplications[Cluster ROKS cible],$F225,TblApplications[Action],"À migrer",TblApplications[Déjà incluse ROKS],"Non",TblApplications[Mois prov (calc)],"&lt;="&amp;$E225),SUMIFS(TblApplications[CPU IKS libérable (vCPU)],TblApplications[Cluster IKS source],$F225,TblApplications[Mois lib (calc)],"&lt;="&amp;$E225)))</f>
        <v/>
      </c>
      <c r="Q225" s="14" t="str">
        <f aca="false">IF($D225&lt;&gt;1,"",IF($G225="ROKS",SUMIFS(TblApplications[Besoin ROKS RAM (Go)],TblApplications[Cluster ROKS cible],$F225,TblApplications[Action],"À migrer",TblApplications[Déjà incluse ROKS],"Non",TblApplications[Mois prov (calc)],"&lt;="&amp;$E225),SUMIFS(TblApplications[RAM IKS libérable (Go)],TblApplications[Cluster IKS source],$F225,TblApplications[Mois lib (calc)],"&lt;="&amp;$E225)))</f>
        <v/>
      </c>
      <c r="R225" s="14" t="str">
        <f aca="false">IF($D225&lt;&gt;1,"",IF($G225="ROKS",$L225+$P225,IF($AI225=1,0,MAX($N225,$L225-$P225))))</f>
        <v/>
      </c>
      <c r="S225" s="14" t="str">
        <f aca="false">IF($D225&lt;&gt;1,"",IF($G225="ROKS",$M225+$Q225,IF($AI225=1,0,MAX($O225,$M225-$Q225))))</f>
        <v/>
      </c>
      <c r="T225" s="14" t="str">
        <f aca="false">IF($D225&lt;&gt;1,"",IF($AI225=1,0,MAX($J225,ROUNDUP(MAX($R225/$H225,$S225/$I225),0))))</f>
        <v/>
      </c>
      <c r="U225" s="14" t="str">
        <f aca="false">IF($D225&lt;&gt;1,"",IF(p_mode="Nœud",$T225*$H225,$R225))</f>
        <v/>
      </c>
      <c r="V225" s="14" t="str">
        <f aca="false">IF($D225&lt;&gt;1,"",IF(p_mode="Nœud",$T225*$I225,$S225))</f>
        <v/>
      </c>
      <c r="W225" s="84" t="str">
        <f aca="false">IF($D225&lt;&gt;1,"",IF(p_mode="Nœud",$T225*$K225,$R225*IF($G225="IKS",p_iks_cpu,p_roks_cpu)+$S225*IF($G225="IKS",p_iks_ram,p_roks_ram))*p_facteur)</f>
        <v/>
      </c>
      <c r="X225" s="14" t="str">
        <f aca="false">IF($D225&lt;&gt;1,"",IF($G225="ROKS",$R225,IF($AI225=1,0,MAX($N225,$L225-SUMIFS(TblApplications[CPU IKS libérable (vCPU)],TblApplications[Cluster IKS source],$F225,TblApplications[Action],"À migrer",TblApplications[Mois prov (calc)],"&lt;="&amp;$E225)-SUMIFS(TblApplications[CPU IKS libérable (vCPU)],TblApplications[Cluster IKS source],$F225,TblApplications[Action],"À décommissionner",TblApplications[Mois lib (calc)],"&lt;="&amp;$E225)))))</f>
        <v/>
      </c>
      <c r="Y225" s="14" t="str">
        <f aca="false">IF($D225&lt;&gt;1,"",IF($G225="ROKS",$S225,IF($AI225=1,0,MAX($O225,$M225-SUMIFS(TblApplications[RAM IKS libérable (Go)],TblApplications[Cluster IKS source],$F225,TblApplications[Action],"À migrer",TblApplications[Mois prov (calc)],"&lt;="&amp;$E225)-SUMIFS(TblApplications[RAM IKS libérable (Go)],TblApplications[Cluster IKS source],$F225,TblApplications[Action],"À décommissionner",TblApplications[Mois lib (calc)],"&lt;="&amp;$E225)))))</f>
        <v/>
      </c>
      <c r="Z225" s="14" t="str">
        <f aca="false">IF($D225&lt;&gt;1,"",IF($AI225=1,0,MAX($J225,ROUNDUP(MAX($X225/$H225,$Y225/$I225),0))))</f>
        <v/>
      </c>
      <c r="AA225" s="84" t="str">
        <f aca="false">IF($D225&lt;&gt;1,"",IF(p_mode="Nœud",$Z225*$K225,$X225*IF($G225="IKS",p_iks_cpu,p_roks_cpu)+$Y225*IF($G225="IKS",p_iks_ram,p_roks_ram))*p_facteur)</f>
        <v/>
      </c>
      <c r="AB225" s="14" t="str">
        <f aca="false">IF($D225&lt;&gt;1,"",MAX($J225,ROUNDUP(MAX($L225/$H225,$M225/$I225),0)))</f>
        <v/>
      </c>
      <c r="AC225" s="84" t="str">
        <f aca="false">IF($D225&lt;&gt;1,"",IF(p_mode="Nœud",$AB225*$K225,$L225*IF($G225="IKS",p_iks_cpu,p_roks_cpu)+$M225*IF($G225="IKS",p_iks_ram,p_roks_ram))*p_facteur)</f>
        <v/>
      </c>
      <c r="AD225" s="14" t="str">
        <f aca="false">IF($D225&lt;&gt;1,"",IF(AND($G225="IKS",$AI225&lt;&gt;1,OR($L225-$P225&lt;$N225,$M225-$Q225&lt;$O225)),1,0))</f>
        <v/>
      </c>
      <c r="AE225" s="14" t="str">
        <f aca="false">IF($D225&lt;&gt;1,"",IF(AND($G225="ROKS",$T225&gt;p_maxworkers),1,0))</f>
        <v/>
      </c>
      <c r="AF225" s="14" t="str">
        <f aca="false">IF($D225&lt;&gt;1,"",IF(INDEX(TblClusters[Environnement],$B225)="","(vide)",INDEX(TblClusters[Environnement],$B225)))</f>
        <v/>
      </c>
      <c r="AG225" s="14" t="str">
        <f aca="false">IF($D225&lt;&gt;1,"",$R225+p_poidsram*$S225)</f>
        <v/>
      </c>
      <c r="AH225" s="14" t="str">
        <f aca="false">IF($D225&lt;&gt;1,"",IFERROR($W225/$AG225,0))</f>
        <v/>
      </c>
      <c r="AI225" s="14" t="str">
        <f aca="false">IF($D225&lt;&gt;1,"",IF(AND($G225="IKS",ISNUMBER(INDEX(TblClusters[Fermeture retenue],$B225))),IF($E225&gt;=INDEX(TblClusters[Fermeture retenue],$B225),1,0),0))</f>
        <v/>
      </c>
    </row>
    <row r="226" customFormat="false" ht="15" hidden="false" customHeight="false" outlineLevel="0" collapsed="false">
      <c r="A226" s="14" t="n">
        <v>221</v>
      </c>
      <c r="B226" s="14" t="n">
        <f aca="false">INT(($A226-1)/36)+1</f>
        <v>7</v>
      </c>
      <c r="C226" s="14" t="n">
        <f aca="false">MOD($A226-1,36)+1</f>
        <v>5</v>
      </c>
      <c r="D226" s="14" t="n">
        <f aca="false">IF($C226&gt;p_horizon,0,IFERROR(IF(AND(INDEX(TblClusters[Cluster],$B226)&lt;&gt;"",ISNUMBER(INDEX(TblClusters[CPU initial (vCPU)],$B226)),ISNUMBER(INDEX(TblClusters[CPU min (vCPU)],$B226)),OR(INDEX(TblClusters[Plateforme],$B226)="IKS",INDEX(TblClusters[Plateforme],$B226)="ROKS")),1,0),0))</f>
        <v>0</v>
      </c>
      <c r="E226" s="83" t="str">
        <f aca="false">IF($D226=1,EDATE(p_debut,$C226-1),"")</f>
        <v/>
      </c>
      <c r="F226" s="14" t="str">
        <f aca="false">IF($D226=1,INDEX(TblClusters[Cluster],$B226),"")</f>
        <v/>
      </c>
      <c r="G226" s="14" t="str">
        <f aca="false">IF($D226=1,INDEX(TblClusters[Plateforme],$B226),"")</f>
        <v/>
      </c>
      <c r="H226" s="14" t="str">
        <f aca="false">IF($D226=1,INDEX(TblClusters[vCPU par nœud],$B226),"")</f>
        <v/>
      </c>
      <c r="I226" s="14" t="str">
        <f aca="false">IF($D226=1,INDEX(TblClusters[RAM par nœud (Go)],$B226),"")</f>
        <v/>
      </c>
      <c r="J226" s="14" t="str">
        <f aca="false">IF($D226=1,INDEX(TblClusters[Workers min],$B226),"")</f>
        <v/>
      </c>
      <c r="K226" s="84" t="str">
        <f aca="false">IF($D226=1,INDEX(TblClusters[Tarif par nœud],$B226),"")</f>
        <v/>
      </c>
      <c r="L226" s="14" t="str">
        <f aca="false">IF($D226=1,INDEX(TblClusters[CPU initial (vCPU)],$B226),"")</f>
        <v/>
      </c>
      <c r="M226" s="14" t="str">
        <f aca="false">IF($D226=1,INDEX(TblClusters[RAM initiale (Go)],$B226),"")</f>
        <v/>
      </c>
      <c r="N226" s="14" t="str">
        <f aca="false">IF($D226=1,INDEX(TblClusters[CPU min (vCPU)],$B226),"")</f>
        <v/>
      </c>
      <c r="O226" s="14" t="str">
        <f aca="false">IF($D226=1,INDEX(TblClusters[RAM min (Go)],$B226),"")</f>
        <v/>
      </c>
      <c r="P226" s="14" t="str">
        <f aca="false">IF($D226&lt;&gt;1,"",IF($G226="ROKS",SUMIFS(TblApplications[Besoin ROKS CPU (vCPU)],TblApplications[Cluster ROKS cible],$F226,TblApplications[Action],"À migrer",TblApplications[Déjà incluse ROKS],"Non",TblApplications[Mois prov (calc)],"&lt;="&amp;$E226),SUMIFS(TblApplications[CPU IKS libérable (vCPU)],TblApplications[Cluster IKS source],$F226,TblApplications[Mois lib (calc)],"&lt;="&amp;$E226)))</f>
        <v/>
      </c>
      <c r="Q226" s="14" t="str">
        <f aca="false">IF($D226&lt;&gt;1,"",IF($G226="ROKS",SUMIFS(TblApplications[Besoin ROKS RAM (Go)],TblApplications[Cluster ROKS cible],$F226,TblApplications[Action],"À migrer",TblApplications[Déjà incluse ROKS],"Non",TblApplications[Mois prov (calc)],"&lt;="&amp;$E226),SUMIFS(TblApplications[RAM IKS libérable (Go)],TblApplications[Cluster IKS source],$F226,TblApplications[Mois lib (calc)],"&lt;="&amp;$E226)))</f>
        <v/>
      </c>
      <c r="R226" s="14" t="str">
        <f aca="false">IF($D226&lt;&gt;1,"",IF($G226="ROKS",$L226+$P226,IF($AI226=1,0,MAX($N226,$L226-$P226))))</f>
        <v/>
      </c>
      <c r="S226" s="14" t="str">
        <f aca="false">IF($D226&lt;&gt;1,"",IF($G226="ROKS",$M226+$Q226,IF($AI226=1,0,MAX($O226,$M226-$Q226))))</f>
        <v/>
      </c>
      <c r="T226" s="14" t="str">
        <f aca="false">IF($D226&lt;&gt;1,"",IF($AI226=1,0,MAX($J226,ROUNDUP(MAX($R226/$H226,$S226/$I226),0))))</f>
        <v/>
      </c>
      <c r="U226" s="14" t="str">
        <f aca="false">IF($D226&lt;&gt;1,"",IF(p_mode="Nœud",$T226*$H226,$R226))</f>
        <v/>
      </c>
      <c r="V226" s="14" t="str">
        <f aca="false">IF($D226&lt;&gt;1,"",IF(p_mode="Nœud",$T226*$I226,$S226))</f>
        <v/>
      </c>
      <c r="W226" s="84" t="str">
        <f aca="false">IF($D226&lt;&gt;1,"",IF(p_mode="Nœud",$T226*$K226,$R226*IF($G226="IKS",p_iks_cpu,p_roks_cpu)+$S226*IF($G226="IKS",p_iks_ram,p_roks_ram))*p_facteur)</f>
        <v/>
      </c>
      <c r="X226" s="14" t="str">
        <f aca="false">IF($D226&lt;&gt;1,"",IF($G226="ROKS",$R226,IF($AI226=1,0,MAX($N226,$L226-SUMIFS(TblApplications[CPU IKS libérable (vCPU)],TblApplications[Cluster IKS source],$F226,TblApplications[Action],"À migrer",TblApplications[Mois prov (calc)],"&lt;="&amp;$E226)-SUMIFS(TblApplications[CPU IKS libérable (vCPU)],TblApplications[Cluster IKS source],$F226,TblApplications[Action],"À décommissionner",TblApplications[Mois lib (calc)],"&lt;="&amp;$E226)))))</f>
        <v/>
      </c>
      <c r="Y226" s="14" t="str">
        <f aca="false">IF($D226&lt;&gt;1,"",IF($G226="ROKS",$S226,IF($AI226=1,0,MAX($O226,$M226-SUMIFS(TblApplications[RAM IKS libérable (Go)],TblApplications[Cluster IKS source],$F226,TblApplications[Action],"À migrer",TblApplications[Mois prov (calc)],"&lt;="&amp;$E226)-SUMIFS(TblApplications[RAM IKS libérable (Go)],TblApplications[Cluster IKS source],$F226,TblApplications[Action],"À décommissionner",TblApplications[Mois lib (calc)],"&lt;="&amp;$E226)))))</f>
        <v/>
      </c>
      <c r="Z226" s="14" t="str">
        <f aca="false">IF($D226&lt;&gt;1,"",IF($AI226=1,0,MAX($J226,ROUNDUP(MAX($X226/$H226,$Y226/$I226),0))))</f>
        <v/>
      </c>
      <c r="AA226" s="84" t="str">
        <f aca="false">IF($D226&lt;&gt;1,"",IF(p_mode="Nœud",$Z226*$K226,$X226*IF($G226="IKS",p_iks_cpu,p_roks_cpu)+$Y226*IF($G226="IKS",p_iks_ram,p_roks_ram))*p_facteur)</f>
        <v/>
      </c>
      <c r="AB226" s="14" t="str">
        <f aca="false">IF($D226&lt;&gt;1,"",MAX($J226,ROUNDUP(MAX($L226/$H226,$M226/$I226),0)))</f>
        <v/>
      </c>
      <c r="AC226" s="84" t="str">
        <f aca="false">IF($D226&lt;&gt;1,"",IF(p_mode="Nœud",$AB226*$K226,$L226*IF($G226="IKS",p_iks_cpu,p_roks_cpu)+$M226*IF($G226="IKS",p_iks_ram,p_roks_ram))*p_facteur)</f>
        <v/>
      </c>
      <c r="AD226" s="14" t="str">
        <f aca="false">IF($D226&lt;&gt;1,"",IF(AND($G226="IKS",$AI226&lt;&gt;1,OR($L226-$P226&lt;$N226,$M226-$Q226&lt;$O226)),1,0))</f>
        <v/>
      </c>
      <c r="AE226" s="14" t="str">
        <f aca="false">IF($D226&lt;&gt;1,"",IF(AND($G226="ROKS",$T226&gt;p_maxworkers),1,0))</f>
        <v/>
      </c>
      <c r="AF226" s="14" t="str">
        <f aca="false">IF($D226&lt;&gt;1,"",IF(INDEX(TblClusters[Environnement],$B226)="","(vide)",INDEX(TblClusters[Environnement],$B226)))</f>
        <v/>
      </c>
      <c r="AG226" s="14" t="str">
        <f aca="false">IF($D226&lt;&gt;1,"",$R226+p_poidsram*$S226)</f>
        <v/>
      </c>
      <c r="AH226" s="14" t="str">
        <f aca="false">IF($D226&lt;&gt;1,"",IFERROR($W226/$AG226,0))</f>
        <v/>
      </c>
      <c r="AI226" s="14" t="str">
        <f aca="false">IF($D226&lt;&gt;1,"",IF(AND($G226="IKS",ISNUMBER(INDEX(TblClusters[Fermeture retenue],$B226))),IF($E226&gt;=INDEX(TblClusters[Fermeture retenue],$B226),1,0),0))</f>
        <v/>
      </c>
    </row>
    <row r="227" customFormat="false" ht="15" hidden="false" customHeight="false" outlineLevel="0" collapsed="false">
      <c r="A227" s="14" t="n">
        <v>222</v>
      </c>
      <c r="B227" s="14" t="n">
        <f aca="false">INT(($A227-1)/36)+1</f>
        <v>7</v>
      </c>
      <c r="C227" s="14" t="n">
        <f aca="false">MOD($A227-1,36)+1</f>
        <v>6</v>
      </c>
      <c r="D227" s="14" t="n">
        <f aca="false">IF($C227&gt;p_horizon,0,IFERROR(IF(AND(INDEX(TblClusters[Cluster],$B227)&lt;&gt;"",ISNUMBER(INDEX(TblClusters[CPU initial (vCPU)],$B227)),ISNUMBER(INDEX(TblClusters[CPU min (vCPU)],$B227)),OR(INDEX(TblClusters[Plateforme],$B227)="IKS",INDEX(TblClusters[Plateforme],$B227)="ROKS")),1,0),0))</f>
        <v>0</v>
      </c>
      <c r="E227" s="83" t="str">
        <f aca="false">IF($D227=1,EDATE(p_debut,$C227-1),"")</f>
        <v/>
      </c>
      <c r="F227" s="14" t="str">
        <f aca="false">IF($D227=1,INDEX(TblClusters[Cluster],$B227),"")</f>
        <v/>
      </c>
      <c r="G227" s="14" t="str">
        <f aca="false">IF($D227=1,INDEX(TblClusters[Plateforme],$B227),"")</f>
        <v/>
      </c>
      <c r="H227" s="14" t="str">
        <f aca="false">IF($D227=1,INDEX(TblClusters[vCPU par nœud],$B227),"")</f>
        <v/>
      </c>
      <c r="I227" s="14" t="str">
        <f aca="false">IF($D227=1,INDEX(TblClusters[RAM par nœud (Go)],$B227),"")</f>
        <v/>
      </c>
      <c r="J227" s="14" t="str">
        <f aca="false">IF($D227=1,INDEX(TblClusters[Workers min],$B227),"")</f>
        <v/>
      </c>
      <c r="K227" s="84" t="str">
        <f aca="false">IF($D227=1,INDEX(TblClusters[Tarif par nœud],$B227),"")</f>
        <v/>
      </c>
      <c r="L227" s="14" t="str">
        <f aca="false">IF($D227=1,INDEX(TblClusters[CPU initial (vCPU)],$B227),"")</f>
        <v/>
      </c>
      <c r="M227" s="14" t="str">
        <f aca="false">IF($D227=1,INDEX(TblClusters[RAM initiale (Go)],$B227),"")</f>
        <v/>
      </c>
      <c r="N227" s="14" t="str">
        <f aca="false">IF($D227=1,INDEX(TblClusters[CPU min (vCPU)],$B227),"")</f>
        <v/>
      </c>
      <c r="O227" s="14" t="str">
        <f aca="false">IF($D227=1,INDEX(TblClusters[RAM min (Go)],$B227),"")</f>
        <v/>
      </c>
      <c r="P227" s="14" t="str">
        <f aca="false">IF($D227&lt;&gt;1,"",IF($G227="ROKS",SUMIFS(TblApplications[Besoin ROKS CPU (vCPU)],TblApplications[Cluster ROKS cible],$F227,TblApplications[Action],"À migrer",TblApplications[Déjà incluse ROKS],"Non",TblApplications[Mois prov (calc)],"&lt;="&amp;$E227),SUMIFS(TblApplications[CPU IKS libérable (vCPU)],TblApplications[Cluster IKS source],$F227,TblApplications[Mois lib (calc)],"&lt;="&amp;$E227)))</f>
        <v/>
      </c>
      <c r="Q227" s="14" t="str">
        <f aca="false">IF($D227&lt;&gt;1,"",IF($G227="ROKS",SUMIFS(TblApplications[Besoin ROKS RAM (Go)],TblApplications[Cluster ROKS cible],$F227,TblApplications[Action],"À migrer",TblApplications[Déjà incluse ROKS],"Non",TblApplications[Mois prov (calc)],"&lt;="&amp;$E227),SUMIFS(TblApplications[RAM IKS libérable (Go)],TblApplications[Cluster IKS source],$F227,TblApplications[Mois lib (calc)],"&lt;="&amp;$E227)))</f>
        <v/>
      </c>
      <c r="R227" s="14" t="str">
        <f aca="false">IF($D227&lt;&gt;1,"",IF($G227="ROKS",$L227+$P227,IF($AI227=1,0,MAX($N227,$L227-$P227))))</f>
        <v/>
      </c>
      <c r="S227" s="14" t="str">
        <f aca="false">IF($D227&lt;&gt;1,"",IF($G227="ROKS",$M227+$Q227,IF($AI227=1,0,MAX($O227,$M227-$Q227))))</f>
        <v/>
      </c>
      <c r="T227" s="14" t="str">
        <f aca="false">IF($D227&lt;&gt;1,"",IF($AI227=1,0,MAX($J227,ROUNDUP(MAX($R227/$H227,$S227/$I227),0))))</f>
        <v/>
      </c>
      <c r="U227" s="14" t="str">
        <f aca="false">IF($D227&lt;&gt;1,"",IF(p_mode="Nœud",$T227*$H227,$R227))</f>
        <v/>
      </c>
      <c r="V227" s="14" t="str">
        <f aca="false">IF($D227&lt;&gt;1,"",IF(p_mode="Nœud",$T227*$I227,$S227))</f>
        <v/>
      </c>
      <c r="W227" s="84" t="str">
        <f aca="false">IF($D227&lt;&gt;1,"",IF(p_mode="Nœud",$T227*$K227,$R227*IF($G227="IKS",p_iks_cpu,p_roks_cpu)+$S227*IF($G227="IKS",p_iks_ram,p_roks_ram))*p_facteur)</f>
        <v/>
      </c>
      <c r="X227" s="14" t="str">
        <f aca="false">IF($D227&lt;&gt;1,"",IF($G227="ROKS",$R227,IF($AI227=1,0,MAX($N227,$L227-SUMIFS(TblApplications[CPU IKS libérable (vCPU)],TblApplications[Cluster IKS source],$F227,TblApplications[Action],"À migrer",TblApplications[Mois prov (calc)],"&lt;="&amp;$E227)-SUMIFS(TblApplications[CPU IKS libérable (vCPU)],TblApplications[Cluster IKS source],$F227,TblApplications[Action],"À décommissionner",TblApplications[Mois lib (calc)],"&lt;="&amp;$E227)))))</f>
        <v/>
      </c>
      <c r="Y227" s="14" t="str">
        <f aca="false">IF($D227&lt;&gt;1,"",IF($G227="ROKS",$S227,IF($AI227=1,0,MAX($O227,$M227-SUMIFS(TblApplications[RAM IKS libérable (Go)],TblApplications[Cluster IKS source],$F227,TblApplications[Action],"À migrer",TblApplications[Mois prov (calc)],"&lt;="&amp;$E227)-SUMIFS(TblApplications[RAM IKS libérable (Go)],TblApplications[Cluster IKS source],$F227,TblApplications[Action],"À décommissionner",TblApplications[Mois lib (calc)],"&lt;="&amp;$E227)))))</f>
        <v/>
      </c>
      <c r="Z227" s="14" t="str">
        <f aca="false">IF($D227&lt;&gt;1,"",IF($AI227=1,0,MAX($J227,ROUNDUP(MAX($X227/$H227,$Y227/$I227),0))))</f>
        <v/>
      </c>
      <c r="AA227" s="84" t="str">
        <f aca="false">IF($D227&lt;&gt;1,"",IF(p_mode="Nœud",$Z227*$K227,$X227*IF($G227="IKS",p_iks_cpu,p_roks_cpu)+$Y227*IF($G227="IKS",p_iks_ram,p_roks_ram))*p_facteur)</f>
        <v/>
      </c>
      <c r="AB227" s="14" t="str">
        <f aca="false">IF($D227&lt;&gt;1,"",MAX($J227,ROUNDUP(MAX($L227/$H227,$M227/$I227),0)))</f>
        <v/>
      </c>
      <c r="AC227" s="84" t="str">
        <f aca="false">IF($D227&lt;&gt;1,"",IF(p_mode="Nœud",$AB227*$K227,$L227*IF($G227="IKS",p_iks_cpu,p_roks_cpu)+$M227*IF($G227="IKS",p_iks_ram,p_roks_ram))*p_facteur)</f>
        <v/>
      </c>
      <c r="AD227" s="14" t="str">
        <f aca="false">IF($D227&lt;&gt;1,"",IF(AND($G227="IKS",$AI227&lt;&gt;1,OR($L227-$P227&lt;$N227,$M227-$Q227&lt;$O227)),1,0))</f>
        <v/>
      </c>
      <c r="AE227" s="14" t="str">
        <f aca="false">IF($D227&lt;&gt;1,"",IF(AND($G227="ROKS",$T227&gt;p_maxworkers),1,0))</f>
        <v/>
      </c>
      <c r="AF227" s="14" t="str">
        <f aca="false">IF($D227&lt;&gt;1,"",IF(INDEX(TblClusters[Environnement],$B227)="","(vide)",INDEX(TblClusters[Environnement],$B227)))</f>
        <v/>
      </c>
      <c r="AG227" s="14" t="str">
        <f aca="false">IF($D227&lt;&gt;1,"",$R227+p_poidsram*$S227)</f>
        <v/>
      </c>
      <c r="AH227" s="14" t="str">
        <f aca="false">IF($D227&lt;&gt;1,"",IFERROR($W227/$AG227,0))</f>
        <v/>
      </c>
      <c r="AI227" s="14" t="str">
        <f aca="false">IF($D227&lt;&gt;1,"",IF(AND($G227="IKS",ISNUMBER(INDEX(TblClusters[Fermeture retenue],$B227))),IF($E227&gt;=INDEX(TblClusters[Fermeture retenue],$B227),1,0),0))</f>
        <v/>
      </c>
    </row>
    <row r="228" customFormat="false" ht="15" hidden="false" customHeight="false" outlineLevel="0" collapsed="false">
      <c r="A228" s="14" t="n">
        <v>223</v>
      </c>
      <c r="B228" s="14" t="n">
        <f aca="false">INT(($A228-1)/36)+1</f>
        <v>7</v>
      </c>
      <c r="C228" s="14" t="n">
        <f aca="false">MOD($A228-1,36)+1</f>
        <v>7</v>
      </c>
      <c r="D228" s="14" t="n">
        <f aca="false">IF($C228&gt;p_horizon,0,IFERROR(IF(AND(INDEX(TblClusters[Cluster],$B228)&lt;&gt;"",ISNUMBER(INDEX(TblClusters[CPU initial (vCPU)],$B228)),ISNUMBER(INDEX(TblClusters[CPU min (vCPU)],$B228)),OR(INDEX(TblClusters[Plateforme],$B228)="IKS",INDEX(TblClusters[Plateforme],$B228)="ROKS")),1,0),0))</f>
        <v>0</v>
      </c>
      <c r="E228" s="83" t="str">
        <f aca="false">IF($D228=1,EDATE(p_debut,$C228-1),"")</f>
        <v/>
      </c>
      <c r="F228" s="14" t="str">
        <f aca="false">IF($D228=1,INDEX(TblClusters[Cluster],$B228),"")</f>
        <v/>
      </c>
      <c r="G228" s="14" t="str">
        <f aca="false">IF($D228=1,INDEX(TblClusters[Plateforme],$B228),"")</f>
        <v/>
      </c>
      <c r="H228" s="14" t="str">
        <f aca="false">IF($D228=1,INDEX(TblClusters[vCPU par nœud],$B228),"")</f>
        <v/>
      </c>
      <c r="I228" s="14" t="str">
        <f aca="false">IF($D228=1,INDEX(TblClusters[RAM par nœud (Go)],$B228),"")</f>
        <v/>
      </c>
      <c r="J228" s="14" t="str">
        <f aca="false">IF($D228=1,INDEX(TblClusters[Workers min],$B228),"")</f>
        <v/>
      </c>
      <c r="K228" s="84" t="str">
        <f aca="false">IF($D228=1,INDEX(TblClusters[Tarif par nœud],$B228),"")</f>
        <v/>
      </c>
      <c r="L228" s="14" t="str">
        <f aca="false">IF($D228=1,INDEX(TblClusters[CPU initial (vCPU)],$B228),"")</f>
        <v/>
      </c>
      <c r="M228" s="14" t="str">
        <f aca="false">IF($D228=1,INDEX(TblClusters[RAM initiale (Go)],$B228),"")</f>
        <v/>
      </c>
      <c r="N228" s="14" t="str">
        <f aca="false">IF($D228=1,INDEX(TblClusters[CPU min (vCPU)],$B228),"")</f>
        <v/>
      </c>
      <c r="O228" s="14" t="str">
        <f aca="false">IF($D228=1,INDEX(TblClusters[RAM min (Go)],$B228),"")</f>
        <v/>
      </c>
      <c r="P228" s="14" t="str">
        <f aca="false">IF($D228&lt;&gt;1,"",IF($G228="ROKS",SUMIFS(TblApplications[Besoin ROKS CPU (vCPU)],TblApplications[Cluster ROKS cible],$F228,TblApplications[Action],"À migrer",TblApplications[Déjà incluse ROKS],"Non",TblApplications[Mois prov (calc)],"&lt;="&amp;$E228),SUMIFS(TblApplications[CPU IKS libérable (vCPU)],TblApplications[Cluster IKS source],$F228,TblApplications[Mois lib (calc)],"&lt;="&amp;$E228)))</f>
        <v/>
      </c>
      <c r="Q228" s="14" t="str">
        <f aca="false">IF($D228&lt;&gt;1,"",IF($G228="ROKS",SUMIFS(TblApplications[Besoin ROKS RAM (Go)],TblApplications[Cluster ROKS cible],$F228,TblApplications[Action],"À migrer",TblApplications[Déjà incluse ROKS],"Non",TblApplications[Mois prov (calc)],"&lt;="&amp;$E228),SUMIFS(TblApplications[RAM IKS libérable (Go)],TblApplications[Cluster IKS source],$F228,TblApplications[Mois lib (calc)],"&lt;="&amp;$E228)))</f>
        <v/>
      </c>
      <c r="R228" s="14" t="str">
        <f aca="false">IF($D228&lt;&gt;1,"",IF($G228="ROKS",$L228+$P228,IF($AI228=1,0,MAX($N228,$L228-$P228))))</f>
        <v/>
      </c>
      <c r="S228" s="14" t="str">
        <f aca="false">IF($D228&lt;&gt;1,"",IF($G228="ROKS",$M228+$Q228,IF($AI228=1,0,MAX($O228,$M228-$Q228))))</f>
        <v/>
      </c>
      <c r="T228" s="14" t="str">
        <f aca="false">IF($D228&lt;&gt;1,"",IF($AI228=1,0,MAX($J228,ROUNDUP(MAX($R228/$H228,$S228/$I228),0))))</f>
        <v/>
      </c>
      <c r="U228" s="14" t="str">
        <f aca="false">IF($D228&lt;&gt;1,"",IF(p_mode="Nœud",$T228*$H228,$R228))</f>
        <v/>
      </c>
      <c r="V228" s="14" t="str">
        <f aca="false">IF($D228&lt;&gt;1,"",IF(p_mode="Nœud",$T228*$I228,$S228))</f>
        <v/>
      </c>
      <c r="W228" s="84" t="str">
        <f aca="false">IF($D228&lt;&gt;1,"",IF(p_mode="Nœud",$T228*$K228,$R228*IF($G228="IKS",p_iks_cpu,p_roks_cpu)+$S228*IF($G228="IKS",p_iks_ram,p_roks_ram))*p_facteur)</f>
        <v/>
      </c>
      <c r="X228" s="14" t="str">
        <f aca="false">IF($D228&lt;&gt;1,"",IF($G228="ROKS",$R228,IF($AI228=1,0,MAX($N228,$L228-SUMIFS(TblApplications[CPU IKS libérable (vCPU)],TblApplications[Cluster IKS source],$F228,TblApplications[Action],"À migrer",TblApplications[Mois prov (calc)],"&lt;="&amp;$E228)-SUMIFS(TblApplications[CPU IKS libérable (vCPU)],TblApplications[Cluster IKS source],$F228,TblApplications[Action],"À décommissionner",TblApplications[Mois lib (calc)],"&lt;="&amp;$E228)))))</f>
        <v/>
      </c>
      <c r="Y228" s="14" t="str">
        <f aca="false">IF($D228&lt;&gt;1,"",IF($G228="ROKS",$S228,IF($AI228=1,0,MAX($O228,$M228-SUMIFS(TblApplications[RAM IKS libérable (Go)],TblApplications[Cluster IKS source],$F228,TblApplications[Action],"À migrer",TblApplications[Mois prov (calc)],"&lt;="&amp;$E228)-SUMIFS(TblApplications[RAM IKS libérable (Go)],TblApplications[Cluster IKS source],$F228,TblApplications[Action],"À décommissionner",TblApplications[Mois lib (calc)],"&lt;="&amp;$E228)))))</f>
        <v/>
      </c>
      <c r="Z228" s="14" t="str">
        <f aca="false">IF($D228&lt;&gt;1,"",IF($AI228=1,0,MAX($J228,ROUNDUP(MAX($X228/$H228,$Y228/$I228),0))))</f>
        <v/>
      </c>
      <c r="AA228" s="84" t="str">
        <f aca="false">IF($D228&lt;&gt;1,"",IF(p_mode="Nœud",$Z228*$K228,$X228*IF($G228="IKS",p_iks_cpu,p_roks_cpu)+$Y228*IF($G228="IKS",p_iks_ram,p_roks_ram))*p_facteur)</f>
        <v/>
      </c>
      <c r="AB228" s="14" t="str">
        <f aca="false">IF($D228&lt;&gt;1,"",MAX($J228,ROUNDUP(MAX($L228/$H228,$M228/$I228),0)))</f>
        <v/>
      </c>
      <c r="AC228" s="84" t="str">
        <f aca="false">IF($D228&lt;&gt;1,"",IF(p_mode="Nœud",$AB228*$K228,$L228*IF($G228="IKS",p_iks_cpu,p_roks_cpu)+$M228*IF($G228="IKS",p_iks_ram,p_roks_ram))*p_facteur)</f>
        <v/>
      </c>
      <c r="AD228" s="14" t="str">
        <f aca="false">IF($D228&lt;&gt;1,"",IF(AND($G228="IKS",$AI228&lt;&gt;1,OR($L228-$P228&lt;$N228,$M228-$Q228&lt;$O228)),1,0))</f>
        <v/>
      </c>
      <c r="AE228" s="14" t="str">
        <f aca="false">IF($D228&lt;&gt;1,"",IF(AND($G228="ROKS",$T228&gt;p_maxworkers),1,0))</f>
        <v/>
      </c>
      <c r="AF228" s="14" t="str">
        <f aca="false">IF($D228&lt;&gt;1,"",IF(INDEX(TblClusters[Environnement],$B228)="","(vide)",INDEX(TblClusters[Environnement],$B228)))</f>
        <v/>
      </c>
      <c r="AG228" s="14" t="str">
        <f aca="false">IF($D228&lt;&gt;1,"",$R228+p_poidsram*$S228)</f>
        <v/>
      </c>
      <c r="AH228" s="14" t="str">
        <f aca="false">IF($D228&lt;&gt;1,"",IFERROR($W228/$AG228,0))</f>
        <v/>
      </c>
      <c r="AI228" s="14" t="str">
        <f aca="false">IF($D228&lt;&gt;1,"",IF(AND($G228="IKS",ISNUMBER(INDEX(TblClusters[Fermeture retenue],$B228))),IF($E228&gt;=INDEX(TblClusters[Fermeture retenue],$B228),1,0),0))</f>
        <v/>
      </c>
    </row>
    <row r="229" customFormat="false" ht="15" hidden="false" customHeight="false" outlineLevel="0" collapsed="false">
      <c r="A229" s="14" t="n">
        <v>224</v>
      </c>
      <c r="B229" s="14" t="n">
        <f aca="false">INT(($A229-1)/36)+1</f>
        <v>7</v>
      </c>
      <c r="C229" s="14" t="n">
        <f aca="false">MOD($A229-1,36)+1</f>
        <v>8</v>
      </c>
      <c r="D229" s="14" t="n">
        <f aca="false">IF($C229&gt;p_horizon,0,IFERROR(IF(AND(INDEX(TblClusters[Cluster],$B229)&lt;&gt;"",ISNUMBER(INDEX(TblClusters[CPU initial (vCPU)],$B229)),ISNUMBER(INDEX(TblClusters[CPU min (vCPU)],$B229)),OR(INDEX(TblClusters[Plateforme],$B229)="IKS",INDEX(TblClusters[Plateforme],$B229)="ROKS")),1,0),0))</f>
        <v>0</v>
      </c>
      <c r="E229" s="83" t="str">
        <f aca="false">IF($D229=1,EDATE(p_debut,$C229-1),"")</f>
        <v/>
      </c>
      <c r="F229" s="14" t="str">
        <f aca="false">IF($D229=1,INDEX(TblClusters[Cluster],$B229),"")</f>
        <v/>
      </c>
      <c r="G229" s="14" t="str">
        <f aca="false">IF($D229=1,INDEX(TblClusters[Plateforme],$B229),"")</f>
        <v/>
      </c>
      <c r="H229" s="14" t="str">
        <f aca="false">IF($D229=1,INDEX(TblClusters[vCPU par nœud],$B229),"")</f>
        <v/>
      </c>
      <c r="I229" s="14" t="str">
        <f aca="false">IF($D229=1,INDEX(TblClusters[RAM par nœud (Go)],$B229),"")</f>
        <v/>
      </c>
      <c r="J229" s="14" t="str">
        <f aca="false">IF($D229=1,INDEX(TblClusters[Workers min],$B229),"")</f>
        <v/>
      </c>
      <c r="K229" s="84" t="str">
        <f aca="false">IF($D229=1,INDEX(TblClusters[Tarif par nœud],$B229),"")</f>
        <v/>
      </c>
      <c r="L229" s="14" t="str">
        <f aca="false">IF($D229=1,INDEX(TblClusters[CPU initial (vCPU)],$B229),"")</f>
        <v/>
      </c>
      <c r="M229" s="14" t="str">
        <f aca="false">IF($D229=1,INDEX(TblClusters[RAM initiale (Go)],$B229),"")</f>
        <v/>
      </c>
      <c r="N229" s="14" t="str">
        <f aca="false">IF($D229=1,INDEX(TblClusters[CPU min (vCPU)],$B229),"")</f>
        <v/>
      </c>
      <c r="O229" s="14" t="str">
        <f aca="false">IF($D229=1,INDEX(TblClusters[RAM min (Go)],$B229),"")</f>
        <v/>
      </c>
      <c r="P229" s="14" t="str">
        <f aca="false">IF($D229&lt;&gt;1,"",IF($G229="ROKS",SUMIFS(TblApplications[Besoin ROKS CPU (vCPU)],TblApplications[Cluster ROKS cible],$F229,TblApplications[Action],"À migrer",TblApplications[Déjà incluse ROKS],"Non",TblApplications[Mois prov (calc)],"&lt;="&amp;$E229),SUMIFS(TblApplications[CPU IKS libérable (vCPU)],TblApplications[Cluster IKS source],$F229,TblApplications[Mois lib (calc)],"&lt;="&amp;$E229)))</f>
        <v/>
      </c>
      <c r="Q229" s="14" t="str">
        <f aca="false">IF($D229&lt;&gt;1,"",IF($G229="ROKS",SUMIFS(TblApplications[Besoin ROKS RAM (Go)],TblApplications[Cluster ROKS cible],$F229,TblApplications[Action],"À migrer",TblApplications[Déjà incluse ROKS],"Non",TblApplications[Mois prov (calc)],"&lt;="&amp;$E229),SUMIFS(TblApplications[RAM IKS libérable (Go)],TblApplications[Cluster IKS source],$F229,TblApplications[Mois lib (calc)],"&lt;="&amp;$E229)))</f>
        <v/>
      </c>
      <c r="R229" s="14" t="str">
        <f aca="false">IF($D229&lt;&gt;1,"",IF($G229="ROKS",$L229+$P229,IF($AI229=1,0,MAX($N229,$L229-$P229))))</f>
        <v/>
      </c>
      <c r="S229" s="14" t="str">
        <f aca="false">IF($D229&lt;&gt;1,"",IF($G229="ROKS",$M229+$Q229,IF($AI229=1,0,MAX($O229,$M229-$Q229))))</f>
        <v/>
      </c>
      <c r="T229" s="14" t="str">
        <f aca="false">IF($D229&lt;&gt;1,"",IF($AI229=1,0,MAX($J229,ROUNDUP(MAX($R229/$H229,$S229/$I229),0))))</f>
        <v/>
      </c>
      <c r="U229" s="14" t="str">
        <f aca="false">IF($D229&lt;&gt;1,"",IF(p_mode="Nœud",$T229*$H229,$R229))</f>
        <v/>
      </c>
      <c r="V229" s="14" t="str">
        <f aca="false">IF($D229&lt;&gt;1,"",IF(p_mode="Nœud",$T229*$I229,$S229))</f>
        <v/>
      </c>
      <c r="W229" s="84" t="str">
        <f aca="false">IF($D229&lt;&gt;1,"",IF(p_mode="Nœud",$T229*$K229,$R229*IF($G229="IKS",p_iks_cpu,p_roks_cpu)+$S229*IF($G229="IKS",p_iks_ram,p_roks_ram))*p_facteur)</f>
        <v/>
      </c>
      <c r="X229" s="14" t="str">
        <f aca="false">IF($D229&lt;&gt;1,"",IF($G229="ROKS",$R229,IF($AI229=1,0,MAX($N229,$L229-SUMIFS(TblApplications[CPU IKS libérable (vCPU)],TblApplications[Cluster IKS source],$F229,TblApplications[Action],"À migrer",TblApplications[Mois prov (calc)],"&lt;="&amp;$E229)-SUMIFS(TblApplications[CPU IKS libérable (vCPU)],TblApplications[Cluster IKS source],$F229,TblApplications[Action],"À décommissionner",TblApplications[Mois lib (calc)],"&lt;="&amp;$E229)))))</f>
        <v/>
      </c>
      <c r="Y229" s="14" t="str">
        <f aca="false">IF($D229&lt;&gt;1,"",IF($G229="ROKS",$S229,IF($AI229=1,0,MAX($O229,$M229-SUMIFS(TblApplications[RAM IKS libérable (Go)],TblApplications[Cluster IKS source],$F229,TblApplications[Action],"À migrer",TblApplications[Mois prov (calc)],"&lt;="&amp;$E229)-SUMIFS(TblApplications[RAM IKS libérable (Go)],TblApplications[Cluster IKS source],$F229,TblApplications[Action],"À décommissionner",TblApplications[Mois lib (calc)],"&lt;="&amp;$E229)))))</f>
        <v/>
      </c>
      <c r="Z229" s="14" t="str">
        <f aca="false">IF($D229&lt;&gt;1,"",IF($AI229=1,0,MAX($J229,ROUNDUP(MAX($X229/$H229,$Y229/$I229),0))))</f>
        <v/>
      </c>
      <c r="AA229" s="84" t="str">
        <f aca="false">IF($D229&lt;&gt;1,"",IF(p_mode="Nœud",$Z229*$K229,$X229*IF($G229="IKS",p_iks_cpu,p_roks_cpu)+$Y229*IF($G229="IKS",p_iks_ram,p_roks_ram))*p_facteur)</f>
        <v/>
      </c>
      <c r="AB229" s="14" t="str">
        <f aca="false">IF($D229&lt;&gt;1,"",MAX($J229,ROUNDUP(MAX($L229/$H229,$M229/$I229),0)))</f>
        <v/>
      </c>
      <c r="AC229" s="84" t="str">
        <f aca="false">IF($D229&lt;&gt;1,"",IF(p_mode="Nœud",$AB229*$K229,$L229*IF($G229="IKS",p_iks_cpu,p_roks_cpu)+$M229*IF($G229="IKS",p_iks_ram,p_roks_ram))*p_facteur)</f>
        <v/>
      </c>
      <c r="AD229" s="14" t="str">
        <f aca="false">IF($D229&lt;&gt;1,"",IF(AND($G229="IKS",$AI229&lt;&gt;1,OR($L229-$P229&lt;$N229,$M229-$Q229&lt;$O229)),1,0))</f>
        <v/>
      </c>
      <c r="AE229" s="14" t="str">
        <f aca="false">IF($D229&lt;&gt;1,"",IF(AND($G229="ROKS",$T229&gt;p_maxworkers),1,0))</f>
        <v/>
      </c>
      <c r="AF229" s="14" t="str">
        <f aca="false">IF($D229&lt;&gt;1,"",IF(INDEX(TblClusters[Environnement],$B229)="","(vide)",INDEX(TblClusters[Environnement],$B229)))</f>
        <v/>
      </c>
      <c r="AG229" s="14" t="str">
        <f aca="false">IF($D229&lt;&gt;1,"",$R229+p_poidsram*$S229)</f>
        <v/>
      </c>
      <c r="AH229" s="14" t="str">
        <f aca="false">IF($D229&lt;&gt;1,"",IFERROR($W229/$AG229,0))</f>
        <v/>
      </c>
      <c r="AI229" s="14" t="str">
        <f aca="false">IF($D229&lt;&gt;1,"",IF(AND($G229="IKS",ISNUMBER(INDEX(TblClusters[Fermeture retenue],$B229))),IF($E229&gt;=INDEX(TblClusters[Fermeture retenue],$B229),1,0),0))</f>
        <v/>
      </c>
    </row>
    <row r="230" customFormat="false" ht="15" hidden="false" customHeight="false" outlineLevel="0" collapsed="false">
      <c r="A230" s="14" t="n">
        <v>225</v>
      </c>
      <c r="B230" s="14" t="n">
        <f aca="false">INT(($A230-1)/36)+1</f>
        <v>7</v>
      </c>
      <c r="C230" s="14" t="n">
        <f aca="false">MOD($A230-1,36)+1</f>
        <v>9</v>
      </c>
      <c r="D230" s="14" t="n">
        <f aca="false">IF($C230&gt;p_horizon,0,IFERROR(IF(AND(INDEX(TblClusters[Cluster],$B230)&lt;&gt;"",ISNUMBER(INDEX(TblClusters[CPU initial (vCPU)],$B230)),ISNUMBER(INDEX(TblClusters[CPU min (vCPU)],$B230)),OR(INDEX(TblClusters[Plateforme],$B230)="IKS",INDEX(TblClusters[Plateforme],$B230)="ROKS")),1,0),0))</f>
        <v>0</v>
      </c>
      <c r="E230" s="83" t="str">
        <f aca="false">IF($D230=1,EDATE(p_debut,$C230-1),"")</f>
        <v/>
      </c>
      <c r="F230" s="14" t="str">
        <f aca="false">IF($D230=1,INDEX(TblClusters[Cluster],$B230),"")</f>
        <v/>
      </c>
      <c r="G230" s="14" t="str">
        <f aca="false">IF($D230=1,INDEX(TblClusters[Plateforme],$B230),"")</f>
        <v/>
      </c>
      <c r="H230" s="14" t="str">
        <f aca="false">IF($D230=1,INDEX(TblClusters[vCPU par nœud],$B230),"")</f>
        <v/>
      </c>
      <c r="I230" s="14" t="str">
        <f aca="false">IF($D230=1,INDEX(TblClusters[RAM par nœud (Go)],$B230),"")</f>
        <v/>
      </c>
      <c r="J230" s="14" t="str">
        <f aca="false">IF($D230=1,INDEX(TblClusters[Workers min],$B230),"")</f>
        <v/>
      </c>
      <c r="K230" s="84" t="str">
        <f aca="false">IF($D230=1,INDEX(TblClusters[Tarif par nœud],$B230),"")</f>
        <v/>
      </c>
      <c r="L230" s="14" t="str">
        <f aca="false">IF($D230=1,INDEX(TblClusters[CPU initial (vCPU)],$B230),"")</f>
        <v/>
      </c>
      <c r="M230" s="14" t="str">
        <f aca="false">IF($D230=1,INDEX(TblClusters[RAM initiale (Go)],$B230),"")</f>
        <v/>
      </c>
      <c r="N230" s="14" t="str">
        <f aca="false">IF($D230=1,INDEX(TblClusters[CPU min (vCPU)],$B230),"")</f>
        <v/>
      </c>
      <c r="O230" s="14" t="str">
        <f aca="false">IF($D230=1,INDEX(TblClusters[RAM min (Go)],$B230),"")</f>
        <v/>
      </c>
      <c r="P230" s="14" t="str">
        <f aca="false">IF($D230&lt;&gt;1,"",IF($G230="ROKS",SUMIFS(TblApplications[Besoin ROKS CPU (vCPU)],TblApplications[Cluster ROKS cible],$F230,TblApplications[Action],"À migrer",TblApplications[Déjà incluse ROKS],"Non",TblApplications[Mois prov (calc)],"&lt;="&amp;$E230),SUMIFS(TblApplications[CPU IKS libérable (vCPU)],TblApplications[Cluster IKS source],$F230,TblApplications[Mois lib (calc)],"&lt;="&amp;$E230)))</f>
        <v/>
      </c>
      <c r="Q230" s="14" t="str">
        <f aca="false">IF($D230&lt;&gt;1,"",IF($G230="ROKS",SUMIFS(TblApplications[Besoin ROKS RAM (Go)],TblApplications[Cluster ROKS cible],$F230,TblApplications[Action],"À migrer",TblApplications[Déjà incluse ROKS],"Non",TblApplications[Mois prov (calc)],"&lt;="&amp;$E230),SUMIFS(TblApplications[RAM IKS libérable (Go)],TblApplications[Cluster IKS source],$F230,TblApplications[Mois lib (calc)],"&lt;="&amp;$E230)))</f>
        <v/>
      </c>
      <c r="R230" s="14" t="str">
        <f aca="false">IF($D230&lt;&gt;1,"",IF($G230="ROKS",$L230+$P230,IF($AI230=1,0,MAX($N230,$L230-$P230))))</f>
        <v/>
      </c>
      <c r="S230" s="14" t="str">
        <f aca="false">IF($D230&lt;&gt;1,"",IF($G230="ROKS",$M230+$Q230,IF($AI230=1,0,MAX($O230,$M230-$Q230))))</f>
        <v/>
      </c>
      <c r="T230" s="14" t="str">
        <f aca="false">IF($D230&lt;&gt;1,"",IF($AI230=1,0,MAX($J230,ROUNDUP(MAX($R230/$H230,$S230/$I230),0))))</f>
        <v/>
      </c>
      <c r="U230" s="14" t="str">
        <f aca="false">IF($D230&lt;&gt;1,"",IF(p_mode="Nœud",$T230*$H230,$R230))</f>
        <v/>
      </c>
      <c r="V230" s="14" t="str">
        <f aca="false">IF($D230&lt;&gt;1,"",IF(p_mode="Nœud",$T230*$I230,$S230))</f>
        <v/>
      </c>
      <c r="W230" s="84" t="str">
        <f aca="false">IF($D230&lt;&gt;1,"",IF(p_mode="Nœud",$T230*$K230,$R230*IF($G230="IKS",p_iks_cpu,p_roks_cpu)+$S230*IF($G230="IKS",p_iks_ram,p_roks_ram))*p_facteur)</f>
        <v/>
      </c>
      <c r="X230" s="14" t="str">
        <f aca="false">IF($D230&lt;&gt;1,"",IF($G230="ROKS",$R230,IF($AI230=1,0,MAX($N230,$L230-SUMIFS(TblApplications[CPU IKS libérable (vCPU)],TblApplications[Cluster IKS source],$F230,TblApplications[Action],"À migrer",TblApplications[Mois prov (calc)],"&lt;="&amp;$E230)-SUMIFS(TblApplications[CPU IKS libérable (vCPU)],TblApplications[Cluster IKS source],$F230,TblApplications[Action],"À décommissionner",TblApplications[Mois lib (calc)],"&lt;="&amp;$E230)))))</f>
        <v/>
      </c>
      <c r="Y230" s="14" t="str">
        <f aca="false">IF($D230&lt;&gt;1,"",IF($G230="ROKS",$S230,IF($AI230=1,0,MAX($O230,$M230-SUMIFS(TblApplications[RAM IKS libérable (Go)],TblApplications[Cluster IKS source],$F230,TblApplications[Action],"À migrer",TblApplications[Mois prov (calc)],"&lt;="&amp;$E230)-SUMIFS(TblApplications[RAM IKS libérable (Go)],TblApplications[Cluster IKS source],$F230,TblApplications[Action],"À décommissionner",TblApplications[Mois lib (calc)],"&lt;="&amp;$E230)))))</f>
        <v/>
      </c>
      <c r="Z230" s="14" t="str">
        <f aca="false">IF($D230&lt;&gt;1,"",IF($AI230=1,0,MAX($J230,ROUNDUP(MAX($X230/$H230,$Y230/$I230),0))))</f>
        <v/>
      </c>
      <c r="AA230" s="84" t="str">
        <f aca="false">IF($D230&lt;&gt;1,"",IF(p_mode="Nœud",$Z230*$K230,$X230*IF($G230="IKS",p_iks_cpu,p_roks_cpu)+$Y230*IF($G230="IKS",p_iks_ram,p_roks_ram))*p_facteur)</f>
        <v/>
      </c>
      <c r="AB230" s="14" t="str">
        <f aca="false">IF($D230&lt;&gt;1,"",MAX($J230,ROUNDUP(MAX($L230/$H230,$M230/$I230),0)))</f>
        <v/>
      </c>
      <c r="AC230" s="84" t="str">
        <f aca="false">IF($D230&lt;&gt;1,"",IF(p_mode="Nœud",$AB230*$K230,$L230*IF($G230="IKS",p_iks_cpu,p_roks_cpu)+$M230*IF($G230="IKS",p_iks_ram,p_roks_ram))*p_facteur)</f>
        <v/>
      </c>
      <c r="AD230" s="14" t="str">
        <f aca="false">IF($D230&lt;&gt;1,"",IF(AND($G230="IKS",$AI230&lt;&gt;1,OR($L230-$P230&lt;$N230,$M230-$Q230&lt;$O230)),1,0))</f>
        <v/>
      </c>
      <c r="AE230" s="14" t="str">
        <f aca="false">IF($D230&lt;&gt;1,"",IF(AND($G230="ROKS",$T230&gt;p_maxworkers),1,0))</f>
        <v/>
      </c>
      <c r="AF230" s="14" t="str">
        <f aca="false">IF($D230&lt;&gt;1,"",IF(INDEX(TblClusters[Environnement],$B230)="","(vide)",INDEX(TblClusters[Environnement],$B230)))</f>
        <v/>
      </c>
      <c r="AG230" s="14" t="str">
        <f aca="false">IF($D230&lt;&gt;1,"",$R230+p_poidsram*$S230)</f>
        <v/>
      </c>
      <c r="AH230" s="14" t="str">
        <f aca="false">IF($D230&lt;&gt;1,"",IFERROR($W230/$AG230,0))</f>
        <v/>
      </c>
      <c r="AI230" s="14" t="str">
        <f aca="false">IF($D230&lt;&gt;1,"",IF(AND($G230="IKS",ISNUMBER(INDEX(TblClusters[Fermeture retenue],$B230))),IF($E230&gt;=INDEX(TblClusters[Fermeture retenue],$B230),1,0),0))</f>
        <v/>
      </c>
    </row>
    <row r="231" customFormat="false" ht="15" hidden="false" customHeight="false" outlineLevel="0" collapsed="false">
      <c r="A231" s="14" t="n">
        <v>226</v>
      </c>
      <c r="B231" s="14" t="n">
        <f aca="false">INT(($A231-1)/36)+1</f>
        <v>7</v>
      </c>
      <c r="C231" s="14" t="n">
        <f aca="false">MOD($A231-1,36)+1</f>
        <v>10</v>
      </c>
      <c r="D231" s="14" t="n">
        <f aca="false">IF($C231&gt;p_horizon,0,IFERROR(IF(AND(INDEX(TblClusters[Cluster],$B231)&lt;&gt;"",ISNUMBER(INDEX(TblClusters[CPU initial (vCPU)],$B231)),ISNUMBER(INDEX(TblClusters[CPU min (vCPU)],$B231)),OR(INDEX(TblClusters[Plateforme],$B231)="IKS",INDEX(TblClusters[Plateforme],$B231)="ROKS")),1,0),0))</f>
        <v>0</v>
      </c>
      <c r="E231" s="83" t="str">
        <f aca="false">IF($D231=1,EDATE(p_debut,$C231-1),"")</f>
        <v/>
      </c>
      <c r="F231" s="14" t="str">
        <f aca="false">IF($D231=1,INDEX(TblClusters[Cluster],$B231),"")</f>
        <v/>
      </c>
      <c r="G231" s="14" t="str">
        <f aca="false">IF($D231=1,INDEX(TblClusters[Plateforme],$B231),"")</f>
        <v/>
      </c>
      <c r="H231" s="14" t="str">
        <f aca="false">IF($D231=1,INDEX(TblClusters[vCPU par nœud],$B231),"")</f>
        <v/>
      </c>
      <c r="I231" s="14" t="str">
        <f aca="false">IF($D231=1,INDEX(TblClusters[RAM par nœud (Go)],$B231),"")</f>
        <v/>
      </c>
      <c r="J231" s="14" t="str">
        <f aca="false">IF($D231=1,INDEX(TblClusters[Workers min],$B231),"")</f>
        <v/>
      </c>
      <c r="K231" s="84" t="str">
        <f aca="false">IF($D231=1,INDEX(TblClusters[Tarif par nœud],$B231),"")</f>
        <v/>
      </c>
      <c r="L231" s="14" t="str">
        <f aca="false">IF($D231=1,INDEX(TblClusters[CPU initial (vCPU)],$B231),"")</f>
        <v/>
      </c>
      <c r="M231" s="14" t="str">
        <f aca="false">IF($D231=1,INDEX(TblClusters[RAM initiale (Go)],$B231),"")</f>
        <v/>
      </c>
      <c r="N231" s="14" t="str">
        <f aca="false">IF($D231=1,INDEX(TblClusters[CPU min (vCPU)],$B231),"")</f>
        <v/>
      </c>
      <c r="O231" s="14" t="str">
        <f aca="false">IF($D231=1,INDEX(TblClusters[RAM min (Go)],$B231),"")</f>
        <v/>
      </c>
      <c r="P231" s="14" t="str">
        <f aca="false">IF($D231&lt;&gt;1,"",IF($G231="ROKS",SUMIFS(TblApplications[Besoin ROKS CPU (vCPU)],TblApplications[Cluster ROKS cible],$F231,TblApplications[Action],"À migrer",TblApplications[Déjà incluse ROKS],"Non",TblApplications[Mois prov (calc)],"&lt;="&amp;$E231),SUMIFS(TblApplications[CPU IKS libérable (vCPU)],TblApplications[Cluster IKS source],$F231,TblApplications[Mois lib (calc)],"&lt;="&amp;$E231)))</f>
        <v/>
      </c>
      <c r="Q231" s="14" t="str">
        <f aca="false">IF($D231&lt;&gt;1,"",IF($G231="ROKS",SUMIFS(TblApplications[Besoin ROKS RAM (Go)],TblApplications[Cluster ROKS cible],$F231,TblApplications[Action],"À migrer",TblApplications[Déjà incluse ROKS],"Non",TblApplications[Mois prov (calc)],"&lt;="&amp;$E231),SUMIFS(TblApplications[RAM IKS libérable (Go)],TblApplications[Cluster IKS source],$F231,TblApplications[Mois lib (calc)],"&lt;="&amp;$E231)))</f>
        <v/>
      </c>
      <c r="R231" s="14" t="str">
        <f aca="false">IF($D231&lt;&gt;1,"",IF($G231="ROKS",$L231+$P231,IF($AI231=1,0,MAX($N231,$L231-$P231))))</f>
        <v/>
      </c>
      <c r="S231" s="14" t="str">
        <f aca="false">IF($D231&lt;&gt;1,"",IF($G231="ROKS",$M231+$Q231,IF($AI231=1,0,MAX($O231,$M231-$Q231))))</f>
        <v/>
      </c>
      <c r="T231" s="14" t="str">
        <f aca="false">IF($D231&lt;&gt;1,"",IF($AI231=1,0,MAX($J231,ROUNDUP(MAX($R231/$H231,$S231/$I231),0))))</f>
        <v/>
      </c>
      <c r="U231" s="14" t="str">
        <f aca="false">IF($D231&lt;&gt;1,"",IF(p_mode="Nœud",$T231*$H231,$R231))</f>
        <v/>
      </c>
      <c r="V231" s="14" t="str">
        <f aca="false">IF($D231&lt;&gt;1,"",IF(p_mode="Nœud",$T231*$I231,$S231))</f>
        <v/>
      </c>
      <c r="W231" s="84" t="str">
        <f aca="false">IF($D231&lt;&gt;1,"",IF(p_mode="Nœud",$T231*$K231,$R231*IF($G231="IKS",p_iks_cpu,p_roks_cpu)+$S231*IF($G231="IKS",p_iks_ram,p_roks_ram))*p_facteur)</f>
        <v/>
      </c>
      <c r="X231" s="14" t="str">
        <f aca="false">IF($D231&lt;&gt;1,"",IF($G231="ROKS",$R231,IF($AI231=1,0,MAX($N231,$L231-SUMIFS(TblApplications[CPU IKS libérable (vCPU)],TblApplications[Cluster IKS source],$F231,TblApplications[Action],"À migrer",TblApplications[Mois prov (calc)],"&lt;="&amp;$E231)-SUMIFS(TblApplications[CPU IKS libérable (vCPU)],TblApplications[Cluster IKS source],$F231,TblApplications[Action],"À décommissionner",TblApplications[Mois lib (calc)],"&lt;="&amp;$E231)))))</f>
        <v/>
      </c>
      <c r="Y231" s="14" t="str">
        <f aca="false">IF($D231&lt;&gt;1,"",IF($G231="ROKS",$S231,IF($AI231=1,0,MAX($O231,$M231-SUMIFS(TblApplications[RAM IKS libérable (Go)],TblApplications[Cluster IKS source],$F231,TblApplications[Action],"À migrer",TblApplications[Mois prov (calc)],"&lt;="&amp;$E231)-SUMIFS(TblApplications[RAM IKS libérable (Go)],TblApplications[Cluster IKS source],$F231,TblApplications[Action],"À décommissionner",TblApplications[Mois lib (calc)],"&lt;="&amp;$E231)))))</f>
        <v/>
      </c>
      <c r="Z231" s="14" t="str">
        <f aca="false">IF($D231&lt;&gt;1,"",IF($AI231=1,0,MAX($J231,ROUNDUP(MAX($X231/$H231,$Y231/$I231),0))))</f>
        <v/>
      </c>
      <c r="AA231" s="84" t="str">
        <f aca="false">IF($D231&lt;&gt;1,"",IF(p_mode="Nœud",$Z231*$K231,$X231*IF($G231="IKS",p_iks_cpu,p_roks_cpu)+$Y231*IF($G231="IKS",p_iks_ram,p_roks_ram))*p_facteur)</f>
        <v/>
      </c>
      <c r="AB231" s="14" t="str">
        <f aca="false">IF($D231&lt;&gt;1,"",MAX($J231,ROUNDUP(MAX($L231/$H231,$M231/$I231),0)))</f>
        <v/>
      </c>
      <c r="AC231" s="84" t="str">
        <f aca="false">IF($D231&lt;&gt;1,"",IF(p_mode="Nœud",$AB231*$K231,$L231*IF($G231="IKS",p_iks_cpu,p_roks_cpu)+$M231*IF($G231="IKS",p_iks_ram,p_roks_ram))*p_facteur)</f>
        <v/>
      </c>
      <c r="AD231" s="14" t="str">
        <f aca="false">IF($D231&lt;&gt;1,"",IF(AND($G231="IKS",$AI231&lt;&gt;1,OR($L231-$P231&lt;$N231,$M231-$Q231&lt;$O231)),1,0))</f>
        <v/>
      </c>
      <c r="AE231" s="14" t="str">
        <f aca="false">IF($D231&lt;&gt;1,"",IF(AND($G231="ROKS",$T231&gt;p_maxworkers),1,0))</f>
        <v/>
      </c>
      <c r="AF231" s="14" t="str">
        <f aca="false">IF($D231&lt;&gt;1,"",IF(INDEX(TblClusters[Environnement],$B231)="","(vide)",INDEX(TblClusters[Environnement],$B231)))</f>
        <v/>
      </c>
      <c r="AG231" s="14" t="str">
        <f aca="false">IF($D231&lt;&gt;1,"",$R231+p_poidsram*$S231)</f>
        <v/>
      </c>
      <c r="AH231" s="14" t="str">
        <f aca="false">IF($D231&lt;&gt;1,"",IFERROR($W231/$AG231,0))</f>
        <v/>
      </c>
      <c r="AI231" s="14" t="str">
        <f aca="false">IF($D231&lt;&gt;1,"",IF(AND($G231="IKS",ISNUMBER(INDEX(TblClusters[Fermeture retenue],$B231))),IF($E231&gt;=INDEX(TblClusters[Fermeture retenue],$B231),1,0),0))</f>
        <v/>
      </c>
    </row>
    <row r="232" customFormat="false" ht="15" hidden="false" customHeight="false" outlineLevel="0" collapsed="false">
      <c r="A232" s="14" t="n">
        <v>227</v>
      </c>
      <c r="B232" s="14" t="n">
        <f aca="false">INT(($A232-1)/36)+1</f>
        <v>7</v>
      </c>
      <c r="C232" s="14" t="n">
        <f aca="false">MOD($A232-1,36)+1</f>
        <v>11</v>
      </c>
      <c r="D232" s="14" t="n">
        <f aca="false">IF($C232&gt;p_horizon,0,IFERROR(IF(AND(INDEX(TblClusters[Cluster],$B232)&lt;&gt;"",ISNUMBER(INDEX(TblClusters[CPU initial (vCPU)],$B232)),ISNUMBER(INDEX(TblClusters[CPU min (vCPU)],$B232)),OR(INDEX(TblClusters[Plateforme],$B232)="IKS",INDEX(TblClusters[Plateforme],$B232)="ROKS")),1,0),0))</f>
        <v>0</v>
      </c>
      <c r="E232" s="83" t="str">
        <f aca="false">IF($D232=1,EDATE(p_debut,$C232-1),"")</f>
        <v/>
      </c>
      <c r="F232" s="14" t="str">
        <f aca="false">IF($D232=1,INDEX(TblClusters[Cluster],$B232),"")</f>
        <v/>
      </c>
      <c r="G232" s="14" t="str">
        <f aca="false">IF($D232=1,INDEX(TblClusters[Plateforme],$B232),"")</f>
        <v/>
      </c>
      <c r="H232" s="14" t="str">
        <f aca="false">IF($D232=1,INDEX(TblClusters[vCPU par nœud],$B232),"")</f>
        <v/>
      </c>
      <c r="I232" s="14" t="str">
        <f aca="false">IF($D232=1,INDEX(TblClusters[RAM par nœud (Go)],$B232),"")</f>
        <v/>
      </c>
      <c r="J232" s="14" t="str">
        <f aca="false">IF($D232=1,INDEX(TblClusters[Workers min],$B232),"")</f>
        <v/>
      </c>
      <c r="K232" s="84" t="str">
        <f aca="false">IF($D232=1,INDEX(TblClusters[Tarif par nœud],$B232),"")</f>
        <v/>
      </c>
      <c r="L232" s="14" t="str">
        <f aca="false">IF($D232=1,INDEX(TblClusters[CPU initial (vCPU)],$B232),"")</f>
        <v/>
      </c>
      <c r="M232" s="14" t="str">
        <f aca="false">IF($D232=1,INDEX(TblClusters[RAM initiale (Go)],$B232),"")</f>
        <v/>
      </c>
      <c r="N232" s="14" t="str">
        <f aca="false">IF($D232=1,INDEX(TblClusters[CPU min (vCPU)],$B232),"")</f>
        <v/>
      </c>
      <c r="O232" s="14" t="str">
        <f aca="false">IF($D232=1,INDEX(TblClusters[RAM min (Go)],$B232),"")</f>
        <v/>
      </c>
      <c r="P232" s="14" t="str">
        <f aca="false">IF($D232&lt;&gt;1,"",IF($G232="ROKS",SUMIFS(TblApplications[Besoin ROKS CPU (vCPU)],TblApplications[Cluster ROKS cible],$F232,TblApplications[Action],"À migrer",TblApplications[Déjà incluse ROKS],"Non",TblApplications[Mois prov (calc)],"&lt;="&amp;$E232),SUMIFS(TblApplications[CPU IKS libérable (vCPU)],TblApplications[Cluster IKS source],$F232,TblApplications[Mois lib (calc)],"&lt;="&amp;$E232)))</f>
        <v/>
      </c>
      <c r="Q232" s="14" t="str">
        <f aca="false">IF($D232&lt;&gt;1,"",IF($G232="ROKS",SUMIFS(TblApplications[Besoin ROKS RAM (Go)],TblApplications[Cluster ROKS cible],$F232,TblApplications[Action],"À migrer",TblApplications[Déjà incluse ROKS],"Non",TblApplications[Mois prov (calc)],"&lt;="&amp;$E232),SUMIFS(TblApplications[RAM IKS libérable (Go)],TblApplications[Cluster IKS source],$F232,TblApplications[Mois lib (calc)],"&lt;="&amp;$E232)))</f>
        <v/>
      </c>
      <c r="R232" s="14" t="str">
        <f aca="false">IF($D232&lt;&gt;1,"",IF($G232="ROKS",$L232+$P232,IF($AI232=1,0,MAX($N232,$L232-$P232))))</f>
        <v/>
      </c>
      <c r="S232" s="14" t="str">
        <f aca="false">IF($D232&lt;&gt;1,"",IF($G232="ROKS",$M232+$Q232,IF($AI232=1,0,MAX($O232,$M232-$Q232))))</f>
        <v/>
      </c>
      <c r="T232" s="14" t="str">
        <f aca="false">IF($D232&lt;&gt;1,"",IF($AI232=1,0,MAX($J232,ROUNDUP(MAX($R232/$H232,$S232/$I232),0))))</f>
        <v/>
      </c>
      <c r="U232" s="14" t="str">
        <f aca="false">IF($D232&lt;&gt;1,"",IF(p_mode="Nœud",$T232*$H232,$R232))</f>
        <v/>
      </c>
      <c r="V232" s="14" t="str">
        <f aca="false">IF($D232&lt;&gt;1,"",IF(p_mode="Nœud",$T232*$I232,$S232))</f>
        <v/>
      </c>
      <c r="W232" s="84" t="str">
        <f aca="false">IF($D232&lt;&gt;1,"",IF(p_mode="Nœud",$T232*$K232,$R232*IF($G232="IKS",p_iks_cpu,p_roks_cpu)+$S232*IF($G232="IKS",p_iks_ram,p_roks_ram))*p_facteur)</f>
        <v/>
      </c>
      <c r="X232" s="14" t="str">
        <f aca="false">IF($D232&lt;&gt;1,"",IF($G232="ROKS",$R232,IF($AI232=1,0,MAX($N232,$L232-SUMIFS(TblApplications[CPU IKS libérable (vCPU)],TblApplications[Cluster IKS source],$F232,TblApplications[Action],"À migrer",TblApplications[Mois prov (calc)],"&lt;="&amp;$E232)-SUMIFS(TblApplications[CPU IKS libérable (vCPU)],TblApplications[Cluster IKS source],$F232,TblApplications[Action],"À décommissionner",TblApplications[Mois lib (calc)],"&lt;="&amp;$E232)))))</f>
        <v/>
      </c>
      <c r="Y232" s="14" t="str">
        <f aca="false">IF($D232&lt;&gt;1,"",IF($G232="ROKS",$S232,IF($AI232=1,0,MAX($O232,$M232-SUMIFS(TblApplications[RAM IKS libérable (Go)],TblApplications[Cluster IKS source],$F232,TblApplications[Action],"À migrer",TblApplications[Mois prov (calc)],"&lt;="&amp;$E232)-SUMIFS(TblApplications[RAM IKS libérable (Go)],TblApplications[Cluster IKS source],$F232,TblApplications[Action],"À décommissionner",TblApplications[Mois lib (calc)],"&lt;="&amp;$E232)))))</f>
        <v/>
      </c>
      <c r="Z232" s="14" t="str">
        <f aca="false">IF($D232&lt;&gt;1,"",IF($AI232=1,0,MAX($J232,ROUNDUP(MAX($X232/$H232,$Y232/$I232),0))))</f>
        <v/>
      </c>
      <c r="AA232" s="84" t="str">
        <f aca="false">IF($D232&lt;&gt;1,"",IF(p_mode="Nœud",$Z232*$K232,$X232*IF($G232="IKS",p_iks_cpu,p_roks_cpu)+$Y232*IF($G232="IKS",p_iks_ram,p_roks_ram))*p_facteur)</f>
        <v/>
      </c>
      <c r="AB232" s="14" t="str">
        <f aca="false">IF($D232&lt;&gt;1,"",MAX($J232,ROUNDUP(MAX($L232/$H232,$M232/$I232),0)))</f>
        <v/>
      </c>
      <c r="AC232" s="84" t="str">
        <f aca="false">IF($D232&lt;&gt;1,"",IF(p_mode="Nœud",$AB232*$K232,$L232*IF($G232="IKS",p_iks_cpu,p_roks_cpu)+$M232*IF($G232="IKS",p_iks_ram,p_roks_ram))*p_facteur)</f>
        <v/>
      </c>
      <c r="AD232" s="14" t="str">
        <f aca="false">IF($D232&lt;&gt;1,"",IF(AND($G232="IKS",$AI232&lt;&gt;1,OR($L232-$P232&lt;$N232,$M232-$Q232&lt;$O232)),1,0))</f>
        <v/>
      </c>
      <c r="AE232" s="14" t="str">
        <f aca="false">IF($D232&lt;&gt;1,"",IF(AND($G232="ROKS",$T232&gt;p_maxworkers),1,0))</f>
        <v/>
      </c>
      <c r="AF232" s="14" t="str">
        <f aca="false">IF($D232&lt;&gt;1,"",IF(INDEX(TblClusters[Environnement],$B232)="","(vide)",INDEX(TblClusters[Environnement],$B232)))</f>
        <v/>
      </c>
      <c r="AG232" s="14" t="str">
        <f aca="false">IF($D232&lt;&gt;1,"",$R232+p_poidsram*$S232)</f>
        <v/>
      </c>
      <c r="AH232" s="14" t="str">
        <f aca="false">IF($D232&lt;&gt;1,"",IFERROR($W232/$AG232,0))</f>
        <v/>
      </c>
      <c r="AI232" s="14" t="str">
        <f aca="false">IF($D232&lt;&gt;1,"",IF(AND($G232="IKS",ISNUMBER(INDEX(TblClusters[Fermeture retenue],$B232))),IF($E232&gt;=INDEX(TblClusters[Fermeture retenue],$B232),1,0),0))</f>
        <v/>
      </c>
    </row>
    <row r="233" customFormat="false" ht="15" hidden="false" customHeight="false" outlineLevel="0" collapsed="false">
      <c r="A233" s="14" t="n">
        <v>228</v>
      </c>
      <c r="B233" s="14" t="n">
        <f aca="false">INT(($A233-1)/36)+1</f>
        <v>7</v>
      </c>
      <c r="C233" s="14" t="n">
        <f aca="false">MOD($A233-1,36)+1</f>
        <v>12</v>
      </c>
      <c r="D233" s="14" t="n">
        <f aca="false">IF($C233&gt;p_horizon,0,IFERROR(IF(AND(INDEX(TblClusters[Cluster],$B233)&lt;&gt;"",ISNUMBER(INDEX(TblClusters[CPU initial (vCPU)],$B233)),ISNUMBER(INDEX(TblClusters[CPU min (vCPU)],$B233)),OR(INDEX(TblClusters[Plateforme],$B233)="IKS",INDEX(TblClusters[Plateforme],$B233)="ROKS")),1,0),0))</f>
        <v>0</v>
      </c>
      <c r="E233" s="83" t="str">
        <f aca="false">IF($D233=1,EDATE(p_debut,$C233-1),"")</f>
        <v/>
      </c>
      <c r="F233" s="14" t="str">
        <f aca="false">IF($D233=1,INDEX(TblClusters[Cluster],$B233),"")</f>
        <v/>
      </c>
      <c r="G233" s="14" t="str">
        <f aca="false">IF($D233=1,INDEX(TblClusters[Plateforme],$B233),"")</f>
        <v/>
      </c>
      <c r="H233" s="14" t="str">
        <f aca="false">IF($D233=1,INDEX(TblClusters[vCPU par nœud],$B233),"")</f>
        <v/>
      </c>
      <c r="I233" s="14" t="str">
        <f aca="false">IF($D233=1,INDEX(TblClusters[RAM par nœud (Go)],$B233),"")</f>
        <v/>
      </c>
      <c r="J233" s="14" t="str">
        <f aca="false">IF($D233=1,INDEX(TblClusters[Workers min],$B233),"")</f>
        <v/>
      </c>
      <c r="K233" s="84" t="str">
        <f aca="false">IF($D233=1,INDEX(TblClusters[Tarif par nœud],$B233),"")</f>
        <v/>
      </c>
      <c r="L233" s="14" t="str">
        <f aca="false">IF($D233=1,INDEX(TblClusters[CPU initial (vCPU)],$B233),"")</f>
        <v/>
      </c>
      <c r="M233" s="14" t="str">
        <f aca="false">IF($D233=1,INDEX(TblClusters[RAM initiale (Go)],$B233),"")</f>
        <v/>
      </c>
      <c r="N233" s="14" t="str">
        <f aca="false">IF($D233=1,INDEX(TblClusters[CPU min (vCPU)],$B233),"")</f>
        <v/>
      </c>
      <c r="O233" s="14" t="str">
        <f aca="false">IF($D233=1,INDEX(TblClusters[RAM min (Go)],$B233),"")</f>
        <v/>
      </c>
      <c r="P233" s="14" t="str">
        <f aca="false">IF($D233&lt;&gt;1,"",IF($G233="ROKS",SUMIFS(TblApplications[Besoin ROKS CPU (vCPU)],TblApplications[Cluster ROKS cible],$F233,TblApplications[Action],"À migrer",TblApplications[Déjà incluse ROKS],"Non",TblApplications[Mois prov (calc)],"&lt;="&amp;$E233),SUMIFS(TblApplications[CPU IKS libérable (vCPU)],TblApplications[Cluster IKS source],$F233,TblApplications[Mois lib (calc)],"&lt;="&amp;$E233)))</f>
        <v/>
      </c>
      <c r="Q233" s="14" t="str">
        <f aca="false">IF($D233&lt;&gt;1,"",IF($G233="ROKS",SUMIFS(TblApplications[Besoin ROKS RAM (Go)],TblApplications[Cluster ROKS cible],$F233,TblApplications[Action],"À migrer",TblApplications[Déjà incluse ROKS],"Non",TblApplications[Mois prov (calc)],"&lt;="&amp;$E233),SUMIFS(TblApplications[RAM IKS libérable (Go)],TblApplications[Cluster IKS source],$F233,TblApplications[Mois lib (calc)],"&lt;="&amp;$E233)))</f>
        <v/>
      </c>
      <c r="R233" s="14" t="str">
        <f aca="false">IF($D233&lt;&gt;1,"",IF($G233="ROKS",$L233+$P233,IF($AI233=1,0,MAX($N233,$L233-$P233))))</f>
        <v/>
      </c>
      <c r="S233" s="14" t="str">
        <f aca="false">IF($D233&lt;&gt;1,"",IF($G233="ROKS",$M233+$Q233,IF($AI233=1,0,MAX($O233,$M233-$Q233))))</f>
        <v/>
      </c>
      <c r="T233" s="14" t="str">
        <f aca="false">IF($D233&lt;&gt;1,"",IF($AI233=1,0,MAX($J233,ROUNDUP(MAX($R233/$H233,$S233/$I233),0))))</f>
        <v/>
      </c>
      <c r="U233" s="14" t="str">
        <f aca="false">IF($D233&lt;&gt;1,"",IF(p_mode="Nœud",$T233*$H233,$R233))</f>
        <v/>
      </c>
      <c r="V233" s="14" t="str">
        <f aca="false">IF($D233&lt;&gt;1,"",IF(p_mode="Nœud",$T233*$I233,$S233))</f>
        <v/>
      </c>
      <c r="W233" s="84" t="str">
        <f aca="false">IF($D233&lt;&gt;1,"",IF(p_mode="Nœud",$T233*$K233,$R233*IF($G233="IKS",p_iks_cpu,p_roks_cpu)+$S233*IF($G233="IKS",p_iks_ram,p_roks_ram))*p_facteur)</f>
        <v/>
      </c>
      <c r="X233" s="14" t="str">
        <f aca="false">IF($D233&lt;&gt;1,"",IF($G233="ROKS",$R233,IF($AI233=1,0,MAX($N233,$L233-SUMIFS(TblApplications[CPU IKS libérable (vCPU)],TblApplications[Cluster IKS source],$F233,TblApplications[Action],"À migrer",TblApplications[Mois prov (calc)],"&lt;="&amp;$E233)-SUMIFS(TblApplications[CPU IKS libérable (vCPU)],TblApplications[Cluster IKS source],$F233,TblApplications[Action],"À décommissionner",TblApplications[Mois lib (calc)],"&lt;="&amp;$E233)))))</f>
        <v/>
      </c>
      <c r="Y233" s="14" t="str">
        <f aca="false">IF($D233&lt;&gt;1,"",IF($G233="ROKS",$S233,IF($AI233=1,0,MAX($O233,$M233-SUMIFS(TblApplications[RAM IKS libérable (Go)],TblApplications[Cluster IKS source],$F233,TblApplications[Action],"À migrer",TblApplications[Mois prov (calc)],"&lt;="&amp;$E233)-SUMIFS(TblApplications[RAM IKS libérable (Go)],TblApplications[Cluster IKS source],$F233,TblApplications[Action],"À décommissionner",TblApplications[Mois lib (calc)],"&lt;="&amp;$E233)))))</f>
        <v/>
      </c>
      <c r="Z233" s="14" t="str">
        <f aca="false">IF($D233&lt;&gt;1,"",IF($AI233=1,0,MAX($J233,ROUNDUP(MAX($X233/$H233,$Y233/$I233),0))))</f>
        <v/>
      </c>
      <c r="AA233" s="84" t="str">
        <f aca="false">IF($D233&lt;&gt;1,"",IF(p_mode="Nœud",$Z233*$K233,$X233*IF($G233="IKS",p_iks_cpu,p_roks_cpu)+$Y233*IF($G233="IKS",p_iks_ram,p_roks_ram))*p_facteur)</f>
        <v/>
      </c>
      <c r="AB233" s="14" t="str">
        <f aca="false">IF($D233&lt;&gt;1,"",MAX($J233,ROUNDUP(MAX($L233/$H233,$M233/$I233),0)))</f>
        <v/>
      </c>
      <c r="AC233" s="84" t="str">
        <f aca="false">IF($D233&lt;&gt;1,"",IF(p_mode="Nœud",$AB233*$K233,$L233*IF($G233="IKS",p_iks_cpu,p_roks_cpu)+$M233*IF($G233="IKS",p_iks_ram,p_roks_ram))*p_facteur)</f>
        <v/>
      </c>
      <c r="AD233" s="14" t="str">
        <f aca="false">IF($D233&lt;&gt;1,"",IF(AND($G233="IKS",$AI233&lt;&gt;1,OR($L233-$P233&lt;$N233,$M233-$Q233&lt;$O233)),1,0))</f>
        <v/>
      </c>
      <c r="AE233" s="14" t="str">
        <f aca="false">IF($D233&lt;&gt;1,"",IF(AND($G233="ROKS",$T233&gt;p_maxworkers),1,0))</f>
        <v/>
      </c>
      <c r="AF233" s="14" t="str">
        <f aca="false">IF($D233&lt;&gt;1,"",IF(INDEX(TblClusters[Environnement],$B233)="","(vide)",INDEX(TblClusters[Environnement],$B233)))</f>
        <v/>
      </c>
      <c r="AG233" s="14" t="str">
        <f aca="false">IF($D233&lt;&gt;1,"",$R233+p_poidsram*$S233)</f>
        <v/>
      </c>
      <c r="AH233" s="14" t="str">
        <f aca="false">IF($D233&lt;&gt;1,"",IFERROR($W233/$AG233,0))</f>
        <v/>
      </c>
      <c r="AI233" s="14" t="str">
        <f aca="false">IF($D233&lt;&gt;1,"",IF(AND($G233="IKS",ISNUMBER(INDEX(TblClusters[Fermeture retenue],$B233))),IF($E233&gt;=INDEX(TblClusters[Fermeture retenue],$B233),1,0),0))</f>
        <v/>
      </c>
    </row>
    <row r="234" customFormat="false" ht="15" hidden="false" customHeight="false" outlineLevel="0" collapsed="false">
      <c r="A234" s="14" t="n">
        <v>229</v>
      </c>
      <c r="B234" s="14" t="n">
        <f aca="false">INT(($A234-1)/36)+1</f>
        <v>7</v>
      </c>
      <c r="C234" s="14" t="n">
        <f aca="false">MOD($A234-1,36)+1</f>
        <v>13</v>
      </c>
      <c r="D234" s="14" t="n">
        <f aca="false">IF($C234&gt;p_horizon,0,IFERROR(IF(AND(INDEX(TblClusters[Cluster],$B234)&lt;&gt;"",ISNUMBER(INDEX(TblClusters[CPU initial (vCPU)],$B234)),ISNUMBER(INDEX(TblClusters[CPU min (vCPU)],$B234)),OR(INDEX(TblClusters[Plateforme],$B234)="IKS",INDEX(TblClusters[Plateforme],$B234)="ROKS")),1,0),0))</f>
        <v>0</v>
      </c>
      <c r="E234" s="83" t="str">
        <f aca="false">IF($D234=1,EDATE(p_debut,$C234-1),"")</f>
        <v/>
      </c>
      <c r="F234" s="14" t="str">
        <f aca="false">IF($D234=1,INDEX(TblClusters[Cluster],$B234),"")</f>
        <v/>
      </c>
      <c r="G234" s="14" t="str">
        <f aca="false">IF($D234=1,INDEX(TblClusters[Plateforme],$B234),"")</f>
        <v/>
      </c>
      <c r="H234" s="14" t="str">
        <f aca="false">IF($D234=1,INDEX(TblClusters[vCPU par nœud],$B234),"")</f>
        <v/>
      </c>
      <c r="I234" s="14" t="str">
        <f aca="false">IF($D234=1,INDEX(TblClusters[RAM par nœud (Go)],$B234),"")</f>
        <v/>
      </c>
      <c r="J234" s="14" t="str">
        <f aca="false">IF($D234=1,INDEX(TblClusters[Workers min],$B234),"")</f>
        <v/>
      </c>
      <c r="K234" s="84" t="str">
        <f aca="false">IF($D234=1,INDEX(TblClusters[Tarif par nœud],$B234),"")</f>
        <v/>
      </c>
      <c r="L234" s="14" t="str">
        <f aca="false">IF($D234=1,INDEX(TblClusters[CPU initial (vCPU)],$B234),"")</f>
        <v/>
      </c>
      <c r="M234" s="14" t="str">
        <f aca="false">IF($D234=1,INDEX(TblClusters[RAM initiale (Go)],$B234),"")</f>
        <v/>
      </c>
      <c r="N234" s="14" t="str">
        <f aca="false">IF($D234=1,INDEX(TblClusters[CPU min (vCPU)],$B234),"")</f>
        <v/>
      </c>
      <c r="O234" s="14" t="str">
        <f aca="false">IF($D234=1,INDEX(TblClusters[RAM min (Go)],$B234),"")</f>
        <v/>
      </c>
      <c r="P234" s="14" t="str">
        <f aca="false">IF($D234&lt;&gt;1,"",IF($G234="ROKS",SUMIFS(TblApplications[Besoin ROKS CPU (vCPU)],TblApplications[Cluster ROKS cible],$F234,TblApplications[Action],"À migrer",TblApplications[Déjà incluse ROKS],"Non",TblApplications[Mois prov (calc)],"&lt;="&amp;$E234),SUMIFS(TblApplications[CPU IKS libérable (vCPU)],TblApplications[Cluster IKS source],$F234,TblApplications[Mois lib (calc)],"&lt;="&amp;$E234)))</f>
        <v/>
      </c>
      <c r="Q234" s="14" t="str">
        <f aca="false">IF($D234&lt;&gt;1,"",IF($G234="ROKS",SUMIFS(TblApplications[Besoin ROKS RAM (Go)],TblApplications[Cluster ROKS cible],$F234,TblApplications[Action],"À migrer",TblApplications[Déjà incluse ROKS],"Non",TblApplications[Mois prov (calc)],"&lt;="&amp;$E234),SUMIFS(TblApplications[RAM IKS libérable (Go)],TblApplications[Cluster IKS source],$F234,TblApplications[Mois lib (calc)],"&lt;="&amp;$E234)))</f>
        <v/>
      </c>
      <c r="R234" s="14" t="str">
        <f aca="false">IF($D234&lt;&gt;1,"",IF($G234="ROKS",$L234+$P234,IF($AI234=1,0,MAX($N234,$L234-$P234))))</f>
        <v/>
      </c>
      <c r="S234" s="14" t="str">
        <f aca="false">IF($D234&lt;&gt;1,"",IF($G234="ROKS",$M234+$Q234,IF($AI234=1,0,MAX($O234,$M234-$Q234))))</f>
        <v/>
      </c>
      <c r="T234" s="14" t="str">
        <f aca="false">IF($D234&lt;&gt;1,"",IF($AI234=1,0,MAX($J234,ROUNDUP(MAX($R234/$H234,$S234/$I234),0))))</f>
        <v/>
      </c>
      <c r="U234" s="14" t="str">
        <f aca="false">IF($D234&lt;&gt;1,"",IF(p_mode="Nœud",$T234*$H234,$R234))</f>
        <v/>
      </c>
      <c r="V234" s="14" t="str">
        <f aca="false">IF($D234&lt;&gt;1,"",IF(p_mode="Nœud",$T234*$I234,$S234))</f>
        <v/>
      </c>
      <c r="W234" s="84" t="str">
        <f aca="false">IF($D234&lt;&gt;1,"",IF(p_mode="Nœud",$T234*$K234,$R234*IF($G234="IKS",p_iks_cpu,p_roks_cpu)+$S234*IF($G234="IKS",p_iks_ram,p_roks_ram))*p_facteur)</f>
        <v/>
      </c>
      <c r="X234" s="14" t="str">
        <f aca="false">IF($D234&lt;&gt;1,"",IF($G234="ROKS",$R234,IF($AI234=1,0,MAX($N234,$L234-SUMIFS(TblApplications[CPU IKS libérable (vCPU)],TblApplications[Cluster IKS source],$F234,TblApplications[Action],"À migrer",TblApplications[Mois prov (calc)],"&lt;="&amp;$E234)-SUMIFS(TblApplications[CPU IKS libérable (vCPU)],TblApplications[Cluster IKS source],$F234,TblApplications[Action],"À décommissionner",TblApplications[Mois lib (calc)],"&lt;="&amp;$E234)))))</f>
        <v/>
      </c>
      <c r="Y234" s="14" t="str">
        <f aca="false">IF($D234&lt;&gt;1,"",IF($G234="ROKS",$S234,IF($AI234=1,0,MAX($O234,$M234-SUMIFS(TblApplications[RAM IKS libérable (Go)],TblApplications[Cluster IKS source],$F234,TblApplications[Action],"À migrer",TblApplications[Mois prov (calc)],"&lt;="&amp;$E234)-SUMIFS(TblApplications[RAM IKS libérable (Go)],TblApplications[Cluster IKS source],$F234,TblApplications[Action],"À décommissionner",TblApplications[Mois lib (calc)],"&lt;="&amp;$E234)))))</f>
        <v/>
      </c>
      <c r="Z234" s="14" t="str">
        <f aca="false">IF($D234&lt;&gt;1,"",IF($AI234=1,0,MAX($J234,ROUNDUP(MAX($X234/$H234,$Y234/$I234),0))))</f>
        <v/>
      </c>
      <c r="AA234" s="84" t="str">
        <f aca="false">IF($D234&lt;&gt;1,"",IF(p_mode="Nœud",$Z234*$K234,$X234*IF($G234="IKS",p_iks_cpu,p_roks_cpu)+$Y234*IF($G234="IKS",p_iks_ram,p_roks_ram))*p_facteur)</f>
        <v/>
      </c>
      <c r="AB234" s="14" t="str">
        <f aca="false">IF($D234&lt;&gt;1,"",MAX($J234,ROUNDUP(MAX($L234/$H234,$M234/$I234),0)))</f>
        <v/>
      </c>
      <c r="AC234" s="84" t="str">
        <f aca="false">IF($D234&lt;&gt;1,"",IF(p_mode="Nœud",$AB234*$K234,$L234*IF($G234="IKS",p_iks_cpu,p_roks_cpu)+$M234*IF($G234="IKS",p_iks_ram,p_roks_ram))*p_facteur)</f>
        <v/>
      </c>
      <c r="AD234" s="14" t="str">
        <f aca="false">IF($D234&lt;&gt;1,"",IF(AND($G234="IKS",$AI234&lt;&gt;1,OR($L234-$P234&lt;$N234,$M234-$Q234&lt;$O234)),1,0))</f>
        <v/>
      </c>
      <c r="AE234" s="14" t="str">
        <f aca="false">IF($D234&lt;&gt;1,"",IF(AND($G234="ROKS",$T234&gt;p_maxworkers),1,0))</f>
        <v/>
      </c>
      <c r="AF234" s="14" t="str">
        <f aca="false">IF($D234&lt;&gt;1,"",IF(INDEX(TblClusters[Environnement],$B234)="","(vide)",INDEX(TblClusters[Environnement],$B234)))</f>
        <v/>
      </c>
      <c r="AG234" s="14" t="str">
        <f aca="false">IF($D234&lt;&gt;1,"",$R234+p_poidsram*$S234)</f>
        <v/>
      </c>
      <c r="AH234" s="14" t="str">
        <f aca="false">IF($D234&lt;&gt;1,"",IFERROR($W234/$AG234,0))</f>
        <v/>
      </c>
      <c r="AI234" s="14" t="str">
        <f aca="false">IF($D234&lt;&gt;1,"",IF(AND($G234="IKS",ISNUMBER(INDEX(TblClusters[Fermeture retenue],$B234))),IF($E234&gt;=INDEX(TblClusters[Fermeture retenue],$B234),1,0),0))</f>
        <v/>
      </c>
    </row>
    <row r="235" customFormat="false" ht="15" hidden="false" customHeight="false" outlineLevel="0" collapsed="false">
      <c r="A235" s="14" t="n">
        <v>230</v>
      </c>
      <c r="B235" s="14" t="n">
        <f aca="false">INT(($A235-1)/36)+1</f>
        <v>7</v>
      </c>
      <c r="C235" s="14" t="n">
        <f aca="false">MOD($A235-1,36)+1</f>
        <v>14</v>
      </c>
      <c r="D235" s="14" t="n">
        <f aca="false">IF($C235&gt;p_horizon,0,IFERROR(IF(AND(INDEX(TblClusters[Cluster],$B235)&lt;&gt;"",ISNUMBER(INDEX(TblClusters[CPU initial (vCPU)],$B235)),ISNUMBER(INDEX(TblClusters[CPU min (vCPU)],$B235)),OR(INDEX(TblClusters[Plateforme],$B235)="IKS",INDEX(TblClusters[Plateforme],$B235)="ROKS")),1,0),0))</f>
        <v>0</v>
      </c>
      <c r="E235" s="83" t="str">
        <f aca="false">IF($D235=1,EDATE(p_debut,$C235-1),"")</f>
        <v/>
      </c>
      <c r="F235" s="14" t="str">
        <f aca="false">IF($D235=1,INDEX(TblClusters[Cluster],$B235),"")</f>
        <v/>
      </c>
      <c r="G235" s="14" t="str">
        <f aca="false">IF($D235=1,INDEX(TblClusters[Plateforme],$B235),"")</f>
        <v/>
      </c>
      <c r="H235" s="14" t="str">
        <f aca="false">IF($D235=1,INDEX(TblClusters[vCPU par nœud],$B235),"")</f>
        <v/>
      </c>
      <c r="I235" s="14" t="str">
        <f aca="false">IF($D235=1,INDEX(TblClusters[RAM par nœud (Go)],$B235),"")</f>
        <v/>
      </c>
      <c r="J235" s="14" t="str">
        <f aca="false">IF($D235=1,INDEX(TblClusters[Workers min],$B235),"")</f>
        <v/>
      </c>
      <c r="K235" s="84" t="str">
        <f aca="false">IF($D235=1,INDEX(TblClusters[Tarif par nœud],$B235),"")</f>
        <v/>
      </c>
      <c r="L235" s="14" t="str">
        <f aca="false">IF($D235=1,INDEX(TblClusters[CPU initial (vCPU)],$B235),"")</f>
        <v/>
      </c>
      <c r="M235" s="14" t="str">
        <f aca="false">IF($D235=1,INDEX(TblClusters[RAM initiale (Go)],$B235),"")</f>
        <v/>
      </c>
      <c r="N235" s="14" t="str">
        <f aca="false">IF($D235=1,INDEX(TblClusters[CPU min (vCPU)],$B235),"")</f>
        <v/>
      </c>
      <c r="O235" s="14" t="str">
        <f aca="false">IF($D235=1,INDEX(TblClusters[RAM min (Go)],$B235),"")</f>
        <v/>
      </c>
      <c r="P235" s="14" t="str">
        <f aca="false">IF($D235&lt;&gt;1,"",IF($G235="ROKS",SUMIFS(TblApplications[Besoin ROKS CPU (vCPU)],TblApplications[Cluster ROKS cible],$F235,TblApplications[Action],"À migrer",TblApplications[Déjà incluse ROKS],"Non",TblApplications[Mois prov (calc)],"&lt;="&amp;$E235),SUMIFS(TblApplications[CPU IKS libérable (vCPU)],TblApplications[Cluster IKS source],$F235,TblApplications[Mois lib (calc)],"&lt;="&amp;$E235)))</f>
        <v/>
      </c>
      <c r="Q235" s="14" t="str">
        <f aca="false">IF($D235&lt;&gt;1,"",IF($G235="ROKS",SUMIFS(TblApplications[Besoin ROKS RAM (Go)],TblApplications[Cluster ROKS cible],$F235,TblApplications[Action],"À migrer",TblApplications[Déjà incluse ROKS],"Non",TblApplications[Mois prov (calc)],"&lt;="&amp;$E235),SUMIFS(TblApplications[RAM IKS libérable (Go)],TblApplications[Cluster IKS source],$F235,TblApplications[Mois lib (calc)],"&lt;="&amp;$E235)))</f>
        <v/>
      </c>
      <c r="R235" s="14" t="str">
        <f aca="false">IF($D235&lt;&gt;1,"",IF($G235="ROKS",$L235+$P235,IF($AI235=1,0,MAX($N235,$L235-$P235))))</f>
        <v/>
      </c>
      <c r="S235" s="14" t="str">
        <f aca="false">IF($D235&lt;&gt;1,"",IF($G235="ROKS",$M235+$Q235,IF($AI235=1,0,MAX($O235,$M235-$Q235))))</f>
        <v/>
      </c>
      <c r="T235" s="14" t="str">
        <f aca="false">IF($D235&lt;&gt;1,"",IF($AI235=1,0,MAX($J235,ROUNDUP(MAX($R235/$H235,$S235/$I235),0))))</f>
        <v/>
      </c>
      <c r="U235" s="14" t="str">
        <f aca="false">IF($D235&lt;&gt;1,"",IF(p_mode="Nœud",$T235*$H235,$R235))</f>
        <v/>
      </c>
      <c r="V235" s="14" t="str">
        <f aca="false">IF($D235&lt;&gt;1,"",IF(p_mode="Nœud",$T235*$I235,$S235))</f>
        <v/>
      </c>
      <c r="W235" s="84" t="str">
        <f aca="false">IF($D235&lt;&gt;1,"",IF(p_mode="Nœud",$T235*$K235,$R235*IF($G235="IKS",p_iks_cpu,p_roks_cpu)+$S235*IF($G235="IKS",p_iks_ram,p_roks_ram))*p_facteur)</f>
        <v/>
      </c>
      <c r="X235" s="14" t="str">
        <f aca="false">IF($D235&lt;&gt;1,"",IF($G235="ROKS",$R235,IF($AI235=1,0,MAX($N235,$L235-SUMIFS(TblApplications[CPU IKS libérable (vCPU)],TblApplications[Cluster IKS source],$F235,TblApplications[Action],"À migrer",TblApplications[Mois prov (calc)],"&lt;="&amp;$E235)-SUMIFS(TblApplications[CPU IKS libérable (vCPU)],TblApplications[Cluster IKS source],$F235,TblApplications[Action],"À décommissionner",TblApplications[Mois lib (calc)],"&lt;="&amp;$E235)))))</f>
        <v/>
      </c>
      <c r="Y235" s="14" t="str">
        <f aca="false">IF($D235&lt;&gt;1,"",IF($G235="ROKS",$S235,IF($AI235=1,0,MAX($O235,$M235-SUMIFS(TblApplications[RAM IKS libérable (Go)],TblApplications[Cluster IKS source],$F235,TblApplications[Action],"À migrer",TblApplications[Mois prov (calc)],"&lt;="&amp;$E235)-SUMIFS(TblApplications[RAM IKS libérable (Go)],TblApplications[Cluster IKS source],$F235,TblApplications[Action],"À décommissionner",TblApplications[Mois lib (calc)],"&lt;="&amp;$E235)))))</f>
        <v/>
      </c>
      <c r="Z235" s="14" t="str">
        <f aca="false">IF($D235&lt;&gt;1,"",IF($AI235=1,0,MAX($J235,ROUNDUP(MAX($X235/$H235,$Y235/$I235),0))))</f>
        <v/>
      </c>
      <c r="AA235" s="84" t="str">
        <f aca="false">IF($D235&lt;&gt;1,"",IF(p_mode="Nœud",$Z235*$K235,$X235*IF($G235="IKS",p_iks_cpu,p_roks_cpu)+$Y235*IF($G235="IKS",p_iks_ram,p_roks_ram))*p_facteur)</f>
        <v/>
      </c>
      <c r="AB235" s="14" t="str">
        <f aca="false">IF($D235&lt;&gt;1,"",MAX($J235,ROUNDUP(MAX($L235/$H235,$M235/$I235),0)))</f>
        <v/>
      </c>
      <c r="AC235" s="84" t="str">
        <f aca="false">IF($D235&lt;&gt;1,"",IF(p_mode="Nœud",$AB235*$K235,$L235*IF($G235="IKS",p_iks_cpu,p_roks_cpu)+$M235*IF($G235="IKS",p_iks_ram,p_roks_ram))*p_facteur)</f>
        <v/>
      </c>
      <c r="AD235" s="14" t="str">
        <f aca="false">IF($D235&lt;&gt;1,"",IF(AND($G235="IKS",$AI235&lt;&gt;1,OR($L235-$P235&lt;$N235,$M235-$Q235&lt;$O235)),1,0))</f>
        <v/>
      </c>
      <c r="AE235" s="14" t="str">
        <f aca="false">IF($D235&lt;&gt;1,"",IF(AND($G235="ROKS",$T235&gt;p_maxworkers),1,0))</f>
        <v/>
      </c>
      <c r="AF235" s="14" t="str">
        <f aca="false">IF($D235&lt;&gt;1,"",IF(INDEX(TblClusters[Environnement],$B235)="","(vide)",INDEX(TblClusters[Environnement],$B235)))</f>
        <v/>
      </c>
      <c r="AG235" s="14" t="str">
        <f aca="false">IF($D235&lt;&gt;1,"",$R235+p_poidsram*$S235)</f>
        <v/>
      </c>
      <c r="AH235" s="14" t="str">
        <f aca="false">IF($D235&lt;&gt;1,"",IFERROR($W235/$AG235,0))</f>
        <v/>
      </c>
      <c r="AI235" s="14" t="str">
        <f aca="false">IF($D235&lt;&gt;1,"",IF(AND($G235="IKS",ISNUMBER(INDEX(TblClusters[Fermeture retenue],$B235))),IF($E235&gt;=INDEX(TblClusters[Fermeture retenue],$B235),1,0),0))</f>
        <v/>
      </c>
    </row>
    <row r="236" customFormat="false" ht="15" hidden="false" customHeight="false" outlineLevel="0" collapsed="false">
      <c r="A236" s="14" t="n">
        <v>231</v>
      </c>
      <c r="B236" s="14" t="n">
        <f aca="false">INT(($A236-1)/36)+1</f>
        <v>7</v>
      </c>
      <c r="C236" s="14" t="n">
        <f aca="false">MOD($A236-1,36)+1</f>
        <v>15</v>
      </c>
      <c r="D236" s="14" t="n">
        <f aca="false">IF($C236&gt;p_horizon,0,IFERROR(IF(AND(INDEX(TblClusters[Cluster],$B236)&lt;&gt;"",ISNUMBER(INDEX(TblClusters[CPU initial (vCPU)],$B236)),ISNUMBER(INDEX(TblClusters[CPU min (vCPU)],$B236)),OR(INDEX(TblClusters[Plateforme],$B236)="IKS",INDEX(TblClusters[Plateforme],$B236)="ROKS")),1,0),0))</f>
        <v>0</v>
      </c>
      <c r="E236" s="83" t="str">
        <f aca="false">IF($D236=1,EDATE(p_debut,$C236-1),"")</f>
        <v/>
      </c>
      <c r="F236" s="14" t="str">
        <f aca="false">IF($D236=1,INDEX(TblClusters[Cluster],$B236),"")</f>
        <v/>
      </c>
      <c r="G236" s="14" t="str">
        <f aca="false">IF($D236=1,INDEX(TblClusters[Plateforme],$B236),"")</f>
        <v/>
      </c>
      <c r="H236" s="14" t="str">
        <f aca="false">IF($D236=1,INDEX(TblClusters[vCPU par nœud],$B236),"")</f>
        <v/>
      </c>
      <c r="I236" s="14" t="str">
        <f aca="false">IF($D236=1,INDEX(TblClusters[RAM par nœud (Go)],$B236),"")</f>
        <v/>
      </c>
      <c r="J236" s="14" t="str">
        <f aca="false">IF($D236=1,INDEX(TblClusters[Workers min],$B236),"")</f>
        <v/>
      </c>
      <c r="K236" s="84" t="str">
        <f aca="false">IF($D236=1,INDEX(TblClusters[Tarif par nœud],$B236),"")</f>
        <v/>
      </c>
      <c r="L236" s="14" t="str">
        <f aca="false">IF($D236=1,INDEX(TblClusters[CPU initial (vCPU)],$B236),"")</f>
        <v/>
      </c>
      <c r="M236" s="14" t="str">
        <f aca="false">IF($D236=1,INDEX(TblClusters[RAM initiale (Go)],$B236),"")</f>
        <v/>
      </c>
      <c r="N236" s="14" t="str">
        <f aca="false">IF($D236=1,INDEX(TblClusters[CPU min (vCPU)],$B236),"")</f>
        <v/>
      </c>
      <c r="O236" s="14" t="str">
        <f aca="false">IF($D236=1,INDEX(TblClusters[RAM min (Go)],$B236),"")</f>
        <v/>
      </c>
      <c r="P236" s="14" t="str">
        <f aca="false">IF($D236&lt;&gt;1,"",IF($G236="ROKS",SUMIFS(TblApplications[Besoin ROKS CPU (vCPU)],TblApplications[Cluster ROKS cible],$F236,TblApplications[Action],"À migrer",TblApplications[Déjà incluse ROKS],"Non",TblApplications[Mois prov (calc)],"&lt;="&amp;$E236),SUMIFS(TblApplications[CPU IKS libérable (vCPU)],TblApplications[Cluster IKS source],$F236,TblApplications[Mois lib (calc)],"&lt;="&amp;$E236)))</f>
        <v/>
      </c>
      <c r="Q236" s="14" t="str">
        <f aca="false">IF($D236&lt;&gt;1,"",IF($G236="ROKS",SUMIFS(TblApplications[Besoin ROKS RAM (Go)],TblApplications[Cluster ROKS cible],$F236,TblApplications[Action],"À migrer",TblApplications[Déjà incluse ROKS],"Non",TblApplications[Mois prov (calc)],"&lt;="&amp;$E236),SUMIFS(TblApplications[RAM IKS libérable (Go)],TblApplications[Cluster IKS source],$F236,TblApplications[Mois lib (calc)],"&lt;="&amp;$E236)))</f>
        <v/>
      </c>
      <c r="R236" s="14" t="str">
        <f aca="false">IF($D236&lt;&gt;1,"",IF($G236="ROKS",$L236+$P236,IF($AI236=1,0,MAX($N236,$L236-$P236))))</f>
        <v/>
      </c>
      <c r="S236" s="14" t="str">
        <f aca="false">IF($D236&lt;&gt;1,"",IF($G236="ROKS",$M236+$Q236,IF($AI236=1,0,MAX($O236,$M236-$Q236))))</f>
        <v/>
      </c>
      <c r="T236" s="14" t="str">
        <f aca="false">IF($D236&lt;&gt;1,"",IF($AI236=1,0,MAX($J236,ROUNDUP(MAX($R236/$H236,$S236/$I236),0))))</f>
        <v/>
      </c>
      <c r="U236" s="14" t="str">
        <f aca="false">IF($D236&lt;&gt;1,"",IF(p_mode="Nœud",$T236*$H236,$R236))</f>
        <v/>
      </c>
      <c r="V236" s="14" t="str">
        <f aca="false">IF($D236&lt;&gt;1,"",IF(p_mode="Nœud",$T236*$I236,$S236))</f>
        <v/>
      </c>
      <c r="W236" s="84" t="str">
        <f aca="false">IF($D236&lt;&gt;1,"",IF(p_mode="Nœud",$T236*$K236,$R236*IF($G236="IKS",p_iks_cpu,p_roks_cpu)+$S236*IF($G236="IKS",p_iks_ram,p_roks_ram))*p_facteur)</f>
        <v/>
      </c>
      <c r="X236" s="14" t="str">
        <f aca="false">IF($D236&lt;&gt;1,"",IF($G236="ROKS",$R236,IF($AI236=1,0,MAX($N236,$L236-SUMIFS(TblApplications[CPU IKS libérable (vCPU)],TblApplications[Cluster IKS source],$F236,TblApplications[Action],"À migrer",TblApplications[Mois prov (calc)],"&lt;="&amp;$E236)-SUMIFS(TblApplications[CPU IKS libérable (vCPU)],TblApplications[Cluster IKS source],$F236,TblApplications[Action],"À décommissionner",TblApplications[Mois lib (calc)],"&lt;="&amp;$E236)))))</f>
        <v/>
      </c>
      <c r="Y236" s="14" t="str">
        <f aca="false">IF($D236&lt;&gt;1,"",IF($G236="ROKS",$S236,IF($AI236=1,0,MAX($O236,$M236-SUMIFS(TblApplications[RAM IKS libérable (Go)],TblApplications[Cluster IKS source],$F236,TblApplications[Action],"À migrer",TblApplications[Mois prov (calc)],"&lt;="&amp;$E236)-SUMIFS(TblApplications[RAM IKS libérable (Go)],TblApplications[Cluster IKS source],$F236,TblApplications[Action],"À décommissionner",TblApplications[Mois lib (calc)],"&lt;="&amp;$E236)))))</f>
        <v/>
      </c>
      <c r="Z236" s="14" t="str">
        <f aca="false">IF($D236&lt;&gt;1,"",IF($AI236=1,0,MAX($J236,ROUNDUP(MAX($X236/$H236,$Y236/$I236),0))))</f>
        <v/>
      </c>
      <c r="AA236" s="84" t="str">
        <f aca="false">IF($D236&lt;&gt;1,"",IF(p_mode="Nœud",$Z236*$K236,$X236*IF($G236="IKS",p_iks_cpu,p_roks_cpu)+$Y236*IF($G236="IKS",p_iks_ram,p_roks_ram))*p_facteur)</f>
        <v/>
      </c>
      <c r="AB236" s="14" t="str">
        <f aca="false">IF($D236&lt;&gt;1,"",MAX($J236,ROUNDUP(MAX($L236/$H236,$M236/$I236),0)))</f>
        <v/>
      </c>
      <c r="AC236" s="84" t="str">
        <f aca="false">IF($D236&lt;&gt;1,"",IF(p_mode="Nœud",$AB236*$K236,$L236*IF($G236="IKS",p_iks_cpu,p_roks_cpu)+$M236*IF($G236="IKS",p_iks_ram,p_roks_ram))*p_facteur)</f>
        <v/>
      </c>
      <c r="AD236" s="14" t="str">
        <f aca="false">IF($D236&lt;&gt;1,"",IF(AND($G236="IKS",$AI236&lt;&gt;1,OR($L236-$P236&lt;$N236,$M236-$Q236&lt;$O236)),1,0))</f>
        <v/>
      </c>
      <c r="AE236" s="14" t="str">
        <f aca="false">IF($D236&lt;&gt;1,"",IF(AND($G236="ROKS",$T236&gt;p_maxworkers),1,0))</f>
        <v/>
      </c>
      <c r="AF236" s="14" t="str">
        <f aca="false">IF($D236&lt;&gt;1,"",IF(INDEX(TblClusters[Environnement],$B236)="","(vide)",INDEX(TblClusters[Environnement],$B236)))</f>
        <v/>
      </c>
      <c r="AG236" s="14" t="str">
        <f aca="false">IF($D236&lt;&gt;1,"",$R236+p_poidsram*$S236)</f>
        <v/>
      </c>
      <c r="AH236" s="14" t="str">
        <f aca="false">IF($D236&lt;&gt;1,"",IFERROR($W236/$AG236,0))</f>
        <v/>
      </c>
      <c r="AI236" s="14" t="str">
        <f aca="false">IF($D236&lt;&gt;1,"",IF(AND($G236="IKS",ISNUMBER(INDEX(TblClusters[Fermeture retenue],$B236))),IF($E236&gt;=INDEX(TblClusters[Fermeture retenue],$B236),1,0),0))</f>
        <v/>
      </c>
    </row>
    <row r="237" customFormat="false" ht="15" hidden="false" customHeight="false" outlineLevel="0" collapsed="false">
      <c r="A237" s="14" t="n">
        <v>232</v>
      </c>
      <c r="B237" s="14" t="n">
        <f aca="false">INT(($A237-1)/36)+1</f>
        <v>7</v>
      </c>
      <c r="C237" s="14" t="n">
        <f aca="false">MOD($A237-1,36)+1</f>
        <v>16</v>
      </c>
      <c r="D237" s="14" t="n">
        <f aca="false">IF($C237&gt;p_horizon,0,IFERROR(IF(AND(INDEX(TblClusters[Cluster],$B237)&lt;&gt;"",ISNUMBER(INDEX(TblClusters[CPU initial (vCPU)],$B237)),ISNUMBER(INDEX(TblClusters[CPU min (vCPU)],$B237)),OR(INDEX(TblClusters[Plateforme],$B237)="IKS",INDEX(TblClusters[Plateforme],$B237)="ROKS")),1,0),0))</f>
        <v>0</v>
      </c>
      <c r="E237" s="83" t="str">
        <f aca="false">IF($D237=1,EDATE(p_debut,$C237-1),"")</f>
        <v/>
      </c>
      <c r="F237" s="14" t="str">
        <f aca="false">IF($D237=1,INDEX(TblClusters[Cluster],$B237),"")</f>
        <v/>
      </c>
      <c r="G237" s="14" t="str">
        <f aca="false">IF($D237=1,INDEX(TblClusters[Plateforme],$B237),"")</f>
        <v/>
      </c>
      <c r="H237" s="14" t="str">
        <f aca="false">IF($D237=1,INDEX(TblClusters[vCPU par nœud],$B237),"")</f>
        <v/>
      </c>
      <c r="I237" s="14" t="str">
        <f aca="false">IF($D237=1,INDEX(TblClusters[RAM par nœud (Go)],$B237),"")</f>
        <v/>
      </c>
      <c r="J237" s="14" t="str">
        <f aca="false">IF($D237=1,INDEX(TblClusters[Workers min],$B237),"")</f>
        <v/>
      </c>
      <c r="K237" s="84" t="str">
        <f aca="false">IF($D237=1,INDEX(TblClusters[Tarif par nœud],$B237),"")</f>
        <v/>
      </c>
      <c r="L237" s="14" t="str">
        <f aca="false">IF($D237=1,INDEX(TblClusters[CPU initial (vCPU)],$B237),"")</f>
        <v/>
      </c>
      <c r="M237" s="14" t="str">
        <f aca="false">IF($D237=1,INDEX(TblClusters[RAM initiale (Go)],$B237),"")</f>
        <v/>
      </c>
      <c r="N237" s="14" t="str">
        <f aca="false">IF($D237=1,INDEX(TblClusters[CPU min (vCPU)],$B237),"")</f>
        <v/>
      </c>
      <c r="O237" s="14" t="str">
        <f aca="false">IF($D237=1,INDEX(TblClusters[RAM min (Go)],$B237),"")</f>
        <v/>
      </c>
      <c r="P237" s="14" t="str">
        <f aca="false">IF($D237&lt;&gt;1,"",IF($G237="ROKS",SUMIFS(TblApplications[Besoin ROKS CPU (vCPU)],TblApplications[Cluster ROKS cible],$F237,TblApplications[Action],"À migrer",TblApplications[Déjà incluse ROKS],"Non",TblApplications[Mois prov (calc)],"&lt;="&amp;$E237),SUMIFS(TblApplications[CPU IKS libérable (vCPU)],TblApplications[Cluster IKS source],$F237,TblApplications[Mois lib (calc)],"&lt;="&amp;$E237)))</f>
        <v/>
      </c>
      <c r="Q237" s="14" t="str">
        <f aca="false">IF($D237&lt;&gt;1,"",IF($G237="ROKS",SUMIFS(TblApplications[Besoin ROKS RAM (Go)],TblApplications[Cluster ROKS cible],$F237,TblApplications[Action],"À migrer",TblApplications[Déjà incluse ROKS],"Non",TblApplications[Mois prov (calc)],"&lt;="&amp;$E237),SUMIFS(TblApplications[RAM IKS libérable (Go)],TblApplications[Cluster IKS source],$F237,TblApplications[Mois lib (calc)],"&lt;="&amp;$E237)))</f>
        <v/>
      </c>
      <c r="R237" s="14" t="str">
        <f aca="false">IF($D237&lt;&gt;1,"",IF($G237="ROKS",$L237+$P237,IF($AI237=1,0,MAX($N237,$L237-$P237))))</f>
        <v/>
      </c>
      <c r="S237" s="14" t="str">
        <f aca="false">IF($D237&lt;&gt;1,"",IF($G237="ROKS",$M237+$Q237,IF($AI237=1,0,MAX($O237,$M237-$Q237))))</f>
        <v/>
      </c>
      <c r="T237" s="14" t="str">
        <f aca="false">IF($D237&lt;&gt;1,"",IF($AI237=1,0,MAX($J237,ROUNDUP(MAX($R237/$H237,$S237/$I237),0))))</f>
        <v/>
      </c>
      <c r="U237" s="14" t="str">
        <f aca="false">IF($D237&lt;&gt;1,"",IF(p_mode="Nœud",$T237*$H237,$R237))</f>
        <v/>
      </c>
      <c r="V237" s="14" t="str">
        <f aca="false">IF($D237&lt;&gt;1,"",IF(p_mode="Nœud",$T237*$I237,$S237))</f>
        <v/>
      </c>
      <c r="W237" s="84" t="str">
        <f aca="false">IF($D237&lt;&gt;1,"",IF(p_mode="Nœud",$T237*$K237,$R237*IF($G237="IKS",p_iks_cpu,p_roks_cpu)+$S237*IF($G237="IKS",p_iks_ram,p_roks_ram))*p_facteur)</f>
        <v/>
      </c>
      <c r="X237" s="14" t="str">
        <f aca="false">IF($D237&lt;&gt;1,"",IF($G237="ROKS",$R237,IF($AI237=1,0,MAX($N237,$L237-SUMIFS(TblApplications[CPU IKS libérable (vCPU)],TblApplications[Cluster IKS source],$F237,TblApplications[Action],"À migrer",TblApplications[Mois prov (calc)],"&lt;="&amp;$E237)-SUMIFS(TblApplications[CPU IKS libérable (vCPU)],TblApplications[Cluster IKS source],$F237,TblApplications[Action],"À décommissionner",TblApplications[Mois lib (calc)],"&lt;="&amp;$E237)))))</f>
        <v/>
      </c>
      <c r="Y237" s="14" t="str">
        <f aca="false">IF($D237&lt;&gt;1,"",IF($G237="ROKS",$S237,IF($AI237=1,0,MAX($O237,$M237-SUMIFS(TblApplications[RAM IKS libérable (Go)],TblApplications[Cluster IKS source],$F237,TblApplications[Action],"À migrer",TblApplications[Mois prov (calc)],"&lt;="&amp;$E237)-SUMIFS(TblApplications[RAM IKS libérable (Go)],TblApplications[Cluster IKS source],$F237,TblApplications[Action],"À décommissionner",TblApplications[Mois lib (calc)],"&lt;="&amp;$E237)))))</f>
        <v/>
      </c>
      <c r="Z237" s="14" t="str">
        <f aca="false">IF($D237&lt;&gt;1,"",IF($AI237=1,0,MAX($J237,ROUNDUP(MAX($X237/$H237,$Y237/$I237),0))))</f>
        <v/>
      </c>
      <c r="AA237" s="84" t="str">
        <f aca="false">IF($D237&lt;&gt;1,"",IF(p_mode="Nœud",$Z237*$K237,$X237*IF($G237="IKS",p_iks_cpu,p_roks_cpu)+$Y237*IF($G237="IKS",p_iks_ram,p_roks_ram))*p_facteur)</f>
        <v/>
      </c>
      <c r="AB237" s="14" t="str">
        <f aca="false">IF($D237&lt;&gt;1,"",MAX($J237,ROUNDUP(MAX($L237/$H237,$M237/$I237),0)))</f>
        <v/>
      </c>
      <c r="AC237" s="84" t="str">
        <f aca="false">IF($D237&lt;&gt;1,"",IF(p_mode="Nœud",$AB237*$K237,$L237*IF($G237="IKS",p_iks_cpu,p_roks_cpu)+$M237*IF($G237="IKS",p_iks_ram,p_roks_ram))*p_facteur)</f>
        <v/>
      </c>
      <c r="AD237" s="14" t="str">
        <f aca="false">IF($D237&lt;&gt;1,"",IF(AND($G237="IKS",$AI237&lt;&gt;1,OR($L237-$P237&lt;$N237,$M237-$Q237&lt;$O237)),1,0))</f>
        <v/>
      </c>
      <c r="AE237" s="14" t="str">
        <f aca="false">IF($D237&lt;&gt;1,"",IF(AND($G237="ROKS",$T237&gt;p_maxworkers),1,0))</f>
        <v/>
      </c>
      <c r="AF237" s="14" t="str">
        <f aca="false">IF($D237&lt;&gt;1,"",IF(INDEX(TblClusters[Environnement],$B237)="","(vide)",INDEX(TblClusters[Environnement],$B237)))</f>
        <v/>
      </c>
      <c r="AG237" s="14" t="str">
        <f aca="false">IF($D237&lt;&gt;1,"",$R237+p_poidsram*$S237)</f>
        <v/>
      </c>
      <c r="AH237" s="14" t="str">
        <f aca="false">IF($D237&lt;&gt;1,"",IFERROR($W237/$AG237,0))</f>
        <v/>
      </c>
      <c r="AI237" s="14" t="str">
        <f aca="false">IF($D237&lt;&gt;1,"",IF(AND($G237="IKS",ISNUMBER(INDEX(TblClusters[Fermeture retenue],$B237))),IF($E237&gt;=INDEX(TblClusters[Fermeture retenue],$B237),1,0),0))</f>
        <v/>
      </c>
    </row>
    <row r="238" customFormat="false" ht="15" hidden="false" customHeight="false" outlineLevel="0" collapsed="false">
      <c r="A238" s="14" t="n">
        <v>233</v>
      </c>
      <c r="B238" s="14" t="n">
        <f aca="false">INT(($A238-1)/36)+1</f>
        <v>7</v>
      </c>
      <c r="C238" s="14" t="n">
        <f aca="false">MOD($A238-1,36)+1</f>
        <v>17</v>
      </c>
      <c r="D238" s="14" t="n">
        <f aca="false">IF($C238&gt;p_horizon,0,IFERROR(IF(AND(INDEX(TblClusters[Cluster],$B238)&lt;&gt;"",ISNUMBER(INDEX(TblClusters[CPU initial (vCPU)],$B238)),ISNUMBER(INDEX(TblClusters[CPU min (vCPU)],$B238)),OR(INDEX(TblClusters[Plateforme],$B238)="IKS",INDEX(TblClusters[Plateforme],$B238)="ROKS")),1,0),0))</f>
        <v>0</v>
      </c>
      <c r="E238" s="83" t="str">
        <f aca="false">IF($D238=1,EDATE(p_debut,$C238-1),"")</f>
        <v/>
      </c>
      <c r="F238" s="14" t="str">
        <f aca="false">IF($D238=1,INDEX(TblClusters[Cluster],$B238),"")</f>
        <v/>
      </c>
      <c r="G238" s="14" t="str">
        <f aca="false">IF($D238=1,INDEX(TblClusters[Plateforme],$B238),"")</f>
        <v/>
      </c>
      <c r="H238" s="14" t="str">
        <f aca="false">IF($D238=1,INDEX(TblClusters[vCPU par nœud],$B238),"")</f>
        <v/>
      </c>
      <c r="I238" s="14" t="str">
        <f aca="false">IF($D238=1,INDEX(TblClusters[RAM par nœud (Go)],$B238),"")</f>
        <v/>
      </c>
      <c r="J238" s="14" t="str">
        <f aca="false">IF($D238=1,INDEX(TblClusters[Workers min],$B238),"")</f>
        <v/>
      </c>
      <c r="K238" s="84" t="str">
        <f aca="false">IF($D238=1,INDEX(TblClusters[Tarif par nœud],$B238),"")</f>
        <v/>
      </c>
      <c r="L238" s="14" t="str">
        <f aca="false">IF($D238=1,INDEX(TblClusters[CPU initial (vCPU)],$B238),"")</f>
        <v/>
      </c>
      <c r="M238" s="14" t="str">
        <f aca="false">IF($D238=1,INDEX(TblClusters[RAM initiale (Go)],$B238),"")</f>
        <v/>
      </c>
      <c r="N238" s="14" t="str">
        <f aca="false">IF($D238=1,INDEX(TblClusters[CPU min (vCPU)],$B238),"")</f>
        <v/>
      </c>
      <c r="O238" s="14" t="str">
        <f aca="false">IF($D238=1,INDEX(TblClusters[RAM min (Go)],$B238),"")</f>
        <v/>
      </c>
      <c r="P238" s="14" t="str">
        <f aca="false">IF($D238&lt;&gt;1,"",IF($G238="ROKS",SUMIFS(TblApplications[Besoin ROKS CPU (vCPU)],TblApplications[Cluster ROKS cible],$F238,TblApplications[Action],"À migrer",TblApplications[Déjà incluse ROKS],"Non",TblApplications[Mois prov (calc)],"&lt;="&amp;$E238),SUMIFS(TblApplications[CPU IKS libérable (vCPU)],TblApplications[Cluster IKS source],$F238,TblApplications[Mois lib (calc)],"&lt;="&amp;$E238)))</f>
        <v/>
      </c>
      <c r="Q238" s="14" t="str">
        <f aca="false">IF($D238&lt;&gt;1,"",IF($G238="ROKS",SUMIFS(TblApplications[Besoin ROKS RAM (Go)],TblApplications[Cluster ROKS cible],$F238,TblApplications[Action],"À migrer",TblApplications[Déjà incluse ROKS],"Non",TblApplications[Mois prov (calc)],"&lt;="&amp;$E238),SUMIFS(TblApplications[RAM IKS libérable (Go)],TblApplications[Cluster IKS source],$F238,TblApplications[Mois lib (calc)],"&lt;="&amp;$E238)))</f>
        <v/>
      </c>
      <c r="R238" s="14" t="str">
        <f aca="false">IF($D238&lt;&gt;1,"",IF($G238="ROKS",$L238+$P238,IF($AI238=1,0,MAX($N238,$L238-$P238))))</f>
        <v/>
      </c>
      <c r="S238" s="14" t="str">
        <f aca="false">IF($D238&lt;&gt;1,"",IF($G238="ROKS",$M238+$Q238,IF($AI238=1,0,MAX($O238,$M238-$Q238))))</f>
        <v/>
      </c>
      <c r="T238" s="14" t="str">
        <f aca="false">IF($D238&lt;&gt;1,"",IF($AI238=1,0,MAX($J238,ROUNDUP(MAX($R238/$H238,$S238/$I238),0))))</f>
        <v/>
      </c>
      <c r="U238" s="14" t="str">
        <f aca="false">IF($D238&lt;&gt;1,"",IF(p_mode="Nœud",$T238*$H238,$R238))</f>
        <v/>
      </c>
      <c r="V238" s="14" t="str">
        <f aca="false">IF($D238&lt;&gt;1,"",IF(p_mode="Nœud",$T238*$I238,$S238))</f>
        <v/>
      </c>
      <c r="W238" s="84" t="str">
        <f aca="false">IF($D238&lt;&gt;1,"",IF(p_mode="Nœud",$T238*$K238,$R238*IF($G238="IKS",p_iks_cpu,p_roks_cpu)+$S238*IF($G238="IKS",p_iks_ram,p_roks_ram))*p_facteur)</f>
        <v/>
      </c>
      <c r="X238" s="14" t="str">
        <f aca="false">IF($D238&lt;&gt;1,"",IF($G238="ROKS",$R238,IF($AI238=1,0,MAX($N238,$L238-SUMIFS(TblApplications[CPU IKS libérable (vCPU)],TblApplications[Cluster IKS source],$F238,TblApplications[Action],"À migrer",TblApplications[Mois prov (calc)],"&lt;="&amp;$E238)-SUMIFS(TblApplications[CPU IKS libérable (vCPU)],TblApplications[Cluster IKS source],$F238,TblApplications[Action],"À décommissionner",TblApplications[Mois lib (calc)],"&lt;="&amp;$E238)))))</f>
        <v/>
      </c>
      <c r="Y238" s="14" t="str">
        <f aca="false">IF($D238&lt;&gt;1,"",IF($G238="ROKS",$S238,IF($AI238=1,0,MAX($O238,$M238-SUMIFS(TblApplications[RAM IKS libérable (Go)],TblApplications[Cluster IKS source],$F238,TblApplications[Action],"À migrer",TblApplications[Mois prov (calc)],"&lt;="&amp;$E238)-SUMIFS(TblApplications[RAM IKS libérable (Go)],TblApplications[Cluster IKS source],$F238,TblApplications[Action],"À décommissionner",TblApplications[Mois lib (calc)],"&lt;="&amp;$E238)))))</f>
        <v/>
      </c>
      <c r="Z238" s="14" t="str">
        <f aca="false">IF($D238&lt;&gt;1,"",IF($AI238=1,0,MAX($J238,ROUNDUP(MAX($X238/$H238,$Y238/$I238),0))))</f>
        <v/>
      </c>
      <c r="AA238" s="84" t="str">
        <f aca="false">IF($D238&lt;&gt;1,"",IF(p_mode="Nœud",$Z238*$K238,$X238*IF($G238="IKS",p_iks_cpu,p_roks_cpu)+$Y238*IF($G238="IKS",p_iks_ram,p_roks_ram))*p_facteur)</f>
        <v/>
      </c>
      <c r="AB238" s="14" t="str">
        <f aca="false">IF($D238&lt;&gt;1,"",MAX($J238,ROUNDUP(MAX($L238/$H238,$M238/$I238),0)))</f>
        <v/>
      </c>
      <c r="AC238" s="84" t="str">
        <f aca="false">IF($D238&lt;&gt;1,"",IF(p_mode="Nœud",$AB238*$K238,$L238*IF($G238="IKS",p_iks_cpu,p_roks_cpu)+$M238*IF($G238="IKS",p_iks_ram,p_roks_ram))*p_facteur)</f>
        <v/>
      </c>
      <c r="AD238" s="14" t="str">
        <f aca="false">IF($D238&lt;&gt;1,"",IF(AND($G238="IKS",$AI238&lt;&gt;1,OR($L238-$P238&lt;$N238,$M238-$Q238&lt;$O238)),1,0))</f>
        <v/>
      </c>
      <c r="AE238" s="14" t="str">
        <f aca="false">IF($D238&lt;&gt;1,"",IF(AND($G238="ROKS",$T238&gt;p_maxworkers),1,0))</f>
        <v/>
      </c>
      <c r="AF238" s="14" t="str">
        <f aca="false">IF($D238&lt;&gt;1,"",IF(INDEX(TblClusters[Environnement],$B238)="","(vide)",INDEX(TblClusters[Environnement],$B238)))</f>
        <v/>
      </c>
      <c r="AG238" s="14" t="str">
        <f aca="false">IF($D238&lt;&gt;1,"",$R238+p_poidsram*$S238)</f>
        <v/>
      </c>
      <c r="AH238" s="14" t="str">
        <f aca="false">IF($D238&lt;&gt;1,"",IFERROR($W238/$AG238,0))</f>
        <v/>
      </c>
      <c r="AI238" s="14" t="str">
        <f aca="false">IF($D238&lt;&gt;1,"",IF(AND($G238="IKS",ISNUMBER(INDEX(TblClusters[Fermeture retenue],$B238))),IF($E238&gt;=INDEX(TblClusters[Fermeture retenue],$B238),1,0),0))</f>
        <v/>
      </c>
    </row>
    <row r="239" customFormat="false" ht="15" hidden="false" customHeight="false" outlineLevel="0" collapsed="false">
      <c r="A239" s="14" t="n">
        <v>234</v>
      </c>
      <c r="B239" s="14" t="n">
        <f aca="false">INT(($A239-1)/36)+1</f>
        <v>7</v>
      </c>
      <c r="C239" s="14" t="n">
        <f aca="false">MOD($A239-1,36)+1</f>
        <v>18</v>
      </c>
      <c r="D239" s="14" t="n">
        <f aca="false">IF($C239&gt;p_horizon,0,IFERROR(IF(AND(INDEX(TblClusters[Cluster],$B239)&lt;&gt;"",ISNUMBER(INDEX(TblClusters[CPU initial (vCPU)],$B239)),ISNUMBER(INDEX(TblClusters[CPU min (vCPU)],$B239)),OR(INDEX(TblClusters[Plateforme],$B239)="IKS",INDEX(TblClusters[Plateforme],$B239)="ROKS")),1,0),0))</f>
        <v>0</v>
      </c>
      <c r="E239" s="83" t="str">
        <f aca="false">IF($D239=1,EDATE(p_debut,$C239-1),"")</f>
        <v/>
      </c>
      <c r="F239" s="14" t="str">
        <f aca="false">IF($D239=1,INDEX(TblClusters[Cluster],$B239),"")</f>
        <v/>
      </c>
      <c r="G239" s="14" t="str">
        <f aca="false">IF($D239=1,INDEX(TblClusters[Plateforme],$B239),"")</f>
        <v/>
      </c>
      <c r="H239" s="14" t="str">
        <f aca="false">IF($D239=1,INDEX(TblClusters[vCPU par nœud],$B239),"")</f>
        <v/>
      </c>
      <c r="I239" s="14" t="str">
        <f aca="false">IF($D239=1,INDEX(TblClusters[RAM par nœud (Go)],$B239),"")</f>
        <v/>
      </c>
      <c r="J239" s="14" t="str">
        <f aca="false">IF($D239=1,INDEX(TblClusters[Workers min],$B239),"")</f>
        <v/>
      </c>
      <c r="K239" s="84" t="str">
        <f aca="false">IF($D239=1,INDEX(TblClusters[Tarif par nœud],$B239),"")</f>
        <v/>
      </c>
      <c r="L239" s="14" t="str">
        <f aca="false">IF($D239=1,INDEX(TblClusters[CPU initial (vCPU)],$B239),"")</f>
        <v/>
      </c>
      <c r="M239" s="14" t="str">
        <f aca="false">IF($D239=1,INDEX(TblClusters[RAM initiale (Go)],$B239),"")</f>
        <v/>
      </c>
      <c r="N239" s="14" t="str">
        <f aca="false">IF($D239=1,INDEX(TblClusters[CPU min (vCPU)],$B239),"")</f>
        <v/>
      </c>
      <c r="O239" s="14" t="str">
        <f aca="false">IF($D239=1,INDEX(TblClusters[RAM min (Go)],$B239),"")</f>
        <v/>
      </c>
      <c r="P239" s="14" t="str">
        <f aca="false">IF($D239&lt;&gt;1,"",IF($G239="ROKS",SUMIFS(TblApplications[Besoin ROKS CPU (vCPU)],TblApplications[Cluster ROKS cible],$F239,TblApplications[Action],"À migrer",TblApplications[Déjà incluse ROKS],"Non",TblApplications[Mois prov (calc)],"&lt;="&amp;$E239),SUMIFS(TblApplications[CPU IKS libérable (vCPU)],TblApplications[Cluster IKS source],$F239,TblApplications[Mois lib (calc)],"&lt;="&amp;$E239)))</f>
        <v/>
      </c>
      <c r="Q239" s="14" t="str">
        <f aca="false">IF($D239&lt;&gt;1,"",IF($G239="ROKS",SUMIFS(TblApplications[Besoin ROKS RAM (Go)],TblApplications[Cluster ROKS cible],$F239,TblApplications[Action],"À migrer",TblApplications[Déjà incluse ROKS],"Non",TblApplications[Mois prov (calc)],"&lt;="&amp;$E239),SUMIFS(TblApplications[RAM IKS libérable (Go)],TblApplications[Cluster IKS source],$F239,TblApplications[Mois lib (calc)],"&lt;="&amp;$E239)))</f>
        <v/>
      </c>
      <c r="R239" s="14" t="str">
        <f aca="false">IF($D239&lt;&gt;1,"",IF($G239="ROKS",$L239+$P239,IF($AI239=1,0,MAX($N239,$L239-$P239))))</f>
        <v/>
      </c>
      <c r="S239" s="14" t="str">
        <f aca="false">IF($D239&lt;&gt;1,"",IF($G239="ROKS",$M239+$Q239,IF($AI239=1,0,MAX($O239,$M239-$Q239))))</f>
        <v/>
      </c>
      <c r="T239" s="14" t="str">
        <f aca="false">IF($D239&lt;&gt;1,"",IF($AI239=1,0,MAX($J239,ROUNDUP(MAX($R239/$H239,$S239/$I239),0))))</f>
        <v/>
      </c>
      <c r="U239" s="14" t="str">
        <f aca="false">IF($D239&lt;&gt;1,"",IF(p_mode="Nœud",$T239*$H239,$R239))</f>
        <v/>
      </c>
      <c r="V239" s="14" t="str">
        <f aca="false">IF($D239&lt;&gt;1,"",IF(p_mode="Nœud",$T239*$I239,$S239))</f>
        <v/>
      </c>
      <c r="W239" s="84" t="str">
        <f aca="false">IF($D239&lt;&gt;1,"",IF(p_mode="Nœud",$T239*$K239,$R239*IF($G239="IKS",p_iks_cpu,p_roks_cpu)+$S239*IF($G239="IKS",p_iks_ram,p_roks_ram))*p_facteur)</f>
        <v/>
      </c>
      <c r="X239" s="14" t="str">
        <f aca="false">IF($D239&lt;&gt;1,"",IF($G239="ROKS",$R239,IF($AI239=1,0,MAX($N239,$L239-SUMIFS(TblApplications[CPU IKS libérable (vCPU)],TblApplications[Cluster IKS source],$F239,TblApplications[Action],"À migrer",TblApplications[Mois prov (calc)],"&lt;="&amp;$E239)-SUMIFS(TblApplications[CPU IKS libérable (vCPU)],TblApplications[Cluster IKS source],$F239,TblApplications[Action],"À décommissionner",TblApplications[Mois lib (calc)],"&lt;="&amp;$E239)))))</f>
        <v/>
      </c>
      <c r="Y239" s="14" t="str">
        <f aca="false">IF($D239&lt;&gt;1,"",IF($G239="ROKS",$S239,IF($AI239=1,0,MAX($O239,$M239-SUMIFS(TblApplications[RAM IKS libérable (Go)],TblApplications[Cluster IKS source],$F239,TblApplications[Action],"À migrer",TblApplications[Mois prov (calc)],"&lt;="&amp;$E239)-SUMIFS(TblApplications[RAM IKS libérable (Go)],TblApplications[Cluster IKS source],$F239,TblApplications[Action],"À décommissionner",TblApplications[Mois lib (calc)],"&lt;="&amp;$E239)))))</f>
        <v/>
      </c>
      <c r="Z239" s="14" t="str">
        <f aca="false">IF($D239&lt;&gt;1,"",IF($AI239=1,0,MAX($J239,ROUNDUP(MAX($X239/$H239,$Y239/$I239),0))))</f>
        <v/>
      </c>
      <c r="AA239" s="84" t="str">
        <f aca="false">IF($D239&lt;&gt;1,"",IF(p_mode="Nœud",$Z239*$K239,$X239*IF($G239="IKS",p_iks_cpu,p_roks_cpu)+$Y239*IF($G239="IKS",p_iks_ram,p_roks_ram))*p_facteur)</f>
        <v/>
      </c>
      <c r="AB239" s="14" t="str">
        <f aca="false">IF($D239&lt;&gt;1,"",MAX($J239,ROUNDUP(MAX($L239/$H239,$M239/$I239),0)))</f>
        <v/>
      </c>
      <c r="AC239" s="84" t="str">
        <f aca="false">IF($D239&lt;&gt;1,"",IF(p_mode="Nœud",$AB239*$K239,$L239*IF($G239="IKS",p_iks_cpu,p_roks_cpu)+$M239*IF($G239="IKS",p_iks_ram,p_roks_ram))*p_facteur)</f>
        <v/>
      </c>
      <c r="AD239" s="14" t="str">
        <f aca="false">IF($D239&lt;&gt;1,"",IF(AND($G239="IKS",$AI239&lt;&gt;1,OR($L239-$P239&lt;$N239,$M239-$Q239&lt;$O239)),1,0))</f>
        <v/>
      </c>
      <c r="AE239" s="14" t="str">
        <f aca="false">IF($D239&lt;&gt;1,"",IF(AND($G239="ROKS",$T239&gt;p_maxworkers),1,0))</f>
        <v/>
      </c>
      <c r="AF239" s="14" t="str">
        <f aca="false">IF($D239&lt;&gt;1,"",IF(INDEX(TblClusters[Environnement],$B239)="","(vide)",INDEX(TblClusters[Environnement],$B239)))</f>
        <v/>
      </c>
      <c r="AG239" s="14" t="str">
        <f aca="false">IF($D239&lt;&gt;1,"",$R239+p_poidsram*$S239)</f>
        <v/>
      </c>
      <c r="AH239" s="14" t="str">
        <f aca="false">IF($D239&lt;&gt;1,"",IFERROR($W239/$AG239,0))</f>
        <v/>
      </c>
      <c r="AI239" s="14" t="str">
        <f aca="false">IF($D239&lt;&gt;1,"",IF(AND($G239="IKS",ISNUMBER(INDEX(TblClusters[Fermeture retenue],$B239))),IF($E239&gt;=INDEX(TblClusters[Fermeture retenue],$B239),1,0),0))</f>
        <v/>
      </c>
    </row>
    <row r="240" customFormat="false" ht="15" hidden="false" customHeight="false" outlineLevel="0" collapsed="false">
      <c r="A240" s="14" t="n">
        <v>235</v>
      </c>
      <c r="B240" s="14" t="n">
        <f aca="false">INT(($A240-1)/36)+1</f>
        <v>7</v>
      </c>
      <c r="C240" s="14" t="n">
        <f aca="false">MOD($A240-1,36)+1</f>
        <v>19</v>
      </c>
      <c r="D240" s="14" t="n">
        <f aca="false">IF($C240&gt;p_horizon,0,IFERROR(IF(AND(INDEX(TblClusters[Cluster],$B240)&lt;&gt;"",ISNUMBER(INDEX(TblClusters[CPU initial (vCPU)],$B240)),ISNUMBER(INDEX(TblClusters[CPU min (vCPU)],$B240)),OR(INDEX(TblClusters[Plateforme],$B240)="IKS",INDEX(TblClusters[Plateforme],$B240)="ROKS")),1,0),0))</f>
        <v>0</v>
      </c>
      <c r="E240" s="83" t="str">
        <f aca="false">IF($D240=1,EDATE(p_debut,$C240-1),"")</f>
        <v/>
      </c>
      <c r="F240" s="14" t="str">
        <f aca="false">IF($D240=1,INDEX(TblClusters[Cluster],$B240),"")</f>
        <v/>
      </c>
      <c r="G240" s="14" t="str">
        <f aca="false">IF($D240=1,INDEX(TblClusters[Plateforme],$B240),"")</f>
        <v/>
      </c>
      <c r="H240" s="14" t="str">
        <f aca="false">IF($D240=1,INDEX(TblClusters[vCPU par nœud],$B240),"")</f>
        <v/>
      </c>
      <c r="I240" s="14" t="str">
        <f aca="false">IF($D240=1,INDEX(TblClusters[RAM par nœud (Go)],$B240),"")</f>
        <v/>
      </c>
      <c r="J240" s="14" t="str">
        <f aca="false">IF($D240=1,INDEX(TblClusters[Workers min],$B240),"")</f>
        <v/>
      </c>
      <c r="K240" s="84" t="str">
        <f aca="false">IF($D240=1,INDEX(TblClusters[Tarif par nœud],$B240),"")</f>
        <v/>
      </c>
      <c r="L240" s="14" t="str">
        <f aca="false">IF($D240=1,INDEX(TblClusters[CPU initial (vCPU)],$B240),"")</f>
        <v/>
      </c>
      <c r="M240" s="14" t="str">
        <f aca="false">IF($D240=1,INDEX(TblClusters[RAM initiale (Go)],$B240),"")</f>
        <v/>
      </c>
      <c r="N240" s="14" t="str">
        <f aca="false">IF($D240=1,INDEX(TblClusters[CPU min (vCPU)],$B240),"")</f>
        <v/>
      </c>
      <c r="O240" s="14" t="str">
        <f aca="false">IF($D240=1,INDEX(TblClusters[RAM min (Go)],$B240),"")</f>
        <v/>
      </c>
      <c r="P240" s="14" t="str">
        <f aca="false">IF($D240&lt;&gt;1,"",IF($G240="ROKS",SUMIFS(TblApplications[Besoin ROKS CPU (vCPU)],TblApplications[Cluster ROKS cible],$F240,TblApplications[Action],"À migrer",TblApplications[Déjà incluse ROKS],"Non",TblApplications[Mois prov (calc)],"&lt;="&amp;$E240),SUMIFS(TblApplications[CPU IKS libérable (vCPU)],TblApplications[Cluster IKS source],$F240,TblApplications[Mois lib (calc)],"&lt;="&amp;$E240)))</f>
        <v/>
      </c>
      <c r="Q240" s="14" t="str">
        <f aca="false">IF($D240&lt;&gt;1,"",IF($G240="ROKS",SUMIFS(TblApplications[Besoin ROKS RAM (Go)],TblApplications[Cluster ROKS cible],$F240,TblApplications[Action],"À migrer",TblApplications[Déjà incluse ROKS],"Non",TblApplications[Mois prov (calc)],"&lt;="&amp;$E240),SUMIFS(TblApplications[RAM IKS libérable (Go)],TblApplications[Cluster IKS source],$F240,TblApplications[Mois lib (calc)],"&lt;="&amp;$E240)))</f>
        <v/>
      </c>
      <c r="R240" s="14" t="str">
        <f aca="false">IF($D240&lt;&gt;1,"",IF($G240="ROKS",$L240+$P240,IF($AI240=1,0,MAX($N240,$L240-$P240))))</f>
        <v/>
      </c>
      <c r="S240" s="14" t="str">
        <f aca="false">IF($D240&lt;&gt;1,"",IF($G240="ROKS",$M240+$Q240,IF($AI240=1,0,MAX($O240,$M240-$Q240))))</f>
        <v/>
      </c>
      <c r="T240" s="14" t="str">
        <f aca="false">IF($D240&lt;&gt;1,"",IF($AI240=1,0,MAX($J240,ROUNDUP(MAX($R240/$H240,$S240/$I240),0))))</f>
        <v/>
      </c>
      <c r="U240" s="14" t="str">
        <f aca="false">IF($D240&lt;&gt;1,"",IF(p_mode="Nœud",$T240*$H240,$R240))</f>
        <v/>
      </c>
      <c r="V240" s="14" t="str">
        <f aca="false">IF($D240&lt;&gt;1,"",IF(p_mode="Nœud",$T240*$I240,$S240))</f>
        <v/>
      </c>
      <c r="W240" s="84" t="str">
        <f aca="false">IF($D240&lt;&gt;1,"",IF(p_mode="Nœud",$T240*$K240,$R240*IF($G240="IKS",p_iks_cpu,p_roks_cpu)+$S240*IF($G240="IKS",p_iks_ram,p_roks_ram))*p_facteur)</f>
        <v/>
      </c>
      <c r="X240" s="14" t="str">
        <f aca="false">IF($D240&lt;&gt;1,"",IF($G240="ROKS",$R240,IF($AI240=1,0,MAX($N240,$L240-SUMIFS(TblApplications[CPU IKS libérable (vCPU)],TblApplications[Cluster IKS source],$F240,TblApplications[Action],"À migrer",TblApplications[Mois prov (calc)],"&lt;="&amp;$E240)-SUMIFS(TblApplications[CPU IKS libérable (vCPU)],TblApplications[Cluster IKS source],$F240,TblApplications[Action],"À décommissionner",TblApplications[Mois lib (calc)],"&lt;="&amp;$E240)))))</f>
        <v/>
      </c>
      <c r="Y240" s="14" t="str">
        <f aca="false">IF($D240&lt;&gt;1,"",IF($G240="ROKS",$S240,IF($AI240=1,0,MAX($O240,$M240-SUMIFS(TblApplications[RAM IKS libérable (Go)],TblApplications[Cluster IKS source],$F240,TblApplications[Action],"À migrer",TblApplications[Mois prov (calc)],"&lt;="&amp;$E240)-SUMIFS(TblApplications[RAM IKS libérable (Go)],TblApplications[Cluster IKS source],$F240,TblApplications[Action],"À décommissionner",TblApplications[Mois lib (calc)],"&lt;="&amp;$E240)))))</f>
        <v/>
      </c>
      <c r="Z240" s="14" t="str">
        <f aca="false">IF($D240&lt;&gt;1,"",IF($AI240=1,0,MAX($J240,ROUNDUP(MAX($X240/$H240,$Y240/$I240),0))))</f>
        <v/>
      </c>
      <c r="AA240" s="84" t="str">
        <f aca="false">IF($D240&lt;&gt;1,"",IF(p_mode="Nœud",$Z240*$K240,$X240*IF($G240="IKS",p_iks_cpu,p_roks_cpu)+$Y240*IF($G240="IKS",p_iks_ram,p_roks_ram))*p_facteur)</f>
        <v/>
      </c>
      <c r="AB240" s="14" t="str">
        <f aca="false">IF($D240&lt;&gt;1,"",MAX($J240,ROUNDUP(MAX($L240/$H240,$M240/$I240),0)))</f>
        <v/>
      </c>
      <c r="AC240" s="84" t="str">
        <f aca="false">IF($D240&lt;&gt;1,"",IF(p_mode="Nœud",$AB240*$K240,$L240*IF($G240="IKS",p_iks_cpu,p_roks_cpu)+$M240*IF($G240="IKS",p_iks_ram,p_roks_ram))*p_facteur)</f>
        <v/>
      </c>
      <c r="AD240" s="14" t="str">
        <f aca="false">IF($D240&lt;&gt;1,"",IF(AND($G240="IKS",$AI240&lt;&gt;1,OR($L240-$P240&lt;$N240,$M240-$Q240&lt;$O240)),1,0))</f>
        <v/>
      </c>
      <c r="AE240" s="14" t="str">
        <f aca="false">IF($D240&lt;&gt;1,"",IF(AND($G240="ROKS",$T240&gt;p_maxworkers),1,0))</f>
        <v/>
      </c>
      <c r="AF240" s="14" t="str">
        <f aca="false">IF($D240&lt;&gt;1,"",IF(INDEX(TblClusters[Environnement],$B240)="","(vide)",INDEX(TblClusters[Environnement],$B240)))</f>
        <v/>
      </c>
      <c r="AG240" s="14" t="str">
        <f aca="false">IF($D240&lt;&gt;1,"",$R240+p_poidsram*$S240)</f>
        <v/>
      </c>
      <c r="AH240" s="14" t="str">
        <f aca="false">IF($D240&lt;&gt;1,"",IFERROR($W240/$AG240,0))</f>
        <v/>
      </c>
      <c r="AI240" s="14" t="str">
        <f aca="false">IF($D240&lt;&gt;1,"",IF(AND($G240="IKS",ISNUMBER(INDEX(TblClusters[Fermeture retenue],$B240))),IF($E240&gt;=INDEX(TblClusters[Fermeture retenue],$B240),1,0),0))</f>
        <v/>
      </c>
    </row>
    <row r="241" customFormat="false" ht="15" hidden="false" customHeight="false" outlineLevel="0" collapsed="false">
      <c r="A241" s="14" t="n">
        <v>236</v>
      </c>
      <c r="B241" s="14" t="n">
        <f aca="false">INT(($A241-1)/36)+1</f>
        <v>7</v>
      </c>
      <c r="C241" s="14" t="n">
        <f aca="false">MOD($A241-1,36)+1</f>
        <v>20</v>
      </c>
      <c r="D241" s="14" t="n">
        <f aca="false">IF($C241&gt;p_horizon,0,IFERROR(IF(AND(INDEX(TblClusters[Cluster],$B241)&lt;&gt;"",ISNUMBER(INDEX(TblClusters[CPU initial (vCPU)],$B241)),ISNUMBER(INDEX(TblClusters[CPU min (vCPU)],$B241)),OR(INDEX(TblClusters[Plateforme],$B241)="IKS",INDEX(TblClusters[Plateforme],$B241)="ROKS")),1,0),0))</f>
        <v>0</v>
      </c>
      <c r="E241" s="83" t="str">
        <f aca="false">IF($D241=1,EDATE(p_debut,$C241-1),"")</f>
        <v/>
      </c>
      <c r="F241" s="14" t="str">
        <f aca="false">IF($D241=1,INDEX(TblClusters[Cluster],$B241),"")</f>
        <v/>
      </c>
      <c r="G241" s="14" t="str">
        <f aca="false">IF($D241=1,INDEX(TblClusters[Plateforme],$B241),"")</f>
        <v/>
      </c>
      <c r="H241" s="14" t="str">
        <f aca="false">IF($D241=1,INDEX(TblClusters[vCPU par nœud],$B241),"")</f>
        <v/>
      </c>
      <c r="I241" s="14" t="str">
        <f aca="false">IF($D241=1,INDEX(TblClusters[RAM par nœud (Go)],$B241),"")</f>
        <v/>
      </c>
      <c r="J241" s="14" t="str">
        <f aca="false">IF($D241=1,INDEX(TblClusters[Workers min],$B241),"")</f>
        <v/>
      </c>
      <c r="K241" s="84" t="str">
        <f aca="false">IF($D241=1,INDEX(TblClusters[Tarif par nœud],$B241),"")</f>
        <v/>
      </c>
      <c r="L241" s="14" t="str">
        <f aca="false">IF($D241=1,INDEX(TblClusters[CPU initial (vCPU)],$B241),"")</f>
        <v/>
      </c>
      <c r="M241" s="14" t="str">
        <f aca="false">IF($D241=1,INDEX(TblClusters[RAM initiale (Go)],$B241),"")</f>
        <v/>
      </c>
      <c r="N241" s="14" t="str">
        <f aca="false">IF($D241=1,INDEX(TblClusters[CPU min (vCPU)],$B241),"")</f>
        <v/>
      </c>
      <c r="O241" s="14" t="str">
        <f aca="false">IF($D241=1,INDEX(TblClusters[RAM min (Go)],$B241),"")</f>
        <v/>
      </c>
      <c r="P241" s="14" t="str">
        <f aca="false">IF($D241&lt;&gt;1,"",IF($G241="ROKS",SUMIFS(TblApplications[Besoin ROKS CPU (vCPU)],TblApplications[Cluster ROKS cible],$F241,TblApplications[Action],"À migrer",TblApplications[Déjà incluse ROKS],"Non",TblApplications[Mois prov (calc)],"&lt;="&amp;$E241),SUMIFS(TblApplications[CPU IKS libérable (vCPU)],TblApplications[Cluster IKS source],$F241,TblApplications[Mois lib (calc)],"&lt;="&amp;$E241)))</f>
        <v/>
      </c>
      <c r="Q241" s="14" t="str">
        <f aca="false">IF($D241&lt;&gt;1,"",IF($G241="ROKS",SUMIFS(TblApplications[Besoin ROKS RAM (Go)],TblApplications[Cluster ROKS cible],$F241,TblApplications[Action],"À migrer",TblApplications[Déjà incluse ROKS],"Non",TblApplications[Mois prov (calc)],"&lt;="&amp;$E241),SUMIFS(TblApplications[RAM IKS libérable (Go)],TblApplications[Cluster IKS source],$F241,TblApplications[Mois lib (calc)],"&lt;="&amp;$E241)))</f>
        <v/>
      </c>
      <c r="R241" s="14" t="str">
        <f aca="false">IF($D241&lt;&gt;1,"",IF($G241="ROKS",$L241+$P241,IF($AI241=1,0,MAX($N241,$L241-$P241))))</f>
        <v/>
      </c>
      <c r="S241" s="14" t="str">
        <f aca="false">IF($D241&lt;&gt;1,"",IF($G241="ROKS",$M241+$Q241,IF($AI241=1,0,MAX($O241,$M241-$Q241))))</f>
        <v/>
      </c>
      <c r="T241" s="14" t="str">
        <f aca="false">IF($D241&lt;&gt;1,"",IF($AI241=1,0,MAX($J241,ROUNDUP(MAX($R241/$H241,$S241/$I241),0))))</f>
        <v/>
      </c>
      <c r="U241" s="14" t="str">
        <f aca="false">IF($D241&lt;&gt;1,"",IF(p_mode="Nœud",$T241*$H241,$R241))</f>
        <v/>
      </c>
      <c r="V241" s="14" t="str">
        <f aca="false">IF($D241&lt;&gt;1,"",IF(p_mode="Nœud",$T241*$I241,$S241))</f>
        <v/>
      </c>
      <c r="W241" s="84" t="str">
        <f aca="false">IF($D241&lt;&gt;1,"",IF(p_mode="Nœud",$T241*$K241,$R241*IF($G241="IKS",p_iks_cpu,p_roks_cpu)+$S241*IF($G241="IKS",p_iks_ram,p_roks_ram))*p_facteur)</f>
        <v/>
      </c>
      <c r="X241" s="14" t="str">
        <f aca="false">IF($D241&lt;&gt;1,"",IF($G241="ROKS",$R241,IF($AI241=1,0,MAX($N241,$L241-SUMIFS(TblApplications[CPU IKS libérable (vCPU)],TblApplications[Cluster IKS source],$F241,TblApplications[Action],"À migrer",TblApplications[Mois prov (calc)],"&lt;="&amp;$E241)-SUMIFS(TblApplications[CPU IKS libérable (vCPU)],TblApplications[Cluster IKS source],$F241,TblApplications[Action],"À décommissionner",TblApplications[Mois lib (calc)],"&lt;="&amp;$E241)))))</f>
        <v/>
      </c>
      <c r="Y241" s="14" t="str">
        <f aca="false">IF($D241&lt;&gt;1,"",IF($G241="ROKS",$S241,IF($AI241=1,0,MAX($O241,$M241-SUMIFS(TblApplications[RAM IKS libérable (Go)],TblApplications[Cluster IKS source],$F241,TblApplications[Action],"À migrer",TblApplications[Mois prov (calc)],"&lt;="&amp;$E241)-SUMIFS(TblApplications[RAM IKS libérable (Go)],TblApplications[Cluster IKS source],$F241,TblApplications[Action],"À décommissionner",TblApplications[Mois lib (calc)],"&lt;="&amp;$E241)))))</f>
        <v/>
      </c>
      <c r="Z241" s="14" t="str">
        <f aca="false">IF($D241&lt;&gt;1,"",IF($AI241=1,0,MAX($J241,ROUNDUP(MAX($X241/$H241,$Y241/$I241),0))))</f>
        <v/>
      </c>
      <c r="AA241" s="84" t="str">
        <f aca="false">IF($D241&lt;&gt;1,"",IF(p_mode="Nœud",$Z241*$K241,$X241*IF($G241="IKS",p_iks_cpu,p_roks_cpu)+$Y241*IF($G241="IKS",p_iks_ram,p_roks_ram))*p_facteur)</f>
        <v/>
      </c>
      <c r="AB241" s="14" t="str">
        <f aca="false">IF($D241&lt;&gt;1,"",MAX($J241,ROUNDUP(MAX($L241/$H241,$M241/$I241),0)))</f>
        <v/>
      </c>
      <c r="AC241" s="84" t="str">
        <f aca="false">IF($D241&lt;&gt;1,"",IF(p_mode="Nœud",$AB241*$K241,$L241*IF($G241="IKS",p_iks_cpu,p_roks_cpu)+$M241*IF($G241="IKS",p_iks_ram,p_roks_ram))*p_facteur)</f>
        <v/>
      </c>
      <c r="AD241" s="14" t="str">
        <f aca="false">IF($D241&lt;&gt;1,"",IF(AND($G241="IKS",$AI241&lt;&gt;1,OR($L241-$P241&lt;$N241,$M241-$Q241&lt;$O241)),1,0))</f>
        <v/>
      </c>
      <c r="AE241" s="14" t="str">
        <f aca="false">IF($D241&lt;&gt;1,"",IF(AND($G241="ROKS",$T241&gt;p_maxworkers),1,0))</f>
        <v/>
      </c>
      <c r="AF241" s="14" t="str">
        <f aca="false">IF($D241&lt;&gt;1,"",IF(INDEX(TblClusters[Environnement],$B241)="","(vide)",INDEX(TblClusters[Environnement],$B241)))</f>
        <v/>
      </c>
      <c r="AG241" s="14" t="str">
        <f aca="false">IF($D241&lt;&gt;1,"",$R241+p_poidsram*$S241)</f>
        <v/>
      </c>
      <c r="AH241" s="14" t="str">
        <f aca="false">IF($D241&lt;&gt;1,"",IFERROR($W241/$AG241,0))</f>
        <v/>
      </c>
      <c r="AI241" s="14" t="str">
        <f aca="false">IF($D241&lt;&gt;1,"",IF(AND($G241="IKS",ISNUMBER(INDEX(TblClusters[Fermeture retenue],$B241))),IF($E241&gt;=INDEX(TblClusters[Fermeture retenue],$B241),1,0),0))</f>
        <v/>
      </c>
    </row>
    <row r="242" customFormat="false" ht="15" hidden="false" customHeight="false" outlineLevel="0" collapsed="false">
      <c r="A242" s="14" t="n">
        <v>237</v>
      </c>
      <c r="B242" s="14" t="n">
        <f aca="false">INT(($A242-1)/36)+1</f>
        <v>7</v>
      </c>
      <c r="C242" s="14" t="n">
        <f aca="false">MOD($A242-1,36)+1</f>
        <v>21</v>
      </c>
      <c r="D242" s="14" t="n">
        <f aca="false">IF($C242&gt;p_horizon,0,IFERROR(IF(AND(INDEX(TblClusters[Cluster],$B242)&lt;&gt;"",ISNUMBER(INDEX(TblClusters[CPU initial (vCPU)],$B242)),ISNUMBER(INDEX(TblClusters[CPU min (vCPU)],$B242)),OR(INDEX(TblClusters[Plateforme],$B242)="IKS",INDEX(TblClusters[Plateforme],$B242)="ROKS")),1,0),0))</f>
        <v>0</v>
      </c>
      <c r="E242" s="83" t="str">
        <f aca="false">IF($D242=1,EDATE(p_debut,$C242-1),"")</f>
        <v/>
      </c>
      <c r="F242" s="14" t="str">
        <f aca="false">IF($D242=1,INDEX(TblClusters[Cluster],$B242),"")</f>
        <v/>
      </c>
      <c r="G242" s="14" t="str">
        <f aca="false">IF($D242=1,INDEX(TblClusters[Plateforme],$B242),"")</f>
        <v/>
      </c>
      <c r="H242" s="14" t="str">
        <f aca="false">IF($D242=1,INDEX(TblClusters[vCPU par nœud],$B242),"")</f>
        <v/>
      </c>
      <c r="I242" s="14" t="str">
        <f aca="false">IF($D242=1,INDEX(TblClusters[RAM par nœud (Go)],$B242),"")</f>
        <v/>
      </c>
      <c r="J242" s="14" t="str">
        <f aca="false">IF($D242=1,INDEX(TblClusters[Workers min],$B242),"")</f>
        <v/>
      </c>
      <c r="K242" s="84" t="str">
        <f aca="false">IF($D242=1,INDEX(TblClusters[Tarif par nœud],$B242),"")</f>
        <v/>
      </c>
      <c r="L242" s="14" t="str">
        <f aca="false">IF($D242=1,INDEX(TblClusters[CPU initial (vCPU)],$B242),"")</f>
        <v/>
      </c>
      <c r="M242" s="14" t="str">
        <f aca="false">IF($D242=1,INDEX(TblClusters[RAM initiale (Go)],$B242),"")</f>
        <v/>
      </c>
      <c r="N242" s="14" t="str">
        <f aca="false">IF($D242=1,INDEX(TblClusters[CPU min (vCPU)],$B242),"")</f>
        <v/>
      </c>
      <c r="O242" s="14" t="str">
        <f aca="false">IF($D242=1,INDEX(TblClusters[RAM min (Go)],$B242),"")</f>
        <v/>
      </c>
      <c r="P242" s="14" t="str">
        <f aca="false">IF($D242&lt;&gt;1,"",IF($G242="ROKS",SUMIFS(TblApplications[Besoin ROKS CPU (vCPU)],TblApplications[Cluster ROKS cible],$F242,TblApplications[Action],"À migrer",TblApplications[Déjà incluse ROKS],"Non",TblApplications[Mois prov (calc)],"&lt;="&amp;$E242),SUMIFS(TblApplications[CPU IKS libérable (vCPU)],TblApplications[Cluster IKS source],$F242,TblApplications[Mois lib (calc)],"&lt;="&amp;$E242)))</f>
        <v/>
      </c>
      <c r="Q242" s="14" t="str">
        <f aca="false">IF($D242&lt;&gt;1,"",IF($G242="ROKS",SUMIFS(TblApplications[Besoin ROKS RAM (Go)],TblApplications[Cluster ROKS cible],$F242,TblApplications[Action],"À migrer",TblApplications[Déjà incluse ROKS],"Non",TblApplications[Mois prov (calc)],"&lt;="&amp;$E242),SUMIFS(TblApplications[RAM IKS libérable (Go)],TblApplications[Cluster IKS source],$F242,TblApplications[Mois lib (calc)],"&lt;="&amp;$E242)))</f>
        <v/>
      </c>
      <c r="R242" s="14" t="str">
        <f aca="false">IF($D242&lt;&gt;1,"",IF($G242="ROKS",$L242+$P242,IF($AI242=1,0,MAX($N242,$L242-$P242))))</f>
        <v/>
      </c>
      <c r="S242" s="14" t="str">
        <f aca="false">IF($D242&lt;&gt;1,"",IF($G242="ROKS",$M242+$Q242,IF($AI242=1,0,MAX($O242,$M242-$Q242))))</f>
        <v/>
      </c>
      <c r="T242" s="14" t="str">
        <f aca="false">IF($D242&lt;&gt;1,"",IF($AI242=1,0,MAX($J242,ROUNDUP(MAX($R242/$H242,$S242/$I242),0))))</f>
        <v/>
      </c>
      <c r="U242" s="14" t="str">
        <f aca="false">IF($D242&lt;&gt;1,"",IF(p_mode="Nœud",$T242*$H242,$R242))</f>
        <v/>
      </c>
      <c r="V242" s="14" t="str">
        <f aca="false">IF($D242&lt;&gt;1,"",IF(p_mode="Nœud",$T242*$I242,$S242))</f>
        <v/>
      </c>
      <c r="W242" s="84" t="str">
        <f aca="false">IF($D242&lt;&gt;1,"",IF(p_mode="Nœud",$T242*$K242,$R242*IF($G242="IKS",p_iks_cpu,p_roks_cpu)+$S242*IF($G242="IKS",p_iks_ram,p_roks_ram))*p_facteur)</f>
        <v/>
      </c>
      <c r="X242" s="14" t="str">
        <f aca="false">IF($D242&lt;&gt;1,"",IF($G242="ROKS",$R242,IF($AI242=1,0,MAX($N242,$L242-SUMIFS(TblApplications[CPU IKS libérable (vCPU)],TblApplications[Cluster IKS source],$F242,TblApplications[Action],"À migrer",TblApplications[Mois prov (calc)],"&lt;="&amp;$E242)-SUMIFS(TblApplications[CPU IKS libérable (vCPU)],TblApplications[Cluster IKS source],$F242,TblApplications[Action],"À décommissionner",TblApplications[Mois lib (calc)],"&lt;="&amp;$E242)))))</f>
        <v/>
      </c>
      <c r="Y242" s="14" t="str">
        <f aca="false">IF($D242&lt;&gt;1,"",IF($G242="ROKS",$S242,IF($AI242=1,0,MAX($O242,$M242-SUMIFS(TblApplications[RAM IKS libérable (Go)],TblApplications[Cluster IKS source],$F242,TblApplications[Action],"À migrer",TblApplications[Mois prov (calc)],"&lt;="&amp;$E242)-SUMIFS(TblApplications[RAM IKS libérable (Go)],TblApplications[Cluster IKS source],$F242,TblApplications[Action],"À décommissionner",TblApplications[Mois lib (calc)],"&lt;="&amp;$E242)))))</f>
        <v/>
      </c>
      <c r="Z242" s="14" t="str">
        <f aca="false">IF($D242&lt;&gt;1,"",IF($AI242=1,0,MAX($J242,ROUNDUP(MAX($X242/$H242,$Y242/$I242),0))))</f>
        <v/>
      </c>
      <c r="AA242" s="84" t="str">
        <f aca="false">IF($D242&lt;&gt;1,"",IF(p_mode="Nœud",$Z242*$K242,$X242*IF($G242="IKS",p_iks_cpu,p_roks_cpu)+$Y242*IF($G242="IKS",p_iks_ram,p_roks_ram))*p_facteur)</f>
        <v/>
      </c>
      <c r="AB242" s="14" t="str">
        <f aca="false">IF($D242&lt;&gt;1,"",MAX($J242,ROUNDUP(MAX($L242/$H242,$M242/$I242),0)))</f>
        <v/>
      </c>
      <c r="AC242" s="84" t="str">
        <f aca="false">IF($D242&lt;&gt;1,"",IF(p_mode="Nœud",$AB242*$K242,$L242*IF($G242="IKS",p_iks_cpu,p_roks_cpu)+$M242*IF($G242="IKS",p_iks_ram,p_roks_ram))*p_facteur)</f>
        <v/>
      </c>
      <c r="AD242" s="14" t="str">
        <f aca="false">IF($D242&lt;&gt;1,"",IF(AND($G242="IKS",$AI242&lt;&gt;1,OR($L242-$P242&lt;$N242,$M242-$Q242&lt;$O242)),1,0))</f>
        <v/>
      </c>
      <c r="AE242" s="14" t="str">
        <f aca="false">IF($D242&lt;&gt;1,"",IF(AND($G242="ROKS",$T242&gt;p_maxworkers),1,0))</f>
        <v/>
      </c>
      <c r="AF242" s="14" t="str">
        <f aca="false">IF($D242&lt;&gt;1,"",IF(INDEX(TblClusters[Environnement],$B242)="","(vide)",INDEX(TblClusters[Environnement],$B242)))</f>
        <v/>
      </c>
      <c r="AG242" s="14" t="str">
        <f aca="false">IF($D242&lt;&gt;1,"",$R242+p_poidsram*$S242)</f>
        <v/>
      </c>
      <c r="AH242" s="14" t="str">
        <f aca="false">IF($D242&lt;&gt;1,"",IFERROR($W242/$AG242,0))</f>
        <v/>
      </c>
      <c r="AI242" s="14" t="str">
        <f aca="false">IF($D242&lt;&gt;1,"",IF(AND($G242="IKS",ISNUMBER(INDEX(TblClusters[Fermeture retenue],$B242))),IF($E242&gt;=INDEX(TblClusters[Fermeture retenue],$B242),1,0),0))</f>
        <v/>
      </c>
    </row>
    <row r="243" customFormat="false" ht="15" hidden="false" customHeight="false" outlineLevel="0" collapsed="false">
      <c r="A243" s="14" t="n">
        <v>238</v>
      </c>
      <c r="B243" s="14" t="n">
        <f aca="false">INT(($A243-1)/36)+1</f>
        <v>7</v>
      </c>
      <c r="C243" s="14" t="n">
        <f aca="false">MOD($A243-1,36)+1</f>
        <v>22</v>
      </c>
      <c r="D243" s="14" t="n">
        <f aca="false">IF($C243&gt;p_horizon,0,IFERROR(IF(AND(INDEX(TblClusters[Cluster],$B243)&lt;&gt;"",ISNUMBER(INDEX(TblClusters[CPU initial (vCPU)],$B243)),ISNUMBER(INDEX(TblClusters[CPU min (vCPU)],$B243)),OR(INDEX(TblClusters[Plateforme],$B243)="IKS",INDEX(TblClusters[Plateforme],$B243)="ROKS")),1,0),0))</f>
        <v>0</v>
      </c>
      <c r="E243" s="83" t="str">
        <f aca="false">IF($D243=1,EDATE(p_debut,$C243-1),"")</f>
        <v/>
      </c>
      <c r="F243" s="14" t="str">
        <f aca="false">IF($D243=1,INDEX(TblClusters[Cluster],$B243),"")</f>
        <v/>
      </c>
      <c r="G243" s="14" t="str">
        <f aca="false">IF($D243=1,INDEX(TblClusters[Plateforme],$B243),"")</f>
        <v/>
      </c>
      <c r="H243" s="14" t="str">
        <f aca="false">IF($D243=1,INDEX(TblClusters[vCPU par nœud],$B243),"")</f>
        <v/>
      </c>
      <c r="I243" s="14" t="str">
        <f aca="false">IF($D243=1,INDEX(TblClusters[RAM par nœud (Go)],$B243),"")</f>
        <v/>
      </c>
      <c r="J243" s="14" t="str">
        <f aca="false">IF($D243=1,INDEX(TblClusters[Workers min],$B243),"")</f>
        <v/>
      </c>
      <c r="K243" s="84" t="str">
        <f aca="false">IF($D243=1,INDEX(TblClusters[Tarif par nœud],$B243),"")</f>
        <v/>
      </c>
      <c r="L243" s="14" t="str">
        <f aca="false">IF($D243=1,INDEX(TblClusters[CPU initial (vCPU)],$B243),"")</f>
        <v/>
      </c>
      <c r="M243" s="14" t="str">
        <f aca="false">IF($D243=1,INDEX(TblClusters[RAM initiale (Go)],$B243),"")</f>
        <v/>
      </c>
      <c r="N243" s="14" t="str">
        <f aca="false">IF($D243=1,INDEX(TblClusters[CPU min (vCPU)],$B243),"")</f>
        <v/>
      </c>
      <c r="O243" s="14" t="str">
        <f aca="false">IF($D243=1,INDEX(TblClusters[RAM min (Go)],$B243),"")</f>
        <v/>
      </c>
      <c r="P243" s="14" t="str">
        <f aca="false">IF($D243&lt;&gt;1,"",IF($G243="ROKS",SUMIFS(TblApplications[Besoin ROKS CPU (vCPU)],TblApplications[Cluster ROKS cible],$F243,TblApplications[Action],"À migrer",TblApplications[Déjà incluse ROKS],"Non",TblApplications[Mois prov (calc)],"&lt;="&amp;$E243),SUMIFS(TblApplications[CPU IKS libérable (vCPU)],TblApplications[Cluster IKS source],$F243,TblApplications[Mois lib (calc)],"&lt;="&amp;$E243)))</f>
        <v/>
      </c>
      <c r="Q243" s="14" t="str">
        <f aca="false">IF($D243&lt;&gt;1,"",IF($G243="ROKS",SUMIFS(TblApplications[Besoin ROKS RAM (Go)],TblApplications[Cluster ROKS cible],$F243,TblApplications[Action],"À migrer",TblApplications[Déjà incluse ROKS],"Non",TblApplications[Mois prov (calc)],"&lt;="&amp;$E243),SUMIFS(TblApplications[RAM IKS libérable (Go)],TblApplications[Cluster IKS source],$F243,TblApplications[Mois lib (calc)],"&lt;="&amp;$E243)))</f>
        <v/>
      </c>
      <c r="R243" s="14" t="str">
        <f aca="false">IF($D243&lt;&gt;1,"",IF($G243="ROKS",$L243+$P243,IF($AI243=1,0,MAX($N243,$L243-$P243))))</f>
        <v/>
      </c>
      <c r="S243" s="14" t="str">
        <f aca="false">IF($D243&lt;&gt;1,"",IF($G243="ROKS",$M243+$Q243,IF($AI243=1,0,MAX($O243,$M243-$Q243))))</f>
        <v/>
      </c>
      <c r="T243" s="14" t="str">
        <f aca="false">IF($D243&lt;&gt;1,"",IF($AI243=1,0,MAX($J243,ROUNDUP(MAX($R243/$H243,$S243/$I243),0))))</f>
        <v/>
      </c>
      <c r="U243" s="14" t="str">
        <f aca="false">IF($D243&lt;&gt;1,"",IF(p_mode="Nœud",$T243*$H243,$R243))</f>
        <v/>
      </c>
      <c r="V243" s="14" t="str">
        <f aca="false">IF($D243&lt;&gt;1,"",IF(p_mode="Nœud",$T243*$I243,$S243))</f>
        <v/>
      </c>
      <c r="W243" s="84" t="str">
        <f aca="false">IF($D243&lt;&gt;1,"",IF(p_mode="Nœud",$T243*$K243,$R243*IF($G243="IKS",p_iks_cpu,p_roks_cpu)+$S243*IF($G243="IKS",p_iks_ram,p_roks_ram))*p_facteur)</f>
        <v/>
      </c>
      <c r="X243" s="14" t="str">
        <f aca="false">IF($D243&lt;&gt;1,"",IF($G243="ROKS",$R243,IF($AI243=1,0,MAX($N243,$L243-SUMIFS(TblApplications[CPU IKS libérable (vCPU)],TblApplications[Cluster IKS source],$F243,TblApplications[Action],"À migrer",TblApplications[Mois prov (calc)],"&lt;="&amp;$E243)-SUMIFS(TblApplications[CPU IKS libérable (vCPU)],TblApplications[Cluster IKS source],$F243,TblApplications[Action],"À décommissionner",TblApplications[Mois lib (calc)],"&lt;="&amp;$E243)))))</f>
        <v/>
      </c>
      <c r="Y243" s="14" t="str">
        <f aca="false">IF($D243&lt;&gt;1,"",IF($G243="ROKS",$S243,IF($AI243=1,0,MAX($O243,$M243-SUMIFS(TblApplications[RAM IKS libérable (Go)],TblApplications[Cluster IKS source],$F243,TblApplications[Action],"À migrer",TblApplications[Mois prov (calc)],"&lt;="&amp;$E243)-SUMIFS(TblApplications[RAM IKS libérable (Go)],TblApplications[Cluster IKS source],$F243,TblApplications[Action],"À décommissionner",TblApplications[Mois lib (calc)],"&lt;="&amp;$E243)))))</f>
        <v/>
      </c>
      <c r="Z243" s="14" t="str">
        <f aca="false">IF($D243&lt;&gt;1,"",IF($AI243=1,0,MAX($J243,ROUNDUP(MAX($X243/$H243,$Y243/$I243),0))))</f>
        <v/>
      </c>
      <c r="AA243" s="84" t="str">
        <f aca="false">IF($D243&lt;&gt;1,"",IF(p_mode="Nœud",$Z243*$K243,$X243*IF($G243="IKS",p_iks_cpu,p_roks_cpu)+$Y243*IF($G243="IKS",p_iks_ram,p_roks_ram))*p_facteur)</f>
        <v/>
      </c>
      <c r="AB243" s="14" t="str">
        <f aca="false">IF($D243&lt;&gt;1,"",MAX($J243,ROUNDUP(MAX($L243/$H243,$M243/$I243),0)))</f>
        <v/>
      </c>
      <c r="AC243" s="84" t="str">
        <f aca="false">IF($D243&lt;&gt;1,"",IF(p_mode="Nœud",$AB243*$K243,$L243*IF($G243="IKS",p_iks_cpu,p_roks_cpu)+$M243*IF($G243="IKS",p_iks_ram,p_roks_ram))*p_facteur)</f>
        <v/>
      </c>
      <c r="AD243" s="14" t="str">
        <f aca="false">IF($D243&lt;&gt;1,"",IF(AND($G243="IKS",$AI243&lt;&gt;1,OR($L243-$P243&lt;$N243,$M243-$Q243&lt;$O243)),1,0))</f>
        <v/>
      </c>
      <c r="AE243" s="14" t="str">
        <f aca="false">IF($D243&lt;&gt;1,"",IF(AND($G243="ROKS",$T243&gt;p_maxworkers),1,0))</f>
        <v/>
      </c>
      <c r="AF243" s="14" t="str">
        <f aca="false">IF($D243&lt;&gt;1,"",IF(INDEX(TblClusters[Environnement],$B243)="","(vide)",INDEX(TblClusters[Environnement],$B243)))</f>
        <v/>
      </c>
      <c r="AG243" s="14" t="str">
        <f aca="false">IF($D243&lt;&gt;1,"",$R243+p_poidsram*$S243)</f>
        <v/>
      </c>
      <c r="AH243" s="14" t="str">
        <f aca="false">IF($D243&lt;&gt;1,"",IFERROR($W243/$AG243,0))</f>
        <v/>
      </c>
      <c r="AI243" s="14" t="str">
        <f aca="false">IF($D243&lt;&gt;1,"",IF(AND($G243="IKS",ISNUMBER(INDEX(TblClusters[Fermeture retenue],$B243))),IF($E243&gt;=INDEX(TblClusters[Fermeture retenue],$B243),1,0),0))</f>
        <v/>
      </c>
    </row>
    <row r="244" customFormat="false" ht="15" hidden="false" customHeight="false" outlineLevel="0" collapsed="false">
      <c r="A244" s="14" t="n">
        <v>239</v>
      </c>
      <c r="B244" s="14" t="n">
        <f aca="false">INT(($A244-1)/36)+1</f>
        <v>7</v>
      </c>
      <c r="C244" s="14" t="n">
        <f aca="false">MOD($A244-1,36)+1</f>
        <v>23</v>
      </c>
      <c r="D244" s="14" t="n">
        <f aca="false">IF($C244&gt;p_horizon,0,IFERROR(IF(AND(INDEX(TblClusters[Cluster],$B244)&lt;&gt;"",ISNUMBER(INDEX(TblClusters[CPU initial (vCPU)],$B244)),ISNUMBER(INDEX(TblClusters[CPU min (vCPU)],$B244)),OR(INDEX(TblClusters[Plateforme],$B244)="IKS",INDEX(TblClusters[Plateforme],$B244)="ROKS")),1,0),0))</f>
        <v>0</v>
      </c>
      <c r="E244" s="83" t="str">
        <f aca="false">IF($D244=1,EDATE(p_debut,$C244-1),"")</f>
        <v/>
      </c>
      <c r="F244" s="14" t="str">
        <f aca="false">IF($D244=1,INDEX(TblClusters[Cluster],$B244),"")</f>
        <v/>
      </c>
      <c r="G244" s="14" t="str">
        <f aca="false">IF($D244=1,INDEX(TblClusters[Plateforme],$B244),"")</f>
        <v/>
      </c>
      <c r="H244" s="14" t="str">
        <f aca="false">IF($D244=1,INDEX(TblClusters[vCPU par nœud],$B244),"")</f>
        <v/>
      </c>
      <c r="I244" s="14" t="str">
        <f aca="false">IF($D244=1,INDEX(TblClusters[RAM par nœud (Go)],$B244),"")</f>
        <v/>
      </c>
      <c r="J244" s="14" t="str">
        <f aca="false">IF($D244=1,INDEX(TblClusters[Workers min],$B244),"")</f>
        <v/>
      </c>
      <c r="K244" s="84" t="str">
        <f aca="false">IF($D244=1,INDEX(TblClusters[Tarif par nœud],$B244),"")</f>
        <v/>
      </c>
      <c r="L244" s="14" t="str">
        <f aca="false">IF($D244=1,INDEX(TblClusters[CPU initial (vCPU)],$B244),"")</f>
        <v/>
      </c>
      <c r="M244" s="14" t="str">
        <f aca="false">IF($D244=1,INDEX(TblClusters[RAM initiale (Go)],$B244),"")</f>
        <v/>
      </c>
      <c r="N244" s="14" t="str">
        <f aca="false">IF($D244=1,INDEX(TblClusters[CPU min (vCPU)],$B244),"")</f>
        <v/>
      </c>
      <c r="O244" s="14" t="str">
        <f aca="false">IF($D244=1,INDEX(TblClusters[RAM min (Go)],$B244),"")</f>
        <v/>
      </c>
      <c r="P244" s="14" t="str">
        <f aca="false">IF($D244&lt;&gt;1,"",IF($G244="ROKS",SUMIFS(TblApplications[Besoin ROKS CPU (vCPU)],TblApplications[Cluster ROKS cible],$F244,TblApplications[Action],"À migrer",TblApplications[Déjà incluse ROKS],"Non",TblApplications[Mois prov (calc)],"&lt;="&amp;$E244),SUMIFS(TblApplications[CPU IKS libérable (vCPU)],TblApplications[Cluster IKS source],$F244,TblApplications[Mois lib (calc)],"&lt;="&amp;$E244)))</f>
        <v/>
      </c>
      <c r="Q244" s="14" t="str">
        <f aca="false">IF($D244&lt;&gt;1,"",IF($G244="ROKS",SUMIFS(TblApplications[Besoin ROKS RAM (Go)],TblApplications[Cluster ROKS cible],$F244,TblApplications[Action],"À migrer",TblApplications[Déjà incluse ROKS],"Non",TblApplications[Mois prov (calc)],"&lt;="&amp;$E244),SUMIFS(TblApplications[RAM IKS libérable (Go)],TblApplications[Cluster IKS source],$F244,TblApplications[Mois lib (calc)],"&lt;="&amp;$E244)))</f>
        <v/>
      </c>
      <c r="R244" s="14" t="str">
        <f aca="false">IF($D244&lt;&gt;1,"",IF($G244="ROKS",$L244+$P244,IF($AI244=1,0,MAX($N244,$L244-$P244))))</f>
        <v/>
      </c>
      <c r="S244" s="14" t="str">
        <f aca="false">IF($D244&lt;&gt;1,"",IF($G244="ROKS",$M244+$Q244,IF($AI244=1,0,MAX($O244,$M244-$Q244))))</f>
        <v/>
      </c>
      <c r="T244" s="14" t="str">
        <f aca="false">IF($D244&lt;&gt;1,"",IF($AI244=1,0,MAX($J244,ROUNDUP(MAX($R244/$H244,$S244/$I244),0))))</f>
        <v/>
      </c>
      <c r="U244" s="14" t="str">
        <f aca="false">IF($D244&lt;&gt;1,"",IF(p_mode="Nœud",$T244*$H244,$R244))</f>
        <v/>
      </c>
      <c r="V244" s="14" t="str">
        <f aca="false">IF($D244&lt;&gt;1,"",IF(p_mode="Nœud",$T244*$I244,$S244))</f>
        <v/>
      </c>
      <c r="W244" s="84" t="str">
        <f aca="false">IF($D244&lt;&gt;1,"",IF(p_mode="Nœud",$T244*$K244,$R244*IF($G244="IKS",p_iks_cpu,p_roks_cpu)+$S244*IF($G244="IKS",p_iks_ram,p_roks_ram))*p_facteur)</f>
        <v/>
      </c>
      <c r="X244" s="14" t="str">
        <f aca="false">IF($D244&lt;&gt;1,"",IF($G244="ROKS",$R244,IF($AI244=1,0,MAX($N244,$L244-SUMIFS(TblApplications[CPU IKS libérable (vCPU)],TblApplications[Cluster IKS source],$F244,TblApplications[Action],"À migrer",TblApplications[Mois prov (calc)],"&lt;="&amp;$E244)-SUMIFS(TblApplications[CPU IKS libérable (vCPU)],TblApplications[Cluster IKS source],$F244,TblApplications[Action],"À décommissionner",TblApplications[Mois lib (calc)],"&lt;="&amp;$E244)))))</f>
        <v/>
      </c>
      <c r="Y244" s="14" t="str">
        <f aca="false">IF($D244&lt;&gt;1,"",IF($G244="ROKS",$S244,IF($AI244=1,0,MAX($O244,$M244-SUMIFS(TblApplications[RAM IKS libérable (Go)],TblApplications[Cluster IKS source],$F244,TblApplications[Action],"À migrer",TblApplications[Mois prov (calc)],"&lt;="&amp;$E244)-SUMIFS(TblApplications[RAM IKS libérable (Go)],TblApplications[Cluster IKS source],$F244,TblApplications[Action],"À décommissionner",TblApplications[Mois lib (calc)],"&lt;="&amp;$E244)))))</f>
        <v/>
      </c>
      <c r="Z244" s="14" t="str">
        <f aca="false">IF($D244&lt;&gt;1,"",IF($AI244=1,0,MAX($J244,ROUNDUP(MAX($X244/$H244,$Y244/$I244),0))))</f>
        <v/>
      </c>
      <c r="AA244" s="84" t="str">
        <f aca="false">IF($D244&lt;&gt;1,"",IF(p_mode="Nœud",$Z244*$K244,$X244*IF($G244="IKS",p_iks_cpu,p_roks_cpu)+$Y244*IF($G244="IKS",p_iks_ram,p_roks_ram))*p_facteur)</f>
        <v/>
      </c>
      <c r="AB244" s="14" t="str">
        <f aca="false">IF($D244&lt;&gt;1,"",MAX($J244,ROUNDUP(MAX($L244/$H244,$M244/$I244),0)))</f>
        <v/>
      </c>
      <c r="AC244" s="84" t="str">
        <f aca="false">IF($D244&lt;&gt;1,"",IF(p_mode="Nœud",$AB244*$K244,$L244*IF($G244="IKS",p_iks_cpu,p_roks_cpu)+$M244*IF($G244="IKS",p_iks_ram,p_roks_ram))*p_facteur)</f>
        <v/>
      </c>
      <c r="AD244" s="14" t="str">
        <f aca="false">IF($D244&lt;&gt;1,"",IF(AND($G244="IKS",$AI244&lt;&gt;1,OR($L244-$P244&lt;$N244,$M244-$Q244&lt;$O244)),1,0))</f>
        <v/>
      </c>
      <c r="AE244" s="14" t="str">
        <f aca="false">IF($D244&lt;&gt;1,"",IF(AND($G244="ROKS",$T244&gt;p_maxworkers),1,0))</f>
        <v/>
      </c>
      <c r="AF244" s="14" t="str">
        <f aca="false">IF($D244&lt;&gt;1,"",IF(INDEX(TblClusters[Environnement],$B244)="","(vide)",INDEX(TblClusters[Environnement],$B244)))</f>
        <v/>
      </c>
      <c r="AG244" s="14" t="str">
        <f aca="false">IF($D244&lt;&gt;1,"",$R244+p_poidsram*$S244)</f>
        <v/>
      </c>
      <c r="AH244" s="14" t="str">
        <f aca="false">IF($D244&lt;&gt;1,"",IFERROR($W244/$AG244,0))</f>
        <v/>
      </c>
      <c r="AI244" s="14" t="str">
        <f aca="false">IF($D244&lt;&gt;1,"",IF(AND($G244="IKS",ISNUMBER(INDEX(TblClusters[Fermeture retenue],$B244))),IF($E244&gt;=INDEX(TblClusters[Fermeture retenue],$B244),1,0),0))</f>
        <v/>
      </c>
    </row>
    <row r="245" customFormat="false" ht="15" hidden="false" customHeight="false" outlineLevel="0" collapsed="false">
      <c r="A245" s="14" t="n">
        <v>240</v>
      </c>
      <c r="B245" s="14" t="n">
        <f aca="false">INT(($A245-1)/36)+1</f>
        <v>7</v>
      </c>
      <c r="C245" s="14" t="n">
        <f aca="false">MOD($A245-1,36)+1</f>
        <v>24</v>
      </c>
      <c r="D245" s="14" t="n">
        <f aca="false">IF($C245&gt;p_horizon,0,IFERROR(IF(AND(INDEX(TblClusters[Cluster],$B245)&lt;&gt;"",ISNUMBER(INDEX(TblClusters[CPU initial (vCPU)],$B245)),ISNUMBER(INDEX(TblClusters[CPU min (vCPU)],$B245)),OR(INDEX(TblClusters[Plateforme],$B245)="IKS",INDEX(TblClusters[Plateforme],$B245)="ROKS")),1,0),0))</f>
        <v>0</v>
      </c>
      <c r="E245" s="83" t="str">
        <f aca="false">IF($D245=1,EDATE(p_debut,$C245-1),"")</f>
        <v/>
      </c>
      <c r="F245" s="14" t="str">
        <f aca="false">IF($D245=1,INDEX(TblClusters[Cluster],$B245),"")</f>
        <v/>
      </c>
      <c r="G245" s="14" t="str">
        <f aca="false">IF($D245=1,INDEX(TblClusters[Plateforme],$B245),"")</f>
        <v/>
      </c>
      <c r="H245" s="14" t="str">
        <f aca="false">IF($D245=1,INDEX(TblClusters[vCPU par nœud],$B245),"")</f>
        <v/>
      </c>
      <c r="I245" s="14" t="str">
        <f aca="false">IF($D245=1,INDEX(TblClusters[RAM par nœud (Go)],$B245),"")</f>
        <v/>
      </c>
      <c r="J245" s="14" t="str">
        <f aca="false">IF($D245=1,INDEX(TblClusters[Workers min],$B245),"")</f>
        <v/>
      </c>
      <c r="K245" s="84" t="str">
        <f aca="false">IF($D245=1,INDEX(TblClusters[Tarif par nœud],$B245),"")</f>
        <v/>
      </c>
      <c r="L245" s="14" t="str">
        <f aca="false">IF($D245=1,INDEX(TblClusters[CPU initial (vCPU)],$B245),"")</f>
        <v/>
      </c>
      <c r="M245" s="14" t="str">
        <f aca="false">IF($D245=1,INDEX(TblClusters[RAM initiale (Go)],$B245),"")</f>
        <v/>
      </c>
      <c r="N245" s="14" t="str">
        <f aca="false">IF($D245=1,INDEX(TblClusters[CPU min (vCPU)],$B245),"")</f>
        <v/>
      </c>
      <c r="O245" s="14" t="str">
        <f aca="false">IF($D245=1,INDEX(TblClusters[RAM min (Go)],$B245),"")</f>
        <v/>
      </c>
      <c r="P245" s="14" t="str">
        <f aca="false">IF($D245&lt;&gt;1,"",IF($G245="ROKS",SUMIFS(TblApplications[Besoin ROKS CPU (vCPU)],TblApplications[Cluster ROKS cible],$F245,TblApplications[Action],"À migrer",TblApplications[Déjà incluse ROKS],"Non",TblApplications[Mois prov (calc)],"&lt;="&amp;$E245),SUMIFS(TblApplications[CPU IKS libérable (vCPU)],TblApplications[Cluster IKS source],$F245,TblApplications[Mois lib (calc)],"&lt;="&amp;$E245)))</f>
        <v/>
      </c>
      <c r="Q245" s="14" t="str">
        <f aca="false">IF($D245&lt;&gt;1,"",IF($G245="ROKS",SUMIFS(TblApplications[Besoin ROKS RAM (Go)],TblApplications[Cluster ROKS cible],$F245,TblApplications[Action],"À migrer",TblApplications[Déjà incluse ROKS],"Non",TblApplications[Mois prov (calc)],"&lt;="&amp;$E245),SUMIFS(TblApplications[RAM IKS libérable (Go)],TblApplications[Cluster IKS source],$F245,TblApplications[Mois lib (calc)],"&lt;="&amp;$E245)))</f>
        <v/>
      </c>
      <c r="R245" s="14" t="str">
        <f aca="false">IF($D245&lt;&gt;1,"",IF($G245="ROKS",$L245+$P245,IF($AI245=1,0,MAX($N245,$L245-$P245))))</f>
        <v/>
      </c>
      <c r="S245" s="14" t="str">
        <f aca="false">IF($D245&lt;&gt;1,"",IF($G245="ROKS",$M245+$Q245,IF($AI245=1,0,MAX($O245,$M245-$Q245))))</f>
        <v/>
      </c>
      <c r="T245" s="14" t="str">
        <f aca="false">IF($D245&lt;&gt;1,"",IF($AI245=1,0,MAX($J245,ROUNDUP(MAX($R245/$H245,$S245/$I245),0))))</f>
        <v/>
      </c>
      <c r="U245" s="14" t="str">
        <f aca="false">IF($D245&lt;&gt;1,"",IF(p_mode="Nœud",$T245*$H245,$R245))</f>
        <v/>
      </c>
      <c r="V245" s="14" t="str">
        <f aca="false">IF($D245&lt;&gt;1,"",IF(p_mode="Nœud",$T245*$I245,$S245))</f>
        <v/>
      </c>
      <c r="W245" s="84" t="str">
        <f aca="false">IF($D245&lt;&gt;1,"",IF(p_mode="Nœud",$T245*$K245,$R245*IF($G245="IKS",p_iks_cpu,p_roks_cpu)+$S245*IF($G245="IKS",p_iks_ram,p_roks_ram))*p_facteur)</f>
        <v/>
      </c>
      <c r="X245" s="14" t="str">
        <f aca="false">IF($D245&lt;&gt;1,"",IF($G245="ROKS",$R245,IF($AI245=1,0,MAX($N245,$L245-SUMIFS(TblApplications[CPU IKS libérable (vCPU)],TblApplications[Cluster IKS source],$F245,TblApplications[Action],"À migrer",TblApplications[Mois prov (calc)],"&lt;="&amp;$E245)-SUMIFS(TblApplications[CPU IKS libérable (vCPU)],TblApplications[Cluster IKS source],$F245,TblApplications[Action],"À décommissionner",TblApplications[Mois lib (calc)],"&lt;="&amp;$E245)))))</f>
        <v/>
      </c>
      <c r="Y245" s="14" t="str">
        <f aca="false">IF($D245&lt;&gt;1,"",IF($G245="ROKS",$S245,IF($AI245=1,0,MAX($O245,$M245-SUMIFS(TblApplications[RAM IKS libérable (Go)],TblApplications[Cluster IKS source],$F245,TblApplications[Action],"À migrer",TblApplications[Mois prov (calc)],"&lt;="&amp;$E245)-SUMIFS(TblApplications[RAM IKS libérable (Go)],TblApplications[Cluster IKS source],$F245,TblApplications[Action],"À décommissionner",TblApplications[Mois lib (calc)],"&lt;="&amp;$E245)))))</f>
        <v/>
      </c>
      <c r="Z245" s="14" t="str">
        <f aca="false">IF($D245&lt;&gt;1,"",IF($AI245=1,0,MAX($J245,ROUNDUP(MAX($X245/$H245,$Y245/$I245),0))))</f>
        <v/>
      </c>
      <c r="AA245" s="84" t="str">
        <f aca="false">IF($D245&lt;&gt;1,"",IF(p_mode="Nœud",$Z245*$K245,$X245*IF($G245="IKS",p_iks_cpu,p_roks_cpu)+$Y245*IF($G245="IKS",p_iks_ram,p_roks_ram))*p_facteur)</f>
        <v/>
      </c>
      <c r="AB245" s="14" t="str">
        <f aca="false">IF($D245&lt;&gt;1,"",MAX($J245,ROUNDUP(MAX($L245/$H245,$M245/$I245),0)))</f>
        <v/>
      </c>
      <c r="AC245" s="84" t="str">
        <f aca="false">IF($D245&lt;&gt;1,"",IF(p_mode="Nœud",$AB245*$K245,$L245*IF($G245="IKS",p_iks_cpu,p_roks_cpu)+$M245*IF($G245="IKS",p_iks_ram,p_roks_ram))*p_facteur)</f>
        <v/>
      </c>
      <c r="AD245" s="14" t="str">
        <f aca="false">IF($D245&lt;&gt;1,"",IF(AND($G245="IKS",$AI245&lt;&gt;1,OR($L245-$P245&lt;$N245,$M245-$Q245&lt;$O245)),1,0))</f>
        <v/>
      </c>
      <c r="AE245" s="14" t="str">
        <f aca="false">IF($D245&lt;&gt;1,"",IF(AND($G245="ROKS",$T245&gt;p_maxworkers),1,0))</f>
        <v/>
      </c>
      <c r="AF245" s="14" t="str">
        <f aca="false">IF($D245&lt;&gt;1,"",IF(INDEX(TblClusters[Environnement],$B245)="","(vide)",INDEX(TblClusters[Environnement],$B245)))</f>
        <v/>
      </c>
      <c r="AG245" s="14" t="str">
        <f aca="false">IF($D245&lt;&gt;1,"",$R245+p_poidsram*$S245)</f>
        <v/>
      </c>
      <c r="AH245" s="14" t="str">
        <f aca="false">IF($D245&lt;&gt;1,"",IFERROR($W245/$AG245,0))</f>
        <v/>
      </c>
      <c r="AI245" s="14" t="str">
        <f aca="false">IF($D245&lt;&gt;1,"",IF(AND($G245="IKS",ISNUMBER(INDEX(TblClusters[Fermeture retenue],$B245))),IF($E245&gt;=INDEX(TblClusters[Fermeture retenue],$B245),1,0),0))</f>
        <v/>
      </c>
    </row>
    <row r="246" customFormat="false" ht="15" hidden="false" customHeight="false" outlineLevel="0" collapsed="false">
      <c r="A246" s="14" t="n">
        <v>241</v>
      </c>
      <c r="B246" s="14" t="n">
        <f aca="false">INT(($A246-1)/36)+1</f>
        <v>7</v>
      </c>
      <c r="C246" s="14" t="n">
        <f aca="false">MOD($A246-1,36)+1</f>
        <v>25</v>
      </c>
      <c r="D246" s="14" t="n">
        <f aca="false">IF($C246&gt;p_horizon,0,IFERROR(IF(AND(INDEX(TblClusters[Cluster],$B246)&lt;&gt;"",ISNUMBER(INDEX(TblClusters[CPU initial (vCPU)],$B246)),ISNUMBER(INDEX(TblClusters[CPU min (vCPU)],$B246)),OR(INDEX(TblClusters[Plateforme],$B246)="IKS",INDEX(TblClusters[Plateforme],$B246)="ROKS")),1,0),0))</f>
        <v>0</v>
      </c>
      <c r="E246" s="83" t="str">
        <f aca="false">IF($D246=1,EDATE(p_debut,$C246-1),"")</f>
        <v/>
      </c>
      <c r="F246" s="14" t="str">
        <f aca="false">IF($D246=1,INDEX(TblClusters[Cluster],$B246),"")</f>
        <v/>
      </c>
      <c r="G246" s="14" t="str">
        <f aca="false">IF($D246=1,INDEX(TblClusters[Plateforme],$B246),"")</f>
        <v/>
      </c>
      <c r="H246" s="14" t="str">
        <f aca="false">IF($D246=1,INDEX(TblClusters[vCPU par nœud],$B246),"")</f>
        <v/>
      </c>
      <c r="I246" s="14" t="str">
        <f aca="false">IF($D246=1,INDEX(TblClusters[RAM par nœud (Go)],$B246),"")</f>
        <v/>
      </c>
      <c r="J246" s="14" t="str">
        <f aca="false">IF($D246=1,INDEX(TblClusters[Workers min],$B246),"")</f>
        <v/>
      </c>
      <c r="K246" s="84" t="str">
        <f aca="false">IF($D246=1,INDEX(TblClusters[Tarif par nœud],$B246),"")</f>
        <v/>
      </c>
      <c r="L246" s="14" t="str">
        <f aca="false">IF($D246=1,INDEX(TblClusters[CPU initial (vCPU)],$B246),"")</f>
        <v/>
      </c>
      <c r="M246" s="14" t="str">
        <f aca="false">IF($D246=1,INDEX(TblClusters[RAM initiale (Go)],$B246),"")</f>
        <v/>
      </c>
      <c r="N246" s="14" t="str">
        <f aca="false">IF($D246=1,INDEX(TblClusters[CPU min (vCPU)],$B246),"")</f>
        <v/>
      </c>
      <c r="O246" s="14" t="str">
        <f aca="false">IF($D246=1,INDEX(TblClusters[RAM min (Go)],$B246),"")</f>
        <v/>
      </c>
      <c r="P246" s="14" t="str">
        <f aca="false">IF($D246&lt;&gt;1,"",IF($G246="ROKS",SUMIFS(TblApplications[Besoin ROKS CPU (vCPU)],TblApplications[Cluster ROKS cible],$F246,TblApplications[Action],"À migrer",TblApplications[Déjà incluse ROKS],"Non",TblApplications[Mois prov (calc)],"&lt;="&amp;$E246),SUMIFS(TblApplications[CPU IKS libérable (vCPU)],TblApplications[Cluster IKS source],$F246,TblApplications[Mois lib (calc)],"&lt;="&amp;$E246)))</f>
        <v/>
      </c>
      <c r="Q246" s="14" t="str">
        <f aca="false">IF($D246&lt;&gt;1,"",IF($G246="ROKS",SUMIFS(TblApplications[Besoin ROKS RAM (Go)],TblApplications[Cluster ROKS cible],$F246,TblApplications[Action],"À migrer",TblApplications[Déjà incluse ROKS],"Non",TblApplications[Mois prov (calc)],"&lt;="&amp;$E246),SUMIFS(TblApplications[RAM IKS libérable (Go)],TblApplications[Cluster IKS source],$F246,TblApplications[Mois lib (calc)],"&lt;="&amp;$E246)))</f>
        <v/>
      </c>
      <c r="R246" s="14" t="str">
        <f aca="false">IF($D246&lt;&gt;1,"",IF($G246="ROKS",$L246+$P246,IF($AI246=1,0,MAX($N246,$L246-$P246))))</f>
        <v/>
      </c>
      <c r="S246" s="14" t="str">
        <f aca="false">IF($D246&lt;&gt;1,"",IF($G246="ROKS",$M246+$Q246,IF($AI246=1,0,MAX($O246,$M246-$Q246))))</f>
        <v/>
      </c>
      <c r="T246" s="14" t="str">
        <f aca="false">IF($D246&lt;&gt;1,"",IF($AI246=1,0,MAX($J246,ROUNDUP(MAX($R246/$H246,$S246/$I246),0))))</f>
        <v/>
      </c>
      <c r="U246" s="14" t="str">
        <f aca="false">IF($D246&lt;&gt;1,"",IF(p_mode="Nœud",$T246*$H246,$R246))</f>
        <v/>
      </c>
      <c r="V246" s="14" t="str">
        <f aca="false">IF($D246&lt;&gt;1,"",IF(p_mode="Nœud",$T246*$I246,$S246))</f>
        <v/>
      </c>
      <c r="W246" s="84" t="str">
        <f aca="false">IF($D246&lt;&gt;1,"",IF(p_mode="Nœud",$T246*$K246,$R246*IF($G246="IKS",p_iks_cpu,p_roks_cpu)+$S246*IF($G246="IKS",p_iks_ram,p_roks_ram))*p_facteur)</f>
        <v/>
      </c>
      <c r="X246" s="14" t="str">
        <f aca="false">IF($D246&lt;&gt;1,"",IF($G246="ROKS",$R246,IF($AI246=1,0,MAX($N246,$L246-SUMIFS(TblApplications[CPU IKS libérable (vCPU)],TblApplications[Cluster IKS source],$F246,TblApplications[Action],"À migrer",TblApplications[Mois prov (calc)],"&lt;="&amp;$E246)-SUMIFS(TblApplications[CPU IKS libérable (vCPU)],TblApplications[Cluster IKS source],$F246,TblApplications[Action],"À décommissionner",TblApplications[Mois lib (calc)],"&lt;="&amp;$E246)))))</f>
        <v/>
      </c>
      <c r="Y246" s="14" t="str">
        <f aca="false">IF($D246&lt;&gt;1,"",IF($G246="ROKS",$S246,IF($AI246=1,0,MAX($O246,$M246-SUMIFS(TblApplications[RAM IKS libérable (Go)],TblApplications[Cluster IKS source],$F246,TblApplications[Action],"À migrer",TblApplications[Mois prov (calc)],"&lt;="&amp;$E246)-SUMIFS(TblApplications[RAM IKS libérable (Go)],TblApplications[Cluster IKS source],$F246,TblApplications[Action],"À décommissionner",TblApplications[Mois lib (calc)],"&lt;="&amp;$E246)))))</f>
        <v/>
      </c>
      <c r="Z246" s="14" t="str">
        <f aca="false">IF($D246&lt;&gt;1,"",IF($AI246=1,0,MAX($J246,ROUNDUP(MAX($X246/$H246,$Y246/$I246),0))))</f>
        <v/>
      </c>
      <c r="AA246" s="84" t="str">
        <f aca="false">IF($D246&lt;&gt;1,"",IF(p_mode="Nœud",$Z246*$K246,$X246*IF($G246="IKS",p_iks_cpu,p_roks_cpu)+$Y246*IF($G246="IKS",p_iks_ram,p_roks_ram))*p_facteur)</f>
        <v/>
      </c>
      <c r="AB246" s="14" t="str">
        <f aca="false">IF($D246&lt;&gt;1,"",MAX($J246,ROUNDUP(MAX($L246/$H246,$M246/$I246),0)))</f>
        <v/>
      </c>
      <c r="AC246" s="84" t="str">
        <f aca="false">IF($D246&lt;&gt;1,"",IF(p_mode="Nœud",$AB246*$K246,$L246*IF($G246="IKS",p_iks_cpu,p_roks_cpu)+$M246*IF($G246="IKS",p_iks_ram,p_roks_ram))*p_facteur)</f>
        <v/>
      </c>
      <c r="AD246" s="14" t="str">
        <f aca="false">IF($D246&lt;&gt;1,"",IF(AND($G246="IKS",$AI246&lt;&gt;1,OR($L246-$P246&lt;$N246,$M246-$Q246&lt;$O246)),1,0))</f>
        <v/>
      </c>
      <c r="AE246" s="14" t="str">
        <f aca="false">IF($D246&lt;&gt;1,"",IF(AND($G246="ROKS",$T246&gt;p_maxworkers),1,0))</f>
        <v/>
      </c>
      <c r="AF246" s="14" t="str">
        <f aca="false">IF($D246&lt;&gt;1,"",IF(INDEX(TblClusters[Environnement],$B246)="","(vide)",INDEX(TblClusters[Environnement],$B246)))</f>
        <v/>
      </c>
      <c r="AG246" s="14" t="str">
        <f aca="false">IF($D246&lt;&gt;1,"",$R246+p_poidsram*$S246)</f>
        <v/>
      </c>
      <c r="AH246" s="14" t="str">
        <f aca="false">IF($D246&lt;&gt;1,"",IFERROR($W246/$AG246,0))</f>
        <v/>
      </c>
      <c r="AI246" s="14" t="str">
        <f aca="false">IF($D246&lt;&gt;1,"",IF(AND($G246="IKS",ISNUMBER(INDEX(TblClusters[Fermeture retenue],$B246))),IF($E246&gt;=INDEX(TblClusters[Fermeture retenue],$B246),1,0),0))</f>
        <v/>
      </c>
    </row>
    <row r="247" customFormat="false" ht="15" hidden="false" customHeight="false" outlineLevel="0" collapsed="false">
      <c r="A247" s="14" t="n">
        <v>242</v>
      </c>
      <c r="B247" s="14" t="n">
        <f aca="false">INT(($A247-1)/36)+1</f>
        <v>7</v>
      </c>
      <c r="C247" s="14" t="n">
        <f aca="false">MOD($A247-1,36)+1</f>
        <v>26</v>
      </c>
      <c r="D247" s="14" t="n">
        <f aca="false">IF($C247&gt;p_horizon,0,IFERROR(IF(AND(INDEX(TblClusters[Cluster],$B247)&lt;&gt;"",ISNUMBER(INDEX(TblClusters[CPU initial (vCPU)],$B247)),ISNUMBER(INDEX(TblClusters[CPU min (vCPU)],$B247)),OR(INDEX(TblClusters[Plateforme],$B247)="IKS",INDEX(TblClusters[Plateforme],$B247)="ROKS")),1,0),0))</f>
        <v>0</v>
      </c>
      <c r="E247" s="83" t="str">
        <f aca="false">IF($D247=1,EDATE(p_debut,$C247-1),"")</f>
        <v/>
      </c>
      <c r="F247" s="14" t="str">
        <f aca="false">IF($D247=1,INDEX(TblClusters[Cluster],$B247),"")</f>
        <v/>
      </c>
      <c r="G247" s="14" t="str">
        <f aca="false">IF($D247=1,INDEX(TblClusters[Plateforme],$B247),"")</f>
        <v/>
      </c>
      <c r="H247" s="14" t="str">
        <f aca="false">IF($D247=1,INDEX(TblClusters[vCPU par nœud],$B247),"")</f>
        <v/>
      </c>
      <c r="I247" s="14" t="str">
        <f aca="false">IF($D247=1,INDEX(TblClusters[RAM par nœud (Go)],$B247),"")</f>
        <v/>
      </c>
      <c r="J247" s="14" t="str">
        <f aca="false">IF($D247=1,INDEX(TblClusters[Workers min],$B247),"")</f>
        <v/>
      </c>
      <c r="K247" s="84" t="str">
        <f aca="false">IF($D247=1,INDEX(TblClusters[Tarif par nœud],$B247),"")</f>
        <v/>
      </c>
      <c r="L247" s="14" t="str">
        <f aca="false">IF($D247=1,INDEX(TblClusters[CPU initial (vCPU)],$B247),"")</f>
        <v/>
      </c>
      <c r="M247" s="14" t="str">
        <f aca="false">IF($D247=1,INDEX(TblClusters[RAM initiale (Go)],$B247),"")</f>
        <v/>
      </c>
      <c r="N247" s="14" t="str">
        <f aca="false">IF($D247=1,INDEX(TblClusters[CPU min (vCPU)],$B247),"")</f>
        <v/>
      </c>
      <c r="O247" s="14" t="str">
        <f aca="false">IF($D247=1,INDEX(TblClusters[RAM min (Go)],$B247),"")</f>
        <v/>
      </c>
      <c r="P247" s="14" t="str">
        <f aca="false">IF($D247&lt;&gt;1,"",IF($G247="ROKS",SUMIFS(TblApplications[Besoin ROKS CPU (vCPU)],TblApplications[Cluster ROKS cible],$F247,TblApplications[Action],"À migrer",TblApplications[Déjà incluse ROKS],"Non",TblApplications[Mois prov (calc)],"&lt;="&amp;$E247),SUMIFS(TblApplications[CPU IKS libérable (vCPU)],TblApplications[Cluster IKS source],$F247,TblApplications[Mois lib (calc)],"&lt;="&amp;$E247)))</f>
        <v/>
      </c>
      <c r="Q247" s="14" t="str">
        <f aca="false">IF($D247&lt;&gt;1,"",IF($G247="ROKS",SUMIFS(TblApplications[Besoin ROKS RAM (Go)],TblApplications[Cluster ROKS cible],$F247,TblApplications[Action],"À migrer",TblApplications[Déjà incluse ROKS],"Non",TblApplications[Mois prov (calc)],"&lt;="&amp;$E247),SUMIFS(TblApplications[RAM IKS libérable (Go)],TblApplications[Cluster IKS source],$F247,TblApplications[Mois lib (calc)],"&lt;="&amp;$E247)))</f>
        <v/>
      </c>
      <c r="R247" s="14" t="str">
        <f aca="false">IF($D247&lt;&gt;1,"",IF($G247="ROKS",$L247+$P247,IF($AI247=1,0,MAX($N247,$L247-$P247))))</f>
        <v/>
      </c>
      <c r="S247" s="14" t="str">
        <f aca="false">IF($D247&lt;&gt;1,"",IF($G247="ROKS",$M247+$Q247,IF($AI247=1,0,MAX($O247,$M247-$Q247))))</f>
        <v/>
      </c>
      <c r="T247" s="14" t="str">
        <f aca="false">IF($D247&lt;&gt;1,"",IF($AI247=1,0,MAX($J247,ROUNDUP(MAX($R247/$H247,$S247/$I247),0))))</f>
        <v/>
      </c>
      <c r="U247" s="14" t="str">
        <f aca="false">IF($D247&lt;&gt;1,"",IF(p_mode="Nœud",$T247*$H247,$R247))</f>
        <v/>
      </c>
      <c r="V247" s="14" t="str">
        <f aca="false">IF($D247&lt;&gt;1,"",IF(p_mode="Nœud",$T247*$I247,$S247))</f>
        <v/>
      </c>
      <c r="W247" s="84" t="str">
        <f aca="false">IF($D247&lt;&gt;1,"",IF(p_mode="Nœud",$T247*$K247,$R247*IF($G247="IKS",p_iks_cpu,p_roks_cpu)+$S247*IF($G247="IKS",p_iks_ram,p_roks_ram))*p_facteur)</f>
        <v/>
      </c>
      <c r="X247" s="14" t="str">
        <f aca="false">IF($D247&lt;&gt;1,"",IF($G247="ROKS",$R247,IF($AI247=1,0,MAX($N247,$L247-SUMIFS(TblApplications[CPU IKS libérable (vCPU)],TblApplications[Cluster IKS source],$F247,TblApplications[Action],"À migrer",TblApplications[Mois prov (calc)],"&lt;="&amp;$E247)-SUMIFS(TblApplications[CPU IKS libérable (vCPU)],TblApplications[Cluster IKS source],$F247,TblApplications[Action],"À décommissionner",TblApplications[Mois lib (calc)],"&lt;="&amp;$E247)))))</f>
        <v/>
      </c>
      <c r="Y247" s="14" t="str">
        <f aca="false">IF($D247&lt;&gt;1,"",IF($G247="ROKS",$S247,IF($AI247=1,0,MAX($O247,$M247-SUMIFS(TblApplications[RAM IKS libérable (Go)],TblApplications[Cluster IKS source],$F247,TblApplications[Action],"À migrer",TblApplications[Mois prov (calc)],"&lt;="&amp;$E247)-SUMIFS(TblApplications[RAM IKS libérable (Go)],TblApplications[Cluster IKS source],$F247,TblApplications[Action],"À décommissionner",TblApplications[Mois lib (calc)],"&lt;="&amp;$E247)))))</f>
        <v/>
      </c>
      <c r="Z247" s="14" t="str">
        <f aca="false">IF($D247&lt;&gt;1,"",IF($AI247=1,0,MAX($J247,ROUNDUP(MAX($X247/$H247,$Y247/$I247),0))))</f>
        <v/>
      </c>
      <c r="AA247" s="84" t="str">
        <f aca="false">IF($D247&lt;&gt;1,"",IF(p_mode="Nœud",$Z247*$K247,$X247*IF($G247="IKS",p_iks_cpu,p_roks_cpu)+$Y247*IF($G247="IKS",p_iks_ram,p_roks_ram))*p_facteur)</f>
        <v/>
      </c>
      <c r="AB247" s="14" t="str">
        <f aca="false">IF($D247&lt;&gt;1,"",MAX($J247,ROUNDUP(MAX($L247/$H247,$M247/$I247),0)))</f>
        <v/>
      </c>
      <c r="AC247" s="84" t="str">
        <f aca="false">IF($D247&lt;&gt;1,"",IF(p_mode="Nœud",$AB247*$K247,$L247*IF($G247="IKS",p_iks_cpu,p_roks_cpu)+$M247*IF($G247="IKS",p_iks_ram,p_roks_ram))*p_facteur)</f>
        <v/>
      </c>
      <c r="AD247" s="14" t="str">
        <f aca="false">IF($D247&lt;&gt;1,"",IF(AND($G247="IKS",$AI247&lt;&gt;1,OR($L247-$P247&lt;$N247,$M247-$Q247&lt;$O247)),1,0))</f>
        <v/>
      </c>
      <c r="AE247" s="14" t="str">
        <f aca="false">IF($D247&lt;&gt;1,"",IF(AND($G247="ROKS",$T247&gt;p_maxworkers),1,0))</f>
        <v/>
      </c>
      <c r="AF247" s="14" t="str">
        <f aca="false">IF($D247&lt;&gt;1,"",IF(INDEX(TblClusters[Environnement],$B247)="","(vide)",INDEX(TblClusters[Environnement],$B247)))</f>
        <v/>
      </c>
      <c r="AG247" s="14" t="str">
        <f aca="false">IF($D247&lt;&gt;1,"",$R247+p_poidsram*$S247)</f>
        <v/>
      </c>
      <c r="AH247" s="14" t="str">
        <f aca="false">IF($D247&lt;&gt;1,"",IFERROR($W247/$AG247,0))</f>
        <v/>
      </c>
      <c r="AI247" s="14" t="str">
        <f aca="false">IF($D247&lt;&gt;1,"",IF(AND($G247="IKS",ISNUMBER(INDEX(TblClusters[Fermeture retenue],$B247))),IF($E247&gt;=INDEX(TblClusters[Fermeture retenue],$B247),1,0),0))</f>
        <v/>
      </c>
    </row>
    <row r="248" customFormat="false" ht="15" hidden="false" customHeight="false" outlineLevel="0" collapsed="false">
      <c r="A248" s="14" t="n">
        <v>243</v>
      </c>
      <c r="B248" s="14" t="n">
        <f aca="false">INT(($A248-1)/36)+1</f>
        <v>7</v>
      </c>
      <c r="C248" s="14" t="n">
        <f aca="false">MOD($A248-1,36)+1</f>
        <v>27</v>
      </c>
      <c r="D248" s="14" t="n">
        <f aca="false">IF($C248&gt;p_horizon,0,IFERROR(IF(AND(INDEX(TblClusters[Cluster],$B248)&lt;&gt;"",ISNUMBER(INDEX(TblClusters[CPU initial (vCPU)],$B248)),ISNUMBER(INDEX(TblClusters[CPU min (vCPU)],$B248)),OR(INDEX(TblClusters[Plateforme],$B248)="IKS",INDEX(TblClusters[Plateforme],$B248)="ROKS")),1,0),0))</f>
        <v>0</v>
      </c>
      <c r="E248" s="83" t="str">
        <f aca="false">IF($D248=1,EDATE(p_debut,$C248-1),"")</f>
        <v/>
      </c>
      <c r="F248" s="14" t="str">
        <f aca="false">IF($D248=1,INDEX(TblClusters[Cluster],$B248),"")</f>
        <v/>
      </c>
      <c r="G248" s="14" t="str">
        <f aca="false">IF($D248=1,INDEX(TblClusters[Plateforme],$B248),"")</f>
        <v/>
      </c>
      <c r="H248" s="14" t="str">
        <f aca="false">IF($D248=1,INDEX(TblClusters[vCPU par nœud],$B248),"")</f>
        <v/>
      </c>
      <c r="I248" s="14" t="str">
        <f aca="false">IF($D248=1,INDEX(TblClusters[RAM par nœud (Go)],$B248),"")</f>
        <v/>
      </c>
      <c r="J248" s="14" t="str">
        <f aca="false">IF($D248=1,INDEX(TblClusters[Workers min],$B248),"")</f>
        <v/>
      </c>
      <c r="K248" s="84" t="str">
        <f aca="false">IF($D248=1,INDEX(TblClusters[Tarif par nœud],$B248),"")</f>
        <v/>
      </c>
      <c r="L248" s="14" t="str">
        <f aca="false">IF($D248=1,INDEX(TblClusters[CPU initial (vCPU)],$B248),"")</f>
        <v/>
      </c>
      <c r="M248" s="14" t="str">
        <f aca="false">IF($D248=1,INDEX(TblClusters[RAM initiale (Go)],$B248),"")</f>
        <v/>
      </c>
      <c r="N248" s="14" t="str">
        <f aca="false">IF($D248=1,INDEX(TblClusters[CPU min (vCPU)],$B248),"")</f>
        <v/>
      </c>
      <c r="O248" s="14" t="str">
        <f aca="false">IF($D248=1,INDEX(TblClusters[RAM min (Go)],$B248),"")</f>
        <v/>
      </c>
      <c r="P248" s="14" t="str">
        <f aca="false">IF($D248&lt;&gt;1,"",IF($G248="ROKS",SUMIFS(TblApplications[Besoin ROKS CPU (vCPU)],TblApplications[Cluster ROKS cible],$F248,TblApplications[Action],"À migrer",TblApplications[Déjà incluse ROKS],"Non",TblApplications[Mois prov (calc)],"&lt;="&amp;$E248),SUMIFS(TblApplications[CPU IKS libérable (vCPU)],TblApplications[Cluster IKS source],$F248,TblApplications[Mois lib (calc)],"&lt;="&amp;$E248)))</f>
        <v/>
      </c>
      <c r="Q248" s="14" t="str">
        <f aca="false">IF($D248&lt;&gt;1,"",IF($G248="ROKS",SUMIFS(TblApplications[Besoin ROKS RAM (Go)],TblApplications[Cluster ROKS cible],$F248,TblApplications[Action],"À migrer",TblApplications[Déjà incluse ROKS],"Non",TblApplications[Mois prov (calc)],"&lt;="&amp;$E248),SUMIFS(TblApplications[RAM IKS libérable (Go)],TblApplications[Cluster IKS source],$F248,TblApplications[Mois lib (calc)],"&lt;="&amp;$E248)))</f>
        <v/>
      </c>
      <c r="R248" s="14" t="str">
        <f aca="false">IF($D248&lt;&gt;1,"",IF($G248="ROKS",$L248+$P248,IF($AI248=1,0,MAX($N248,$L248-$P248))))</f>
        <v/>
      </c>
      <c r="S248" s="14" t="str">
        <f aca="false">IF($D248&lt;&gt;1,"",IF($G248="ROKS",$M248+$Q248,IF($AI248=1,0,MAX($O248,$M248-$Q248))))</f>
        <v/>
      </c>
      <c r="T248" s="14" t="str">
        <f aca="false">IF($D248&lt;&gt;1,"",IF($AI248=1,0,MAX($J248,ROUNDUP(MAX($R248/$H248,$S248/$I248),0))))</f>
        <v/>
      </c>
      <c r="U248" s="14" t="str">
        <f aca="false">IF($D248&lt;&gt;1,"",IF(p_mode="Nœud",$T248*$H248,$R248))</f>
        <v/>
      </c>
      <c r="V248" s="14" t="str">
        <f aca="false">IF($D248&lt;&gt;1,"",IF(p_mode="Nœud",$T248*$I248,$S248))</f>
        <v/>
      </c>
      <c r="W248" s="84" t="str">
        <f aca="false">IF($D248&lt;&gt;1,"",IF(p_mode="Nœud",$T248*$K248,$R248*IF($G248="IKS",p_iks_cpu,p_roks_cpu)+$S248*IF($G248="IKS",p_iks_ram,p_roks_ram))*p_facteur)</f>
        <v/>
      </c>
      <c r="X248" s="14" t="str">
        <f aca="false">IF($D248&lt;&gt;1,"",IF($G248="ROKS",$R248,IF($AI248=1,0,MAX($N248,$L248-SUMIFS(TblApplications[CPU IKS libérable (vCPU)],TblApplications[Cluster IKS source],$F248,TblApplications[Action],"À migrer",TblApplications[Mois prov (calc)],"&lt;="&amp;$E248)-SUMIFS(TblApplications[CPU IKS libérable (vCPU)],TblApplications[Cluster IKS source],$F248,TblApplications[Action],"À décommissionner",TblApplications[Mois lib (calc)],"&lt;="&amp;$E248)))))</f>
        <v/>
      </c>
      <c r="Y248" s="14" t="str">
        <f aca="false">IF($D248&lt;&gt;1,"",IF($G248="ROKS",$S248,IF($AI248=1,0,MAX($O248,$M248-SUMIFS(TblApplications[RAM IKS libérable (Go)],TblApplications[Cluster IKS source],$F248,TblApplications[Action],"À migrer",TblApplications[Mois prov (calc)],"&lt;="&amp;$E248)-SUMIFS(TblApplications[RAM IKS libérable (Go)],TblApplications[Cluster IKS source],$F248,TblApplications[Action],"À décommissionner",TblApplications[Mois lib (calc)],"&lt;="&amp;$E248)))))</f>
        <v/>
      </c>
      <c r="Z248" s="14" t="str">
        <f aca="false">IF($D248&lt;&gt;1,"",IF($AI248=1,0,MAX($J248,ROUNDUP(MAX($X248/$H248,$Y248/$I248),0))))</f>
        <v/>
      </c>
      <c r="AA248" s="84" t="str">
        <f aca="false">IF($D248&lt;&gt;1,"",IF(p_mode="Nœud",$Z248*$K248,$X248*IF($G248="IKS",p_iks_cpu,p_roks_cpu)+$Y248*IF($G248="IKS",p_iks_ram,p_roks_ram))*p_facteur)</f>
        <v/>
      </c>
      <c r="AB248" s="14" t="str">
        <f aca="false">IF($D248&lt;&gt;1,"",MAX($J248,ROUNDUP(MAX($L248/$H248,$M248/$I248),0)))</f>
        <v/>
      </c>
      <c r="AC248" s="84" t="str">
        <f aca="false">IF($D248&lt;&gt;1,"",IF(p_mode="Nœud",$AB248*$K248,$L248*IF($G248="IKS",p_iks_cpu,p_roks_cpu)+$M248*IF($G248="IKS",p_iks_ram,p_roks_ram))*p_facteur)</f>
        <v/>
      </c>
      <c r="AD248" s="14" t="str">
        <f aca="false">IF($D248&lt;&gt;1,"",IF(AND($G248="IKS",$AI248&lt;&gt;1,OR($L248-$P248&lt;$N248,$M248-$Q248&lt;$O248)),1,0))</f>
        <v/>
      </c>
      <c r="AE248" s="14" t="str">
        <f aca="false">IF($D248&lt;&gt;1,"",IF(AND($G248="ROKS",$T248&gt;p_maxworkers),1,0))</f>
        <v/>
      </c>
      <c r="AF248" s="14" t="str">
        <f aca="false">IF($D248&lt;&gt;1,"",IF(INDEX(TblClusters[Environnement],$B248)="","(vide)",INDEX(TblClusters[Environnement],$B248)))</f>
        <v/>
      </c>
      <c r="AG248" s="14" t="str">
        <f aca="false">IF($D248&lt;&gt;1,"",$R248+p_poidsram*$S248)</f>
        <v/>
      </c>
      <c r="AH248" s="14" t="str">
        <f aca="false">IF($D248&lt;&gt;1,"",IFERROR($W248/$AG248,0))</f>
        <v/>
      </c>
      <c r="AI248" s="14" t="str">
        <f aca="false">IF($D248&lt;&gt;1,"",IF(AND($G248="IKS",ISNUMBER(INDEX(TblClusters[Fermeture retenue],$B248))),IF($E248&gt;=INDEX(TblClusters[Fermeture retenue],$B248),1,0),0))</f>
        <v/>
      </c>
    </row>
    <row r="249" customFormat="false" ht="15" hidden="false" customHeight="false" outlineLevel="0" collapsed="false">
      <c r="A249" s="14" t="n">
        <v>244</v>
      </c>
      <c r="B249" s="14" t="n">
        <f aca="false">INT(($A249-1)/36)+1</f>
        <v>7</v>
      </c>
      <c r="C249" s="14" t="n">
        <f aca="false">MOD($A249-1,36)+1</f>
        <v>28</v>
      </c>
      <c r="D249" s="14" t="n">
        <f aca="false">IF($C249&gt;p_horizon,0,IFERROR(IF(AND(INDEX(TblClusters[Cluster],$B249)&lt;&gt;"",ISNUMBER(INDEX(TblClusters[CPU initial (vCPU)],$B249)),ISNUMBER(INDEX(TblClusters[CPU min (vCPU)],$B249)),OR(INDEX(TblClusters[Plateforme],$B249)="IKS",INDEX(TblClusters[Plateforme],$B249)="ROKS")),1,0),0))</f>
        <v>0</v>
      </c>
      <c r="E249" s="83" t="str">
        <f aca="false">IF($D249=1,EDATE(p_debut,$C249-1),"")</f>
        <v/>
      </c>
      <c r="F249" s="14" t="str">
        <f aca="false">IF($D249=1,INDEX(TblClusters[Cluster],$B249),"")</f>
        <v/>
      </c>
      <c r="G249" s="14" t="str">
        <f aca="false">IF($D249=1,INDEX(TblClusters[Plateforme],$B249),"")</f>
        <v/>
      </c>
      <c r="H249" s="14" t="str">
        <f aca="false">IF($D249=1,INDEX(TblClusters[vCPU par nœud],$B249),"")</f>
        <v/>
      </c>
      <c r="I249" s="14" t="str">
        <f aca="false">IF($D249=1,INDEX(TblClusters[RAM par nœud (Go)],$B249),"")</f>
        <v/>
      </c>
      <c r="J249" s="14" t="str">
        <f aca="false">IF($D249=1,INDEX(TblClusters[Workers min],$B249),"")</f>
        <v/>
      </c>
      <c r="K249" s="84" t="str">
        <f aca="false">IF($D249=1,INDEX(TblClusters[Tarif par nœud],$B249),"")</f>
        <v/>
      </c>
      <c r="L249" s="14" t="str">
        <f aca="false">IF($D249=1,INDEX(TblClusters[CPU initial (vCPU)],$B249),"")</f>
        <v/>
      </c>
      <c r="M249" s="14" t="str">
        <f aca="false">IF($D249=1,INDEX(TblClusters[RAM initiale (Go)],$B249),"")</f>
        <v/>
      </c>
      <c r="N249" s="14" t="str">
        <f aca="false">IF($D249=1,INDEX(TblClusters[CPU min (vCPU)],$B249),"")</f>
        <v/>
      </c>
      <c r="O249" s="14" t="str">
        <f aca="false">IF($D249=1,INDEX(TblClusters[RAM min (Go)],$B249),"")</f>
        <v/>
      </c>
      <c r="P249" s="14" t="str">
        <f aca="false">IF($D249&lt;&gt;1,"",IF($G249="ROKS",SUMIFS(TblApplications[Besoin ROKS CPU (vCPU)],TblApplications[Cluster ROKS cible],$F249,TblApplications[Action],"À migrer",TblApplications[Déjà incluse ROKS],"Non",TblApplications[Mois prov (calc)],"&lt;="&amp;$E249),SUMIFS(TblApplications[CPU IKS libérable (vCPU)],TblApplications[Cluster IKS source],$F249,TblApplications[Mois lib (calc)],"&lt;="&amp;$E249)))</f>
        <v/>
      </c>
      <c r="Q249" s="14" t="str">
        <f aca="false">IF($D249&lt;&gt;1,"",IF($G249="ROKS",SUMIFS(TblApplications[Besoin ROKS RAM (Go)],TblApplications[Cluster ROKS cible],$F249,TblApplications[Action],"À migrer",TblApplications[Déjà incluse ROKS],"Non",TblApplications[Mois prov (calc)],"&lt;="&amp;$E249),SUMIFS(TblApplications[RAM IKS libérable (Go)],TblApplications[Cluster IKS source],$F249,TblApplications[Mois lib (calc)],"&lt;="&amp;$E249)))</f>
        <v/>
      </c>
      <c r="R249" s="14" t="str">
        <f aca="false">IF($D249&lt;&gt;1,"",IF($G249="ROKS",$L249+$P249,IF($AI249=1,0,MAX($N249,$L249-$P249))))</f>
        <v/>
      </c>
      <c r="S249" s="14" t="str">
        <f aca="false">IF($D249&lt;&gt;1,"",IF($G249="ROKS",$M249+$Q249,IF($AI249=1,0,MAX($O249,$M249-$Q249))))</f>
        <v/>
      </c>
      <c r="T249" s="14" t="str">
        <f aca="false">IF($D249&lt;&gt;1,"",IF($AI249=1,0,MAX($J249,ROUNDUP(MAX($R249/$H249,$S249/$I249),0))))</f>
        <v/>
      </c>
      <c r="U249" s="14" t="str">
        <f aca="false">IF($D249&lt;&gt;1,"",IF(p_mode="Nœud",$T249*$H249,$R249))</f>
        <v/>
      </c>
      <c r="V249" s="14" t="str">
        <f aca="false">IF($D249&lt;&gt;1,"",IF(p_mode="Nœud",$T249*$I249,$S249))</f>
        <v/>
      </c>
      <c r="W249" s="84" t="str">
        <f aca="false">IF($D249&lt;&gt;1,"",IF(p_mode="Nœud",$T249*$K249,$R249*IF($G249="IKS",p_iks_cpu,p_roks_cpu)+$S249*IF($G249="IKS",p_iks_ram,p_roks_ram))*p_facteur)</f>
        <v/>
      </c>
      <c r="X249" s="14" t="str">
        <f aca="false">IF($D249&lt;&gt;1,"",IF($G249="ROKS",$R249,IF($AI249=1,0,MAX($N249,$L249-SUMIFS(TblApplications[CPU IKS libérable (vCPU)],TblApplications[Cluster IKS source],$F249,TblApplications[Action],"À migrer",TblApplications[Mois prov (calc)],"&lt;="&amp;$E249)-SUMIFS(TblApplications[CPU IKS libérable (vCPU)],TblApplications[Cluster IKS source],$F249,TblApplications[Action],"À décommissionner",TblApplications[Mois lib (calc)],"&lt;="&amp;$E249)))))</f>
        <v/>
      </c>
      <c r="Y249" s="14" t="str">
        <f aca="false">IF($D249&lt;&gt;1,"",IF($G249="ROKS",$S249,IF($AI249=1,0,MAX($O249,$M249-SUMIFS(TblApplications[RAM IKS libérable (Go)],TblApplications[Cluster IKS source],$F249,TblApplications[Action],"À migrer",TblApplications[Mois prov (calc)],"&lt;="&amp;$E249)-SUMIFS(TblApplications[RAM IKS libérable (Go)],TblApplications[Cluster IKS source],$F249,TblApplications[Action],"À décommissionner",TblApplications[Mois lib (calc)],"&lt;="&amp;$E249)))))</f>
        <v/>
      </c>
      <c r="Z249" s="14" t="str">
        <f aca="false">IF($D249&lt;&gt;1,"",IF($AI249=1,0,MAX($J249,ROUNDUP(MAX($X249/$H249,$Y249/$I249),0))))</f>
        <v/>
      </c>
      <c r="AA249" s="84" t="str">
        <f aca="false">IF($D249&lt;&gt;1,"",IF(p_mode="Nœud",$Z249*$K249,$X249*IF($G249="IKS",p_iks_cpu,p_roks_cpu)+$Y249*IF($G249="IKS",p_iks_ram,p_roks_ram))*p_facteur)</f>
        <v/>
      </c>
      <c r="AB249" s="14" t="str">
        <f aca="false">IF($D249&lt;&gt;1,"",MAX($J249,ROUNDUP(MAX($L249/$H249,$M249/$I249),0)))</f>
        <v/>
      </c>
      <c r="AC249" s="84" t="str">
        <f aca="false">IF($D249&lt;&gt;1,"",IF(p_mode="Nœud",$AB249*$K249,$L249*IF($G249="IKS",p_iks_cpu,p_roks_cpu)+$M249*IF($G249="IKS",p_iks_ram,p_roks_ram))*p_facteur)</f>
        <v/>
      </c>
      <c r="AD249" s="14" t="str">
        <f aca="false">IF($D249&lt;&gt;1,"",IF(AND($G249="IKS",$AI249&lt;&gt;1,OR($L249-$P249&lt;$N249,$M249-$Q249&lt;$O249)),1,0))</f>
        <v/>
      </c>
      <c r="AE249" s="14" t="str">
        <f aca="false">IF($D249&lt;&gt;1,"",IF(AND($G249="ROKS",$T249&gt;p_maxworkers),1,0))</f>
        <v/>
      </c>
      <c r="AF249" s="14" t="str">
        <f aca="false">IF($D249&lt;&gt;1,"",IF(INDEX(TblClusters[Environnement],$B249)="","(vide)",INDEX(TblClusters[Environnement],$B249)))</f>
        <v/>
      </c>
      <c r="AG249" s="14" t="str">
        <f aca="false">IF($D249&lt;&gt;1,"",$R249+p_poidsram*$S249)</f>
        <v/>
      </c>
      <c r="AH249" s="14" t="str">
        <f aca="false">IF($D249&lt;&gt;1,"",IFERROR($W249/$AG249,0))</f>
        <v/>
      </c>
      <c r="AI249" s="14" t="str">
        <f aca="false">IF($D249&lt;&gt;1,"",IF(AND($G249="IKS",ISNUMBER(INDEX(TblClusters[Fermeture retenue],$B249))),IF($E249&gt;=INDEX(TblClusters[Fermeture retenue],$B249),1,0),0))</f>
        <v/>
      </c>
    </row>
    <row r="250" customFormat="false" ht="15" hidden="false" customHeight="false" outlineLevel="0" collapsed="false">
      <c r="A250" s="14" t="n">
        <v>245</v>
      </c>
      <c r="B250" s="14" t="n">
        <f aca="false">INT(($A250-1)/36)+1</f>
        <v>7</v>
      </c>
      <c r="C250" s="14" t="n">
        <f aca="false">MOD($A250-1,36)+1</f>
        <v>29</v>
      </c>
      <c r="D250" s="14" t="n">
        <f aca="false">IF($C250&gt;p_horizon,0,IFERROR(IF(AND(INDEX(TblClusters[Cluster],$B250)&lt;&gt;"",ISNUMBER(INDEX(TblClusters[CPU initial (vCPU)],$B250)),ISNUMBER(INDEX(TblClusters[CPU min (vCPU)],$B250)),OR(INDEX(TblClusters[Plateforme],$B250)="IKS",INDEX(TblClusters[Plateforme],$B250)="ROKS")),1,0),0))</f>
        <v>0</v>
      </c>
      <c r="E250" s="83" t="str">
        <f aca="false">IF($D250=1,EDATE(p_debut,$C250-1),"")</f>
        <v/>
      </c>
      <c r="F250" s="14" t="str">
        <f aca="false">IF($D250=1,INDEX(TblClusters[Cluster],$B250),"")</f>
        <v/>
      </c>
      <c r="G250" s="14" t="str">
        <f aca="false">IF($D250=1,INDEX(TblClusters[Plateforme],$B250),"")</f>
        <v/>
      </c>
      <c r="H250" s="14" t="str">
        <f aca="false">IF($D250=1,INDEX(TblClusters[vCPU par nœud],$B250),"")</f>
        <v/>
      </c>
      <c r="I250" s="14" t="str">
        <f aca="false">IF($D250=1,INDEX(TblClusters[RAM par nœud (Go)],$B250),"")</f>
        <v/>
      </c>
      <c r="J250" s="14" t="str">
        <f aca="false">IF($D250=1,INDEX(TblClusters[Workers min],$B250),"")</f>
        <v/>
      </c>
      <c r="K250" s="84" t="str">
        <f aca="false">IF($D250=1,INDEX(TblClusters[Tarif par nœud],$B250),"")</f>
        <v/>
      </c>
      <c r="L250" s="14" t="str">
        <f aca="false">IF($D250=1,INDEX(TblClusters[CPU initial (vCPU)],$B250),"")</f>
        <v/>
      </c>
      <c r="M250" s="14" t="str">
        <f aca="false">IF($D250=1,INDEX(TblClusters[RAM initiale (Go)],$B250),"")</f>
        <v/>
      </c>
      <c r="N250" s="14" t="str">
        <f aca="false">IF($D250=1,INDEX(TblClusters[CPU min (vCPU)],$B250),"")</f>
        <v/>
      </c>
      <c r="O250" s="14" t="str">
        <f aca="false">IF($D250=1,INDEX(TblClusters[RAM min (Go)],$B250),"")</f>
        <v/>
      </c>
      <c r="P250" s="14" t="str">
        <f aca="false">IF($D250&lt;&gt;1,"",IF($G250="ROKS",SUMIFS(TblApplications[Besoin ROKS CPU (vCPU)],TblApplications[Cluster ROKS cible],$F250,TblApplications[Action],"À migrer",TblApplications[Déjà incluse ROKS],"Non",TblApplications[Mois prov (calc)],"&lt;="&amp;$E250),SUMIFS(TblApplications[CPU IKS libérable (vCPU)],TblApplications[Cluster IKS source],$F250,TblApplications[Mois lib (calc)],"&lt;="&amp;$E250)))</f>
        <v/>
      </c>
      <c r="Q250" s="14" t="str">
        <f aca="false">IF($D250&lt;&gt;1,"",IF($G250="ROKS",SUMIFS(TblApplications[Besoin ROKS RAM (Go)],TblApplications[Cluster ROKS cible],$F250,TblApplications[Action],"À migrer",TblApplications[Déjà incluse ROKS],"Non",TblApplications[Mois prov (calc)],"&lt;="&amp;$E250),SUMIFS(TblApplications[RAM IKS libérable (Go)],TblApplications[Cluster IKS source],$F250,TblApplications[Mois lib (calc)],"&lt;="&amp;$E250)))</f>
        <v/>
      </c>
      <c r="R250" s="14" t="str">
        <f aca="false">IF($D250&lt;&gt;1,"",IF($G250="ROKS",$L250+$P250,IF($AI250=1,0,MAX($N250,$L250-$P250))))</f>
        <v/>
      </c>
      <c r="S250" s="14" t="str">
        <f aca="false">IF($D250&lt;&gt;1,"",IF($G250="ROKS",$M250+$Q250,IF($AI250=1,0,MAX($O250,$M250-$Q250))))</f>
        <v/>
      </c>
      <c r="T250" s="14" t="str">
        <f aca="false">IF($D250&lt;&gt;1,"",IF($AI250=1,0,MAX($J250,ROUNDUP(MAX($R250/$H250,$S250/$I250),0))))</f>
        <v/>
      </c>
      <c r="U250" s="14" t="str">
        <f aca="false">IF($D250&lt;&gt;1,"",IF(p_mode="Nœud",$T250*$H250,$R250))</f>
        <v/>
      </c>
      <c r="V250" s="14" t="str">
        <f aca="false">IF($D250&lt;&gt;1,"",IF(p_mode="Nœud",$T250*$I250,$S250))</f>
        <v/>
      </c>
      <c r="W250" s="84" t="str">
        <f aca="false">IF($D250&lt;&gt;1,"",IF(p_mode="Nœud",$T250*$K250,$R250*IF($G250="IKS",p_iks_cpu,p_roks_cpu)+$S250*IF($G250="IKS",p_iks_ram,p_roks_ram))*p_facteur)</f>
        <v/>
      </c>
      <c r="X250" s="14" t="str">
        <f aca="false">IF($D250&lt;&gt;1,"",IF($G250="ROKS",$R250,IF($AI250=1,0,MAX($N250,$L250-SUMIFS(TblApplications[CPU IKS libérable (vCPU)],TblApplications[Cluster IKS source],$F250,TblApplications[Action],"À migrer",TblApplications[Mois prov (calc)],"&lt;="&amp;$E250)-SUMIFS(TblApplications[CPU IKS libérable (vCPU)],TblApplications[Cluster IKS source],$F250,TblApplications[Action],"À décommissionner",TblApplications[Mois lib (calc)],"&lt;="&amp;$E250)))))</f>
        <v/>
      </c>
      <c r="Y250" s="14" t="str">
        <f aca="false">IF($D250&lt;&gt;1,"",IF($G250="ROKS",$S250,IF($AI250=1,0,MAX($O250,$M250-SUMIFS(TblApplications[RAM IKS libérable (Go)],TblApplications[Cluster IKS source],$F250,TblApplications[Action],"À migrer",TblApplications[Mois prov (calc)],"&lt;="&amp;$E250)-SUMIFS(TblApplications[RAM IKS libérable (Go)],TblApplications[Cluster IKS source],$F250,TblApplications[Action],"À décommissionner",TblApplications[Mois lib (calc)],"&lt;="&amp;$E250)))))</f>
        <v/>
      </c>
      <c r="Z250" s="14" t="str">
        <f aca="false">IF($D250&lt;&gt;1,"",IF($AI250=1,0,MAX($J250,ROUNDUP(MAX($X250/$H250,$Y250/$I250),0))))</f>
        <v/>
      </c>
      <c r="AA250" s="84" t="str">
        <f aca="false">IF($D250&lt;&gt;1,"",IF(p_mode="Nœud",$Z250*$K250,$X250*IF($G250="IKS",p_iks_cpu,p_roks_cpu)+$Y250*IF($G250="IKS",p_iks_ram,p_roks_ram))*p_facteur)</f>
        <v/>
      </c>
      <c r="AB250" s="14" t="str">
        <f aca="false">IF($D250&lt;&gt;1,"",MAX($J250,ROUNDUP(MAX($L250/$H250,$M250/$I250),0)))</f>
        <v/>
      </c>
      <c r="AC250" s="84" t="str">
        <f aca="false">IF($D250&lt;&gt;1,"",IF(p_mode="Nœud",$AB250*$K250,$L250*IF($G250="IKS",p_iks_cpu,p_roks_cpu)+$M250*IF($G250="IKS",p_iks_ram,p_roks_ram))*p_facteur)</f>
        <v/>
      </c>
      <c r="AD250" s="14" t="str">
        <f aca="false">IF($D250&lt;&gt;1,"",IF(AND($G250="IKS",$AI250&lt;&gt;1,OR($L250-$P250&lt;$N250,$M250-$Q250&lt;$O250)),1,0))</f>
        <v/>
      </c>
      <c r="AE250" s="14" t="str">
        <f aca="false">IF($D250&lt;&gt;1,"",IF(AND($G250="ROKS",$T250&gt;p_maxworkers),1,0))</f>
        <v/>
      </c>
      <c r="AF250" s="14" t="str">
        <f aca="false">IF($D250&lt;&gt;1,"",IF(INDEX(TblClusters[Environnement],$B250)="","(vide)",INDEX(TblClusters[Environnement],$B250)))</f>
        <v/>
      </c>
      <c r="AG250" s="14" t="str">
        <f aca="false">IF($D250&lt;&gt;1,"",$R250+p_poidsram*$S250)</f>
        <v/>
      </c>
      <c r="AH250" s="14" t="str">
        <f aca="false">IF($D250&lt;&gt;1,"",IFERROR($W250/$AG250,0))</f>
        <v/>
      </c>
      <c r="AI250" s="14" t="str">
        <f aca="false">IF($D250&lt;&gt;1,"",IF(AND($G250="IKS",ISNUMBER(INDEX(TblClusters[Fermeture retenue],$B250))),IF($E250&gt;=INDEX(TblClusters[Fermeture retenue],$B250),1,0),0))</f>
        <v/>
      </c>
    </row>
    <row r="251" customFormat="false" ht="15" hidden="false" customHeight="false" outlineLevel="0" collapsed="false">
      <c r="A251" s="14" t="n">
        <v>246</v>
      </c>
      <c r="B251" s="14" t="n">
        <f aca="false">INT(($A251-1)/36)+1</f>
        <v>7</v>
      </c>
      <c r="C251" s="14" t="n">
        <f aca="false">MOD($A251-1,36)+1</f>
        <v>30</v>
      </c>
      <c r="D251" s="14" t="n">
        <f aca="false">IF($C251&gt;p_horizon,0,IFERROR(IF(AND(INDEX(TblClusters[Cluster],$B251)&lt;&gt;"",ISNUMBER(INDEX(TblClusters[CPU initial (vCPU)],$B251)),ISNUMBER(INDEX(TblClusters[CPU min (vCPU)],$B251)),OR(INDEX(TblClusters[Plateforme],$B251)="IKS",INDEX(TblClusters[Plateforme],$B251)="ROKS")),1,0),0))</f>
        <v>0</v>
      </c>
      <c r="E251" s="83" t="str">
        <f aca="false">IF($D251=1,EDATE(p_debut,$C251-1),"")</f>
        <v/>
      </c>
      <c r="F251" s="14" t="str">
        <f aca="false">IF($D251=1,INDEX(TblClusters[Cluster],$B251),"")</f>
        <v/>
      </c>
      <c r="G251" s="14" t="str">
        <f aca="false">IF($D251=1,INDEX(TblClusters[Plateforme],$B251),"")</f>
        <v/>
      </c>
      <c r="H251" s="14" t="str">
        <f aca="false">IF($D251=1,INDEX(TblClusters[vCPU par nœud],$B251),"")</f>
        <v/>
      </c>
      <c r="I251" s="14" t="str">
        <f aca="false">IF($D251=1,INDEX(TblClusters[RAM par nœud (Go)],$B251),"")</f>
        <v/>
      </c>
      <c r="J251" s="14" t="str">
        <f aca="false">IF($D251=1,INDEX(TblClusters[Workers min],$B251),"")</f>
        <v/>
      </c>
      <c r="K251" s="84" t="str">
        <f aca="false">IF($D251=1,INDEX(TblClusters[Tarif par nœud],$B251),"")</f>
        <v/>
      </c>
      <c r="L251" s="14" t="str">
        <f aca="false">IF($D251=1,INDEX(TblClusters[CPU initial (vCPU)],$B251),"")</f>
        <v/>
      </c>
      <c r="M251" s="14" t="str">
        <f aca="false">IF($D251=1,INDEX(TblClusters[RAM initiale (Go)],$B251),"")</f>
        <v/>
      </c>
      <c r="N251" s="14" t="str">
        <f aca="false">IF($D251=1,INDEX(TblClusters[CPU min (vCPU)],$B251),"")</f>
        <v/>
      </c>
      <c r="O251" s="14" t="str">
        <f aca="false">IF($D251=1,INDEX(TblClusters[RAM min (Go)],$B251),"")</f>
        <v/>
      </c>
      <c r="P251" s="14" t="str">
        <f aca="false">IF($D251&lt;&gt;1,"",IF($G251="ROKS",SUMIFS(TblApplications[Besoin ROKS CPU (vCPU)],TblApplications[Cluster ROKS cible],$F251,TblApplications[Action],"À migrer",TblApplications[Déjà incluse ROKS],"Non",TblApplications[Mois prov (calc)],"&lt;="&amp;$E251),SUMIFS(TblApplications[CPU IKS libérable (vCPU)],TblApplications[Cluster IKS source],$F251,TblApplications[Mois lib (calc)],"&lt;="&amp;$E251)))</f>
        <v/>
      </c>
      <c r="Q251" s="14" t="str">
        <f aca="false">IF($D251&lt;&gt;1,"",IF($G251="ROKS",SUMIFS(TblApplications[Besoin ROKS RAM (Go)],TblApplications[Cluster ROKS cible],$F251,TblApplications[Action],"À migrer",TblApplications[Déjà incluse ROKS],"Non",TblApplications[Mois prov (calc)],"&lt;="&amp;$E251),SUMIFS(TblApplications[RAM IKS libérable (Go)],TblApplications[Cluster IKS source],$F251,TblApplications[Mois lib (calc)],"&lt;="&amp;$E251)))</f>
        <v/>
      </c>
      <c r="R251" s="14" t="str">
        <f aca="false">IF($D251&lt;&gt;1,"",IF($G251="ROKS",$L251+$P251,IF($AI251=1,0,MAX($N251,$L251-$P251))))</f>
        <v/>
      </c>
      <c r="S251" s="14" t="str">
        <f aca="false">IF($D251&lt;&gt;1,"",IF($G251="ROKS",$M251+$Q251,IF($AI251=1,0,MAX($O251,$M251-$Q251))))</f>
        <v/>
      </c>
      <c r="T251" s="14" t="str">
        <f aca="false">IF($D251&lt;&gt;1,"",IF($AI251=1,0,MAX($J251,ROUNDUP(MAX($R251/$H251,$S251/$I251),0))))</f>
        <v/>
      </c>
      <c r="U251" s="14" t="str">
        <f aca="false">IF($D251&lt;&gt;1,"",IF(p_mode="Nœud",$T251*$H251,$R251))</f>
        <v/>
      </c>
      <c r="V251" s="14" t="str">
        <f aca="false">IF($D251&lt;&gt;1,"",IF(p_mode="Nœud",$T251*$I251,$S251))</f>
        <v/>
      </c>
      <c r="W251" s="84" t="str">
        <f aca="false">IF($D251&lt;&gt;1,"",IF(p_mode="Nœud",$T251*$K251,$R251*IF($G251="IKS",p_iks_cpu,p_roks_cpu)+$S251*IF($G251="IKS",p_iks_ram,p_roks_ram))*p_facteur)</f>
        <v/>
      </c>
      <c r="X251" s="14" t="str">
        <f aca="false">IF($D251&lt;&gt;1,"",IF($G251="ROKS",$R251,IF($AI251=1,0,MAX($N251,$L251-SUMIFS(TblApplications[CPU IKS libérable (vCPU)],TblApplications[Cluster IKS source],$F251,TblApplications[Action],"À migrer",TblApplications[Mois prov (calc)],"&lt;="&amp;$E251)-SUMIFS(TblApplications[CPU IKS libérable (vCPU)],TblApplications[Cluster IKS source],$F251,TblApplications[Action],"À décommissionner",TblApplications[Mois lib (calc)],"&lt;="&amp;$E251)))))</f>
        <v/>
      </c>
      <c r="Y251" s="14" t="str">
        <f aca="false">IF($D251&lt;&gt;1,"",IF($G251="ROKS",$S251,IF($AI251=1,0,MAX($O251,$M251-SUMIFS(TblApplications[RAM IKS libérable (Go)],TblApplications[Cluster IKS source],$F251,TblApplications[Action],"À migrer",TblApplications[Mois prov (calc)],"&lt;="&amp;$E251)-SUMIFS(TblApplications[RAM IKS libérable (Go)],TblApplications[Cluster IKS source],$F251,TblApplications[Action],"À décommissionner",TblApplications[Mois lib (calc)],"&lt;="&amp;$E251)))))</f>
        <v/>
      </c>
      <c r="Z251" s="14" t="str">
        <f aca="false">IF($D251&lt;&gt;1,"",IF($AI251=1,0,MAX($J251,ROUNDUP(MAX($X251/$H251,$Y251/$I251),0))))</f>
        <v/>
      </c>
      <c r="AA251" s="84" t="str">
        <f aca="false">IF($D251&lt;&gt;1,"",IF(p_mode="Nœud",$Z251*$K251,$X251*IF($G251="IKS",p_iks_cpu,p_roks_cpu)+$Y251*IF($G251="IKS",p_iks_ram,p_roks_ram))*p_facteur)</f>
        <v/>
      </c>
      <c r="AB251" s="14" t="str">
        <f aca="false">IF($D251&lt;&gt;1,"",MAX($J251,ROUNDUP(MAX($L251/$H251,$M251/$I251),0)))</f>
        <v/>
      </c>
      <c r="AC251" s="84" t="str">
        <f aca="false">IF($D251&lt;&gt;1,"",IF(p_mode="Nœud",$AB251*$K251,$L251*IF($G251="IKS",p_iks_cpu,p_roks_cpu)+$M251*IF($G251="IKS",p_iks_ram,p_roks_ram))*p_facteur)</f>
        <v/>
      </c>
      <c r="AD251" s="14" t="str">
        <f aca="false">IF($D251&lt;&gt;1,"",IF(AND($G251="IKS",$AI251&lt;&gt;1,OR($L251-$P251&lt;$N251,$M251-$Q251&lt;$O251)),1,0))</f>
        <v/>
      </c>
      <c r="AE251" s="14" t="str">
        <f aca="false">IF($D251&lt;&gt;1,"",IF(AND($G251="ROKS",$T251&gt;p_maxworkers),1,0))</f>
        <v/>
      </c>
      <c r="AF251" s="14" t="str">
        <f aca="false">IF($D251&lt;&gt;1,"",IF(INDEX(TblClusters[Environnement],$B251)="","(vide)",INDEX(TblClusters[Environnement],$B251)))</f>
        <v/>
      </c>
      <c r="AG251" s="14" t="str">
        <f aca="false">IF($D251&lt;&gt;1,"",$R251+p_poidsram*$S251)</f>
        <v/>
      </c>
      <c r="AH251" s="14" t="str">
        <f aca="false">IF($D251&lt;&gt;1,"",IFERROR($W251/$AG251,0))</f>
        <v/>
      </c>
      <c r="AI251" s="14" t="str">
        <f aca="false">IF($D251&lt;&gt;1,"",IF(AND($G251="IKS",ISNUMBER(INDEX(TblClusters[Fermeture retenue],$B251))),IF($E251&gt;=INDEX(TblClusters[Fermeture retenue],$B251),1,0),0))</f>
        <v/>
      </c>
    </row>
    <row r="252" customFormat="false" ht="15" hidden="false" customHeight="false" outlineLevel="0" collapsed="false">
      <c r="A252" s="14" t="n">
        <v>247</v>
      </c>
      <c r="B252" s="14" t="n">
        <f aca="false">INT(($A252-1)/36)+1</f>
        <v>7</v>
      </c>
      <c r="C252" s="14" t="n">
        <f aca="false">MOD($A252-1,36)+1</f>
        <v>31</v>
      </c>
      <c r="D252" s="14" t="n">
        <f aca="false">IF($C252&gt;p_horizon,0,IFERROR(IF(AND(INDEX(TblClusters[Cluster],$B252)&lt;&gt;"",ISNUMBER(INDEX(TblClusters[CPU initial (vCPU)],$B252)),ISNUMBER(INDEX(TblClusters[CPU min (vCPU)],$B252)),OR(INDEX(TblClusters[Plateforme],$B252)="IKS",INDEX(TblClusters[Plateforme],$B252)="ROKS")),1,0),0))</f>
        <v>0</v>
      </c>
      <c r="E252" s="83" t="str">
        <f aca="false">IF($D252=1,EDATE(p_debut,$C252-1),"")</f>
        <v/>
      </c>
      <c r="F252" s="14" t="str">
        <f aca="false">IF($D252=1,INDEX(TblClusters[Cluster],$B252),"")</f>
        <v/>
      </c>
      <c r="G252" s="14" t="str">
        <f aca="false">IF($D252=1,INDEX(TblClusters[Plateforme],$B252),"")</f>
        <v/>
      </c>
      <c r="H252" s="14" t="str">
        <f aca="false">IF($D252=1,INDEX(TblClusters[vCPU par nœud],$B252),"")</f>
        <v/>
      </c>
      <c r="I252" s="14" t="str">
        <f aca="false">IF($D252=1,INDEX(TblClusters[RAM par nœud (Go)],$B252),"")</f>
        <v/>
      </c>
      <c r="J252" s="14" t="str">
        <f aca="false">IF($D252=1,INDEX(TblClusters[Workers min],$B252),"")</f>
        <v/>
      </c>
      <c r="K252" s="84" t="str">
        <f aca="false">IF($D252=1,INDEX(TblClusters[Tarif par nœud],$B252),"")</f>
        <v/>
      </c>
      <c r="L252" s="14" t="str">
        <f aca="false">IF($D252=1,INDEX(TblClusters[CPU initial (vCPU)],$B252),"")</f>
        <v/>
      </c>
      <c r="M252" s="14" t="str">
        <f aca="false">IF($D252=1,INDEX(TblClusters[RAM initiale (Go)],$B252),"")</f>
        <v/>
      </c>
      <c r="N252" s="14" t="str">
        <f aca="false">IF($D252=1,INDEX(TblClusters[CPU min (vCPU)],$B252),"")</f>
        <v/>
      </c>
      <c r="O252" s="14" t="str">
        <f aca="false">IF($D252=1,INDEX(TblClusters[RAM min (Go)],$B252),"")</f>
        <v/>
      </c>
      <c r="P252" s="14" t="str">
        <f aca="false">IF($D252&lt;&gt;1,"",IF($G252="ROKS",SUMIFS(TblApplications[Besoin ROKS CPU (vCPU)],TblApplications[Cluster ROKS cible],$F252,TblApplications[Action],"À migrer",TblApplications[Déjà incluse ROKS],"Non",TblApplications[Mois prov (calc)],"&lt;="&amp;$E252),SUMIFS(TblApplications[CPU IKS libérable (vCPU)],TblApplications[Cluster IKS source],$F252,TblApplications[Mois lib (calc)],"&lt;="&amp;$E252)))</f>
        <v/>
      </c>
      <c r="Q252" s="14" t="str">
        <f aca="false">IF($D252&lt;&gt;1,"",IF($G252="ROKS",SUMIFS(TblApplications[Besoin ROKS RAM (Go)],TblApplications[Cluster ROKS cible],$F252,TblApplications[Action],"À migrer",TblApplications[Déjà incluse ROKS],"Non",TblApplications[Mois prov (calc)],"&lt;="&amp;$E252),SUMIFS(TblApplications[RAM IKS libérable (Go)],TblApplications[Cluster IKS source],$F252,TblApplications[Mois lib (calc)],"&lt;="&amp;$E252)))</f>
        <v/>
      </c>
      <c r="R252" s="14" t="str">
        <f aca="false">IF($D252&lt;&gt;1,"",IF($G252="ROKS",$L252+$P252,IF($AI252=1,0,MAX($N252,$L252-$P252))))</f>
        <v/>
      </c>
      <c r="S252" s="14" t="str">
        <f aca="false">IF($D252&lt;&gt;1,"",IF($G252="ROKS",$M252+$Q252,IF($AI252=1,0,MAX($O252,$M252-$Q252))))</f>
        <v/>
      </c>
      <c r="T252" s="14" t="str">
        <f aca="false">IF($D252&lt;&gt;1,"",IF($AI252=1,0,MAX($J252,ROUNDUP(MAX($R252/$H252,$S252/$I252),0))))</f>
        <v/>
      </c>
      <c r="U252" s="14" t="str">
        <f aca="false">IF($D252&lt;&gt;1,"",IF(p_mode="Nœud",$T252*$H252,$R252))</f>
        <v/>
      </c>
      <c r="V252" s="14" t="str">
        <f aca="false">IF($D252&lt;&gt;1,"",IF(p_mode="Nœud",$T252*$I252,$S252))</f>
        <v/>
      </c>
      <c r="W252" s="84" t="str">
        <f aca="false">IF($D252&lt;&gt;1,"",IF(p_mode="Nœud",$T252*$K252,$R252*IF($G252="IKS",p_iks_cpu,p_roks_cpu)+$S252*IF($G252="IKS",p_iks_ram,p_roks_ram))*p_facteur)</f>
        <v/>
      </c>
      <c r="X252" s="14" t="str">
        <f aca="false">IF($D252&lt;&gt;1,"",IF($G252="ROKS",$R252,IF($AI252=1,0,MAX($N252,$L252-SUMIFS(TblApplications[CPU IKS libérable (vCPU)],TblApplications[Cluster IKS source],$F252,TblApplications[Action],"À migrer",TblApplications[Mois prov (calc)],"&lt;="&amp;$E252)-SUMIFS(TblApplications[CPU IKS libérable (vCPU)],TblApplications[Cluster IKS source],$F252,TblApplications[Action],"À décommissionner",TblApplications[Mois lib (calc)],"&lt;="&amp;$E252)))))</f>
        <v/>
      </c>
      <c r="Y252" s="14" t="str">
        <f aca="false">IF($D252&lt;&gt;1,"",IF($G252="ROKS",$S252,IF($AI252=1,0,MAX($O252,$M252-SUMIFS(TblApplications[RAM IKS libérable (Go)],TblApplications[Cluster IKS source],$F252,TblApplications[Action],"À migrer",TblApplications[Mois prov (calc)],"&lt;="&amp;$E252)-SUMIFS(TblApplications[RAM IKS libérable (Go)],TblApplications[Cluster IKS source],$F252,TblApplications[Action],"À décommissionner",TblApplications[Mois lib (calc)],"&lt;="&amp;$E252)))))</f>
        <v/>
      </c>
      <c r="Z252" s="14" t="str">
        <f aca="false">IF($D252&lt;&gt;1,"",IF($AI252=1,0,MAX($J252,ROUNDUP(MAX($X252/$H252,$Y252/$I252),0))))</f>
        <v/>
      </c>
      <c r="AA252" s="84" t="str">
        <f aca="false">IF($D252&lt;&gt;1,"",IF(p_mode="Nœud",$Z252*$K252,$X252*IF($G252="IKS",p_iks_cpu,p_roks_cpu)+$Y252*IF($G252="IKS",p_iks_ram,p_roks_ram))*p_facteur)</f>
        <v/>
      </c>
      <c r="AB252" s="14" t="str">
        <f aca="false">IF($D252&lt;&gt;1,"",MAX($J252,ROUNDUP(MAX($L252/$H252,$M252/$I252),0)))</f>
        <v/>
      </c>
      <c r="AC252" s="84" t="str">
        <f aca="false">IF($D252&lt;&gt;1,"",IF(p_mode="Nœud",$AB252*$K252,$L252*IF($G252="IKS",p_iks_cpu,p_roks_cpu)+$M252*IF($G252="IKS",p_iks_ram,p_roks_ram))*p_facteur)</f>
        <v/>
      </c>
      <c r="AD252" s="14" t="str">
        <f aca="false">IF($D252&lt;&gt;1,"",IF(AND($G252="IKS",$AI252&lt;&gt;1,OR($L252-$P252&lt;$N252,$M252-$Q252&lt;$O252)),1,0))</f>
        <v/>
      </c>
      <c r="AE252" s="14" t="str">
        <f aca="false">IF($D252&lt;&gt;1,"",IF(AND($G252="ROKS",$T252&gt;p_maxworkers),1,0))</f>
        <v/>
      </c>
      <c r="AF252" s="14" t="str">
        <f aca="false">IF($D252&lt;&gt;1,"",IF(INDEX(TblClusters[Environnement],$B252)="","(vide)",INDEX(TblClusters[Environnement],$B252)))</f>
        <v/>
      </c>
      <c r="AG252" s="14" t="str">
        <f aca="false">IF($D252&lt;&gt;1,"",$R252+p_poidsram*$S252)</f>
        <v/>
      </c>
      <c r="AH252" s="14" t="str">
        <f aca="false">IF($D252&lt;&gt;1,"",IFERROR($W252/$AG252,0))</f>
        <v/>
      </c>
      <c r="AI252" s="14" t="str">
        <f aca="false">IF($D252&lt;&gt;1,"",IF(AND($G252="IKS",ISNUMBER(INDEX(TblClusters[Fermeture retenue],$B252))),IF($E252&gt;=INDEX(TblClusters[Fermeture retenue],$B252),1,0),0))</f>
        <v/>
      </c>
    </row>
    <row r="253" customFormat="false" ht="15" hidden="false" customHeight="false" outlineLevel="0" collapsed="false">
      <c r="A253" s="14" t="n">
        <v>248</v>
      </c>
      <c r="B253" s="14" t="n">
        <f aca="false">INT(($A253-1)/36)+1</f>
        <v>7</v>
      </c>
      <c r="C253" s="14" t="n">
        <f aca="false">MOD($A253-1,36)+1</f>
        <v>32</v>
      </c>
      <c r="D253" s="14" t="n">
        <f aca="false">IF($C253&gt;p_horizon,0,IFERROR(IF(AND(INDEX(TblClusters[Cluster],$B253)&lt;&gt;"",ISNUMBER(INDEX(TblClusters[CPU initial (vCPU)],$B253)),ISNUMBER(INDEX(TblClusters[CPU min (vCPU)],$B253)),OR(INDEX(TblClusters[Plateforme],$B253)="IKS",INDEX(TblClusters[Plateforme],$B253)="ROKS")),1,0),0))</f>
        <v>0</v>
      </c>
      <c r="E253" s="83" t="str">
        <f aca="false">IF($D253=1,EDATE(p_debut,$C253-1),"")</f>
        <v/>
      </c>
      <c r="F253" s="14" t="str">
        <f aca="false">IF($D253=1,INDEX(TblClusters[Cluster],$B253),"")</f>
        <v/>
      </c>
      <c r="G253" s="14" t="str">
        <f aca="false">IF($D253=1,INDEX(TblClusters[Plateforme],$B253),"")</f>
        <v/>
      </c>
      <c r="H253" s="14" t="str">
        <f aca="false">IF($D253=1,INDEX(TblClusters[vCPU par nœud],$B253),"")</f>
        <v/>
      </c>
      <c r="I253" s="14" t="str">
        <f aca="false">IF($D253=1,INDEX(TblClusters[RAM par nœud (Go)],$B253),"")</f>
        <v/>
      </c>
      <c r="J253" s="14" t="str">
        <f aca="false">IF($D253=1,INDEX(TblClusters[Workers min],$B253),"")</f>
        <v/>
      </c>
      <c r="K253" s="84" t="str">
        <f aca="false">IF($D253=1,INDEX(TblClusters[Tarif par nœud],$B253),"")</f>
        <v/>
      </c>
      <c r="L253" s="14" t="str">
        <f aca="false">IF($D253=1,INDEX(TblClusters[CPU initial (vCPU)],$B253),"")</f>
        <v/>
      </c>
      <c r="M253" s="14" t="str">
        <f aca="false">IF($D253=1,INDEX(TblClusters[RAM initiale (Go)],$B253),"")</f>
        <v/>
      </c>
      <c r="N253" s="14" t="str">
        <f aca="false">IF($D253=1,INDEX(TblClusters[CPU min (vCPU)],$B253),"")</f>
        <v/>
      </c>
      <c r="O253" s="14" t="str">
        <f aca="false">IF($D253=1,INDEX(TblClusters[RAM min (Go)],$B253),"")</f>
        <v/>
      </c>
      <c r="P253" s="14" t="str">
        <f aca="false">IF($D253&lt;&gt;1,"",IF($G253="ROKS",SUMIFS(TblApplications[Besoin ROKS CPU (vCPU)],TblApplications[Cluster ROKS cible],$F253,TblApplications[Action],"À migrer",TblApplications[Déjà incluse ROKS],"Non",TblApplications[Mois prov (calc)],"&lt;="&amp;$E253),SUMIFS(TblApplications[CPU IKS libérable (vCPU)],TblApplications[Cluster IKS source],$F253,TblApplications[Mois lib (calc)],"&lt;="&amp;$E253)))</f>
        <v/>
      </c>
      <c r="Q253" s="14" t="str">
        <f aca="false">IF($D253&lt;&gt;1,"",IF($G253="ROKS",SUMIFS(TblApplications[Besoin ROKS RAM (Go)],TblApplications[Cluster ROKS cible],$F253,TblApplications[Action],"À migrer",TblApplications[Déjà incluse ROKS],"Non",TblApplications[Mois prov (calc)],"&lt;="&amp;$E253),SUMIFS(TblApplications[RAM IKS libérable (Go)],TblApplications[Cluster IKS source],$F253,TblApplications[Mois lib (calc)],"&lt;="&amp;$E253)))</f>
        <v/>
      </c>
      <c r="R253" s="14" t="str">
        <f aca="false">IF($D253&lt;&gt;1,"",IF($G253="ROKS",$L253+$P253,IF($AI253=1,0,MAX($N253,$L253-$P253))))</f>
        <v/>
      </c>
      <c r="S253" s="14" t="str">
        <f aca="false">IF($D253&lt;&gt;1,"",IF($G253="ROKS",$M253+$Q253,IF($AI253=1,0,MAX($O253,$M253-$Q253))))</f>
        <v/>
      </c>
      <c r="T253" s="14" t="str">
        <f aca="false">IF($D253&lt;&gt;1,"",IF($AI253=1,0,MAX($J253,ROUNDUP(MAX($R253/$H253,$S253/$I253),0))))</f>
        <v/>
      </c>
      <c r="U253" s="14" t="str">
        <f aca="false">IF($D253&lt;&gt;1,"",IF(p_mode="Nœud",$T253*$H253,$R253))</f>
        <v/>
      </c>
      <c r="V253" s="14" t="str">
        <f aca="false">IF($D253&lt;&gt;1,"",IF(p_mode="Nœud",$T253*$I253,$S253))</f>
        <v/>
      </c>
      <c r="W253" s="84" t="str">
        <f aca="false">IF($D253&lt;&gt;1,"",IF(p_mode="Nœud",$T253*$K253,$R253*IF($G253="IKS",p_iks_cpu,p_roks_cpu)+$S253*IF($G253="IKS",p_iks_ram,p_roks_ram))*p_facteur)</f>
        <v/>
      </c>
      <c r="X253" s="14" t="str">
        <f aca="false">IF($D253&lt;&gt;1,"",IF($G253="ROKS",$R253,IF($AI253=1,0,MAX($N253,$L253-SUMIFS(TblApplications[CPU IKS libérable (vCPU)],TblApplications[Cluster IKS source],$F253,TblApplications[Action],"À migrer",TblApplications[Mois prov (calc)],"&lt;="&amp;$E253)-SUMIFS(TblApplications[CPU IKS libérable (vCPU)],TblApplications[Cluster IKS source],$F253,TblApplications[Action],"À décommissionner",TblApplications[Mois lib (calc)],"&lt;="&amp;$E253)))))</f>
        <v/>
      </c>
      <c r="Y253" s="14" t="str">
        <f aca="false">IF($D253&lt;&gt;1,"",IF($G253="ROKS",$S253,IF($AI253=1,0,MAX($O253,$M253-SUMIFS(TblApplications[RAM IKS libérable (Go)],TblApplications[Cluster IKS source],$F253,TblApplications[Action],"À migrer",TblApplications[Mois prov (calc)],"&lt;="&amp;$E253)-SUMIFS(TblApplications[RAM IKS libérable (Go)],TblApplications[Cluster IKS source],$F253,TblApplications[Action],"À décommissionner",TblApplications[Mois lib (calc)],"&lt;="&amp;$E253)))))</f>
        <v/>
      </c>
      <c r="Z253" s="14" t="str">
        <f aca="false">IF($D253&lt;&gt;1,"",IF($AI253=1,0,MAX($J253,ROUNDUP(MAX($X253/$H253,$Y253/$I253),0))))</f>
        <v/>
      </c>
      <c r="AA253" s="84" t="str">
        <f aca="false">IF($D253&lt;&gt;1,"",IF(p_mode="Nœud",$Z253*$K253,$X253*IF($G253="IKS",p_iks_cpu,p_roks_cpu)+$Y253*IF($G253="IKS",p_iks_ram,p_roks_ram))*p_facteur)</f>
        <v/>
      </c>
      <c r="AB253" s="14" t="str">
        <f aca="false">IF($D253&lt;&gt;1,"",MAX($J253,ROUNDUP(MAX($L253/$H253,$M253/$I253),0)))</f>
        <v/>
      </c>
      <c r="AC253" s="84" t="str">
        <f aca="false">IF($D253&lt;&gt;1,"",IF(p_mode="Nœud",$AB253*$K253,$L253*IF($G253="IKS",p_iks_cpu,p_roks_cpu)+$M253*IF($G253="IKS",p_iks_ram,p_roks_ram))*p_facteur)</f>
        <v/>
      </c>
      <c r="AD253" s="14" t="str">
        <f aca="false">IF($D253&lt;&gt;1,"",IF(AND($G253="IKS",$AI253&lt;&gt;1,OR($L253-$P253&lt;$N253,$M253-$Q253&lt;$O253)),1,0))</f>
        <v/>
      </c>
      <c r="AE253" s="14" t="str">
        <f aca="false">IF($D253&lt;&gt;1,"",IF(AND($G253="ROKS",$T253&gt;p_maxworkers),1,0))</f>
        <v/>
      </c>
      <c r="AF253" s="14" t="str">
        <f aca="false">IF($D253&lt;&gt;1,"",IF(INDEX(TblClusters[Environnement],$B253)="","(vide)",INDEX(TblClusters[Environnement],$B253)))</f>
        <v/>
      </c>
      <c r="AG253" s="14" t="str">
        <f aca="false">IF($D253&lt;&gt;1,"",$R253+p_poidsram*$S253)</f>
        <v/>
      </c>
      <c r="AH253" s="14" t="str">
        <f aca="false">IF($D253&lt;&gt;1,"",IFERROR($W253/$AG253,0))</f>
        <v/>
      </c>
      <c r="AI253" s="14" t="str">
        <f aca="false">IF($D253&lt;&gt;1,"",IF(AND($G253="IKS",ISNUMBER(INDEX(TblClusters[Fermeture retenue],$B253))),IF($E253&gt;=INDEX(TblClusters[Fermeture retenue],$B253),1,0),0))</f>
        <v/>
      </c>
    </row>
    <row r="254" customFormat="false" ht="15" hidden="false" customHeight="false" outlineLevel="0" collapsed="false">
      <c r="A254" s="14" t="n">
        <v>249</v>
      </c>
      <c r="B254" s="14" t="n">
        <f aca="false">INT(($A254-1)/36)+1</f>
        <v>7</v>
      </c>
      <c r="C254" s="14" t="n">
        <f aca="false">MOD($A254-1,36)+1</f>
        <v>33</v>
      </c>
      <c r="D254" s="14" t="n">
        <f aca="false">IF($C254&gt;p_horizon,0,IFERROR(IF(AND(INDEX(TblClusters[Cluster],$B254)&lt;&gt;"",ISNUMBER(INDEX(TblClusters[CPU initial (vCPU)],$B254)),ISNUMBER(INDEX(TblClusters[CPU min (vCPU)],$B254)),OR(INDEX(TblClusters[Plateforme],$B254)="IKS",INDEX(TblClusters[Plateforme],$B254)="ROKS")),1,0),0))</f>
        <v>0</v>
      </c>
      <c r="E254" s="83" t="str">
        <f aca="false">IF($D254=1,EDATE(p_debut,$C254-1),"")</f>
        <v/>
      </c>
      <c r="F254" s="14" t="str">
        <f aca="false">IF($D254=1,INDEX(TblClusters[Cluster],$B254),"")</f>
        <v/>
      </c>
      <c r="G254" s="14" t="str">
        <f aca="false">IF($D254=1,INDEX(TblClusters[Plateforme],$B254),"")</f>
        <v/>
      </c>
      <c r="H254" s="14" t="str">
        <f aca="false">IF($D254=1,INDEX(TblClusters[vCPU par nœud],$B254),"")</f>
        <v/>
      </c>
      <c r="I254" s="14" t="str">
        <f aca="false">IF($D254=1,INDEX(TblClusters[RAM par nœud (Go)],$B254),"")</f>
        <v/>
      </c>
      <c r="J254" s="14" t="str">
        <f aca="false">IF($D254=1,INDEX(TblClusters[Workers min],$B254),"")</f>
        <v/>
      </c>
      <c r="K254" s="84" t="str">
        <f aca="false">IF($D254=1,INDEX(TblClusters[Tarif par nœud],$B254),"")</f>
        <v/>
      </c>
      <c r="L254" s="14" t="str">
        <f aca="false">IF($D254=1,INDEX(TblClusters[CPU initial (vCPU)],$B254),"")</f>
        <v/>
      </c>
      <c r="M254" s="14" t="str">
        <f aca="false">IF($D254=1,INDEX(TblClusters[RAM initiale (Go)],$B254),"")</f>
        <v/>
      </c>
      <c r="N254" s="14" t="str">
        <f aca="false">IF($D254=1,INDEX(TblClusters[CPU min (vCPU)],$B254),"")</f>
        <v/>
      </c>
      <c r="O254" s="14" t="str">
        <f aca="false">IF($D254=1,INDEX(TblClusters[RAM min (Go)],$B254),"")</f>
        <v/>
      </c>
      <c r="P254" s="14" t="str">
        <f aca="false">IF($D254&lt;&gt;1,"",IF($G254="ROKS",SUMIFS(TblApplications[Besoin ROKS CPU (vCPU)],TblApplications[Cluster ROKS cible],$F254,TblApplications[Action],"À migrer",TblApplications[Déjà incluse ROKS],"Non",TblApplications[Mois prov (calc)],"&lt;="&amp;$E254),SUMIFS(TblApplications[CPU IKS libérable (vCPU)],TblApplications[Cluster IKS source],$F254,TblApplications[Mois lib (calc)],"&lt;="&amp;$E254)))</f>
        <v/>
      </c>
      <c r="Q254" s="14" t="str">
        <f aca="false">IF($D254&lt;&gt;1,"",IF($G254="ROKS",SUMIFS(TblApplications[Besoin ROKS RAM (Go)],TblApplications[Cluster ROKS cible],$F254,TblApplications[Action],"À migrer",TblApplications[Déjà incluse ROKS],"Non",TblApplications[Mois prov (calc)],"&lt;="&amp;$E254),SUMIFS(TblApplications[RAM IKS libérable (Go)],TblApplications[Cluster IKS source],$F254,TblApplications[Mois lib (calc)],"&lt;="&amp;$E254)))</f>
        <v/>
      </c>
      <c r="R254" s="14" t="str">
        <f aca="false">IF($D254&lt;&gt;1,"",IF($G254="ROKS",$L254+$P254,IF($AI254=1,0,MAX($N254,$L254-$P254))))</f>
        <v/>
      </c>
      <c r="S254" s="14" t="str">
        <f aca="false">IF($D254&lt;&gt;1,"",IF($G254="ROKS",$M254+$Q254,IF($AI254=1,0,MAX($O254,$M254-$Q254))))</f>
        <v/>
      </c>
      <c r="T254" s="14" t="str">
        <f aca="false">IF($D254&lt;&gt;1,"",IF($AI254=1,0,MAX($J254,ROUNDUP(MAX($R254/$H254,$S254/$I254),0))))</f>
        <v/>
      </c>
      <c r="U254" s="14" t="str">
        <f aca="false">IF($D254&lt;&gt;1,"",IF(p_mode="Nœud",$T254*$H254,$R254))</f>
        <v/>
      </c>
      <c r="V254" s="14" t="str">
        <f aca="false">IF($D254&lt;&gt;1,"",IF(p_mode="Nœud",$T254*$I254,$S254))</f>
        <v/>
      </c>
      <c r="W254" s="84" t="str">
        <f aca="false">IF($D254&lt;&gt;1,"",IF(p_mode="Nœud",$T254*$K254,$R254*IF($G254="IKS",p_iks_cpu,p_roks_cpu)+$S254*IF($G254="IKS",p_iks_ram,p_roks_ram))*p_facteur)</f>
        <v/>
      </c>
      <c r="X254" s="14" t="str">
        <f aca="false">IF($D254&lt;&gt;1,"",IF($G254="ROKS",$R254,IF($AI254=1,0,MAX($N254,$L254-SUMIFS(TblApplications[CPU IKS libérable (vCPU)],TblApplications[Cluster IKS source],$F254,TblApplications[Action],"À migrer",TblApplications[Mois prov (calc)],"&lt;="&amp;$E254)-SUMIFS(TblApplications[CPU IKS libérable (vCPU)],TblApplications[Cluster IKS source],$F254,TblApplications[Action],"À décommissionner",TblApplications[Mois lib (calc)],"&lt;="&amp;$E254)))))</f>
        <v/>
      </c>
      <c r="Y254" s="14" t="str">
        <f aca="false">IF($D254&lt;&gt;1,"",IF($G254="ROKS",$S254,IF($AI254=1,0,MAX($O254,$M254-SUMIFS(TblApplications[RAM IKS libérable (Go)],TblApplications[Cluster IKS source],$F254,TblApplications[Action],"À migrer",TblApplications[Mois prov (calc)],"&lt;="&amp;$E254)-SUMIFS(TblApplications[RAM IKS libérable (Go)],TblApplications[Cluster IKS source],$F254,TblApplications[Action],"À décommissionner",TblApplications[Mois lib (calc)],"&lt;="&amp;$E254)))))</f>
        <v/>
      </c>
      <c r="Z254" s="14" t="str">
        <f aca="false">IF($D254&lt;&gt;1,"",IF($AI254=1,0,MAX($J254,ROUNDUP(MAX($X254/$H254,$Y254/$I254),0))))</f>
        <v/>
      </c>
      <c r="AA254" s="84" t="str">
        <f aca="false">IF($D254&lt;&gt;1,"",IF(p_mode="Nœud",$Z254*$K254,$X254*IF($G254="IKS",p_iks_cpu,p_roks_cpu)+$Y254*IF($G254="IKS",p_iks_ram,p_roks_ram))*p_facteur)</f>
        <v/>
      </c>
      <c r="AB254" s="14" t="str">
        <f aca="false">IF($D254&lt;&gt;1,"",MAX($J254,ROUNDUP(MAX($L254/$H254,$M254/$I254),0)))</f>
        <v/>
      </c>
      <c r="AC254" s="84" t="str">
        <f aca="false">IF($D254&lt;&gt;1,"",IF(p_mode="Nœud",$AB254*$K254,$L254*IF($G254="IKS",p_iks_cpu,p_roks_cpu)+$M254*IF($G254="IKS",p_iks_ram,p_roks_ram))*p_facteur)</f>
        <v/>
      </c>
      <c r="AD254" s="14" t="str">
        <f aca="false">IF($D254&lt;&gt;1,"",IF(AND($G254="IKS",$AI254&lt;&gt;1,OR($L254-$P254&lt;$N254,$M254-$Q254&lt;$O254)),1,0))</f>
        <v/>
      </c>
      <c r="AE254" s="14" t="str">
        <f aca="false">IF($D254&lt;&gt;1,"",IF(AND($G254="ROKS",$T254&gt;p_maxworkers),1,0))</f>
        <v/>
      </c>
      <c r="AF254" s="14" t="str">
        <f aca="false">IF($D254&lt;&gt;1,"",IF(INDEX(TblClusters[Environnement],$B254)="","(vide)",INDEX(TblClusters[Environnement],$B254)))</f>
        <v/>
      </c>
      <c r="AG254" s="14" t="str">
        <f aca="false">IF($D254&lt;&gt;1,"",$R254+p_poidsram*$S254)</f>
        <v/>
      </c>
      <c r="AH254" s="14" t="str">
        <f aca="false">IF($D254&lt;&gt;1,"",IFERROR($W254/$AG254,0))</f>
        <v/>
      </c>
      <c r="AI254" s="14" t="str">
        <f aca="false">IF($D254&lt;&gt;1,"",IF(AND($G254="IKS",ISNUMBER(INDEX(TblClusters[Fermeture retenue],$B254))),IF($E254&gt;=INDEX(TblClusters[Fermeture retenue],$B254),1,0),0))</f>
        <v/>
      </c>
    </row>
    <row r="255" customFormat="false" ht="15" hidden="false" customHeight="false" outlineLevel="0" collapsed="false">
      <c r="A255" s="14" t="n">
        <v>250</v>
      </c>
      <c r="B255" s="14" t="n">
        <f aca="false">INT(($A255-1)/36)+1</f>
        <v>7</v>
      </c>
      <c r="C255" s="14" t="n">
        <f aca="false">MOD($A255-1,36)+1</f>
        <v>34</v>
      </c>
      <c r="D255" s="14" t="n">
        <f aca="false">IF($C255&gt;p_horizon,0,IFERROR(IF(AND(INDEX(TblClusters[Cluster],$B255)&lt;&gt;"",ISNUMBER(INDEX(TblClusters[CPU initial (vCPU)],$B255)),ISNUMBER(INDEX(TblClusters[CPU min (vCPU)],$B255)),OR(INDEX(TblClusters[Plateforme],$B255)="IKS",INDEX(TblClusters[Plateforme],$B255)="ROKS")),1,0),0))</f>
        <v>0</v>
      </c>
      <c r="E255" s="83" t="str">
        <f aca="false">IF($D255=1,EDATE(p_debut,$C255-1),"")</f>
        <v/>
      </c>
      <c r="F255" s="14" t="str">
        <f aca="false">IF($D255=1,INDEX(TblClusters[Cluster],$B255),"")</f>
        <v/>
      </c>
      <c r="G255" s="14" t="str">
        <f aca="false">IF($D255=1,INDEX(TblClusters[Plateforme],$B255),"")</f>
        <v/>
      </c>
      <c r="H255" s="14" t="str">
        <f aca="false">IF($D255=1,INDEX(TblClusters[vCPU par nœud],$B255),"")</f>
        <v/>
      </c>
      <c r="I255" s="14" t="str">
        <f aca="false">IF($D255=1,INDEX(TblClusters[RAM par nœud (Go)],$B255),"")</f>
        <v/>
      </c>
      <c r="J255" s="14" t="str">
        <f aca="false">IF($D255=1,INDEX(TblClusters[Workers min],$B255),"")</f>
        <v/>
      </c>
      <c r="K255" s="84" t="str">
        <f aca="false">IF($D255=1,INDEX(TblClusters[Tarif par nœud],$B255),"")</f>
        <v/>
      </c>
      <c r="L255" s="14" t="str">
        <f aca="false">IF($D255=1,INDEX(TblClusters[CPU initial (vCPU)],$B255),"")</f>
        <v/>
      </c>
      <c r="M255" s="14" t="str">
        <f aca="false">IF($D255=1,INDEX(TblClusters[RAM initiale (Go)],$B255),"")</f>
        <v/>
      </c>
      <c r="N255" s="14" t="str">
        <f aca="false">IF($D255=1,INDEX(TblClusters[CPU min (vCPU)],$B255),"")</f>
        <v/>
      </c>
      <c r="O255" s="14" t="str">
        <f aca="false">IF($D255=1,INDEX(TblClusters[RAM min (Go)],$B255),"")</f>
        <v/>
      </c>
      <c r="P255" s="14" t="str">
        <f aca="false">IF($D255&lt;&gt;1,"",IF($G255="ROKS",SUMIFS(TblApplications[Besoin ROKS CPU (vCPU)],TblApplications[Cluster ROKS cible],$F255,TblApplications[Action],"À migrer",TblApplications[Déjà incluse ROKS],"Non",TblApplications[Mois prov (calc)],"&lt;="&amp;$E255),SUMIFS(TblApplications[CPU IKS libérable (vCPU)],TblApplications[Cluster IKS source],$F255,TblApplications[Mois lib (calc)],"&lt;="&amp;$E255)))</f>
        <v/>
      </c>
      <c r="Q255" s="14" t="str">
        <f aca="false">IF($D255&lt;&gt;1,"",IF($G255="ROKS",SUMIFS(TblApplications[Besoin ROKS RAM (Go)],TblApplications[Cluster ROKS cible],$F255,TblApplications[Action],"À migrer",TblApplications[Déjà incluse ROKS],"Non",TblApplications[Mois prov (calc)],"&lt;="&amp;$E255),SUMIFS(TblApplications[RAM IKS libérable (Go)],TblApplications[Cluster IKS source],$F255,TblApplications[Mois lib (calc)],"&lt;="&amp;$E255)))</f>
        <v/>
      </c>
      <c r="R255" s="14" t="str">
        <f aca="false">IF($D255&lt;&gt;1,"",IF($G255="ROKS",$L255+$P255,IF($AI255=1,0,MAX($N255,$L255-$P255))))</f>
        <v/>
      </c>
      <c r="S255" s="14" t="str">
        <f aca="false">IF($D255&lt;&gt;1,"",IF($G255="ROKS",$M255+$Q255,IF($AI255=1,0,MAX($O255,$M255-$Q255))))</f>
        <v/>
      </c>
      <c r="T255" s="14" t="str">
        <f aca="false">IF($D255&lt;&gt;1,"",IF($AI255=1,0,MAX($J255,ROUNDUP(MAX($R255/$H255,$S255/$I255),0))))</f>
        <v/>
      </c>
      <c r="U255" s="14" t="str">
        <f aca="false">IF($D255&lt;&gt;1,"",IF(p_mode="Nœud",$T255*$H255,$R255))</f>
        <v/>
      </c>
      <c r="V255" s="14" t="str">
        <f aca="false">IF($D255&lt;&gt;1,"",IF(p_mode="Nœud",$T255*$I255,$S255))</f>
        <v/>
      </c>
      <c r="W255" s="84" t="str">
        <f aca="false">IF($D255&lt;&gt;1,"",IF(p_mode="Nœud",$T255*$K255,$R255*IF($G255="IKS",p_iks_cpu,p_roks_cpu)+$S255*IF($G255="IKS",p_iks_ram,p_roks_ram))*p_facteur)</f>
        <v/>
      </c>
      <c r="X255" s="14" t="str">
        <f aca="false">IF($D255&lt;&gt;1,"",IF($G255="ROKS",$R255,IF($AI255=1,0,MAX($N255,$L255-SUMIFS(TblApplications[CPU IKS libérable (vCPU)],TblApplications[Cluster IKS source],$F255,TblApplications[Action],"À migrer",TblApplications[Mois prov (calc)],"&lt;="&amp;$E255)-SUMIFS(TblApplications[CPU IKS libérable (vCPU)],TblApplications[Cluster IKS source],$F255,TblApplications[Action],"À décommissionner",TblApplications[Mois lib (calc)],"&lt;="&amp;$E255)))))</f>
        <v/>
      </c>
      <c r="Y255" s="14" t="str">
        <f aca="false">IF($D255&lt;&gt;1,"",IF($G255="ROKS",$S255,IF($AI255=1,0,MAX($O255,$M255-SUMIFS(TblApplications[RAM IKS libérable (Go)],TblApplications[Cluster IKS source],$F255,TblApplications[Action],"À migrer",TblApplications[Mois prov (calc)],"&lt;="&amp;$E255)-SUMIFS(TblApplications[RAM IKS libérable (Go)],TblApplications[Cluster IKS source],$F255,TblApplications[Action],"À décommissionner",TblApplications[Mois lib (calc)],"&lt;="&amp;$E255)))))</f>
        <v/>
      </c>
      <c r="Z255" s="14" t="str">
        <f aca="false">IF($D255&lt;&gt;1,"",IF($AI255=1,0,MAX($J255,ROUNDUP(MAX($X255/$H255,$Y255/$I255),0))))</f>
        <v/>
      </c>
      <c r="AA255" s="84" t="str">
        <f aca="false">IF($D255&lt;&gt;1,"",IF(p_mode="Nœud",$Z255*$K255,$X255*IF($G255="IKS",p_iks_cpu,p_roks_cpu)+$Y255*IF($G255="IKS",p_iks_ram,p_roks_ram))*p_facteur)</f>
        <v/>
      </c>
      <c r="AB255" s="14" t="str">
        <f aca="false">IF($D255&lt;&gt;1,"",MAX($J255,ROUNDUP(MAX($L255/$H255,$M255/$I255),0)))</f>
        <v/>
      </c>
      <c r="AC255" s="84" t="str">
        <f aca="false">IF($D255&lt;&gt;1,"",IF(p_mode="Nœud",$AB255*$K255,$L255*IF($G255="IKS",p_iks_cpu,p_roks_cpu)+$M255*IF($G255="IKS",p_iks_ram,p_roks_ram))*p_facteur)</f>
        <v/>
      </c>
      <c r="AD255" s="14" t="str">
        <f aca="false">IF($D255&lt;&gt;1,"",IF(AND($G255="IKS",$AI255&lt;&gt;1,OR($L255-$P255&lt;$N255,$M255-$Q255&lt;$O255)),1,0))</f>
        <v/>
      </c>
      <c r="AE255" s="14" t="str">
        <f aca="false">IF($D255&lt;&gt;1,"",IF(AND($G255="ROKS",$T255&gt;p_maxworkers),1,0))</f>
        <v/>
      </c>
      <c r="AF255" s="14" t="str">
        <f aca="false">IF($D255&lt;&gt;1,"",IF(INDEX(TblClusters[Environnement],$B255)="","(vide)",INDEX(TblClusters[Environnement],$B255)))</f>
        <v/>
      </c>
      <c r="AG255" s="14" t="str">
        <f aca="false">IF($D255&lt;&gt;1,"",$R255+p_poidsram*$S255)</f>
        <v/>
      </c>
      <c r="AH255" s="14" t="str">
        <f aca="false">IF($D255&lt;&gt;1,"",IFERROR($W255/$AG255,0))</f>
        <v/>
      </c>
      <c r="AI255" s="14" t="str">
        <f aca="false">IF($D255&lt;&gt;1,"",IF(AND($G255="IKS",ISNUMBER(INDEX(TblClusters[Fermeture retenue],$B255))),IF($E255&gt;=INDEX(TblClusters[Fermeture retenue],$B255),1,0),0))</f>
        <v/>
      </c>
    </row>
    <row r="256" customFormat="false" ht="15" hidden="false" customHeight="false" outlineLevel="0" collapsed="false">
      <c r="A256" s="14" t="n">
        <v>251</v>
      </c>
      <c r="B256" s="14" t="n">
        <f aca="false">INT(($A256-1)/36)+1</f>
        <v>7</v>
      </c>
      <c r="C256" s="14" t="n">
        <f aca="false">MOD($A256-1,36)+1</f>
        <v>35</v>
      </c>
      <c r="D256" s="14" t="n">
        <f aca="false">IF($C256&gt;p_horizon,0,IFERROR(IF(AND(INDEX(TblClusters[Cluster],$B256)&lt;&gt;"",ISNUMBER(INDEX(TblClusters[CPU initial (vCPU)],$B256)),ISNUMBER(INDEX(TblClusters[CPU min (vCPU)],$B256)),OR(INDEX(TblClusters[Plateforme],$B256)="IKS",INDEX(TblClusters[Plateforme],$B256)="ROKS")),1,0),0))</f>
        <v>0</v>
      </c>
      <c r="E256" s="83" t="str">
        <f aca="false">IF($D256=1,EDATE(p_debut,$C256-1),"")</f>
        <v/>
      </c>
      <c r="F256" s="14" t="str">
        <f aca="false">IF($D256=1,INDEX(TblClusters[Cluster],$B256),"")</f>
        <v/>
      </c>
      <c r="G256" s="14" t="str">
        <f aca="false">IF($D256=1,INDEX(TblClusters[Plateforme],$B256),"")</f>
        <v/>
      </c>
      <c r="H256" s="14" t="str">
        <f aca="false">IF($D256=1,INDEX(TblClusters[vCPU par nœud],$B256),"")</f>
        <v/>
      </c>
      <c r="I256" s="14" t="str">
        <f aca="false">IF($D256=1,INDEX(TblClusters[RAM par nœud (Go)],$B256),"")</f>
        <v/>
      </c>
      <c r="J256" s="14" t="str">
        <f aca="false">IF($D256=1,INDEX(TblClusters[Workers min],$B256),"")</f>
        <v/>
      </c>
      <c r="K256" s="84" t="str">
        <f aca="false">IF($D256=1,INDEX(TblClusters[Tarif par nœud],$B256),"")</f>
        <v/>
      </c>
      <c r="L256" s="14" t="str">
        <f aca="false">IF($D256=1,INDEX(TblClusters[CPU initial (vCPU)],$B256),"")</f>
        <v/>
      </c>
      <c r="M256" s="14" t="str">
        <f aca="false">IF($D256=1,INDEX(TblClusters[RAM initiale (Go)],$B256),"")</f>
        <v/>
      </c>
      <c r="N256" s="14" t="str">
        <f aca="false">IF($D256=1,INDEX(TblClusters[CPU min (vCPU)],$B256),"")</f>
        <v/>
      </c>
      <c r="O256" s="14" t="str">
        <f aca="false">IF($D256=1,INDEX(TblClusters[RAM min (Go)],$B256),"")</f>
        <v/>
      </c>
      <c r="P256" s="14" t="str">
        <f aca="false">IF($D256&lt;&gt;1,"",IF($G256="ROKS",SUMIFS(TblApplications[Besoin ROKS CPU (vCPU)],TblApplications[Cluster ROKS cible],$F256,TblApplications[Action],"À migrer",TblApplications[Déjà incluse ROKS],"Non",TblApplications[Mois prov (calc)],"&lt;="&amp;$E256),SUMIFS(TblApplications[CPU IKS libérable (vCPU)],TblApplications[Cluster IKS source],$F256,TblApplications[Mois lib (calc)],"&lt;="&amp;$E256)))</f>
        <v/>
      </c>
      <c r="Q256" s="14" t="str">
        <f aca="false">IF($D256&lt;&gt;1,"",IF($G256="ROKS",SUMIFS(TblApplications[Besoin ROKS RAM (Go)],TblApplications[Cluster ROKS cible],$F256,TblApplications[Action],"À migrer",TblApplications[Déjà incluse ROKS],"Non",TblApplications[Mois prov (calc)],"&lt;="&amp;$E256),SUMIFS(TblApplications[RAM IKS libérable (Go)],TblApplications[Cluster IKS source],$F256,TblApplications[Mois lib (calc)],"&lt;="&amp;$E256)))</f>
        <v/>
      </c>
      <c r="R256" s="14" t="str">
        <f aca="false">IF($D256&lt;&gt;1,"",IF($G256="ROKS",$L256+$P256,IF($AI256=1,0,MAX($N256,$L256-$P256))))</f>
        <v/>
      </c>
      <c r="S256" s="14" t="str">
        <f aca="false">IF($D256&lt;&gt;1,"",IF($G256="ROKS",$M256+$Q256,IF($AI256=1,0,MAX($O256,$M256-$Q256))))</f>
        <v/>
      </c>
      <c r="T256" s="14" t="str">
        <f aca="false">IF($D256&lt;&gt;1,"",IF($AI256=1,0,MAX($J256,ROUNDUP(MAX($R256/$H256,$S256/$I256),0))))</f>
        <v/>
      </c>
      <c r="U256" s="14" t="str">
        <f aca="false">IF($D256&lt;&gt;1,"",IF(p_mode="Nœud",$T256*$H256,$R256))</f>
        <v/>
      </c>
      <c r="V256" s="14" t="str">
        <f aca="false">IF($D256&lt;&gt;1,"",IF(p_mode="Nœud",$T256*$I256,$S256))</f>
        <v/>
      </c>
      <c r="W256" s="84" t="str">
        <f aca="false">IF($D256&lt;&gt;1,"",IF(p_mode="Nœud",$T256*$K256,$R256*IF($G256="IKS",p_iks_cpu,p_roks_cpu)+$S256*IF($G256="IKS",p_iks_ram,p_roks_ram))*p_facteur)</f>
        <v/>
      </c>
      <c r="X256" s="14" t="str">
        <f aca="false">IF($D256&lt;&gt;1,"",IF($G256="ROKS",$R256,IF($AI256=1,0,MAX($N256,$L256-SUMIFS(TblApplications[CPU IKS libérable (vCPU)],TblApplications[Cluster IKS source],$F256,TblApplications[Action],"À migrer",TblApplications[Mois prov (calc)],"&lt;="&amp;$E256)-SUMIFS(TblApplications[CPU IKS libérable (vCPU)],TblApplications[Cluster IKS source],$F256,TblApplications[Action],"À décommissionner",TblApplications[Mois lib (calc)],"&lt;="&amp;$E256)))))</f>
        <v/>
      </c>
      <c r="Y256" s="14" t="str">
        <f aca="false">IF($D256&lt;&gt;1,"",IF($G256="ROKS",$S256,IF($AI256=1,0,MAX($O256,$M256-SUMIFS(TblApplications[RAM IKS libérable (Go)],TblApplications[Cluster IKS source],$F256,TblApplications[Action],"À migrer",TblApplications[Mois prov (calc)],"&lt;="&amp;$E256)-SUMIFS(TblApplications[RAM IKS libérable (Go)],TblApplications[Cluster IKS source],$F256,TblApplications[Action],"À décommissionner",TblApplications[Mois lib (calc)],"&lt;="&amp;$E256)))))</f>
        <v/>
      </c>
      <c r="Z256" s="14" t="str">
        <f aca="false">IF($D256&lt;&gt;1,"",IF($AI256=1,0,MAX($J256,ROUNDUP(MAX($X256/$H256,$Y256/$I256),0))))</f>
        <v/>
      </c>
      <c r="AA256" s="84" t="str">
        <f aca="false">IF($D256&lt;&gt;1,"",IF(p_mode="Nœud",$Z256*$K256,$X256*IF($G256="IKS",p_iks_cpu,p_roks_cpu)+$Y256*IF($G256="IKS",p_iks_ram,p_roks_ram))*p_facteur)</f>
        <v/>
      </c>
      <c r="AB256" s="14" t="str">
        <f aca="false">IF($D256&lt;&gt;1,"",MAX($J256,ROUNDUP(MAX($L256/$H256,$M256/$I256),0)))</f>
        <v/>
      </c>
      <c r="AC256" s="84" t="str">
        <f aca="false">IF($D256&lt;&gt;1,"",IF(p_mode="Nœud",$AB256*$K256,$L256*IF($G256="IKS",p_iks_cpu,p_roks_cpu)+$M256*IF($G256="IKS",p_iks_ram,p_roks_ram))*p_facteur)</f>
        <v/>
      </c>
      <c r="AD256" s="14" t="str">
        <f aca="false">IF($D256&lt;&gt;1,"",IF(AND($G256="IKS",$AI256&lt;&gt;1,OR($L256-$P256&lt;$N256,$M256-$Q256&lt;$O256)),1,0))</f>
        <v/>
      </c>
      <c r="AE256" s="14" t="str">
        <f aca="false">IF($D256&lt;&gt;1,"",IF(AND($G256="ROKS",$T256&gt;p_maxworkers),1,0))</f>
        <v/>
      </c>
      <c r="AF256" s="14" t="str">
        <f aca="false">IF($D256&lt;&gt;1,"",IF(INDEX(TblClusters[Environnement],$B256)="","(vide)",INDEX(TblClusters[Environnement],$B256)))</f>
        <v/>
      </c>
      <c r="AG256" s="14" t="str">
        <f aca="false">IF($D256&lt;&gt;1,"",$R256+p_poidsram*$S256)</f>
        <v/>
      </c>
      <c r="AH256" s="14" t="str">
        <f aca="false">IF($D256&lt;&gt;1,"",IFERROR($W256/$AG256,0))</f>
        <v/>
      </c>
      <c r="AI256" s="14" t="str">
        <f aca="false">IF($D256&lt;&gt;1,"",IF(AND($G256="IKS",ISNUMBER(INDEX(TblClusters[Fermeture retenue],$B256))),IF($E256&gt;=INDEX(TblClusters[Fermeture retenue],$B256),1,0),0))</f>
        <v/>
      </c>
    </row>
    <row r="257" customFormat="false" ht="15" hidden="false" customHeight="false" outlineLevel="0" collapsed="false">
      <c r="A257" s="14" t="n">
        <v>252</v>
      </c>
      <c r="B257" s="14" t="n">
        <f aca="false">INT(($A257-1)/36)+1</f>
        <v>7</v>
      </c>
      <c r="C257" s="14" t="n">
        <f aca="false">MOD($A257-1,36)+1</f>
        <v>36</v>
      </c>
      <c r="D257" s="14" t="n">
        <f aca="false">IF($C257&gt;p_horizon,0,IFERROR(IF(AND(INDEX(TblClusters[Cluster],$B257)&lt;&gt;"",ISNUMBER(INDEX(TblClusters[CPU initial (vCPU)],$B257)),ISNUMBER(INDEX(TblClusters[CPU min (vCPU)],$B257)),OR(INDEX(TblClusters[Plateforme],$B257)="IKS",INDEX(TblClusters[Plateforme],$B257)="ROKS")),1,0),0))</f>
        <v>0</v>
      </c>
      <c r="E257" s="83" t="str">
        <f aca="false">IF($D257=1,EDATE(p_debut,$C257-1),"")</f>
        <v/>
      </c>
      <c r="F257" s="14" t="str">
        <f aca="false">IF($D257=1,INDEX(TblClusters[Cluster],$B257),"")</f>
        <v/>
      </c>
      <c r="G257" s="14" t="str">
        <f aca="false">IF($D257=1,INDEX(TblClusters[Plateforme],$B257),"")</f>
        <v/>
      </c>
      <c r="H257" s="14" t="str">
        <f aca="false">IF($D257=1,INDEX(TblClusters[vCPU par nœud],$B257),"")</f>
        <v/>
      </c>
      <c r="I257" s="14" t="str">
        <f aca="false">IF($D257=1,INDEX(TblClusters[RAM par nœud (Go)],$B257),"")</f>
        <v/>
      </c>
      <c r="J257" s="14" t="str">
        <f aca="false">IF($D257=1,INDEX(TblClusters[Workers min],$B257),"")</f>
        <v/>
      </c>
      <c r="K257" s="84" t="str">
        <f aca="false">IF($D257=1,INDEX(TblClusters[Tarif par nœud],$B257),"")</f>
        <v/>
      </c>
      <c r="L257" s="14" t="str">
        <f aca="false">IF($D257=1,INDEX(TblClusters[CPU initial (vCPU)],$B257),"")</f>
        <v/>
      </c>
      <c r="M257" s="14" t="str">
        <f aca="false">IF($D257=1,INDEX(TblClusters[RAM initiale (Go)],$B257),"")</f>
        <v/>
      </c>
      <c r="N257" s="14" t="str">
        <f aca="false">IF($D257=1,INDEX(TblClusters[CPU min (vCPU)],$B257),"")</f>
        <v/>
      </c>
      <c r="O257" s="14" t="str">
        <f aca="false">IF($D257=1,INDEX(TblClusters[RAM min (Go)],$B257),"")</f>
        <v/>
      </c>
      <c r="P257" s="14" t="str">
        <f aca="false">IF($D257&lt;&gt;1,"",IF($G257="ROKS",SUMIFS(TblApplications[Besoin ROKS CPU (vCPU)],TblApplications[Cluster ROKS cible],$F257,TblApplications[Action],"À migrer",TblApplications[Déjà incluse ROKS],"Non",TblApplications[Mois prov (calc)],"&lt;="&amp;$E257),SUMIFS(TblApplications[CPU IKS libérable (vCPU)],TblApplications[Cluster IKS source],$F257,TblApplications[Mois lib (calc)],"&lt;="&amp;$E257)))</f>
        <v/>
      </c>
      <c r="Q257" s="14" t="str">
        <f aca="false">IF($D257&lt;&gt;1,"",IF($G257="ROKS",SUMIFS(TblApplications[Besoin ROKS RAM (Go)],TblApplications[Cluster ROKS cible],$F257,TblApplications[Action],"À migrer",TblApplications[Déjà incluse ROKS],"Non",TblApplications[Mois prov (calc)],"&lt;="&amp;$E257),SUMIFS(TblApplications[RAM IKS libérable (Go)],TblApplications[Cluster IKS source],$F257,TblApplications[Mois lib (calc)],"&lt;="&amp;$E257)))</f>
        <v/>
      </c>
      <c r="R257" s="14" t="str">
        <f aca="false">IF($D257&lt;&gt;1,"",IF($G257="ROKS",$L257+$P257,IF($AI257=1,0,MAX($N257,$L257-$P257))))</f>
        <v/>
      </c>
      <c r="S257" s="14" t="str">
        <f aca="false">IF($D257&lt;&gt;1,"",IF($G257="ROKS",$M257+$Q257,IF($AI257=1,0,MAX($O257,$M257-$Q257))))</f>
        <v/>
      </c>
      <c r="T257" s="14" t="str">
        <f aca="false">IF($D257&lt;&gt;1,"",IF($AI257=1,0,MAX($J257,ROUNDUP(MAX($R257/$H257,$S257/$I257),0))))</f>
        <v/>
      </c>
      <c r="U257" s="14" t="str">
        <f aca="false">IF($D257&lt;&gt;1,"",IF(p_mode="Nœud",$T257*$H257,$R257))</f>
        <v/>
      </c>
      <c r="V257" s="14" t="str">
        <f aca="false">IF($D257&lt;&gt;1,"",IF(p_mode="Nœud",$T257*$I257,$S257))</f>
        <v/>
      </c>
      <c r="W257" s="84" t="str">
        <f aca="false">IF($D257&lt;&gt;1,"",IF(p_mode="Nœud",$T257*$K257,$R257*IF($G257="IKS",p_iks_cpu,p_roks_cpu)+$S257*IF($G257="IKS",p_iks_ram,p_roks_ram))*p_facteur)</f>
        <v/>
      </c>
      <c r="X257" s="14" t="str">
        <f aca="false">IF($D257&lt;&gt;1,"",IF($G257="ROKS",$R257,IF($AI257=1,0,MAX($N257,$L257-SUMIFS(TblApplications[CPU IKS libérable (vCPU)],TblApplications[Cluster IKS source],$F257,TblApplications[Action],"À migrer",TblApplications[Mois prov (calc)],"&lt;="&amp;$E257)-SUMIFS(TblApplications[CPU IKS libérable (vCPU)],TblApplications[Cluster IKS source],$F257,TblApplications[Action],"À décommissionner",TblApplications[Mois lib (calc)],"&lt;="&amp;$E257)))))</f>
        <v/>
      </c>
      <c r="Y257" s="14" t="str">
        <f aca="false">IF($D257&lt;&gt;1,"",IF($G257="ROKS",$S257,IF($AI257=1,0,MAX($O257,$M257-SUMIFS(TblApplications[RAM IKS libérable (Go)],TblApplications[Cluster IKS source],$F257,TblApplications[Action],"À migrer",TblApplications[Mois prov (calc)],"&lt;="&amp;$E257)-SUMIFS(TblApplications[RAM IKS libérable (Go)],TblApplications[Cluster IKS source],$F257,TblApplications[Action],"À décommissionner",TblApplications[Mois lib (calc)],"&lt;="&amp;$E257)))))</f>
        <v/>
      </c>
      <c r="Z257" s="14" t="str">
        <f aca="false">IF($D257&lt;&gt;1,"",IF($AI257=1,0,MAX($J257,ROUNDUP(MAX($X257/$H257,$Y257/$I257),0))))</f>
        <v/>
      </c>
      <c r="AA257" s="84" t="str">
        <f aca="false">IF($D257&lt;&gt;1,"",IF(p_mode="Nœud",$Z257*$K257,$X257*IF($G257="IKS",p_iks_cpu,p_roks_cpu)+$Y257*IF($G257="IKS",p_iks_ram,p_roks_ram))*p_facteur)</f>
        <v/>
      </c>
      <c r="AB257" s="14" t="str">
        <f aca="false">IF($D257&lt;&gt;1,"",MAX($J257,ROUNDUP(MAX($L257/$H257,$M257/$I257),0)))</f>
        <v/>
      </c>
      <c r="AC257" s="84" t="str">
        <f aca="false">IF($D257&lt;&gt;1,"",IF(p_mode="Nœud",$AB257*$K257,$L257*IF($G257="IKS",p_iks_cpu,p_roks_cpu)+$M257*IF($G257="IKS",p_iks_ram,p_roks_ram))*p_facteur)</f>
        <v/>
      </c>
      <c r="AD257" s="14" t="str">
        <f aca="false">IF($D257&lt;&gt;1,"",IF(AND($G257="IKS",$AI257&lt;&gt;1,OR($L257-$P257&lt;$N257,$M257-$Q257&lt;$O257)),1,0))</f>
        <v/>
      </c>
      <c r="AE257" s="14" t="str">
        <f aca="false">IF($D257&lt;&gt;1,"",IF(AND($G257="ROKS",$T257&gt;p_maxworkers),1,0))</f>
        <v/>
      </c>
      <c r="AF257" s="14" t="str">
        <f aca="false">IF($D257&lt;&gt;1,"",IF(INDEX(TblClusters[Environnement],$B257)="","(vide)",INDEX(TblClusters[Environnement],$B257)))</f>
        <v/>
      </c>
      <c r="AG257" s="14" t="str">
        <f aca="false">IF($D257&lt;&gt;1,"",$R257+p_poidsram*$S257)</f>
        <v/>
      </c>
      <c r="AH257" s="14" t="str">
        <f aca="false">IF($D257&lt;&gt;1,"",IFERROR($W257/$AG257,0))</f>
        <v/>
      </c>
      <c r="AI257" s="14" t="str">
        <f aca="false">IF($D257&lt;&gt;1,"",IF(AND($G257="IKS",ISNUMBER(INDEX(TblClusters[Fermeture retenue],$B257))),IF($E257&gt;=INDEX(TblClusters[Fermeture retenue],$B257),1,0),0))</f>
        <v/>
      </c>
    </row>
    <row r="258" customFormat="false" ht="15" hidden="false" customHeight="false" outlineLevel="0" collapsed="false">
      <c r="A258" s="14" t="n">
        <v>253</v>
      </c>
      <c r="B258" s="14" t="n">
        <f aca="false">INT(($A258-1)/36)+1</f>
        <v>8</v>
      </c>
      <c r="C258" s="14" t="n">
        <f aca="false">MOD($A258-1,36)+1</f>
        <v>1</v>
      </c>
      <c r="D258" s="14" t="n">
        <f aca="false">IF($C258&gt;p_horizon,0,IFERROR(IF(AND(INDEX(TblClusters[Cluster],$B258)&lt;&gt;"",ISNUMBER(INDEX(TblClusters[CPU initial (vCPU)],$B258)),ISNUMBER(INDEX(TblClusters[CPU min (vCPU)],$B258)),OR(INDEX(TblClusters[Plateforme],$B258)="IKS",INDEX(TblClusters[Plateforme],$B258)="ROKS")),1,0),0))</f>
        <v>0</v>
      </c>
      <c r="E258" s="83" t="str">
        <f aca="false">IF($D258=1,EDATE(p_debut,$C258-1),"")</f>
        <v/>
      </c>
      <c r="F258" s="14" t="str">
        <f aca="false">IF($D258=1,INDEX(TblClusters[Cluster],$B258),"")</f>
        <v/>
      </c>
      <c r="G258" s="14" t="str">
        <f aca="false">IF($D258=1,INDEX(TblClusters[Plateforme],$B258),"")</f>
        <v/>
      </c>
      <c r="H258" s="14" t="str">
        <f aca="false">IF($D258=1,INDEX(TblClusters[vCPU par nœud],$B258),"")</f>
        <v/>
      </c>
      <c r="I258" s="14" t="str">
        <f aca="false">IF($D258=1,INDEX(TblClusters[RAM par nœud (Go)],$B258),"")</f>
        <v/>
      </c>
      <c r="J258" s="14" t="str">
        <f aca="false">IF($D258=1,INDEX(TblClusters[Workers min],$B258),"")</f>
        <v/>
      </c>
      <c r="K258" s="84" t="str">
        <f aca="false">IF($D258=1,INDEX(TblClusters[Tarif par nœud],$B258),"")</f>
        <v/>
      </c>
      <c r="L258" s="14" t="str">
        <f aca="false">IF($D258=1,INDEX(TblClusters[CPU initial (vCPU)],$B258),"")</f>
        <v/>
      </c>
      <c r="M258" s="14" t="str">
        <f aca="false">IF($D258=1,INDEX(TblClusters[RAM initiale (Go)],$B258),"")</f>
        <v/>
      </c>
      <c r="N258" s="14" t="str">
        <f aca="false">IF($D258=1,INDEX(TblClusters[CPU min (vCPU)],$B258),"")</f>
        <v/>
      </c>
      <c r="O258" s="14" t="str">
        <f aca="false">IF($D258=1,INDEX(TblClusters[RAM min (Go)],$B258),"")</f>
        <v/>
      </c>
      <c r="P258" s="14" t="str">
        <f aca="false">IF($D258&lt;&gt;1,"",IF($G258="ROKS",SUMIFS(TblApplications[Besoin ROKS CPU (vCPU)],TblApplications[Cluster ROKS cible],$F258,TblApplications[Action],"À migrer",TblApplications[Déjà incluse ROKS],"Non",TblApplications[Mois prov (calc)],"&lt;="&amp;$E258),SUMIFS(TblApplications[CPU IKS libérable (vCPU)],TblApplications[Cluster IKS source],$F258,TblApplications[Mois lib (calc)],"&lt;="&amp;$E258)))</f>
        <v/>
      </c>
      <c r="Q258" s="14" t="str">
        <f aca="false">IF($D258&lt;&gt;1,"",IF($G258="ROKS",SUMIFS(TblApplications[Besoin ROKS RAM (Go)],TblApplications[Cluster ROKS cible],$F258,TblApplications[Action],"À migrer",TblApplications[Déjà incluse ROKS],"Non",TblApplications[Mois prov (calc)],"&lt;="&amp;$E258),SUMIFS(TblApplications[RAM IKS libérable (Go)],TblApplications[Cluster IKS source],$F258,TblApplications[Mois lib (calc)],"&lt;="&amp;$E258)))</f>
        <v/>
      </c>
      <c r="R258" s="14" t="str">
        <f aca="false">IF($D258&lt;&gt;1,"",IF($G258="ROKS",$L258+$P258,IF($AI258=1,0,MAX($N258,$L258-$P258))))</f>
        <v/>
      </c>
      <c r="S258" s="14" t="str">
        <f aca="false">IF($D258&lt;&gt;1,"",IF($G258="ROKS",$M258+$Q258,IF($AI258=1,0,MAX($O258,$M258-$Q258))))</f>
        <v/>
      </c>
      <c r="T258" s="14" t="str">
        <f aca="false">IF($D258&lt;&gt;1,"",IF($AI258=1,0,MAX($J258,ROUNDUP(MAX($R258/$H258,$S258/$I258),0))))</f>
        <v/>
      </c>
      <c r="U258" s="14" t="str">
        <f aca="false">IF($D258&lt;&gt;1,"",IF(p_mode="Nœud",$T258*$H258,$R258))</f>
        <v/>
      </c>
      <c r="V258" s="14" t="str">
        <f aca="false">IF($D258&lt;&gt;1,"",IF(p_mode="Nœud",$T258*$I258,$S258))</f>
        <v/>
      </c>
      <c r="W258" s="84" t="str">
        <f aca="false">IF($D258&lt;&gt;1,"",IF(p_mode="Nœud",$T258*$K258,$R258*IF($G258="IKS",p_iks_cpu,p_roks_cpu)+$S258*IF($G258="IKS",p_iks_ram,p_roks_ram))*p_facteur)</f>
        <v/>
      </c>
      <c r="X258" s="14" t="str">
        <f aca="false">IF($D258&lt;&gt;1,"",IF($G258="ROKS",$R258,IF($AI258=1,0,MAX($N258,$L258-SUMIFS(TblApplications[CPU IKS libérable (vCPU)],TblApplications[Cluster IKS source],$F258,TblApplications[Action],"À migrer",TblApplications[Mois prov (calc)],"&lt;="&amp;$E258)-SUMIFS(TblApplications[CPU IKS libérable (vCPU)],TblApplications[Cluster IKS source],$F258,TblApplications[Action],"À décommissionner",TblApplications[Mois lib (calc)],"&lt;="&amp;$E258)))))</f>
        <v/>
      </c>
      <c r="Y258" s="14" t="str">
        <f aca="false">IF($D258&lt;&gt;1,"",IF($G258="ROKS",$S258,IF($AI258=1,0,MAX($O258,$M258-SUMIFS(TblApplications[RAM IKS libérable (Go)],TblApplications[Cluster IKS source],$F258,TblApplications[Action],"À migrer",TblApplications[Mois prov (calc)],"&lt;="&amp;$E258)-SUMIFS(TblApplications[RAM IKS libérable (Go)],TblApplications[Cluster IKS source],$F258,TblApplications[Action],"À décommissionner",TblApplications[Mois lib (calc)],"&lt;="&amp;$E258)))))</f>
        <v/>
      </c>
      <c r="Z258" s="14" t="str">
        <f aca="false">IF($D258&lt;&gt;1,"",IF($AI258=1,0,MAX($J258,ROUNDUP(MAX($X258/$H258,$Y258/$I258),0))))</f>
        <v/>
      </c>
      <c r="AA258" s="84" t="str">
        <f aca="false">IF($D258&lt;&gt;1,"",IF(p_mode="Nœud",$Z258*$K258,$X258*IF($G258="IKS",p_iks_cpu,p_roks_cpu)+$Y258*IF($G258="IKS",p_iks_ram,p_roks_ram))*p_facteur)</f>
        <v/>
      </c>
      <c r="AB258" s="14" t="str">
        <f aca="false">IF($D258&lt;&gt;1,"",MAX($J258,ROUNDUP(MAX($L258/$H258,$M258/$I258),0)))</f>
        <v/>
      </c>
      <c r="AC258" s="84" t="str">
        <f aca="false">IF($D258&lt;&gt;1,"",IF(p_mode="Nœud",$AB258*$K258,$L258*IF($G258="IKS",p_iks_cpu,p_roks_cpu)+$M258*IF($G258="IKS",p_iks_ram,p_roks_ram))*p_facteur)</f>
        <v/>
      </c>
      <c r="AD258" s="14" t="str">
        <f aca="false">IF($D258&lt;&gt;1,"",IF(AND($G258="IKS",$AI258&lt;&gt;1,OR($L258-$P258&lt;$N258,$M258-$Q258&lt;$O258)),1,0))</f>
        <v/>
      </c>
      <c r="AE258" s="14" t="str">
        <f aca="false">IF($D258&lt;&gt;1,"",IF(AND($G258="ROKS",$T258&gt;p_maxworkers),1,0))</f>
        <v/>
      </c>
      <c r="AF258" s="14" t="str">
        <f aca="false">IF($D258&lt;&gt;1,"",IF(INDEX(TblClusters[Environnement],$B258)="","(vide)",INDEX(TblClusters[Environnement],$B258)))</f>
        <v/>
      </c>
      <c r="AG258" s="14" t="str">
        <f aca="false">IF($D258&lt;&gt;1,"",$R258+p_poidsram*$S258)</f>
        <v/>
      </c>
      <c r="AH258" s="14" t="str">
        <f aca="false">IF($D258&lt;&gt;1,"",IFERROR($W258/$AG258,0))</f>
        <v/>
      </c>
      <c r="AI258" s="14" t="str">
        <f aca="false">IF($D258&lt;&gt;1,"",IF(AND($G258="IKS",ISNUMBER(INDEX(TblClusters[Fermeture retenue],$B258))),IF($E258&gt;=INDEX(TblClusters[Fermeture retenue],$B258),1,0),0))</f>
        <v/>
      </c>
    </row>
    <row r="259" customFormat="false" ht="15" hidden="false" customHeight="false" outlineLevel="0" collapsed="false">
      <c r="A259" s="14" t="n">
        <v>254</v>
      </c>
      <c r="B259" s="14" t="n">
        <f aca="false">INT(($A259-1)/36)+1</f>
        <v>8</v>
      </c>
      <c r="C259" s="14" t="n">
        <f aca="false">MOD($A259-1,36)+1</f>
        <v>2</v>
      </c>
      <c r="D259" s="14" t="n">
        <f aca="false">IF($C259&gt;p_horizon,0,IFERROR(IF(AND(INDEX(TblClusters[Cluster],$B259)&lt;&gt;"",ISNUMBER(INDEX(TblClusters[CPU initial (vCPU)],$B259)),ISNUMBER(INDEX(TblClusters[CPU min (vCPU)],$B259)),OR(INDEX(TblClusters[Plateforme],$B259)="IKS",INDEX(TblClusters[Plateforme],$B259)="ROKS")),1,0),0))</f>
        <v>0</v>
      </c>
      <c r="E259" s="83" t="str">
        <f aca="false">IF($D259=1,EDATE(p_debut,$C259-1),"")</f>
        <v/>
      </c>
      <c r="F259" s="14" t="str">
        <f aca="false">IF($D259=1,INDEX(TblClusters[Cluster],$B259),"")</f>
        <v/>
      </c>
      <c r="G259" s="14" t="str">
        <f aca="false">IF($D259=1,INDEX(TblClusters[Plateforme],$B259),"")</f>
        <v/>
      </c>
      <c r="H259" s="14" t="str">
        <f aca="false">IF($D259=1,INDEX(TblClusters[vCPU par nœud],$B259),"")</f>
        <v/>
      </c>
      <c r="I259" s="14" t="str">
        <f aca="false">IF($D259=1,INDEX(TblClusters[RAM par nœud (Go)],$B259),"")</f>
        <v/>
      </c>
      <c r="J259" s="14" t="str">
        <f aca="false">IF($D259=1,INDEX(TblClusters[Workers min],$B259),"")</f>
        <v/>
      </c>
      <c r="K259" s="84" t="str">
        <f aca="false">IF($D259=1,INDEX(TblClusters[Tarif par nœud],$B259),"")</f>
        <v/>
      </c>
      <c r="L259" s="14" t="str">
        <f aca="false">IF($D259=1,INDEX(TblClusters[CPU initial (vCPU)],$B259),"")</f>
        <v/>
      </c>
      <c r="M259" s="14" t="str">
        <f aca="false">IF($D259=1,INDEX(TblClusters[RAM initiale (Go)],$B259),"")</f>
        <v/>
      </c>
      <c r="N259" s="14" t="str">
        <f aca="false">IF($D259=1,INDEX(TblClusters[CPU min (vCPU)],$B259),"")</f>
        <v/>
      </c>
      <c r="O259" s="14" t="str">
        <f aca="false">IF($D259=1,INDEX(TblClusters[RAM min (Go)],$B259),"")</f>
        <v/>
      </c>
      <c r="P259" s="14" t="str">
        <f aca="false">IF($D259&lt;&gt;1,"",IF($G259="ROKS",SUMIFS(TblApplications[Besoin ROKS CPU (vCPU)],TblApplications[Cluster ROKS cible],$F259,TblApplications[Action],"À migrer",TblApplications[Déjà incluse ROKS],"Non",TblApplications[Mois prov (calc)],"&lt;="&amp;$E259),SUMIFS(TblApplications[CPU IKS libérable (vCPU)],TblApplications[Cluster IKS source],$F259,TblApplications[Mois lib (calc)],"&lt;="&amp;$E259)))</f>
        <v/>
      </c>
      <c r="Q259" s="14" t="str">
        <f aca="false">IF($D259&lt;&gt;1,"",IF($G259="ROKS",SUMIFS(TblApplications[Besoin ROKS RAM (Go)],TblApplications[Cluster ROKS cible],$F259,TblApplications[Action],"À migrer",TblApplications[Déjà incluse ROKS],"Non",TblApplications[Mois prov (calc)],"&lt;="&amp;$E259),SUMIFS(TblApplications[RAM IKS libérable (Go)],TblApplications[Cluster IKS source],$F259,TblApplications[Mois lib (calc)],"&lt;="&amp;$E259)))</f>
        <v/>
      </c>
      <c r="R259" s="14" t="str">
        <f aca="false">IF($D259&lt;&gt;1,"",IF($G259="ROKS",$L259+$P259,IF($AI259=1,0,MAX($N259,$L259-$P259))))</f>
        <v/>
      </c>
      <c r="S259" s="14" t="str">
        <f aca="false">IF($D259&lt;&gt;1,"",IF($G259="ROKS",$M259+$Q259,IF($AI259=1,0,MAX($O259,$M259-$Q259))))</f>
        <v/>
      </c>
      <c r="T259" s="14" t="str">
        <f aca="false">IF($D259&lt;&gt;1,"",IF($AI259=1,0,MAX($J259,ROUNDUP(MAX($R259/$H259,$S259/$I259),0))))</f>
        <v/>
      </c>
      <c r="U259" s="14" t="str">
        <f aca="false">IF($D259&lt;&gt;1,"",IF(p_mode="Nœud",$T259*$H259,$R259))</f>
        <v/>
      </c>
      <c r="V259" s="14" t="str">
        <f aca="false">IF($D259&lt;&gt;1,"",IF(p_mode="Nœud",$T259*$I259,$S259))</f>
        <v/>
      </c>
      <c r="W259" s="84" t="str">
        <f aca="false">IF($D259&lt;&gt;1,"",IF(p_mode="Nœud",$T259*$K259,$R259*IF($G259="IKS",p_iks_cpu,p_roks_cpu)+$S259*IF($G259="IKS",p_iks_ram,p_roks_ram))*p_facteur)</f>
        <v/>
      </c>
      <c r="X259" s="14" t="str">
        <f aca="false">IF($D259&lt;&gt;1,"",IF($G259="ROKS",$R259,IF($AI259=1,0,MAX($N259,$L259-SUMIFS(TblApplications[CPU IKS libérable (vCPU)],TblApplications[Cluster IKS source],$F259,TblApplications[Action],"À migrer",TblApplications[Mois prov (calc)],"&lt;="&amp;$E259)-SUMIFS(TblApplications[CPU IKS libérable (vCPU)],TblApplications[Cluster IKS source],$F259,TblApplications[Action],"À décommissionner",TblApplications[Mois lib (calc)],"&lt;="&amp;$E259)))))</f>
        <v/>
      </c>
      <c r="Y259" s="14" t="str">
        <f aca="false">IF($D259&lt;&gt;1,"",IF($G259="ROKS",$S259,IF($AI259=1,0,MAX($O259,$M259-SUMIFS(TblApplications[RAM IKS libérable (Go)],TblApplications[Cluster IKS source],$F259,TblApplications[Action],"À migrer",TblApplications[Mois prov (calc)],"&lt;="&amp;$E259)-SUMIFS(TblApplications[RAM IKS libérable (Go)],TblApplications[Cluster IKS source],$F259,TblApplications[Action],"À décommissionner",TblApplications[Mois lib (calc)],"&lt;="&amp;$E259)))))</f>
        <v/>
      </c>
      <c r="Z259" s="14" t="str">
        <f aca="false">IF($D259&lt;&gt;1,"",IF($AI259=1,0,MAX($J259,ROUNDUP(MAX($X259/$H259,$Y259/$I259),0))))</f>
        <v/>
      </c>
      <c r="AA259" s="84" t="str">
        <f aca="false">IF($D259&lt;&gt;1,"",IF(p_mode="Nœud",$Z259*$K259,$X259*IF($G259="IKS",p_iks_cpu,p_roks_cpu)+$Y259*IF($G259="IKS",p_iks_ram,p_roks_ram))*p_facteur)</f>
        <v/>
      </c>
      <c r="AB259" s="14" t="str">
        <f aca="false">IF($D259&lt;&gt;1,"",MAX($J259,ROUNDUP(MAX($L259/$H259,$M259/$I259),0)))</f>
        <v/>
      </c>
      <c r="AC259" s="84" t="str">
        <f aca="false">IF($D259&lt;&gt;1,"",IF(p_mode="Nœud",$AB259*$K259,$L259*IF($G259="IKS",p_iks_cpu,p_roks_cpu)+$M259*IF($G259="IKS",p_iks_ram,p_roks_ram))*p_facteur)</f>
        <v/>
      </c>
      <c r="AD259" s="14" t="str">
        <f aca="false">IF($D259&lt;&gt;1,"",IF(AND($G259="IKS",$AI259&lt;&gt;1,OR($L259-$P259&lt;$N259,$M259-$Q259&lt;$O259)),1,0))</f>
        <v/>
      </c>
      <c r="AE259" s="14" t="str">
        <f aca="false">IF($D259&lt;&gt;1,"",IF(AND($G259="ROKS",$T259&gt;p_maxworkers),1,0))</f>
        <v/>
      </c>
      <c r="AF259" s="14" t="str">
        <f aca="false">IF($D259&lt;&gt;1,"",IF(INDEX(TblClusters[Environnement],$B259)="","(vide)",INDEX(TblClusters[Environnement],$B259)))</f>
        <v/>
      </c>
      <c r="AG259" s="14" t="str">
        <f aca="false">IF($D259&lt;&gt;1,"",$R259+p_poidsram*$S259)</f>
        <v/>
      </c>
      <c r="AH259" s="14" t="str">
        <f aca="false">IF($D259&lt;&gt;1,"",IFERROR($W259/$AG259,0))</f>
        <v/>
      </c>
      <c r="AI259" s="14" t="str">
        <f aca="false">IF($D259&lt;&gt;1,"",IF(AND($G259="IKS",ISNUMBER(INDEX(TblClusters[Fermeture retenue],$B259))),IF($E259&gt;=INDEX(TblClusters[Fermeture retenue],$B259),1,0),0))</f>
        <v/>
      </c>
    </row>
    <row r="260" customFormat="false" ht="15" hidden="false" customHeight="false" outlineLevel="0" collapsed="false">
      <c r="A260" s="14" t="n">
        <v>255</v>
      </c>
      <c r="B260" s="14" t="n">
        <f aca="false">INT(($A260-1)/36)+1</f>
        <v>8</v>
      </c>
      <c r="C260" s="14" t="n">
        <f aca="false">MOD($A260-1,36)+1</f>
        <v>3</v>
      </c>
      <c r="D260" s="14" t="n">
        <f aca="false">IF($C260&gt;p_horizon,0,IFERROR(IF(AND(INDEX(TblClusters[Cluster],$B260)&lt;&gt;"",ISNUMBER(INDEX(TblClusters[CPU initial (vCPU)],$B260)),ISNUMBER(INDEX(TblClusters[CPU min (vCPU)],$B260)),OR(INDEX(TblClusters[Plateforme],$B260)="IKS",INDEX(TblClusters[Plateforme],$B260)="ROKS")),1,0),0))</f>
        <v>0</v>
      </c>
      <c r="E260" s="83" t="str">
        <f aca="false">IF($D260=1,EDATE(p_debut,$C260-1),"")</f>
        <v/>
      </c>
      <c r="F260" s="14" t="str">
        <f aca="false">IF($D260=1,INDEX(TblClusters[Cluster],$B260),"")</f>
        <v/>
      </c>
      <c r="G260" s="14" t="str">
        <f aca="false">IF($D260=1,INDEX(TblClusters[Plateforme],$B260),"")</f>
        <v/>
      </c>
      <c r="H260" s="14" t="str">
        <f aca="false">IF($D260=1,INDEX(TblClusters[vCPU par nœud],$B260),"")</f>
        <v/>
      </c>
      <c r="I260" s="14" t="str">
        <f aca="false">IF($D260=1,INDEX(TblClusters[RAM par nœud (Go)],$B260),"")</f>
        <v/>
      </c>
      <c r="J260" s="14" t="str">
        <f aca="false">IF($D260=1,INDEX(TblClusters[Workers min],$B260),"")</f>
        <v/>
      </c>
      <c r="K260" s="84" t="str">
        <f aca="false">IF($D260=1,INDEX(TblClusters[Tarif par nœud],$B260),"")</f>
        <v/>
      </c>
      <c r="L260" s="14" t="str">
        <f aca="false">IF($D260=1,INDEX(TblClusters[CPU initial (vCPU)],$B260),"")</f>
        <v/>
      </c>
      <c r="M260" s="14" t="str">
        <f aca="false">IF($D260=1,INDEX(TblClusters[RAM initiale (Go)],$B260),"")</f>
        <v/>
      </c>
      <c r="N260" s="14" t="str">
        <f aca="false">IF($D260=1,INDEX(TblClusters[CPU min (vCPU)],$B260),"")</f>
        <v/>
      </c>
      <c r="O260" s="14" t="str">
        <f aca="false">IF($D260=1,INDEX(TblClusters[RAM min (Go)],$B260),"")</f>
        <v/>
      </c>
      <c r="P260" s="14" t="str">
        <f aca="false">IF($D260&lt;&gt;1,"",IF($G260="ROKS",SUMIFS(TblApplications[Besoin ROKS CPU (vCPU)],TblApplications[Cluster ROKS cible],$F260,TblApplications[Action],"À migrer",TblApplications[Déjà incluse ROKS],"Non",TblApplications[Mois prov (calc)],"&lt;="&amp;$E260),SUMIFS(TblApplications[CPU IKS libérable (vCPU)],TblApplications[Cluster IKS source],$F260,TblApplications[Mois lib (calc)],"&lt;="&amp;$E260)))</f>
        <v/>
      </c>
      <c r="Q260" s="14" t="str">
        <f aca="false">IF($D260&lt;&gt;1,"",IF($G260="ROKS",SUMIFS(TblApplications[Besoin ROKS RAM (Go)],TblApplications[Cluster ROKS cible],$F260,TblApplications[Action],"À migrer",TblApplications[Déjà incluse ROKS],"Non",TblApplications[Mois prov (calc)],"&lt;="&amp;$E260),SUMIFS(TblApplications[RAM IKS libérable (Go)],TblApplications[Cluster IKS source],$F260,TblApplications[Mois lib (calc)],"&lt;="&amp;$E260)))</f>
        <v/>
      </c>
      <c r="R260" s="14" t="str">
        <f aca="false">IF($D260&lt;&gt;1,"",IF($G260="ROKS",$L260+$P260,IF($AI260=1,0,MAX($N260,$L260-$P260))))</f>
        <v/>
      </c>
      <c r="S260" s="14" t="str">
        <f aca="false">IF($D260&lt;&gt;1,"",IF($G260="ROKS",$M260+$Q260,IF($AI260=1,0,MAX($O260,$M260-$Q260))))</f>
        <v/>
      </c>
      <c r="T260" s="14" t="str">
        <f aca="false">IF($D260&lt;&gt;1,"",IF($AI260=1,0,MAX($J260,ROUNDUP(MAX($R260/$H260,$S260/$I260),0))))</f>
        <v/>
      </c>
      <c r="U260" s="14" t="str">
        <f aca="false">IF($D260&lt;&gt;1,"",IF(p_mode="Nœud",$T260*$H260,$R260))</f>
        <v/>
      </c>
      <c r="V260" s="14" t="str">
        <f aca="false">IF($D260&lt;&gt;1,"",IF(p_mode="Nœud",$T260*$I260,$S260))</f>
        <v/>
      </c>
      <c r="W260" s="84" t="str">
        <f aca="false">IF($D260&lt;&gt;1,"",IF(p_mode="Nœud",$T260*$K260,$R260*IF($G260="IKS",p_iks_cpu,p_roks_cpu)+$S260*IF($G260="IKS",p_iks_ram,p_roks_ram))*p_facteur)</f>
        <v/>
      </c>
      <c r="X260" s="14" t="str">
        <f aca="false">IF($D260&lt;&gt;1,"",IF($G260="ROKS",$R260,IF($AI260=1,0,MAX($N260,$L260-SUMIFS(TblApplications[CPU IKS libérable (vCPU)],TblApplications[Cluster IKS source],$F260,TblApplications[Action],"À migrer",TblApplications[Mois prov (calc)],"&lt;="&amp;$E260)-SUMIFS(TblApplications[CPU IKS libérable (vCPU)],TblApplications[Cluster IKS source],$F260,TblApplications[Action],"À décommissionner",TblApplications[Mois lib (calc)],"&lt;="&amp;$E260)))))</f>
        <v/>
      </c>
      <c r="Y260" s="14" t="str">
        <f aca="false">IF($D260&lt;&gt;1,"",IF($G260="ROKS",$S260,IF($AI260=1,0,MAX($O260,$M260-SUMIFS(TblApplications[RAM IKS libérable (Go)],TblApplications[Cluster IKS source],$F260,TblApplications[Action],"À migrer",TblApplications[Mois prov (calc)],"&lt;="&amp;$E260)-SUMIFS(TblApplications[RAM IKS libérable (Go)],TblApplications[Cluster IKS source],$F260,TblApplications[Action],"À décommissionner",TblApplications[Mois lib (calc)],"&lt;="&amp;$E260)))))</f>
        <v/>
      </c>
      <c r="Z260" s="14" t="str">
        <f aca="false">IF($D260&lt;&gt;1,"",IF($AI260=1,0,MAX($J260,ROUNDUP(MAX($X260/$H260,$Y260/$I260),0))))</f>
        <v/>
      </c>
      <c r="AA260" s="84" t="str">
        <f aca="false">IF($D260&lt;&gt;1,"",IF(p_mode="Nœud",$Z260*$K260,$X260*IF($G260="IKS",p_iks_cpu,p_roks_cpu)+$Y260*IF($G260="IKS",p_iks_ram,p_roks_ram))*p_facteur)</f>
        <v/>
      </c>
      <c r="AB260" s="14" t="str">
        <f aca="false">IF($D260&lt;&gt;1,"",MAX($J260,ROUNDUP(MAX($L260/$H260,$M260/$I260),0)))</f>
        <v/>
      </c>
      <c r="AC260" s="84" t="str">
        <f aca="false">IF($D260&lt;&gt;1,"",IF(p_mode="Nœud",$AB260*$K260,$L260*IF($G260="IKS",p_iks_cpu,p_roks_cpu)+$M260*IF($G260="IKS",p_iks_ram,p_roks_ram))*p_facteur)</f>
        <v/>
      </c>
      <c r="AD260" s="14" t="str">
        <f aca="false">IF($D260&lt;&gt;1,"",IF(AND($G260="IKS",$AI260&lt;&gt;1,OR($L260-$P260&lt;$N260,$M260-$Q260&lt;$O260)),1,0))</f>
        <v/>
      </c>
      <c r="AE260" s="14" t="str">
        <f aca="false">IF($D260&lt;&gt;1,"",IF(AND($G260="ROKS",$T260&gt;p_maxworkers),1,0))</f>
        <v/>
      </c>
      <c r="AF260" s="14" t="str">
        <f aca="false">IF($D260&lt;&gt;1,"",IF(INDEX(TblClusters[Environnement],$B260)="","(vide)",INDEX(TblClusters[Environnement],$B260)))</f>
        <v/>
      </c>
      <c r="AG260" s="14" t="str">
        <f aca="false">IF($D260&lt;&gt;1,"",$R260+p_poidsram*$S260)</f>
        <v/>
      </c>
      <c r="AH260" s="14" t="str">
        <f aca="false">IF($D260&lt;&gt;1,"",IFERROR($W260/$AG260,0))</f>
        <v/>
      </c>
      <c r="AI260" s="14" t="str">
        <f aca="false">IF($D260&lt;&gt;1,"",IF(AND($G260="IKS",ISNUMBER(INDEX(TblClusters[Fermeture retenue],$B260))),IF($E260&gt;=INDEX(TblClusters[Fermeture retenue],$B260),1,0),0))</f>
        <v/>
      </c>
    </row>
    <row r="261" customFormat="false" ht="15" hidden="false" customHeight="false" outlineLevel="0" collapsed="false">
      <c r="A261" s="14" t="n">
        <v>256</v>
      </c>
      <c r="B261" s="14" t="n">
        <f aca="false">INT(($A261-1)/36)+1</f>
        <v>8</v>
      </c>
      <c r="C261" s="14" t="n">
        <f aca="false">MOD($A261-1,36)+1</f>
        <v>4</v>
      </c>
      <c r="D261" s="14" t="n">
        <f aca="false">IF($C261&gt;p_horizon,0,IFERROR(IF(AND(INDEX(TblClusters[Cluster],$B261)&lt;&gt;"",ISNUMBER(INDEX(TblClusters[CPU initial (vCPU)],$B261)),ISNUMBER(INDEX(TblClusters[CPU min (vCPU)],$B261)),OR(INDEX(TblClusters[Plateforme],$B261)="IKS",INDEX(TblClusters[Plateforme],$B261)="ROKS")),1,0),0))</f>
        <v>0</v>
      </c>
      <c r="E261" s="83" t="str">
        <f aca="false">IF($D261=1,EDATE(p_debut,$C261-1),"")</f>
        <v/>
      </c>
      <c r="F261" s="14" t="str">
        <f aca="false">IF($D261=1,INDEX(TblClusters[Cluster],$B261),"")</f>
        <v/>
      </c>
      <c r="G261" s="14" t="str">
        <f aca="false">IF($D261=1,INDEX(TblClusters[Plateforme],$B261),"")</f>
        <v/>
      </c>
      <c r="H261" s="14" t="str">
        <f aca="false">IF($D261=1,INDEX(TblClusters[vCPU par nœud],$B261),"")</f>
        <v/>
      </c>
      <c r="I261" s="14" t="str">
        <f aca="false">IF($D261=1,INDEX(TblClusters[RAM par nœud (Go)],$B261),"")</f>
        <v/>
      </c>
      <c r="J261" s="14" t="str">
        <f aca="false">IF($D261=1,INDEX(TblClusters[Workers min],$B261),"")</f>
        <v/>
      </c>
      <c r="K261" s="84" t="str">
        <f aca="false">IF($D261=1,INDEX(TblClusters[Tarif par nœud],$B261),"")</f>
        <v/>
      </c>
      <c r="L261" s="14" t="str">
        <f aca="false">IF($D261=1,INDEX(TblClusters[CPU initial (vCPU)],$B261),"")</f>
        <v/>
      </c>
      <c r="M261" s="14" t="str">
        <f aca="false">IF($D261=1,INDEX(TblClusters[RAM initiale (Go)],$B261),"")</f>
        <v/>
      </c>
      <c r="N261" s="14" t="str">
        <f aca="false">IF($D261=1,INDEX(TblClusters[CPU min (vCPU)],$B261),"")</f>
        <v/>
      </c>
      <c r="O261" s="14" t="str">
        <f aca="false">IF($D261=1,INDEX(TblClusters[RAM min (Go)],$B261),"")</f>
        <v/>
      </c>
      <c r="P261" s="14" t="str">
        <f aca="false">IF($D261&lt;&gt;1,"",IF($G261="ROKS",SUMIFS(TblApplications[Besoin ROKS CPU (vCPU)],TblApplications[Cluster ROKS cible],$F261,TblApplications[Action],"À migrer",TblApplications[Déjà incluse ROKS],"Non",TblApplications[Mois prov (calc)],"&lt;="&amp;$E261),SUMIFS(TblApplications[CPU IKS libérable (vCPU)],TblApplications[Cluster IKS source],$F261,TblApplications[Mois lib (calc)],"&lt;="&amp;$E261)))</f>
        <v/>
      </c>
      <c r="Q261" s="14" t="str">
        <f aca="false">IF($D261&lt;&gt;1,"",IF($G261="ROKS",SUMIFS(TblApplications[Besoin ROKS RAM (Go)],TblApplications[Cluster ROKS cible],$F261,TblApplications[Action],"À migrer",TblApplications[Déjà incluse ROKS],"Non",TblApplications[Mois prov (calc)],"&lt;="&amp;$E261),SUMIFS(TblApplications[RAM IKS libérable (Go)],TblApplications[Cluster IKS source],$F261,TblApplications[Mois lib (calc)],"&lt;="&amp;$E261)))</f>
        <v/>
      </c>
      <c r="R261" s="14" t="str">
        <f aca="false">IF($D261&lt;&gt;1,"",IF($G261="ROKS",$L261+$P261,IF($AI261=1,0,MAX($N261,$L261-$P261))))</f>
        <v/>
      </c>
      <c r="S261" s="14" t="str">
        <f aca="false">IF($D261&lt;&gt;1,"",IF($G261="ROKS",$M261+$Q261,IF($AI261=1,0,MAX($O261,$M261-$Q261))))</f>
        <v/>
      </c>
      <c r="T261" s="14" t="str">
        <f aca="false">IF($D261&lt;&gt;1,"",IF($AI261=1,0,MAX($J261,ROUNDUP(MAX($R261/$H261,$S261/$I261),0))))</f>
        <v/>
      </c>
      <c r="U261" s="14" t="str">
        <f aca="false">IF($D261&lt;&gt;1,"",IF(p_mode="Nœud",$T261*$H261,$R261))</f>
        <v/>
      </c>
      <c r="V261" s="14" t="str">
        <f aca="false">IF($D261&lt;&gt;1,"",IF(p_mode="Nœud",$T261*$I261,$S261))</f>
        <v/>
      </c>
      <c r="W261" s="84" t="str">
        <f aca="false">IF($D261&lt;&gt;1,"",IF(p_mode="Nœud",$T261*$K261,$R261*IF($G261="IKS",p_iks_cpu,p_roks_cpu)+$S261*IF($G261="IKS",p_iks_ram,p_roks_ram))*p_facteur)</f>
        <v/>
      </c>
      <c r="X261" s="14" t="str">
        <f aca="false">IF($D261&lt;&gt;1,"",IF($G261="ROKS",$R261,IF($AI261=1,0,MAX($N261,$L261-SUMIFS(TblApplications[CPU IKS libérable (vCPU)],TblApplications[Cluster IKS source],$F261,TblApplications[Action],"À migrer",TblApplications[Mois prov (calc)],"&lt;="&amp;$E261)-SUMIFS(TblApplications[CPU IKS libérable (vCPU)],TblApplications[Cluster IKS source],$F261,TblApplications[Action],"À décommissionner",TblApplications[Mois lib (calc)],"&lt;="&amp;$E261)))))</f>
        <v/>
      </c>
      <c r="Y261" s="14" t="str">
        <f aca="false">IF($D261&lt;&gt;1,"",IF($G261="ROKS",$S261,IF($AI261=1,0,MAX($O261,$M261-SUMIFS(TblApplications[RAM IKS libérable (Go)],TblApplications[Cluster IKS source],$F261,TblApplications[Action],"À migrer",TblApplications[Mois prov (calc)],"&lt;="&amp;$E261)-SUMIFS(TblApplications[RAM IKS libérable (Go)],TblApplications[Cluster IKS source],$F261,TblApplications[Action],"À décommissionner",TblApplications[Mois lib (calc)],"&lt;="&amp;$E261)))))</f>
        <v/>
      </c>
      <c r="Z261" s="14" t="str">
        <f aca="false">IF($D261&lt;&gt;1,"",IF($AI261=1,0,MAX($J261,ROUNDUP(MAX($X261/$H261,$Y261/$I261),0))))</f>
        <v/>
      </c>
      <c r="AA261" s="84" t="str">
        <f aca="false">IF($D261&lt;&gt;1,"",IF(p_mode="Nœud",$Z261*$K261,$X261*IF($G261="IKS",p_iks_cpu,p_roks_cpu)+$Y261*IF($G261="IKS",p_iks_ram,p_roks_ram))*p_facteur)</f>
        <v/>
      </c>
      <c r="AB261" s="14" t="str">
        <f aca="false">IF($D261&lt;&gt;1,"",MAX($J261,ROUNDUP(MAX($L261/$H261,$M261/$I261),0)))</f>
        <v/>
      </c>
      <c r="AC261" s="84" t="str">
        <f aca="false">IF($D261&lt;&gt;1,"",IF(p_mode="Nœud",$AB261*$K261,$L261*IF($G261="IKS",p_iks_cpu,p_roks_cpu)+$M261*IF($G261="IKS",p_iks_ram,p_roks_ram))*p_facteur)</f>
        <v/>
      </c>
      <c r="AD261" s="14" t="str">
        <f aca="false">IF($D261&lt;&gt;1,"",IF(AND($G261="IKS",$AI261&lt;&gt;1,OR($L261-$P261&lt;$N261,$M261-$Q261&lt;$O261)),1,0))</f>
        <v/>
      </c>
      <c r="AE261" s="14" t="str">
        <f aca="false">IF($D261&lt;&gt;1,"",IF(AND($G261="ROKS",$T261&gt;p_maxworkers),1,0))</f>
        <v/>
      </c>
      <c r="AF261" s="14" t="str">
        <f aca="false">IF($D261&lt;&gt;1,"",IF(INDEX(TblClusters[Environnement],$B261)="","(vide)",INDEX(TblClusters[Environnement],$B261)))</f>
        <v/>
      </c>
      <c r="AG261" s="14" t="str">
        <f aca="false">IF($D261&lt;&gt;1,"",$R261+p_poidsram*$S261)</f>
        <v/>
      </c>
      <c r="AH261" s="14" t="str">
        <f aca="false">IF($D261&lt;&gt;1,"",IFERROR($W261/$AG261,0))</f>
        <v/>
      </c>
      <c r="AI261" s="14" t="str">
        <f aca="false">IF($D261&lt;&gt;1,"",IF(AND($G261="IKS",ISNUMBER(INDEX(TblClusters[Fermeture retenue],$B261))),IF($E261&gt;=INDEX(TblClusters[Fermeture retenue],$B261),1,0),0))</f>
        <v/>
      </c>
    </row>
    <row r="262" customFormat="false" ht="15" hidden="false" customHeight="false" outlineLevel="0" collapsed="false">
      <c r="A262" s="14" t="n">
        <v>257</v>
      </c>
      <c r="B262" s="14" t="n">
        <f aca="false">INT(($A262-1)/36)+1</f>
        <v>8</v>
      </c>
      <c r="C262" s="14" t="n">
        <f aca="false">MOD($A262-1,36)+1</f>
        <v>5</v>
      </c>
      <c r="D262" s="14" t="n">
        <f aca="false">IF($C262&gt;p_horizon,0,IFERROR(IF(AND(INDEX(TblClusters[Cluster],$B262)&lt;&gt;"",ISNUMBER(INDEX(TblClusters[CPU initial (vCPU)],$B262)),ISNUMBER(INDEX(TblClusters[CPU min (vCPU)],$B262)),OR(INDEX(TblClusters[Plateforme],$B262)="IKS",INDEX(TblClusters[Plateforme],$B262)="ROKS")),1,0),0))</f>
        <v>0</v>
      </c>
      <c r="E262" s="83" t="str">
        <f aca="false">IF($D262=1,EDATE(p_debut,$C262-1),"")</f>
        <v/>
      </c>
      <c r="F262" s="14" t="str">
        <f aca="false">IF($D262=1,INDEX(TblClusters[Cluster],$B262),"")</f>
        <v/>
      </c>
      <c r="G262" s="14" t="str">
        <f aca="false">IF($D262=1,INDEX(TblClusters[Plateforme],$B262),"")</f>
        <v/>
      </c>
      <c r="H262" s="14" t="str">
        <f aca="false">IF($D262=1,INDEX(TblClusters[vCPU par nœud],$B262),"")</f>
        <v/>
      </c>
      <c r="I262" s="14" t="str">
        <f aca="false">IF($D262=1,INDEX(TblClusters[RAM par nœud (Go)],$B262),"")</f>
        <v/>
      </c>
      <c r="J262" s="14" t="str">
        <f aca="false">IF($D262=1,INDEX(TblClusters[Workers min],$B262),"")</f>
        <v/>
      </c>
      <c r="K262" s="84" t="str">
        <f aca="false">IF($D262=1,INDEX(TblClusters[Tarif par nœud],$B262),"")</f>
        <v/>
      </c>
      <c r="L262" s="14" t="str">
        <f aca="false">IF($D262=1,INDEX(TblClusters[CPU initial (vCPU)],$B262),"")</f>
        <v/>
      </c>
      <c r="M262" s="14" t="str">
        <f aca="false">IF($D262=1,INDEX(TblClusters[RAM initiale (Go)],$B262),"")</f>
        <v/>
      </c>
      <c r="N262" s="14" t="str">
        <f aca="false">IF($D262=1,INDEX(TblClusters[CPU min (vCPU)],$B262),"")</f>
        <v/>
      </c>
      <c r="O262" s="14" t="str">
        <f aca="false">IF($D262=1,INDEX(TblClusters[RAM min (Go)],$B262),"")</f>
        <v/>
      </c>
      <c r="P262" s="14" t="str">
        <f aca="false">IF($D262&lt;&gt;1,"",IF($G262="ROKS",SUMIFS(TblApplications[Besoin ROKS CPU (vCPU)],TblApplications[Cluster ROKS cible],$F262,TblApplications[Action],"À migrer",TblApplications[Déjà incluse ROKS],"Non",TblApplications[Mois prov (calc)],"&lt;="&amp;$E262),SUMIFS(TblApplications[CPU IKS libérable (vCPU)],TblApplications[Cluster IKS source],$F262,TblApplications[Mois lib (calc)],"&lt;="&amp;$E262)))</f>
        <v/>
      </c>
      <c r="Q262" s="14" t="str">
        <f aca="false">IF($D262&lt;&gt;1,"",IF($G262="ROKS",SUMIFS(TblApplications[Besoin ROKS RAM (Go)],TblApplications[Cluster ROKS cible],$F262,TblApplications[Action],"À migrer",TblApplications[Déjà incluse ROKS],"Non",TblApplications[Mois prov (calc)],"&lt;="&amp;$E262),SUMIFS(TblApplications[RAM IKS libérable (Go)],TblApplications[Cluster IKS source],$F262,TblApplications[Mois lib (calc)],"&lt;="&amp;$E262)))</f>
        <v/>
      </c>
      <c r="R262" s="14" t="str">
        <f aca="false">IF($D262&lt;&gt;1,"",IF($G262="ROKS",$L262+$P262,IF($AI262=1,0,MAX($N262,$L262-$P262))))</f>
        <v/>
      </c>
      <c r="S262" s="14" t="str">
        <f aca="false">IF($D262&lt;&gt;1,"",IF($G262="ROKS",$M262+$Q262,IF($AI262=1,0,MAX($O262,$M262-$Q262))))</f>
        <v/>
      </c>
      <c r="T262" s="14" t="str">
        <f aca="false">IF($D262&lt;&gt;1,"",IF($AI262=1,0,MAX($J262,ROUNDUP(MAX($R262/$H262,$S262/$I262),0))))</f>
        <v/>
      </c>
      <c r="U262" s="14" t="str">
        <f aca="false">IF($D262&lt;&gt;1,"",IF(p_mode="Nœud",$T262*$H262,$R262))</f>
        <v/>
      </c>
      <c r="V262" s="14" t="str">
        <f aca="false">IF($D262&lt;&gt;1,"",IF(p_mode="Nœud",$T262*$I262,$S262))</f>
        <v/>
      </c>
      <c r="W262" s="84" t="str">
        <f aca="false">IF($D262&lt;&gt;1,"",IF(p_mode="Nœud",$T262*$K262,$R262*IF($G262="IKS",p_iks_cpu,p_roks_cpu)+$S262*IF($G262="IKS",p_iks_ram,p_roks_ram))*p_facteur)</f>
        <v/>
      </c>
      <c r="X262" s="14" t="str">
        <f aca="false">IF($D262&lt;&gt;1,"",IF($G262="ROKS",$R262,IF($AI262=1,0,MAX($N262,$L262-SUMIFS(TblApplications[CPU IKS libérable (vCPU)],TblApplications[Cluster IKS source],$F262,TblApplications[Action],"À migrer",TblApplications[Mois prov (calc)],"&lt;="&amp;$E262)-SUMIFS(TblApplications[CPU IKS libérable (vCPU)],TblApplications[Cluster IKS source],$F262,TblApplications[Action],"À décommissionner",TblApplications[Mois lib (calc)],"&lt;="&amp;$E262)))))</f>
        <v/>
      </c>
      <c r="Y262" s="14" t="str">
        <f aca="false">IF($D262&lt;&gt;1,"",IF($G262="ROKS",$S262,IF($AI262=1,0,MAX($O262,$M262-SUMIFS(TblApplications[RAM IKS libérable (Go)],TblApplications[Cluster IKS source],$F262,TblApplications[Action],"À migrer",TblApplications[Mois prov (calc)],"&lt;="&amp;$E262)-SUMIFS(TblApplications[RAM IKS libérable (Go)],TblApplications[Cluster IKS source],$F262,TblApplications[Action],"À décommissionner",TblApplications[Mois lib (calc)],"&lt;="&amp;$E262)))))</f>
        <v/>
      </c>
      <c r="Z262" s="14" t="str">
        <f aca="false">IF($D262&lt;&gt;1,"",IF($AI262=1,0,MAX($J262,ROUNDUP(MAX($X262/$H262,$Y262/$I262),0))))</f>
        <v/>
      </c>
      <c r="AA262" s="84" t="str">
        <f aca="false">IF($D262&lt;&gt;1,"",IF(p_mode="Nœud",$Z262*$K262,$X262*IF($G262="IKS",p_iks_cpu,p_roks_cpu)+$Y262*IF($G262="IKS",p_iks_ram,p_roks_ram))*p_facteur)</f>
        <v/>
      </c>
      <c r="AB262" s="14" t="str">
        <f aca="false">IF($D262&lt;&gt;1,"",MAX($J262,ROUNDUP(MAX($L262/$H262,$M262/$I262),0)))</f>
        <v/>
      </c>
      <c r="AC262" s="84" t="str">
        <f aca="false">IF($D262&lt;&gt;1,"",IF(p_mode="Nœud",$AB262*$K262,$L262*IF($G262="IKS",p_iks_cpu,p_roks_cpu)+$M262*IF($G262="IKS",p_iks_ram,p_roks_ram))*p_facteur)</f>
        <v/>
      </c>
      <c r="AD262" s="14" t="str">
        <f aca="false">IF($D262&lt;&gt;1,"",IF(AND($G262="IKS",$AI262&lt;&gt;1,OR($L262-$P262&lt;$N262,$M262-$Q262&lt;$O262)),1,0))</f>
        <v/>
      </c>
      <c r="AE262" s="14" t="str">
        <f aca="false">IF($D262&lt;&gt;1,"",IF(AND($G262="ROKS",$T262&gt;p_maxworkers),1,0))</f>
        <v/>
      </c>
      <c r="AF262" s="14" t="str">
        <f aca="false">IF($D262&lt;&gt;1,"",IF(INDEX(TblClusters[Environnement],$B262)="","(vide)",INDEX(TblClusters[Environnement],$B262)))</f>
        <v/>
      </c>
      <c r="AG262" s="14" t="str">
        <f aca="false">IF($D262&lt;&gt;1,"",$R262+p_poidsram*$S262)</f>
        <v/>
      </c>
      <c r="AH262" s="14" t="str">
        <f aca="false">IF($D262&lt;&gt;1,"",IFERROR($W262/$AG262,0))</f>
        <v/>
      </c>
      <c r="AI262" s="14" t="str">
        <f aca="false">IF($D262&lt;&gt;1,"",IF(AND($G262="IKS",ISNUMBER(INDEX(TblClusters[Fermeture retenue],$B262))),IF($E262&gt;=INDEX(TblClusters[Fermeture retenue],$B262),1,0),0))</f>
        <v/>
      </c>
    </row>
    <row r="263" customFormat="false" ht="15" hidden="false" customHeight="false" outlineLevel="0" collapsed="false">
      <c r="A263" s="14" t="n">
        <v>258</v>
      </c>
      <c r="B263" s="14" t="n">
        <f aca="false">INT(($A263-1)/36)+1</f>
        <v>8</v>
      </c>
      <c r="C263" s="14" t="n">
        <f aca="false">MOD($A263-1,36)+1</f>
        <v>6</v>
      </c>
      <c r="D263" s="14" t="n">
        <f aca="false">IF($C263&gt;p_horizon,0,IFERROR(IF(AND(INDEX(TblClusters[Cluster],$B263)&lt;&gt;"",ISNUMBER(INDEX(TblClusters[CPU initial (vCPU)],$B263)),ISNUMBER(INDEX(TblClusters[CPU min (vCPU)],$B263)),OR(INDEX(TblClusters[Plateforme],$B263)="IKS",INDEX(TblClusters[Plateforme],$B263)="ROKS")),1,0),0))</f>
        <v>0</v>
      </c>
      <c r="E263" s="83" t="str">
        <f aca="false">IF($D263=1,EDATE(p_debut,$C263-1),"")</f>
        <v/>
      </c>
      <c r="F263" s="14" t="str">
        <f aca="false">IF($D263=1,INDEX(TblClusters[Cluster],$B263),"")</f>
        <v/>
      </c>
      <c r="G263" s="14" t="str">
        <f aca="false">IF($D263=1,INDEX(TblClusters[Plateforme],$B263),"")</f>
        <v/>
      </c>
      <c r="H263" s="14" t="str">
        <f aca="false">IF($D263=1,INDEX(TblClusters[vCPU par nœud],$B263),"")</f>
        <v/>
      </c>
      <c r="I263" s="14" t="str">
        <f aca="false">IF($D263=1,INDEX(TblClusters[RAM par nœud (Go)],$B263),"")</f>
        <v/>
      </c>
      <c r="J263" s="14" t="str">
        <f aca="false">IF($D263=1,INDEX(TblClusters[Workers min],$B263),"")</f>
        <v/>
      </c>
      <c r="K263" s="84" t="str">
        <f aca="false">IF($D263=1,INDEX(TblClusters[Tarif par nœud],$B263),"")</f>
        <v/>
      </c>
      <c r="L263" s="14" t="str">
        <f aca="false">IF($D263=1,INDEX(TblClusters[CPU initial (vCPU)],$B263),"")</f>
        <v/>
      </c>
      <c r="M263" s="14" t="str">
        <f aca="false">IF($D263=1,INDEX(TblClusters[RAM initiale (Go)],$B263),"")</f>
        <v/>
      </c>
      <c r="N263" s="14" t="str">
        <f aca="false">IF($D263=1,INDEX(TblClusters[CPU min (vCPU)],$B263),"")</f>
        <v/>
      </c>
      <c r="O263" s="14" t="str">
        <f aca="false">IF($D263=1,INDEX(TblClusters[RAM min (Go)],$B263),"")</f>
        <v/>
      </c>
      <c r="P263" s="14" t="str">
        <f aca="false">IF($D263&lt;&gt;1,"",IF($G263="ROKS",SUMIFS(TblApplications[Besoin ROKS CPU (vCPU)],TblApplications[Cluster ROKS cible],$F263,TblApplications[Action],"À migrer",TblApplications[Déjà incluse ROKS],"Non",TblApplications[Mois prov (calc)],"&lt;="&amp;$E263),SUMIFS(TblApplications[CPU IKS libérable (vCPU)],TblApplications[Cluster IKS source],$F263,TblApplications[Mois lib (calc)],"&lt;="&amp;$E263)))</f>
        <v/>
      </c>
      <c r="Q263" s="14" t="str">
        <f aca="false">IF($D263&lt;&gt;1,"",IF($G263="ROKS",SUMIFS(TblApplications[Besoin ROKS RAM (Go)],TblApplications[Cluster ROKS cible],$F263,TblApplications[Action],"À migrer",TblApplications[Déjà incluse ROKS],"Non",TblApplications[Mois prov (calc)],"&lt;="&amp;$E263),SUMIFS(TblApplications[RAM IKS libérable (Go)],TblApplications[Cluster IKS source],$F263,TblApplications[Mois lib (calc)],"&lt;="&amp;$E263)))</f>
        <v/>
      </c>
      <c r="R263" s="14" t="str">
        <f aca="false">IF($D263&lt;&gt;1,"",IF($G263="ROKS",$L263+$P263,IF($AI263=1,0,MAX($N263,$L263-$P263))))</f>
        <v/>
      </c>
      <c r="S263" s="14" t="str">
        <f aca="false">IF($D263&lt;&gt;1,"",IF($G263="ROKS",$M263+$Q263,IF($AI263=1,0,MAX($O263,$M263-$Q263))))</f>
        <v/>
      </c>
      <c r="T263" s="14" t="str">
        <f aca="false">IF($D263&lt;&gt;1,"",IF($AI263=1,0,MAX($J263,ROUNDUP(MAX($R263/$H263,$S263/$I263),0))))</f>
        <v/>
      </c>
      <c r="U263" s="14" t="str">
        <f aca="false">IF($D263&lt;&gt;1,"",IF(p_mode="Nœud",$T263*$H263,$R263))</f>
        <v/>
      </c>
      <c r="V263" s="14" t="str">
        <f aca="false">IF($D263&lt;&gt;1,"",IF(p_mode="Nœud",$T263*$I263,$S263))</f>
        <v/>
      </c>
      <c r="W263" s="84" t="str">
        <f aca="false">IF($D263&lt;&gt;1,"",IF(p_mode="Nœud",$T263*$K263,$R263*IF($G263="IKS",p_iks_cpu,p_roks_cpu)+$S263*IF($G263="IKS",p_iks_ram,p_roks_ram))*p_facteur)</f>
        <v/>
      </c>
      <c r="X263" s="14" t="str">
        <f aca="false">IF($D263&lt;&gt;1,"",IF($G263="ROKS",$R263,IF($AI263=1,0,MAX($N263,$L263-SUMIFS(TblApplications[CPU IKS libérable (vCPU)],TblApplications[Cluster IKS source],$F263,TblApplications[Action],"À migrer",TblApplications[Mois prov (calc)],"&lt;="&amp;$E263)-SUMIFS(TblApplications[CPU IKS libérable (vCPU)],TblApplications[Cluster IKS source],$F263,TblApplications[Action],"À décommissionner",TblApplications[Mois lib (calc)],"&lt;="&amp;$E263)))))</f>
        <v/>
      </c>
      <c r="Y263" s="14" t="str">
        <f aca="false">IF($D263&lt;&gt;1,"",IF($G263="ROKS",$S263,IF($AI263=1,0,MAX($O263,$M263-SUMIFS(TblApplications[RAM IKS libérable (Go)],TblApplications[Cluster IKS source],$F263,TblApplications[Action],"À migrer",TblApplications[Mois prov (calc)],"&lt;="&amp;$E263)-SUMIFS(TblApplications[RAM IKS libérable (Go)],TblApplications[Cluster IKS source],$F263,TblApplications[Action],"À décommissionner",TblApplications[Mois lib (calc)],"&lt;="&amp;$E263)))))</f>
        <v/>
      </c>
      <c r="Z263" s="14" t="str">
        <f aca="false">IF($D263&lt;&gt;1,"",IF($AI263=1,0,MAX($J263,ROUNDUP(MAX($X263/$H263,$Y263/$I263),0))))</f>
        <v/>
      </c>
      <c r="AA263" s="84" t="str">
        <f aca="false">IF($D263&lt;&gt;1,"",IF(p_mode="Nœud",$Z263*$K263,$X263*IF($G263="IKS",p_iks_cpu,p_roks_cpu)+$Y263*IF($G263="IKS",p_iks_ram,p_roks_ram))*p_facteur)</f>
        <v/>
      </c>
      <c r="AB263" s="14" t="str">
        <f aca="false">IF($D263&lt;&gt;1,"",MAX($J263,ROUNDUP(MAX($L263/$H263,$M263/$I263),0)))</f>
        <v/>
      </c>
      <c r="AC263" s="84" t="str">
        <f aca="false">IF($D263&lt;&gt;1,"",IF(p_mode="Nœud",$AB263*$K263,$L263*IF($G263="IKS",p_iks_cpu,p_roks_cpu)+$M263*IF($G263="IKS",p_iks_ram,p_roks_ram))*p_facteur)</f>
        <v/>
      </c>
      <c r="AD263" s="14" t="str">
        <f aca="false">IF($D263&lt;&gt;1,"",IF(AND($G263="IKS",$AI263&lt;&gt;1,OR($L263-$P263&lt;$N263,$M263-$Q263&lt;$O263)),1,0))</f>
        <v/>
      </c>
      <c r="AE263" s="14" t="str">
        <f aca="false">IF($D263&lt;&gt;1,"",IF(AND($G263="ROKS",$T263&gt;p_maxworkers),1,0))</f>
        <v/>
      </c>
      <c r="AF263" s="14" t="str">
        <f aca="false">IF($D263&lt;&gt;1,"",IF(INDEX(TblClusters[Environnement],$B263)="","(vide)",INDEX(TblClusters[Environnement],$B263)))</f>
        <v/>
      </c>
      <c r="AG263" s="14" t="str">
        <f aca="false">IF($D263&lt;&gt;1,"",$R263+p_poidsram*$S263)</f>
        <v/>
      </c>
      <c r="AH263" s="14" t="str">
        <f aca="false">IF($D263&lt;&gt;1,"",IFERROR($W263/$AG263,0))</f>
        <v/>
      </c>
      <c r="AI263" s="14" t="str">
        <f aca="false">IF($D263&lt;&gt;1,"",IF(AND($G263="IKS",ISNUMBER(INDEX(TblClusters[Fermeture retenue],$B263))),IF($E263&gt;=INDEX(TblClusters[Fermeture retenue],$B263),1,0),0))</f>
        <v/>
      </c>
    </row>
    <row r="264" customFormat="false" ht="15" hidden="false" customHeight="false" outlineLevel="0" collapsed="false">
      <c r="A264" s="14" t="n">
        <v>259</v>
      </c>
      <c r="B264" s="14" t="n">
        <f aca="false">INT(($A264-1)/36)+1</f>
        <v>8</v>
      </c>
      <c r="C264" s="14" t="n">
        <f aca="false">MOD($A264-1,36)+1</f>
        <v>7</v>
      </c>
      <c r="D264" s="14" t="n">
        <f aca="false">IF($C264&gt;p_horizon,0,IFERROR(IF(AND(INDEX(TblClusters[Cluster],$B264)&lt;&gt;"",ISNUMBER(INDEX(TblClusters[CPU initial (vCPU)],$B264)),ISNUMBER(INDEX(TblClusters[CPU min (vCPU)],$B264)),OR(INDEX(TblClusters[Plateforme],$B264)="IKS",INDEX(TblClusters[Plateforme],$B264)="ROKS")),1,0),0))</f>
        <v>0</v>
      </c>
      <c r="E264" s="83" t="str">
        <f aca="false">IF($D264=1,EDATE(p_debut,$C264-1),"")</f>
        <v/>
      </c>
      <c r="F264" s="14" t="str">
        <f aca="false">IF($D264=1,INDEX(TblClusters[Cluster],$B264),"")</f>
        <v/>
      </c>
      <c r="G264" s="14" t="str">
        <f aca="false">IF($D264=1,INDEX(TblClusters[Plateforme],$B264),"")</f>
        <v/>
      </c>
      <c r="H264" s="14" t="str">
        <f aca="false">IF($D264=1,INDEX(TblClusters[vCPU par nœud],$B264),"")</f>
        <v/>
      </c>
      <c r="I264" s="14" t="str">
        <f aca="false">IF($D264=1,INDEX(TblClusters[RAM par nœud (Go)],$B264),"")</f>
        <v/>
      </c>
      <c r="J264" s="14" t="str">
        <f aca="false">IF($D264=1,INDEX(TblClusters[Workers min],$B264),"")</f>
        <v/>
      </c>
      <c r="K264" s="84" t="str">
        <f aca="false">IF($D264=1,INDEX(TblClusters[Tarif par nœud],$B264),"")</f>
        <v/>
      </c>
      <c r="L264" s="14" t="str">
        <f aca="false">IF($D264=1,INDEX(TblClusters[CPU initial (vCPU)],$B264),"")</f>
        <v/>
      </c>
      <c r="M264" s="14" t="str">
        <f aca="false">IF($D264=1,INDEX(TblClusters[RAM initiale (Go)],$B264),"")</f>
        <v/>
      </c>
      <c r="N264" s="14" t="str">
        <f aca="false">IF($D264=1,INDEX(TblClusters[CPU min (vCPU)],$B264),"")</f>
        <v/>
      </c>
      <c r="O264" s="14" t="str">
        <f aca="false">IF($D264=1,INDEX(TblClusters[RAM min (Go)],$B264),"")</f>
        <v/>
      </c>
      <c r="P264" s="14" t="str">
        <f aca="false">IF($D264&lt;&gt;1,"",IF($G264="ROKS",SUMIFS(TblApplications[Besoin ROKS CPU (vCPU)],TblApplications[Cluster ROKS cible],$F264,TblApplications[Action],"À migrer",TblApplications[Déjà incluse ROKS],"Non",TblApplications[Mois prov (calc)],"&lt;="&amp;$E264),SUMIFS(TblApplications[CPU IKS libérable (vCPU)],TblApplications[Cluster IKS source],$F264,TblApplications[Mois lib (calc)],"&lt;="&amp;$E264)))</f>
        <v/>
      </c>
      <c r="Q264" s="14" t="str">
        <f aca="false">IF($D264&lt;&gt;1,"",IF($G264="ROKS",SUMIFS(TblApplications[Besoin ROKS RAM (Go)],TblApplications[Cluster ROKS cible],$F264,TblApplications[Action],"À migrer",TblApplications[Déjà incluse ROKS],"Non",TblApplications[Mois prov (calc)],"&lt;="&amp;$E264),SUMIFS(TblApplications[RAM IKS libérable (Go)],TblApplications[Cluster IKS source],$F264,TblApplications[Mois lib (calc)],"&lt;="&amp;$E264)))</f>
        <v/>
      </c>
      <c r="R264" s="14" t="str">
        <f aca="false">IF($D264&lt;&gt;1,"",IF($G264="ROKS",$L264+$P264,IF($AI264=1,0,MAX($N264,$L264-$P264))))</f>
        <v/>
      </c>
      <c r="S264" s="14" t="str">
        <f aca="false">IF($D264&lt;&gt;1,"",IF($G264="ROKS",$M264+$Q264,IF($AI264=1,0,MAX($O264,$M264-$Q264))))</f>
        <v/>
      </c>
      <c r="T264" s="14" t="str">
        <f aca="false">IF($D264&lt;&gt;1,"",IF($AI264=1,0,MAX($J264,ROUNDUP(MAX($R264/$H264,$S264/$I264),0))))</f>
        <v/>
      </c>
      <c r="U264" s="14" t="str">
        <f aca="false">IF($D264&lt;&gt;1,"",IF(p_mode="Nœud",$T264*$H264,$R264))</f>
        <v/>
      </c>
      <c r="V264" s="14" t="str">
        <f aca="false">IF($D264&lt;&gt;1,"",IF(p_mode="Nœud",$T264*$I264,$S264))</f>
        <v/>
      </c>
      <c r="W264" s="84" t="str">
        <f aca="false">IF($D264&lt;&gt;1,"",IF(p_mode="Nœud",$T264*$K264,$R264*IF($G264="IKS",p_iks_cpu,p_roks_cpu)+$S264*IF($G264="IKS",p_iks_ram,p_roks_ram))*p_facteur)</f>
        <v/>
      </c>
      <c r="X264" s="14" t="str">
        <f aca="false">IF($D264&lt;&gt;1,"",IF($G264="ROKS",$R264,IF($AI264=1,0,MAX($N264,$L264-SUMIFS(TblApplications[CPU IKS libérable (vCPU)],TblApplications[Cluster IKS source],$F264,TblApplications[Action],"À migrer",TblApplications[Mois prov (calc)],"&lt;="&amp;$E264)-SUMIFS(TblApplications[CPU IKS libérable (vCPU)],TblApplications[Cluster IKS source],$F264,TblApplications[Action],"À décommissionner",TblApplications[Mois lib (calc)],"&lt;="&amp;$E264)))))</f>
        <v/>
      </c>
      <c r="Y264" s="14" t="str">
        <f aca="false">IF($D264&lt;&gt;1,"",IF($G264="ROKS",$S264,IF($AI264=1,0,MAX($O264,$M264-SUMIFS(TblApplications[RAM IKS libérable (Go)],TblApplications[Cluster IKS source],$F264,TblApplications[Action],"À migrer",TblApplications[Mois prov (calc)],"&lt;="&amp;$E264)-SUMIFS(TblApplications[RAM IKS libérable (Go)],TblApplications[Cluster IKS source],$F264,TblApplications[Action],"À décommissionner",TblApplications[Mois lib (calc)],"&lt;="&amp;$E264)))))</f>
        <v/>
      </c>
      <c r="Z264" s="14" t="str">
        <f aca="false">IF($D264&lt;&gt;1,"",IF($AI264=1,0,MAX($J264,ROUNDUP(MAX($X264/$H264,$Y264/$I264),0))))</f>
        <v/>
      </c>
      <c r="AA264" s="84" t="str">
        <f aca="false">IF($D264&lt;&gt;1,"",IF(p_mode="Nœud",$Z264*$K264,$X264*IF($G264="IKS",p_iks_cpu,p_roks_cpu)+$Y264*IF($G264="IKS",p_iks_ram,p_roks_ram))*p_facteur)</f>
        <v/>
      </c>
      <c r="AB264" s="14" t="str">
        <f aca="false">IF($D264&lt;&gt;1,"",MAX($J264,ROUNDUP(MAX($L264/$H264,$M264/$I264),0)))</f>
        <v/>
      </c>
      <c r="AC264" s="84" t="str">
        <f aca="false">IF($D264&lt;&gt;1,"",IF(p_mode="Nœud",$AB264*$K264,$L264*IF($G264="IKS",p_iks_cpu,p_roks_cpu)+$M264*IF($G264="IKS",p_iks_ram,p_roks_ram))*p_facteur)</f>
        <v/>
      </c>
      <c r="AD264" s="14" t="str">
        <f aca="false">IF($D264&lt;&gt;1,"",IF(AND($G264="IKS",$AI264&lt;&gt;1,OR($L264-$P264&lt;$N264,$M264-$Q264&lt;$O264)),1,0))</f>
        <v/>
      </c>
      <c r="AE264" s="14" t="str">
        <f aca="false">IF($D264&lt;&gt;1,"",IF(AND($G264="ROKS",$T264&gt;p_maxworkers),1,0))</f>
        <v/>
      </c>
      <c r="AF264" s="14" t="str">
        <f aca="false">IF($D264&lt;&gt;1,"",IF(INDEX(TblClusters[Environnement],$B264)="","(vide)",INDEX(TblClusters[Environnement],$B264)))</f>
        <v/>
      </c>
      <c r="AG264" s="14" t="str">
        <f aca="false">IF($D264&lt;&gt;1,"",$R264+p_poidsram*$S264)</f>
        <v/>
      </c>
      <c r="AH264" s="14" t="str">
        <f aca="false">IF($D264&lt;&gt;1,"",IFERROR($W264/$AG264,0))</f>
        <v/>
      </c>
      <c r="AI264" s="14" t="str">
        <f aca="false">IF($D264&lt;&gt;1,"",IF(AND($G264="IKS",ISNUMBER(INDEX(TblClusters[Fermeture retenue],$B264))),IF($E264&gt;=INDEX(TblClusters[Fermeture retenue],$B264),1,0),0))</f>
        <v/>
      </c>
    </row>
    <row r="265" customFormat="false" ht="15" hidden="false" customHeight="false" outlineLevel="0" collapsed="false">
      <c r="A265" s="14" t="n">
        <v>260</v>
      </c>
      <c r="B265" s="14" t="n">
        <f aca="false">INT(($A265-1)/36)+1</f>
        <v>8</v>
      </c>
      <c r="C265" s="14" t="n">
        <f aca="false">MOD($A265-1,36)+1</f>
        <v>8</v>
      </c>
      <c r="D265" s="14" t="n">
        <f aca="false">IF($C265&gt;p_horizon,0,IFERROR(IF(AND(INDEX(TblClusters[Cluster],$B265)&lt;&gt;"",ISNUMBER(INDEX(TblClusters[CPU initial (vCPU)],$B265)),ISNUMBER(INDEX(TblClusters[CPU min (vCPU)],$B265)),OR(INDEX(TblClusters[Plateforme],$B265)="IKS",INDEX(TblClusters[Plateforme],$B265)="ROKS")),1,0),0))</f>
        <v>0</v>
      </c>
      <c r="E265" s="83" t="str">
        <f aca="false">IF($D265=1,EDATE(p_debut,$C265-1),"")</f>
        <v/>
      </c>
      <c r="F265" s="14" t="str">
        <f aca="false">IF($D265=1,INDEX(TblClusters[Cluster],$B265),"")</f>
        <v/>
      </c>
      <c r="G265" s="14" t="str">
        <f aca="false">IF($D265=1,INDEX(TblClusters[Plateforme],$B265),"")</f>
        <v/>
      </c>
      <c r="H265" s="14" t="str">
        <f aca="false">IF($D265=1,INDEX(TblClusters[vCPU par nœud],$B265),"")</f>
        <v/>
      </c>
      <c r="I265" s="14" t="str">
        <f aca="false">IF($D265=1,INDEX(TblClusters[RAM par nœud (Go)],$B265),"")</f>
        <v/>
      </c>
      <c r="J265" s="14" t="str">
        <f aca="false">IF($D265=1,INDEX(TblClusters[Workers min],$B265),"")</f>
        <v/>
      </c>
      <c r="K265" s="84" t="str">
        <f aca="false">IF($D265=1,INDEX(TblClusters[Tarif par nœud],$B265),"")</f>
        <v/>
      </c>
      <c r="L265" s="14" t="str">
        <f aca="false">IF($D265=1,INDEX(TblClusters[CPU initial (vCPU)],$B265),"")</f>
        <v/>
      </c>
      <c r="M265" s="14" t="str">
        <f aca="false">IF($D265=1,INDEX(TblClusters[RAM initiale (Go)],$B265),"")</f>
        <v/>
      </c>
      <c r="N265" s="14" t="str">
        <f aca="false">IF($D265=1,INDEX(TblClusters[CPU min (vCPU)],$B265),"")</f>
        <v/>
      </c>
      <c r="O265" s="14" t="str">
        <f aca="false">IF($D265=1,INDEX(TblClusters[RAM min (Go)],$B265),"")</f>
        <v/>
      </c>
      <c r="P265" s="14" t="str">
        <f aca="false">IF($D265&lt;&gt;1,"",IF($G265="ROKS",SUMIFS(TblApplications[Besoin ROKS CPU (vCPU)],TblApplications[Cluster ROKS cible],$F265,TblApplications[Action],"À migrer",TblApplications[Déjà incluse ROKS],"Non",TblApplications[Mois prov (calc)],"&lt;="&amp;$E265),SUMIFS(TblApplications[CPU IKS libérable (vCPU)],TblApplications[Cluster IKS source],$F265,TblApplications[Mois lib (calc)],"&lt;="&amp;$E265)))</f>
        <v/>
      </c>
      <c r="Q265" s="14" t="str">
        <f aca="false">IF($D265&lt;&gt;1,"",IF($G265="ROKS",SUMIFS(TblApplications[Besoin ROKS RAM (Go)],TblApplications[Cluster ROKS cible],$F265,TblApplications[Action],"À migrer",TblApplications[Déjà incluse ROKS],"Non",TblApplications[Mois prov (calc)],"&lt;="&amp;$E265),SUMIFS(TblApplications[RAM IKS libérable (Go)],TblApplications[Cluster IKS source],$F265,TblApplications[Mois lib (calc)],"&lt;="&amp;$E265)))</f>
        <v/>
      </c>
      <c r="R265" s="14" t="str">
        <f aca="false">IF($D265&lt;&gt;1,"",IF($G265="ROKS",$L265+$P265,IF($AI265=1,0,MAX($N265,$L265-$P265))))</f>
        <v/>
      </c>
      <c r="S265" s="14" t="str">
        <f aca="false">IF($D265&lt;&gt;1,"",IF($G265="ROKS",$M265+$Q265,IF($AI265=1,0,MAX($O265,$M265-$Q265))))</f>
        <v/>
      </c>
      <c r="T265" s="14" t="str">
        <f aca="false">IF($D265&lt;&gt;1,"",IF($AI265=1,0,MAX($J265,ROUNDUP(MAX($R265/$H265,$S265/$I265),0))))</f>
        <v/>
      </c>
      <c r="U265" s="14" t="str">
        <f aca="false">IF($D265&lt;&gt;1,"",IF(p_mode="Nœud",$T265*$H265,$R265))</f>
        <v/>
      </c>
      <c r="V265" s="14" t="str">
        <f aca="false">IF($D265&lt;&gt;1,"",IF(p_mode="Nœud",$T265*$I265,$S265))</f>
        <v/>
      </c>
      <c r="W265" s="84" t="str">
        <f aca="false">IF($D265&lt;&gt;1,"",IF(p_mode="Nœud",$T265*$K265,$R265*IF($G265="IKS",p_iks_cpu,p_roks_cpu)+$S265*IF($G265="IKS",p_iks_ram,p_roks_ram))*p_facteur)</f>
        <v/>
      </c>
      <c r="X265" s="14" t="str">
        <f aca="false">IF($D265&lt;&gt;1,"",IF($G265="ROKS",$R265,IF($AI265=1,0,MAX($N265,$L265-SUMIFS(TblApplications[CPU IKS libérable (vCPU)],TblApplications[Cluster IKS source],$F265,TblApplications[Action],"À migrer",TblApplications[Mois prov (calc)],"&lt;="&amp;$E265)-SUMIFS(TblApplications[CPU IKS libérable (vCPU)],TblApplications[Cluster IKS source],$F265,TblApplications[Action],"À décommissionner",TblApplications[Mois lib (calc)],"&lt;="&amp;$E265)))))</f>
        <v/>
      </c>
      <c r="Y265" s="14" t="str">
        <f aca="false">IF($D265&lt;&gt;1,"",IF($G265="ROKS",$S265,IF($AI265=1,0,MAX($O265,$M265-SUMIFS(TblApplications[RAM IKS libérable (Go)],TblApplications[Cluster IKS source],$F265,TblApplications[Action],"À migrer",TblApplications[Mois prov (calc)],"&lt;="&amp;$E265)-SUMIFS(TblApplications[RAM IKS libérable (Go)],TblApplications[Cluster IKS source],$F265,TblApplications[Action],"À décommissionner",TblApplications[Mois lib (calc)],"&lt;="&amp;$E265)))))</f>
        <v/>
      </c>
      <c r="Z265" s="14" t="str">
        <f aca="false">IF($D265&lt;&gt;1,"",IF($AI265=1,0,MAX($J265,ROUNDUP(MAX($X265/$H265,$Y265/$I265),0))))</f>
        <v/>
      </c>
      <c r="AA265" s="84" t="str">
        <f aca="false">IF($D265&lt;&gt;1,"",IF(p_mode="Nœud",$Z265*$K265,$X265*IF($G265="IKS",p_iks_cpu,p_roks_cpu)+$Y265*IF($G265="IKS",p_iks_ram,p_roks_ram))*p_facteur)</f>
        <v/>
      </c>
      <c r="AB265" s="14" t="str">
        <f aca="false">IF($D265&lt;&gt;1,"",MAX($J265,ROUNDUP(MAX($L265/$H265,$M265/$I265),0)))</f>
        <v/>
      </c>
      <c r="AC265" s="84" t="str">
        <f aca="false">IF($D265&lt;&gt;1,"",IF(p_mode="Nœud",$AB265*$K265,$L265*IF($G265="IKS",p_iks_cpu,p_roks_cpu)+$M265*IF($G265="IKS",p_iks_ram,p_roks_ram))*p_facteur)</f>
        <v/>
      </c>
      <c r="AD265" s="14" t="str">
        <f aca="false">IF($D265&lt;&gt;1,"",IF(AND($G265="IKS",$AI265&lt;&gt;1,OR($L265-$P265&lt;$N265,$M265-$Q265&lt;$O265)),1,0))</f>
        <v/>
      </c>
      <c r="AE265" s="14" t="str">
        <f aca="false">IF($D265&lt;&gt;1,"",IF(AND($G265="ROKS",$T265&gt;p_maxworkers),1,0))</f>
        <v/>
      </c>
      <c r="AF265" s="14" t="str">
        <f aca="false">IF($D265&lt;&gt;1,"",IF(INDEX(TblClusters[Environnement],$B265)="","(vide)",INDEX(TblClusters[Environnement],$B265)))</f>
        <v/>
      </c>
      <c r="AG265" s="14" t="str">
        <f aca="false">IF($D265&lt;&gt;1,"",$R265+p_poidsram*$S265)</f>
        <v/>
      </c>
      <c r="AH265" s="14" t="str">
        <f aca="false">IF($D265&lt;&gt;1,"",IFERROR($W265/$AG265,0))</f>
        <v/>
      </c>
      <c r="AI265" s="14" t="str">
        <f aca="false">IF($D265&lt;&gt;1,"",IF(AND($G265="IKS",ISNUMBER(INDEX(TblClusters[Fermeture retenue],$B265))),IF($E265&gt;=INDEX(TblClusters[Fermeture retenue],$B265),1,0),0))</f>
        <v/>
      </c>
    </row>
    <row r="266" customFormat="false" ht="15" hidden="false" customHeight="false" outlineLevel="0" collapsed="false">
      <c r="A266" s="14" t="n">
        <v>261</v>
      </c>
      <c r="B266" s="14" t="n">
        <f aca="false">INT(($A266-1)/36)+1</f>
        <v>8</v>
      </c>
      <c r="C266" s="14" t="n">
        <f aca="false">MOD($A266-1,36)+1</f>
        <v>9</v>
      </c>
      <c r="D266" s="14" t="n">
        <f aca="false">IF($C266&gt;p_horizon,0,IFERROR(IF(AND(INDEX(TblClusters[Cluster],$B266)&lt;&gt;"",ISNUMBER(INDEX(TblClusters[CPU initial (vCPU)],$B266)),ISNUMBER(INDEX(TblClusters[CPU min (vCPU)],$B266)),OR(INDEX(TblClusters[Plateforme],$B266)="IKS",INDEX(TblClusters[Plateforme],$B266)="ROKS")),1,0),0))</f>
        <v>0</v>
      </c>
      <c r="E266" s="83" t="str">
        <f aca="false">IF($D266=1,EDATE(p_debut,$C266-1),"")</f>
        <v/>
      </c>
      <c r="F266" s="14" t="str">
        <f aca="false">IF($D266=1,INDEX(TblClusters[Cluster],$B266),"")</f>
        <v/>
      </c>
      <c r="G266" s="14" t="str">
        <f aca="false">IF($D266=1,INDEX(TblClusters[Plateforme],$B266),"")</f>
        <v/>
      </c>
      <c r="H266" s="14" t="str">
        <f aca="false">IF($D266=1,INDEX(TblClusters[vCPU par nœud],$B266),"")</f>
        <v/>
      </c>
      <c r="I266" s="14" t="str">
        <f aca="false">IF($D266=1,INDEX(TblClusters[RAM par nœud (Go)],$B266),"")</f>
        <v/>
      </c>
      <c r="J266" s="14" t="str">
        <f aca="false">IF($D266=1,INDEX(TblClusters[Workers min],$B266),"")</f>
        <v/>
      </c>
      <c r="K266" s="84" t="str">
        <f aca="false">IF($D266=1,INDEX(TblClusters[Tarif par nœud],$B266),"")</f>
        <v/>
      </c>
      <c r="L266" s="14" t="str">
        <f aca="false">IF($D266=1,INDEX(TblClusters[CPU initial (vCPU)],$B266),"")</f>
        <v/>
      </c>
      <c r="M266" s="14" t="str">
        <f aca="false">IF($D266=1,INDEX(TblClusters[RAM initiale (Go)],$B266),"")</f>
        <v/>
      </c>
      <c r="N266" s="14" t="str">
        <f aca="false">IF($D266=1,INDEX(TblClusters[CPU min (vCPU)],$B266),"")</f>
        <v/>
      </c>
      <c r="O266" s="14" t="str">
        <f aca="false">IF($D266=1,INDEX(TblClusters[RAM min (Go)],$B266),"")</f>
        <v/>
      </c>
      <c r="P266" s="14" t="str">
        <f aca="false">IF($D266&lt;&gt;1,"",IF($G266="ROKS",SUMIFS(TblApplications[Besoin ROKS CPU (vCPU)],TblApplications[Cluster ROKS cible],$F266,TblApplications[Action],"À migrer",TblApplications[Déjà incluse ROKS],"Non",TblApplications[Mois prov (calc)],"&lt;="&amp;$E266),SUMIFS(TblApplications[CPU IKS libérable (vCPU)],TblApplications[Cluster IKS source],$F266,TblApplications[Mois lib (calc)],"&lt;="&amp;$E266)))</f>
        <v/>
      </c>
      <c r="Q266" s="14" t="str">
        <f aca="false">IF($D266&lt;&gt;1,"",IF($G266="ROKS",SUMIFS(TblApplications[Besoin ROKS RAM (Go)],TblApplications[Cluster ROKS cible],$F266,TblApplications[Action],"À migrer",TblApplications[Déjà incluse ROKS],"Non",TblApplications[Mois prov (calc)],"&lt;="&amp;$E266),SUMIFS(TblApplications[RAM IKS libérable (Go)],TblApplications[Cluster IKS source],$F266,TblApplications[Mois lib (calc)],"&lt;="&amp;$E266)))</f>
        <v/>
      </c>
      <c r="R266" s="14" t="str">
        <f aca="false">IF($D266&lt;&gt;1,"",IF($G266="ROKS",$L266+$P266,IF($AI266=1,0,MAX($N266,$L266-$P266))))</f>
        <v/>
      </c>
      <c r="S266" s="14" t="str">
        <f aca="false">IF($D266&lt;&gt;1,"",IF($G266="ROKS",$M266+$Q266,IF($AI266=1,0,MAX($O266,$M266-$Q266))))</f>
        <v/>
      </c>
      <c r="T266" s="14" t="str">
        <f aca="false">IF($D266&lt;&gt;1,"",IF($AI266=1,0,MAX($J266,ROUNDUP(MAX($R266/$H266,$S266/$I266),0))))</f>
        <v/>
      </c>
      <c r="U266" s="14" t="str">
        <f aca="false">IF($D266&lt;&gt;1,"",IF(p_mode="Nœud",$T266*$H266,$R266))</f>
        <v/>
      </c>
      <c r="V266" s="14" t="str">
        <f aca="false">IF($D266&lt;&gt;1,"",IF(p_mode="Nœud",$T266*$I266,$S266))</f>
        <v/>
      </c>
      <c r="W266" s="84" t="str">
        <f aca="false">IF($D266&lt;&gt;1,"",IF(p_mode="Nœud",$T266*$K266,$R266*IF($G266="IKS",p_iks_cpu,p_roks_cpu)+$S266*IF($G266="IKS",p_iks_ram,p_roks_ram))*p_facteur)</f>
        <v/>
      </c>
      <c r="X266" s="14" t="str">
        <f aca="false">IF($D266&lt;&gt;1,"",IF($G266="ROKS",$R266,IF($AI266=1,0,MAX($N266,$L266-SUMIFS(TblApplications[CPU IKS libérable (vCPU)],TblApplications[Cluster IKS source],$F266,TblApplications[Action],"À migrer",TblApplications[Mois prov (calc)],"&lt;="&amp;$E266)-SUMIFS(TblApplications[CPU IKS libérable (vCPU)],TblApplications[Cluster IKS source],$F266,TblApplications[Action],"À décommissionner",TblApplications[Mois lib (calc)],"&lt;="&amp;$E266)))))</f>
        <v/>
      </c>
      <c r="Y266" s="14" t="str">
        <f aca="false">IF($D266&lt;&gt;1,"",IF($G266="ROKS",$S266,IF($AI266=1,0,MAX($O266,$M266-SUMIFS(TblApplications[RAM IKS libérable (Go)],TblApplications[Cluster IKS source],$F266,TblApplications[Action],"À migrer",TblApplications[Mois prov (calc)],"&lt;="&amp;$E266)-SUMIFS(TblApplications[RAM IKS libérable (Go)],TblApplications[Cluster IKS source],$F266,TblApplications[Action],"À décommissionner",TblApplications[Mois lib (calc)],"&lt;="&amp;$E266)))))</f>
        <v/>
      </c>
      <c r="Z266" s="14" t="str">
        <f aca="false">IF($D266&lt;&gt;1,"",IF($AI266=1,0,MAX($J266,ROUNDUP(MAX($X266/$H266,$Y266/$I266),0))))</f>
        <v/>
      </c>
      <c r="AA266" s="84" t="str">
        <f aca="false">IF($D266&lt;&gt;1,"",IF(p_mode="Nœud",$Z266*$K266,$X266*IF($G266="IKS",p_iks_cpu,p_roks_cpu)+$Y266*IF($G266="IKS",p_iks_ram,p_roks_ram))*p_facteur)</f>
        <v/>
      </c>
      <c r="AB266" s="14" t="str">
        <f aca="false">IF($D266&lt;&gt;1,"",MAX($J266,ROUNDUP(MAX($L266/$H266,$M266/$I266),0)))</f>
        <v/>
      </c>
      <c r="AC266" s="84" t="str">
        <f aca="false">IF($D266&lt;&gt;1,"",IF(p_mode="Nœud",$AB266*$K266,$L266*IF($G266="IKS",p_iks_cpu,p_roks_cpu)+$M266*IF($G266="IKS",p_iks_ram,p_roks_ram))*p_facteur)</f>
        <v/>
      </c>
      <c r="AD266" s="14" t="str">
        <f aca="false">IF($D266&lt;&gt;1,"",IF(AND($G266="IKS",$AI266&lt;&gt;1,OR($L266-$P266&lt;$N266,$M266-$Q266&lt;$O266)),1,0))</f>
        <v/>
      </c>
      <c r="AE266" s="14" t="str">
        <f aca="false">IF($D266&lt;&gt;1,"",IF(AND($G266="ROKS",$T266&gt;p_maxworkers),1,0))</f>
        <v/>
      </c>
      <c r="AF266" s="14" t="str">
        <f aca="false">IF($D266&lt;&gt;1,"",IF(INDEX(TblClusters[Environnement],$B266)="","(vide)",INDEX(TblClusters[Environnement],$B266)))</f>
        <v/>
      </c>
      <c r="AG266" s="14" t="str">
        <f aca="false">IF($D266&lt;&gt;1,"",$R266+p_poidsram*$S266)</f>
        <v/>
      </c>
      <c r="AH266" s="14" t="str">
        <f aca="false">IF($D266&lt;&gt;1,"",IFERROR($W266/$AG266,0))</f>
        <v/>
      </c>
      <c r="AI266" s="14" t="str">
        <f aca="false">IF($D266&lt;&gt;1,"",IF(AND($G266="IKS",ISNUMBER(INDEX(TblClusters[Fermeture retenue],$B266))),IF($E266&gt;=INDEX(TblClusters[Fermeture retenue],$B266),1,0),0))</f>
        <v/>
      </c>
    </row>
    <row r="267" customFormat="false" ht="15" hidden="false" customHeight="false" outlineLevel="0" collapsed="false">
      <c r="A267" s="14" t="n">
        <v>262</v>
      </c>
      <c r="B267" s="14" t="n">
        <f aca="false">INT(($A267-1)/36)+1</f>
        <v>8</v>
      </c>
      <c r="C267" s="14" t="n">
        <f aca="false">MOD($A267-1,36)+1</f>
        <v>10</v>
      </c>
      <c r="D267" s="14" t="n">
        <f aca="false">IF($C267&gt;p_horizon,0,IFERROR(IF(AND(INDEX(TblClusters[Cluster],$B267)&lt;&gt;"",ISNUMBER(INDEX(TblClusters[CPU initial (vCPU)],$B267)),ISNUMBER(INDEX(TblClusters[CPU min (vCPU)],$B267)),OR(INDEX(TblClusters[Plateforme],$B267)="IKS",INDEX(TblClusters[Plateforme],$B267)="ROKS")),1,0),0))</f>
        <v>0</v>
      </c>
      <c r="E267" s="83" t="str">
        <f aca="false">IF($D267=1,EDATE(p_debut,$C267-1),"")</f>
        <v/>
      </c>
      <c r="F267" s="14" t="str">
        <f aca="false">IF($D267=1,INDEX(TblClusters[Cluster],$B267),"")</f>
        <v/>
      </c>
      <c r="G267" s="14" t="str">
        <f aca="false">IF($D267=1,INDEX(TblClusters[Plateforme],$B267),"")</f>
        <v/>
      </c>
      <c r="H267" s="14" t="str">
        <f aca="false">IF($D267=1,INDEX(TblClusters[vCPU par nœud],$B267),"")</f>
        <v/>
      </c>
      <c r="I267" s="14" t="str">
        <f aca="false">IF($D267=1,INDEX(TblClusters[RAM par nœud (Go)],$B267),"")</f>
        <v/>
      </c>
      <c r="J267" s="14" t="str">
        <f aca="false">IF($D267=1,INDEX(TblClusters[Workers min],$B267),"")</f>
        <v/>
      </c>
      <c r="K267" s="84" t="str">
        <f aca="false">IF($D267=1,INDEX(TblClusters[Tarif par nœud],$B267),"")</f>
        <v/>
      </c>
      <c r="L267" s="14" t="str">
        <f aca="false">IF($D267=1,INDEX(TblClusters[CPU initial (vCPU)],$B267),"")</f>
        <v/>
      </c>
      <c r="M267" s="14" t="str">
        <f aca="false">IF($D267=1,INDEX(TblClusters[RAM initiale (Go)],$B267),"")</f>
        <v/>
      </c>
      <c r="N267" s="14" t="str">
        <f aca="false">IF($D267=1,INDEX(TblClusters[CPU min (vCPU)],$B267),"")</f>
        <v/>
      </c>
      <c r="O267" s="14" t="str">
        <f aca="false">IF($D267=1,INDEX(TblClusters[RAM min (Go)],$B267),"")</f>
        <v/>
      </c>
      <c r="P267" s="14" t="str">
        <f aca="false">IF($D267&lt;&gt;1,"",IF($G267="ROKS",SUMIFS(TblApplications[Besoin ROKS CPU (vCPU)],TblApplications[Cluster ROKS cible],$F267,TblApplications[Action],"À migrer",TblApplications[Déjà incluse ROKS],"Non",TblApplications[Mois prov (calc)],"&lt;="&amp;$E267),SUMIFS(TblApplications[CPU IKS libérable (vCPU)],TblApplications[Cluster IKS source],$F267,TblApplications[Mois lib (calc)],"&lt;="&amp;$E267)))</f>
        <v/>
      </c>
      <c r="Q267" s="14" t="str">
        <f aca="false">IF($D267&lt;&gt;1,"",IF($G267="ROKS",SUMIFS(TblApplications[Besoin ROKS RAM (Go)],TblApplications[Cluster ROKS cible],$F267,TblApplications[Action],"À migrer",TblApplications[Déjà incluse ROKS],"Non",TblApplications[Mois prov (calc)],"&lt;="&amp;$E267),SUMIFS(TblApplications[RAM IKS libérable (Go)],TblApplications[Cluster IKS source],$F267,TblApplications[Mois lib (calc)],"&lt;="&amp;$E267)))</f>
        <v/>
      </c>
      <c r="R267" s="14" t="str">
        <f aca="false">IF($D267&lt;&gt;1,"",IF($G267="ROKS",$L267+$P267,IF($AI267=1,0,MAX($N267,$L267-$P267))))</f>
        <v/>
      </c>
      <c r="S267" s="14" t="str">
        <f aca="false">IF($D267&lt;&gt;1,"",IF($G267="ROKS",$M267+$Q267,IF($AI267=1,0,MAX($O267,$M267-$Q267))))</f>
        <v/>
      </c>
      <c r="T267" s="14" t="str">
        <f aca="false">IF($D267&lt;&gt;1,"",IF($AI267=1,0,MAX($J267,ROUNDUP(MAX($R267/$H267,$S267/$I267),0))))</f>
        <v/>
      </c>
      <c r="U267" s="14" t="str">
        <f aca="false">IF($D267&lt;&gt;1,"",IF(p_mode="Nœud",$T267*$H267,$R267))</f>
        <v/>
      </c>
      <c r="V267" s="14" t="str">
        <f aca="false">IF($D267&lt;&gt;1,"",IF(p_mode="Nœud",$T267*$I267,$S267))</f>
        <v/>
      </c>
      <c r="W267" s="84" t="str">
        <f aca="false">IF($D267&lt;&gt;1,"",IF(p_mode="Nœud",$T267*$K267,$R267*IF($G267="IKS",p_iks_cpu,p_roks_cpu)+$S267*IF($G267="IKS",p_iks_ram,p_roks_ram))*p_facteur)</f>
        <v/>
      </c>
      <c r="X267" s="14" t="str">
        <f aca="false">IF($D267&lt;&gt;1,"",IF($G267="ROKS",$R267,IF($AI267=1,0,MAX($N267,$L267-SUMIFS(TblApplications[CPU IKS libérable (vCPU)],TblApplications[Cluster IKS source],$F267,TblApplications[Action],"À migrer",TblApplications[Mois prov (calc)],"&lt;="&amp;$E267)-SUMIFS(TblApplications[CPU IKS libérable (vCPU)],TblApplications[Cluster IKS source],$F267,TblApplications[Action],"À décommissionner",TblApplications[Mois lib (calc)],"&lt;="&amp;$E267)))))</f>
        <v/>
      </c>
      <c r="Y267" s="14" t="str">
        <f aca="false">IF($D267&lt;&gt;1,"",IF($G267="ROKS",$S267,IF($AI267=1,0,MAX($O267,$M267-SUMIFS(TblApplications[RAM IKS libérable (Go)],TblApplications[Cluster IKS source],$F267,TblApplications[Action],"À migrer",TblApplications[Mois prov (calc)],"&lt;="&amp;$E267)-SUMIFS(TblApplications[RAM IKS libérable (Go)],TblApplications[Cluster IKS source],$F267,TblApplications[Action],"À décommissionner",TblApplications[Mois lib (calc)],"&lt;="&amp;$E267)))))</f>
        <v/>
      </c>
      <c r="Z267" s="14" t="str">
        <f aca="false">IF($D267&lt;&gt;1,"",IF($AI267=1,0,MAX($J267,ROUNDUP(MAX($X267/$H267,$Y267/$I267),0))))</f>
        <v/>
      </c>
      <c r="AA267" s="84" t="str">
        <f aca="false">IF($D267&lt;&gt;1,"",IF(p_mode="Nœud",$Z267*$K267,$X267*IF($G267="IKS",p_iks_cpu,p_roks_cpu)+$Y267*IF($G267="IKS",p_iks_ram,p_roks_ram))*p_facteur)</f>
        <v/>
      </c>
      <c r="AB267" s="14" t="str">
        <f aca="false">IF($D267&lt;&gt;1,"",MAX($J267,ROUNDUP(MAX($L267/$H267,$M267/$I267),0)))</f>
        <v/>
      </c>
      <c r="AC267" s="84" t="str">
        <f aca="false">IF($D267&lt;&gt;1,"",IF(p_mode="Nœud",$AB267*$K267,$L267*IF($G267="IKS",p_iks_cpu,p_roks_cpu)+$M267*IF($G267="IKS",p_iks_ram,p_roks_ram))*p_facteur)</f>
        <v/>
      </c>
      <c r="AD267" s="14" t="str">
        <f aca="false">IF($D267&lt;&gt;1,"",IF(AND($G267="IKS",$AI267&lt;&gt;1,OR($L267-$P267&lt;$N267,$M267-$Q267&lt;$O267)),1,0))</f>
        <v/>
      </c>
      <c r="AE267" s="14" t="str">
        <f aca="false">IF($D267&lt;&gt;1,"",IF(AND($G267="ROKS",$T267&gt;p_maxworkers),1,0))</f>
        <v/>
      </c>
      <c r="AF267" s="14" t="str">
        <f aca="false">IF($D267&lt;&gt;1,"",IF(INDEX(TblClusters[Environnement],$B267)="","(vide)",INDEX(TblClusters[Environnement],$B267)))</f>
        <v/>
      </c>
      <c r="AG267" s="14" t="str">
        <f aca="false">IF($D267&lt;&gt;1,"",$R267+p_poidsram*$S267)</f>
        <v/>
      </c>
      <c r="AH267" s="14" t="str">
        <f aca="false">IF($D267&lt;&gt;1,"",IFERROR($W267/$AG267,0))</f>
        <v/>
      </c>
      <c r="AI267" s="14" t="str">
        <f aca="false">IF($D267&lt;&gt;1,"",IF(AND($G267="IKS",ISNUMBER(INDEX(TblClusters[Fermeture retenue],$B267))),IF($E267&gt;=INDEX(TblClusters[Fermeture retenue],$B267),1,0),0))</f>
        <v/>
      </c>
    </row>
    <row r="268" customFormat="false" ht="15" hidden="false" customHeight="false" outlineLevel="0" collapsed="false">
      <c r="A268" s="14" t="n">
        <v>263</v>
      </c>
      <c r="B268" s="14" t="n">
        <f aca="false">INT(($A268-1)/36)+1</f>
        <v>8</v>
      </c>
      <c r="C268" s="14" t="n">
        <f aca="false">MOD($A268-1,36)+1</f>
        <v>11</v>
      </c>
      <c r="D268" s="14" t="n">
        <f aca="false">IF($C268&gt;p_horizon,0,IFERROR(IF(AND(INDEX(TblClusters[Cluster],$B268)&lt;&gt;"",ISNUMBER(INDEX(TblClusters[CPU initial (vCPU)],$B268)),ISNUMBER(INDEX(TblClusters[CPU min (vCPU)],$B268)),OR(INDEX(TblClusters[Plateforme],$B268)="IKS",INDEX(TblClusters[Plateforme],$B268)="ROKS")),1,0),0))</f>
        <v>0</v>
      </c>
      <c r="E268" s="83" t="str">
        <f aca="false">IF($D268=1,EDATE(p_debut,$C268-1),"")</f>
        <v/>
      </c>
      <c r="F268" s="14" t="str">
        <f aca="false">IF($D268=1,INDEX(TblClusters[Cluster],$B268),"")</f>
        <v/>
      </c>
      <c r="G268" s="14" t="str">
        <f aca="false">IF($D268=1,INDEX(TblClusters[Plateforme],$B268),"")</f>
        <v/>
      </c>
      <c r="H268" s="14" t="str">
        <f aca="false">IF($D268=1,INDEX(TblClusters[vCPU par nœud],$B268),"")</f>
        <v/>
      </c>
      <c r="I268" s="14" t="str">
        <f aca="false">IF($D268=1,INDEX(TblClusters[RAM par nœud (Go)],$B268),"")</f>
        <v/>
      </c>
      <c r="J268" s="14" t="str">
        <f aca="false">IF($D268=1,INDEX(TblClusters[Workers min],$B268),"")</f>
        <v/>
      </c>
      <c r="K268" s="84" t="str">
        <f aca="false">IF($D268=1,INDEX(TblClusters[Tarif par nœud],$B268),"")</f>
        <v/>
      </c>
      <c r="L268" s="14" t="str">
        <f aca="false">IF($D268=1,INDEX(TblClusters[CPU initial (vCPU)],$B268),"")</f>
        <v/>
      </c>
      <c r="M268" s="14" t="str">
        <f aca="false">IF($D268=1,INDEX(TblClusters[RAM initiale (Go)],$B268),"")</f>
        <v/>
      </c>
      <c r="N268" s="14" t="str">
        <f aca="false">IF($D268=1,INDEX(TblClusters[CPU min (vCPU)],$B268),"")</f>
        <v/>
      </c>
      <c r="O268" s="14" t="str">
        <f aca="false">IF($D268=1,INDEX(TblClusters[RAM min (Go)],$B268),"")</f>
        <v/>
      </c>
      <c r="P268" s="14" t="str">
        <f aca="false">IF($D268&lt;&gt;1,"",IF($G268="ROKS",SUMIFS(TblApplications[Besoin ROKS CPU (vCPU)],TblApplications[Cluster ROKS cible],$F268,TblApplications[Action],"À migrer",TblApplications[Déjà incluse ROKS],"Non",TblApplications[Mois prov (calc)],"&lt;="&amp;$E268),SUMIFS(TblApplications[CPU IKS libérable (vCPU)],TblApplications[Cluster IKS source],$F268,TblApplications[Mois lib (calc)],"&lt;="&amp;$E268)))</f>
        <v/>
      </c>
      <c r="Q268" s="14" t="str">
        <f aca="false">IF($D268&lt;&gt;1,"",IF($G268="ROKS",SUMIFS(TblApplications[Besoin ROKS RAM (Go)],TblApplications[Cluster ROKS cible],$F268,TblApplications[Action],"À migrer",TblApplications[Déjà incluse ROKS],"Non",TblApplications[Mois prov (calc)],"&lt;="&amp;$E268),SUMIFS(TblApplications[RAM IKS libérable (Go)],TblApplications[Cluster IKS source],$F268,TblApplications[Mois lib (calc)],"&lt;="&amp;$E268)))</f>
        <v/>
      </c>
      <c r="R268" s="14" t="str">
        <f aca="false">IF($D268&lt;&gt;1,"",IF($G268="ROKS",$L268+$P268,IF($AI268=1,0,MAX($N268,$L268-$P268))))</f>
        <v/>
      </c>
      <c r="S268" s="14" t="str">
        <f aca="false">IF($D268&lt;&gt;1,"",IF($G268="ROKS",$M268+$Q268,IF($AI268=1,0,MAX($O268,$M268-$Q268))))</f>
        <v/>
      </c>
      <c r="T268" s="14" t="str">
        <f aca="false">IF($D268&lt;&gt;1,"",IF($AI268=1,0,MAX($J268,ROUNDUP(MAX($R268/$H268,$S268/$I268),0))))</f>
        <v/>
      </c>
      <c r="U268" s="14" t="str">
        <f aca="false">IF($D268&lt;&gt;1,"",IF(p_mode="Nœud",$T268*$H268,$R268))</f>
        <v/>
      </c>
      <c r="V268" s="14" t="str">
        <f aca="false">IF($D268&lt;&gt;1,"",IF(p_mode="Nœud",$T268*$I268,$S268))</f>
        <v/>
      </c>
      <c r="W268" s="84" t="str">
        <f aca="false">IF($D268&lt;&gt;1,"",IF(p_mode="Nœud",$T268*$K268,$R268*IF($G268="IKS",p_iks_cpu,p_roks_cpu)+$S268*IF($G268="IKS",p_iks_ram,p_roks_ram))*p_facteur)</f>
        <v/>
      </c>
      <c r="X268" s="14" t="str">
        <f aca="false">IF($D268&lt;&gt;1,"",IF($G268="ROKS",$R268,IF($AI268=1,0,MAX($N268,$L268-SUMIFS(TblApplications[CPU IKS libérable (vCPU)],TblApplications[Cluster IKS source],$F268,TblApplications[Action],"À migrer",TblApplications[Mois prov (calc)],"&lt;="&amp;$E268)-SUMIFS(TblApplications[CPU IKS libérable (vCPU)],TblApplications[Cluster IKS source],$F268,TblApplications[Action],"À décommissionner",TblApplications[Mois lib (calc)],"&lt;="&amp;$E268)))))</f>
        <v/>
      </c>
      <c r="Y268" s="14" t="str">
        <f aca="false">IF($D268&lt;&gt;1,"",IF($G268="ROKS",$S268,IF($AI268=1,0,MAX($O268,$M268-SUMIFS(TblApplications[RAM IKS libérable (Go)],TblApplications[Cluster IKS source],$F268,TblApplications[Action],"À migrer",TblApplications[Mois prov (calc)],"&lt;="&amp;$E268)-SUMIFS(TblApplications[RAM IKS libérable (Go)],TblApplications[Cluster IKS source],$F268,TblApplications[Action],"À décommissionner",TblApplications[Mois lib (calc)],"&lt;="&amp;$E268)))))</f>
        <v/>
      </c>
      <c r="Z268" s="14" t="str">
        <f aca="false">IF($D268&lt;&gt;1,"",IF($AI268=1,0,MAX($J268,ROUNDUP(MAX($X268/$H268,$Y268/$I268),0))))</f>
        <v/>
      </c>
      <c r="AA268" s="84" t="str">
        <f aca="false">IF($D268&lt;&gt;1,"",IF(p_mode="Nœud",$Z268*$K268,$X268*IF($G268="IKS",p_iks_cpu,p_roks_cpu)+$Y268*IF($G268="IKS",p_iks_ram,p_roks_ram))*p_facteur)</f>
        <v/>
      </c>
      <c r="AB268" s="14" t="str">
        <f aca="false">IF($D268&lt;&gt;1,"",MAX($J268,ROUNDUP(MAX($L268/$H268,$M268/$I268),0)))</f>
        <v/>
      </c>
      <c r="AC268" s="84" t="str">
        <f aca="false">IF($D268&lt;&gt;1,"",IF(p_mode="Nœud",$AB268*$K268,$L268*IF($G268="IKS",p_iks_cpu,p_roks_cpu)+$M268*IF($G268="IKS",p_iks_ram,p_roks_ram))*p_facteur)</f>
        <v/>
      </c>
      <c r="AD268" s="14" t="str">
        <f aca="false">IF($D268&lt;&gt;1,"",IF(AND($G268="IKS",$AI268&lt;&gt;1,OR($L268-$P268&lt;$N268,$M268-$Q268&lt;$O268)),1,0))</f>
        <v/>
      </c>
      <c r="AE268" s="14" t="str">
        <f aca="false">IF($D268&lt;&gt;1,"",IF(AND($G268="ROKS",$T268&gt;p_maxworkers),1,0))</f>
        <v/>
      </c>
      <c r="AF268" s="14" t="str">
        <f aca="false">IF($D268&lt;&gt;1,"",IF(INDEX(TblClusters[Environnement],$B268)="","(vide)",INDEX(TblClusters[Environnement],$B268)))</f>
        <v/>
      </c>
      <c r="AG268" s="14" t="str">
        <f aca="false">IF($D268&lt;&gt;1,"",$R268+p_poidsram*$S268)</f>
        <v/>
      </c>
      <c r="AH268" s="14" t="str">
        <f aca="false">IF($D268&lt;&gt;1,"",IFERROR($W268/$AG268,0))</f>
        <v/>
      </c>
      <c r="AI268" s="14" t="str">
        <f aca="false">IF($D268&lt;&gt;1,"",IF(AND($G268="IKS",ISNUMBER(INDEX(TblClusters[Fermeture retenue],$B268))),IF($E268&gt;=INDEX(TblClusters[Fermeture retenue],$B268),1,0),0))</f>
        <v/>
      </c>
    </row>
    <row r="269" customFormat="false" ht="15" hidden="false" customHeight="false" outlineLevel="0" collapsed="false">
      <c r="A269" s="14" t="n">
        <v>264</v>
      </c>
      <c r="B269" s="14" t="n">
        <f aca="false">INT(($A269-1)/36)+1</f>
        <v>8</v>
      </c>
      <c r="C269" s="14" t="n">
        <f aca="false">MOD($A269-1,36)+1</f>
        <v>12</v>
      </c>
      <c r="D269" s="14" t="n">
        <f aca="false">IF($C269&gt;p_horizon,0,IFERROR(IF(AND(INDEX(TblClusters[Cluster],$B269)&lt;&gt;"",ISNUMBER(INDEX(TblClusters[CPU initial (vCPU)],$B269)),ISNUMBER(INDEX(TblClusters[CPU min (vCPU)],$B269)),OR(INDEX(TblClusters[Plateforme],$B269)="IKS",INDEX(TblClusters[Plateforme],$B269)="ROKS")),1,0),0))</f>
        <v>0</v>
      </c>
      <c r="E269" s="83" t="str">
        <f aca="false">IF($D269=1,EDATE(p_debut,$C269-1),"")</f>
        <v/>
      </c>
      <c r="F269" s="14" t="str">
        <f aca="false">IF($D269=1,INDEX(TblClusters[Cluster],$B269),"")</f>
        <v/>
      </c>
      <c r="G269" s="14" t="str">
        <f aca="false">IF($D269=1,INDEX(TblClusters[Plateforme],$B269),"")</f>
        <v/>
      </c>
      <c r="H269" s="14" t="str">
        <f aca="false">IF($D269=1,INDEX(TblClusters[vCPU par nœud],$B269),"")</f>
        <v/>
      </c>
      <c r="I269" s="14" t="str">
        <f aca="false">IF($D269=1,INDEX(TblClusters[RAM par nœud (Go)],$B269),"")</f>
        <v/>
      </c>
      <c r="J269" s="14" t="str">
        <f aca="false">IF($D269=1,INDEX(TblClusters[Workers min],$B269),"")</f>
        <v/>
      </c>
      <c r="K269" s="84" t="str">
        <f aca="false">IF($D269=1,INDEX(TblClusters[Tarif par nœud],$B269),"")</f>
        <v/>
      </c>
      <c r="L269" s="14" t="str">
        <f aca="false">IF($D269=1,INDEX(TblClusters[CPU initial (vCPU)],$B269),"")</f>
        <v/>
      </c>
      <c r="M269" s="14" t="str">
        <f aca="false">IF($D269=1,INDEX(TblClusters[RAM initiale (Go)],$B269),"")</f>
        <v/>
      </c>
      <c r="N269" s="14" t="str">
        <f aca="false">IF($D269=1,INDEX(TblClusters[CPU min (vCPU)],$B269),"")</f>
        <v/>
      </c>
      <c r="O269" s="14" t="str">
        <f aca="false">IF($D269=1,INDEX(TblClusters[RAM min (Go)],$B269),"")</f>
        <v/>
      </c>
      <c r="P269" s="14" t="str">
        <f aca="false">IF($D269&lt;&gt;1,"",IF($G269="ROKS",SUMIFS(TblApplications[Besoin ROKS CPU (vCPU)],TblApplications[Cluster ROKS cible],$F269,TblApplications[Action],"À migrer",TblApplications[Déjà incluse ROKS],"Non",TblApplications[Mois prov (calc)],"&lt;="&amp;$E269),SUMIFS(TblApplications[CPU IKS libérable (vCPU)],TblApplications[Cluster IKS source],$F269,TblApplications[Mois lib (calc)],"&lt;="&amp;$E269)))</f>
        <v/>
      </c>
      <c r="Q269" s="14" t="str">
        <f aca="false">IF($D269&lt;&gt;1,"",IF($G269="ROKS",SUMIFS(TblApplications[Besoin ROKS RAM (Go)],TblApplications[Cluster ROKS cible],$F269,TblApplications[Action],"À migrer",TblApplications[Déjà incluse ROKS],"Non",TblApplications[Mois prov (calc)],"&lt;="&amp;$E269),SUMIFS(TblApplications[RAM IKS libérable (Go)],TblApplications[Cluster IKS source],$F269,TblApplications[Mois lib (calc)],"&lt;="&amp;$E269)))</f>
        <v/>
      </c>
      <c r="R269" s="14" t="str">
        <f aca="false">IF($D269&lt;&gt;1,"",IF($G269="ROKS",$L269+$P269,IF($AI269=1,0,MAX($N269,$L269-$P269))))</f>
        <v/>
      </c>
      <c r="S269" s="14" t="str">
        <f aca="false">IF($D269&lt;&gt;1,"",IF($G269="ROKS",$M269+$Q269,IF($AI269=1,0,MAX($O269,$M269-$Q269))))</f>
        <v/>
      </c>
      <c r="T269" s="14" t="str">
        <f aca="false">IF($D269&lt;&gt;1,"",IF($AI269=1,0,MAX($J269,ROUNDUP(MAX($R269/$H269,$S269/$I269),0))))</f>
        <v/>
      </c>
      <c r="U269" s="14" t="str">
        <f aca="false">IF($D269&lt;&gt;1,"",IF(p_mode="Nœud",$T269*$H269,$R269))</f>
        <v/>
      </c>
      <c r="V269" s="14" t="str">
        <f aca="false">IF($D269&lt;&gt;1,"",IF(p_mode="Nœud",$T269*$I269,$S269))</f>
        <v/>
      </c>
      <c r="W269" s="84" t="str">
        <f aca="false">IF($D269&lt;&gt;1,"",IF(p_mode="Nœud",$T269*$K269,$R269*IF($G269="IKS",p_iks_cpu,p_roks_cpu)+$S269*IF($G269="IKS",p_iks_ram,p_roks_ram))*p_facteur)</f>
        <v/>
      </c>
      <c r="X269" s="14" t="str">
        <f aca="false">IF($D269&lt;&gt;1,"",IF($G269="ROKS",$R269,IF($AI269=1,0,MAX($N269,$L269-SUMIFS(TblApplications[CPU IKS libérable (vCPU)],TblApplications[Cluster IKS source],$F269,TblApplications[Action],"À migrer",TblApplications[Mois prov (calc)],"&lt;="&amp;$E269)-SUMIFS(TblApplications[CPU IKS libérable (vCPU)],TblApplications[Cluster IKS source],$F269,TblApplications[Action],"À décommissionner",TblApplications[Mois lib (calc)],"&lt;="&amp;$E269)))))</f>
        <v/>
      </c>
      <c r="Y269" s="14" t="str">
        <f aca="false">IF($D269&lt;&gt;1,"",IF($G269="ROKS",$S269,IF($AI269=1,0,MAX($O269,$M269-SUMIFS(TblApplications[RAM IKS libérable (Go)],TblApplications[Cluster IKS source],$F269,TblApplications[Action],"À migrer",TblApplications[Mois prov (calc)],"&lt;="&amp;$E269)-SUMIFS(TblApplications[RAM IKS libérable (Go)],TblApplications[Cluster IKS source],$F269,TblApplications[Action],"À décommissionner",TblApplications[Mois lib (calc)],"&lt;="&amp;$E269)))))</f>
        <v/>
      </c>
      <c r="Z269" s="14" t="str">
        <f aca="false">IF($D269&lt;&gt;1,"",IF($AI269=1,0,MAX($J269,ROUNDUP(MAX($X269/$H269,$Y269/$I269),0))))</f>
        <v/>
      </c>
      <c r="AA269" s="84" t="str">
        <f aca="false">IF($D269&lt;&gt;1,"",IF(p_mode="Nœud",$Z269*$K269,$X269*IF($G269="IKS",p_iks_cpu,p_roks_cpu)+$Y269*IF($G269="IKS",p_iks_ram,p_roks_ram))*p_facteur)</f>
        <v/>
      </c>
      <c r="AB269" s="14" t="str">
        <f aca="false">IF($D269&lt;&gt;1,"",MAX($J269,ROUNDUP(MAX($L269/$H269,$M269/$I269),0)))</f>
        <v/>
      </c>
      <c r="AC269" s="84" t="str">
        <f aca="false">IF($D269&lt;&gt;1,"",IF(p_mode="Nœud",$AB269*$K269,$L269*IF($G269="IKS",p_iks_cpu,p_roks_cpu)+$M269*IF($G269="IKS",p_iks_ram,p_roks_ram))*p_facteur)</f>
        <v/>
      </c>
      <c r="AD269" s="14" t="str">
        <f aca="false">IF($D269&lt;&gt;1,"",IF(AND($G269="IKS",$AI269&lt;&gt;1,OR($L269-$P269&lt;$N269,$M269-$Q269&lt;$O269)),1,0))</f>
        <v/>
      </c>
      <c r="AE269" s="14" t="str">
        <f aca="false">IF($D269&lt;&gt;1,"",IF(AND($G269="ROKS",$T269&gt;p_maxworkers),1,0))</f>
        <v/>
      </c>
      <c r="AF269" s="14" t="str">
        <f aca="false">IF($D269&lt;&gt;1,"",IF(INDEX(TblClusters[Environnement],$B269)="","(vide)",INDEX(TblClusters[Environnement],$B269)))</f>
        <v/>
      </c>
      <c r="AG269" s="14" t="str">
        <f aca="false">IF($D269&lt;&gt;1,"",$R269+p_poidsram*$S269)</f>
        <v/>
      </c>
      <c r="AH269" s="14" t="str">
        <f aca="false">IF($D269&lt;&gt;1,"",IFERROR($W269/$AG269,0))</f>
        <v/>
      </c>
      <c r="AI269" s="14" t="str">
        <f aca="false">IF($D269&lt;&gt;1,"",IF(AND($G269="IKS",ISNUMBER(INDEX(TblClusters[Fermeture retenue],$B269))),IF($E269&gt;=INDEX(TblClusters[Fermeture retenue],$B269),1,0),0))</f>
        <v/>
      </c>
    </row>
    <row r="270" customFormat="false" ht="15" hidden="false" customHeight="false" outlineLevel="0" collapsed="false">
      <c r="A270" s="14" t="n">
        <v>265</v>
      </c>
      <c r="B270" s="14" t="n">
        <f aca="false">INT(($A270-1)/36)+1</f>
        <v>8</v>
      </c>
      <c r="C270" s="14" t="n">
        <f aca="false">MOD($A270-1,36)+1</f>
        <v>13</v>
      </c>
      <c r="D270" s="14" t="n">
        <f aca="false">IF($C270&gt;p_horizon,0,IFERROR(IF(AND(INDEX(TblClusters[Cluster],$B270)&lt;&gt;"",ISNUMBER(INDEX(TblClusters[CPU initial (vCPU)],$B270)),ISNUMBER(INDEX(TblClusters[CPU min (vCPU)],$B270)),OR(INDEX(TblClusters[Plateforme],$B270)="IKS",INDEX(TblClusters[Plateforme],$B270)="ROKS")),1,0),0))</f>
        <v>0</v>
      </c>
      <c r="E270" s="83" t="str">
        <f aca="false">IF($D270=1,EDATE(p_debut,$C270-1),"")</f>
        <v/>
      </c>
      <c r="F270" s="14" t="str">
        <f aca="false">IF($D270=1,INDEX(TblClusters[Cluster],$B270),"")</f>
        <v/>
      </c>
      <c r="G270" s="14" t="str">
        <f aca="false">IF($D270=1,INDEX(TblClusters[Plateforme],$B270),"")</f>
        <v/>
      </c>
      <c r="H270" s="14" t="str">
        <f aca="false">IF($D270=1,INDEX(TblClusters[vCPU par nœud],$B270),"")</f>
        <v/>
      </c>
      <c r="I270" s="14" t="str">
        <f aca="false">IF($D270=1,INDEX(TblClusters[RAM par nœud (Go)],$B270),"")</f>
        <v/>
      </c>
      <c r="J270" s="14" t="str">
        <f aca="false">IF($D270=1,INDEX(TblClusters[Workers min],$B270),"")</f>
        <v/>
      </c>
      <c r="K270" s="84" t="str">
        <f aca="false">IF($D270=1,INDEX(TblClusters[Tarif par nœud],$B270),"")</f>
        <v/>
      </c>
      <c r="L270" s="14" t="str">
        <f aca="false">IF($D270=1,INDEX(TblClusters[CPU initial (vCPU)],$B270),"")</f>
        <v/>
      </c>
      <c r="M270" s="14" t="str">
        <f aca="false">IF($D270=1,INDEX(TblClusters[RAM initiale (Go)],$B270),"")</f>
        <v/>
      </c>
      <c r="N270" s="14" t="str">
        <f aca="false">IF($D270=1,INDEX(TblClusters[CPU min (vCPU)],$B270),"")</f>
        <v/>
      </c>
      <c r="O270" s="14" t="str">
        <f aca="false">IF($D270=1,INDEX(TblClusters[RAM min (Go)],$B270),"")</f>
        <v/>
      </c>
      <c r="P270" s="14" t="str">
        <f aca="false">IF($D270&lt;&gt;1,"",IF($G270="ROKS",SUMIFS(TblApplications[Besoin ROKS CPU (vCPU)],TblApplications[Cluster ROKS cible],$F270,TblApplications[Action],"À migrer",TblApplications[Déjà incluse ROKS],"Non",TblApplications[Mois prov (calc)],"&lt;="&amp;$E270),SUMIFS(TblApplications[CPU IKS libérable (vCPU)],TblApplications[Cluster IKS source],$F270,TblApplications[Mois lib (calc)],"&lt;="&amp;$E270)))</f>
        <v/>
      </c>
      <c r="Q270" s="14" t="str">
        <f aca="false">IF($D270&lt;&gt;1,"",IF($G270="ROKS",SUMIFS(TblApplications[Besoin ROKS RAM (Go)],TblApplications[Cluster ROKS cible],$F270,TblApplications[Action],"À migrer",TblApplications[Déjà incluse ROKS],"Non",TblApplications[Mois prov (calc)],"&lt;="&amp;$E270),SUMIFS(TblApplications[RAM IKS libérable (Go)],TblApplications[Cluster IKS source],$F270,TblApplications[Mois lib (calc)],"&lt;="&amp;$E270)))</f>
        <v/>
      </c>
      <c r="R270" s="14" t="str">
        <f aca="false">IF($D270&lt;&gt;1,"",IF($G270="ROKS",$L270+$P270,IF($AI270=1,0,MAX($N270,$L270-$P270))))</f>
        <v/>
      </c>
      <c r="S270" s="14" t="str">
        <f aca="false">IF($D270&lt;&gt;1,"",IF($G270="ROKS",$M270+$Q270,IF($AI270=1,0,MAX($O270,$M270-$Q270))))</f>
        <v/>
      </c>
      <c r="T270" s="14" t="str">
        <f aca="false">IF($D270&lt;&gt;1,"",IF($AI270=1,0,MAX($J270,ROUNDUP(MAX($R270/$H270,$S270/$I270),0))))</f>
        <v/>
      </c>
      <c r="U270" s="14" t="str">
        <f aca="false">IF($D270&lt;&gt;1,"",IF(p_mode="Nœud",$T270*$H270,$R270))</f>
        <v/>
      </c>
      <c r="V270" s="14" t="str">
        <f aca="false">IF($D270&lt;&gt;1,"",IF(p_mode="Nœud",$T270*$I270,$S270))</f>
        <v/>
      </c>
      <c r="W270" s="84" t="str">
        <f aca="false">IF($D270&lt;&gt;1,"",IF(p_mode="Nœud",$T270*$K270,$R270*IF($G270="IKS",p_iks_cpu,p_roks_cpu)+$S270*IF($G270="IKS",p_iks_ram,p_roks_ram))*p_facteur)</f>
        <v/>
      </c>
      <c r="X270" s="14" t="str">
        <f aca="false">IF($D270&lt;&gt;1,"",IF($G270="ROKS",$R270,IF($AI270=1,0,MAX($N270,$L270-SUMIFS(TblApplications[CPU IKS libérable (vCPU)],TblApplications[Cluster IKS source],$F270,TblApplications[Action],"À migrer",TblApplications[Mois prov (calc)],"&lt;="&amp;$E270)-SUMIFS(TblApplications[CPU IKS libérable (vCPU)],TblApplications[Cluster IKS source],$F270,TblApplications[Action],"À décommissionner",TblApplications[Mois lib (calc)],"&lt;="&amp;$E270)))))</f>
        <v/>
      </c>
      <c r="Y270" s="14" t="str">
        <f aca="false">IF($D270&lt;&gt;1,"",IF($G270="ROKS",$S270,IF($AI270=1,0,MAX($O270,$M270-SUMIFS(TblApplications[RAM IKS libérable (Go)],TblApplications[Cluster IKS source],$F270,TblApplications[Action],"À migrer",TblApplications[Mois prov (calc)],"&lt;="&amp;$E270)-SUMIFS(TblApplications[RAM IKS libérable (Go)],TblApplications[Cluster IKS source],$F270,TblApplications[Action],"À décommissionner",TblApplications[Mois lib (calc)],"&lt;="&amp;$E270)))))</f>
        <v/>
      </c>
      <c r="Z270" s="14" t="str">
        <f aca="false">IF($D270&lt;&gt;1,"",IF($AI270=1,0,MAX($J270,ROUNDUP(MAX($X270/$H270,$Y270/$I270),0))))</f>
        <v/>
      </c>
      <c r="AA270" s="84" t="str">
        <f aca="false">IF($D270&lt;&gt;1,"",IF(p_mode="Nœud",$Z270*$K270,$X270*IF($G270="IKS",p_iks_cpu,p_roks_cpu)+$Y270*IF($G270="IKS",p_iks_ram,p_roks_ram))*p_facteur)</f>
        <v/>
      </c>
      <c r="AB270" s="14" t="str">
        <f aca="false">IF($D270&lt;&gt;1,"",MAX($J270,ROUNDUP(MAX($L270/$H270,$M270/$I270),0)))</f>
        <v/>
      </c>
      <c r="AC270" s="84" t="str">
        <f aca="false">IF($D270&lt;&gt;1,"",IF(p_mode="Nœud",$AB270*$K270,$L270*IF($G270="IKS",p_iks_cpu,p_roks_cpu)+$M270*IF($G270="IKS",p_iks_ram,p_roks_ram))*p_facteur)</f>
        <v/>
      </c>
      <c r="AD270" s="14" t="str">
        <f aca="false">IF($D270&lt;&gt;1,"",IF(AND($G270="IKS",$AI270&lt;&gt;1,OR($L270-$P270&lt;$N270,$M270-$Q270&lt;$O270)),1,0))</f>
        <v/>
      </c>
      <c r="AE270" s="14" t="str">
        <f aca="false">IF($D270&lt;&gt;1,"",IF(AND($G270="ROKS",$T270&gt;p_maxworkers),1,0))</f>
        <v/>
      </c>
      <c r="AF270" s="14" t="str">
        <f aca="false">IF($D270&lt;&gt;1,"",IF(INDEX(TblClusters[Environnement],$B270)="","(vide)",INDEX(TblClusters[Environnement],$B270)))</f>
        <v/>
      </c>
      <c r="AG270" s="14" t="str">
        <f aca="false">IF($D270&lt;&gt;1,"",$R270+p_poidsram*$S270)</f>
        <v/>
      </c>
      <c r="AH270" s="14" t="str">
        <f aca="false">IF($D270&lt;&gt;1,"",IFERROR($W270/$AG270,0))</f>
        <v/>
      </c>
      <c r="AI270" s="14" t="str">
        <f aca="false">IF($D270&lt;&gt;1,"",IF(AND($G270="IKS",ISNUMBER(INDEX(TblClusters[Fermeture retenue],$B270))),IF($E270&gt;=INDEX(TblClusters[Fermeture retenue],$B270),1,0),0))</f>
        <v/>
      </c>
    </row>
    <row r="271" customFormat="false" ht="15" hidden="false" customHeight="false" outlineLevel="0" collapsed="false">
      <c r="A271" s="14" t="n">
        <v>266</v>
      </c>
      <c r="B271" s="14" t="n">
        <f aca="false">INT(($A271-1)/36)+1</f>
        <v>8</v>
      </c>
      <c r="C271" s="14" t="n">
        <f aca="false">MOD($A271-1,36)+1</f>
        <v>14</v>
      </c>
      <c r="D271" s="14" t="n">
        <f aca="false">IF($C271&gt;p_horizon,0,IFERROR(IF(AND(INDEX(TblClusters[Cluster],$B271)&lt;&gt;"",ISNUMBER(INDEX(TblClusters[CPU initial (vCPU)],$B271)),ISNUMBER(INDEX(TblClusters[CPU min (vCPU)],$B271)),OR(INDEX(TblClusters[Plateforme],$B271)="IKS",INDEX(TblClusters[Plateforme],$B271)="ROKS")),1,0),0))</f>
        <v>0</v>
      </c>
      <c r="E271" s="83" t="str">
        <f aca="false">IF($D271=1,EDATE(p_debut,$C271-1),"")</f>
        <v/>
      </c>
      <c r="F271" s="14" t="str">
        <f aca="false">IF($D271=1,INDEX(TblClusters[Cluster],$B271),"")</f>
        <v/>
      </c>
      <c r="G271" s="14" t="str">
        <f aca="false">IF($D271=1,INDEX(TblClusters[Plateforme],$B271),"")</f>
        <v/>
      </c>
      <c r="H271" s="14" t="str">
        <f aca="false">IF($D271=1,INDEX(TblClusters[vCPU par nœud],$B271),"")</f>
        <v/>
      </c>
      <c r="I271" s="14" t="str">
        <f aca="false">IF($D271=1,INDEX(TblClusters[RAM par nœud (Go)],$B271),"")</f>
        <v/>
      </c>
      <c r="J271" s="14" t="str">
        <f aca="false">IF($D271=1,INDEX(TblClusters[Workers min],$B271),"")</f>
        <v/>
      </c>
      <c r="K271" s="84" t="str">
        <f aca="false">IF($D271=1,INDEX(TblClusters[Tarif par nœud],$B271),"")</f>
        <v/>
      </c>
      <c r="L271" s="14" t="str">
        <f aca="false">IF($D271=1,INDEX(TblClusters[CPU initial (vCPU)],$B271),"")</f>
        <v/>
      </c>
      <c r="M271" s="14" t="str">
        <f aca="false">IF($D271=1,INDEX(TblClusters[RAM initiale (Go)],$B271),"")</f>
        <v/>
      </c>
      <c r="N271" s="14" t="str">
        <f aca="false">IF($D271=1,INDEX(TblClusters[CPU min (vCPU)],$B271),"")</f>
        <v/>
      </c>
      <c r="O271" s="14" t="str">
        <f aca="false">IF($D271=1,INDEX(TblClusters[RAM min (Go)],$B271),"")</f>
        <v/>
      </c>
      <c r="P271" s="14" t="str">
        <f aca="false">IF($D271&lt;&gt;1,"",IF($G271="ROKS",SUMIFS(TblApplications[Besoin ROKS CPU (vCPU)],TblApplications[Cluster ROKS cible],$F271,TblApplications[Action],"À migrer",TblApplications[Déjà incluse ROKS],"Non",TblApplications[Mois prov (calc)],"&lt;="&amp;$E271),SUMIFS(TblApplications[CPU IKS libérable (vCPU)],TblApplications[Cluster IKS source],$F271,TblApplications[Mois lib (calc)],"&lt;="&amp;$E271)))</f>
        <v/>
      </c>
      <c r="Q271" s="14" t="str">
        <f aca="false">IF($D271&lt;&gt;1,"",IF($G271="ROKS",SUMIFS(TblApplications[Besoin ROKS RAM (Go)],TblApplications[Cluster ROKS cible],$F271,TblApplications[Action],"À migrer",TblApplications[Déjà incluse ROKS],"Non",TblApplications[Mois prov (calc)],"&lt;="&amp;$E271),SUMIFS(TblApplications[RAM IKS libérable (Go)],TblApplications[Cluster IKS source],$F271,TblApplications[Mois lib (calc)],"&lt;="&amp;$E271)))</f>
        <v/>
      </c>
      <c r="R271" s="14" t="str">
        <f aca="false">IF($D271&lt;&gt;1,"",IF($G271="ROKS",$L271+$P271,IF($AI271=1,0,MAX($N271,$L271-$P271))))</f>
        <v/>
      </c>
      <c r="S271" s="14" t="str">
        <f aca="false">IF($D271&lt;&gt;1,"",IF($G271="ROKS",$M271+$Q271,IF($AI271=1,0,MAX($O271,$M271-$Q271))))</f>
        <v/>
      </c>
      <c r="T271" s="14" t="str">
        <f aca="false">IF($D271&lt;&gt;1,"",IF($AI271=1,0,MAX($J271,ROUNDUP(MAX($R271/$H271,$S271/$I271),0))))</f>
        <v/>
      </c>
      <c r="U271" s="14" t="str">
        <f aca="false">IF($D271&lt;&gt;1,"",IF(p_mode="Nœud",$T271*$H271,$R271))</f>
        <v/>
      </c>
      <c r="V271" s="14" t="str">
        <f aca="false">IF($D271&lt;&gt;1,"",IF(p_mode="Nœud",$T271*$I271,$S271))</f>
        <v/>
      </c>
      <c r="W271" s="84" t="str">
        <f aca="false">IF($D271&lt;&gt;1,"",IF(p_mode="Nœud",$T271*$K271,$R271*IF($G271="IKS",p_iks_cpu,p_roks_cpu)+$S271*IF($G271="IKS",p_iks_ram,p_roks_ram))*p_facteur)</f>
        <v/>
      </c>
      <c r="X271" s="14" t="str">
        <f aca="false">IF($D271&lt;&gt;1,"",IF($G271="ROKS",$R271,IF($AI271=1,0,MAX($N271,$L271-SUMIFS(TblApplications[CPU IKS libérable (vCPU)],TblApplications[Cluster IKS source],$F271,TblApplications[Action],"À migrer",TblApplications[Mois prov (calc)],"&lt;="&amp;$E271)-SUMIFS(TblApplications[CPU IKS libérable (vCPU)],TblApplications[Cluster IKS source],$F271,TblApplications[Action],"À décommissionner",TblApplications[Mois lib (calc)],"&lt;="&amp;$E271)))))</f>
        <v/>
      </c>
      <c r="Y271" s="14" t="str">
        <f aca="false">IF($D271&lt;&gt;1,"",IF($G271="ROKS",$S271,IF($AI271=1,0,MAX($O271,$M271-SUMIFS(TblApplications[RAM IKS libérable (Go)],TblApplications[Cluster IKS source],$F271,TblApplications[Action],"À migrer",TblApplications[Mois prov (calc)],"&lt;="&amp;$E271)-SUMIFS(TblApplications[RAM IKS libérable (Go)],TblApplications[Cluster IKS source],$F271,TblApplications[Action],"À décommissionner",TblApplications[Mois lib (calc)],"&lt;="&amp;$E271)))))</f>
        <v/>
      </c>
      <c r="Z271" s="14" t="str">
        <f aca="false">IF($D271&lt;&gt;1,"",IF($AI271=1,0,MAX($J271,ROUNDUP(MAX($X271/$H271,$Y271/$I271),0))))</f>
        <v/>
      </c>
      <c r="AA271" s="84" t="str">
        <f aca="false">IF($D271&lt;&gt;1,"",IF(p_mode="Nœud",$Z271*$K271,$X271*IF($G271="IKS",p_iks_cpu,p_roks_cpu)+$Y271*IF($G271="IKS",p_iks_ram,p_roks_ram))*p_facteur)</f>
        <v/>
      </c>
      <c r="AB271" s="14" t="str">
        <f aca="false">IF($D271&lt;&gt;1,"",MAX($J271,ROUNDUP(MAX($L271/$H271,$M271/$I271),0)))</f>
        <v/>
      </c>
      <c r="AC271" s="84" t="str">
        <f aca="false">IF($D271&lt;&gt;1,"",IF(p_mode="Nœud",$AB271*$K271,$L271*IF($G271="IKS",p_iks_cpu,p_roks_cpu)+$M271*IF($G271="IKS",p_iks_ram,p_roks_ram))*p_facteur)</f>
        <v/>
      </c>
      <c r="AD271" s="14" t="str">
        <f aca="false">IF($D271&lt;&gt;1,"",IF(AND($G271="IKS",$AI271&lt;&gt;1,OR($L271-$P271&lt;$N271,$M271-$Q271&lt;$O271)),1,0))</f>
        <v/>
      </c>
      <c r="AE271" s="14" t="str">
        <f aca="false">IF($D271&lt;&gt;1,"",IF(AND($G271="ROKS",$T271&gt;p_maxworkers),1,0))</f>
        <v/>
      </c>
      <c r="AF271" s="14" t="str">
        <f aca="false">IF($D271&lt;&gt;1,"",IF(INDEX(TblClusters[Environnement],$B271)="","(vide)",INDEX(TblClusters[Environnement],$B271)))</f>
        <v/>
      </c>
      <c r="AG271" s="14" t="str">
        <f aca="false">IF($D271&lt;&gt;1,"",$R271+p_poidsram*$S271)</f>
        <v/>
      </c>
      <c r="AH271" s="14" t="str">
        <f aca="false">IF($D271&lt;&gt;1,"",IFERROR($W271/$AG271,0))</f>
        <v/>
      </c>
      <c r="AI271" s="14" t="str">
        <f aca="false">IF($D271&lt;&gt;1,"",IF(AND($G271="IKS",ISNUMBER(INDEX(TblClusters[Fermeture retenue],$B271))),IF($E271&gt;=INDEX(TblClusters[Fermeture retenue],$B271),1,0),0))</f>
        <v/>
      </c>
    </row>
    <row r="272" customFormat="false" ht="15" hidden="false" customHeight="false" outlineLevel="0" collapsed="false">
      <c r="A272" s="14" t="n">
        <v>267</v>
      </c>
      <c r="B272" s="14" t="n">
        <f aca="false">INT(($A272-1)/36)+1</f>
        <v>8</v>
      </c>
      <c r="C272" s="14" t="n">
        <f aca="false">MOD($A272-1,36)+1</f>
        <v>15</v>
      </c>
      <c r="D272" s="14" t="n">
        <f aca="false">IF($C272&gt;p_horizon,0,IFERROR(IF(AND(INDEX(TblClusters[Cluster],$B272)&lt;&gt;"",ISNUMBER(INDEX(TblClusters[CPU initial (vCPU)],$B272)),ISNUMBER(INDEX(TblClusters[CPU min (vCPU)],$B272)),OR(INDEX(TblClusters[Plateforme],$B272)="IKS",INDEX(TblClusters[Plateforme],$B272)="ROKS")),1,0),0))</f>
        <v>0</v>
      </c>
      <c r="E272" s="83" t="str">
        <f aca="false">IF($D272=1,EDATE(p_debut,$C272-1),"")</f>
        <v/>
      </c>
      <c r="F272" s="14" t="str">
        <f aca="false">IF($D272=1,INDEX(TblClusters[Cluster],$B272),"")</f>
        <v/>
      </c>
      <c r="G272" s="14" t="str">
        <f aca="false">IF($D272=1,INDEX(TblClusters[Plateforme],$B272),"")</f>
        <v/>
      </c>
      <c r="H272" s="14" t="str">
        <f aca="false">IF($D272=1,INDEX(TblClusters[vCPU par nœud],$B272),"")</f>
        <v/>
      </c>
      <c r="I272" s="14" t="str">
        <f aca="false">IF($D272=1,INDEX(TblClusters[RAM par nœud (Go)],$B272),"")</f>
        <v/>
      </c>
      <c r="J272" s="14" t="str">
        <f aca="false">IF($D272=1,INDEX(TblClusters[Workers min],$B272),"")</f>
        <v/>
      </c>
      <c r="K272" s="84" t="str">
        <f aca="false">IF($D272=1,INDEX(TblClusters[Tarif par nœud],$B272),"")</f>
        <v/>
      </c>
      <c r="L272" s="14" t="str">
        <f aca="false">IF($D272=1,INDEX(TblClusters[CPU initial (vCPU)],$B272),"")</f>
        <v/>
      </c>
      <c r="M272" s="14" t="str">
        <f aca="false">IF($D272=1,INDEX(TblClusters[RAM initiale (Go)],$B272),"")</f>
        <v/>
      </c>
      <c r="N272" s="14" t="str">
        <f aca="false">IF($D272=1,INDEX(TblClusters[CPU min (vCPU)],$B272),"")</f>
        <v/>
      </c>
      <c r="O272" s="14" t="str">
        <f aca="false">IF($D272=1,INDEX(TblClusters[RAM min (Go)],$B272),"")</f>
        <v/>
      </c>
      <c r="P272" s="14" t="str">
        <f aca="false">IF($D272&lt;&gt;1,"",IF($G272="ROKS",SUMIFS(TblApplications[Besoin ROKS CPU (vCPU)],TblApplications[Cluster ROKS cible],$F272,TblApplications[Action],"À migrer",TblApplications[Déjà incluse ROKS],"Non",TblApplications[Mois prov (calc)],"&lt;="&amp;$E272),SUMIFS(TblApplications[CPU IKS libérable (vCPU)],TblApplications[Cluster IKS source],$F272,TblApplications[Mois lib (calc)],"&lt;="&amp;$E272)))</f>
        <v/>
      </c>
      <c r="Q272" s="14" t="str">
        <f aca="false">IF($D272&lt;&gt;1,"",IF($G272="ROKS",SUMIFS(TblApplications[Besoin ROKS RAM (Go)],TblApplications[Cluster ROKS cible],$F272,TblApplications[Action],"À migrer",TblApplications[Déjà incluse ROKS],"Non",TblApplications[Mois prov (calc)],"&lt;="&amp;$E272),SUMIFS(TblApplications[RAM IKS libérable (Go)],TblApplications[Cluster IKS source],$F272,TblApplications[Mois lib (calc)],"&lt;="&amp;$E272)))</f>
        <v/>
      </c>
      <c r="R272" s="14" t="str">
        <f aca="false">IF($D272&lt;&gt;1,"",IF($G272="ROKS",$L272+$P272,IF($AI272=1,0,MAX($N272,$L272-$P272))))</f>
        <v/>
      </c>
      <c r="S272" s="14" t="str">
        <f aca="false">IF($D272&lt;&gt;1,"",IF($G272="ROKS",$M272+$Q272,IF($AI272=1,0,MAX($O272,$M272-$Q272))))</f>
        <v/>
      </c>
      <c r="T272" s="14" t="str">
        <f aca="false">IF($D272&lt;&gt;1,"",IF($AI272=1,0,MAX($J272,ROUNDUP(MAX($R272/$H272,$S272/$I272),0))))</f>
        <v/>
      </c>
      <c r="U272" s="14" t="str">
        <f aca="false">IF($D272&lt;&gt;1,"",IF(p_mode="Nœud",$T272*$H272,$R272))</f>
        <v/>
      </c>
      <c r="V272" s="14" t="str">
        <f aca="false">IF($D272&lt;&gt;1,"",IF(p_mode="Nœud",$T272*$I272,$S272))</f>
        <v/>
      </c>
      <c r="W272" s="84" t="str">
        <f aca="false">IF($D272&lt;&gt;1,"",IF(p_mode="Nœud",$T272*$K272,$R272*IF($G272="IKS",p_iks_cpu,p_roks_cpu)+$S272*IF($G272="IKS",p_iks_ram,p_roks_ram))*p_facteur)</f>
        <v/>
      </c>
      <c r="X272" s="14" t="str">
        <f aca="false">IF($D272&lt;&gt;1,"",IF($G272="ROKS",$R272,IF($AI272=1,0,MAX($N272,$L272-SUMIFS(TblApplications[CPU IKS libérable (vCPU)],TblApplications[Cluster IKS source],$F272,TblApplications[Action],"À migrer",TblApplications[Mois prov (calc)],"&lt;="&amp;$E272)-SUMIFS(TblApplications[CPU IKS libérable (vCPU)],TblApplications[Cluster IKS source],$F272,TblApplications[Action],"À décommissionner",TblApplications[Mois lib (calc)],"&lt;="&amp;$E272)))))</f>
        <v/>
      </c>
      <c r="Y272" s="14" t="str">
        <f aca="false">IF($D272&lt;&gt;1,"",IF($G272="ROKS",$S272,IF($AI272=1,0,MAX($O272,$M272-SUMIFS(TblApplications[RAM IKS libérable (Go)],TblApplications[Cluster IKS source],$F272,TblApplications[Action],"À migrer",TblApplications[Mois prov (calc)],"&lt;="&amp;$E272)-SUMIFS(TblApplications[RAM IKS libérable (Go)],TblApplications[Cluster IKS source],$F272,TblApplications[Action],"À décommissionner",TblApplications[Mois lib (calc)],"&lt;="&amp;$E272)))))</f>
        <v/>
      </c>
      <c r="Z272" s="14" t="str">
        <f aca="false">IF($D272&lt;&gt;1,"",IF($AI272=1,0,MAX($J272,ROUNDUP(MAX($X272/$H272,$Y272/$I272),0))))</f>
        <v/>
      </c>
      <c r="AA272" s="84" t="str">
        <f aca="false">IF($D272&lt;&gt;1,"",IF(p_mode="Nœud",$Z272*$K272,$X272*IF($G272="IKS",p_iks_cpu,p_roks_cpu)+$Y272*IF($G272="IKS",p_iks_ram,p_roks_ram))*p_facteur)</f>
        <v/>
      </c>
      <c r="AB272" s="14" t="str">
        <f aca="false">IF($D272&lt;&gt;1,"",MAX($J272,ROUNDUP(MAX($L272/$H272,$M272/$I272),0)))</f>
        <v/>
      </c>
      <c r="AC272" s="84" t="str">
        <f aca="false">IF($D272&lt;&gt;1,"",IF(p_mode="Nœud",$AB272*$K272,$L272*IF($G272="IKS",p_iks_cpu,p_roks_cpu)+$M272*IF($G272="IKS",p_iks_ram,p_roks_ram))*p_facteur)</f>
        <v/>
      </c>
      <c r="AD272" s="14" t="str">
        <f aca="false">IF($D272&lt;&gt;1,"",IF(AND($G272="IKS",$AI272&lt;&gt;1,OR($L272-$P272&lt;$N272,$M272-$Q272&lt;$O272)),1,0))</f>
        <v/>
      </c>
      <c r="AE272" s="14" t="str">
        <f aca="false">IF($D272&lt;&gt;1,"",IF(AND($G272="ROKS",$T272&gt;p_maxworkers),1,0))</f>
        <v/>
      </c>
      <c r="AF272" s="14" t="str">
        <f aca="false">IF($D272&lt;&gt;1,"",IF(INDEX(TblClusters[Environnement],$B272)="","(vide)",INDEX(TblClusters[Environnement],$B272)))</f>
        <v/>
      </c>
      <c r="AG272" s="14" t="str">
        <f aca="false">IF($D272&lt;&gt;1,"",$R272+p_poidsram*$S272)</f>
        <v/>
      </c>
      <c r="AH272" s="14" t="str">
        <f aca="false">IF($D272&lt;&gt;1,"",IFERROR($W272/$AG272,0))</f>
        <v/>
      </c>
      <c r="AI272" s="14" t="str">
        <f aca="false">IF($D272&lt;&gt;1,"",IF(AND($G272="IKS",ISNUMBER(INDEX(TblClusters[Fermeture retenue],$B272))),IF($E272&gt;=INDEX(TblClusters[Fermeture retenue],$B272),1,0),0))</f>
        <v/>
      </c>
    </row>
    <row r="273" customFormat="false" ht="15" hidden="false" customHeight="false" outlineLevel="0" collapsed="false">
      <c r="A273" s="14" t="n">
        <v>268</v>
      </c>
      <c r="B273" s="14" t="n">
        <f aca="false">INT(($A273-1)/36)+1</f>
        <v>8</v>
      </c>
      <c r="C273" s="14" t="n">
        <f aca="false">MOD($A273-1,36)+1</f>
        <v>16</v>
      </c>
      <c r="D273" s="14" t="n">
        <f aca="false">IF($C273&gt;p_horizon,0,IFERROR(IF(AND(INDEX(TblClusters[Cluster],$B273)&lt;&gt;"",ISNUMBER(INDEX(TblClusters[CPU initial (vCPU)],$B273)),ISNUMBER(INDEX(TblClusters[CPU min (vCPU)],$B273)),OR(INDEX(TblClusters[Plateforme],$B273)="IKS",INDEX(TblClusters[Plateforme],$B273)="ROKS")),1,0),0))</f>
        <v>0</v>
      </c>
      <c r="E273" s="83" t="str">
        <f aca="false">IF($D273=1,EDATE(p_debut,$C273-1),"")</f>
        <v/>
      </c>
      <c r="F273" s="14" t="str">
        <f aca="false">IF($D273=1,INDEX(TblClusters[Cluster],$B273),"")</f>
        <v/>
      </c>
      <c r="G273" s="14" t="str">
        <f aca="false">IF($D273=1,INDEX(TblClusters[Plateforme],$B273),"")</f>
        <v/>
      </c>
      <c r="H273" s="14" t="str">
        <f aca="false">IF($D273=1,INDEX(TblClusters[vCPU par nœud],$B273),"")</f>
        <v/>
      </c>
      <c r="I273" s="14" t="str">
        <f aca="false">IF($D273=1,INDEX(TblClusters[RAM par nœud (Go)],$B273),"")</f>
        <v/>
      </c>
      <c r="J273" s="14" t="str">
        <f aca="false">IF($D273=1,INDEX(TblClusters[Workers min],$B273),"")</f>
        <v/>
      </c>
      <c r="K273" s="84" t="str">
        <f aca="false">IF($D273=1,INDEX(TblClusters[Tarif par nœud],$B273),"")</f>
        <v/>
      </c>
      <c r="L273" s="14" t="str">
        <f aca="false">IF($D273=1,INDEX(TblClusters[CPU initial (vCPU)],$B273),"")</f>
        <v/>
      </c>
      <c r="M273" s="14" t="str">
        <f aca="false">IF($D273=1,INDEX(TblClusters[RAM initiale (Go)],$B273),"")</f>
        <v/>
      </c>
      <c r="N273" s="14" t="str">
        <f aca="false">IF($D273=1,INDEX(TblClusters[CPU min (vCPU)],$B273),"")</f>
        <v/>
      </c>
      <c r="O273" s="14" t="str">
        <f aca="false">IF($D273=1,INDEX(TblClusters[RAM min (Go)],$B273),"")</f>
        <v/>
      </c>
      <c r="P273" s="14" t="str">
        <f aca="false">IF($D273&lt;&gt;1,"",IF($G273="ROKS",SUMIFS(TblApplications[Besoin ROKS CPU (vCPU)],TblApplications[Cluster ROKS cible],$F273,TblApplications[Action],"À migrer",TblApplications[Déjà incluse ROKS],"Non",TblApplications[Mois prov (calc)],"&lt;="&amp;$E273),SUMIFS(TblApplications[CPU IKS libérable (vCPU)],TblApplications[Cluster IKS source],$F273,TblApplications[Mois lib (calc)],"&lt;="&amp;$E273)))</f>
        <v/>
      </c>
      <c r="Q273" s="14" t="str">
        <f aca="false">IF($D273&lt;&gt;1,"",IF($G273="ROKS",SUMIFS(TblApplications[Besoin ROKS RAM (Go)],TblApplications[Cluster ROKS cible],$F273,TblApplications[Action],"À migrer",TblApplications[Déjà incluse ROKS],"Non",TblApplications[Mois prov (calc)],"&lt;="&amp;$E273),SUMIFS(TblApplications[RAM IKS libérable (Go)],TblApplications[Cluster IKS source],$F273,TblApplications[Mois lib (calc)],"&lt;="&amp;$E273)))</f>
        <v/>
      </c>
      <c r="R273" s="14" t="str">
        <f aca="false">IF($D273&lt;&gt;1,"",IF($G273="ROKS",$L273+$P273,IF($AI273=1,0,MAX($N273,$L273-$P273))))</f>
        <v/>
      </c>
      <c r="S273" s="14" t="str">
        <f aca="false">IF($D273&lt;&gt;1,"",IF($G273="ROKS",$M273+$Q273,IF($AI273=1,0,MAX($O273,$M273-$Q273))))</f>
        <v/>
      </c>
      <c r="T273" s="14" t="str">
        <f aca="false">IF($D273&lt;&gt;1,"",IF($AI273=1,0,MAX($J273,ROUNDUP(MAX($R273/$H273,$S273/$I273),0))))</f>
        <v/>
      </c>
      <c r="U273" s="14" t="str">
        <f aca="false">IF($D273&lt;&gt;1,"",IF(p_mode="Nœud",$T273*$H273,$R273))</f>
        <v/>
      </c>
      <c r="V273" s="14" t="str">
        <f aca="false">IF($D273&lt;&gt;1,"",IF(p_mode="Nœud",$T273*$I273,$S273))</f>
        <v/>
      </c>
      <c r="W273" s="84" t="str">
        <f aca="false">IF($D273&lt;&gt;1,"",IF(p_mode="Nœud",$T273*$K273,$R273*IF($G273="IKS",p_iks_cpu,p_roks_cpu)+$S273*IF($G273="IKS",p_iks_ram,p_roks_ram))*p_facteur)</f>
        <v/>
      </c>
      <c r="X273" s="14" t="str">
        <f aca="false">IF($D273&lt;&gt;1,"",IF($G273="ROKS",$R273,IF($AI273=1,0,MAX($N273,$L273-SUMIFS(TblApplications[CPU IKS libérable (vCPU)],TblApplications[Cluster IKS source],$F273,TblApplications[Action],"À migrer",TblApplications[Mois prov (calc)],"&lt;="&amp;$E273)-SUMIFS(TblApplications[CPU IKS libérable (vCPU)],TblApplications[Cluster IKS source],$F273,TblApplications[Action],"À décommissionner",TblApplications[Mois lib (calc)],"&lt;="&amp;$E273)))))</f>
        <v/>
      </c>
      <c r="Y273" s="14" t="str">
        <f aca="false">IF($D273&lt;&gt;1,"",IF($G273="ROKS",$S273,IF($AI273=1,0,MAX($O273,$M273-SUMIFS(TblApplications[RAM IKS libérable (Go)],TblApplications[Cluster IKS source],$F273,TblApplications[Action],"À migrer",TblApplications[Mois prov (calc)],"&lt;="&amp;$E273)-SUMIFS(TblApplications[RAM IKS libérable (Go)],TblApplications[Cluster IKS source],$F273,TblApplications[Action],"À décommissionner",TblApplications[Mois lib (calc)],"&lt;="&amp;$E273)))))</f>
        <v/>
      </c>
      <c r="Z273" s="14" t="str">
        <f aca="false">IF($D273&lt;&gt;1,"",IF($AI273=1,0,MAX($J273,ROUNDUP(MAX($X273/$H273,$Y273/$I273),0))))</f>
        <v/>
      </c>
      <c r="AA273" s="84" t="str">
        <f aca="false">IF($D273&lt;&gt;1,"",IF(p_mode="Nœud",$Z273*$K273,$X273*IF($G273="IKS",p_iks_cpu,p_roks_cpu)+$Y273*IF($G273="IKS",p_iks_ram,p_roks_ram))*p_facteur)</f>
        <v/>
      </c>
      <c r="AB273" s="14" t="str">
        <f aca="false">IF($D273&lt;&gt;1,"",MAX($J273,ROUNDUP(MAX($L273/$H273,$M273/$I273),0)))</f>
        <v/>
      </c>
      <c r="AC273" s="84" t="str">
        <f aca="false">IF($D273&lt;&gt;1,"",IF(p_mode="Nœud",$AB273*$K273,$L273*IF($G273="IKS",p_iks_cpu,p_roks_cpu)+$M273*IF($G273="IKS",p_iks_ram,p_roks_ram))*p_facteur)</f>
        <v/>
      </c>
      <c r="AD273" s="14" t="str">
        <f aca="false">IF($D273&lt;&gt;1,"",IF(AND($G273="IKS",$AI273&lt;&gt;1,OR($L273-$P273&lt;$N273,$M273-$Q273&lt;$O273)),1,0))</f>
        <v/>
      </c>
      <c r="AE273" s="14" t="str">
        <f aca="false">IF($D273&lt;&gt;1,"",IF(AND($G273="ROKS",$T273&gt;p_maxworkers),1,0))</f>
        <v/>
      </c>
      <c r="AF273" s="14" t="str">
        <f aca="false">IF($D273&lt;&gt;1,"",IF(INDEX(TblClusters[Environnement],$B273)="","(vide)",INDEX(TblClusters[Environnement],$B273)))</f>
        <v/>
      </c>
      <c r="AG273" s="14" t="str">
        <f aca="false">IF($D273&lt;&gt;1,"",$R273+p_poidsram*$S273)</f>
        <v/>
      </c>
      <c r="AH273" s="14" t="str">
        <f aca="false">IF($D273&lt;&gt;1,"",IFERROR($W273/$AG273,0))</f>
        <v/>
      </c>
      <c r="AI273" s="14" t="str">
        <f aca="false">IF($D273&lt;&gt;1,"",IF(AND($G273="IKS",ISNUMBER(INDEX(TblClusters[Fermeture retenue],$B273))),IF($E273&gt;=INDEX(TblClusters[Fermeture retenue],$B273),1,0),0))</f>
        <v/>
      </c>
    </row>
    <row r="274" customFormat="false" ht="15" hidden="false" customHeight="false" outlineLevel="0" collapsed="false">
      <c r="A274" s="14" t="n">
        <v>269</v>
      </c>
      <c r="B274" s="14" t="n">
        <f aca="false">INT(($A274-1)/36)+1</f>
        <v>8</v>
      </c>
      <c r="C274" s="14" t="n">
        <f aca="false">MOD($A274-1,36)+1</f>
        <v>17</v>
      </c>
      <c r="D274" s="14" t="n">
        <f aca="false">IF($C274&gt;p_horizon,0,IFERROR(IF(AND(INDEX(TblClusters[Cluster],$B274)&lt;&gt;"",ISNUMBER(INDEX(TblClusters[CPU initial (vCPU)],$B274)),ISNUMBER(INDEX(TblClusters[CPU min (vCPU)],$B274)),OR(INDEX(TblClusters[Plateforme],$B274)="IKS",INDEX(TblClusters[Plateforme],$B274)="ROKS")),1,0),0))</f>
        <v>0</v>
      </c>
      <c r="E274" s="83" t="str">
        <f aca="false">IF($D274=1,EDATE(p_debut,$C274-1),"")</f>
        <v/>
      </c>
      <c r="F274" s="14" t="str">
        <f aca="false">IF($D274=1,INDEX(TblClusters[Cluster],$B274),"")</f>
        <v/>
      </c>
      <c r="G274" s="14" t="str">
        <f aca="false">IF($D274=1,INDEX(TblClusters[Plateforme],$B274),"")</f>
        <v/>
      </c>
      <c r="H274" s="14" t="str">
        <f aca="false">IF($D274=1,INDEX(TblClusters[vCPU par nœud],$B274),"")</f>
        <v/>
      </c>
      <c r="I274" s="14" t="str">
        <f aca="false">IF($D274=1,INDEX(TblClusters[RAM par nœud (Go)],$B274),"")</f>
        <v/>
      </c>
      <c r="J274" s="14" t="str">
        <f aca="false">IF($D274=1,INDEX(TblClusters[Workers min],$B274),"")</f>
        <v/>
      </c>
      <c r="K274" s="84" t="str">
        <f aca="false">IF($D274=1,INDEX(TblClusters[Tarif par nœud],$B274),"")</f>
        <v/>
      </c>
      <c r="L274" s="14" t="str">
        <f aca="false">IF($D274=1,INDEX(TblClusters[CPU initial (vCPU)],$B274),"")</f>
        <v/>
      </c>
      <c r="M274" s="14" t="str">
        <f aca="false">IF($D274=1,INDEX(TblClusters[RAM initiale (Go)],$B274),"")</f>
        <v/>
      </c>
      <c r="N274" s="14" t="str">
        <f aca="false">IF($D274=1,INDEX(TblClusters[CPU min (vCPU)],$B274),"")</f>
        <v/>
      </c>
      <c r="O274" s="14" t="str">
        <f aca="false">IF($D274=1,INDEX(TblClusters[RAM min (Go)],$B274),"")</f>
        <v/>
      </c>
      <c r="P274" s="14" t="str">
        <f aca="false">IF($D274&lt;&gt;1,"",IF($G274="ROKS",SUMIFS(TblApplications[Besoin ROKS CPU (vCPU)],TblApplications[Cluster ROKS cible],$F274,TblApplications[Action],"À migrer",TblApplications[Déjà incluse ROKS],"Non",TblApplications[Mois prov (calc)],"&lt;="&amp;$E274),SUMIFS(TblApplications[CPU IKS libérable (vCPU)],TblApplications[Cluster IKS source],$F274,TblApplications[Mois lib (calc)],"&lt;="&amp;$E274)))</f>
        <v/>
      </c>
      <c r="Q274" s="14" t="str">
        <f aca="false">IF($D274&lt;&gt;1,"",IF($G274="ROKS",SUMIFS(TblApplications[Besoin ROKS RAM (Go)],TblApplications[Cluster ROKS cible],$F274,TblApplications[Action],"À migrer",TblApplications[Déjà incluse ROKS],"Non",TblApplications[Mois prov (calc)],"&lt;="&amp;$E274),SUMIFS(TblApplications[RAM IKS libérable (Go)],TblApplications[Cluster IKS source],$F274,TblApplications[Mois lib (calc)],"&lt;="&amp;$E274)))</f>
        <v/>
      </c>
      <c r="R274" s="14" t="str">
        <f aca="false">IF($D274&lt;&gt;1,"",IF($G274="ROKS",$L274+$P274,IF($AI274=1,0,MAX($N274,$L274-$P274))))</f>
        <v/>
      </c>
      <c r="S274" s="14" t="str">
        <f aca="false">IF($D274&lt;&gt;1,"",IF($G274="ROKS",$M274+$Q274,IF($AI274=1,0,MAX($O274,$M274-$Q274))))</f>
        <v/>
      </c>
      <c r="T274" s="14" t="str">
        <f aca="false">IF($D274&lt;&gt;1,"",IF($AI274=1,0,MAX($J274,ROUNDUP(MAX($R274/$H274,$S274/$I274),0))))</f>
        <v/>
      </c>
      <c r="U274" s="14" t="str">
        <f aca="false">IF($D274&lt;&gt;1,"",IF(p_mode="Nœud",$T274*$H274,$R274))</f>
        <v/>
      </c>
      <c r="V274" s="14" t="str">
        <f aca="false">IF($D274&lt;&gt;1,"",IF(p_mode="Nœud",$T274*$I274,$S274))</f>
        <v/>
      </c>
      <c r="W274" s="84" t="str">
        <f aca="false">IF($D274&lt;&gt;1,"",IF(p_mode="Nœud",$T274*$K274,$R274*IF($G274="IKS",p_iks_cpu,p_roks_cpu)+$S274*IF($G274="IKS",p_iks_ram,p_roks_ram))*p_facteur)</f>
        <v/>
      </c>
      <c r="X274" s="14" t="str">
        <f aca="false">IF($D274&lt;&gt;1,"",IF($G274="ROKS",$R274,IF($AI274=1,0,MAX($N274,$L274-SUMIFS(TblApplications[CPU IKS libérable (vCPU)],TblApplications[Cluster IKS source],$F274,TblApplications[Action],"À migrer",TblApplications[Mois prov (calc)],"&lt;="&amp;$E274)-SUMIFS(TblApplications[CPU IKS libérable (vCPU)],TblApplications[Cluster IKS source],$F274,TblApplications[Action],"À décommissionner",TblApplications[Mois lib (calc)],"&lt;="&amp;$E274)))))</f>
        <v/>
      </c>
      <c r="Y274" s="14" t="str">
        <f aca="false">IF($D274&lt;&gt;1,"",IF($G274="ROKS",$S274,IF($AI274=1,0,MAX($O274,$M274-SUMIFS(TblApplications[RAM IKS libérable (Go)],TblApplications[Cluster IKS source],$F274,TblApplications[Action],"À migrer",TblApplications[Mois prov (calc)],"&lt;="&amp;$E274)-SUMIFS(TblApplications[RAM IKS libérable (Go)],TblApplications[Cluster IKS source],$F274,TblApplications[Action],"À décommissionner",TblApplications[Mois lib (calc)],"&lt;="&amp;$E274)))))</f>
        <v/>
      </c>
      <c r="Z274" s="14" t="str">
        <f aca="false">IF($D274&lt;&gt;1,"",IF($AI274=1,0,MAX($J274,ROUNDUP(MAX($X274/$H274,$Y274/$I274),0))))</f>
        <v/>
      </c>
      <c r="AA274" s="84" t="str">
        <f aca="false">IF($D274&lt;&gt;1,"",IF(p_mode="Nœud",$Z274*$K274,$X274*IF($G274="IKS",p_iks_cpu,p_roks_cpu)+$Y274*IF($G274="IKS",p_iks_ram,p_roks_ram))*p_facteur)</f>
        <v/>
      </c>
      <c r="AB274" s="14" t="str">
        <f aca="false">IF($D274&lt;&gt;1,"",MAX($J274,ROUNDUP(MAX($L274/$H274,$M274/$I274),0)))</f>
        <v/>
      </c>
      <c r="AC274" s="84" t="str">
        <f aca="false">IF($D274&lt;&gt;1,"",IF(p_mode="Nœud",$AB274*$K274,$L274*IF($G274="IKS",p_iks_cpu,p_roks_cpu)+$M274*IF($G274="IKS",p_iks_ram,p_roks_ram))*p_facteur)</f>
        <v/>
      </c>
      <c r="AD274" s="14" t="str">
        <f aca="false">IF($D274&lt;&gt;1,"",IF(AND($G274="IKS",$AI274&lt;&gt;1,OR($L274-$P274&lt;$N274,$M274-$Q274&lt;$O274)),1,0))</f>
        <v/>
      </c>
      <c r="AE274" s="14" t="str">
        <f aca="false">IF($D274&lt;&gt;1,"",IF(AND($G274="ROKS",$T274&gt;p_maxworkers),1,0))</f>
        <v/>
      </c>
      <c r="AF274" s="14" t="str">
        <f aca="false">IF($D274&lt;&gt;1,"",IF(INDEX(TblClusters[Environnement],$B274)="","(vide)",INDEX(TblClusters[Environnement],$B274)))</f>
        <v/>
      </c>
      <c r="AG274" s="14" t="str">
        <f aca="false">IF($D274&lt;&gt;1,"",$R274+p_poidsram*$S274)</f>
        <v/>
      </c>
      <c r="AH274" s="14" t="str">
        <f aca="false">IF($D274&lt;&gt;1,"",IFERROR($W274/$AG274,0))</f>
        <v/>
      </c>
      <c r="AI274" s="14" t="str">
        <f aca="false">IF($D274&lt;&gt;1,"",IF(AND($G274="IKS",ISNUMBER(INDEX(TblClusters[Fermeture retenue],$B274))),IF($E274&gt;=INDEX(TblClusters[Fermeture retenue],$B274),1,0),0))</f>
        <v/>
      </c>
    </row>
    <row r="275" customFormat="false" ht="15" hidden="false" customHeight="false" outlineLevel="0" collapsed="false">
      <c r="A275" s="14" t="n">
        <v>270</v>
      </c>
      <c r="B275" s="14" t="n">
        <f aca="false">INT(($A275-1)/36)+1</f>
        <v>8</v>
      </c>
      <c r="C275" s="14" t="n">
        <f aca="false">MOD($A275-1,36)+1</f>
        <v>18</v>
      </c>
      <c r="D275" s="14" t="n">
        <f aca="false">IF($C275&gt;p_horizon,0,IFERROR(IF(AND(INDEX(TblClusters[Cluster],$B275)&lt;&gt;"",ISNUMBER(INDEX(TblClusters[CPU initial (vCPU)],$B275)),ISNUMBER(INDEX(TblClusters[CPU min (vCPU)],$B275)),OR(INDEX(TblClusters[Plateforme],$B275)="IKS",INDEX(TblClusters[Plateforme],$B275)="ROKS")),1,0),0))</f>
        <v>0</v>
      </c>
      <c r="E275" s="83" t="str">
        <f aca="false">IF($D275=1,EDATE(p_debut,$C275-1),"")</f>
        <v/>
      </c>
      <c r="F275" s="14" t="str">
        <f aca="false">IF($D275=1,INDEX(TblClusters[Cluster],$B275),"")</f>
        <v/>
      </c>
      <c r="G275" s="14" t="str">
        <f aca="false">IF($D275=1,INDEX(TblClusters[Plateforme],$B275),"")</f>
        <v/>
      </c>
      <c r="H275" s="14" t="str">
        <f aca="false">IF($D275=1,INDEX(TblClusters[vCPU par nœud],$B275),"")</f>
        <v/>
      </c>
      <c r="I275" s="14" t="str">
        <f aca="false">IF($D275=1,INDEX(TblClusters[RAM par nœud (Go)],$B275),"")</f>
        <v/>
      </c>
      <c r="J275" s="14" t="str">
        <f aca="false">IF($D275=1,INDEX(TblClusters[Workers min],$B275),"")</f>
        <v/>
      </c>
      <c r="K275" s="84" t="str">
        <f aca="false">IF($D275=1,INDEX(TblClusters[Tarif par nœud],$B275),"")</f>
        <v/>
      </c>
      <c r="L275" s="14" t="str">
        <f aca="false">IF($D275=1,INDEX(TblClusters[CPU initial (vCPU)],$B275),"")</f>
        <v/>
      </c>
      <c r="M275" s="14" t="str">
        <f aca="false">IF($D275=1,INDEX(TblClusters[RAM initiale (Go)],$B275),"")</f>
        <v/>
      </c>
      <c r="N275" s="14" t="str">
        <f aca="false">IF($D275=1,INDEX(TblClusters[CPU min (vCPU)],$B275),"")</f>
        <v/>
      </c>
      <c r="O275" s="14" t="str">
        <f aca="false">IF($D275=1,INDEX(TblClusters[RAM min (Go)],$B275),"")</f>
        <v/>
      </c>
      <c r="P275" s="14" t="str">
        <f aca="false">IF($D275&lt;&gt;1,"",IF($G275="ROKS",SUMIFS(TblApplications[Besoin ROKS CPU (vCPU)],TblApplications[Cluster ROKS cible],$F275,TblApplications[Action],"À migrer",TblApplications[Déjà incluse ROKS],"Non",TblApplications[Mois prov (calc)],"&lt;="&amp;$E275),SUMIFS(TblApplications[CPU IKS libérable (vCPU)],TblApplications[Cluster IKS source],$F275,TblApplications[Mois lib (calc)],"&lt;="&amp;$E275)))</f>
        <v/>
      </c>
      <c r="Q275" s="14" t="str">
        <f aca="false">IF($D275&lt;&gt;1,"",IF($G275="ROKS",SUMIFS(TblApplications[Besoin ROKS RAM (Go)],TblApplications[Cluster ROKS cible],$F275,TblApplications[Action],"À migrer",TblApplications[Déjà incluse ROKS],"Non",TblApplications[Mois prov (calc)],"&lt;="&amp;$E275),SUMIFS(TblApplications[RAM IKS libérable (Go)],TblApplications[Cluster IKS source],$F275,TblApplications[Mois lib (calc)],"&lt;="&amp;$E275)))</f>
        <v/>
      </c>
      <c r="R275" s="14" t="str">
        <f aca="false">IF($D275&lt;&gt;1,"",IF($G275="ROKS",$L275+$P275,IF($AI275=1,0,MAX($N275,$L275-$P275))))</f>
        <v/>
      </c>
      <c r="S275" s="14" t="str">
        <f aca="false">IF($D275&lt;&gt;1,"",IF($G275="ROKS",$M275+$Q275,IF($AI275=1,0,MAX($O275,$M275-$Q275))))</f>
        <v/>
      </c>
      <c r="T275" s="14" t="str">
        <f aca="false">IF($D275&lt;&gt;1,"",IF($AI275=1,0,MAX($J275,ROUNDUP(MAX($R275/$H275,$S275/$I275),0))))</f>
        <v/>
      </c>
      <c r="U275" s="14" t="str">
        <f aca="false">IF($D275&lt;&gt;1,"",IF(p_mode="Nœud",$T275*$H275,$R275))</f>
        <v/>
      </c>
      <c r="V275" s="14" t="str">
        <f aca="false">IF($D275&lt;&gt;1,"",IF(p_mode="Nœud",$T275*$I275,$S275))</f>
        <v/>
      </c>
      <c r="W275" s="84" t="str">
        <f aca="false">IF($D275&lt;&gt;1,"",IF(p_mode="Nœud",$T275*$K275,$R275*IF($G275="IKS",p_iks_cpu,p_roks_cpu)+$S275*IF($G275="IKS",p_iks_ram,p_roks_ram))*p_facteur)</f>
        <v/>
      </c>
      <c r="X275" s="14" t="str">
        <f aca="false">IF($D275&lt;&gt;1,"",IF($G275="ROKS",$R275,IF($AI275=1,0,MAX($N275,$L275-SUMIFS(TblApplications[CPU IKS libérable (vCPU)],TblApplications[Cluster IKS source],$F275,TblApplications[Action],"À migrer",TblApplications[Mois prov (calc)],"&lt;="&amp;$E275)-SUMIFS(TblApplications[CPU IKS libérable (vCPU)],TblApplications[Cluster IKS source],$F275,TblApplications[Action],"À décommissionner",TblApplications[Mois lib (calc)],"&lt;="&amp;$E275)))))</f>
        <v/>
      </c>
      <c r="Y275" s="14" t="str">
        <f aca="false">IF($D275&lt;&gt;1,"",IF($G275="ROKS",$S275,IF($AI275=1,0,MAX($O275,$M275-SUMIFS(TblApplications[RAM IKS libérable (Go)],TblApplications[Cluster IKS source],$F275,TblApplications[Action],"À migrer",TblApplications[Mois prov (calc)],"&lt;="&amp;$E275)-SUMIFS(TblApplications[RAM IKS libérable (Go)],TblApplications[Cluster IKS source],$F275,TblApplications[Action],"À décommissionner",TblApplications[Mois lib (calc)],"&lt;="&amp;$E275)))))</f>
        <v/>
      </c>
      <c r="Z275" s="14" t="str">
        <f aca="false">IF($D275&lt;&gt;1,"",IF($AI275=1,0,MAX($J275,ROUNDUP(MAX($X275/$H275,$Y275/$I275),0))))</f>
        <v/>
      </c>
      <c r="AA275" s="84" t="str">
        <f aca="false">IF($D275&lt;&gt;1,"",IF(p_mode="Nœud",$Z275*$K275,$X275*IF($G275="IKS",p_iks_cpu,p_roks_cpu)+$Y275*IF($G275="IKS",p_iks_ram,p_roks_ram))*p_facteur)</f>
        <v/>
      </c>
      <c r="AB275" s="14" t="str">
        <f aca="false">IF($D275&lt;&gt;1,"",MAX($J275,ROUNDUP(MAX($L275/$H275,$M275/$I275),0)))</f>
        <v/>
      </c>
      <c r="AC275" s="84" t="str">
        <f aca="false">IF($D275&lt;&gt;1,"",IF(p_mode="Nœud",$AB275*$K275,$L275*IF($G275="IKS",p_iks_cpu,p_roks_cpu)+$M275*IF($G275="IKS",p_iks_ram,p_roks_ram))*p_facteur)</f>
        <v/>
      </c>
      <c r="AD275" s="14" t="str">
        <f aca="false">IF($D275&lt;&gt;1,"",IF(AND($G275="IKS",$AI275&lt;&gt;1,OR($L275-$P275&lt;$N275,$M275-$Q275&lt;$O275)),1,0))</f>
        <v/>
      </c>
      <c r="AE275" s="14" t="str">
        <f aca="false">IF($D275&lt;&gt;1,"",IF(AND($G275="ROKS",$T275&gt;p_maxworkers),1,0))</f>
        <v/>
      </c>
      <c r="AF275" s="14" t="str">
        <f aca="false">IF($D275&lt;&gt;1,"",IF(INDEX(TblClusters[Environnement],$B275)="","(vide)",INDEX(TblClusters[Environnement],$B275)))</f>
        <v/>
      </c>
      <c r="AG275" s="14" t="str">
        <f aca="false">IF($D275&lt;&gt;1,"",$R275+p_poidsram*$S275)</f>
        <v/>
      </c>
      <c r="AH275" s="14" t="str">
        <f aca="false">IF($D275&lt;&gt;1,"",IFERROR($W275/$AG275,0))</f>
        <v/>
      </c>
      <c r="AI275" s="14" t="str">
        <f aca="false">IF($D275&lt;&gt;1,"",IF(AND($G275="IKS",ISNUMBER(INDEX(TblClusters[Fermeture retenue],$B275))),IF($E275&gt;=INDEX(TblClusters[Fermeture retenue],$B275),1,0),0))</f>
        <v/>
      </c>
    </row>
    <row r="276" customFormat="false" ht="15" hidden="false" customHeight="false" outlineLevel="0" collapsed="false">
      <c r="A276" s="14" t="n">
        <v>271</v>
      </c>
      <c r="B276" s="14" t="n">
        <f aca="false">INT(($A276-1)/36)+1</f>
        <v>8</v>
      </c>
      <c r="C276" s="14" t="n">
        <f aca="false">MOD($A276-1,36)+1</f>
        <v>19</v>
      </c>
      <c r="D276" s="14" t="n">
        <f aca="false">IF($C276&gt;p_horizon,0,IFERROR(IF(AND(INDEX(TblClusters[Cluster],$B276)&lt;&gt;"",ISNUMBER(INDEX(TblClusters[CPU initial (vCPU)],$B276)),ISNUMBER(INDEX(TblClusters[CPU min (vCPU)],$B276)),OR(INDEX(TblClusters[Plateforme],$B276)="IKS",INDEX(TblClusters[Plateforme],$B276)="ROKS")),1,0),0))</f>
        <v>0</v>
      </c>
      <c r="E276" s="83" t="str">
        <f aca="false">IF($D276=1,EDATE(p_debut,$C276-1),"")</f>
        <v/>
      </c>
      <c r="F276" s="14" t="str">
        <f aca="false">IF($D276=1,INDEX(TblClusters[Cluster],$B276),"")</f>
        <v/>
      </c>
      <c r="G276" s="14" t="str">
        <f aca="false">IF($D276=1,INDEX(TblClusters[Plateforme],$B276),"")</f>
        <v/>
      </c>
      <c r="H276" s="14" t="str">
        <f aca="false">IF($D276=1,INDEX(TblClusters[vCPU par nœud],$B276),"")</f>
        <v/>
      </c>
      <c r="I276" s="14" t="str">
        <f aca="false">IF($D276=1,INDEX(TblClusters[RAM par nœud (Go)],$B276),"")</f>
        <v/>
      </c>
      <c r="J276" s="14" t="str">
        <f aca="false">IF($D276=1,INDEX(TblClusters[Workers min],$B276),"")</f>
        <v/>
      </c>
      <c r="K276" s="84" t="str">
        <f aca="false">IF($D276=1,INDEX(TblClusters[Tarif par nœud],$B276),"")</f>
        <v/>
      </c>
      <c r="L276" s="14" t="str">
        <f aca="false">IF($D276=1,INDEX(TblClusters[CPU initial (vCPU)],$B276),"")</f>
        <v/>
      </c>
      <c r="M276" s="14" t="str">
        <f aca="false">IF($D276=1,INDEX(TblClusters[RAM initiale (Go)],$B276),"")</f>
        <v/>
      </c>
      <c r="N276" s="14" t="str">
        <f aca="false">IF($D276=1,INDEX(TblClusters[CPU min (vCPU)],$B276),"")</f>
        <v/>
      </c>
      <c r="O276" s="14" t="str">
        <f aca="false">IF($D276=1,INDEX(TblClusters[RAM min (Go)],$B276),"")</f>
        <v/>
      </c>
      <c r="P276" s="14" t="str">
        <f aca="false">IF($D276&lt;&gt;1,"",IF($G276="ROKS",SUMIFS(TblApplications[Besoin ROKS CPU (vCPU)],TblApplications[Cluster ROKS cible],$F276,TblApplications[Action],"À migrer",TblApplications[Déjà incluse ROKS],"Non",TblApplications[Mois prov (calc)],"&lt;="&amp;$E276),SUMIFS(TblApplications[CPU IKS libérable (vCPU)],TblApplications[Cluster IKS source],$F276,TblApplications[Mois lib (calc)],"&lt;="&amp;$E276)))</f>
        <v/>
      </c>
      <c r="Q276" s="14" t="str">
        <f aca="false">IF($D276&lt;&gt;1,"",IF($G276="ROKS",SUMIFS(TblApplications[Besoin ROKS RAM (Go)],TblApplications[Cluster ROKS cible],$F276,TblApplications[Action],"À migrer",TblApplications[Déjà incluse ROKS],"Non",TblApplications[Mois prov (calc)],"&lt;="&amp;$E276),SUMIFS(TblApplications[RAM IKS libérable (Go)],TblApplications[Cluster IKS source],$F276,TblApplications[Mois lib (calc)],"&lt;="&amp;$E276)))</f>
        <v/>
      </c>
      <c r="R276" s="14" t="str">
        <f aca="false">IF($D276&lt;&gt;1,"",IF($G276="ROKS",$L276+$P276,IF($AI276=1,0,MAX($N276,$L276-$P276))))</f>
        <v/>
      </c>
      <c r="S276" s="14" t="str">
        <f aca="false">IF($D276&lt;&gt;1,"",IF($G276="ROKS",$M276+$Q276,IF($AI276=1,0,MAX($O276,$M276-$Q276))))</f>
        <v/>
      </c>
      <c r="T276" s="14" t="str">
        <f aca="false">IF($D276&lt;&gt;1,"",IF($AI276=1,0,MAX($J276,ROUNDUP(MAX($R276/$H276,$S276/$I276),0))))</f>
        <v/>
      </c>
      <c r="U276" s="14" t="str">
        <f aca="false">IF($D276&lt;&gt;1,"",IF(p_mode="Nœud",$T276*$H276,$R276))</f>
        <v/>
      </c>
      <c r="V276" s="14" t="str">
        <f aca="false">IF($D276&lt;&gt;1,"",IF(p_mode="Nœud",$T276*$I276,$S276))</f>
        <v/>
      </c>
      <c r="W276" s="84" t="str">
        <f aca="false">IF($D276&lt;&gt;1,"",IF(p_mode="Nœud",$T276*$K276,$R276*IF($G276="IKS",p_iks_cpu,p_roks_cpu)+$S276*IF($G276="IKS",p_iks_ram,p_roks_ram))*p_facteur)</f>
        <v/>
      </c>
      <c r="X276" s="14" t="str">
        <f aca="false">IF($D276&lt;&gt;1,"",IF($G276="ROKS",$R276,IF($AI276=1,0,MAX($N276,$L276-SUMIFS(TblApplications[CPU IKS libérable (vCPU)],TblApplications[Cluster IKS source],$F276,TblApplications[Action],"À migrer",TblApplications[Mois prov (calc)],"&lt;="&amp;$E276)-SUMIFS(TblApplications[CPU IKS libérable (vCPU)],TblApplications[Cluster IKS source],$F276,TblApplications[Action],"À décommissionner",TblApplications[Mois lib (calc)],"&lt;="&amp;$E276)))))</f>
        <v/>
      </c>
      <c r="Y276" s="14" t="str">
        <f aca="false">IF($D276&lt;&gt;1,"",IF($G276="ROKS",$S276,IF($AI276=1,0,MAX($O276,$M276-SUMIFS(TblApplications[RAM IKS libérable (Go)],TblApplications[Cluster IKS source],$F276,TblApplications[Action],"À migrer",TblApplications[Mois prov (calc)],"&lt;="&amp;$E276)-SUMIFS(TblApplications[RAM IKS libérable (Go)],TblApplications[Cluster IKS source],$F276,TblApplications[Action],"À décommissionner",TblApplications[Mois lib (calc)],"&lt;="&amp;$E276)))))</f>
        <v/>
      </c>
      <c r="Z276" s="14" t="str">
        <f aca="false">IF($D276&lt;&gt;1,"",IF($AI276=1,0,MAX($J276,ROUNDUP(MAX($X276/$H276,$Y276/$I276),0))))</f>
        <v/>
      </c>
      <c r="AA276" s="84" t="str">
        <f aca="false">IF($D276&lt;&gt;1,"",IF(p_mode="Nœud",$Z276*$K276,$X276*IF($G276="IKS",p_iks_cpu,p_roks_cpu)+$Y276*IF($G276="IKS",p_iks_ram,p_roks_ram))*p_facteur)</f>
        <v/>
      </c>
      <c r="AB276" s="14" t="str">
        <f aca="false">IF($D276&lt;&gt;1,"",MAX($J276,ROUNDUP(MAX($L276/$H276,$M276/$I276),0)))</f>
        <v/>
      </c>
      <c r="AC276" s="84" t="str">
        <f aca="false">IF($D276&lt;&gt;1,"",IF(p_mode="Nœud",$AB276*$K276,$L276*IF($G276="IKS",p_iks_cpu,p_roks_cpu)+$M276*IF($G276="IKS",p_iks_ram,p_roks_ram))*p_facteur)</f>
        <v/>
      </c>
      <c r="AD276" s="14" t="str">
        <f aca="false">IF($D276&lt;&gt;1,"",IF(AND($G276="IKS",$AI276&lt;&gt;1,OR($L276-$P276&lt;$N276,$M276-$Q276&lt;$O276)),1,0))</f>
        <v/>
      </c>
      <c r="AE276" s="14" t="str">
        <f aca="false">IF($D276&lt;&gt;1,"",IF(AND($G276="ROKS",$T276&gt;p_maxworkers),1,0))</f>
        <v/>
      </c>
      <c r="AF276" s="14" t="str">
        <f aca="false">IF($D276&lt;&gt;1,"",IF(INDEX(TblClusters[Environnement],$B276)="","(vide)",INDEX(TblClusters[Environnement],$B276)))</f>
        <v/>
      </c>
      <c r="AG276" s="14" t="str">
        <f aca="false">IF($D276&lt;&gt;1,"",$R276+p_poidsram*$S276)</f>
        <v/>
      </c>
      <c r="AH276" s="14" t="str">
        <f aca="false">IF($D276&lt;&gt;1,"",IFERROR($W276/$AG276,0))</f>
        <v/>
      </c>
      <c r="AI276" s="14" t="str">
        <f aca="false">IF($D276&lt;&gt;1,"",IF(AND($G276="IKS",ISNUMBER(INDEX(TblClusters[Fermeture retenue],$B276))),IF($E276&gt;=INDEX(TblClusters[Fermeture retenue],$B276),1,0),0))</f>
        <v/>
      </c>
    </row>
    <row r="277" customFormat="false" ht="15" hidden="false" customHeight="false" outlineLevel="0" collapsed="false">
      <c r="A277" s="14" t="n">
        <v>272</v>
      </c>
      <c r="B277" s="14" t="n">
        <f aca="false">INT(($A277-1)/36)+1</f>
        <v>8</v>
      </c>
      <c r="C277" s="14" t="n">
        <f aca="false">MOD($A277-1,36)+1</f>
        <v>20</v>
      </c>
      <c r="D277" s="14" t="n">
        <f aca="false">IF($C277&gt;p_horizon,0,IFERROR(IF(AND(INDEX(TblClusters[Cluster],$B277)&lt;&gt;"",ISNUMBER(INDEX(TblClusters[CPU initial (vCPU)],$B277)),ISNUMBER(INDEX(TblClusters[CPU min (vCPU)],$B277)),OR(INDEX(TblClusters[Plateforme],$B277)="IKS",INDEX(TblClusters[Plateforme],$B277)="ROKS")),1,0),0))</f>
        <v>0</v>
      </c>
      <c r="E277" s="83" t="str">
        <f aca="false">IF($D277=1,EDATE(p_debut,$C277-1),"")</f>
        <v/>
      </c>
      <c r="F277" s="14" t="str">
        <f aca="false">IF($D277=1,INDEX(TblClusters[Cluster],$B277),"")</f>
        <v/>
      </c>
      <c r="G277" s="14" t="str">
        <f aca="false">IF($D277=1,INDEX(TblClusters[Plateforme],$B277),"")</f>
        <v/>
      </c>
      <c r="H277" s="14" t="str">
        <f aca="false">IF($D277=1,INDEX(TblClusters[vCPU par nœud],$B277),"")</f>
        <v/>
      </c>
      <c r="I277" s="14" t="str">
        <f aca="false">IF($D277=1,INDEX(TblClusters[RAM par nœud (Go)],$B277),"")</f>
        <v/>
      </c>
      <c r="J277" s="14" t="str">
        <f aca="false">IF($D277=1,INDEX(TblClusters[Workers min],$B277),"")</f>
        <v/>
      </c>
      <c r="K277" s="84" t="str">
        <f aca="false">IF($D277=1,INDEX(TblClusters[Tarif par nœud],$B277),"")</f>
        <v/>
      </c>
      <c r="L277" s="14" t="str">
        <f aca="false">IF($D277=1,INDEX(TblClusters[CPU initial (vCPU)],$B277),"")</f>
        <v/>
      </c>
      <c r="M277" s="14" t="str">
        <f aca="false">IF($D277=1,INDEX(TblClusters[RAM initiale (Go)],$B277),"")</f>
        <v/>
      </c>
      <c r="N277" s="14" t="str">
        <f aca="false">IF($D277=1,INDEX(TblClusters[CPU min (vCPU)],$B277),"")</f>
        <v/>
      </c>
      <c r="O277" s="14" t="str">
        <f aca="false">IF($D277=1,INDEX(TblClusters[RAM min (Go)],$B277),"")</f>
        <v/>
      </c>
      <c r="P277" s="14" t="str">
        <f aca="false">IF($D277&lt;&gt;1,"",IF($G277="ROKS",SUMIFS(TblApplications[Besoin ROKS CPU (vCPU)],TblApplications[Cluster ROKS cible],$F277,TblApplications[Action],"À migrer",TblApplications[Déjà incluse ROKS],"Non",TblApplications[Mois prov (calc)],"&lt;="&amp;$E277),SUMIFS(TblApplications[CPU IKS libérable (vCPU)],TblApplications[Cluster IKS source],$F277,TblApplications[Mois lib (calc)],"&lt;="&amp;$E277)))</f>
        <v/>
      </c>
      <c r="Q277" s="14" t="str">
        <f aca="false">IF($D277&lt;&gt;1,"",IF($G277="ROKS",SUMIFS(TblApplications[Besoin ROKS RAM (Go)],TblApplications[Cluster ROKS cible],$F277,TblApplications[Action],"À migrer",TblApplications[Déjà incluse ROKS],"Non",TblApplications[Mois prov (calc)],"&lt;="&amp;$E277),SUMIFS(TblApplications[RAM IKS libérable (Go)],TblApplications[Cluster IKS source],$F277,TblApplications[Mois lib (calc)],"&lt;="&amp;$E277)))</f>
        <v/>
      </c>
      <c r="R277" s="14" t="str">
        <f aca="false">IF($D277&lt;&gt;1,"",IF($G277="ROKS",$L277+$P277,IF($AI277=1,0,MAX($N277,$L277-$P277))))</f>
        <v/>
      </c>
      <c r="S277" s="14" t="str">
        <f aca="false">IF($D277&lt;&gt;1,"",IF($G277="ROKS",$M277+$Q277,IF($AI277=1,0,MAX($O277,$M277-$Q277))))</f>
        <v/>
      </c>
      <c r="T277" s="14" t="str">
        <f aca="false">IF($D277&lt;&gt;1,"",IF($AI277=1,0,MAX($J277,ROUNDUP(MAX($R277/$H277,$S277/$I277),0))))</f>
        <v/>
      </c>
      <c r="U277" s="14" t="str">
        <f aca="false">IF($D277&lt;&gt;1,"",IF(p_mode="Nœud",$T277*$H277,$R277))</f>
        <v/>
      </c>
      <c r="V277" s="14" t="str">
        <f aca="false">IF($D277&lt;&gt;1,"",IF(p_mode="Nœud",$T277*$I277,$S277))</f>
        <v/>
      </c>
      <c r="W277" s="84" t="str">
        <f aca="false">IF($D277&lt;&gt;1,"",IF(p_mode="Nœud",$T277*$K277,$R277*IF($G277="IKS",p_iks_cpu,p_roks_cpu)+$S277*IF($G277="IKS",p_iks_ram,p_roks_ram))*p_facteur)</f>
        <v/>
      </c>
      <c r="X277" s="14" t="str">
        <f aca="false">IF($D277&lt;&gt;1,"",IF($G277="ROKS",$R277,IF($AI277=1,0,MAX($N277,$L277-SUMIFS(TblApplications[CPU IKS libérable (vCPU)],TblApplications[Cluster IKS source],$F277,TblApplications[Action],"À migrer",TblApplications[Mois prov (calc)],"&lt;="&amp;$E277)-SUMIFS(TblApplications[CPU IKS libérable (vCPU)],TblApplications[Cluster IKS source],$F277,TblApplications[Action],"À décommissionner",TblApplications[Mois lib (calc)],"&lt;="&amp;$E277)))))</f>
        <v/>
      </c>
      <c r="Y277" s="14" t="str">
        <f aca="false">IF($D277&lt;&gt;1,"",IF($G277="ROKS",$S277,IF($AI277=1,0,MAX($O277,$M277-SUMIFS(TblApplications[RAM IKS libérable (Go)],TblApplications[Cluster IKS source],$F277,TblApplications[Action],"À migrer",TblApplications[Mois prov (calc)],"&lt;="&amp;$E277)-SUMIFS(TblApplications[RAM IKS libérable (Go)],TblApplications[Cluster IKS source],$F277,TblApplications[Action],"À décommissionner",TblApplications[Mois lib (calc)],"&lt;="&amp;$E277)))))</f>
        <v/>
      </c>
      <c r="Z277" s="14" t="str">
        <f aca="false">IF($D277&lt;&gt;1,"",IF($AI277=1,0,MAX($J277,ROUNDUP(MAX($X277/$H277,$Y277/$I277),0))))</f>
        <v/>
      </c>
      <c r="AA277" s="84" t="str">
        <f aca="false">IF($D277&lt;&gt;1,"",IF(p_mode="Nœud",$Z277*$K277,$X277*IF($G277="IKS",p_iks_cpu,p_roks_cpu)+$Y277*IF($G277="IKS",p_iks_ram,p_roks_ram))*p_facteur)</f>
        <v/>
      </c>
      <c r="AB277" s="14" t="str">
        <f aca="false">IF($D277&lt;&gt;1,"",MAX($J277,ROUNDUP(MAX($L277/$H277,$M277/$I277),0)))</f>
        <v/>
      </c>
      <c r="AC277" s="84" t="str">
        <f aca="false">IF($D277&lt;&gt;1,"",IF(p_mode="Nœud",$AB277*$K277,$L277*IF($G277="IKS",p_iks_cpu,p_roks_cpu)+$M277*IF($G277="IKS",p_iks_ram,p_roks_ram))*p_facteur)</f>
        <v/>
      </c>
      <c r="AD277" s="14" t="str">
        <f aca="false">IF($D277&lt;&gt;1,"",IF(AND($G277="IKS",$AI277&lt;&gt;1,OR($L277-$P277&lt;$N277,$M277-$Q277&lt;$O277)),1,0))</f>
        <v/>
      </c>
      <c r="AE277" s="14" t="str">
        <f aca="false">IF($D277&lt;&gt;1,"",IF(AND($G277="ROKS",$T277&gt;p_maxworkers),1,0))</f>
        <v/>
      </c>
      <c r="AF277" s="14" t="str">
        <f aca="false">IF($D277&lt;&gt;1,"",IF(INDEX(TblClusters[Environnement],$B277)="","(vide)",INDEX(TblClusters[Environnement],$B277)))</f>
        <v/>
      </c>
      <c r="AG277" s="14" t="str">
        <f aca="false">IF($D277&lt;&gt;1,"",$R277+p_poidsram*$S277)</f>
        <v/>
      </c>
      <c r="AH277" s="14" t="str">
        <f aca="false">IF($D277&lt;&gt;1,"",IFERROR($W277/$AG277,0))</f>
        <v/>
      </c>
      <c r="AI277" s="14" t="str">
        <f aca="false">IF($D277&lt;&gt;1,"",IF(AND($G277="IKS",ISNUMBER(INDEX(TblClusters[Fermeture retenue],$B277))),IF($E277&gt;=INDEX(TblClusters[Fermeture retenue],$B277),1,0),0))</f>
        <v/>
      </c>
    </row>
    <row r="278" customFormat="false" ht="15" hidden="false" customHeight="false" outlineLevel="0" collapsed="false">
      <c r="A278" s="14" t="n">
        <v>273</v>
      </c>
      <c r="B278" s="14" t="n">
        <f aca="false">INT(($A278-1)/36)+1</f>
        <v>8</v>
      </c>
      <c r="C278" s="14" t="n">
        <f aca="false">MOD($A278-1,36)+1</f>
        <v>21</v>
      </c>
      <c r="D278" s="14" t="n">
        <f aca="false">IF($C278&gt;p_horizon,0,IFERROR(IF(AND(INDEX(TblClusters[Cluster],$B278)&lt;&gt;"",ISNUMBER(INDEX(TblClusters[CPU initial (vCPU)],$B278)),ISNUMBER(INDEX(TblClusters[CPU min (vCPU)],$B278)),OR(INDEX(TblClusters[Plateforme],$B278)="IKS",INDEX(TblClusters[Plateforme],$B278)="ROKS")),1,0),0))</f>
        <v>0</v>
      </c>
      <c r="E278" s="83" t="str">
        <f aca="false">IF($D278=1,EDATE(p_debut,$C278-1),"")</f>
        <v/>
      </c>
      <c r="F278" s="14" t="str">
        <f aca="false">IF($D278=1,INDEX(TblClusters[Cluster],$B278),"")</f>
        <v/>
      </c>
      <c r="G278" s="14" t="str">
        <f aca="false">IF($D278=1,INDEX(TblClusters[Plateforme],$B278),"")</f>
        <v/>
      </c>
      <c r="H278" s="14" t="str">
        <f aca="false">IF($D278=1,INDEX(TblClusters[vCPU par nœud],$B278),"")</f>
        <v/>
      </c>
      <c r="I278" s="14" t="str">
        <f aca="false">IF($D278=1,INDEX(TblClusters[RAM par nœud (Go)],$B278),"")</f>
        <v/>
      </c>
      <c r="J278" s="14" t="str">
        <f aca="false">IF($D278=1,INDEX(TblClusters[Workers min],$B278),"")</f>
        <v/>
      </c>
      <c r="K278" s="84" t="str">
        <f aca="false">IF($D278=1,INDEX(TblClusters[Tarif par nœud],$B278),"")</f>
        <v/>
      </c>
      <c r="L278" s="14" t="str">
        <f aca="false">IF($D278=1,INDEX(TblClusters[CPU initial (vCPU)],$B278),"")</f>
        <v/>
      </c>
      <c r="M278" s="14" t="str">
        <f aca="false">IF($D278=1,INDEX(TblClusters[RAM initiale (Go)],$B278),"")</f>
        <v/>
      </c>
      <c r="N278" s="14" t="str">
        <f aca="false">IF($D278=1,INDEX(TblClusters[CPU min (vCPU)],$B278),"")</f>
        <v/>
      </c>
      <c r="O278" s="14" t="str">
        <f aca="false">IF($D278=1,INDEX(TblClusters[RAM min (Go)],$B278),"")</f>
        <v/>
      </c>
      <c r="P278" s="14" t="str">
        <f aca="false">IF($D278&lt;&gt;1,"",IF($G278="ROKS",SUMIFS(TblApplications[Besoin ROKS CPU (vCPU)],TblApplications[Cluster ROKS cible],$F278,TblApplications[Action],"À migrer",TblApplications[Déjà incluse ROKS],"Non",TblApplications[Mois prov (calc)],"&lt;="&amp;$E278),SUMIFS(TblApplications[CPU IKS libérable (vCPU)],TblApplications[Cluster IKS source],$F278,TblApplications[Mois lib (calc)],"&lt;="&amp;$E278)))</f>
        <v/>
      </c>
      <c r="Q278" s="14" t="str">
        <f aca="false">IF($D278&lt;&gt;1,"",IF($G278="ROKS",SUMIFS(TblApplications[Besoin ROKS RAM (Go)],TblApplications[Cluster ROKS cible],$F278,TblApplications[Action],"À migrer",TblApplications[Déjà incluse ROKS],"Non",TblApplications[Mois prov (calc)],"&lt;="&amp;$E278),SUMIFS(TblApplications[RAM IKS libérable (Go)],TblApplications[Cluster IKS source],$F278,TblApplications[Mois lib (calc)],"&lt;="&amp;$E278)))</f>
        <v/>
      </c>
      <c r="R278" s="14" t="str">
        <f aca="false">IF($D278&lt;&gt;1,"",IF($G278="ROKS",$L278+$P278,IF($AI278=1,0,MAX($N278,$L278-$P278))))</f>
        <v/>
      </c>
      <c r="S278" s="14" t="str">
        <f aca="false">IF($D278&lt;&gt;1,"",IF($G278="ROKS",$M278+$Q278,IF($AI278=1,0,MAX($O278,$M278-$Q278))))</f>
        <v/>
      </c>
      <c r="T278" s="14" t="str">
        <f aca="false">IF($D278&lt;&gt;1,"",IF($AI278=1,0,MAX($J278,ROUNDUP(MAX($R278/$H278,$S278/$I278),0))))</f>
        <v/>
      </c>
      <c r="U278" s="14" t="str">
        <f aca="false">IF($D278&lt;&gt;1,"",IF(p_mode="Nœud",$T278*$H278,$R278))</f>
        <v/>
      </c>
      <c r="V278" s="14" t="str">
        <f aca="false">IF($D278&lt;&gt;1,"",IF(p_mode="Nœud",$T278*$I278,$S278))</f>
        <v/>
      </c>
      <c r="W278" s="84" t="str">
        <f aca="false">IF($D278&lt;&gt;1,"",IF(p_mode="Nœud",$T278*$K278,$R278*IF($G278="IKS",p_iks_cpu,p_roks_cpu)+$S278*IF($G278="IKS",p_iks_ram,p_roks_ram))*p_facteur)</f>
        <v/>
      </c>
      <c r="X278" s="14" t="str">
        <f aca="false">IF($D278&lt;&gt;1,"",IF($G278="ROKS",$R278,IF($AI278=1,0,MAX($N278,$L278-SUMIFS(TblApplications[CPU IKS libérable (vCPU)],TblApplications[Cluster IKS source],$F278,TblApplications[Action],"À migrer",TblApplications[Mois prov (calc)],"&lt;="&amp;$E278)-SUMIFS(TblApplications[CPU IKS libérable (vCPU)],TblApplications[Cluster IKS source],$F278,TblApplications[Action],"À décommissionner",TblApplications[Mois lib (calc)],"&lt;="&amp;$E278)))))</f>
        <v/>
      </c>
      <c r="Y278" s="14" t="str">
        <f aca="false">IF($D278&lt;&gt;1,"",IF($G278="ROKS",$S278,IF($AI278=1,0,MAX($O278,$M278-SUMIFS(TblApplications[RAM IKS libérable (Go)],TblApplications[Cluster IKS source],$F278,TblApplications[Action],"À migrer",TblApplications[Mois prov (calc)],"&lt;="&amp;$E278)-SUMIFS(TblApplications[RAM IKS libérable (Go)],TblApplications[Cluster IKS source],$F278,TblApplications[Action],"À décommissionner",TblApplications[Mois lib (calc)],"&lt;="&amp;$E278)))))</f>
        <v/>
      </c>
      <c r="Z278" s="14" t="str">
        <f aca="false">IF($D278&lt;&gt;1,"",IF($AI278=1,0,MAX($J278,ROUNDUP(MAX($X278/$H278,$Y278/$I278),0))))</f>
        <v/>
      </c>
      <c r="AA278" s="84" t="str">
        <f aca="false">IF($D278&lt;&gt;1,"",IF(p_mode="Nœud",$Z278*$K278,$X278*IF($G278="IKS",p_iks_cpu,p_roks_cpu)+$Y278*IF($G278="IKS",p_iks_ram,p_roks_ram))*p_facteur)</f>
        <v/>
      </c>
      <c r="AB278" s="14" t="str">
        <f aca="false">IF($D278&lt;&gt;1,"",MAX($J278,ROUNDUP(MAX($L278/$H278,$M278/$I278),0)))</f>
        <v/>
      </c>
      <c r="AC278" s="84" t="str">
        <f aca="false">IF($D278&lt;&gt;1,"",IF(p_mode="Nœud",$AB278*$K278,$L278*IF($G278="IKS",p_iks_cpu,p_roks_cpu)+$M278*IF($G278="IKS",p_iks_ram,p_roks_ram))*p_facteur)</f>
        <v/>
      </c>
      <c r="AD278" s="14" t="str">
        <f aca="false">IF($D278&lt;&gt;1,"",IF(AND($G278="IKS",$AI278&lt;&gt;1,OR($L278-$P278&lt;$N278,$M278-$Q278&lt;$O278)),1,0))</f>
        <v/>
      </c>
      <c r="AE278" s="14" t="str">
        <f aca="false">IF($D278&lt;&gt;1,"",IF(AND($G278="ROKS",$T278&gt;p_maxworkers),1,0))</f>
        <v/>
      </c>
      <c r="AF278" s="14" t="str">
        <f aca="false">IF($D278&lt;&gt;1,"",IF(INDEX(TblClusters[Environnement],$B278)="","(vide)",INDEX(TblClusters[Environnement],$B278)))</f>
        <v/>
      </c>
      <c r="AG278" s="14" t="str">
        <f aca="false">IF($D278&lt;&gt;1,"",$R278+p_poidsram*$S278)</f>
        <v/>
      </c>
      <c r="AH278" s="14" t="str">
        <f aca="false">IF($D278&lt;&gt;1,"",IFERROR($W278/$AG278,0))</f>
        <v/>
      </c>
      <c r="AI278" s="14" t="str">
        <f aca="false">IF($D278&lt;&gt;1,"",IF(AND($G278="IKS",ISNUMBER(INDEX(TblClusters[Fermeture retenue],$B278))),IF($E278&gt;=INDEX(TblClusters[Fermeture retenue],$B278),1,0),0))</f>
        <v/>
      </c>
    </row>
    <row r="279" customFormat="false" ht="15" hidden="false" customHeight="false" outlineLevel="0" collapsed="false">
      <c r="A279" s="14" t="n">
        <v>274</v>
      </c>
      <c r="B279" s="14" t="n">
        <f aca="false">INT(($A279-1)/36)+1</f>
        <v>8</v>
      </c>
      <c r="C279" s="14" t="n">
        <f aca="false">MOD($A279-1,36)+1</f>
        <v>22</v>
      </c>
      <c r="D279" s="14" t="n">
        <f aca="false">IF($C279&gt;p_horizon,0,IFERROR(IF(AND(INDEX(TblClusters[Cluster],$B279)&lt;&gt;"",ISNUMBER(INDEX(TblClusters[CPU initial (vCPU)],$B279)),ISNUMBER(INDEX(TblClusters[CPU min (vCPU)],$B279)),OR(INDEX(TblClusters[Plateforme],$B279)="IKS",INDEX(TblClusters[Plateforme],$B279)="ROKS")),1,0),0))</f>
        <v>0</v>
      </c>
      <c r="E279" s="83" t="str">
        <f aca="false">IF($D279=1,EDATE(p_debut,$C279-1),"")</f>
        <v/>
      </c>
      <c r="F279" s="14" t="str">
        <f aca="false">IF($D279=1,INDEX(TblClusters[Cluster],$B279),"")</f>
        <v/>
      </c>
      <c r="G279" s="14" t="str">
        <f aca="false">IF($D279=1,INDEX(TblClusters[Plateforme],$B279),"")</f>
        <v/>
      </c>
      <c r="H279" s="14" t="str">
        <f aca="false">IF($D279=1,INDEX(TblClusters[vCPU par nœud],$B279),"")</f>
        <v/>
      </c>
      <c r="I279" s="14" t="str">
        <f aca="false">IF($D279=1,INDEX(TblClusters[RAM par nœud (Go)],$B279),"")</f>
        <v/>
      </c>
      <c r="J279" s="14" t="str">
        <f aca="false">IF($D279=1,INDEX(TblClusters[Workers min],$B279),"")</f>
        <v/>
      </c>
      <c r="K279" s="84" t="str">
        <f aca="false">IF($D279=1,INDEX(TblClusters[Tarif par nœud],$B279),"")</f>
        <v/>
      </c>
      <c r="L279" s="14" t="str">
        <f aca="false">IF($D279=1,INDEX(TblClusters[CPU initial (vCPU)],$B279),"")</f>
        <v/>
      </c>
      <c r="M279" s="14" t="str">
        <f aca="false">IF($D279=1,INDEX(TblClusters[RAM initiale (Go)],$B279),"")</f>
        <v/>
      </c>
      <c r="N279" s="14" t="str">
        <f aca="false">IF($D279=1,INDEX(TblClusters[CPU min (vCPU)],$B279),"")</f>
        <v/>
      </c>
      <c r="O279" s="14" t="str">
        <f aca="false">IF($D279=1,INDEX(TblClusters[RAM min (Go)],$B279),"")</f>
        <v/>
      </c>
      <c r="P279" s="14" t="str">
        <f aca="false">IF($D279&lt;&gt;1,"",IF($G279="ROKS",SUMIFS(TblApplications[Besoin ROKS CPU (vCPU)],TblApplications[Cluster ROKS cible],$F279,TblApplications[Action],"À migrer",TblApplications[Déjà incluse ROKS],"Non",TblApplications[Mois prov (calc)],"&lt;="&amp;$E279),SUMIFS(TblApplications[CPU IKS libérable (vCPU)],TblApplications[Cluster IKS source],$F279,TblApplications[Mois lib (calc)],"&lt;="&amp;$E279)))</f>
        <v/>
      </c>
      <c r="Q279" s="14" t="str">
        <f aca="false">IF($D279&lt;&gt;1,"",IF($G279="ROKS",SUMIFS(TblApplications[Besoin ROKS RAM (Go)],TblApplications[Cluster ROKS cible],$F279,TblApplications[Action],"À migrer",TblApplications[Déjà incluse ROKS],"Non",TblApplications[Mois prov (calc)],"&lt;="&amp;$E279),SUMIFS(TblApplications[RAM IKS libérable (Go)],TblApplications[Cluster IKS source],$F279,TblApplications[Mois lib (calc)],"&lt;="&amp;$E279)))</f>
        <v/>
      </c>
      <c r="R279" s="14" t="str">
        <f aca="false">IF($D279&lt;&gt;1,"",IF($G279="ROKS",$L279+$P279,IF($AI279=1,0,MAX($N279,$L279-$P279))))</f>
        <v/>
      </c>
      <c r="S279" s="14" t="str">
        <f aca="false">IF($D279&lt;&gt;1,"",IF($G279="ROKS",$M279+$Q279,IF($AI279=1,0,MAX($O279,$M279-$Q279))))</f>
        <v/>
      </c>
      <c r="T279" s="14" t="str">
        <f aca="false">IF($D279&lt;&gt;1,"",IF($AI279=1,0,MAX($J279,ROUNDUP(MAX($R279/$H279,$S279/$I279),0))))</f>
        <v/>
      </c>
      <c r="U279" s="14" t="str">
        <f aca="false">IF($D279&lt;&gt;1,"",IF(p_mode="Nœud",$T279*$H279,$R279))</f>
        <v/>
      </c>
      <c r="V279" s="14" t="str">
        <f aca="false">IF($D279&lt;&gt;1,"",IF(p_mode="Nœud",$T279*$I279,$S279))</f>
        <v/>
      </c>
      <c r="W279" s="84" t="str">
        <f aca="false">IF($D279&lt;&gt;1,"",IF(p_mode="Nœud",$T279*$K279,$R279*IF($G279="IKS",p_iks_cpu,p_roks_cpu)+$S279*IF($G279="IKS",p_iks_ram,p_roks_ram))*p_facteur)</f>
        <v/>
      </c>
      <c r="X279" s="14" t="str">
        <f aca="false">IF($D279&lt;&gt;1,"",IF($G279="ROKS",$R279,IF($AI279=1,0,MAX($N279,$L279-SUMIFS(TblApplications[CPU IKS libérable (vCPU)],TblApplications[Cluster IKS source],$F279,TblApplications[Action],"À migrer",TblApplications[Mois prov (calc)],"&lt;="&amp;$E279)-SUMIFS(TblApplications[CPU IKS libérable (vCPU)],TblApplications[Cluster IKS source],$F279,TblApplications[Action],"À décommissionner",TblApplications[Mois lib (calc)],"&lt;="&amp;$E279)))))</f>
        <v/>
      </c>
      <c r="Y279" s="14" t="str">
        <f aca="false">IF($D279&lt;&gt;1,"",IF($G279="ROKS",$S279,IF($AI279=1,0,MAX($O279,$M279-SUMIFS(TblApplications[RAM IKS libérable (Go)],TblApplications[Cluster IKS source],$F279,TblApplications[Action],"À migrer",TblApplications[Mois prov (calc)],"&lt;="&amp;$E279)-SUMIFS(TblApplications[RAM IKS libérable (Go)],TblApplications[Cluster IKS source],$F279,TblApplications[Action],"À décommissionner",TblApplications[Mois lib (calc)],"&lt;="&amp;$E279)))))</f>
        <v/>
      </c>
      <c r="Z279" s="14" t="str">
        <f aca="false">IF($D279&lt;&gt;1,"",IF($AI279=1,0,MAX($J279,ROUNDUP(MAX($X279/$H279,$Y279/$I279),0))))</f>
        <v/>
      </c>
      <c r="AA279" s="84" t="str">
        <f aca="false">IF($D279&lt;&gt;1,"",IF(p_mode="Nœud",$Z279*$K279,$X279*IF($G279="IKS",p_iks_cpu,p_roks_cpu)+$Y279*IF($G279="IKS",p_iks_ram,p_roks_ram))*p_facteur)</f>
        <v/>
      </c>
      <c r="AB279" s="14" t="str">
        <f aca="false">IF($D279&lt;&gt;1,"",MAX($J279,ROUNDUP(MAX($L279/$H279,$M279/$I279),0)))</f>
        <v/>
      </c>
      <c r="AC279" s="84" t="str">
        <f aca="false">IF($D279&lt;&gt;1,"",IF(p_mode="Nœud",$AB279*$K279,$L279*IF($G279="IKS",p_iks_cpu,p_roks_cpu)+$M279*IF($G279="IKS",p_iks_ram,p_roks_ram))*p_facteur)</f>
        <v/>
      </c>
      <c r="AD279" s="14" t="str">
        <f aca="false">IF($D279&lt;&gt;1,"",IF(AND($G279="IKS",$AI279&lt;&gt;1,OR($L279-$P279&lt;$N279,$M279-$Q279&lt;$O279)),1,0))</f>
        <v/>
      </c>
      <c r="AE279" s="14" t="str">
        <f aca="false">IF($D279&lt;&gt;1,"",IF(AND($G279="ROKS",$T279&gt;p_maxworkers),1,0))</f>
        <v/>
      </c>
      <c r="AF279" s="14" t="str">
        <f aca="false">IF($D279&lt;&gt;1,"",IF(INDEX(TblClusters[Environnement],$B279)="","(vide)",INDEX(TblClusters[Environnement],$B279)))</f>
        <v/>
      </c>
      <c r="AG279" s="14" t="str">
        <f aca="false">IF($D279&lt;&gt;1,"",$R279+p_poidsram*$S279)</f>
        <v/>
      </c>
      <c r="AH279" s="14" t="str">
        <f aca="false">IF($D279&lt;&gt;1,"",IFERROR($W279/$AG279,0))</f>
        <v/>
      </c>
      <c r="AI279" s="14" t="str">
        <f aca="false">IF($D279&lt;&gt;1,"",IF(AND($G279="IKS",ISNUMBER(INDEX(TblClusters[Fermeture retenue],$B279))),IF($E279&gt;=INDEX(TblClusters[Fermeture retenue],$B279),1,0),0))</f>
        <v/>
      </c>
    </row>
    <row r="280" customFormat="false" ht="15" hidden="false" customHeight="false" outlineLevel="0" collapsed="false">
      <c r="A280" s="14" t="n">
        <v>275</v>
      </c>
      <c r="B280" s="14" t="n">
        <f aca="false">INT(($A280-1)/36)+1</f>
        <v>8</v>
      </c>
      <c r="C280" s="14" t="n">
        <f aca="false">MOD($A280-1,36)+1</f>
        <v>23</v>
      </c>
      <c r="D280" s="14" t="n">
        <f aca="false">IF($C280&gt;p_horizon,0,IFERROR(IF(AND(INDEX(TblClusters[Cluster],$B280)&lt;&gt;"",ISNUMBER(INDEX(TblClusters[CPU initial (vCPU)],$B280)),ISNUMBER(INDEX(TblClusters[CPU min (vCPU)],$B280)),OR(INDEX(TblClusters[Plateforme],$B280)="IKS",INDEX(TblClusters[Plateforme],$B280)="ROKS")),1,0),0))</f>
        <v>0</v>
      </c>
      <c r="E280" s="83" t="str">
        <f aca="false">IF($D280=1,EDATE(p_debut,$C280-1),"")</f>
        <v/>
      </c>
      <c r="F280" s="14" t="str">
        <f aca="false">IF($D280=1,INDEX(TblClusters[Cluster],$B280),"")</f>
        <v/>
      </c>
      <c r="G280" s="14" t="str">
        <f aca="false">IF($D280=1,INDEX(TblClusters[Plateforme],$B280),"")</f>
        <v/>
      </c>
      <c r="H280" s="14" t="str">
        <f aca="false">IF($D280=1,INDEX(TblClusters[vCPU par nœud],$B280),"")</f>
        <v/>
      </c>
      <c r="I280" s="14" t="str">
        <f aca="false">IF($D280=1,INDEX(TblClusters[RAM par nœud (Go)],$B280),"")</f>
        <v/>
      </c>
      <c r="J280" s="14" t="str">
        <f aca="false">IF($D280=1,INDEX(TblClusters[Workers min],$B280),"")</f>
        <v/>
      </c>
      <c r="K280" s="84" t="str">
        <f aca="false">IF($D280=1,INDEX(TblClusters[Tarif par nœud],$B280),"")</f>
        <v/>
      </c>
      <c r="L280" s="14" t="str">
        <f aca="false">IF($D280=1,INDEX(TblClusters[CPU initial (vCPU)],$B280),"")</f>
        <v/>
      </c>
      <c r="M280" s="14" t="str">
        <f aca="false">IF($D280=1,INDEX(TblClusters[RAM initiale (Go)],$B280),"")</f>
        <v/>
      </c>
      <c r="N280" s="14" t="str">
        <f aca="false">IF($D280=1,INDEX(TblClusters[CPU min (vCPU)],$B280),"")</f>
        <v/>
      </c>
      <c r="O280" s="14" t="str">
        <f aca="false">IF($D280=1,INDEX(TblClusters[RAM min (Go)],$B280),"")</f>
        <v/>
      </c>
      <c r="P280" s="14" t="str">
        <f aca="false">IF($D280&lt;&gt;1,"",IF($G280="ROKS",SUMIFS(TblApplications[Besoin ROKS CPU (vCPU)],TblApplications[Cluster ROKS cible],$F280,TblApplications[Action],"À migrer",TblApplications[Déjà incluse ROKS],"Non",TblApplications[Mois prov (calc)],"&lt;="&amp;$E280),SUMIFS(TblApplications[CPU IKS libérable (vCPU)],TblApplications[Cluster IKS source],$F280,TblApplications[Mois lib (calc)],"&lt;="&amp;$E280)))</f>
        <v/>
      </c>
      <c r="Q280" s="14" t="str">
        <f aca="false">IF($D280&lt;&gt;1,"",IF($G280="ROKS",SUMIFS(TblApplications[Besoin ROKS RAM (Go)],TblApplications[Cluster ROKS cible],$F280,TblApplications[Action],"À migrer",TblApplications[Déjà incluse ROKS],"Non",TblApplications[Mois prov (calc)],"&lt;="&amp;$E280),SUMIFS(TblApplications[RAM IKS libérable (Go)],TblApplications[Cluster IKS source],$F280,TblApplications[Mois lib (calc)],"&lt;="&amp;$E280)))</f>
        <v/>
      </c>
      <c r="R280" s="14" t="str">
        <f aca="false">IF($D280&lt;&gt;1,"",IF($G280="ROKS",$L280+$P280,IF($AI280=1,0,MAX($N280,$L280-$P280))))</f>
        <v/>
      </c>
      <c r="S280" s="14" t="str">
        <f aca="false">IF($D280&lt;&gt;1,"",IF($G280="ROKS",$M280+$Q280,IF($AI280=1,0,MAX($O280,$M280-$Q280))))</f>
        <v/>
      </c>
      <c r="T280" s="14" t="str">
        <f aca="false">IF($D280&lt;&gt;1,"",IF($AI280=1,0,MAX($J280,ROUNDUP(MAX($R280/$H280,$S280/$I280),0))))</f>
        <v/>
      </c>
      <c r="U280" s="14" t="str">
        <f aca="false">IF($D280&lt;&gt;1,"",IF(p_mode="Nœud",$T280*$H280,$R280))</f>
        <v/>
      </c>
      <c r="V280" s="14" t="str">
        <f aca="false">IF($D280&lt;&gt;1,"",IF(p_mode="Nœud",$T280*$I280,$S280))</f>
        <v/>
      </c>
      <c r="W280" s="84" t="str">
        <f aca="false">IF($D280&lt;&gt;1,"",IF(p_mode="Nœud",$T280*$K280,$R280*IF($G280="IKS",p_iks_cpu,p_roks_cpu)+$S280*IF($G280="IKS",p_iks_ram,p_roks_ram))*p_facteur)</f>
        <v/>
      </c>
      <c r="X280" s="14" t="str">
        <f aca="false">IF($D280&lt;&gt;1,"",IF($G280="ROKS",$R280,IF($AI280=1,0,MAX($N280,$L280-SUMIFS(TblApplications[CPU IKS libérable (vCPU)],TblApplications[Cluster IKS source],$F280,TblApplications[Action],"À migrer",TblApplications[Mois prov (calc)],"&lt;="&amp;$E280)-SUMIFS(TblApplications[CPU IKS libérable (vCPU)],TblApplications[Cluster IKS source],$F280,TblApplications[Action],"À décommissionner",TblApplications[Mois lib (calc)],"&lt;="&amp;$E280)))))</f>
        <v/>
      </c>
      <c r="Y280" s="14" t="str">
        <f aca="false">IF($D280&lt;&gt;1,"",IF($G280="ROKS",$S280,IF($AI280=1,0,MAX($O280,$M280-SUMIFS(TblApplications[RAM IKS libérable (Go)],TblApplications[Cluster IKS source],$F280,TblApplications[Action],"À migrer",TblApplications[Mois prov (calc)],"&lt;="&amp;$E280)-SUMIFS(TblApplications[RAM IKS libérable (Go)],TblApplications[Cluster IKS source],$F280,TblApplications[Action],"À décommissionner",TblApplications[Mois lib (calc)],"&lt;="&amp;$E280)))))</f>
        <v/>
      </c>
      <c r="Z280" s="14" t="str">
        <f aca="false">IF($D280&lt;&gt;1,"",IF($AI280=1,0,MAX($J280,ROUNDUP(MAX($X280/$H280,$Y280/$I280),0))))</f>
        <v/>
      </c>
      <c r="AA280" s="84" t="str">
        <f aca="false">IF($D280&lt;&gt;1,"",IF(p_mode="Nœud",$Z280*$K280,$X280*IF($G280="IKS",p_iks_cpu,p_roks_cpu)+$Y280*IF($G280="IKS",p_iks_ram,p_roks_ram))*p_facteur)</f>
        <v/>
      </c>
      <c r="AB280" s="14" t="str">
        <f aca="false">IF($D280&lt;&gt;1,"",MAX($J280,ROUNDUP(MAX($L280/$H280,$M280/$I280),0)))</f>
        <v/>
      </c>
      <c r="AC280" s="84" t="str">
        <f aca="false">IF($D280&lt;&gt;1,"",IF(p_mode="Nœud",$AB280*$K280,$L280*IF($G280="IKS",p_iks_cpu,p_roks_cpu)+$M280*IF($G280="IKS",p_iks_ram,p_roks_ram))*p_facteur)</f>
        <v/>
      </c>
      <c r="AD280" s="14" t="str">
        <f aca="false">IF($D280&lt;&gt;1,"",IF(AND($G280="IKS",$AI280&lt;&gt;1,OR($L280-$P280&lt;$N280,$M280-$Q280&lt;$O280)),1,0))</f>
        <v/>
      </c>
      <c r="AE280" s="14" t="str">
        <f aca="false">IF($D280&lt;&gt;1,"",IF(AND($G280="ROKS",$T280&gt;p_maxworkers),1,0))</f>
        <v/>
      </c>
      <c r="AF280" s="14" t="str">
        <f aca="false">IF($D280&lt;&gt;1,"",IF(INDEX(TblClusters[Environnement],$B280)="","(vide)",INDEX(TblClusters[Environnement],$B280)))</f>
        <v/>
      </c>
      <c r="AG280" s="14" t="str">
        <f aca="false">IF($D280&lt;&gt;1,"",$R280+p_poidsram*$S280)</f>
        <v/>
      </c>
      <c r="AH280" s="14" t="str">
        <f aca="false">IF($D280&lt;&gt;1,"",IFERROR($W280/$AG280,0))</f>
        <v/>
      </c>
      <c r="AI280" s="14" t="str">
        <f aca="false">IF($D280&lt;&gt;1,"",IF(AND($G280="IKS",ISNUMBER(INDEX(TblClusters[Fermeture retenue],$B280))),IF($E280&gt;=INDEX(TblClusters[Fermeture retenue],$B280),1,0),0))</f>
        <v/>
      </c>
    </row>
    <row r="281" customFormat="false" ht="15" hidden="false" customHeight="false" outlineLevel="0" collapsed="false">
      <c r="A281" s="14" t="n">
        <v>276</v>
      </c>
      <c r="B281" s="14" t="n">
        <f aca="false">INT(($A281-1)/36)+1</f>
        <v>8</v>
      </c>
      <c r="C281" s="14" t="n">
        <f aca="false">MOD($A281-1,36)+1</f>
        <v>24</v>
      </c>
      <c r="D281" s="14" t="n">
        <f aca="false">IF($C281&gt;p_horizon,0,IFERROR(IF(AND(INDEX(TblClusters[Cluster],$B281)&lt;&gt;"",ISNUMBER(INDEX(TblClusters[CPU initial (vCPU)],$B281)),ISNUMBER(INDEX(TblClusters[CPU min (vCPU)],$B281)),OR(INDEX(TblClusters[Plateforme],$B281)="IKS",INDEX(TblClusters[Plateforme],$B281)="ROKS")),1,0),0))</f>
        <v>0</v>
      </c>
      <c r="E281" s="83" t="str">
        <f aca="false">IF($D281=1,EDATE(p_debut,$C281-1),"")</f>
        <v/>
      </c>
      <c r="F281" s="14" t="str">
        <f aca="false">IF($D281=1,INDEX(TblClusters[Cluster],$B281),"")</f>
        <v/>
      </c>
      <c r="G281" s="14" t="str">
        <f aca="false">IF($D281=1,INDEX(TblClusters[Plateforme],$B281),"")</f>
        <v/>
      </c>
      <c r="H281" s="14" t="str">
        <f aca="false">IF($D281=1,INDEX(TblClusters[vCPU par nœud],$B281),"")</f>
        <v/>
      </c>
      <c r="I281" s="14" t="str">
        <f aca="false">IF($D281=1,INDEX(TblClusters[RAM par nœud (Go)],$B281),"")</f>
        <v/>
      </c>
      <c r="J281" s="14" t="str">
        <f aca="false">IF($D281=1,INDEX(TblClusters[Workers min],$B281),"")</f>
        <v/>
      </c>
      <c r="K281" s="84" t="str">
        <f aca="false">IF($D281=1,INDEX(TblClusters[Tarif par nœud],$B281),"")</f>
        <v/>
      </c>
      <c r="L281" s="14" t="str">
        <f aca="false">IF($D281=1,INDEX(TblClusters[CPU initial (vCPU)],$B281),"")</f>
        <v/>
      </c>
      <c r="M281" s="14" t="str">
        <f aca="false">IF($D281=1,INDEX(TblClusters[RAM initiale (Go)],$B281),"")</f>
        <v/>
      </c>
      <c r="N281" s="14" t="str">
        <f aca="false">IF($D281=1,INDEX(TblClusters[CPU min (vCPU)],$B281),"")</f>
        <v/>
      </c>
      <c r="O281" s="14" t="str">
        <f aca="false">IF($D281=1,INDEX(TblClusters[RAM min (Go)],$B281),"")</f>
        <v/>
      </c>
      <c r="P281" s="14" t="str">
        <f aca="false">IF($D281&lt;&gt;1,"",IF($G281="ROKS",SUMIFS(TblApplications[Besoin ROKS CPU (vCPU)],TblApplications[Cluster ROKS cible],$F281,TblApplications[Action],"À migrer",TblApplications[Déjà incluse ROKS],"Non",TblApplications[Mois prov (calc)],"&lt;="&amp;$E281),SUMIFS(TblApplications[CPU IKS libérable (vCPU)],TblApplications[Cluster IKS source],$F281,TblApplications[Mois lib (calc)],"&lt;="&amp;$E281)))</f>
        <v/>
      </c>
      <c r="Q281" s="14" t="str">
        <f aca="false">IF($D281&lt;&gt;1,"",IF($G281="ROKS",SUMIFS(TblApplications[Besoin ROKS RAM (Go)],TblApplications[Cluster ROKS cible],$F281,TblApplications[Action],"À migrer",TblApplications[Déjà incluse ROKS],"Non",TblApplications[Mois prov (calc)],"&lt;="&amp;$E281),SUMIFS(TblApplications[RAM IKS libérable (Go)],TblApplications[Cluster IKS source],$F281,TblApplications[Mois lib (calc)],"&lt;="&amp;$E281)))</f>
        <v/>
      </c>
      <c r="R281" s="14" t="str">
        <f aca="false">IF($D281&lt;&gt;1,"",IF($G281="ROKS",$L281+$P281,IF($AI281=1,0,MAX($N281,$L281-$P281))))</f>
        <v/>
      </c>
      <c r="S281" s="14" t="str">
        <f aca="false">IF($D281&lt;&gt;1,"",IF($G281="ROKS",$M281+$Q281,IF($AI281=1,0,MAX($O281,$M281-$Q281))))</f>
        <v/>
      </c>
      <c r="T281" s="14" t="str">
        <f aca="false">IF($D281&lt;&gt;1,"",IF($AI281=1,0,MAX($J281,ROUNDUP(MAX($R281/$H281,$S281/$I281),0))))</f>
        <v/>
      </c>
      <c r="U281" s="14" t="str">
        <f aca="false">IF($D281&lt;&gt;1,"",IF(p_mode="Nœud",$T281*$H281,$R281))</f>
        <v/>
      </c>
      <c r="V281" s="14" t="str">
        <f aca="false">IF($D281&lt;&gt;1,"",IF(p_mode="Nœud",$T281*$I281,$S281))</f>
        <v/>
      </c>
      <c r="W281" s="84" t="str">
        <f aca="false">IF($D281&lt;&gt;1,"",IF(p_mode="Nœud",$T281*$K281,$R281*IF($G281="IKS",p_iks_cpu,p_roks_cpu)+$S281*IF($G281="IKS",p_iks_ram,p_roks_ram))*p_facteur)</f>
        <v/>
      </c>
      <c r="X281" s="14" t="str">
        <f aca="false">IF($D281&lt;&gt;1,"",IF($G281="ROKS",$R281,IF($AI281=1,0,MAX($N281,$L281-SUMIFS(TblApplications[CPU IKS libérable (vCPU)],TblApplications[Cluster IKS source],$F281,TblApplications[Action],"À migrer",TblApplications[Mois prov (calc)],"&lt;="&amp;$E281)-SUMIFS(TblApplications[CPU IKS libérable (vCPU)],TblApplications[Cluster IKS source],$F281,TblApplications[Action],"À décommissionner",TblApplications[Mois lib (calc)],"&lt;="&amp;$E281)))))</f>
        <v/>
      </c>
      <c r="Y281" s="14" t="str">
        <f aca="false">IF($D281&lt;&gt;1,"",IF($G281="ROKS",$S281,IF($AI281=1,0,MAX($O281,$M281-SUMIFS(TblApplications[RAM IKS libérable (Go)],TblApplications[Cluster IKS source],$F281,TblApplications[Action],"À migrer",TblApplications[Mois prov (calc)],"&lt;="&amp;$E281)-SUMIFS(TblApplications[RAM IKS libérable (Go)],TblApplications[Cluster IKS source],$F281,TblApplications[Action],"À décommissionner",TblApplications[Mois lib (calc)],"&lt;="&amp;$E281)))))</f>
        <v/>
      </c>
      <c r="Z281" s="14" t="str">
        <f aca="false">IF($D281&lt;&gt;1,"",IF($AI281=1,0,MAX($J281,ROUNDUP(MAX($X281/$H281,$Y281/$I281),0))))</f>
        <v/>
      </c>
      <c r="AA281" s="84" t="str">
        <f aca="false">IF($D281&lt;&gt;1,"",IF(p_mode="Nœud",$Z281*$K281,$X281*IF($G281="IKS",p_iks_cpu,p_roks_cpu)+$Y281*IF($G281="IKS",p_iks_ram,p_roks_ram))*p_facteur)</f>
        <v/>
      </c>
      <c r="AB281" s="14" t="str">
        <f aca="false">IF($D281&lt;&gt;1,"",MAX($J281,ROUNDUP(MAX($L281/$H281,$M281/$I281),0)))</f>
        <v/>
      </c>
      <c r="AC281" s="84" t="str">
        <f aca="false">IF($D281&lt;&gt;1,"",IF(p_mode="Nœud",$AB281*$K281,$L281*IF($G281="IKS",p_iks_cpu,p_roks_cpu)+$M281*IF($G281="IKS",p_iks_ram,p_roks_ram))*p_facteur)</f>
        <v/>
      </c>
      <c r="AD281" s="14" t="str">
        <f aca="false">IF($D281&lt;&gt;1,"",IF(AND($G281="IKS",$AI281&lt;&gt;1,OR($L281-$P281&lt;$N281,$M281-$Q281&lt;$O281)),1,0))</f>
        <v/>
      </c>
      <c r="AE281" s="14" t="str">
        <f aca="false">IF($D281&lt;&gt;1,"",IF(AND($G281="ROKS",$T281&gt;p_maxworkers),1,0))</f>
        <v/>
      </c>
      <c r="AF281" s="14" t="str">
        <f aca="false">IF($D281&lt;&gt;1,"",IF(INDEX(TblClusters[Environnement],$B281)="","(vide)",INDEX(TblClusters[Environnement],$B281)))</f>
        <v/>
      </c>
      <c r="AG281" s="14" t="str">
        <f aca="false">IF($D281&lt;&gt;1,"",$R281+p_poidsram*$S281)</f>
        <v/>
      </c>
      <c r="AH281" s="14" t="str">
        <f aca="false">IF($D281&lt;&gt;1,"",IFERROR($W281/$AG281,0))</f>
        <v/>
      </c>
      <c r="AI281" s="14" t="str">
        <f aca="false">IF($D281&lt;&gt;1,"",IF(AND($G281="IKS",ISNUMBER(INDEX(TblClusters[Fermeture retenue],$B281))),IF($E281&gt;=INDEX(TblClusters[Fermeture retenue],$B281),1,0),0))</f>
        <v/>
      </c>
    </row>
    <row r="282" customFormat="false" ht="15" hidden="false" customHeight="false" outlineLevel="0" collapsed="false">
      <c r="A282" s="14" t="n">
        <v>277</v>
      </c>
      <c r="B282" s="14" t="n">
        <f aca="false">INT(($A282-1)/36)+1</f>
        <v>8</v>
      </c>
      <c r="C282" s="14" t="n">
        <f aca="false">MOD($A282-1,36)+1</f>
        <v>25</v>
      </c>
      <c r="D282" s="14" t="n">
        <f aca="false">IF($C282&gt;p_horizon,0,IFERROR(IF(AND(INDEX(TblClusters[Cluster],$B282)&lt;&gt;"",ISNUMBER(INDEX(TblClusters[CPU initial (vCPU)],$B282)),ISNUMBER(INDEX(TblClusters[CPU min (vCPU)],$B282)),OR(INDEX(TblClusters[Plateforme],$B282)="IKS",INDEX(TblClusters[Plateforme],$B282)="ROKS")),1,0),0))</f>
        <v>0</v>
      </c>
      <c r="E282" s="83" t="str">
        <f aca="false">IF($D282=1,EDATE(p_debut,$C282-1),"")</f>
        <v/>
      </c>
      <c r="F282" s="14" t="str">
        <f aca="false">IF($D282=1,INDEX(TblClusters[Cluster],$B282),"")</f>
        <v/>
      </c>
      <c r="G282" s="14" t="str">
        <f aca="false">IF($D282=1,INDEX(TblClusters[Plateforme],$B282),"")</f>
        <v/>
      </c>
      <c r="H282" s="14" t="str">
        <f aca="false">IF($D282=1,INDEX(TblClusters[vCPU par nœud],$B282),"")</f>
        <v/>
      </c>
      <c r="I282" s="14" t="str">
        <f aca="false">IF($D282=1,INDEX(TblClusters[RAM par nœud (Go)],$B282),"")</f>
        <v/>
      </c>
      <c r="J282" s="14" t="str">
        <f aca="false">IF($D282=1,INDEX(TblClusters[Workers min],$B282),"")</f>
        <v/>
      </c>
      <c r="K282" s="84" t="str">
        <f aca="false">IF($D282=1,INDEX(TblClusters[Tarif par nœud],$B282),"")</f>
        <v/>
      </c>
      <c r="L282" s="14" t="str">
        <f aca="false">IF($D282=1,INDEX(TblClusters[CPU initial (vCPU)],$B282),"")</f>
        <v/>
      </c>
      <c r="M282" s="14" t="str">
        <f aca="false">IF($D282=1,INDEX(TblClusters[RAM initiale (Go)],$B282),"")</f>
        <v/>
      </c>
      <c r="N282" s="14" t="str">
        <f aca="false">IF($D282=1,INDEX(TblClusters[CPU min (vCPU)],$B282),"")</f>
        <v/>
      </c>
      <c r="O282" s="14" t="str">
        <f aca="false">IF($D282=1,INDEX(TblClusters[RAM min (Go)],$B282),"")</f>
        <v/>
      </c>
      <c r="P282" s="14" t="str">
        <f aca="false">IF($D282&lt;&gt;1,"",IF($G282="ROKS",SUMIFS(TblApplications[Besoin ROKS CPU (vCPU)],TblApplications[Cluster ROKS cible],$F282,TblApplications[Action],"À migrer",TblApplications[Déjà incluse ROKS],"Non",TblApplications[Mois prov (calc)],"&lt;="&amp;$E282),SUMIFS(TblApplications[CPU IKS libérable (vCPU)],TblApplications[Cluster IKS source],$F282,TblApplications[Mois lib (calc)],"&lt;="&amp;$E282)))</f>
        <v/>
      </c>
      <c r="Q282" s="14" t="str">
        <f aca="false">IF($D282&lt;&gt;1,"",IF($G282="ROKS",SUMIFS(TblApplications[Besoin ROKS RAM (Go)],TblApplications[Cluster ROKS cible],$F282,TblApplications[Action],"À migrer",TblApplications[Déjà incluse ROKS],"Non",TblApplications[Mois prov (calc)],"&lt;="&amp;$E282),SUMIFS(TblApplications[RAM IKS libérable (Go)],TblApplications[Cluster IKS source],$F282,TblApplications[Mois lib (calc)],"&lt;="&amp;$E282)))</f>
        <v/>
      </c>
      <c r="R282" s="14" t="str">
        <f aca="false">IF($D282&lt;&gt;1,"",IF($G282="ROKS",$L282+$P282,IF($AI282=1,0,MAX($N282,$L282-$P282))))</f>
        <v/>
      </c>
      <c r="S282" s="14" t="str">
        <f aca="false">IF($D282&lt;&gt;1,"",IF($G282="ROKS",$M282+$Q282,IF($AI282=1,0,MAX($O282,$M282-$Q282))))</f>
        <v/>
      </c>
      <c r="T282" s="14" t="str">
        <f aca="false">IF($D282&lt;&gt;1,"",IF($AI282=1,0,MAX($J282,ROUNDUP(MAX($R282/$H282,$S282/$I282),0))))</f>
        <v/>
      </c>
      <c r="U282" s="14" t="str">
        <f aca="false">IF($D282&lt;&gt;1,"",IF(p_mode="Nœud",$T282*$H282,$R282))</f>
        <v/>
      </c>
      <c r="V282" s="14" t="str">
        <f aca="false">IF($D282&lt;&gt;1,"",IF(p_mode="Nœud",$T282*$I282,$S282))</f>
        <v/>
      </c>
      <c r="W282" s="84" t="str">
        <f aca="false">IF($D282&lt;&gt;1,"",IF(p_mode="Nœud",$T282*$K282,$R282*IF($G282="IKS",p_iks_cpu,p_roks_cpu)+$S282*IF($G282="IKS",p_iks_ram,p_roks_ram))*p_facteur)</f>
        <v/>
      </c>
      <c r="X282" s="14" t="str">
        <f aca="false">IF($D282&lt;&gt;1,"",IF($G282="ROKS",$R282,IF($AI282=1,0,MAX($N282,$L282-SUMIFS(TblApplications[CPU IKS libérable (vCPU)],TblApplications[Cluster IKS source],$F282,TblApplications[Action],"À migrer",TblApplications[Mois prov (calc)],"&lt;="&amp;$E282)-SUMIFS(TblApplications[CPU IKS libérable (vCPU)],TblApplications[Cluster IKS source],$F282,TblApplications[Action],"À décommissionner",TblApplications[Mois lib (calc)],"&lt;="&amp;$E282)))))</f>
        <v/>
      </c>
      <c r="Y282" s="14" t="str">
        <f aca="false">IF($D282&lt;&gt;1,"",IF($G282="ROKS",$S282,IF($AI282=1,0,MAX($O282,$M282-SUMIFS(TblApplications[RAM IKS libérable (Go)],TblApplications[Cluster IKS source],$F282,TblApplications[Action],"À migrer",TblApplications[Mois prov (calc)],"&lt;="&amp;$E282)-SUMIFS(TblApplications[RAM IKS libérable (Go)],TblApplications[Cluster IKS source],$F282,TblApplications[Action],"À décommissionner",TblApplications[Mois lib (calc)],"&lt;="&amp;$E282)))))</f>
        <v/>
      </c>
      <c r="Z282" s="14" t="str">
        <f aca="false">IF($D282&lt;&gt;1,"",IF($AI282=1,0,MAX($J282,ROUNDUP(MAX($X282/$H282,$Y282/$I282),0))))</f>
        <v/>
      </c>
      <c r="AA282" s="84" t="str">
        <f aca="false">IF($D282&lt;&gt;1,"",IF(p_mode="Nœud",$Z282*$K282,$X282*IF($G282="IKS",p_iks_cpu,p_roks_cpu)+$Y282*IF($G282="IKS",p_iks_ram,p_roks_ram))*p_facteur)</f>
        <v/>
      </c>
      <c r="AB282" s="14" t="str">
        <f aca="false">IF($D282&lt;&gt;1,"",MAX($J282,ROUNDUP(MAX($L282/$H282,$M282/$I282),0)))</f>
        <v/>
      </c>
      <c r="AC282" s="84" t="str">
        <f aca="false">IF($D282&lt;&gt;1,"",IF(p_mode="Nœud",$AB282*$K282,$L282*IF($G282="IKS",p_iks_cpu,p_roks_cpu)+$M282*IF($G282="IKS",p_iks_ram,p_roks_ram))*p_facteur)</f>
        <v/>
      </c>
      <c r="AD282" s="14" t="str">
        <f aca="false">IF($D282&lt;&gt;1,"",IF(AND($G282="IKS",$AI282&lt;&gt;1,OR($L282-$P282&lt;$N282,$M282-$Q282&lt;$O282)),1,0))</f>
        <v/>
      </c>
      <c r="AE282" s="14" t="str">
        <f aca="false">IF($D282&lt;&gt;1,"",IF(AND($G282="ROKS",$T282&gt;p_maxworkers),1,0))</f>
        <v/>
      </c>
      <c r="AF282" s="14" t="str">
        <f aca="false">IF($D282&lt;&gt;1,"",IF(INDEX(TblClusters[Environnement],$B282)="","(vide)",INDEX(TblClusters[Environnement],$B282)))</f>
        <v/>
      </c>
      <c r="AG282" s="14" t="str">
        <f aca="false">IF($D282&lt;&gt;1,"",$R282+p_poidsram*$S282)</f>
        <v/>
      </c>
      <c r="AH282" s="14" t="str">
        <f aca="false">IF($D282&lt;&gt;1,"",IFERROR($W282/$AG282,0))</f>
        <v/>
      </c>
      <c r="AI282" s="14" t="str">
        <f aca="false">IF($D282&lt;&gt;1,"",IF(AND($G282="IKS",ISNUMBER(INDEX(TblClusters[Fermeture retenue],$B282))),IF($E282&gt;=INDEX(TblClusters[Fermeture retenue],$B282),1,0),0))</f>
        <v/>
      </c>
    </row>
    <row r="283" customFormat="false" ht="15" hidden="false" customHeight="false" outlineLevel="0" collapsed="false">
      <c r="A283" s="14" t="n">
        <v>278</v>
      </c>
      <c r="B283" s="14" t="n">
        <f aca="false">INT(($A283-1)/36)+1</f>
        <v>8</v>
      </c>
      <c r="C283" s="14" t="n">
        <f aca="false">MOD($A283-1,36)+1</f>
        <v>26</v>
      </c>
      <c r="D283" s="14" t="n">
        <f aca="false">IF($C283&gt;p_horizon,0,IFERROR(IF(AND(INDEX(TblClusters[Cluster],$B283)&lt;&gt;"",ISNUMBER(INDEX(TblClusters[CPU initial (vCPU)],$B283)),ISNUMBER(INDEX(TblClusters[CPU min (vCPU)],$B283)),OR(INDEX(TblClusters[Plateforme],$B283)="IKS",INDEX(TblClusters[Plateforme],$B283)="ROKS")),1,0),0))</f>
        <v>0</v>
      </c>
      <c r="E283" s="83" t="str">
        <f aca="false">IF($D283=1,EDATE(p_debut,$C283-1),"")</f>
        <v/>
      </c>
      <c r="F283" s="14" t="str">
        <f aca="false">IF($D283=1,INDEX(TblClusters[Cluster],$B283),"")</f>
        <v/>
      </c>
      <c r="G283" s="14" t="str">
        <f aca="false">IF($D283=1,INDEX(TblClusters[Plateforme],$B283),"")</f>
        <v/>
      </c>
      <c r="H283" s="14" t="str">
        <f aca="false">IF($D283=1,INDEX(TblClusters[vCPU par nœud],$B283),"")</f>
        <v/>
      </c>
      <c r="I283" s="14" t="str">
        <f aca="false">IF($D283=1,INDEX(TblClusters[RAM par nœud (Go)],$B283),"")</f>
        <v/>
      </c>
      <c r="J283" s="14" t="str">
        <f aca="false">IF($D283=1,INDEX(TblClusters[Workers min],$B283),"")</f>
        <v/>
      </c>
      <c r="K283" s="84" t="str">
        <f aca="false">IF($D283=1,INDEX(TblClusters[Tarif par nœud],$B283),"")</f>
        <v/>
      </c>
      <c r="L283" s="14" t="str">
        <f aca="false">IF($D283=1,INDEX(TblClusters[CPU initial (vCPU)],$B283),"")</f>
        <v/>
      </c>
      <c r="M283" s="14" t="str">
        <f aca="false">IF($D283=1,INDEX(TblClusters[RAM initiale (Go)],$B283),"")</f>
        <v/>
      </c>
      <c r="N283" s="14" t="str">
        <f aca="false">IF($D283=1,INDEX(TblClusters[CPU min (vCPU)],$B283),"")</f>
        <v/>
      </c>
      <c r="O283" s="14" t="str">
        <f aca="false">IF($D283=1,INDEX(TblClusters[RAM min (Go)],$B283),"")</f>
        <v/>
      </c>
      <c r="P283" s="14" t="str">
        <f aca="false">IF($D283&lt;&gt;1,"",IF($G283="ROKS",SUMIFS(TblApplications[Besoin ROKS CPU (vCPU)],TblApplications[Cluster ROKS cible],$F283,TblApplications[Action],"À migrer",TblApplications[Déjà incluse ROKS],"Non",TblApplications[Mois prov (calc)],"&lt;="&amp;$E283),SUMIFS(TblApplications[CPU IKS libérable (vCPU)],TblApplications[Cluster IKS source],$F283,TblApplications[Mois lib (calc)],"&lt;="&amp;$E283)))</f>
        <v/>
      </c>
      <c r="Q283" s="14" t="str">
        <f aca="false">IF($D283&lt;&gt;1,"",IF($G283="ROKS",SUMIFS(TblApplications[Besoin ROKS RAM (Go)],TblApplications[Cluster ROKS cible],$F283,TblApplications[Action],"À migrer",TblApplications[Déjà incluse ROKS],"Non",TblApplications[Mois prov (calc)],"&lt;="&amp;$E283),SUMIFS(TblApplications[RAM IKS libérable (Go)],TblApplications[Cluster IKS source],$F283,TblApplications[Mois lib (calc)],"&lt;="&amp;$E283)))</f>
        <v/>
      </c>
      <c r="R283" s="14" t="str">
        <f aca="false">IF($D283&lt;&gt;1,"",IF($G283="ROKS",$L283+$P283,IF($AI283=1,0,MAX($N283,$L283-$P283))))</f>
        <v/>
      </c>
      <c r="S283" s="14" t="str">
        <f aca="false">IF($D283&lt;&gt;1,"",IF($G283="ROKS",$M283+$Q283,IF($AI283=1,0,MAX($O283,$M283-$Q283))))</f>
        <v/>
      </c>
      <c r="T283" s="14" t="str">
        <f aca="false">IF($D283&lt;&gt;1,"",IF($AI283=1,0,MAX($J283,ROUNDUP(MAX($R283/$H283,$S283/$I283),0))))</f>
        <v/>
      </c>
      <c r="U283" s="14" t="str">
        <f aca="false">IF($D283&lt;&gt;1,"",IF(p_mode="Nœud",$T283*$H283,$R283))</f>
        <v/>
      </c>
      <c r="V283" s="14" t="str">
        <f aca="false">IF($D283&lt;&gt;1,"",IF(p_mode="Nœud",$T283*$I283,$S283))</f>
        <v/>
      </c>
      <c r="W283" s="84" t="str">
        <f aca="false">IF($D283&lt;&gt;1,"",IF(p_mode="Nœud",$T283*$K283,$R283*IF($G283="IKS",p_iks_cpu,p_roks_cpu)+$S283*IF($G283="IKS",p_iks_ram,p_roks_ram))*p_facteur)</f>
        <v/>
      </c>
      <c r="X283" s="14" t="str">
        <f aca="false">IF($D283&lt;&gt;1,"",IF($G283="ROKS",$R283,IF($AI283=1,0,MAX($N283,$L283-SUMIFS(TblApplications[CPU IKS libérable (vCPU)],TblApplications[Cluster IKS source],$F283,TblApplications[Action],"À migrer",TblApplications[Mois prov (calc)],"&lt;="&amp;$E283)-SUMIFS(TblApplications[CPU IKS libérable (vCPU)],TblApplications[Cluster IKS source],$F283,TblApplications[Action],"À décommissionner",TblApplications[Mois lib (calc)],"&lt;="&amp;$E283)))))</f>
        <v/>
      </c>
      <c r="Y283" s="14" t="str">
        <f aca="false">IF($D283&lt;&gt;1,"",IF($G283="ROKS",$S283,IF($AI283=1,0,MAX($O283,$M283-SUMIFS(TblApplications[RAM IKS libérable (Go)],TblApplications[Cluster IKS source],$F283,TblApplications[Action],"À migrer",TblApplications[Mois prov (calc)],"&lt;="&amp;$E283)-SUMIFS(TblApplications[RAM IKS libérable (Go)],TblApplications[Cluster IKS source],$F283,TblApplications[Action],"À décommissionner",TblApplications[Mois lib (calc)],"&lt;="&amp;$E283)))))</f>
        <v/>
      </c>
      <c r="Z283" s="14" t="str">
        <f aca="false">IF($D283&lt;&gt;1,"",IF($AI283=1,0,MAX($J283,ROUNDUP(MAX($X283/$H283,$Y283/$I283),0))))</f>
        <v/>
      </c>
      <c r="AA283" s="84" t="str">
        <f aca="false">IF($D283&lt;&gt;1,"",IF(p_mode="Nœud",$Z283*$K283,$X283*IF($G283="IKS",p_iks_cpu,p_roks_cpu)+$Y283*IF($G283="IKS",p_iks_ram,p_roks_ram))*p_facteur)</f>
        <v/>
      </c>
      <c r="AB283" s="14" t="str">
        <f aca="false">IF($D283&lt;&gt;1,"",MAX($J283,ROUNDUP(MAX($L283/$H283,$M283/$I283),0)))</f>
        <v/>
      </c>
      <c r="AC283" s="84" t="str">
        <f aca="false">IF($D283&lt;&gt;1,"",IF(p_mode="Nœud",$AB283*$K283,$L283*IF($G283="IKS",p_iks_cpu,p_roks_cpu)+$M283*IF($G283="IKS",p_iks_ram,p_roks_ram))*p_facteur)</f>
        <v/>
      </c>
      <c r="AD283" s="14" t="str">
        <f aca="false">IF($D283&lt;&gt;1,"",IF(AND($G283="IKS",$AI283&lt;&gt;1,OR($L283-$P283&lt;$N283,$M283-$Q283&lt;$O283)),1,0))</f>
        <v/>
      </c>
      <c r="AE283" s="14" t="str">
        <f aca="false">IF($D283&lt;&gt;1,"",IF(AND($G283="ROKS",$T283&gt;p_maxworkers),1,0))</f>
        <v/>
      </c>
      <c r="AF283" s="14" t="str">
        <f aca="false">IF($D283&lt;&gt;1,"",IF(INDEX(TblClusters[Environnement],$B283)="","(vide)",INDEX(TblClusters[Environnement],$B283)))</f>
        <v/>
      </c>
      <c r="AG283" s="14" t="str">
        <f aca="false">IF($D283&lt;&gt;1,"",$R283+p_poidsram*$S283)</f>
        <v/>
      </c>
      <c r="AH283" s="14" t="str">
        <f aca="false">IF($D283&lt;&gt;1,"",IFERROR($W283/$AG283,0))</f>
        <v/>
      </c>
      <c r="AI283" s="14" t="str">
        <f aca="false">IF($D283&lt;&gt;1,"",IF(AND($G283="IKS",ISNUMBER(INDEX(TblClusters[Fermeture retenue],$B283))),IF($E283&gt;=INDEX(TblClusters[Fermeture retenue],$B283),1,0),0))</f>
        <v/>
      </c>
    </row>
    <row r="284" customFormat="false" ht="15" hidden="false" customHeight="false" outlineLevel="0" collapsed="false">
      <c r="A284" s="14" t="n">
        <v>279</v>
      </c>
      <c r="B284" s="14" t="n">
        <f aca="false">INT(($A284-1)/36)+1</f>
        <v>8</v>
      </c>
      <c r="C284" s="14" t="n">
        <f aca="false">MOD($A284-1,36)+1</f>
        <v>27</v>
      </c>
      <c r="D284" s="14" t="n">
        <f aca="false">IF($C284&gt;p_horizon,0,IFERROR(IF(AND(INDEX(TblClusters[Cluster],$B284)&lt;&gt;"",ISNUMBER(INDEX(TblClusters[CPU initial (vCPU)],$B284)),ISNUMBER(INDEX(TblClusters[CPU min (vCPU)],$B284)),OR(INDEX(TblClusters[Plateforme],$B284)="IKS",INDEX(TblClusters[Plateforme],$B284)="ROKS")),1,0),0))</f>
        <v>0</v>
      </c>
      <c r="E284" s="83" t="str">
        <f aca="false">IF($D284=1,EDATE(p_debut,$C284-1),"")</f>
        <v/>
      </c>
      <c r="F284" s="14" t="str">
        <f aca="false">IF($D284=1,INDEX(TblClusters[Cluster],$B284),"")</f>
        <v/>
      </c>
      <c r="G284" s="14" t="str">
        <f aca="false">IF($D284=1,INDEX(TblClusters[Plateforme],$B284),"")</f>
        <v/>
      </c>
      <c r="H284" s="14" t="str">
        <f aca="false">IF($D284=1,INDEX(TblClusters[vCPU par nœud],$B284),"")</f>
        <v/>
      </c>
      <c r="I284" s="14" t="str">
        <f aca="false">IF($D284=1,INDEX(TblClusters[RAM par nœud (Go)],$B284),"")</f>
        <v/>
      </c>
      <c r="J284" s="14" t="str">
        <f aca="false">IF($D284=1,INDEX(TblClusters[Workers min],$B284),"")</f>
        <v/>
      </c>
      <c r="K284" s="84" t="str">
        <f aca="false">IF($D284=1,INDEX(TblClusters[Tarif par nœud],$B284),"")</f>
        <v/>
      </c>
      <c r="L284" s="14" t="str">
        <f aca="false">IF($D284=1,INDEX(TblClusters[CPU initial (vCPU)],$B284),"")</f>
        <v/>
      </c>
      <c r="M284" s="14" t="str">
        <f aca="false">IF($D284=1,INDEX(TblClusters[RAM initiale (Go)],$B284),"")</f>
        <v/>
      </c>
      <c r="N284" s="14" t="str">
        <f aca="false">IF($D284=1,INDEX(TblClusters[CPU min (vCPU)],$B284),"")</f>
        <v/>
      </c>
      <c r="O284" s="14" t="str">
        <f aca="false">IF($D284=1,INDEX(TblClusters[RAM min (Go)],$B284),"")</f>
        <v/>
      </c>
      <c r="P284" s="14" t="str">
        <f aca="false">IF($D284&lt;&gt;1,"",IF($G284="ROKS",SUMIFS(TblApplications[Besoin ROKS CPU (vCPU)],TblApplications[Cluster ROKS cible],$F284,TblApplications[Action],"À migrer",TblApplications[Déjà incluse ROKS],"Non",TblApplications[Mois prov (calc)],"&lt;="&amp;$E284),SUMIFS(TblApplications[CPU IKS libérable (vCPU)],TblApplications[Cluster IKS source],$F284,TblApplications[Mois lib (calc)],"&lt;="&amp;$E284)))</f>
        <v/>
      </c>
      <c r="Q284" s="14" t="str">
        <f aca="false">IF($D284&lt;&gt;1,"",IF($G284="ROKS",SUMIFS(TblApplications[Besoin ROKS RAM (Go)],TblApplications[Cluster ROKS cible],$F284,TblApplications[Action],"À migrer",TblApplications[Déjà incluse ROKS],"Non",TblApplications[Mois prov (calc)],"&lt;="&amp;$E284),SUMIFS(TblApplications[RAM IKS libérable (Go)],TblApplications[Cluster IKS source],$F284,TblApplications[Mois lib (calc)],"&lt;="&amp;$E284)))</f>
        <v/>
      </c>
      <c r="R284" s="14" t="str">
        <f aca="false">IF($D284&lt;&gt;1,"",IF($G284="ROKS",$L284+$P284,IF($AI284=1,0,MAX($N284,$L284-$P284))))</f>
        <v/>
      </c>
      <c r="S284" s="14" t="str">
        <f aca="false">IF($D284&lt;&gt;1,"",IF($G284="ROKS",$M284+$Q284,IF($AI284=1,0,MAX($O284,$M284-$Q284))))</f>
        <v/>
      </c>
      <c r="T284" s="14" t="str">
        <f aca="false">IF($D284&lt;&gt;1,"",IF($AI284=1,0,MAX($J284,ROUNDUP(MAX($R284/$H284,$S284/$I284),0))))</f>
        <v/>
      </c>
      <c r="U284" s="14" t="str">
        <f aca="false">IF($D284&lt;&gt;1,"",IF(p_mode="Nœud",$T284*$H284,$R284))</f>
        <v/>
      </c>
      <c r="V284" s="14" t="str">
        <f aca="false">IF($D284&lt;&gt;1,"",IF(p_mode="Nœud",$T284*$I284,$S284))</f>
        <v/>
      </c>
      <c r="W284" s="84" t="str">
        <f aca="false">IF($D284&lt;&gt;1,"",IF(p_mode="Nœud",$T284*$K284,$R284*IF($G284="IKS",p_iks_cpu,p_roks_cpu)+$S284*IF($G284="IKS",p_iks_ram,p_roks_ram))*p_facteur)</f>
        <v/>
      </c>
      <c r="X284" s="14" t="str">
        <f aca="false">IF($D284&lt;&gt;1,"",IF($G284="ROKS",$R284,IF($AI284=1,0,MAX($N284,$L284-SUMIFS(TblApplications[CPU IKS libérable (vCPU)],TblApplications[Cluster IKS source],$F284,TblApplications[Action],"À migrer",TblApplications[Mois prov (calc)],"&lt;="&amp;$E284)-SUMIFS(TblApplications[CPU IKS libérable (vCPU)],TblApplications[Cluster IKS source],$F284,TblApplications[Action],"À décommissionner",TblApplications[Mois lib (calc)],"&lt;="&amp;$E284)))))</f>
        <v/>
      </c>
      <c r="Y284" s="14" t="str">
        <f aca="false">IF($D284&lt;&gt;1,"",IF($G284="ROKS",$S284,IF($AI284=1,0,MAX($O284,$M284-SUMIFS(TblApplications[RAM IKS libérable (Go)],TblApplications[Cluster IKS source],$F284,TblApplications[Action],"À migrer",TblApplications[Mois prov (calc)],"&lt;="&amp;$E284)-SUMIFS(TblApplications[RAM IKS libérable (Go)],TblApplications[Cluster IKS source],$F284,TblApplications[Action],"À décommissionner",TblApplications[Mois lib (calc)],"&lt;="&amp;$E284)))))</f>
        <v/>
      </c>
      <c r="Z284" s="14" t="str">
        <f aca="false">IF($D284&lt;&gt;1,"",IF($AI284=1,0,MAX($J284,ROUNDUP(MAX($X284/$H284,$Y284/$I284),0))))</f>
        <v/>
      </c>
      <c r="AA284" s="84" t="str">
        <f aca="false">IF($D284&lt;&gt;1,"",IF(p_mode="Nœud",$Z284*$K284,$X284*IF($G284="IKS",p_iks_cpu,p_roks_cpu)+$Y284*IF($G284="IKS",p_iks_ram,p_roks_ram))*p_facteur)</f>
        <v/>
      </c>
      <c r="AB284" s="14" t="str">
        <f aca="false">IF($D284&lt;&gt;1,"",MAX($J284,ROUNDUP(MAX($L284/$H284,$M284/$I284),0)))</f>
        <v/>
      </c>
      <c r="AC284" s="84" t="str">
        <f aca="false">IF($D284&lt;&gt;1,"",IF(p_mode="Nœud",$AB284*$K284,$L284*IF($G284="IKS",p_iks_cpu,p_roks_cpu)+$M284*IF($G284="IKS",p_iks_ram,p_roks_ram))*p_facteur)</f>
        <v/>
      </c>
      <c r="AD284" s="14" t="str">
        <f aca="false">IF($D284&lt;&gt;1,"",IF(AND($G284="IKS",$AI284&lt;&gt;1,OR($L284-$P284&lt;$N284,$M284-$Q284&lt;$O284)),1,0))</f>
        <v/>
      </c>
      <c r="AE284" s="14" t="str">
        <f aca="false">IF($D284&lt;&gt;1,"",IF(AND($G284="ROKS",$T284&gt;p_maxworkers),1,0))</f>
        <v/>
      </c>
      <c r="AF284" s="14" t="str">
        <f aca="false">IF($D284&lt;&gt;1,"",IF(INDEX(TblClusters[Environnement],$B284)="","(vide)",INDEX(TblClusters[Environnement],$B284)))</f>
        <v/>
      </c>
      <c r="AG284" s="14" t="str">
        <f aca="false">IF($D284&lt;&gt;1,"",$R284+p_poidsram*$S284)</f>
        <v/>
      </c>
      <c r="AH284" s="14" t="str">
        <f aca="false">IF($D284&lt;&gt;1,"",IFERROR($W284/$AG284,0))</f>
        <v/>
      </c>
      <c r="AI284" s="14" t="str">
        <f aca="false">IF($D284&lt;&gt;1,"",IF(AND($G284="IKS",ISNUMBER(INDEX(TblClusters[Fermeture retenue],$B284))),IF($E284&gt;=INDEX(TblClusters[Fermeture retenue],$B284),1,0),0))</f>
        <v/>
      </c>
    </row>
    <row r="285" customFormat="false" ht="15" hidden="false" customHeight="false" outlineLevel="0" collapsed="false">
      <c r="A285" s="14" t="n">
        <v>280</v>
      </c>
      <c r="B285" s="14" t="n">
        <f aca="false">INT(($A285-1)/36)+1</f>
        <v>8</v>
      </c>
      <c r="C285" s="14" t="n">
        <f aca="false">MOD($A285-1,36)+1</f>
        <v>28</v>
      </c>
      <c r="D285" s="14" t="n">
        <f aca="false">IF($C285&gt;p_horizon,0,IFERROR(IF(AND(INDEX(TblClusters[Cluster],$B285)&lt;&gt;"",ISNUMBER(INDEX(TblClusters[CPU initial (vCPU)],$B285)),ISNUMBER(INDEX(TblClusters[CPU min (vCPU)],$B285)),OR(INDEX(TblClusters[Plateforme],$B285)="IKS",INDEX(TblClusters[Plateforme],$B285)="ROKS")),1,0),0))</f>
        <v>0</v>
      </c>
      <c r="E285" s="83" t="str">
        <f aca="false">IF($D285=1,EDATE(p_debut,$C285-1),"")</f>
        <v/>
      </c>
      <c r="F285" s="14" t="str">
        <f aca="false">IF($D285=1,INDEX(TblClusters[Cluster],$B285),"")</f>
        <v/>
      </c>
      <c r="G285" s="14" t="str">
        <f aca="false">IF($D285=1,INDEX(TblClusters[Plateforme],$B285),"")</f>
        <v/>
      </c>
      <c r="H285" s="14" t="str">
        <f aca="false">IF($D285=1,INDEX(TblClusters[vCPU par nœud],$B285),"")</f>
        <v/>
      </c>
      <c r="I285" s="14" t="str">
        <f aca="false">IF($D285=1,INDEX(TblClusters[RAM par nœud (Go)],$B285),"")</f>
        <v/>
      </c>
      <c r="J285" s="14" t="str">
        <f aca="false">IF($D285=1,INDEX(TblClusters[Workers min],$B285),"")</f>
        <v/>
      </c>
      <c r="K285" s="84" t="str">
        <f aca="false">IF($D285=1,INDEX(TblClusters[Tarif par nœud],$B285),"")</f>
        <v/>
      </c>
      <c r="L285" s="14" t="str">
        <f aca="false">IF($D285=1,INDEX(TblClusters[CPU initial (vCPU)],$B285),"")</f>
        <v/>
      </c>
      <c r="M285" s="14" t="str">
        <f aca="false">IF($D285=1,INDEX(TblClusters[RAM initiale (Go)],$B285),"")</f>
        <v/>
      </c>
      <c r="N285" s="14" t="str">
        <f aca="false">IF($D285=1,INDEX(TblClusters[CPU min (vCPU)],$B285),"")</f>
        <v/>
      </c>
      <c r="O285" s="14" t="str">
        <f aca="false">IF($D285=1,INDEX(TblClusters[RAM min (Go)],$B285),"")</f>
        <v/>
      </c>
      <c r="P285" s="14" t="str">
        <f aca="false">IF($D285&lt;&gt;1,"",IF($G285="ROKS",SUMIFS(TblApplications[Besoin ROKS CPU (vCPU)],TblApplications[Cluster ROKS cible],$F285,TblApplications[Action],"À migrer",TblApplications[Déjà incluse ROKS],"Non",TblApplications[Mois prov (calc)],"&lt;="&amp;$E285),SUMIFS(TblApplications[CPU IKS libérable (vCPU)],TblApplications[Cluster IKS source],$F285,TblApplications[Mois lib (calc)],"&lt;="&amp;$E285)))</f>
        <v/>
      </c>
      <c r="Q285" s="14" t="str">
        <f aca="false">IF($D285&lt;&gt;1,"",IF($G285="ROKS",SUMIFS(TblApplications[Besoin ROKS RAM (Go)],TblApplications[Cluster ROKS cible],$F285,TblApplications[Action],"À migrer",TblApplications[Déjà incluse ROKS],"Non",TblApplications[Mois prov (calc)],"&lt;="&amp;$E285),SUMIFS(TblApplications[RAM IKS libérable (Go)],TblApplications[Cluster IKS source],$F285,TblApplications[Mois lib (calc)],"&lt;="&amp;$E285)))</f>
        <v/>
      </c>
      <c r="R285" s="14" t="str">
        <f aca="false">IF($D285&lt;&gt;1,"",IF($G285="ROKS",$L285+$P285,IF($AI285=1,0,MAX($N285,$L285-$P285))))</f>
        <v/>
      </c>
      <c r="S285" s="14" t="str">
        <f aca="false">IF($D285&lt;&gt;1,"",IF($G285="ROKS",$M285+$Q285,IF($AI285=1,0,MAX($O285,$M285-$Q285))))</f>
        <v/>
      </c>
      <c r="T285" s="14" t="str">
        <f aca="false">IF($D285&lt;&gt;1,"",IF($AI285=1,0,MAX($J285,ROUNDUP(MAX($R285/$H285,$S285/$I285),0))))</f>
        <v/>
      </c>
      <c r="U285" s="14" t="str">
        <f aca="false">IF($D285&lt;&gt;1,"",IF(p_mode="Nœud",$T285*$H285,$R285))</f>
        <v/>
      </c>
      <c r="V285" s="14" t="str">
        <f aca="false">IF($D285&lt;&gt;1,"",IF(p_mode="Nœud",$T285*$I285,$S285))</f>
        <v/>
      </c>
      <c r="W285" s="84" t="str">
        <f aca="false">IF($D285&lt;&gt;1,"",IF(p_mode="Nœud",$T285*$K285,$R285*IF($G285="IKS",p_iks_cpu,p_roks_cpu)+$S285*IF($G285="IKS",p_iks_ram,p_roks_ram))*p_facteur)</f>
        <v/>
      </c>
      <c r="X285" s="14" t="str">
        <f aca="false">IF($D285&lt;&gt;1,"",IF($G285="ROKS",$R285,IF($AI285=1,0,MAX($N285,$L285-SUMIFS(TblApplications[CPU IKS libérable (vCPU)],TblApplications[Cluster IKS source],$F285,TblApplications[Action],"À migrer",TblApplications[Mois prov (calc)],"&lt;="&amp;$E285)-SUMIFS(TblApplications[CPU IKS libérable (vCPU)],TblApplications[Cluster IKS source],$F285,TblApplications[Action],"À décommissionner",TblApplications[Mois lib (calc)],"&lt;="&amp;$E285)))))</f>
        <v/>
      </c>
      <c r="Y285" s="14" t="str">
        <f aca="false">IF($D285&lt;&gt;1,"",IF($G285="ROKS",$S285,IF($AI285=1,0,MAX($O285,$M285-SUMIFS(TblApplications[RAM IKS libérable (Go)],TblApplications[Cluster IKS source],$F285,TblApplications[Action],"À migrer",TblApplications[Mois prov (calc)],"&lt;="&amp;$E285)-SUMIFS(TblApplications[RAM IKS libérable (Go)],TblApplications[Cluster IKS source],$F285,TblApplications[Action],"À décommissionner",TblApplications[Mois lib (calc)],"&lt;="&amp;$E285)))))</f>
        <v/>
      </c>
      <c r="Z285" s="14" t="str">
        <f aca="false">IF($D285&lt;&gt;1,"",IF($AI285=1,0,MAX($J285,ROUNDUP(MAX($X285/$H285,$Y285/$I285),0))))</f>
        <v/>
      </c>
      <c r="AA285" s="84" t="str">
        <f aca="false">IF($D285&lt;&gt;1,"",IF(p_mode="Nœud",$Z285*$K285,$X285*IF($G285="IKS",p_iks_cpu,p_roks_cpu)+$Y285*IF($G285="IKS",p_iks_ram,p_roks_ram))*p_facteur)</f>
        <v/>
      </c>
      <c r="AB285" s="14" t="str">
        <f aca="false">IF($D285&lt;&gt;1,"",MAX($J285,ROUNDUP(MAX($L285/$H285,$M285/$I285),0)))</f>
        <v/>
      </c>
      <c r="AC285" s="84" t="str">
        <f aca="false">IF($D285&lt;&gt;1,"",IF(p_mode="Nœud",$AB285*$K285,$L285*IF($G285="IKS",p_iks_cpu,p_roks_cpu)+$M285*IF($G285="IKS",p_iks_ram,p_roks_ram))*p_facteur)</f>
        <v/>
      </c>
      <c r="AD285" s="14" t="str">
        <f aca="false">IF($D285&lt;&gt;1,"",IF(AND($G285="IKS",$AI285&lt;&gt;1,OR($L285-$P285&lt;$N285,$M285-$Q285&lt;$O285)),1,0))</f>
        <v/>
      </c>
      <c r="AE285" s="14" t="str">
        <f aca="false">IF($D285&lt;&gt;1,"",IF(AND($G285="ROKS",$T285&gt;p_maxworkers),1,0))</f>
        <v/>
      </c>
      <c r="AF285" s="14" t="str">
        <f aca="false">IF($D285&lt;&gt;1,"",IF(INDEX(TblClusters[Environnement],$B285)="","(vide)",INDEX(TblClusters[Environnement],$B285)))</f>
        <v/>
      </c>
      <c r="AG285" s="14" t="str">
        <f aca="false">IF($D285&lt;&gt;1,"",$R285+p_poidsram*$S285)</f>
        <v/>
      </c>
      <c r="AH285" s="14" t="str">
        <f aca="false">IF($D285&lt;&gt;1,"",IFERROR($W285/$AG285,0))</f>
        <v/>
      </c>
      <c r="AI285" s="14" t="str">
        <f aca="false">IF($D285&lt;&gt;1,"",IF(AND($G285="IKS",ISNUMBER(INDEX(TblClusters[Fermeture retenue],$B285))),IF($E285&gt;=INDEX(TblClusters[Fermeture retenue],$B285),1,0),0))</f>
        <v/>
      </c>
    </row>
    <row r="286" customFormat="false" ht="15" hidden="false" customHeight="false" outlineLevel="0" collapsed="false">
      <c r="A286" s="14" t="n">
        <v>281</v>
      </c>
      <c r="B286" s="14" t="n">
        <f aca="false">INT(($A286-1)/36)+1</f>
        <v>8</v>
      </c>
      <c r="C286" s="14" t="n">
        <f aca="false">MOD($A286-1,36)+1</f>
        <v>29</v>
      </c>
      <c r="D286" s="14" t="n">
        <f aca="false">IF($C286&gt;p_horizon,0,IFERROR(IF(AND(INDEX(TblClusters[Cluster],$B286)&lt;&gt;"",ISNUMBER(INDEX(TblClusters[CPU initial (vCPU)],$B286)),ISNUMBER(INDEX(TblClusters[CPU min (vCPU)],$B286)),OR(INDEX(TblClusters[Plateforme],$B286)="IKS",INDEX(TblClusters[Plateforme],$B286)="ROKS")),1,0),0))</f>
        <v>0</v>
      </c>
      <c r="E286" s="83" t="str">
        <f aca="false">IF($D286=1,EDATE(p_debut,$C286-1),"")</f>
        <v/>
      </c>
      <c r="F286" s="14" t="str">
        <f aca="false">IF($D286=1,INDEX(TblClusters[Cluster],$B286),"")</f>
        <v/>
      </c>
      <c r="G286" s="14" t="str">
        <f aca="false">IF($D286=1,INDEX(TblClusters[Plateforme],$B286),"")</f>
        <v/>
      </c>
      <c r="H286" s="14" t="str">
        <f aca="false">IF($D286=1,INDEX(TblClusters[vCPU par nœud],$B286),"")</f>
        <v/>
      </c>
      <c r="I286" s="14" t="str">
        <f aca="false">IF($D286=1,INDEX(TblClusters[RAM par nœud (Go)],$B286),"")</f>
        <v/>
      </c>
      <c r="J286" s="14" t="str">
        <f aca="false">IF($D286=1,INDEX(TblClusters[Workers min],$B286),"")</f>
        <v/>
      </c>
      <c r="K286" s="84" t="str">
        <f aca="false">IF($D286=1,INDEX(TblClusters[Tarif par nœud],$B286),"")</f>
        <v/>
      </c>
      <c r="L286" s="14" t="str">
        <f aca="false">IF($D286=1,INDEX(TblClusters[CPU initial (vCPU)],$B286),"")</f>
        <v/>
      </c>
      <c r="M286" s="14" t="str">
        <f aca="false">IF($D286=1,INDEX(TblClusters[RAM initiale (Go)],$B286),"")</f>
        <v/>
      </c>
      <c r="N286" s="14" t="str">
        <f aca="false">IF($D286=1,INDEX(TblClusters[CPU min (vCPU)],$B286),"")</f>
        <v/>
      </c>
      <c r="O286" s="14" t="str">
        <f aca="false">IF($D286=1,INDEX(TblClusters[RAM min (Go)],$B286),"")</f>
        <v/>
      </c>
      <c r="P286" s="14" t="str">
        <f aca="false">IF($D286&lt;&gt;1,"",IF($G286="ROKS",SUMIFS(TblApplications[Besoin ROKS CPU (vCPU)],TblApplications[Cluster ROKS cible],$F286,TblApplications[Action],"À migrer",TblApplications[Déjà incluse ROKS],"Non",TblApplications[Mois prov (calc)],"&lt;="&amp;$E286),SUMIFS(TblApplications[CPU IKS libérable (vCPU)],TblApplications[Cluster IKS source],$F286,TblApplications[Mois lib (calc)],"&lt;="&amp;$E286)))</f>
        <v/>
      </c>
      <c r="Q286" s="14" t="str">
        <f aca="false">IF($D286&lt;&gt;1,"",IF($G286="ROKS",SUMIFS(TblApplications[Besoin ROKS RAM (Go)],TblApplications[Cluster ROKS cible],$F286,TblApplications[Action],"À migrer",TblApplications[Déjà incluse ROKS],"Non",TblApplications[Mois prov (calc)],"&lt;="&amp;$E286),SUMIFS(TblApplications[RAM IKS libérable (Go)],TblApplications[Cluster IKS source],$F286,TblApplications[Mois lib (calc)],"&lt;="&amp;$E286)))</f>
        <v/>
      </c>
      <c r="R286" s="14" t="str">
        <f aca="false">IF($D286&lt;&gt;1,"",IF($G286="ROKS",$L286+$P286,IF($AI286=1,0,MAX($N286,$L286-$P286))))</f>
        <v/>
      </c>
      <c r="S286" s="14" t="str">
        <f aca="false">IF($D286&lt;&gt;1,"",IF($G286="ROKS",$M286+$Q286,IF($AI286=1,0,MAX($O286,$M286-$Q286))))</f>
        <v/>
      </c>
      <c r="T286" s="14" t="str">
        <f aca="false">IF($D286&lt;&gt;1,"",IF($AI286=1,0,MAX($J286,ROUNDUP(MAX($R286/$H286,$S286/$I286),0))))</f>
        <v/>
      </c>
      <c r="U286" s="14" t="str">
        <f aca="false">IF($D286&lt;&gt;1,"",IF(p_mode="Nœud",$T286*$H286,$R286))</f>
        <v/>
      </c>
      <c r="V286" s="14" t="str">
        <f aca="false">IF($D286&lt;&gt;1,"",IF(p_mode="Nœud",$T286*$I286,$S286))</f>
        <v/>
      </c>
      <c r="W286" s="84" t="str">
        <f aca="false">IF($D286&lt;&gt;1,"",IF(p_mode="Nœud",$T286*$K286,$R286*IF($G286="IKS",p_iks_cpu,p_roks_cpu)+$S286*IF($G286="IKS",p_iks_ram,p_roks_ram))*p_facteur)</f>
        <v/>
      </c>
      <c r="X286" s="14" t="str">
        <f aca="false">IF($D286&lt;&gt;1,"",IF($G286="ROKS",$R286,IF($AI286=1,0,MAX($N286,$L286-SUMIFS(TblApplications[CPU IKS libérable (vCPU)],TblApplications[Cluster IKS source],$F286,TblApplications[Action],"À migrer",TblApplications[Mois prov (calc)],"&lt;="&amp;$E286)-SUMIFS(TblApplications[CPU IKS libérable (vCPU)],TblApplications[Cluster IKS source],$F286,TblApplications[Action],"À décommissionner",TblApplications[Mois lib (calc)],"&lt;="&amp;$E286)))))</f>
        <v/>
      </c>
      <c r="Y286" s="14" t="str">
        <f aca="false">IF($D286&lt;&gt;1,"",IF($G286="ROKS",$S286,IF($AI286=1,0,MAX($O286,$M286-SUMIFS(TblApplications[RAM IKS libérable (Go)],TblApplications[Cluster IKS source],$F286,TblApplications[Action],"À migrer",TblApplications[Mois prov (calc)],"&lt;="&amp;$E286)-SUMIFS(TblApplications[RAM IKS libérable (Go)],TblApplications[Cluster IKS source],$F286,TblApplications[Action],"À décommissionner",TblApplications[Mois lib (calc)],"&lt;="&amp;$E286)))))</f>
        <v/>
      </c>
      <c r="Z286" s="14" t="str">
        <f aca="false">IF($D286&lt;&gt;1,"",IF($AI286=1,0,MAX($J286,ROUNDUP(MAX($X286/$H286,$Y286/$I286),0))))</f>
        <v/>
      </c>
      <c r="AA286" s="84" t="str">
        <f aca="false">IF($D286&lt;&gt;1,"",IF(p_mode="Nœud",$Z286*$K286,$X286*IF($G286="IKS",p_iks_cpu,p_roks_cpu)+$Y286*IF($G286="IKS",p_iks_ram,p_roks_ram))*p_facteur)</f>
        <v/>
      </c>
      <c r="AB286" s="14" t="str">
        <f aca="false">IF($D286&lt;&gt;1,"",MAX($J286,ROUNDUP(MAX($L286/$H286,$M286/$I286),0)))</f>
        <v/>
      </c>
      <c r="AC286" s="84" t="str">
        <f aca="false">IF($D286&lt;&gt;1,"",IF(p_mode="Nœud",$AB286*$K286,$L286*IF($G286="IKS",p_iks_cpu,p_roks_cpu)+$M286*IF($G286="IKS",p_iks_ram,p_roks_ram))*p_facteur)</f>
        <v/>
      </c>
      <c r="AD286" s="14" t="str">
        <f aca="false">IF($D286&lt;&gt;1,"",IF(AND($G286="IKS",$AI286&lt;&gt;1,OR($L286-$P286&lt;$N286,$M286-$Q286&lt;$O286)),1,0))</f>
        <v/>
      </c>
      <c r="AE286" s="14" t="str">
        <f aca="false">IF($D286&lt;&gt;1,"",IF(AND($G286="ROKS",$T286&gt;p_maxworkers),1,0))</f>
        <v/>
      </c>
      <c r="AF286" s="14" t="str">
        <f aca="false">IF($D286&lt;&gt;1,"",IF(INDEX(TblClusters[Environnement],$B286)="","(vide)",INDEX(TblClusters[Environnement],$B286)))</f>
        <v/>
      </c>
      <c r="AG286" s="14" t="str">
        <f aca="false">IF($D286&lt;&gt;1,"",$R286+p_poidsram*$S286)</f>
        <v/>
      </c>
      <c r="AH286" s="14" t="str">
        <f aca="false">IF($D286&lt;&gt;1,"",IFERROR($W286/$AG286,0))</f>
        <v/>
      </c>
      <c r="AI286" s="14" t="str">
        <f aca="false">IF($D286&lt;&gt;1,"",IF(AND($G286="IKS",ISNUMBER(INDEX(TblClusters[Fermeture retenue],$B286))),IF($E286&gt;=INDEX(TblClusters[Fermeture retenue],$B286),1,0),0))</f>
        <v/>
      </c>
    </row>
    <row r="287" customFormat="false" ht="15" hidden="false" customHeight="false" outlineLevel="0" collapsed="false">
      <c r="A287" s="14" t="n">
        <v>282</v>
      </c>
      <c r="B287" s="14" t="n">
        <f aca="false">INT(($A287-1)/36)+1</f>
        <v>8</v>
      </c>
      <c r="C287" s="14" t="n">
        <f aca="false">MOD($A287-1,36)+1</f>
        <v>30</v>
      </c>
      <c r="D287" s="14" t="n">
        <f aca="false">IF($C287&gt;p_horizon,0,IFERROR(IF(AND(INDEX(TblClusters[Cluster],$B287)&lt;&gt;"",ISNUMBER(INDEX(TblClusters[CPU initial (vCPU)],$B287)),ISNUMBER(INDEX(TblClusters[CPU min (vCPU)],$B287)),OR(INDEX(TblClusters[Plateforme],$B287)="IKS",INDEX(TblClusters[Plateforme],$B287)="ROKS")),1,0),0))</f>
        <v>0</v>
      </c>
      <c r="E287" s="83" t="str">
        <f aca="false">IF($D287=1,EDATE(p_debut,$C287-1),"")</f>
        <v/>
      </c>
      <c r="F287" s="14" t="str">
        <f aca="false">IF($D287=1,INDEX(TblClusters[Cluster],$B287),"")</f>
        <v/>
      </c>
      <c r="G287" s="14" t="str">
        <f aca="false">IF($D287=1,INDEX(TblClusters[Plateforme],$B287),"")</f>
        <v/>
      </c>
      <c r="H287" s="14" t="str">
        <f aca="false">IF($D287=1,INDEX(TblClusters[vCPU par nœud],$B287),"")</f>
        <v/>
      </c>
      <c r="I287" s="14" t="str">
        <f aca="false">IF($D287=1,INDEX(TblClusters[RAM par nœud (Go)],$B287),"")</f>
        <v/>
      </c>
      <c r="J287" s="14" t="str">
        <f aca="false">IF($D287=1,INDEX(TblClusters[Workers min],$B287),"")</f>
        <v/>
      </c>
      <c r="K287" s="84" t="str">
        <f aca="false">IF($D287=1,INDEX(TblClusters[Tarif par nœud],$B287),"")</f>
        <v/>
      </c>
      <c r="L287" s="14" t="str">
        <f aca="false">IF($D287=1,INDEX(TblClusters[CPU initial (vCPU)],$B287),"")</f>
        <v/>
      </c>
      <c r="M287" s="14" t="str">
        <f aca="false">IF($D287=1,INDEX(TblClusters[RAM initiale (Go)],$B287),"")</f>
        <v/>
      </c>
      <c r="N287" s="14" t="str">
        <f aca="false">IF($D287=1,INDEX(TblClusters[CPU min (vCPU)],$B287),"")</f>
        <v/>
      </c>
      <c r="O287" s="14" t="str">
        <f aca="false">IF($D287=1,INDEX(TblClusters[RAM min (Go)],$B287),"")</f>
        <v/>
      </c>
      <c r="P287" s="14" t="str">
        <f aca="false">IF($D287&lt;&gt;1,"",IF($G287="ROKS",SUMIFS(TblApplications[Besoin ROKS CPU (vCPU)],TblApplications[Cluster ROKS cible],$F287,TblApplications[Action],"À migrer",TblApplications[Déjà incluse ROKS],"Non",TblApplications[Mois prov (calc)],"&lt;="&amp;$E287),SUMIFS(TblApplications[CPU IKS libérable (vCPU)],TblApplications[Cluster IKS source],$F287,TblApplications[Mois lib (calc)],"&lt;="&amp;$E287)))</f>
        <v/>
      </c>
      <c r="Q287" s="14" t="str">
        <f aca="false">IF($D287&lt;&gt;1,"",IF($G287="ROKS",SUMIFS(TblApplications[Besoin ROKS RAM (Go)],TblApplications[Cluster ROKS cible],$F287,TblApplications[Action],"À migrer",TblApplications[Déjà incluse ROKS],"Non",TblApplications[Mois prov (calc)],"&lt;="&amp;$E287),SUMIFS(TblApplications[RAM IKS libérable (Go)],TblApplications[Cluster IKS source],$F287,TblApplications[Mois lib (calc)],"&lt;="&amp;$E287)))</f>
        <v/>
      </c>
      <c r="R287" s="14" t="str">
        <f aca="false">IF($D287&lt;&gt;1,"",IF($G287="ROKS",$L287+$P287,IF($AI287=1,0,MAX($N287,$L287-$P287))))</f>
        <v/>
      </c>
      <c r="S287" s="14" t="str">
        <f aca="false">IF($D287&lt;&gt;1,"",IF($G287="ROKS",$M287+$Q287,IF($AI287=1,0,MAX($O287,$M287-$Q287))))</f>
        <v/>
      </c>
      <c r="T287" s="14" t="str">
        <f aca="false">IF($D287&lt;&gt;1,"",IF($AI287=1,0,MAX($J287,ROUNDUP(MAX($R287/$H287,$S287/$I287),0))))</f>
        <v/>
      </c>
      <c r="U287" s="14" t="str">
        <f aca="false">IF($D287&lt;&gt;1,"",IF(p_mode="Nœud",$T287*$H287,$R287))</f>
        <v/>
      </c>
      <c r="V287" s="14" t="str">
        <f aca="false">IF($D287&lt;&gt;1,"",IF(p_mode="Nœud",$T287*$I287,$S287))</f>
        <v/>
      </c>
      <c r="W287" s="84" t="str">
        <f aca="false">IF($D287&lt;&gt;1,"",IF(p_mode="Nœud",$T287*$K287,$R287*IF($G287="IKS",p_iks_cpu,p_roks_cpu)+$S287*IF($G287="IKS",p_iks_ram,p_roks_ram))*p_facteur)</f>
        <v/>
      </c>
      <c r="X287" s="14" t="str">
        <f aca="false">IF($D287&lt;&gt;1,"",IF($G287="ROKS",$R287,IF($AI287=1,0,MAX($N287,$L287-SUMIFS(TblApplications[CPU IKS libérable (vCPU)],TblApplications[Cluster IKS source],$F287,TblApplications[Action],"À migrer",TblApplications[Mois prov (calc)],"&lt;="&amp;$E287)-SUMIFS(TblApplications[CPU IKS libérable (vCPU)],TblApplications[Cluster IKS source],$F287,TblApplications[Action],"À décommissionner",TblApplications[Mois lib (calc)],"&lt;="&amp;$E287)))))</f>
        <v/>
      </c>
      <c r="Y287" s="14" t="str">
        <f aca="false">IF($D287&lt;&gt;1,"",IF($G287="ROKS",$S287,IF($AI287=1,0,MAX($O287,$M287-SUMIFS(TblApplications[RAM IKS libérable (Go)],TblApplications[Cluster IKS source],$F287,TblApplications[Action],"À migrer",TblApplications[Mois prov (calc)],"&lt;="&amp;$E287)-SUMIFS(TblApplications[RAM IKS libérable (Go)],TblApplications[Cluster IKS source],$F287,TblApplications[Action],"À décommissionner",TblApplications[Mois lib (calc)],"&lt;="&amp;$E287)))))</f>
        <v/>
      </c>
      <c r="Z287" s="14" t="str">
        <f aca="false">IF($D287&lt;&gt;1,"",IF($AI287=1,0,MAX($J287,ROUNDUP(MAX($X287/$H287,$Y287/$I287),0))))</f>
        <v/>
      </c>
      <c r="AA287" s="84" t="str">
        <f aca="false">IF($D287&lt;&gt;1,"",IF(p_mode="Nœud",$Z287*$K287,$X287*IF($G287="IKS",p_iks_cpu,p_roks_cpu)+$Y287*IF($G287="IKS",p_iks_ram,p_roks_ram))*p_facteur)</f>
        <v/>
      </c>
      <c r="AB287" s="14" t="str">
        <f aca="false">IF($D287&lt;&gt;1,"",MAX($J287,ROUNDUP(MAX($L287/$H287,$M287/$I287),0)))</f>
        <v/>
      </c>
      <c r="AC287" s="84" t="str">
        <f aca="false">IF($D287&lt;&gt;1,"",IF(p_mode="Nœud",$AB287*$K287,$L287*IF($G287="IKS",p_iks_cpu,p_roks_cpu)+$M287*IF($G287="IKS",p_iks_ram,p_roks_ram))*p_facteur)</f>
        <v/>
      </c>
      <c r="AD287" s="14" t="str">
        <f aca="false">IF($D287&lt;&gt;1,"",IF(AND($G287="IKS",$AI287&lt;&gt;1,OR($L287-$P287&lt;$N287,$M287-$Q287&lt;$O287)),1,0))</f>
        <v/>
      </c>
      <c r="AE287" s="14" t="str">
        <f aca="false">IF($D287&lt;&gt;1,"",IF(AND($G287="ROKS",$T287&gt;p_maxworkers),1,0))</f>
        <v/>
      </c>
      <c r="AF287" s="14" t="str">
        <f aca="false">IF($D287&lt;&gt;1,"",IF(INDEX(TblClusters[Environnement],$B287)="","(vide)",INDEX(TblClusters[Environnement],$B287)))</f>
        <v/>
      </c>
      <c r="AG287" s="14" t="str">
        <f aca="false">IF($D287&lt;&gt;1,"",$R287+p_poidsram*$S287)</f>
        <v/>
      </c>
      <c r="AH287" s="14" t="str">
        <f aca="false">IF($D287&lt;&gt;1,"",IFERROR($W287/$AG287,0))</f>
        <v/>
      </c>
      <c r="AI287" s="14" t="str">
        <f aca="false">IF($D287&lt;&gt;1,"",IF(AND($G287="IKS",ISNUMBER(INDEX(TblClusters[Fermeture retenue],$B287))),IF($E287&gt;=INDEX(TblClusters[Fermeture retenue],$B287),1,0),0))</f>
        <v/>
      </c>
    </row>
    <row r="288" customFormat="false" ht="15" hidden="false" customHeight="false" outlineLevel="0" collapsed="false">
      <c r="A288" s="14" t="n">
        <v>283</v>
      </c>
      <c r="B288" s="14" t="n">
        <f aca="false">INT(($A288-1)/36)+1</f>
        <v>8</v>
      </c>
      <c r="C288" s="14" t="n">
        <f aca="false">MOD($A288-1,36)+1</f>
        <v>31</v>
      </c>
      <c r="D288" s="14" t="n">
        <f aca="false">IF($C288&gt;p_horizon,0,IFERROR(IF(AND(INDEX(TblClusters[Cluster],$B288)&lt;&gt;"",ISNUMBER(INDEX(TblClusters[CPU initial (vCPU)],$B288)),ISNUMBER(INDEX(TblClusters[CPU min (vCPU)],$B288)),OR(INDEX(TblClusters[Plateforme],$B288)="IKS",INDEX(TblClusters[Plateforme],$B288)="ROKS")),1,0),0))</f>
        <v>0</v>
      </c>
      <c r="E288" s="83" t="str">
        <f aca="false">IF($D288=1,EDATE(p_debut,$C288-1),"")</f>
        <v/>
      </c>
      <c r="F288" s="14" t="str">
        <f aca="false">IF($D288=1,INDEX(TblClusters[Cluster],$B288),"")</f>
        <v/>
      </c>
      <c r="G288" s="14" t="str">
        <f aca="false">IF($D288=1,INDEX(TblClusters[Plateforme],$B288),"")</f>
        <v/>
      </c>
      <c r="H288" s="14" t="str">
        <f aca="false">IF($D288=1,INDEX(TblClusters[vCPU par nœud],$B288),"")</f>
        <v/>
      </c>
      <c r="I288" s="14" t="str">
        <f aca="false">IF($D288=1,INDEX(TblClusters[RAM par nœud (Go)],$B288),"")</f>
        <v/>
      </c>
      <c r="J288" s="14" t="str">
        <f aca="false">IF($D288=1,INDEX(TblClusters[Workers min],$B288),"")</f>
        <v/>
      </c>
      <c r="K288" s="84" t="str">
        <f aca="false">IF($D288=1,INDEX(TblClusters[Tarif par nœud],$B288),"")</f>
        <v/>
      </c>
      <c r="L288" s="14" t="str">
        <f aca="false">IF($D288=1,INDEX(TblClusters[CPU initial (vCPU)],$B288),"")</f>
        <v/>
      </c>
      <c r="M288" s="14" t="str">
        <f aca="false">IF($D288=1,INDEX(TblClusters[RAM initiale (Go)],$B288),"")</f>
        <v/>
      </c>
      <c r="N288" s="14" t="str">
        <f aca="false">IF($D288=1,INDEX(TblClusters[CPU min (vCPU)],$B288),"")</f>
        <v/>
      </c>
      <c r="O288" s="14" t="str">
        <f aca="false">IF($D288=1,INDEX(TblClusters[RAM min (Go)],$B288),"")</f>
        <v/>
      </c>
      <c r="P288" s="14" t="str">
        <f aca="false">IF($D288&lt;&gt;1,"",IF($G288="ROKS",SUMIFS(TblApplications[Besoin ROKS CPU (vCPU)],TblApplications[Cluster ROKS cible],$F288,TblApplications[Action],"À migrer",TblApplications[Déjà incluse ROKS],"Non",TblApplications[Mois prov (calc)],"&lt;="&amp;$E288),SUMIFS(TblApplications[CPU IKS libérable (vCPU)],TblApplications[Cluster IKS source],$F288,TblApplications[Mois lib (calc)],"&lt;="&amp;$E288)))</f>
        <v/>
      </c>
      <c r="Q288" s="14" t="str">
        <f aca="false">IF($D288&lt;&gt;1,"",IF($G288="ROKS",SUMIFS(TblApplications[Besoin ROKS RAM (Go)],TblApplications[Cluster ROKS cible],$F288,TblApplications[Action],"À migrer",TblApplications[Déjà incluse ROKS],"Non",TblApplications[Mois prov (calc)],"&lt;="&amp;$E288),SUMIFS(TblApplications[RAM IKS libérable (Go)],TblApplications[Cluster IKS source],$F288,TblApplications[Mois lib (calc)],"&lt;="&amp;$E288)))</f>
        <v/>
      </c>
      <c r="R288" s="14" t="str">
        <f aca="false">IF($D288&lt;&gt;1,"",IF($G288="ROKS",$L288+$P288,IF($AI288=1,0,MAX($N288,$L288-$P288))))</f>
        <v/>
      </c>
      <c r="S288" s="14" t="str">
        <f aca="false">IF($D288&lt;&gt;1,"",IF($G288="ROKS",$M288+$Q288,IF($AI288=1,0,MAX($O288,$M288-$Q288))))</f>
        <v/>
      </c>
      <c r="T288" s="14" t="str">
        <f aca="false">IF($D288&lt;&gt;1,"",IF($AI288=1,0,MAX($J288,ROUNDUP(MAX($R288/$H288,$S288/$I288),0))))</f>
        <v/>
      </c>
      <c r="U288" s="14" t="str">
        <f aca="false">IF($D288&lt;&gt;1,"",IF(p_mode="Nœud",$T288*$H288,$R288))</f>
        <v/>
      </c>
      <c r="V288" s="14" t="str">
        <f aca="false">IF($D288&lt;&gt;1,"",IF(p_mode="Nœud",$T288*$I288,$S288))</f>
        <v/>
      </c>
      <c r="W288" s="84" t="str">
        <f aca="false">IF($D288&lt;&gt;1,"",IF(p_mode="Nœud",$T288*$K288,$R288*IF($G288="IKS",p_iks_cpu,p_roks_cpu)+$S288*IF($G288="IKS",p_iks_ram,p_roks_ram))*p_facteur)</f>
        <v/>
      </c>
      <c r="X288" s="14" t="str">
        <f aca="false">IF($D288&lt;&gt;1,"",IF($G288="ROKS",$R288,IF($AI288=1,0,MAX($N288,$L288-SUMIFS(TblApplications[CPU IKS libérable (vCPU)],TblApplications[Cluster IKS source],$F288,TblApplications[Action],"À migrer",TblApplications[Mois prov (calc)],"&lt;="&amp;$E288)-SUMIFS(TblApplications[CPU IKS libérable (vCPU)],TblApplications[Cluster IKS source],$F288,TblApplications[Action],"À décommissionner",TblApplications[Mois lib (calc)],"&lt;="&amp;$E288)))))</f>
        <v/>
      </c>
      <c r="Y288" s="14" t="str">
        <f aca="false">IF($D288&lt;&gt;1,"",IF($G288="ROKS",$S288,IF($AI288=1,0,MAX($O288,$M288-SUMIFS(TblApplications[RAM IKS libérable (Go)],TblApplications[Cluster IKS source],$F288,TblApplications[Action],"À migrer",TblApplications[Mois prov (calc)],"&lt;="&amp;$E288)-SUMIFS(TblApplications[RAM IKS libérable (Go)],TblApplications[Cluster IKS source],$F288,TblApplications[Action],"À décommissionner",TblApplications[Mois lib (calc)],"&lt;="&amp;$E288)))))</f>
        <v/>
      </c>
      <c r="Z288" s="14" t="str">
        <f aca="false">IF($D288&lt;&gt;1,"",IF($AI288=1,0,MAX($J288,ROUNDUP(MAX($X288/$H288,$Y288/$I288),0))))</f>
        <v/>
      </c>
      <c r="AA288" s="84" t="str">
        <f aca="false">IF($D288&lt;&gt;1,"",IF(p_mode="Nœud",$Z288*$K288,$X288*IF($G288="IKS",p_iks_cpu,p_roks_cpu)+$Y288*IF($G288="IKS",p_iks_ram,p_roks_ram))*p_facteur)</f>
        <v/>
      </c>
      <c r="AB288" s="14" t="str">
        <f aca="false">IF($D288&lt;&gt;1,"",MAX($J288,ROUNDUP(MAX($L288/$H288,$M288/$I288),0)))</f>
        <v/>
      </c>
      <c r="AC288" s="84" t="str">
        <f aca="false">IF($D288&lt;&gt;1,"",IF(p_mode="Nœud",$AB288*$K288,$L288*IF($G288="IKS",p_iks_cpu,p_roks_cpu)+$M288*IF($G288="IKS",p_iks_ram,p_roks_ram))*p_facteur)</f>
        <v/>
      </c>
      <c r="AD288" s="14" t="str">
        <f aca="false">IF($D288&lt;&gt;1,"",IF(AND($G288="IKS",$AI288&lt;&gt;1,OR($L288-$P288&lt;$N288,$M288-$Q288&lt;$O288)),1,0))</f>
        <v/>
      </c>
      <c r="AE288" s="14" t="str">
        <f aca="false">IF($D288&lt;&gt;1,"",IF(AND($G288="ROKS",$T288&gt;p_maxworkers),1,0))</f>
        <v/>
      </c>
      <c r="AF288" s="14" t="str">
        <f aca="false">IF($D288&lt;&gt;1,"",IF(INDEX(TblClusters[Environnement],$B288)="","(vide)",INDEX(TblClusters[Environnement],$B288)))</f>
        <v/>
      </c>
      <c r="AG288" s="14" t="str">
        <f aca="false">IF($D288&lt;&gt;1,"",$R288+p_poidsram*$S288)</f>
        <v/>
      </c>
      <c r="AH288" s="14" t="str">
        <f aca="false">IF($D288&lt;&gt;1,"",IFERROR($W288/$AG288,0))</f>
        <v/>
      </c>
      <c r="AI288" s="14" t="str">
        <f aca="false">IF($D288&lt;&gt;1,"",IF(AND($G288="IKS",ISNUMBER(INDEX(TblClusters[Fermeture retenue],$B288))),IF($E288&gt;=INDEX(TblClusters[Fermeture retenue],$B288),1,0),0))</f>
        <v/>
      </c>
    </row>
    <row r="289" customFormat="false" ht="15" hidden="false" customHeight="false" outlineLevel="0" collapsed="false">
      <c r="A289" s="14" t="n">
        <v>284</v>
      </c>
      <c r="B289" s="14" t="n">
        <f aca="false">INT(($A289-1)/36)+1</f>
        <v>8</v>
      </c>
      <c r="C289" s="14" t="n">
        <f aca="false">MOD($A289-1,36)+1</f>
        <v>32</v>
      </c>
      <c r="D289" s="14" t="n">
        <f aca="false">IF($C289&gt;p_horizon,0,IFERROR(IF(AND(INDEX(TblClusters[Cluster],$B289)&lt;&gt;"",ISNUMBER(INDEX(TblClusters[CPU initial (vCPU)],$B289)),ISNUMBER(INDEX(TblClusters[CPU min (vCPU)],$B289)),OR(INDEX(TblClusters[Plateforme],$B289)="IKS",INDEX(TblClusters[Plateforme],$B289)="ROKS")),1,0),0))</f>
        <v>0</v>
      </c>
      <c r="E289" s="83" t="str">
        <f aca="false">IF($D289=1,EDATE(p_debut,$C289-1),"")</f>
        <v/>
      </c>
      <c r="F289" s="14" t="str">
        <f aca="false">IF($D289=1,INDEX(TblClusters[Cluster],$B289),"")</f>
        <v/>
      </c>
      <c r="G289" s="14" t="str">
        <f aca="false">IF($D289=1,INDEX(TblClusters[Plateforme],$B289),"")</f>
        <v/>
      </c>
      <c r="H289" s="14" t="str">
        <f aca="false">IF($D289=1,INDEX(TblClusters[vCPU par nœud],$B289),"")</f>
        <v/>
      </c>
      <c r="I289" s="14" t="str">
        <f aca="false">IF($D289=1,INDEX(TblClusters[RAM par nœud (Go)],$B289),"")</f>
        <v/>
      </c>
      <c r="J289" s="14" t="str">
        <f aca="false">IF($D289=1,INDEX(TblClusters[Workers min],$B289),"")</f>
        <v/>
      </c>
      <c r="K289" s="84" t="str">
        <f aca="false">IF($D289=1,INDEX(TblClusters[Tarif par nœud],$B289),"")</f>
        <v/>
      </c>
      <c r="L289" s="14" t="str">
        <f aca="false">IF($D289=1,INDEX(TblClusters[CPU initial (vCPU)],$B289),"")</f>
        <v/>
      </c>
      <c r="M289" s="14" t="str">
        <f aca="false">IF($D289=1,INDEX(TblClusters[RAM initiale (Go)],$B289),"")</f>
        <v/>
      </c>
      <c r="N289" s="14" t="str">
        <f aca="false">IF($D289=1,INDEX(TblClusters[CPU min (vCPU)],$B289),"")</f>
        <v/>
      </c>
      <c r="O289" s="14" t="str">
        <f aca="false">IF($D289=1,INDEX(TblClusters[RAM min (Go)],$B289),"")</f>
        <v/>
      </c>
      <c r="P289" s="14" t="str">
        <f aca="false">IF($D289&lt;&gt;1,"",IF($G289="ROKS",SUMIFS(TblApplications[Besoin ROKS CPU (vCPU)],TblApplications[Cluster ROKS cible],$F289,TblApplications[Action],"À migrer",TblApplications[Déjà incluse ROKS],"Non",TblApplications[Mois prov (calc)],"&lt;="&amp;$E289),SUMIFS(TblApplications[CPU IKS libérable (vCPU)],TblApplications[Cluster IKS source],$F289,TblApplications[Mois lib (calc)],"&lt;="&amp;$E289)))</f>
        <v/>
      </c>
      <c r="Q289" s="14" t="str">
        <f aca="false">IF($D289&lt;&gt;1,"",IF($G289="ROKS",SUMIFS(TblApplications[Besoin ROKS RAM (Go)],TblApplications[Cluster ROKS cible],$F289,TblApplications[Action],"À migrer",TblApplications[Déjà incluse ROKS],"Non",TblApplications[Mois prov (calc)],"&lt;="&amp;$E289),SUMIFS(TblApplications[RAM IKS libérable (Go)],TblApplications[Cluster IKS source],$F289,TblApplications[Mois lib (calc)],"&lt;="&amp;$E289)))</f>
        <v/>
      </c>
      <c r="R289" s="14" t="str">
        <f aca="false">IF($D289&lt;&gt;1,"",IF($G289="ROKS",$L289+$P289,IF($AI289=1,0,MAX($N289,$L289-$P289))))</f>
        <v/>
      </c>
      <c r="S289" s="14" t="str">
        <f aca="false">IF($D289&lt;&gt;1,"",IF($G289="ROKS",$M289+$Q289,IF($AI289=1,0,MAX($O289,$M289-$Q289))))</f>
        <v/>
      </c>
      <c r="T289" s="14" t="str">
        <f aca="false">IF($D289&lt;&gt;1,"",IF($AI289=1,0,MAX($J289,ROUNDUP(MAX($R289/$H289,$S289/$I289),0))))</f>
        <v/>
      </c>
      <c r="U289" s="14" t="str">
        <f aca="false">IF($D289&lt;&gt;1,"",IF(p_mode="Nœud",$T289*$H289,$R289))</f>
        <v/>
      </c>
      <c r="V289" s="14" t="str">
        <f aca="false">IF($D289&lt;&gt;1,"",IF(p_mode="Nœud",$T289*$I289,$S289))</f>
        <v/>
      </c>
      <c r="W289" s="84" t="str">
        <f aca="false">IF($D289&lt;&gt;1,"",IF(p_mode="Nœud",$T289*$K289,$R289*IF($G289="IKS",p_iks_cpu,p_roks_cpu)+$S289*IF($G289="IKS",p_iks_ram,p_roks_ram))*p_facteur)</f>
        <v/>
      </c>
      <c r="X289" s="14" t="str">
        <f aca="false">IF($D289&lt;&gt;1,"",IF($G289="ROKS",$R289,IF($AI289=1,0,MAX($N289,$L289-SUMIFS(TblApplications[CPU IKS libérable (vCPU)],TblApplications[Cluster IKS source],$F289,TblApplications[Action],"À migrer",TblApplications[Mois prov (calc)],"&lt;="&amp;$E289)-SUMIFS(TblApplications[CPU IKS libérable (vCPU)],TblApplications[Cluster IKS source],$F289,TblApplications[Action],"À décommissionner",TblApplications[Mois lib (calc)],"&lt;="&amp;$E289)))))</f>
        <v/>
      </c>
      <c r="Y289" s="14" t="str">
        <f aca="false">IF($D289&lt;&gt;1,"",IF($G289="ROKS",$S289,IF($AI289=1,0,MAX($O289,$M289-SUMIFS(TblApplications[RAM IKS libérable (Go)],TblApplications[Cluster IKS source],$F289,TblApplications[Action],"À migrer",TblApplications[Mois prov (calc)],"&lt;="&amp;$E289)-SUMIFS(TblApplications[RAM IKS libérable (Go)],TblApplications[Cluster IKS source],$F289,TblApplications[Action],"À décommissionner",TblApplications[Mois lib (calc)],"&lt;="&amp;$E289)))))</f>
        <v/>
      </c>
      <c r="Z289" s="14" t="str">
        <f aca="false">IF($D289&lt;&gt;1,"",IF($AI289=1,0,MAX($J289,ROUNDUP(MAX($X289/$H289,$Y289/$I289),0))))</f>
        <v/>
      </c>
      <c r="AA289" s="84" t="str">
        <f aca="false">IF($D289&lt;&gt;1,"",IF(p_mode="Nœud",$Z289*$K289,$X289*IF($G289="IKS",p_iks_cpu,p_roks_cpu)+$Y289*IF($G289="IKS",p_iks_ram,p_roks_ram))*p_facteur)</f>
        <v/>
      </c>
      <c r="AB289" s="14" t="str">
        <f aca="false">IF($D289&lt;&gt;1,"",MAX($J289,ROUNDUP(MAX($L289/$H289,$M289/$I289),0)))</f>
        <v/>
      </c>
      <c r="AC289" s="84" t="str">
        <f aca="false">IF($D289&lt;&gt;1,"",IF(p_mode="Nœud",$AB289*$K289,$L289*IF($G289="IKS",p_iks_cpu,p_roks_cpu)+$M289*IF($G289="IKS",p_iks_ram,p_roks_ram))*p_facteur)</f>
        <v/>
      </c>
      <c r="AD289" s="14" t="str">
        <f aca="false">IF($D289&lt;&gt;1,"",IF(AND($G289="IKS",$AI289&lt;&gt;1,OR($L289-$P289&lt;$N289,$M289-$Q289&lt;$O289)),1,0))</f>
        <v/>
      </c>
      <c r="AE289" s="14" t="str">
        <f aca="false">IF($D289&lt;&gt;1,"",IF(AND($G289="ROKS",$T289&gt;p_maxworkers),1,0))</f>
        <v/>
      </c>
      <c r="AF289" s="14" t="str">
        <f aca="false">IF($D289&lt;&gt;1,"",IF(INDEX(TblClusters[Environnement],$B289)="","(vide)",INDEX(TblClusters[Environnement],$B289)))</f>
        <v/>
      </c>
      <c r="AG289" s="14" t="str">
        <f aca="false">IF($D289&lt;&gt;1,"",$R289+p_poidsram*$S289)</f>
        <v/>
      </c>
      <c r="AH289" s="14" t="str">
        <f aca="false">IF($D289&lt;&gt;1,"",IFERROR($W289/$AG289,0))</f>
        <v/>
      </c>
      <c r="AI289" s="14" t="str">
        <f aca="false">IF($D289&lt;&gt;1,"",IF(AND($G289="IKS",ISNUMBER(INDEX(TblClusters[Fermeture retenue],$B289))),IF($E289&gt;=INDEX(TblClusters[Fermeture retenue],$B289),1,0),0))</f>
        <v/>
      </c>
    </row>
    <row r="290" customFormat="false" ht="15" hidden="false" customHeight="false" outlineLevel="0" collapsed="false">
      <c r="A290" s="14" t="n">
        <v>285</v>
      </c>
      <c r="B290" s="14" t="n">
        <f aca="false">INT(($A290-1)/36)+1</f>
        <v>8</v>
      </c>
      <c r="C290" s="14" t="n">
        <f aca="false">MOD($A290-1,36)+1</f>
        <v>33</v>
      </c>
      <c r="D290" s="14" t="n">
        <f aca="false">IF($C290&gt;p_horizon,0,IFERROR(IF(AND(INDEX(TblClusters[Cluster],$B290)&lt;&gt;"",ISNUMBER(INDEX(TblClusters[CPU initial (vCPU)],$B290)),ISNUMBER(INDEX(TblClusters[CPU min (vCPU)],$B290)),OR(INDEX(TblClusters[Plateforme],$B290)="IKS",INDEX(TblClusters[Plateforme],$B290)="ROKS")),1,0),0))</f>
        <v>0</v>
      </c>
      <c r="E290" s="83" t="str">
        <f aca="false">IF($D290=1,EDATE(p_debut,$C290-1),"")</f>
        <v/>
      </c>
      <c r="F290" s="14" t="str">
        <f aca="false">IF($D290=1,INDEX(TblClusters[Cluster],$B290),"")</f>
        <v/>
      </c>
      <c r="G290" s="14" t="str">
        <f aca="false">IF($D290=1,INDEX(TblClusters[Plateforme],$B290),"")</f>
        <v/>
      </c>
      <c r="H290" s="14" t="str">
        <f aca="false">IF($D290=1,INDEX(TblClusters[vCPU par nœud],$B290),"")</f>
        <v/>
      </c>
      <c r="I290" s="14" t="str">
        <f aca="false">IF($D290=1,INDEX(TblClusters[RAM par nœud (Go)],$B290),"")</f>
        <v/>
      </c>
      <c r="J290" s="14" t="str">
        <f aca="false">IF($D290=1,INDEX(TblClusters[Workers min],$B290),"")</f>
        <v/>
      </c>
      <c r="K290" s="84" t="str">
        <f aca="false">IF($D290=1,INDEX(TblClusters[Tarif par nœud],$B290),"")</f>
        <v/>
      </c>
      <c r="L290" s="14" t="str">
        <f aca="false">IF($D290=1,INDEX(TblClusters[CPU initial (vCPU)],$B290),"")</f>
        <v/>
      </c>
      <c r="M290" s="14" t="str">
        <f aca="false">IF($D290=1,INDEX(TblClusters[RAM initiale (Go)],$B290),"")</f>
        <v/>
      </c>
      <c r="N290" s="14" t="str">
        <f aca="false">IF($D290=1,INDEX(TblClusters[CPU min (vCPU)],$B290),"")</f>
        <v/>
      </c>
      <c r="O290" s="14" t="str">
        <f aca="false">IF($D290=1,INDEX(TblClusters[RAM min (Go)],$B290),"")</f>
        <v/>
      </c>
      <c r="P290" s="14" t="str">
        <f aca="false">IF($D290&lt;&gt;1,"",IF($G290="ROKS",SUMIFS(TblApplications[Besoin ROKS CPU (vCPU)],TblApplications[Cluster ROKS cible],$F290,TblApplications[Action],"À migrer",TblApplications[Déjà incluse ROKS],"Non",TblApplications[Mois prov (calc)],"&lt;="&amp;$E290),SUMIFS(TblApplications[CPU IKS libérable (vCPU)],TblApplications[Cluster IKS source],$F290,TblApplications[Mois lib (calc)],"&lt;="&amp;$E290)))</f>
        <v/>
      </c>
      <c r="Q290" s="14" t="str">
        <f aca="false">IF($D290&lt;&gt;1,"",IF($G290="ROKS",SUMIFS(TblApplications[Besoin ROKS RAM (Go)],TblApplications[Cluster ROKS cible],$F290,TblApplications[Action],"À migrer",TblApplications[Déjà incluse ROKS],"Non",TblApplications[Mois prov (calc)],"&lt;="&amp;$E290),SUMIFS(TblApplications[RAM IKS libérable (Go)],TblApplications[Cluster IKS source],$F290,TblApplications[Mois lib (calc)],"&lt;="&amp;$E290)))</f>
        <v/>
      </c>
      <c r="R290" s="14" t="str">
        <f aca="false">IF($D290&lt;&gt;1,"",IF($G290="ROKS",$L290+$P290,IF($AI290=1,0,MAX($N290,$L290-$P290))))</f>
        <v/>
      </c>
      <c r="S290" s="14" t="str">
        <f aca="false">IF($D290&lt;&gt;1,"",IF($G290="ROKS",$M290+$Q290,IF($AI290=1,0,MAX($O290,$M290-$Q290))))</f>
        <v/>
      </c>
      <c r="T290" s="14" t="str">
        <f aca="false">IF($D290&lt;&gt;1,"",IF($AI290=1,0,MAX($J290,ROUNDUP(MAX($R290/$H290,$S290/$I290),0))))</f>
        <v/>
      </c>
      <c r="U290" s="14" t="str">
        <f aca="false">IF($D290&lt;&gt;1,"",IF(p_mode="Nœud",$T290*$H290,$R290))</f>
        <v/>
      </c>
      <c r="V290" s="14" t="str">
        <f aca="false">IF($D290&lt;&gt;1,"",IF(p_mode="Nœud",$T290*$I290,$S290))</f>
        <v/>
      </c>
      <c r="W290" s="84" t="str">
        <f aca="false">IF($D290&lt;&gt;1,"",IF(p_mode="Nœud",$T290*$K290,$R290*IF($G290="IKS",p_iks_cpu,p_roks_cpu)+$S290*IF($G290="IKS",p_iks_ram,p_roks_ram))*p_facteur)</f>
        <v/>
      </c>
      <c r="X290" s="14" t="str">
        <f aca="false">IF($D290&lt;&gt;1,"",IF($G290="ROKS",$R290,IF($AI290=1,0,MAX($N290,$L290-SUMIFS(TblApplications[CPU IKS libérable (vCPU)],TblApplications[Cluster IKS source],$F290,TblApplications[Action],"À migrer",TblApplications[Mois prov (calc)],"&lt;="&amp;$E290)-SUMIFS(TblApplications[CPU IKS libérable (vCPU)],TblApplications[Cluster IKS source],$F290,TblApplications[Action],"À décommissionner",TblApplications[Mois lib (calc)],"&lt;="&amp;$E290)))))</f>
        <v/>
      </c>
      <c r="Y290" s="14" t="str">
        <f aca="false">IF($D290&lt;&gt;1,"",IF($G290="ROKS",$S290,IF($AI290=1,0,MAX($O290,$M290-SUMIFS(TblApplications[RAM IKS libérable (Go)],TblApplications[Cluster IKS source],$F290,TblApplications[Action],"À migrer",TblApplications[Mois prov (calc)],"&lt;="&amp;$E290)-SUMIFS(TblApplications[RAM IKS libérable (Go)],TblApplications[Cluster IKS source],$F290,TblApplications[Action],"À décommissionner",TblApplications[Mois lib (calc)],"&lt;="&amp;$E290)))))</f>
        <v/>
      </c>
      <c r="Z290" s="14" t="str">
        <f aca="false">IF($D290&lt;&gt;1,"",IF($AI290=1,0,MAX($J290,ROUNDUP(MAX($X290/$H290,$Y290/$I290),0))))</f>
        <v/>
      </c>
      <c r="AA290" s="84" t="str">
        <f aca="false">IF($D290&lt;&gt;1,"",IF(p_mode="Nœud",$Z290*$K290,$X290*IF($G290="IKS",p_iks_cpu,p_roks_cpu)+$Y290*IF($G290="IKS",p_iks_ram,p_roks_ram))*p_facteur)</f>
        <v/>
      </c>
      <c r="AB290" s="14" t="str">
        <f aca="false">IF($D290&lt;&gt;1,"",MAX($J290,ROUNDUP(MAX($L290/$H290,$M290/$I290),0)))</f>
        <v/>
      </c>
      <c r="AC290" s="84" t="str">
        <f aca="false">IF($D290&lt;&gt;1,"",IF(p_mode="Nœud",$AB290*$K290,$L290*IF($G290="IKS",p_iks_cpu,p_roks_cpu)+$M290*IF($G290="IKS",p_iks_ram,p_roks_ram))*p_facteur)</f>
        <v/>
      </c>
      <c r="AD290" s="14" t="str">
        <f aca="false">IF($D290&lt;&gt;1,"",IF(AND($G290="IKS",$AI290&lt;&gt;1,OR($L290-$P290&lt;$N290,$M290-$Q290&lt;$O290)),1,0))</f>
        <v/>
      </c>
      <c r="AE290" s="14" t="str">
        <f aca="false">IF($D290&lt;&gt;1,"",IF(AND($G290="ROKS",$T290&gt;p_maxworkers),1,0))</f>
        <v/>
      </c>
      <c r="AF290" s="14" t="str">
        <f aca="false">IF($D290&lt;&gt;1,"",IF(INDEX(TblClusters[Environnement],$B290)="","(vide)",INDEX(TblClusters[Environnement],$B290)))</f>
        <v/>
      </c>
      <c r="AG290" s="14" t="str">
        <f aca="false">IF($D290&lt;&gt;1,"",$R290+p_poidsram*$S290)</f>
        <v/>
      </c>
      <c r="AH290" s="14" t="str">
        <f aca="false">IF($D290&lt;&gt;1,"",IFERROR($W290/$AG290,0))</f>
        <v/>
      </c>
      <c r="AI290" s="14" t="str">
        <f aca="false">IF($D290&lt;&gt;1,"",IF(AND($G290="IKS",ISNUMBER(INDEX(TblClusters[Fermeture retenue],$B290))),IF($E290&gt;=INDEX(TblClusters[Fermeture retenue],$B290),1,0),0))</f>
        <v/>
      </c>
    </row>
    <row r="291" customFormat="false" ht="15" hidden="false" customHeight="false" outlineLevel="0" collapsed="false">
      <c r="A291" s="14" t="n">
        <v>286</v>
      </c>
      <c r="B291" s="14" t="n">
        <f aca="false">INT(($A291-1)/36)+1</f>
        <v>8</v>
      </c>
      <c r="C291" s="14" t="n">
        <f aca="false">MOD($A291-1,36)+1</f>
        <v>34</v>
      </c>
      <c r="D291" s="14" t="n">
        <f aca="false">IF($C291&gt;p_horizon,0,IFERROR(IF(AND(INDEX(TblClusters[Cluster],$B291)&lt;&gt;"",ISNUMBER(INDEX(TblClusters[CPU initial (vCPU)],$B291)),ISNUMBER(INDEX(TblClusters[CPU min (vCPU)],$B291)),OR(INDEX(TblClusters[Plateforme],$B291)="IKS",INDEX(TblClusters[Plateforme],$B291)="ROKS")),1,0),0))</f>
        <v>0</v>
      </c>
      <c r="E291" s="83" t="str">
        <f aca="false">IF($D291=1,EDATE(p_debut,$C291-1),"")</f>
        <v/>
      </c>
      <c r="F291" s="14" t="str">
        <f aca="false">IF($D291=1,INDEX(TblClusters[Cluster],$B291),"")</f>
        <v/>
      </c>
      <c r="G291" s="14" t="str">
        <f aca="false">IF($D291=1,INDEX(TblClusters[Plateforme],$B291),"")</f>
        <v/>
      </c>
      <c r="H291" s="14" t="str">
        <f aca="false">IF($D291=1,INDEX(TblClusters[vCPU par nœud],$B291),"")</f>
        <v/>
      </c>
      <c r="I291" s="14" t="str">
        <f aca="false">IF($D291=1,INDEX(TblClusters[RAM par nœud (Go)],$B291),"")</f>
        <v/>
      </c>
      <c r="J291" s="14" t="str">
        <f aca="false">IF($D291=1,INDEX(TblClusters[Workers min],$B291),"")</f>
        <v/>
      </c>
      <c r="K291" s="84" t="str">
        <f aca="false">IF($D291=1,INDEX(TblClusters[Tarif par nœud],$B291),"")</f>
        <v/>
      </c>
      <c r="L291" s="14" t="str">
        <f aca="false">IF($D291=1,INDEX(TblClusters[CPU initial (vCPU)],$B291),"")</f>
        <v/>
      </c>
      <c r="M291" s="14" t="str">
        <f aca="false">IF($D291=1,INDEX(TblClusters[RAM initiale (Go)],$B291),"")</f>
        <v/>
      </c>
      <c r="N291" s="14" t="str">
        <f aca="false">IF($D291=1,INDEX(TblClusters[CPU min (vCPU)],$B291),"")</f>
        <v/>
      </c>
      <c r="O291" s="14" t="str">
        <f aca="false">IF($D291=1,INDEX(TblClusters[RAM min (Go)],$B291),"")</f>
        <v/>
      </c>
      <c r="P291" s="14" t="str">
        <f aca="false">IF($D291&lt;&gt;1,"",IF($G291="ROKS",SUMIFS(TblApplications[Besoin ROKS CPU (vCPU)],TblApplications[Cluster ROKS cible],$F291,TblApplications[Action],"À migrer",TblApplications[Déjà incluse ROKS],"Non",TblApplications[Mois prov (calc)],"&lt;="&amp;$E291),SUMIFS(TblApplications[CPU IKS libérable (vCPU)],TblApplications[Cluster IKS source],$F291,TblApplications[Mois lib (calc)],"&lt;="&amp;$E291)))</f>
        <v/>
      </c>
      <c r="Q291" s="14" t="str">
        <f aca="false">IF($D291&lt;&gt;1,"",IF($G291="ROKS",SUMIFS(TblApplications[Besoin ROKS RAM (Go)],TblApplications[Cluster ROKS cible],$F291,TblApplications[Action],"À migrer",TblApplications[Déjà incluse ROKS],"Non",TblApplications[Mois prov (calc)],"&lt;="&amp;$E291),SUMIFS(TblApplications[RAM IKS libérable (Go)],TblApplications[Cluster IKS source],$F291,TblApplications[Mois lib (calc)],"&lt;="&amp;$E291)))</f>
        <v/>
      </c>
      <c r="R291" s="14" t="str">
        <f aca="false">IF($D291&lt;&gt;1,"",IF($G291="ROKS",$L291+$P291,IF($AI291=1,0,MAX($N291,$L291-$P291))))</f>
        <v/>
      </c>
      <c r="S291" s="14" t="str">
        <f aca="false">IF($D291&lt;&gt;1,"",IF($G291="ROKS",$M291+$Q291,IF($AI291=1,0,MAX($O291,$M291-$Q291))))</f>
        <v/>
      </c>
      <c r="T291" s="14" t="str">
        <f aca="false">IF($D291&lt;&gt;1,"",IF($AI291=1,0,MAX($J291,ROUNDUP(MAX($R291/$H291,$S291/$I291),0))))</f>
        <v/>
      </c>
      <c r="U291" s="14" t="str">
        <f aca="false">IF($D291&lt;&gt;1,"",IF(p_mode="Nœud",$T291*$H291,$R291))</f>
        <v/>
      </c>
      <c r="V291" s="14" t="str">
        <f aca="false">IF($D291&lt;&gt;1,"",IF(p_mode="Nœud",$T291*$I291,$S291))</f>
        <v/>
      </c>
      <c r="W291" s="84" t="str">
        <f aca="false">IF($D291&lt;&gt;1,"",IF(p_mode="Nœud",$T291*$K291,$R291*IF($G291="IKS",p_iks_cpu,p_roks_cpu)+$S291*IF($G291="IKS",p_iks_ram,p_roks_ram))*p_facteur)</f>
        <v/>
      </c>
      <c r="X291" s="14" t="str">
        <f aca="false">IF($D291&lt;&gt;1,"",IF($G291="ROKS",$R291,IF($AI291=1,0,MAX($N291,$L291-SUMIFS(TblApplications[CPU IKS libérable (vCPU)],TblApplications[Cluster IKS source],$F291,TblApplications[Action],"À migrer",TblApplications[Mois prov (calc)],"&lt;="&amp;$E291)-SUMIFS(TblApplications[CPU IKS libérable (vCPU)],TblApplications[Cluster IKS source],$F291,TblApplications[Action],"À décommissionner",TblApplications[Mois lib (calc)],"&lt;="&amp;$E291)))))</f>
        <v/>
      </c>
      <c r="Y291" s="14" t="str">
        <f aca="false">IF($D291&lt;&gt;1,"",IF($G291="ROKS",$S291,IF($AI291=1,0,MAX($O291,$M291-SUMIFS(TblApplications[RAM IKS libérable (Go)],TblApplications[Cluster IKS source],$F291,TblApplications[Action],"À migrer",TblApplications[Mois prov (calc)],"&lt;="&amp;$E291)-SUMIFS(TblApplications[RAM IKS libérable (Go)],TblApplications[Cluster IKS source],$F291,TblApplications[Action],"À décommissionner",TblApplications[Mois lib (calc)],"&lt;="&amp;$E291)))))</f>
        <v/>
      </c>
      <c r="Z291" s="14" t="str">
        <f aca="false">IF($D291&lt;&gt;1,"",IF($AI291=1,0,MAX($J291,ROUNDUP(MAX($X291/$H291,$Y291/$I291),0))))</f>
        <v/>
      </c>
      <c r="AA291" s="84" t="str">
        <f aca="false">IF($D291&lt;&gt;1,"",IF(p_mode="Nœud",$Z291*$K291,$X291*IF($G291="IKS",p_iks_cpu,p_roks_cpu)+$Y291*IF($G291="IKS",p_iks_ram,p_roks_ram))*p_facteur)</f>
        <v/>
      </c>
      <c r="AB291" s="14" t="str">
        <f aca="false">IF($D291&lt;&gt;1,"",MAX($J291,ROUNDUP(MAX($L291/$H291,$M291/$I291),0)))</f>
        <v/>
      </c>
      <c r="AC291" s="84" t="str">
        <f aca="false">IF($D291&lt;&gt;1,"",IF(p_mode="Nœud",$AB291*$K291,$L291*IF($G291="IKS",p_iks_cpu,p_roks_cpu)+$M291*IF($G291="IKS",p_iks_ram,p_roks_ram))*p_facteur)</f>
        <v/>
      </c>
      <c r="AD291" s="14" t="str">
        <f aca="false">IF($D291&lt;&gt;1,"",IF(AND($G291="IKS",$AI291&lt;&gt;1,OR($L291-$P291&lt;$N291,$M291-$Q291&lt;$O291)),1,0))</f>
        <v/>
      </c>
      <c r="AE291" s="14" t="str">
        <f aca="false">IF($D291&lt;&gt;1,"",IF(AND($G291="ROKS",$T291&gt;p_maxworkers),1,0))</f>
        <v/>
      </c>
      <c r="AF291" s="14" t="str">
        <f aca="false">IF($D291&lt;&gt;1,"",IF(INDEX(TblClusters[Environnement],$B291)="","(vide)",INDEX(TblClusters[Environnement],$B291)))</f>
        <v/>
      </c>
      <c r="AG291" s="14" t="str">
        <f aca="false">IF($D291&lt;&gt;1,"",$R291+p_poidsram*$S291)</f>
        <v/>
      </c>
      <c r="AH291" s="14" t="str">
        <f aca="false">IF($D291&lt;&gt;1,"",IFERROR($W291/$AG291,0))</f>
        <v/>
      </c>
      <c r="AI291" s="14" t="str">
        <f aca="false">IF($D291&lt;&gt;1,"",IF(AND($G291="IKS",ISNUMBER(INDEX(TblClusters[Fermeture retenue],$B291))),IF($E291&gt;=INDEX(TblClusters[Fermeture retenue],$B291),1,0),0))</f>
        <v/>
      </c>
    </row>
    <row r="292" customFormat="false" ht="15" hidden="false" customHeight="false" outlineLevel="0" collapsed="false">
      <c r="A292" s="14" t="n">
        <v>287</v>
      </c>
      <c r="B292" s="14" t="n">
        <f aca="false">INT(($A292-1)/36)+1</f>
        <v>8</v>
      </c>
      <c r="C292" s="14" t="n">
        <f aca="false">MOD($A292-1,36)+1</f>
        <v>35</v>
      </c>
      <c r="D292" s="14" t="n">
        <f aca="false">IF($C292&gt;p_horizon,0,IFERROR(IF(AND(INDEX(TblClusters[Cluster],$B292)&lt;&gt;"",ISNUMBER(INDEX(TblClusters[CPU initial (vCPU)],$B292)),ISNUMBER(INDEX(TblClusters[CPU min (vCPU)],$B292)),OR(INDEX(TblClusters[Plateforme],$B292)="IKS",INDEX(TblClusters[Plateforme],$B292)="ROKS")),1,0),0))</f>
        <v>0</v>
      </c>
      <c r="E292" s="83" t="str">
        <f aca="false">IF($D292=1,EDATE(p_debut,$C292-1),"")</f>
        <v/>
      </c>
      <c r="F292" s="14" t="str">
        <f aca="false">IF($D292=1,INDEX(TblClusters[Cluster],$B292),"")</f>
        <v/>
      </c>
      <c r="G292" s="14" t="str">
        <f aca="false">IF($D292=1,INDEX(TblClusters[Plateforme],$B292),"")</f>
        <v/>
      </c>
      <c r="H292" s="14" t="str">
        <f aca="false">IF($D292=1,INDEX(TblClusters[vCPU par nœud],$B292),"")</f>
        <v/>
      </c>
      <c r="I292" s="14" t="str">
        <f aca="false">IF($D292=1,INDEX(TblClusters[RAM par nœud (Go)],$B292),"")</f>
        <v/>
      </c>
      <c r="J292" s="14" t="str">
        <f aca="false">IF($D292=1,INDEX(TblClusters[Workers min],$B292),"")</f>
        <v/>
      </c>
      <c r="K292" s="84" t="str">
        <f aca="false">IF($D292=1,INDEX(TblClusters[Tarif par nœud],$B292),"")</f>
        <v/>
      </c>
      <c r="L292" s="14" t="str">
        <f aca="false">IF($D292=1,INDEX(TblClusters[CPU initial (vCPU)],$B292),"")</f>
        <v/>
      </c>
      <c r="M292" s="14" t="str">
        <f aca="false">IF($D292=1,INDEX(TblClusters[RAM initiale (Go)],$B292),"")</f>
        <v/>
      </c>
      <c r="N292" s="14" t="str">
        <f aca="false">IF($D292=1,INDEX(TblClusters[CPU min (vCPU)],$B292),"")</f>
        <v/>
      </c>
      <c r="O292" s="14" t="str">
        <f aca="false">IF($D292=1,INDEX(TblClusters[RAM min (Go)],$B292),"")</f>
        <v/>
      </c>
      <c r="P292" s="14" t="str">
        <f aca="false">IF($D292&lt;&gt;1,"",IF($G292="ROKS",SUMIFS(TblApplications[Besoin ROKS CPU (vCPU)],TblApplications[Cluster ROKS cible],$F292,TblApplications[Action],"À migrer",TblApplications[Déjà incluse ROKS],"Non",TblApplications[Mois prov (calc)],"&lt;="&amp;$E292),SUMIFS(TblApplications[CPU IKS libérable (vCPU)],TblApplications[Cluster IKS source],$F292,TblApplications[Mois lib (calc)],"&lt;="&amp;$E292)))</f>
        <v/>
      </c>
      <c r="Q292" s="14" t="str">
        <f aca="false">IF($D292&lt;&gt;1,"",IF($G292="ROKS",SUMIFS(TblApplications[Besoin ROKS RAM (Go)],TblApplications[Cluster ROKS cible],$F292,TblApplications[Action],"À migrer",TblApplications[Déjà incluse ROKS],"Non",TblApplications[Mois prov (calc)],"&lt;="&amp;$E292),SUMIFS(TblApplications[RAM IKS libérable (Go)],TblApplications[Cluster IKS source],$F292,TblApplications[Mois lib (calc)],"&lt;="&amp;$E292)))</f>
        <v/>
      </c>
      <c r="R292" s="14" t="str">
        <f aca="false">IF($D292&lt;&gt;1,"",IF($G292="ROKS",$L292+$P292,IF($AI292=1,0,MAX($N292,$L292-$P292))))</f>
        <v/>
      </c>
      <c r="S292" s="14" t="str">
        <f aca="false">IF($D292&lt;&gt;1,"",IF($G292="ROKS",$M292+$Q292,IF($AI292=1,0,MAX($O292,$M292-$Q292))))</f>
        <v/>
      </c>
      <c r="T292" s="14" t="str">
        <f aca="false">IF($D292&lt;&gt;1,"",IF($AI292=1,0,MAX($J292,ROUNDUP(MAX($R292/$H292,$S292/$I292),0))))</f>
        <v/>
      </c>
      <c r="U292" s="14" t="str">
        <f aca="false">IF($D292&lt;&gt;1,"",IF(p_mode="Nœud",$T292*$H292,$R292))</f>
        <v/>
      </c>
      <c r="V292" s="14" t="str">
        <f aca="false">IF($D292&lt;&gt;1,"",IF(p_mode="Nœud",$T292*$I292,$S292))</f>
        <v/>
      </c>
      <c r="W292" s="84" t="str">
        <f aca="false">IF($D292&lt;&gt;1,"",IF(p_mode="Nœud",$T292*$K292,$R292*IF($G292="IKS",p_iks_cpu,p_roks_cpu)+$S292*IF($G292="IKS",p_iks_ram,p_roks_ram))*p_facteur)</f>
        <v/>
      </c>
      <c r="X292" s="14" t="str">
        <f aca="false">IF($D292&lt;&gt;1,"",IF($G292="ROKS",$R292,IF($AI292=1,0,MAX($N292,$L292-SUMIFS(TblApplications[CPU IKS libérable (vCPU)],TblApplications[Cluster IKS source],$F292,TblApplications[Action],"À migrer",TblApplications[Mois prov (calc)],"&lt;="&amp;$E292)-SUMIFS(TblApplications[CPU IKS libérable (vCPU)],TblApplications[Cluster IKS source],$F292,TblApplications[Action],"À décommissionner",TblApplications[Mois lib (calc)],"&lt;="&amp;$E292)))))</f>
        <v/>
      </c>
      <c r="Y292" s="14" t="str">
        <f aca="false">IF($D292&lt;&gt;1,"",IF($G292="ROKS",$S292,IF($AI292=1,0,MAX($O292,$M292-SUMIFS(TblApplications[RAM IKS libérable (Go)],TblApplications[Cluster IKS source],$F292,TblApplications[Action],"À migrer",TblApplications[Mois prov (calc)],"&lt;="&amp;$E292)-SUMIFS(TblApplications[RAM IKS libérable (Go)],TblApplications[Cluster IKS source],$F292,TblApplications[Action],"À décommissionner",TblApplications[Mois lib (calc)],"&lt;="&amp;$E292)))))</f>
        <v/>
      </c>
      <c r="Z292" s="14" t="str">
        <f aca="false">IF($D292&lt;&gt;1,"",IF($AI292=1,0,MAX($J292,ROUNDUP(MAX($X292/$H292,$Y292/$I292),0))))</f>
        <v/>
      </c>
      <c r="AA292" s="84" t="str">
        <f aca="false">IF($D292&lt;&gt;1,"",IF(p_mode="Nœud",$Z292*$K292,$X292*IF($G292="IKS",p_iks_cpu,p_roks_cpu)+$Y292*IF($G292="IKS",p_iks_ram,p_roks_ram))*p_facteur)</f>
        <v/>
      </c>
      <c r="AB292" s="14" t="str">
        <f aca="false">IF($D292&lt;&gt;1,"",MAX($J292,ROUNDUP(MAX($L292/$H292,$M292/$I292),0)))</f>
        <v/>
      </c>
      <c r="AC292" s="84" t="str">
        <f aca="false">IF($D292&lt;&gt;1,"",IF(p_mode="Nœud",$AB292*$K292,$L292*IF($G292="IKS",p_iks_cpu,p_roks_cpu)+$M292*IF($G292="IKS",p_iks_ram,p_roks_ram))*p_facteur)</f>
        <v/>
      </c>
      <c r="AD292" s="14" t="str">
        <f aca="false">IF($D292&lt;&gt;1,"",IF(AND($G292="IKS",$AI292&lt;&gt;1,OR($L292-$P292&lt;$N292,$M292-$Q292&lt;$O292)),1,0))</f>
        <v/>
      </c>
      <c r="AE292" s="14" t="str">
        <f aca="false">IF($D292&lt;&gt;1,"",IF(AND($G292="ROKS",$T292&gt;p_maxworkers),1,0))</f>
        <v/>
      </c>
      <c r="AF292" s="14" t="str">
        <f aca="false">IF($D292&lt;&gt;1,"",IF(INDEX(TblClusters[Environnement],$B292)="","(vide)",INDEX(TblClusters[Environnement],$B292)))</f>
        <v/>
      </c>
      <c r="AG292" s="14" t="str">
        <f aca="false">IF($D292&lt;&gt;1,"",$R292+p_poidsram*$S292)</f>
        <v/>
      </c>
      <c r="AH292" s="14" t="str">
        <f aca="false">IF($D292&lt;&gt;1,"",IFERROR($W292/$AG292,0))</f>
        <v/>
      </c>
      <c r="AI292" s="14" t="str">
        <f aca="false">IF($D292&lt;&gt;1,"",IF(AND($G292="IKS",ISNUMBER(INDEX(TblClusters[Fermeture retenue],$B292))),IF($E292&gt;=INDEX(TblClusters[Fermeture retenue],$B292),1,0),0))</f>
        <v/>
      </c>
    </row>
    <row r="293" customFormat="false" ht="15" hidden="false" customHeight="false" outlineLevel="0" collapsed="false">
      <c r="A293" s="14" t="n">
        <v>288</v>
      </c>
      <c r="B293" s="14" t="n">
        <f aca="false">INT(($A293-1)/36)+1</f>
        <v>8</v>
      </c>
      <c r="C293" s="14" t="n">
        <f aca="false">MOD($A293-1,36)+1</f>
        <v>36</v>
      </c>
      <c r="D293" s="14" t="n">
        <f aca="false">IF($C293&gt;p_horizon,0,IFERROR(IF(AND(INDEX(TblClusters[Cluster],$B293)&lt;&gt;"",ISNUMBER(INDEX(TblClusters[CPU initial (vCPU)],$B293)),ISNUMBER(INDEX(TblClusters[CPU min (vCPU)],$B293)),OR(INDEX(TblClusters[Plateforme],$B293)="IKS",INDEX(TblClusters[Plateforme],$B293)="ROKS")),1,0),0))</f>
        <v>0</v>
      </c>
      <c r="E293" s="83" t="str">
        <f aca="false">IF($D293=1,EDATE(p_debut,$C293-1),"")</f>
        <v/>
      </c>
      <c r="F293" s="14" t="str">
        <f aca="false">IF($D293=1,INDEX(TblClusters[Cluster],$B293),"")</f>
        <v/>
      </c>
      <c r="G293" s="14" t="str">
        <f aca="false">IF($D293=1,INDEX(TblClusters[Plateforme],$B293),"")</f>
        <v/>
      </c>
      <c r="H293" s="14" t="str">
        <f aca="false">IF($D293=1,INDEX(TblClusters[vCPU par nœud],$B293),"")</f>
        <v/>
      </c>
      <c r="I293" s="14" t="str">
        <f aca="false">IF($D293=1,INDEX(TblClusters[RAM par nœud (Go)],$B293),"")</f>
        <v/>
      </c>
      <c r="J293" s="14" t="str">
        <f aca="false">IF($D293=1,INDEX(TblClusters[Workers min],$B293),"")</f>
        <v/>
      </c>
      <c r="K293" s="84" t="str">
        <f aca="false">IF($D293=1,INDEX(TblClusters[Tarif par nœud],$B293),"")</f>
        <v/>
      </c>
      <c r="L293" s="14" t="str">
        <f aca="false">IF($D293=1,INDEX(TblClusters[CPU initial (vCPU)],$B293),"")</f>
        <v/>
      </c>
      <c r="M293" s="14" t="str">
        <f aca="false">IF($D293=1,INDEX(TblClusters[RAM initiale (Go)],$B293),"")</f>
        <v/>
      </c>
      <c r="N293" s="14" t="str">
        <f aca="false">IF($D293=1,INDEX(TblClusters[CPU min (vCPU)],$B293),"")</f>
        <v/>
      </c>
      <c r="O293" s="14" t="str">
        <f aca="false">IF($D293=1,INDEX(TblClusters[RAM min (Go)],$B293),"")</f>
        <v/>
      </c>
      <c r="P293" s="14" t="str">
        <f aca="false">IF($D293&lt;&gt;1,"",IF($G293="ROKS",SUMIFS(TblApplications[Besoin ROKS CPU (vCPU)],TblApplications[Cluster ROKS cible],$F293,TblApplications[Action],"À migrer",TblApplications[Déjà incluse ROKS],"Non",TblApplications[Mois prov (calc)],"&lt;="&amp;$E293),SUMIFS(TblApplications[CPU IKS libérable (vCPU)],TblApplications[Cluster IKS source],$F293,TblApplications[Mois lib (calc)],"&lt;="&amp;$E293)))</f>
        <v/>
      </c>
      <c r="Q293" s="14" t="str">
        <f aca="false">IF($D293&lt;&gt;1,"",IF($G293="ROKS",SUMIFS(TblApplications[Besoin ROKS RAM (Go)],TblApplications[Cluster ROKS cible],$F293,TblApplications[Action],"À migrer",TblApplications[Déjà incluse ROKS],"Non",TblApplications[Mois prov (calc)],"&lt;="&amp;$E293),SUMIFS(TblApplications[RAM IKS libérable (Go)],TblApplications[Cluster IKS source],$F293,TblApplications[Mois lib (calc)],"&lt;="&amp;$E293)))</f>
        <v/>
      </c>
      <c r="R293" s="14" t="str">
        <f aca="false">IF($D293&lt;&gt;1,"",IF($G293="ROKS",$L293+$P293,IF($AI293=1,0,MAX($N293,$L293-$P293))))</f>
        <v/>
      </c>
      <c r="S293" s="14" t="str">
        <f aca="false">IF($D293&lt;&gt;1,"",IF($G293="ROKS",$M293+$Q293,IF($AI293=1,0,MAX($O293,$M293-$Q293))))</f>
        <v/>
      </c>
      <c r="T293" s="14" t="str">
        <f aca="false">IF($D293&lt;&gt;1,"",IF($AI293=1,0,MAX($J293,ROUNDUP(MAX($R293/$H293,$S293/$I293),0))))</f>
        <v/>
      </c>
      <c r="U293" s="14" t="str">
        <f aca="false">IF($D293&lt;&gt;1,"",IF(p_mode="Nœud",$T293*$H293,$R293))</f>
        <v/>
      </c>
      <c r="V293" s="14" t="str">
        <f aca="false">IF($D293&lt;&gt;1,"",IF(p_mode="Nœud",$T293*$I293,$S293))</f>
        <v/>
      </c>
      <c r="W293" s="84" t="str">
        <f aca="false">IF($D293&lt;&gt;1,"",IF(p_mode="Nœud",$T293*$K293,$R293*IF($G293="IKS",p_iks_cpu,p_roks_cpu)+$S293*IF($G293="IKS",p_iks_ram,p_roks_ram))*p_facteur)</f>
        <v/>
      </c>
      <c r="X293" s="14" t="str">
        <f aca="false">IF($D293&lt;&gt;1,"",IF($G293="ROKS",$R293,IF($AI293=1,0,MAX($N293,$L293-SUMIFS(TblApplications[CPU IKS libérable (vCPU)],TblApplications[Cluster IKS source],$F293,TblApplications[Action],"À migrer",TblApplications[Mois prov (calc)],"&lt;="&amp;$E293)-SUMIFS(TblApplications[CPU IKS libérable (vCPU)],TblApplications[Cluster IKS source],$F293,TblApplications[Action],"À décommissionner",TblApplications[Mois lib (calc)],"&lt;="&amp;$E293)))))</f>
        <v/>
      </c>
      <c r="Y293" s="14" t="str">
        <f aca="false">IF($D293&lt;&gt;1,"",IF($G293="ROKS",$S293,IF($AI293=1,0,MAX($O293,$M293-SUMIFS(TblApplications[RAM IKS libérable (Go)],TblApplications[Cluster IKS source],$F293,TblApplications[Action],"À migrer",TblApplications[Mois prov (calc)],"&lt;="&amp;$E293)-SUMIFS(TblApplications[RAM IKS libérable (Go)],TblApplications[Cluster IKS source],$F293,TblApplications[Action],"À décommissionner",TblApplications[Mois lib (calc)],"&lt;="&amp;$E293)))))</f>
        <v/>
      </c>
      <c r="Z293" s="14" t="str">
        <f aca="false">IF($D293&lt;&gt;1,"",IF($AI293=1,0,MAX($J293,ROUNDUP(MAX($X293/$H293,$Y293/$I293),0))))</f>
        <v/>
      </c>
      <c r="AA293" s="84" t="str">
        <f aca="false">IF($D293&lt;&gt;1,"",IF(p_mode="Nœud",$Z293*$K293,$X293*IF($G293="IKS",p_iks_cpu,p_roks_cpu)+$Y293*IF($G293="IKS",p_iks_ram,p_roks_ram))*p_facteur)</f>
        <v/>
      </c>
      <c r="AB293" s="14" t="str">
        <f aca="false">IF($D293&lt;&gt;1,"",MAX($J293,ROUNDUP(MAX($L293/$H293,$M293/$I293),0)))</f>
        <v/>
      </c>
      <c r="AC293" s="84" t="str">
        <f aca="false">IF($D293&lt;&gt;1,"",IF(p_mode="Nœud",$AB293*$K293,$L293*IF($G293="IKS",p_iks_cpu,p_roks_cpu)+$M293*IF($G293="IKS",p_iks_ram,p_roks_ram))*p_facteur)</f>
        <v/>
      </c>
      <c r="AD293" s="14" t="str">
        <f aca="false">IF($D293&lt;&gt;1,"",IF(AND($G293="IKS",$AI293&lt;&gt;1,OR($L293-$P293&lt;$N293,$M293-$Q293&lt;$O293)),1,0))</f>
        <v/>
      </c>
      <c r="AE293" s="14" t="str">
        <f aca="false">IF($D293&lt;&gt;1,"",IF(AND($G293="ROKS",$T293&gt;p_maxworkers),1,0))</f>
        <v/>
      </c>
      <c r="AF293" s="14" t="str">
        <f aca="false">IF($D293&lt;&gt;1,"",IF(INDEX(TblClusters[Environnement],$B293)="","(vide)",INDEX(TblClusters[Environnement],$B293)))</f>
        <v/>
      </c>
      <c r="AG293" s="14" t="str">
        <f aca="false">IF($D293&lt;&gt;1,"",$R293+p_poidsram*$S293)</f>
        <v/>
      </c>
      <c r="AH293" s="14" t="str">
        <f aca="false">IF($D293&lt;&gt;1,"",IFERROR($W293/$AG293,0))</f>
        <v/>
      </c>
      <c r="AI293" s="14" t="str">
        <f aca="false">IF($D293&lt;&gt;1,"",IF(AND($G293="IKS",ISNUMBER(INDEX(TblClusters[Fermeture retenue],$B293))),IF($E293&gt;=INDEX(TblClusters[Fermeture retenue],$B293),1,0),0))</f>
        <v/>
      </c>
    </row>
    <row r="294" customFormat="false" ht="15" hidden="false" customHeight="false" outlineLevel="0" collapsed="false">
      <c r="A294" s="14" t="n">
        <v>289</v>
      </c>
      <c r="B294" s="14" t="n">
        <f aca="false">INT(($A294-1)/36)+1</f>
        <v>9</v>
      </c>
      <c r="C294" s="14" t="n">
        <f aca="false">MOD($A294-1,36)+1</f>
        <v>1</v>
      </c>
      <c r="D294" s="14" t="n">
        <f aca="false">IF($C294&gt;p_horizon,0,IFERROR(IF(AND(INDEX(TblClusters[Cluster],$B294)&lt;&gt;"",ISNUMBER(INDEX(TblClusters[CPU initial (vCPU)],$B294)),ISNUMBER(INDEX(TblClusters[CPU min (vCPU)],$B294)),OR(INDEX(TblClusters[Plateforme],$B294)="IKS",INDEX(TblClusters[Plateforme],$B294)="ROKS")),1,0),0))</f>
        <v>0</v>
      </c>
      <c r="E294" s="83" t="str">
        <f aca="false">IF($D294=1,EDATE(p_debut,$C294-1),"")</f>
        <v/>
      </c>
      <c r="F294" s="14" t="str">
        <f aca="false">IF($D294=1,INDEX(TblClusters[Cluster],$B294),"")</f>
        <v/>
      </c>
      <c r="G294" s="14" t="str">
        <f aca="false">IF($D294=1,INDEX(TblClusters[Plateforme],$B294),"")</f>
        <v/>
      </c>
      <c r="H294" s="14" t="str">
        <f aca="false">IF($D294=1,INDEX(TblClusters[vCPU par nœud],$B294),"")</f>
        <v/>
      </c>
      <c r="I294" s="14" t="str">
        <f aca="false">IF($D294=1,INDEX(TblClusters[RAM par nœud (Go)],$B294),"")</f>
        <v/>
      </c>
      <c r="J294" s="14" t="str">
        <f aca="false">IF($D294=1,INDEX(TblClusters[Workers min],$B294),"")</f>
        <v/>
      </c>
      <c r="K294" s="84" t="str">
        <f aca="false">IF($D294=1,INDEX(TblClusters[Tarif par nœud],$B294),"")</f>
        <v/>
      </c>
      <c r="L294" s="14" t="str">
        <f aca="false">IF($D294=1,INDEX(TblClusters[CPU initial (vCPU)],$B294),"")</f>
        <v/>
      </c>
      <c r="M294" s="14" t="str">
        <f aca="false">IF($D294=1,INDEX(TblClusters[RAM initiale (Go)],$B294),"")</f>
        <v/>
      </c>
      <c r="N294" s="14" t="str">
        <f aca="false">IF($D294=1,INDEX(TblClusters[CPU min (vCPU)],$B294),"")</f>
        <v/>
      </c>
      <c r="O294" s="14" t="str">
        <f aca="false">IF($D294=1,INDEX(TblClusters[RAM min (Go)],$B294),"")</f>
        <v/>
      </c>
      <c r="P294" s="14" t="str">
        <f aca="false">IF($D294&lt;&gt;1,"",IF($G294="ROKS",SUMIFS(TblApplications[Besoin ROKS CPU (vCPU)],TblApplications[Cluster ROKS cible],$F294,TblApplications[Action],"À migrer",TblApplications[Déjà incluse ROKS],"Non",TblApplications[Mois prov (calc)],"&lt;="&amp;$E294),SUMIFS(TblApplications[CPU IKS libérable (vCPU)],TblApplications[Cluster IKS source],$F294,TblApplications[Mois lib (calc)],"&lt;="&amp;$E294)))</f>
        <v/>
      </c>
      <c r="Q294" s="14" t="str">
        <f aca="false">IF($D294&lt;&gt;1,"",IF($G294="ROKS",SUMIFS(TblApplications[Besoin ROKS RAM (Go)],TblApplications[Cluster ROKS cible],$F294,TblApplications[Action],"À migrer",TblApplications[Déjà incluse ROKS],"Non",TblApplications[Mois prov (calc)],"&lt;="&amp;$E294),SUMIFS(TblApplications[RAM IKS libérable (Go)],TblApplications[Cluster IKS source],$F294,TblApplications[Mois lib (calc)],"&lt;="&amp;$E294)))</f>
        <v/>
      </c>
      <c r="R294" s="14" t="str">
        <f aca="false">IF($D294&lt;&gt;1,"",IF($G294="ROKS",$L294+$P294,IF($AI294=1,0,MAX($N294,$L294-$P294))))</f>
        <v/>
      </c>
      <c r="S294" s="14" t="str">
        <f aca="false">IF($D294&lt;&gt;1,"",IF($G294="ROKS",$M294+$Q294,IF($AI294=1,0,MAX($O294,$M294-$Q294))))</f>
        <v/>
      </c>
      <c r="T294" s="14" t="str">
        <f aca="false">IF($D294&lt;&gt;1,"",IF($AI294=1,0,MAX($J294,ROUNDUP(MAX($R294/$H294,$S294/$I294),0))))</f>
        <v/>
      </c>
      <c r="U294" s="14" t="str">
        <f aca="false">IF($D294&lt;&gt;1,"",IF(p_mode="Nœud",$T294*$H294,$R294))</f>
        <v/>
      </c>
      <c r="V294" s="14" t="str">
        <f aca="false">IF($D294&lt;&gt;1,"",IF(p_mode="Nœud",$T294*$I294,$S294))</f>
        <v/>
      </c>
      <c r="W294" s="84" t="str">
        <f aca="false">IF($D294&lt;&gt;1,"",IF(p_mode="Nœud",$T294*$K294,$R294*IF($G294="IKS",p_iks_cpu,p_roks_cpu)+$S294*IF($G294="IKS",p_iks_ram,p_roks_ram))*p_facteur)</f>
        <v/>
      </c>
      <c r="X294" s="14" t="str">
        <f aca="false">IF($D294&lt;&gt;1,"",IF($G294="ROKS",$R294,IF($AI294=1,0,MAX($N294,$L294-SUMIFS(TblApplications[CPU IKS libérable (vCPU)],TblApplications[Cluster IKS source],$F294,TblApplications[Action],"À migrer",TblApplications[Mois prov (calc)],"&lt;="&amp;$E294)-SUMIFS(TblApplications[CPU IKS libérable (vCPU)],TblApplications[Cluster IKS source],$F294,TblApplications[Action],"À décommissionner",TblApplications[Mois lib (calc)],"&lt;="&amp;$E294)))))</f>
        <v/>
      </c>
      <c r="Y294" s="14" t="str">
        <f aca="false">IF($D294&lt;&gt;1,"",IF($G294="ROKS",$S294,IF($AI294=1,0,MAX($O294,$M294-SUMIFS(TblApplications[RAM IKS libérable (Go)],TblApplications[Cluster IKS source],$F294,TblApplications[Action],"À migrer",TblApplications[Mois prov (calc)],"&lt;="&amp;$E294)-SUMIFS(TblApplications[RAM IKS libérable (Go)],TblApplications[Cluster IKS source],$F294,TblApplications[Action],"À décommissionner",TblApplications[Mois lib (calc)],"&lt;="&amp;$E294)))))</f>
        <v/>
      </c>
      <c r="Z294" s="14" t="str">
        <f aca="false">IF($D294&lt;&gt;1,"",IF($AI294=1,0,MAX($J294,ROUNDUP(MAX($X294/$H294,$Y294/$I294),0))))</f>
        <v/>
      </c>
      <c r="AA294" s="84" t="str">
        <f aca="false">IF($D294&lt;&gt;1,"",IF(p_mode="Nœud",$Z294*$K294,$X294*IF($G294="IKS",p_iks_cpu,p_roks_cpu)+$Y294*IF($G294="IKS",p_iks_ram,p_roks_ram))*p_facteur)</f>
        <v/>
      </c>
      <c r="AB294" s="14" t="str">
        <f aca="false">IF($D294&lt;&gt;1,"",MAX($J294,ROUNDUP(MAX($L294/$H294,$M294/$I294),0)))</f>
        <v/>
      </c>
      <c r="AC294" s="84" t="str">
        <f aca="false">IF($D294&lt;&gt;1,"",IF(p_mode="Nœud",$AB294*$K294,$L294*IF($G294="IKS",p_iks_cpu,p_roks_cpu)+$M294*IF($G294="IKS",p_iks_ram,p_roks_ram))*p_facteur)</f>
        <v/>
      </c>
      <c r="AD294" s="14" t="str">
        <f aca="false">IF($D294&lt;&gt;1,"",IF(AND($G294="IKS",$AI294&lt;&gt;1,OR($L294-$P294&lt;$N294,$M294-$Q294&lt;$O294)),1,0))</f>
        <v/>
      </c>
      <c r="AE294" s="14" t="str">
        <f aca="false">IF($D294&lt;&gt;1,"",IF(AND($G294="ROKS",$T294&gt;p_maxworkers),1,0))</f>
        <v/>
      </c>
      <c r="AF294" s="14" t="str">
        <f aca="false">IF($D294&lt;&gt;1,"",IF(INDEX(TblClusters[Environnement],$B294)="","(vide)",INDEX(TblClusters[Environnement],$B294)))</f>
        <v/>
      </c>
      <c r="AG294" s="14" t="str">
        <f aca="false">IF($D294&lt;&gt;1,"",$R294+p_poidsram*$S294)</f>
        <v/>
      </c>
      <c r="AH294" s="14" t="str">
        <f aca="false">IF($D294&lt;&gt;1,"",IFERROR($W294/$AG294,0))</f>
        <v/>
      </c>
      <c r="AI294" s="14" t="str">
        <f aca="false">IF($D294&lt;&gt;1,"",IF(AND($G294="IKS",ISNUMBER(INDEX(TblClusters[Fermeture retenue],$B294))),IF($E294&gt;=INDEX(TblClusters[Fermeture retenue],$B294),1,0),0))</f>
        <v/>
      </c>
    </row>
    <row r="295" customFormat="false" ht="15" hidden="false" customHeight="false" outlineLevel="0" collapsed="false">
      <c r="A295" s="14" t="n">
        <v>290</v>
      </c>
      <c r="B295" s="14" t="n">
        <f aca="false">INT(($A295-1)/36)+1</f>
        <v>9</v>
      </c>
      <c r="C295" s="14" t="n">
        <f aca="false">MOD($A295-1,36)+1</f>
        <v>2</v>
      </c>
      <c r="D295" s="14" t="n">
        <f aca="false">IF($C295&gt;p_horizon,0,IFERROR(IF(AND(INDEX(TblClusters[Cluster],$B295)&lt;&gt;"",ISNUMBER(INDEX(TblClusters[CPU initial (vCPU)],$B295)),ISNUMBER(INDEX(TblClusters[CPU min (vCPU)],$B295)),OR(INDEX(TblClusters[Plateforme],$B295)="IKS",INDEX(TblClusters[Plateforme],$B295)="ROKS")),1,0),0))</f>
        <v>0</v>
      </c>
      <c r="E295" s="83" t="str">
        <f aca="false">IF($D295=1,EDATE(p_debut,$C295-1),"")</f>
        <v/>
      </c>
      <c r="F295" s="14" t="str">
        <f aca="false">IF($D295=1,INDEX(TblClusters[Cluster],$B295),"")</f>
        <v/>
      </c>
      <c r="G295" s="14" t="str">
        <f aca="false">IF($D295=1,INDEX(TblClusters[Plateforme],$B295),"")</f>
        <v/>
      </c>
      <c r="H295" s="14" t="str">
        <f aca="false">IF($D295=1,INDEX(TblClusters[vCPU par nœud],$B295),"")</f>
        <v/>
      </c>
      <c r="I295" s="14" t="str">
        <f aca="false">IF($D295=1,INDEX(TblClusters[RAM par nœud (Go)],$B295),"")</f>
        <v/>
      </c>
      <c r="J295" s="14" t="str">
        <f aca="false">IF($D295=1,INDEX(TblClusters[Workers min],$B295),"")</f>
        <v/>
      </c>
      <c r="K295" s="84" t="str">
        <f aca="false">IF($D295=1,INDEX(TblClusters[Tarif par nœud],$B295),"")</f>
        <v/>
      </c>
      <c r="L295" s="14" t="str">
        <f aca="false">IF($D295=1,INDEX(TblClusters[CPU initial (vCPU)],$B295),"")</f>
        <v/>
      </c>
      <c r="M295" s="14" t="str">
        <f aca="false">IF($D295=1,INDEX(TblClusters[RAM initiale (Go)],$B295),"")</f>
        <v/>
      </c>
      <c r="N295" s="14" t="str">
        <f aca="false">IF($D295=1,INDEX(TblClusters[CPU min (vCPU)],$B295),"")</f>
        <v/>
      </c>
      <c r="O295" s="14" t="str">
        <f aca="false">IF($D295=1,INDEX(TblClusters[RAM min (Go)],$B295),"")</f>
        <v/>
      </c>
      <c r="P295" s="14" t="str">
        <f aca="false">IF($D295&lt;&gt;1,"",IF($G295="ROKS",SUMIFS(TblApplications[Besoin ROKS CPU (vCPU)],TblApplications[Cluster ROKS cible],$F295,TblApplications[Action],"À migrer",TblApplications[Déjà incluse ROKS],"Non",TblApplications[Mois prov (calc)],"&lt;="&amp;$E295),SUMIFS(TblApplications[CPU IKS libérable (vCPU)],TblApplications[Cluster IKS source],$F295,TblApplications[Mois lib (calc)],"&lt;="&amp;$E295)))</f>
        <v/>
      </c>
      <c r="Q295" s="14" t="str">
        <f aca="false">IF($D295&lt;&gt;1,"",IF($G295="ROKS",SUMIFS(TblApplications[Besoin ROKS RAM (Go)],TblApplications[Cluster ROKS cible],$F295,TblApplications[Action],"À migrer",TblApplications[Déjà incluse ROKS],"Non",TblApplications[Mois prov (calc)],"&lt;="&amp;$E295),SUMIFS(TblApplications[RAM IKS libérable (Go)],TblApplications[Cluster IKS source],$F295,TblApplications[Mois lib (calc)],"&lt;="&amp;$E295)))</f>
        <v/>
      </c>
      <c r="R295" s="14" t="str">
        <f aca="false">IF($D295&lt;&gt;1,"",IF($G295="ROKS",$L295+$P295,IF($AI295=1,0,MAX($N295,$L295-$P295))))</f>
        <v/>
      </c>
      <c r="S295" s="14" t="str">
        <f aca="false">IF($D295&lt;&gt;1,"",IF($G295="ROKS",$M295+$Q295,IF($AI295=1,0,MAX($O295,$M295-$Q295))))</f>
        <v/>
      </c>
      <c r="T295" s="14" t="str">
        <f aca="false">IF($D295&lt;&gt;1,"",IF($AI295=1,0,MAX($J295,ROUNDUP(MAX($R295/$H295,$S295/$I295),0))))</f>
        <v/>
      </c>
      <c r="U295" s="14" t="str">
        <f aca="false">IF($D295&lt;&gt;1,"",IF(p_mode="Nœud",$T295*$H295,$R295))</f>
        <v/>
      </c>
      <c r="V295" s="14" t="str">
        <f aca="false">IF($D295&lt;&gt;1,"",IF(p_mode="Nœud",$T295*$I295,$S295))</f>
        <v/>
      </c>
      <c r="W295" s="84" t="str">
        <f aca="false">IF($D295&lt;&gt;1,"",IF(p_mode="Nœud",$T295*$K295,$R295*IF($G295="IKS",p_iks_cpu,p_roks_cpu)+$S295*IF($G295="IKS",p_iks_ram,p_roks_ram))*p_facteur)</f>
        <v/>
      </c>
      <c r="X295" s="14" t="str">
        <f aca="false">IF($D295&lt;&gt;1,"",IF($G295="ROKS",$R295,IF($AI295=1,0,MAX($N295,$L295-SUMIFS(TblApplications[CPU IKS libérable (vCPU)],TblApplications[Cluster IKS source],$F295,TblApplications[Action],"À migrer",TblApplications[Mois prov (calc)],"&lt;="&amp;$E295)-SUMIFS(TblApplications[CPU IKS libérable (vCPU)],TblApplications[Cluster IKS source],$F295,TblApplications[Action],"À décommissionner",TblApplications[Mois lib (calc)],"&lt;="&amp;$E295)))))</f>
        <v/>
      </c>
      <c r="Y295" s="14" t="str">
        <f aca="false">IF($D295&lt;&gt;1,"",IF($G295="ROKS",$S295,IF($AI295=1,0,MAX($O295,$M295-SUMIFS(TblApplications[RAM IKS libérable (Go)],TblApplications[Cluster IKS source],$F295,TblApplications[Action],"À migrer",TblApplications[Mois prov (calc)],"&lt;="&amp;$E295)-SUMIFS(TblApplications[RAM IKS libérable (Go)],TblApplications[Cluster IKS source],$F295,TblApplications[Action],"À décommissionner",TblApplications[Mois lib (calc)],"&lt;="&amp;$E295)))))</f>
        <v/>
      </c>
      <c r="Z295" s="14" t="str">
        <f aca="false">IF($D295&lt;&gt;1,"",IF($AI295=1,0,MAX($J295,ROUNDUP(MAX($X295/$H295,$Y295/$I295),0))))</f>
        <v/>
      </c>
      <c r="AA295" s="84" t="str">
        <f aca="false">IF($D295&lt;&gt;1,"",IF(p_mode="Nœud",$Z295*$K295,$X295*IF($G295="IKS",p_iks_cpu,p_roks_cpu)+$Y295*IF($G295="IKS",p_iks_ram,p_roks_ram))*p_facteur)</f>
        <v/>
      </c>
      <c r="AB295" s="14" t="str">
        <f aca="false">IF($D295&lt;&gt;1,"",MAX($J295,ROUNDUP(MAX($L295/$H295,$M295/$I295),0)))</f>
        <v/>
      </c>
      <c r="AC295" s="84" t="str">
        <f aca="false">IF($D295&lt;&gt;1,"",IF(p_mode="Nœud",$AB295*$K295,$L295*IF($G295="IKS",p_iks_cpu,p_roks_cpu)+$M295*IF($G295="IKS",p_iks_ram,p_roks_ram))*p_facteur)</f>
        <v/>
      </c>
      <c r="AD295" s="14" t="str">
        <f aca="false">IF($D295&lt;&gt;1,"",IF(AND($G295="IKS",$AI295&lt;&gt;1,OR($L295-$P295&lt;$N295,$M295-$Q295&lt;$O295)),1,0))</f>
        <v/>
      </c>
      <c r="AE295" s="14" t="str">
        <f aca="false">IF($D295&lt;&gt;1,"",IF(AND($G295="ROKS",$T295&gt;p_maxworkers),1,0))</f>
        <v/>
      </c>
      <c r="AF295" s="14" t="str">
        <f aca="false">IF($D295&lt;&gt;1,"",IF(INDEX(TblClusters[Environnement],$B295)="","(vide)",INDEX(TblClusters[Environnement],$B295)))</f>
        <v/>
      </c>
      <c r="AG295" s="14" t="str">
        <f aca="false">IF($D295&lt;&gt;1,"",$R295+p_poidsram*$S295)</f>
        <v/>
      </c>
      <c r="AH295" s="14" t="str">
        <f aca="false">IF($D295&lt;&gt;1,"",IFERROR($W295/$AG295,0))</f>
        <v/>
      </c>
      <c r="AI295" s="14" t="str">
        <f aca="false">IF($D295&lt;&gt;1,"",IF(AND($G295="IKS",ISNUMBER(INDEX(TblClusters[Fermeture retenue],$B295))),IF($E295&gt;=INDEX(TblClusters[Fermeture retenue],$B295),1,0),0))</f>
        <v/>
      </c>
    </row>
    <row r="296" customFormat="false" ht="15" hidden="false" customHeight="false" outlineLevel="0" collapsed="false">
      <c r="A296" s="14" t="n">
        <v>291</v>
      </c>
      <c r="B296" s="14" t="n">
        <f aca="false">INT(($A296-1)/36)+1</f>
        <v>9</v>
      </c>
      <c r="C296" s="14" t="n">
        <f aca="false">MOD($A296-1,36)+1</f>
        <v>3</v>
      </c>
      <c r="D296" s="14" t="n">
        <f aca="false">IF($C296&gt;p_horizon,0,IFERROR(IF(AND(INDEX(TblClusters[Cluster],$B296)&lt;&gt;"",ISNUMBER(INDEX(TblClusters[CPU initial (vCPU)],$B296)),ISNUMBER(INDEX(TblClusters[CPU min (vCPU)],$B296)),OR(INDEX(TblClusters[Plateforme],$B296)="IKS",INDEX(TblClusters[Plateforme],$B296)="ROKS")),1,0),0))</f>
        <v>0</v>
      </c>
      <c r="E296" s="83" t="str">
        <f aca="false">IF($D296=1,EDATE(p_debut,$C296-1),"")</f>
        <v/>
      </c>
      <c r="F296" s="14" t="str">
        <f aca="false">IF($D296=1,INDEX(TblClusters[Cluster],$B296),"")</f>
        <v/>
      </c>
      <c r="G296" s="14" t="str">
        <f aca="false">IF($D296=1,INDEX(TblClusters[Plateforme],$B296),"")</f>
        <v/>
      </c>
      <c r="H296" s="14" t="str">
        <f aca="false">IF($D296=1,INDEX(TblClusters[vCPU par nœud],$B296),"")</f>
        <v/>
      </c>
      <c r="I296" s="14" t="str">
        <f aca="false">IF($D296=1,INDEX(TblClusters[RAM par nœud (Go)],$B296),"")</f>
        <v/>
      </c>
      <c r="J296" s="14" t="str">
        <f aca="false">IF($D296=1,INDEX(TblClusters[Workers min],$B296),"")</f>
        <v/>
      </c>
      <c r="K296" s="84" t="str">
        <f aca="false">IF($D296=1,INDEX(TblClusters[Tarif par nœud],$B296),"")</f>
        <v/>
      </c>
      <c r="L296" s="14" t="str">
        <f aca="false">IF($D296=1,INDEX(TblClusters[CPU initial (vCPU)],$B296),"")</f>
        <v/>
      </c>
      <c r="M296" s="14" t="str">
        <f aca="false">IF($D296=1,INDEX(TblClusters[RAM initiale (Go)],$B296),"")</f>
        <v/>
      </c>
      <c r="N296" s="14" t="str">
        <f aca="false">IF($D296=1,INDEX(TblClusters[CPU min (vCPU)],$B296),"")</f>
        <v/>
      </c>
      <c r="O296" s="14" t="str">
        <f aca="false">IF($D296=1,INDEX(TblClusters[RAM min (Go)],$B296),"")</f>
        <v/>
      </c>
      <c r="P296" s="14" t="str">
        <f aca="false">IF($D296&lt;&gt;1,"",IF($G296="ROKS",SUMIFS(TblApplications[Besoin ROKS CPU (vCPU)],TblApplications[Cluster ROKS cible],$F296,TblApplications[Action],"À migrer",TblApplications[Déjà incluse ROKS],"Non",TblApplications[Mois prov (calc)],"&lt;="&amp;$E296),SUMIFS(TblApplications[CPU IKS libérable (vCPU)],TblApplications[Cluster IKS source],$F296,TblApplications[Mois lib (calc)],"&lt;="&amp;$E296)))</f>
        <v/>
      </c>
      <c r="Q296" s="14" t="str">
        <f aca="false">IF($D296&lt;&gt;1,"",IF($G296="ROKS",SUMIFS(TblApplications[Besoin ROKS RAM (Go)],TblApplications[Cluster ROKS cible],$F296,TblApplications[Action],"À migrer",TblApplications[Déjà incluse ROKS],"Non",TblApplications[Mois prov (calc)],"&lt;="&amp;$E296),SUMIFS(TblApplications[RAM IKS libérable (Go)],TblApplications[Cluster IKS source],$F296,TblApplications[Mois lib (calc)],"&lt;="&amp;$E296)))</f>
        <v/>
      </c>
      <c r="R296" s="14" t="str">
        <f aca="false">IF($D296&lt;&gt;1,"",IF($G296="ROKS",$L296+$P296,IF($AI296=1,0,MAX($N296,$L296-$P296))))</f>
        <v/>
      </c>
      <c r="S296" s="14" t="str">
        <f aca="false">IF($D296&lt;&gt;1,"",IF($G296="ROKS",$M296+$Q296,IF($AI296=1,0,MAX($O296,$M296-$Q296))))</f>
        <v/>
      </c>
      <c r="T296" s="14" t="str">
        <f aca="false">IF($D296&lt;&gt;1,"",IF($AI296=1,0,MAX($J296,ROUNDUP(MAX($R296/$H296,$S296/$I296),0))))</f>
        <v/>
      </c>
      <c r="U296" s="14" t="str">
        <f aca="false">IF($D296&lt;&gt;1,"",IF(p_mode="Nœud",$T296*$H296,$R296))</f>
        <v/>
      </c>
      <c r="V296" s="14" t="str">
        <f aca="false">IF($D296&lt;&gt;1,"",IF(p_mode="Nœud",$T296*$I296,$S296))</f>
        <v/>
      </c>
      <c r="W296" s="84" t="str">
        <f aca="false">IF($D296&lt;&gt;1,"",IF(p_mode="Nœud",$T296*$K296,$R296*IF($G296="IKS",p_iks_cpu,p_roks_cpu)+$S296*IF($G296="IKS",p_iks_ram,p_roks_ram))*p_facteur)</f>
        <v/>
      </c>
      <c r="X296" s="14" t="str">
        <f aca="false">IF($D296&lt;&gt;1,"",IF($G296="ROKS",$R296,IF($AI296=1,0,MAX($N296,$L296-SUMIFS(TblApplications[CPU IKS libérable (vCPU)],TblApplications[Cluster IKS source],$F296,TblApplications[Action],"À migrer",TblApplications[Mois prov (calc)],"&lt;="&amp;$E296)-SUMIFS(TblApplications[CPU IKS libérable (vCPU)],TblApplications[Cluster IKS source],$F296,TblApplications[Action],"À décommissionner",TblApplications[Mois lib (calc)],"&lt;="&amp;$E296)))))</f>
        <v/>
      </c>
      <c r="Y296" s="14" t="str">
        <f aca="false">IF($D296&lt;&gt;1,"",IF($G296="ROKS",$S296,IF($AI296=1,0,MAX($O296,$M296-SUMIFS(TblApplications[RAM IKS libérable (Go)],TblApplications[Cluster IKS source],$F296,TblApplications[Action],"À migrer",TblApplications[Mois prov (calc)],"&lt;="&amp;$E296)-SUMIFS(TblApplications[RAM IKS libérable (Go)],TblApplications[Cluster IKS source],$F296,TblApplications[Action],"À décommissionner",TblApplications[Mois lib (calc)],"&lt;="&amp;$E296)))))</f>
        <v/>
      </c>
      <c r="Z296" s="14" t="str">
        <f aca="false">IF($D296&lt;&gt;1,"",IF($AI296=1,0,MAX($J296,ROUNDUP(MAX($X296/$H296,$Y296/$I296),0))))</f>
        <v/>
      </c>
      <c r="AA296" s="84" t="str">
        <f aca="false">IF($D296&lt;&gt;1,"",IF(p_mode="Nœud",$Z296*$K296,$X296*IF($G296="IKS",p_iks_cpu,p_roks_cpu)+$Y296*IF($G296="IKS",p_iks_ram,p_roks_ram))*p_facteur)</f>
        <v/>
      </c>
      <c r="AB296" s="14" t="str">
        <f aca="false">IF($D296&lt;&gt;1,"",MAX($J296,ROUNDUP(MAX($L296/$H296,$M296/$I296),0)))</f>
        <v/>
      </c>
      <c r="AC296" s="84" t="str">
        <f aca="false">IF($D296&lt;&gt;1,"",IF(p_mode="Nœud",$AB296*$K296,$L296*IF($G296="IKS",p_iks_cpu,p_roks_cpu)+$M296*IF($G296="IKS",p_iks_ram,p_roks_ram))*p_facteur)</f>
        <v/>
      </c>
      <c r="AD296" s="14" t="str">
        <f aca="false">IF($D296&lt;&gt;1,"",IF(AND($G296="IKS",$AI296&lt;&gt;1,OR($L296-$P296&lt;$N296,$M296-$Q296&lt;$O296)),1,0))</f>
        <v/>
      </c>
      <c r="AE296" s="14" t="str">
        <f aca="false">IF($D296&lt;&gt;1,"",IF(AND($G296="ROKS",$T296&gt;p_maxworkers),1,0))</f>
        <v/>
      </c>
      <c r="AF296" s="14" t="str">
        <f aca="false">IF($D296&lt;&gt;1,"",IF(INDEX(TblClusters[Environnement],$B296)="","(vide)",INDEX(TblClusters[Environnement],$B296)))</f>
        <v/>
      </c>
      <c r="AG296" s="14" t="str">
        <f aca="false">IF($D296&lt;&gt;1,"",$R296+p_poidsram*$S296)</f>
        <v/>
      </c>
      <c r="AH296" s="14" t="str">
        <f aca="false">IF($D296&lt;&gt;1,"",IFERROR($W296/$AG296,0))</f>
        <v/>
      </c>
      <c r="AI296" s="14" t="str">
        <f aca="false">IF($D296&lt;&gt;1,"",IF(AND($G296="IKS",ISNUMBER(INDEX(TblClusters[Fermeture retenue],$B296))),IF($E296&gt;=INDEX(TblClusters[Fermeture retenue],$B296),1,0),0))</f>
        <v/>
      </c>
    </row>
    <row r="297" customFormat="false" ht="15" hidden="false" customHeight="false" outlineLevel="0" collapsed="false">
      <c r="A297" s="14" t="n">
        <v>292</v>
      </c>
      <c r="B297" s="14" t="n">
        <f aca="false">INT(($A297-1)/36)+1</f>
        <v>9</v>
      </c>
      <c r="C297" s="14" t="n">
        <f aca="false">MOD($A297-1,36)+1</f>
        <v>4</v>
      </c>
      <c r="D297" s="14" t="n">
        <f aca="false">IF($C297&gt;p_horizon,0,IFERROR(IF(AND(INDEX(TblClusters[Cluster],$B297)&lt;&gt;"",ISNUMBER(INDEX(TblClusters[CPU initial (vCPU)],$B297)),ISNUMBER(INDEX(TblClusters[CPU min (vCPU)],$B297)),OR(INDEX(TblClusters[Plateforme],$B297)="IKS",INDEX(TblClusters[Plateforme],$B297)="ROKS")),1,0),0))</f>
        <v>0</v>
      </c>
      <c r="E297" s="83" t="str">
        <f aca="false">IF($D297=1,EDATE(p_debut,$C297-1),"")</f>
        <v/>
      </c>
      <c r="F297" s="14" t="str">
        <f aca="false">IF($D297=1,INDEX(TblClusters[Cluster],$B297),"")</f>
        <v/>
      </c>
      <c r="G297" s="14" t="str">
        <f aca="false">IF($D297=1,INDEX(TblClusters[Plateforme],$B297),"")</f>
        <v/>
      </c>
      <c r="H297" s="14" t="str">
        <f aca="false">IF($D297=1,INDEX(TblClusters[vCPU par nœud],$B297),"")</f>
        <v/>
      </c>
      <c r="I297" s="14" t="str">
        <f aca="false">IF($D297=1,INDEX(TblClusters[RAM par nœud (Go)],$B297),"")</f>
        <v/>
      </c>
      <c r="J297" s="14" t="str">
        <f aca="false">IF($D297=1,INDEX(TblClusters[Workers min],$B297),"")</f>
        <v/>
      </c>
      <c r="K297" s="84" t="str">
        <f aca="false">IF($D297=1,INDEX(TblClusters[Tarif par nœud],$B297),"")</f>
        <v/>
      </c>
      <c r="L297" s="14" t="str">
        <f aca="false">IF($D297=1,INDEX(TblClusters[CPU initial (vCPU)],$B297),"")</f>
        <v/>
      </c>
      <c r="M297" s="14" t="str">
        <f aca="false">IF($D297=1,INDEX(TblClusters[RAM initiale (Go)],$B297),"")</f>
        <v/>
      </c>
      <c r="N297" s="14" t="str">
        <f aca="false">IF($D297=1,INDEX(TblClusters[CPU min (vCPU)],$B297),"")</f>
        <v/>
      </c>
      <c r="O297" s="14" t="str">
        <f aca="false">IF($D297=1,INDEX(TblClusters[RAM min (Go)],$B297),"")</f>
        <v/>
      </c>
      <c r="P297" s="14" t="str">
        <f aca="false">IF($D297&lt;&gt;1,"",IF($G297="ROKS",SUMIFS(TblApplications[Besoin ROKS CPU (vCPU)],TblApplications[Cluster ROKS cible],$F297,TblApplications[Action],"À migrer",TblApplications[Déjà incluse ROKS],"Non",TblApplications[Mois prov (calc)],"&lt;="&amp;$E297),SUMIFS(TblApplications[CPU IKS libérable (vCPU)],TblApplications[Cluster IKS source],$F297,TblApplications[Mois lib (calc)],"&lt;="&amp;$E297)))</f>
        <v/>
      </c>
      <c r="Q297" s="14" t="str">
        <f aca="false">IF($D297&lt;&gt;1,"",IF($G297="ROKS",SUMIFS(TblApplications[Besoin ROKS RAM (Go)],TblApplications[Cluster ROKS cible],$F297,TblApplications[Action],"À migrer",TblApplications[Déjà incluse ROKS],"Non",TblApplications[Mois prov (calc)],"&lt;="&amp;$E297),SUMIFS(TblApplications[RAM IKS libérable (Go)],TblApplications[Cluster IKS source],$F297,TblApplications[Mois lib (calc)],"&lt;="&amp;$E297)))</f>
        <v/>
      </c>
      <c r="R297" s="14" t="str">
        <f aca="false">IF($D297&lt;&gt;1,"",IF($G297="ROKS",$L297+$P297,IF($AI297=1,0,MAX($N297,$L297-$P297))))</f>
        <v/>
      </c>
      <c r="S297" s="14" t="str">
        <f aca="false">IF($D297&lt;&gt;1,"",IF($G297="ROKS",$M297+$Q297,IF($AI297=1,0,MAX($O297,$M297-$Q297))))</f>
        <v/>
      </c>
      <c r="T297" s="14" t="str">
        <f aca="false">IF($D297&lt;&gt;1,"",IF($AI297=1,0,MAX($J297,ROUNDUP(MAX($R297/$H297,$S297/$I297),0))))</f>
        <v/>
      </c>
      <c r="U297" s="14" t="str">
        <f aca="false">IF($D297&lt;&gt;1,"",IF(p_mode="Nœud",$T297*$H297,$R297))</f>
        <v/>
      </c>
      <c r="V297" s="14" t="str">
        <f aca="false">IF($D297&lt;&gt;1,"",IF(p_mode="Nœud",$T297*$I297,$S297))</f>
        <v/>
      </c>
      <c r="W297" s="84" t="str">
        <f aca="false">IF($D297&lt;&gt;1,"",IF(p_mode="Nœud",$T297*$K297,$R297*IF($G297="IKS",p_iks_cpu,p_roks_cpu)+$S297*IF($G297="IKS",p_iks_ram,p_roks_ram))*p_facteur)</f>
        <v/>
      </c>
      <c r="X297" s="14" t="str">
        <f aca="false">IF($D297&lt;&gt;1,"",IF($G297="ROKS",$R297,IF($AI297=1,0,MAX($N297,$L297-SUMIFS(TblApplications[CPU IKS libérable (vCPU)],TblApplications[Cluster IKS source],$F297,TblApplications[Action],"À migrer",TblApplications[Mois prov (calc)],"&lt;="&amp;$E297)-SUMIFS(TblApplications[CPU IKS libérable (vCPU)],TblApplications[Cluster IKS source],$F297,TblApplications[Action],"À décommissionner",TblApplications[Mois lib (calc)],"&lt;="&amp;$E297)))))</f>
        <v/>
      </c>
      <c r="Y297" s="14" t="str">
        <f aca="false">IF($D297&lt;&gt;1,"",IF($G297="ROKS",$S297,IF($AI297=1,0,MAX($O297,$M297-SUMIFS(TblApplications[RAM IKS libérable (Go)],TblApplications[Cluster IKS source],$F297,TblApplications[Action],"À migrer",TblApplications[Mois prov (calc)],"&lt;="&amp;$E297)-SUMIFS(TblApplications[RAM IKS libérable (Go)],TblApplications[Cluster IKS source],$F297,TblApplications[Action],"À décommissionner",TblApplications[Mois lib (calc)],"&lt;="&amp;$E297)))))</f>
        <v/>
      </c>
      <c r="Z297" s="14" t="str">
        <f aca="false">IF($D297&lt;&gt;1,"",IF($AI297=1,0,MAX($J297,ROUNDUP(MAX($X297/$H297,$Y297/$I297),0))))</f>
        <v/>
      </c>
      <c r="AA297" s="84" t="str">
        <f aca="false">IF($D297&lt;&gt;1,"",IF(p_mode="Nœud",$Z297*$K297,$X297*IF($G297="IKS",p_iks_cpu,p_roks_cpu)+$Y297*IF($G297="IKS",p_iks_ram,p_roks_ram))*p_facteur)</f>
        <v/>
      </c>
      <c r="AB297" s="14" t="str">
        <f aca="false">IF($D297&lt;&gt;1,"",MAX($J297,ROUNDUP(MAX($L297/$H297,$M297/$I297),0)))</f>
        <v/>
      </c>
      <c r="AC297" s="84" t="str">
        <f aca="false">IF($D297&lt;&gt;1,"",IF(p_mode="Nœud",$AB297*$K297,$L297*IF($G297="IKS",p_iks_cpu,p_roks_cpu)+$M297*IF($G297="IKS",p_iks_ram,p_roks_ram))*p_facteur)</f>
        <v/>
      </c>
      <c r="AD297" s="14" t="str">
        <f aca="false">IF($D297&lt;&gt;1,"",IF(AND($G297="IKS",$AI297&lt;&gt;1,OR($L297-$P297&lt;$N297,$M297-$Q297&lt;$O297)),1,0))</f>
        <v/>
      </c>
      <c r="AE297" s="14" t="str">
        <f aca="false">IF($D297&lt;&gt;1,"",IF(AND($G297="ROKS",$T297&gt;p_maxworkers),1,0))</f>
        <v/>
      </c>
      <c r="AF297" s="14" t="str">
        <f aca="false">IF($D297&lt;&gt;1,"",IF(INDEX(TblClusters[Environnement],$B297)="","(vide)",INDEX(TblClusters[Environnement],$B297)))</f>
        <v/>
      </c>
      <c r="AG297" s="14" t="str">
        <f aca="false">IF($D297&lt;&gt;1,"",$R297+p_poidsram*$S297)</f>
        <v/>
      </c>
      <c r="AH297" s="14" t="str">
        <f aca="false">IF($D297&lt;&gt;1,"",IFERROR($W297/$AG297,0))</f>
        <v/>
      </c>
      <c r="AI297" s="14" t="str">
        <f aca="false">IF($D297&lt;&gt;1,"",IF(AND($G297="IKS",ISNUMBER(INDEX(TblClusters[Fermeture retenue],$B297))),IF($E297&gt;=INDEX(TblClusters[Fermeture retenue],$B297),1,0),0))</f>
        <v/>
      </c>
    </row>
    <row r="298" customFormat="false" ht="15" hidden="false" customHeight="false" outlineLevel="0" collapsed="false">
      <c r="A298" s="14" t="n">
        <v>293</v>
      </c>
      <c r="B298" s="14" t="n">
        <f aca="false">INT(($A298-1)/36)+1</f>
        <v>9</v>
      </c>
      <c r="C298" s="14" t="n">
        <f aca="false">MOD($A298-1,36)+1</f>
        <v>5</v>
      </c>
      <c r="D298" s="14" t="n">
        <f aca="false">IF($C298&gt;p_horizon,0,IFERROR(IF(AND(INDEX(TblClusters[Cluster],$B298)&lt;&gt;"",ISNUMBER(INDEX(TblClusters[CPU initial (vCPU)],$B298)),ISNUMBER(INDEX(TblClusters[CPU min (vCPU)],$B298)),OR(INDEX(TblClusters[Plateforme],$B298)="IKS",INDEX(TblClusters[Plateforme],$B298)="ROKS")),1,0),0))</f>
        <v>0</v>
      </c>
      <c r="E298" s="83" t="str">
        <f aca="false">IF($D298=1,EDATE(p_debut,$C298-1),"")</f>
        <v/>
      </c>
      <c r="F298" s="14" t="str">
        <f aca="false">IF($D298=1,INDEX(TblClusters[Cluster],$B298),"")</f>
        <v/>
      </c>
      <c r="G298" s="14" t="str">
        <f aca="false">IF($D298=1,INDEX(TblClusters[Plateforme],$B298),"")</f>
        <v/>
      </c>
      <c r="H298" s="14" t="str">
        <f aca="false">IF($D298=1,INDEX(TblClusters[vCPU par nœud],$B298),"")</f>
        <v/>
      </c>
      <c r="I298" s="14" t="str">
        <f aca="false">IF($D298=1,INDEX(TblClusters[RAM par nœud (Go)],$B298),"")</f>
        <v/>
      </c>
      <c r="J298" s="14" t="str">
        <f aca="false">IF($D298=1,INDEX(TblClusters[Workers min],$B298),"")</f>
        <v/>
      </c>
      <c r="K298" s="84" t="str">
        <f aca="false">IF($D298=1,INDEX(TblClusters[Tarif par nœud],$B298),"")</f>
        <v/>
      </c>
      <c r="L298" s="14" t="str">
        <f aca="false">IF($D298=1,INDEX(TblClusters[CPU initial (vCPU)],$B298),"")</f>
        <v/>
      </c>
      <c r="M298" s="14" t="str">
        <f aca="false">IF($D298=1,INDEX(TblClusters[RAM initiale (Go)],$B298),"")</f>
        <v/>
      </c>
      <c r="N298" s="14" t="str">
        <f aca="false">IF($D298=1,INDEX(TblClusters[CPU min (vCPU)],$B298),"")</f>
        <v/>
      </c>
      <c r="O298" s="14" t="str">
        <f aca="false">IF($D298=1,INDEX(TblClusters[RAM min (Go)],$B298),"")</f>
        <v/>
      </c>
      <c r="P298" s="14" t="str">
        <f aca="false">IF($D298&lt;&gt;1,"",IF($G298="ROKS",SUMIFS(TblApplications[Besoin ROKS CPU (vCPU)],TblApplications[Cluster ROKS cible],$F298,TblApplications[Action],"À migrer",TblApplications[Déjà incluse ROKS],"Non",TblApplications[Mois prov (calc)],"&lt;="&amp;$E298),SUMIFS(TblApplications[CPU IKS libérable (vCPU)],TblApplications[Cluster IKS source],$F298,TblApplications[Mois lib (calc)],"&lt;="&amp;$E298)))</f>
        <v/>
      </c>
      <c r="Q298" s="14" t="str">
        <f aca="false">IF($D298&lt;&gt;1,"",IF($G298="ROKS",SUMIFS(TblApplications[Besoin ROKS RAM (Go)],TblApplications[Cluster ROKS cible],$F298,TblApplications[Action],"À migrer",TblApplications[Déjà incluse ROKS],"Non",TblApplications[Mois prov (calc)],"&lt;="&amp;$E298),SUMIFS(TblApplications[RAM IKS libérable (Go)],TblApplications[Cluster IKS source],$F298,TblApplications[Mois lib (calc)],"&lt;="&amp;$E298)))</f>
        <v/>
      </c>
      <c r="R298" s="14" t="str">
        <f aca="false">IF($D298&lt;&gt;1,"",IF($G298="ROKS",$L298+$P298,IF($AI298=1,0,MAX($N298,$L298-$P298))))</f>
        <v/>
      </c>
      <c r="S298" s="14" t="str">
        <f aca="false">IF($D298&lt;&gt;1,"",IF($G298="ROKS",$M298+$Q298,IF($AI298=1,0,MAX($O298,$M298-$Q298))))</f>
        <v/>
      </c>
      <c r="T298" s="14" t="str">
        <f aca="false">IF($D298&lt;&gt;1,"",IF($AI298=1,0,MAX($J298,ROUNDUP(MAX($R298/$H298,$S298/$I298),0))))</f>
        <v/>
      </c>
      <c r="U298" s="14" t="str">
        <f aca="false">IF($D298&lt;&gt;1,"",IF(p_mode="Nœud",$T298*$H298,$R298))</f>
        <v/>
      </c>
      <c r="V298" s="14" t="str">
        <f aca="false">IF($D298&lt;&gt;1,"",IF(p_mode="Nœud",$T298*$I298,$S298))</f>
        <v/>
      </c>
      <c r="W298" s="84" t="str">
        <f aca="false">IF($D298&lt;&gt;1,"",IF(p_mode="Nœud",$T298*$K298,$R298*IF($G298="IKS",p_iks_cpu,p_roks_cpu)+$S298*IF($G298="IKS",p_iks_ram,p_roks_ram))*p_facteur)</f>
        <v/>
      </c>
      <c r="X298" s="14" t="str">
        <f aca="false">IF($D298&lt;&gt;1,"",IF($G298="ROKS",$R298,IF($AI298=1,0,MAX($N298,$L298-SUMIFS(TblApplications[CPU IKS libérable (vCPU)],TblApplications[Cluster IKS source],$F298,TblApplications[Action],"À migrer",TblApplications[Mois prov (calc)],"&lt;="&amp;$E298)-SUMIFS(TblApplications[CPU IKS libérable (vCPU)],TblApplications[Cluster IKS source],$F298,TblApplications[Action],"À décommissionner",TblApplications[Mois lib (calc)],"&lt;="&amp;$E298)))))</f>
        <v/>
      </c>
      <c r="Y298" s="14" t="str">
        <f aca="false">IF($D298&lt;&gt;1,"",IF($G298="ROKS",$S298,IF($AI298=1,0,MAX($O298,$M298-SUMIFS(TblApplications[RAM IKS libérable (Go)],TblApplications[Cluster IKS source],$F298,TblApplications[Action],"À migrer",TblApplications[Mois prov (calc)],"&lt;="&amp;$E298)-SUMIFS(TblApplications[RAM IKS libérable (Go)],TblApplications[Cluster IKS source],$F298,TblApplications[Action],"À décommissionner",TblApplications[Mois lib (calc)],"&lt;="&amp;$E298)))))</f>
        <v/>
      </c>
      <c r="Z298" s="14" t="str">
        <f aca="false">IF($D298&lt;&gt;1,"",IF($AI298=1,0,MAX($J298,ROUNDUP(MAX($X298/$H298,$Y298/$I298),0))))</f>
        <v/>
      </c>
      <c r="AA298" s="84" t="str">
        <f aca="false">IF($D298&lt;&gt;1,"",IF(p_mode="Nœud",$Z298*$K298,$X298*IF($G298="IKS",p_iks_cpu,p_roks_cpu)+$Y298*IF($G298="IKS",p_iks_ram,p_roks_ram))*p_facteur)</f>
        <v/>
      </c>
      <c r="AB298" s="14" t="str">
        <f aca="false">IF($D298&lt;&gt;1,"",MAX($J298,ROUNDUP(MAX($L298/$H298,$M298/$I298),0)))</f>
        <v/>
      </c>
      <c r="AC298" s="84" t="str">
        <f aca="false">IF($D298&lt;&gt;1,"",IF(p_mode="Nœud",$AB298*$K298,$L298*IF($G298="IKS",p_iks_cpu,p_roks_cpu)+$M298*IF($G298="IKS",p_iks_ram,p_roks_ram))*p_facteur)</f>
        <v/>
      </c>
      <c r="AD298" s="14" t="str">
        <f aca="false">IF($D298&lt;&gt;1,"",IF(AND($G298="IKS",$AI298&lt;&gt;1,OR($L298-$P298&lt;$N298,$M298-$Q298&lt;$O298)),1,0))</f>
        <v/>
      </c>
      <c r="AE298" s="14" t="str">
        <f aca="false">IF($D298&lt;&gt;1,"",IF(AND($G298="ROKS",$T298&gt;p_maxworkers),1,0))</f>
        <v/>
      </c>
      <c r="AF298" s="14" t="str">
        <f aca="false">IF($D298&lt;&gt;1,"",IF(INDEX(TblClusters[Environnement],$B298)="","(vide)",INDEX(TblClusters[Environnement],$B298)))</f>
        <v/>
      </c>
      <c r="AG298" s="14" t="str">
        <f aca="false">IF($D298&lt;&gt;1,"",$R298+p_poidsram*$S298)</f>
        <v/>
      </c>
      <c r="AH298" s="14" t="str">
        <f aca="false">IF($D298&lt;&gt;1,"",IFERROR($W298/$AG298,0))</f>
        <v/>
      </c>
      <c r="AI298" s="14" t="str">
        <f aca="false">IF($D298&lt;&gt;1,"",IF(AND($G298="IKS",ISNUMBER(INDEX(TblClusters[Fermeture retenue],$B298))),IF($E298&gt;=INDEX(TblClusters[Fermeture retenue],$B298),1,0),0))</f>
        <v/>
      </c>
    </row>
    <row r="299" customFormat="false" ht="15" hidden="false" customHeight="false" outlineLevel="0" collapsed="false">
      <c r="A299" s="14" t="n">
        <v>294</v>
      </c>
      <c r="B299" s="14" t="n">
        <f aca="false">INT(($A299-1)/36)+1</f>
        <v>9</v>
      </c>
      <c r="C299" s="14" t="n">
        <f aca="false">MOD($A299-1,36)+1</f>
        <v>6</v>
      </c>
      <c r="D299" s="14" t="n">
        <f aca="false">IF($C299&gt;p_horizon,0,IFERROR(IF(AND(INDEX(TblClusters[Cluster],$B299)&lt;&gt;"",ISNUMBER(INDEX(TblClusters[CPU initial (vCPU)],$B299)),ISNUMBER(INDEX(TblClusters[CPU min (vCPU)],$B299)),OR(INDEX(TblClusters[Plateforme],$B299)="IKS",INDEX(TblClusters[Plateforme],$B299)="ROKS")),1,0),0))</f>
        <v>0</v>
      </c>
      <c r="E299" s="83" t="str">
        <f aca="false">IF($D299=1,EDATE(p_debut,$C299-1),"")</f>
        <v/>
      </c>
      <c r="F299" s="14" t="str">
        <f aca="false">IF($D299=1,INDEX(TblClusters[Cluster],$B299),"")</f>
        <v/>
      </c>
      <c r="G299" s="14" t="str">
        <f aca="false">IF($D299=1,INDEX(TblClusters[Plateforme],$B299),"")</f>
        <v/>
      </c>
      <c r="H299" s="14" t="str">
        <f aca="false">IF($D299=1,INDEX(TblClusters[vCPU par nœud],$B299),"")</f>
        <v/>
      </c>
      <c r="I299" s="14" t="str">
        <f aca="false">IF($D299=1,INDEX(TblClusters[RAM par nœud (Go)],$B299),"")</f>
        <v/>
      </c>
      <c r="J299" s="14" t="str">
        <f aca="false">IF($D299=1,INDEX(TblClusters[Workers min],$B299),"")</f>
        <v/>
      </c>
      <c r="K299" s="84" t="str">
        <f aca="false">IF($D299=1,INDEX(TblClusters[Tarif par nœud],$B299),"")</f>
        <v/>
      </c>
      <c r="L299" s="14" t="str">
        <f aca="false">IF($D299=1,INDEX(TblClusters[CPU initial (vCPU)],$B299),"")</f>
        <v/>
      </c>
      <c r="M299" s="14" t="str">
        <f aca="false">IF($D299=1,INDEX(TblClusters[RAM initiale (Go)],$B299),"")</f>
        <v/>
      </c>
      <c r="N299" s="14" t="str">
        <f aca="false">IF($D299=1,INDEX(TblClusters[CPU min (vCPU)],$B299),"")</f>
        <v/>
      </c>
      <c r="O299" s="14" t="str">
        <f aca="false">IF($D299=1,INDEX(TblClusters[RAM min (Go)],$B299),"")</f>
        <v/>
      </c>
      <c r="P299" s="14" t="str">
        <f aca="false">IF($D299&lt;&gt;1,"",IF($G299="ROKS",SUMIFS(TblApplications[Besoin ROKS CPU (vCPU)],TblApplications[Cluster ROKS cible],$F299,TblApplications[Action],"À migrer",TblApplications[Déjà incluse ROKS],"Non",TblApplications[Mois prov (calc)],"&lt;="&amp;$E299),SUMIFS(TblApplications[CPU IKS libérable (vCPU)],TblApplications[Cluster IKS source],$F299,TblApplications[Mois lib (calc)],"&lt;="&amp;$E299)))</f>
        <v/>
      </c>
      <c r="Q299" s="14" t="str">
        <f aca="false">IF($D299&lt;&gt;1,"",IF($G299="ROKS",SUMIFS(TblApplications[Besoin ROKS RAM (Go)],TblApplications[Cluster ROKS cible],$F299,TblApplications[Action],"À migrer",TblApplications[Déjà incluse ROKS],"Non",TblApplications[Mois prov (calc)],"&lt;="&amp;$E299),SUMIFS(TblApplications[RAM IKS libérable (Go)],TblApplications[Cluster IKS source],$F299,TblApplications[Mois lib (calc)],"&lt;="&amp;$E299)))</f>
        <v/>
      </c>
      <c r="R299" s="14" t="str">
        <f aca="false">IF($D299&lt;&gt;1,"",IF($G299="ROKS",$L299+$P299,IF($AI299=1,0,MAX($N299,$L299-$P299))))</f>
        <v/>
      </c>
      <c r="S299" s="14" t="str">
        <f aca="false">IF($D299&lt;&gt;1,"",IF($G299="ROKS",$M299+$Q299,IF($AI299=1,0,MAX($O299,$M299-$Q299))))</f>
        <v/>
      </c>
      <c r="T299" s="14" t="str">
        <f aca="false">IF($D299&lt;&gt;1,"",IF($AI299=1,0,MAX($J299,ROUNDUP(MAX($R299/$H299,$S299/$I299),0))))</f>
        <v/>
      </c>
      <c r="U299" s="14" t="str">
        <f aca="false">IF($D299&lt;&gt;1,"",IF(p_mode="Nœud",$T299*$H299,$R299))</f>
        <v/>
      </c>
      <c r="V299" s="14" t="str">
        <f aca="false">IF($D299&lt;&gt;1,"",IF(p_mode="Nœud",$T299*$I299,$S299))</f>
        <v/>
      </c>
      <c r="W299" s="84" t="str">
        <f aca="false">IF($D299&lt;&gt;1,"",IF(p_mode="Nœud",$T299*$K299,$R299*IF($G299="IKS",p_iks_cpu,p_roks_cpu)+$S299*IF($G299="IKS",p_iks_ram,p_roks_ram))*p_facteur)</f>
        <v/>
      </c>
      <c r="X299" s="14" t="str">
        <f aca="false">IF($D299&lt;&gt;1,"",IF($G299="ROKS",$R299,IF($AI299=1,0,MAX($N299,$L299-SUMIFS(TblApplications[CPU IKS libérable (vCPU)],TblApplications[Cluster IKS source],$F299,TblApplications[Action],"À migrer",TblApplications[Mois prov (calc)],"&lt;="&amp;$E299)-SUMIFS(TblApplications[CPU IKS libérable (vCPU)],TblApplications[Cluster IKS source],$F299,TblApplications[Action],"À décommissionner",TblApplications[Mois lib (calc)],"&lt;="&amp;$E299)))))</f>
        <v/>
      </c>
      <c r="Y299" s="14" t="str">
        <f aca="false">IF($D299&lt;&gt;1,"",IF($G299="ROKS",$S299,IF($AI299=1,0,MAX($O299,$M299-SUMIFS(TblApplications[RAM IKS libérable (Go)],TblApplications[Cluster IKS source],$F299,TblApplications[Action],"À migrer",TblApplications[Mois prov (calc)],"&lt;="&amp;$E299)-SUMIFS(TblApplications[RAM IKS libérable (Go)],TblApplications[Cluster IKS source],$F299,TblApplications[Action],"À décommissionner",TblApplications[Mois lib (calc)],"&lt;="&amp;$E299)))))</f>
        <v/>
      </c>
      <c r="Z299" s="14" t="str">
        <f aca="false">IF($D299&lt;&gt;1,"",IF($AI299=1,0,MAX($J299,ROUNDUP(MAX($X299/$H299,$Y299/$I299),0))))</f>
        <v/>
      </c>
      <c r="AA299" s="84" t="str">
        <f aca="false">IF($D299&lt;&gt;1,"",IF(p_mode="Nœud",$Z299*$K299,$X299*IF($G299="IKS",p_iks_cpu,p_roks_cpu)+$Y299*IF($G299="IKS",p_iks_ram,p_roks_ram))*p_facteur)</f>
        <v/>
      </c>
      <c r="AB299" s="14" t="str">
        <f aca="false">IF($D299&lt;&gt;1,"",MAX($J299,ROUNDUP(MAX($L299/$H299,$M299/$I299),0)))</f>
        <v/>
      </c>
      <c r="AC299" s="84" t="str">
        <f aca="false">IF($D299&lt;&gt;1,"",IF(p_mode="Nœud",$AB299*$K299,$L299*IF($G299="IKS",p_iks_cpu,p_roks_cpu)+$M299*IF($G299="IKS",p_iks_ram,p_roks_ram))*p_facteur)</f>
        <v/>
      </c>
      <c r="AD299" s="14" t="str">
        <f aca="false">IF($D299&lt;&gt;1,"",IF(AND($G299="IKS",$AI299&lt;&gt;1,OR($L299-$P299&lt;$N299,$M299-$Q299&lt;$O299)),1,0))</f>
        <v/>
      </c>
      <c r="AE299" s="14" t="str">
        <f aca="false">IF($D299&lt;&gt;1,"",IF(AND($G299="ROKS",$T299&gt;p_maxworkers),1,0))</f>
        <v/>
      </c>
      <c r="AF299" s="14" t="str">
        <f aca="false">IF($D299&lt;&gt;1,"",IF(INDEX(TblClusters[Environnement],$B299)="","(vide)",INDEX(TblClusters[Environnement],$B299)))</f>
        <v/>
      </c>
      <c r="AG299" s="14" t="str">
        <f aca="false">IF($D299&lt;&gt;1,"",$R299+p_poidsram*$S299)</f>
        <v/>
      </c>
      <c r="AH299" s="14" t="str">
        <f aca="false">IF($D299&lt;&gt;1,"",IFERROR($W299/$AG299,0))</f>
        <v/>
      </c>
      <c r="AI299" s="14" t="str">
        <f aca="false">IF($D299&lt;&gt;1,"",IF(AND($G299="IKS",ISNUMBER(INDEX(TblClusters[Fermeture retenue],$B299))),IF($E299&gt;=INDEX(TblClusters[Fermeture retenue],$B299),1,0),0))</f>
        <v/>
      </c>
    </row>
    <row r="300" customFormat="false" ht="15" hidden="false" customHeight="false" outlineLevel="0" collapsed="false">
      <c r="A300" s="14" t="n">
        <v>295</v>
      </c>
      <c r="B300" s="14" t="n">
        <f aca="false">INT(($A300-1)/36)+1</f>
        <v>9</v>
      </c>
      <c r="C300" s="14" t="n">
        <f aca="false">MOD($A300-1,36)+1</f>
        <v>7</v>
      </c>
      <c r="D300" s="14" t="n">
        <f aca="false">IF($C300&gt;p_horizon,0,IFERROR(IF(AND(INDEX(TblClusters[Cluster],$B300)&lt;&gt;"",ISNUMBER(INDEX(TblClusters[CPU initial (vCPU)],$B300)),ISNUMBER(INDEX(TblClusters[CPU min (vCPU)],$B300)),OR(INDEX(TblClusters[Plateforme],$B300)="IKS",INDEX(TblClusters[Plateforme],$B300)="ROKS")),1,0),0))</f>
        <v>0</v>
      </c>
      <c r="E300" s="83" t="str">
        <f aca="false">IF($D300=1,EDATE(p_debut,$C300-1),"")</f>
        <v/>
      </c>
      <c r="F300" s="14" t="str">
        <f aca="false">IF($D300=1,INDEX(TblClusters[Cluster],$B300),"")</f>
        <v/>
      </c>
      <c r="G300" s="14" t="str">
        <f aca="false">IF($D300=1,INDEX(TblClusters[Plateforme],$B300),"")</f>
        <v/>
      </c>
      <c r="H300" s="14" t="str">
        <f aca="false">IF($D300=1,INDEX(TblClusters[vCPU par nœud],$B300),"")</f>
        <v/>
      </c>
      <c r="I300" s="14" t="str">
        <f aca="false">IF($D300=1,INDEX(TblClusters[RAM par nœud (Go)],$B300),"")</f>
        <v/>
      </c>
      <c r="J300" s="14" t="str">
        <f aca="false">IF($D300=1,INDEX(TblClusters[Workers min],$B300),"")</f>
        <v/>
      </c>
      <c r="K300" s="84" t="str">
        <f aca="false">IF($D300=1,INDEX(TblClusters[Tarif par nœud],$B300),"")</f>
        <v/>
      </c>
      <c r="L300" s="14" t="str">
        <f aca="false">IF($D300=1,INDEX(TblClusters[CPU initial (vCPU)],$B300),"")</f>
        <v/>
      </c>
      <c r="M300" s="14" t="str">
        <f aca="false">IF($D300=1,INDEX(TblClusters[RAM initiale (Go)],$B300),"")</f>
        <v/>
      </c>
      <c r="N300" s="14" t="str">
        <f aca="false">IF($D300=1,INDEX(TblClusters[CPU min (vCPU)],$B300),"")</f>
        <v/>
      </c>
      <c r="O300" s="14" t="str">
        <f aca="false">IF($D300=1,INDEX(TblClusters[RAM min (Go)],$B300),"")</f>
        <v/>
      </c>
      <c r="P300" s="14" t="str">
        <f aca="false">IF($D300&lt;&gt;1,"",IF($G300="ROKS",SUMIFS(TblApplications[Besoin ROKS CPU (vCPU)],TblApplications[Cluster ROKS cible],$F300,TblApplications[Action],"À migrer",TblApplications[Déjà incluse ROKS],"Non",TblApplications[Mois prov (calc)],"&lt;="&amp;$E300),SUMIFS(TblApplications[CPU IKS libérable (vCPU)],TblApplications[Cluster IKS source],$F300,TblApplications[Mois lib (calc)],"&lt;="&amp;$E300)))</f>
        <v/>
      </c>
      <c r="Q300" s="14" t="str">
        <f aca="false">IF($D300&lt;&gt;1,"",IF($G300="ROKS",SUMIFS(TblApplications[Besoin ROKS RAM (Go)],TblApplications[Cluster ROKS cible],$F300,TblApplications[Action],"À migrer",TblApplications[Déjà incluse ROKS],"Non",TblApplications[Mois prov (calc)],"&lt;="&amp;$E300),SUMIFS(TblApplications[RAM IKS libérable (Go)],TblApplications[Cluster IKS source],$F300,TblApplications[Mois lib (calc)],"&lt;="&amp;$E300)))</f>
        <v/>
      </c>
      <c r="R300" s="14" t="str">
        <f aca="false">IF($D300&lt;&gt;1,"",IF($G300="ROKS",$L300+$P300,IF($AI300=1,0,MAX($N300,$L300-$P300))))</f>
        <v/>
      </c>
      <c r="S300" s="14" t="str">
        <f aca="false">IF($D300&lt;&gt;1,"",IF($G300="ROKS",$M300+$Q300,IF($AI300=1,0,MAX($O300,$M300-$Q300))))</f>
        <v/>
      </c>
      <c r="T300" s="14" t="str">
        <f aca="false">IF($D300&lt;&gt;1,"",IF($AI300=1,0,MAX($J300,ROUNDUP(MAX($R300/$H300,$S300/$I300),0))))</f>
        <v/>
      </c>
      <c r="U300" s="14" t="str">
        <f aca="false">IF($D300&lt;&gt;1,"",IF(p_mode="Nœud",$T300*$H300,$R300))</f>
        <v/>
      </c>
      <c r="V300" s="14" t="str">
        <f aca="false">IF($D300&lt;&gt;1,"",IF(p_mode="Nœud",$T300*$I300,$S300))</f>
        <v/>
      </c>
      <c r="W300" s="84" t="str">
        <f aca="false">IF($D300&lt;&gt;1,"",IF(p_mode="Nœud",$T300*$K300,$R300*IF($G300="IKS",p_iks_cpu,p_roks_cpu)+$S300*IF($G300="IKS",p_iks_ram,p_roks_ram))*p_facteur)</f>
        <v/>
      </c>
      <c r="X300" s="14" t="str">
        <f aca="false">IF($D300&lt;&gt;1,"",IF($G300="ROKS",$R300,IF($AI300=1,0,MAX($N300,$L300-SUMIFS(TblApplications[CPU IKS libérable (vCPU)],TblApplications[Cluster IKS source],$F300,TblApplications[Action],"À migrer",TblApplications[Mois prov (calc)],"&lt;="&amp;$E300)-SUMIFS(TblApplications[CPU IKS libérable (vCPU)],TblApplications[Cluster IKS source],$F300,TblApplications[Action],"À décommissionner",TblApplications[Mois lib (calc)],"&lt;="&amp;$E300)))))</f>
        <v/>
      </c>
      <c r="Y300" s="14" t="str">
        <f aca="false">IF($D300&lt;&gt;1,"",IF($G300="ROKS",$S300,IF($AI300=1,0,MAX($O300,$M300-SUMIFS(TblApplications[RAM IKS libérable (Go)],TblApplications[Cluster IKS source],$F300,TblApplications[Action],"À migrer",TblApplications[Mois prov (calc)],"&lt;="&amp;$E300)-SUMIFS(TblApplications[RAM IKS libérable (Go)],TblApplications[Cluster IKS source],$F300,TblApplications[Action],"À décommissionner",TblApplications[Mois lib (calc)],"&lt;="&amp;$E300)))))</f>
        <v/>
      </c>
      <c r="Z300" s="14" t="str">
        <f aca="false">IF($D300&lt;&gt;1,"",IF($AI300=1,0,MAX($J300,ROUNDUP(MAX($X300/$H300,$Y300/$I300),0))))</f>
        <v/>
      </c>
      <c r="AA300" s="84" t="str">
        <f aca="false">IF($D300&lt;&gt;1,"",IF(p_mode="Nœud",$Z300*$K300,$X300*IF($G300="IKS",p_iks_cpu,p_roks_cpu)+$Y300*IF($G300="IKS",p_iks_ram,p_roks_ram))*p_facteur)</f>
        <v/>
      </c>
      <c r="AB300" s="14" t="str">
        <f aca="false">IF($D300&lt;&gt;1,"",MAX($J300,ROUNDUP(MAX($L300/$H300,$M300/$I300),0)))</f>
        <v/>
      </c>
      <c r="AC300" s="84" t="str">
        <f aca="false">IF($D300&lt;&gt;1,"",IF(p_mode="Nœud",$AB300*$K300,$L300*IF($G300="IKS",p_iks_cpu,p_roks_cpu)+$M300*IF($G300="IKS",p_iks_ram,p_roks_ram))*p_facteur)</f>
        <v/>
      </c>
      <c r="AD300" s="14" t="str">
        <f aca="false">IF($D300&lt;&gt;1,"",IF(AND($G300="IKS",$AI300&lt;&gt;1,OR($L300-$P300&lt;$N300,$M300-$Q300&lt;$O300)),1,0))</f>
        <v/>
      </c>
      <c r="AE300" s="14" t="str">
        <f aca="false">IF($D300&lt;&gt;1,"",IF(AND($G300="ROKS",$T300&gt;p_maxworkers),1,0))</f>
        <v/>
      </c>
      <c r="AF300" s="14" t="str">
        <f aca="false">IF($D300&lt;&gt;1,"",IF(INDEX(TblClusters[Environnement],$B300)="","(vide)",INDEX(TblClusters[Environnement],$B300)))</f>
        <v/>
      </c>
      <c r="AG300" s="14" t="str">
        <f aca="false">IF($D300&lt;&gt;1,"",$R300+p_poidsram*$S300)</f>
        <v/>
      </c>
      <c r="AH300" s="14" t="str">
        <f aca="false">IF($D300&lt;&gt;1,"",IFERROR($W300/$AG300,0))</f>
        <v/>
      </c>
      <c r="AI300" s="14" t="str">
        <f aca="false">IF($D300&lt;&gt;1,"",IF(AND($G300="IKS",ISNUMBER(INDEX(TblClusters[Fermeture retenue],$B300))),IF($E300&gt;=INDEX(TblClusters[Fermeture retenue],$B300),1,0),0))</f>
        <v/>
      </c>
    </row>
    <row r="301" customFormat="false" ht="15" hidden="false" customHeight="false" outlineLevel="0" collapsed="false">
      <c r="A301" s="14" t="n">
        <v>296</v>
      </c>
      <c r="B301" s="14" t="n">
        <f aca="false">INT(($A301-1)/36)+1</f>
        <v>9</v>
      </c>
      <c r="C301" s="14" t="n">
        <f aca="false">MOD($A301-1,36)+1</f>
        <v>8</v>
      </c>
      <c r="D301" s="14" t="n">
        <f aca="false">IF($C301&gt;p_horizon,0,IFERROR(IF(AND(INDEX(TblClusters[Cluster],$B301)&lt;&gt;"",ISNUMBER(INDEX(TblClusters[CPU initial (vCPU)],$B301)),ISNUMBER(INDEX(TblClusters[CPU min (vCPU)],$B301)),OR(INDEX(TblClusters[Plateforme],$B301)="IKS",INDEX(TblClusters[Plateforme],$B301)="ROKS")),1,0),0))</f>
        <v>0</v>
      </c>
      <c r="E301" s="83" t="str">
        <f aca="false">IF($D301=1,EDATE(p_debut,$C301-1),"")</f>
        <v/>
      </c>
      <c r="F301" s="14" t="str">
        <f aca="false">IF($D301=1,INDEX(TblClusters[Cluster],$B301),"")</f>
        <v/>
      </c>
      <c r="G301" s="14" t="str">
        <f aca="false">IF($D301=1,INDEX(TblClusters[Plateforme],$B301),"")</f>
        <v/>
      </c>
      <c r="H301" s="14" t="str">
        <f aca="false">IF($D301=1,INDEX(TblClusters[vCPU par nœud],$B301),"")</f>
        <v/>
      </c>
      <c r="I301" s="14" t="str">
        <f aca="false">IF($D301=1,INDEX(TblClusters[RAM par nœud (Go)],$B301),"")</f>
        <v/>
      </c>
      <c r="J301" s="14" t="str">
        <f aca="false">IF($D301=1,INDEX(TblClusters[Workers min],$B301),"")</f>
        <v/>
      </c>
      <c r="K301" s="84" t="str">
        <f aca="false">IF($D301=1,INDEX(TblClusters[Tarif par nœud],$B301),"")</f>
        <v/>
      </c>
      <c r="L301" s="14" t="str">
        <f aca="false">IF($D301=1,INDEX(TblClusters[CPU initial (vCPU)],$B301),"")</f>
        <v/>
      </c>
      <c r="M301" s="14" t="str">
        <f aca="false">IF($D301=1,INDEX(TblClusters[RAM initiale (Go)],$B301),"")</f>
        <v/>
      </c>
      <c r="N301" s="14" t="str">
        <f aca="false">IF($D301=1,INDEX(TblClusters[CPU min (vCPU)],$B301),"")</f>
        <v/>
      </c>
      <c r="O301" s="14" t="str">
        <f aca="false">IF($D301=1,INDEX(TblClusters[RAM min (Go)],$B301),"")</f>
        <v/>
      </c>
      <c r="P301" s="14" t="str">
        <f aca="false">IF($D301&lt;&gt;1,"",IF($G301="ROKS",SUMIFS(TblApplications[Besoin ROKS CPU (vCPU)],TblApplications[Cluster ROKS cible],$F301,TblApplications[Action],"À migrer",TblApplications[Déjà incluse ROKS],"Non",TblApplications[Mois prov (calc)],"&lt;="&amp;$E301),SUMIFS(TblApplications[CPU IKS libérable (vCPU)],TblApplications[Cluster IKS source],$F301,TblApplications[Mois lib (calc)],"&lt;="&amp;$E301)))</f>
        <v/>
      </c>
      <c r="Q301" s="14" t="str">
        <f aca="false">IF($D301&lt;&gt;1,"",IF($G301="ROKS",SUMIFS(TblApplications[Besoin ROKS RAM (Go)],TblApplications[Cluster ROKS cible],$F301,TblApplications[Action],"À migrer",TblApplications[Déjà incluse ROKS],"Non",TblApplications[Mois prov (calc)],"&lt;="&amp;$E301),SUMIFS(TblApplications[RAM IKS libérable (Go)],TblApplications[Cluster IKS source],$F301,TblApplications[Mois lib (calc)],"&lt;="&amp;$E301)))</f>
        <v/>
      </c>
      <c r="R301" s="14" t="str">
        <f aca="false">IF($D301&lt;&gt;1,"",IF($G301="ROKS",$L301+$P301,IF($AI301=1,0,MAX($N301,$L301-$P301))))</f>
        <v/>
      </c>
      <c r="S301" s="14" t="str">
        <f aca="false">IF($D301&lt;&gt;1,"",IF($G301="ROKS",$M301+$Q301,IF($AI301=1,0,MAX($O301,$M301-$Q301))))</f>
        <v/>
      </c>
      <c r="T301" s="14" t="str">
        <f aca="false">IF($D301&lt;&gt;1,"",IF($AI301=1,0,MAX($J301,ROUNDUP(MAX($R301/$H301,$S301/$I301),0))))</f>
        <v/>
      </c>
      <c r="U301" s="14" t="str">
        <f aca="false">IF($D301&lt;&gt;1,"",IF(p_mode="Nœud",$T301*$H301,$R301))</f>
        <v/>
      </c>
      <c r="V301" s="14" t="str">
        <f aca="false">IF($D301&lt;&gt;1,"",IF(p_mode="Nœud",$T301*$I301,$S301))</f>
        <v/>
      </c>
      <c r="W301" s="84" t="str">
        <f aca="false">IF($D301&lt;&gt;1,"",IF(p_mode="Nœud",$T301*$K301,$R301*IF($G301="IKS",p_iks_cpu,p_roks_cpu)+$S301*IF($G301="IKS",p_iks_ram,p_roks_ram))*p_facteur)</f>
        <v/>
      </c>
      <c r="X301" s="14" t="str">
        <f aca="false">IF($D301&lt;&gt;1,"",IF($G301="ROKS",$R301,IF($AI301=1,0,MAX($N301,$L301-SUMIFS(TblApplications[CPU IKS libérable (vCPU)],TblApplications[Cluster IKS source],$F301,TblApplications[Action],"À migrer",TblApplications[Mois prov (calc)],"&lt;="&amp;$E301)-SUMIFS(TblApplications[CPU IKS libérable (vCPU)],TblApplications[Cluster IKS source],$F301,TblApplications[Action],"À décommissionner",TblApplications[Mois lib (calc)],"&lt;="&amp;$E301)))))</f>
        <v/>
      </c>
      <c r="Y301" s="14" t="str">
        <f aca="false">IF($D301&lt;&gt;1,"",IF($G301="ROKS",$S301,IF($AI301=1,0,MAX($O301,$M301-SUMIFS(TblApplications[RAM IKS libérable (Go)],TblApplications[Cluster IKS source],$F301,TblApplications[Action],"À migrer",TblApplications[Mois prov (calc)],"&lt;="&amp;$E301)-SUMIFS(TblApplications[RAM IKS libérable (Go)],TblApplications[Cluster IKS source],$F301,TblApplications[Action],"À décommissionner",TblApplications[Mois lib (calc)],"&lt;="&amp;$E301)))))</f>
        <v/>
      </c>
      <c r="Z301" s="14" t="str">
        <f aca="false">IF($D301&lt;&gt;1,"",IF($AI301=1,0,MAX($J301,ROUNDUP(MAX($X301/$H301,$Y301/$I301),0))))</f>
        <v/>
      </c>
      <c r="AA301" s="84" t="str">
        <f aca="false">IF($D301&lt;&gt;1,"",IF(p_mode="Nœud",$Z301*$K301,$X301*IF($G301="IKS",p_iks_cpu,p_roks_cpu)+$Y301*IF($G301="IKS",p_iks_ram,p_roks_ram))*p_facteur)</f>
        <v/>
      </c>
      <c r="AB301" s="14" t="str">
        <f aca="false">IF($D301&lt;&gt;1,"",MAX($J301,ROUNDUP(MAX($L301/$H301,$M301/$I301),0)))</f>
        <v/>
      </c>
      <c r="AC301" s="84" t="str">
        <f aca="false">IF($D301&lt;&gt;1,"",IF(p_mode="Nœud",$AB301*$K301,$L301*IF($G301="IKS",p_iks_cpu,p_roks_cpu)+$M301*IF($G301="IKS",p_iks_ram,p_roks_ram))*p_facteur)</f>
        <v/>
      </c>
      <c r="AD301" s="14" t="str">
        <f aca="false">IF($D301&lt;&gt;1,"",IF(AND($G301="IKS",$AI301&lt;&gt;1,OR($L301-$P301&lt;$N301,$M301-$Q301&lt;$O301)),1,0))</f>
        <v/>
      </c>
      <c r="AE301" s="14" t="str">
        <f aca="false">IF($D301&lt;&gt;1,"",IF(AND($G301="ROKS",$T301&gt;p_maxworkers),1,0))</f>
        <v/>
      </c>
      <c r="AF301" s="14" t="str">
        <f aca="false">IF($D301&lt;&gt;1,"",IF(INDEX(TblClusters[Environnement],$B301)="","(vide)",INDEX(TblClusters[Environnement],$B301)))</f>
        <v/>
      </c>
      <c r="AG301" s="14" t="str">
        <f aca="false">IF($D301&lt;&gt;1,"",$R301+p_poidsram*$S301)</f>
        <v/>
      </c>
      <c r="AH301" s="14" t="str">
        <f aca="false">IF($D301&lt;&gt;1,"",IFERROR($W301/$AG301,0))</f>
        <v/>
      </c>
      <c r="AI301" s="14" t="str">
        <f aca="false">IF($D301&lt;&gt;1,"",IF(AND($G301="IKS",ISNUMBER(INDEX(TblClusters[Fermeture retenue],$B301))),IF($E301&gt;=INDEX(TblClusters[Fermeture retenue],$B301),1,0),0))</f>
        <v/>
      </c>
    </row>
    <row r="302" customFormat="false" ht="15" hidden="false" customHeight="false" outlineLevel="0" collapsed="false">
      <c r="A302" s="14" t="n">
        <v>297</v>
      </c>
      <c r="B302" s="14" t="n">
        <f aca="false">INT(($A302-1)/36)+1</f>
        <v>9</v>
      </c>
      <c r="C302" s="14" t="n">
        <f aca="false">MOD($A302-1,36)+1</f>
        <v>9</v>
      </c>
      <c r="D302" s="14" t="n">
        <f aca="false">IF($C302&gt;p_horizon,0,IFERROR(IF(AND(INDEX(TblClusters[Cluster],$B302)&lt;&gt;"",ISNUMBER(INDEX(TblClusters[CPU initial (vCPU)],$B302)),ISNUMBER(INDEX(TblClusters[CPU min (vCPU)],$B302)),OR(INDEX(TblClusters[Plateforme],$B302)="IKS",INDEX(TblClusters[Plateforme],$B302)="ROKS")),1,0),0))</f>
        <v>0</v>
      </c>
      <c r="E302" s="83" t="str">
        <f aca="false">IF($D302=1,EDATE(p_debut,$C302-1),"")</f>
        <v/>
      </c>
      <c r="F302" s="14" t="str">
        <f aca="false">IF($D302=1,INDEX(TblClusters[Cluster],$B302),"")</f>
        <v/>
      </c>
      <c r="G302" s="14" t="str">
        <f aca="false">IF($D302=1,INDEX(TblClusters[Plateforme],$B302),"")</f>
        <v/>
      </c>
      <c r="H302" s="14" t="str">
        <f aca="false">IF($D302=1,INDEX(TblClusters[vCPU par nœud],$B302),"")</f>
        <v/>
      </c>
      <c r="I302" s="14" t="str">
        <f aca="false">IF($D302=1,INDEX(TblClusters[RAM par nœud (Go)],$B302),"")</f>
        <v/>
      </c>
      <c r="J302" s="14" t="str">
        <f aca="false">IF($D302=1,INDEX(TblClusters[Workers min],$B302),"")</f>
        <v/>
      </c>
      <c r="K302" s="84" t="str">
        <f aca="false">IF($D302=1,INDEX(TblClusters[Tarif par nœud],$B302),"")</f>
        <v/>
      </c>
      <c r="L302" s="14" t="str">
        <f aca="false">IF($D302=1,INDEX(TblClusters[CPU initial (vCPU)],$B302),"")</f>
        <v/>
      </c>
      <c r="M302" s="14" t="str">
        <f aca="false">IF($D302=1,INDEX(TblClusters[RAM initiale (Go)],$B302),"")</f>
        <v/>
      </c>
      <c r="N302" s="14" t="str">
        <f aca="false">IF($D302=1,INDEX(TblClusters[CPU min (vCPU)],$B302),"")</f>
        <v/>
      </c>
      <c r="O302" s="14" t="str">
        <f aca="false">IF($D302=1,INDEX(TblClusters[RAM min (Go)],$B302),"")</f>
        <v/>
      </c>
      <c r="P302" s="14" t="str">
        <f aca="false">IF($D302&lt;&gt;1,"",IF($G302="ROKS",SUMIFS(TblApplications[Besoin ROKS CPU (vCPU)],TblApplications[Cluster ROKS cible],$F302,TblApplications[Action],"À migrer",TblApplications[Déjà incluse ROKS],"Non",TblApplications[Mois prov (calc)],"&lt;="&amp;$E302),SUMIFS(TblApplications[CPU IKS libérable (vCPU)],TblApplications[Cluster IKS source],$F302,TblApplications[Mois lib (calc)],"&lt;="&amp;$E302)))</f>
        <v/>
      </c>
      <c r="Q302" s="14" t="str">
        <f aca="false">IF($D302&lt;&gt;1,"",IF($G302="ROKS",SUMIFS(TblApplications[Besoin ROKS RAM (Go)],TblApplications[Cluster ROKS cible],$F302,TblApplications[Action],"À migrer",TblApplications[Déjà incluse ROKS],"Non",TblApplications[Mois prov (calc)],"&lt;="&amp;$E302),SUMIFS(TblApplications[RAM IKS libérable (Go)],TblApplications[Cluster IKS source],$F302,TblApplications[Mois lib (calc)],"&lt;="&amp;$E302)))</f>
        <v/>
      </c>
      <c r="R302" s="14" t="str">
        <f aca="false">IF($D302&lt;&gt;1,"",IF($G302="ROKS",$L302+$P302,IF($AI302=1,0,MAX($N302,$L302-$P302))))</f>
        <v/>
      </c>
      <c r="S302" s="14" t="str">
        <f aca="false">IF($D302&lt;&gt;1,"",IF($G302="ROKS",$M302+$Q302,IF($AI302=1,0,MAX($O302,$M302-$Q302))))</f>
        <v/>
      </c>
      <c r="T302" s="14" t="str">
        <f aca="false">IF($D302&lt;&gt;1,"",IF($AI302=1,0,MAX($J302,ROUNDUP(MAX($R302/$H302,$S302/$I302),0))))</f>
        <v/>
      </c>
      <c r="U302" s="14" t="str">
        <f aca="false">IF($D302&lt;&gt;1,"",IF(p_mode="Nœud",$T302*$H302,$R302))</f>
        <v/>
      </c>
      <c r="V302" s="14" t="str">
        <f aca="false">IF($D302&lt;&gt;1,"",IF(p_mode="Nœud",$T302*$I302,$S302))</f>
        <v/>
      </c>
      <c r="W302" s="84" t="str">
        <f aca="false">IF($D302&lt;&gt;1,"",IF(p_mode="Nœud",$T302*$K302,$R302*IF($G302="IKS",p_iks_cpu,p_roks_cpu)+$S302*IF($G302="IKS",p_iks_ram,p_roks_ram))*p_facteur)</f>
        <v/>
      </c>
      <c r="X302" s="14" t="str">
        <f aca="false">IF($D302&lt;&gt;1,"",IF($G302="ROKS",$R302,IF($AI302=1,0,MAX($N302,$L302-SUMIFS(TblApplications[CPU IKS libérable (vCPU)],TblApplications[Cluster IKS source],$F302,TblApplications[Action],"À migrer",TblApplications[Mois prov (calc)],"&lt;="&amp;$E302)-SUMIFS(TblApplications[CPU IKS libérable (vCPU)],TblApplications[Cluster IKS source],$F302,TblApplications[Action],"À décommissionner",TblApplications[Mois lib (calc)],"&lt;="&amp;$E302)))))</f>
        <v/>
      </c>
      <c r="Y302" s="14" t="str">
        <f aca="false">IF($D302&lt;&gt;1,"",IF($G302="ROKS",$S302,IF($AI302=1,0,MAX($O302,$M302-SUMIFS(TblApplications[RAM IKS libérable (Go)],TblApplications[Cluster IKS source],$F302,TblApplications[Action],"À migrer",TblApplications[Mois prov (calc)],"&lt;="&amp;$E302)-SUMIFS(TblApplications[RAM IKS libérable (Go)],TblApplications[Cluster IKS source],$F302,TblApplications[Action],"À décommissionner",TblApplications[Mois lib (calc)],"&lt;="&amp;$E302)))))</f>
        <v/>
      </c>
      <c r="Z302" s="14" t="str">
        <f aca="false">IF($D302&lt;&gt;1,"",IF($AI302=1,0,MAX($J302,ROUNDUP(MAX($X302/$H302,$Y302/$I302),0))))</f>
        <v/>
      </c>
      <c r="AA302" s="84" t="str">
        <f aca="false">IF($D302&lt;&gt;1,"",IF(p_mode="Nœud",$Z302*$K302,$X302*IF($G302="IKS",p_iks_cpu,p_roks_cpu)+$Y302*IF($G302="IKS",p_iks_ram,p_roks_ram))*p_facteur)</f>
        <v/>
      </c>
      <c r="AB302" s="14" t="str">
        <f aca="false">IF($D302&lt;&gt;1,"",MAX($J302,ROUNDUP(MAX($L302/$H302,$M302/$I302),0)))</f>
        <v/>
      </c>
      <c r="AC302" s="84" t="str">
        <f aca="false">IF($D302&lt;&gt;1,"",IF(p_mode="Nœud",$AB302*$K302,$L302*IF($G302="IKS",p_iks_cpu,p_roks_cpu)+$M302*IF($G302="IKS",p_iks_ram,p_roks_ram))*p_facteur)</f>
        <v/>
      </c>
      <c r="AD302" s="14" t="str">
        <f aca="false">IF($D302&lt;&gt;1,"",IF(AND($G302="IKS",$AI302&lt;&gt;1,OR($L302-$P302&lt;$N302,$M302-$Q302&lt;$O302)),1,0))</f>
        <v/>
      </c>
      <c r="AE302" s="14" t="str">
        <f aca="false">IF($D302&lt;&gt;1,"",IF(AND($G302="ROKS",$T302&gt;p_maxworkers),1,0))</f>
        <v/>
      </c>
      <c r="AF302" s="14" t="str">
        <f aca="false">IF($D302&lt;&gt;1,"",IF(INDEX(TblClusters[Environnement],$B302)="","(vide)",INDEX(TblClusters[Environnement],$B302)))</f>
        <v/>
      </c>
      <c r="AG302" s="14" t="str">
        <f aca="false">IF($D302&lt;&gt;1,"",$R302+p_poidsram*$S302)</f>
        <v/>
      </c>
      <c r="AH302" s="14" t="str">
        <f aca="false">IF($D302&lt;&gt;1,"",IFERROR($W302/$AG302,0))</f>
        <v/>
      </c>
      <c r="AI302" s="14" t="str">
        <f aca="false">IF($D302&lt;&gt;1,"",IF(AND($G302="IKS",ISNUMBER(INDEX(TblClusters[Fermeture retenue],$B302))),IF($E302&gt;=INDEX(TblClusters[Fermeture retenue],$B302),1,0),0))</f>
        <v/>
      </c>
    </row>
    <row r="303" customFormat="false" ht="15" hidden="false" customHeight="false" outlineLevel="0" collapsed="false">
      <c r="A303" s="14" t="n">
        <v>298</v>
      </c>
      <c r="B303" s="14" t="n">
        <f aca="false">INT(($A303-1)/36)+1</f>
        <v>9</v>
      </c>
      <c r="C303" s="14" t="n">
        <f aca="false">MOD($A303-1,36)+1</f>
        <v>10</v>
      </c>
      <c r="D303" s="14" t="n">
        <f aca="false">IF($C303&gt;p_horizon,0,IFERROR(IF(AND(INDEX(TblClusters[Cluster],$B303)&lt;&gt;"",ISNUMBER(INDEX(TblClusters[CPU initial (vCPU)],$B303)),ISNUMBER(INDEX(TblClusters[CPU min (vCPU)],$B303)),OR(INDEX(TblClusters[Plateforme],$B303)="IKS",INDEX(TblClusters[Plateforme],$B303)="ROKS")),1,0),0))</f>
        <v>0</v>
      </c>
      <c r="E303" s="83" t="str">
        <f aca="false">IF($D303=1,EDATE(p_debut,$C303-1),"")</f>
        <v/>
      </c>
      <c r="F303" s="14" t="str">
        <f aca="false">IF($D303=1,INDEX(TblClusters[Cluster],$B303),"")</f>
        <v/>
      </c>
      <c r="G303" s="14" t="str">
        <f aca="false">IF($D303=1,INDEX(TblClusters[Plateforme],$B303),"")</f>
        <v/>
      </c>
      <c r="H303" s="14" t="str">
        <f aca="false">IF($D303=1,INDEX(TblClusters[vCPU par nœud],$B303),"")</f>
        <v/>
      </c>
      <c r="I303" s="14" t="str">
        <f aca="false">IF($D303=1,INDEX(TblClusters[RAM par nœud (Go)],$B303),"")</f>
        <v/>
      </c>
      <c r="J303" s="14" t="str">
        <f aca="false">IF($D303=1,INDEX(TblClusters[Workers min],$B303),"")</f>
        <v/>
      </c>
      <c r="K303" s="84" t="str">
        <f aca="false">IF($D303=1,INDEX(TblClusters[Tarif par nœud],$B303),"")</f>
        <v/>
      </c>
      <c r="L303" s="14" t="str">
        <f aca="false">IF($D303=1,INDEX(TblClusters[CPU initial (vCPU)],$B303),"")</f>
        <v/>
      </c>
      <c r="M303" s="14" t="str">
        <f aca="false">IF($D303=1,INDEX(TblClusters[RAM initiale (Go)],$B303),"")</f>
        <v/>
      </c>
      <c r="N303" s="14" t="str">
        <f aca="false">IF($D303=1,INDEX(TblClusters[CPU min (vCPU)],$B303),"")</f>
        <v/>
      </c>
      <c r="O303" s="14" t="str">
        <f aca="false">IF($D303=1,INDEX(TblClusters[RAM min (Go)],$B303),"")</f>
        <v/>
      </c>
      <c r="P303" s="14" t="str">
        <f aca="false">IF($D303&lt;&gt;1,"",IF($G303="ROKS",SUMIFS(TblApplications[Besoin ROKS CPU (vCPU)],TblApplications[Cluster ROKS cible],$F303,TblApplications[Action],"À migrer",TblApplications[Déjà incluse ROKS],"Non",TblApplications[Mois prov (calc)],"&lt;="&amp;$E303),SUMIFS(TblApplications[CPU IKS libérable (vCPU)],TblApplications[Cluster IKS source],$F303,TblApplications[Mois lib (calc)],"&lt;="&amp;$E303)))</f>
        <v/>
      </c>
      <c r="Q303" s="14" t="str">
        <f aca="false">IF($D303&lt;&gt;1,"",IF($G303="ROKS",SUMIFS(TblApplications[Besoin ROKS RAM (Go)],TblApplications[Cluster ROKS cible],$F303,TblApplications[Action],"À migrer",TblApplications[Déjà incluse ROKS],"Non",TblApplications[Mois prov (calc)],"&lt;="&amp;$E303),SUMIFS(TblApplications[RAM IKS libérable (Go)],TblApplications[Cluster IKS source],$F303,TblApplications[Mois lib (calc)],"&lt;="&amp;$E303)))</f>
        <v/>
      </c>
      <c r="R303" s="14" t="str">
        <f aca="false">IF($D303&lt;&gt;1,"",IF($G303="ROKS",$L303+$P303,IF($AI303=1,0,MAX($N303,$L303-$P303))))</f>
        <v/>
      </c>
      <c r="S303" s="14" t="str">
        <f aca="false">IF($D303&lt;&gt;1,"",IF($G303="ROKS",$M303+$Q303,IF($AI303=1,0,MAX($O303,$M303-$Q303))))</f>
        <v/>
      </c>
      <c r="T303" s="14" t="str">
        <f aca="false">IF($D303&lt;&gt;1,"",IF($AI303=1,0,MAX($J303,ROUNDUP(MAX($R303/$H303,$S303/$I303),0))))</f>
        <v/>
      </c>
      <c r="U303" s="14" t="str">
        <f aca="false">IF($D303&lt;&gt;1,"",IF(p_mode="Nœud",$T303*$H303,$R303))</f>
        <v/>
      </c>
      <c r="V303" s="14" t="str">
        <f aca="false">IF($D303&lt;&gt;1,"",IF(p_mode="Nœud",$T303*$I303,$S303))</f>
        <v/>
      </c>
      <c r="W303" s="84" t="str">
        <f aca="false">IF($D303&lt;&gt;1,"",IF(p_mode="Nœud",$T303*$K303,$R303*IF($G303="IKS",p_iks_cpu,p_roks_cpu)+$S303*IF($G303="IKS",p_iks_ram,p_roks_ram))*p_facteur)</f>
        <v/>
      </c>
      <c r="X303" s="14" t="str">
        <f aca="false">IF($D303&lt;&gt;1,"",IF($G303="ROKS",$R303,IF($AI303=1,0,MAX($N303,$L303-SUMIFS(TblApplications[CPU IKS libérable (vCPU)],TblApplications[Cluster IKS source],$F303,TblApplications[Action],"À migrer",TblApplications[Mois prov (calc)],"&lt;="&amp;$E303)-SUMIFS(TblApplications[CPU IKS libérable (vCPU)],TblApplications[Cluster IKS source],$F303,TblApplications[Action],"À décommissionner",TblApplications[Mois lib (calc)],"&lt;="&amp;$E303)))))</f>
        <v/>
      </c>
      <c r="Y303" s="14" t="str">
        <f aca="false">IF($D303&lt;&gt;1,"",IF($G303="ROKS",$S303,IF($AI303=1,0,MAX($O303,$M303-SUMIFS(TblApplications[RAM IKS libérable (Go)],TblApplications[Cluster IKS source],$F303,TblApplications[Action],"À migrer",TblApplications[Mois prov (calc)],"&lt;="&amp;$E303)-SUMIFS(TblApplications[RAM IKS libérable (Go)],TblApplications[Cluster IKS source],$F303,TblApplications[Action],"À décommissionner",TblApplications[Mois lib (calc)],"&lt;="&amp;$E303)))))</f>
        <v/>
      </c>
      <c r="Z303" s="14" t="str">
        <f aca="false">IF($D303&lt;&gt;1,"",IF($AI303=1,0,MAX($J303,ROUNDUP(MAX($X303/$H303,$Y303/$I303),0))))</f>
        <v/>
      </c>
      <c r="AA303" s="84" t="str">
        <f aca="false">IF($D303&lt;&gt;1,"",IF(p_mode="Nœud",$Z303*$K303,$X303*IF($G303="IKS",p_iks_cpu,p_roks_cpu)+$Y303*IF($G303="IKS",p_iks_ram,p_roks_ram))*p_facteur)</f>
        <v/>
      </c>
      <c r="AB303" s="14" t="str">
        <f aca="false">IF($D303&lt;&gt;1,"",MAX($J303,ROUNDUP(MAX($L303/$H303,$M303/$I303),0)))</f>
        <v/>
      </c>
      <c r="AC303" s="84" t="str">
        <f aca="false">IF($D303&lt;&gt;1,"",IF(p_mode="Nœud",$AB303*$K303,$L303*IF($G303="IKS",p_iks_cpu,p_roks_cpu)+$M303*IF($G303="IKS",p_iks_ram,p_roks_ram))*p_facteur)</f>
        <v/>
      </c>
      <c r="AD303" s="14" t="str">
        <f aca="false">IF($D303&lt;&gt;1,"",IF(AND($G303="IKS",$AI303&lt;&gt;1,OR($L303-$P303&lt;$N303,$M303-$Q303&lt;$O303)),1,0))</f>
        <v/>
      </c>
      <c r="AE303" s="14" t="str">
        <f aca="false">IF($D303&lt;&gt;1,"",IF(AND($G303="ROKS",$T303&gt;p_maxworkers),1,0))</f>
        <v/>
      </c>
      <c r="AF303" s="14" t="str">
        <f aca="false">IF($D303&lt;&gt;1,"",IF(INDEX(TblClusters[Environnement],$B303)="","(vide)",INDEX(TblClusters[Environnement],$B303)))</f>
        <v/>
      </c>
      <c r="AG303" s="14" t="str">
        <f aca="false">IF($D303&lt;&gt;1,"",$R303+p_poidsram*$S303)</f>
        <v/>
      </c>
      <c r="AH303" s="14" t="str">
        <f aca="false">IF($D303&lt;&gt;1,"",IFERROR($W303/$AG303,0))</f>
        <v/>
      </c>
      <c r="AI303" s="14" t="str">
        <f aca="false">IF($D303&lt;&gt;1,"",IF(AND($G303="IKS",ISNUMBER(INDEX(TblClusters[Fermeture retenue],$B303))),IF($E303&gt;=INDEX(TblClusters[Fermeture retenue],$B303),1,0),0))</f>
        <v/>
      </c>
    </row>
    <row r="304" customFormat="false" ht="15" hidden="false" customHeight="false" outlineLevel="0" collapsed="false">
      <c r="A304" s="14" t="n">
        <v>299</v>
      </c>
      <c r="B304" s="14" t="n">
        <f aca="false">INT(($A304-1)/36)+1</f>
        <v>9</v>
      </c>
      <c r="C304" s="14" t="n">
        <f aca="false">MOD($A304-1,36)+1</f>
        <v>11</v>
      </c>
      <c r="D304" s="14" t="n">
        <f aca="false">IF($C304&gt;p_horizon,0,IFERROR(IF(AND(INDEX(TblClusters[Cluster],$B304)&lt;&gt;"",ISNUMBER(INDEX(TblClusters[CPU initial (vCPU)],$B304)),ISNUMBER(INDEX(TblClusters[CPU min (vCPU)],$B304)),OR(INDEX(TblClusters[Plateforme],$B304)="IKS",INDEX(TblClusters[Plateforme],$B304)="ROKS")),1,0),0))</f>
        <v>0</v>
      </c>
      <c r="E304" s="83" t="str">
        <f aca="false">IF($D304=1,EDATE(p_debut,$C304-1),"")</f>
        <v/>
      </c>
      <c r="F304" s="14" t="str">
        <f aca="false">IF($D304=1,INDEX(TblClusters[Cluster],$B304),"")</f>
        <v/>
      </c>
      <c r="G304" s="14" t="str">
        <f aca="false">IF($D304=1,INDEX(TblClusters[Plateforme],$B304),"")</f>
        <v/>
      </c>
      <c r="H304" s="14" t="str">
        <f aca="false">IF($D304=1,INDEX(TblClusters[vCPU par nœud],$B304),"")</f>
        <v/>
      </c>
      <c r="I304" s="14" t="str">
        <f aca="false">IF($D304=1,INDEX(TblClusters[RAM par nœud (Go)],$B304),"")</f>
        <v/>
      </c>
      <c r="J304" s="14" t="str">
        <f aca="false">IF($D304=1,INDEX(TblClusters[Workers min],$B304),"")</f>
        <v/>
      </c>
      <c r="K304" s="84" t="str">
        <f aca="false">IF($D304=1,INDEX(TblClusters[Tarif par nœud],$B304),"")</f>
        <v/>
      </c>
      <c r="L304" s="14" t="str">
        <f aca="false">IF($D304=1,INDEX(TblClusters[CPU initial (vCPU)],$B304),"")</f>
        <v/>
      </c>
      <c r="M304" s="14" t="str">
        <f aca="false">IF($D304=1,INDEX(TblClusters[RAM initiale (Go)],$B304),"")</f>
        <v/>
      </c>
      <c r="N304" s="14" t="str">
        <f aca="false">IF($D304=1,INDEX(TblClusters[CPU min (vCPU)],$B304),"")</f>
        <v/>
      </c>
      <c r="O304" s="14" t="str">
        <f aca="false">IF($D304=1,INDEX(TblClusters[RAM min (Go)],$B304),"")</f>
        <v/>
      </c>
      <c r="P304" s="14" t="str">
        <f aca="false">IF($D304&lt;&gt;1,"",IF($G304="ROKS",SUMIFS(TblApplications[Besoin ROKS CPU (vCPU)],TblApplications[Cluster ROKS cible],$F304,TblApplications[Action],"À migrer",TblApplications[Déjà incluse ROKS],"Non",TblApplications[Mois prov (calc)],"&lt;="&amp;$E304),SUMIFS(TblApplications[CPU IKS libérable (vCPU)],TblApplications[Cluster IKS source],$F304,TblApplications[Mois lib (calc)],"&lt;="&amp;$E304)))</f>
        <v/>
      </c>
      <c r="Q304" s="14" t="str">
        <f aca="false">IF($D304&lt;&gt;1,"",IF($G304="ROKS",SUMIFS(TblApplications[Besoin ROKS RAM (Go)],TblApplications[Cluster ROKS cible],$F304,TblApplications[Action],"À migrer",TblApplications[Déjà incluse ROKS],"Non",TblApplications[Mois prov (calc)],"&lt;="&amp;$E304),SUMIFS(TblApplications[RAM IKS libérable (Go)],TblApplications[Cluster IKS source],$F304,TblApplications[Mois lib (calc)],"&lt;="&amp;$E304)))</f>
        <v/>
      </c>
      <c r="R304" s="14" t="str">
        <f aca="false">IF($D304&lt;&gt;1,"",IF($G304="ROKS",$L304+$P304,IF($AI304=1,0,MAX($N304,$L304-$P304))))</f>
        <v/>
      </c>
      <c r="S304" s="14" t="str">
        <f aca="false">IF($D304&lt;&gt;1,"",IF($G304="ROKS",$M304+$Q304,IF($AI304=1,0,MAX($O304,$M304-$Q304))))</f>
        <v/>
      </c>
      <c r="T304" s="14" t="str">
        <f aca="false">IF($D304&lt;&gt;1,"",IF($AI304=1,0,MAX($J304,ROUNDUP(MAX($R304/$H304,$S304/$I304),0))))</f>
        <v/>
      </c>
      <c r="U304" s="14" t="str">
        <f aca="false">IF($D304&lt;&gt;1,"",IF(p_mode="Nœud",$T304*$H304,$R304))</f>
        <v/>
      </c>
      <c r="V304" s="14" t="str">
        <f aca="false">IF($D304&lt;&gt;1,"",IF(p_mode="Nœud",$T304*$I304,$S304))</f>
        <v/>
      </c>
      <c r="W304" s="84" t="str">
        <f aca="false">IF($D304&lt;&gt;1,"",IF(p_mode="Nœud",$T304*$K304,$R304*IF($G304="IKS",p_iks_cpu,p_roks_cpu)+$S304*IF($G304="IKS",p_iks_ram,p_roks_ram))*p_facteur)</f>
        <v/>
      </c>
      <c r="X304" s="14" t="str">
        <f aca="false">IF($D304&lt;&gt;1,"",IF($G304="ROKS",$R304,IF($AI304=1,0,MAX($N304,$L304-SUMIFS(TblApplications[CPU IKS libérable (vCPU)],TblApplications[Cluster IKS source],$F304,TblApplications[Action],"À migrer",TblApplications[Mois prov (calc)],"&lt;="&amp;$E304)-SUMIFS(TblApplications[CPU IKS libérable (vCPU)],TblApplications[Cluster IKS source],$F304,TblApplications[Action],"À décommissionner",TblApplications[Mois lib (calc)],"&lt;="&amp;$E304)))))</f>
        <v/>
      </c>
      <c r="Y304" s="14" t="str">
        <f aca="false">IF($D304&lt;&gt;1,"",IF($G304="ROKS",$S304,IF($AI304=1,0,MAX($O304,$M304-SUMIFS(TblApplications[RAM IKS libérable (Go)],TblApplications[Cluster IKS source],$F304,TblApplications[Action],"À migrer",TblApplications[Mois prov (calc)],"&lt;="&amp;$E304)-SUMIFS(TblApplications[RAM IKS libérable (Go)],TblApplications[Cluster IKS source],$F304,TblApplications[Action],"À décommissionner",TblApplications[Mois lib (calc)],"&lt;="&amp;$E304)))))</f>
        <v/>
      </c>
      <c r="Z304" s="14" t="str">
        <f aca="false">IF($D304&lt;&gt;1,"",IF($AI304=1,0,MAX($J304,ROUNDUP(MAX($X304/$H304,$Y304/$I304),0))))</f>
        <v/>
      </c>
      <c r="AA304" s="84" t="str">
        <f aca="false">IF($D304&lt;&gt;1,"",IF(p_mode="Nœud",$Z304*$K304,$X304*IF($G304="IKS",p_iks_cpu,p_roks_cpu)+$Y304*IF($G304="IKS",p_iks_ram,p_roks_ram))*p_facteur)</f>
        <v/>
      </c>
      <c r="AB304" s="14" t="str">
        <f aca="false">IF($D304&lt;&gt;1,"",MAX($J304,ROUNDUP(MAX($L304/$H304,$M304/$I304),0)))</f>
        <v/>
      </c>
      <c r="AC304" s="84" t="str">
        <f aca="false">IF($D304&lt;&gt;1,"",IF(p_mode="Nœud",$AB304*$K304,$L304*IF($G304="IKS",p_iks_cpu,p_roks_cpu)+$M304*IF($G304="IKS",p_iks_ram,p_roks_ram))*p_facteur)</f>
        <v/>
      </c>
      <c r="AD304" s="14" t="str">
        <f aca="false">IF($D304&lt;&gt;1,"",IF(AND($G304="IKS",$AI304&lt;&gt;1,OR($L304-$P304&lt;$N304,$M304-$Q304&lt;$O304)),1,0))</f>
        <v/>
      </c>
      <c r="AE304" s="14" t="str">
        <f aca="false">IF($D304&lt;&gt;1,"",IF(AND($G304="ROKS",$T304&gt;p_maxworkers),1,0))</f>
        <v/>
      </c>
      <c r="AF304" s="14" t="str">
        <f aca="false">IF($D304&lt;&gt;1,"",IF(INDEX(TblClusters[Environnement],$B304)="","(vide)",INDEX(TblClusters[Environnement],$B304)))</f>
        <v/>
      </c>
      <c r="AG304" s="14" t="str">
        <f aca="false">IF($D304&lt;&gt;1,"",$R304+p_poidsram*$S304)</f>
        <v/>
      </c>
      <c r="AH304" s="14" t="str">
        <f aca="false">IF($D304&lt;&gt;1,"",IFERROR($W304/$AG304,0))</f>
        <v/>
      </c>
      <c r="AI304" s="14" t="str">
        <f aca="false">IF($D304&lt;&gt;1,"",IF(AND($G304="IKS",ISNUMBER(INDEX(TblClusters[Fermeture retenue],$B304))),IF($E304&gt;=INDEX(TblClusters[Fermeture retenue],$B304),1,0),0))</f>
        <v/>
      </c>
    </row>
    <row r="305" customFormat="false" ht="15" hidden="false" customHeight="false" outlineLevel="0" collapsed="false">
      <c r="A305" s="14" t="n">
        <v>300</v>
      </c>
      <c r="B305" s="14" t="n">
        <f aca="false">INT(($A305-1)/36)+1</f>
        <v>9</v>
      </c>
      <c r="C305" s="14" t="n">
        <f aca="false">MOD($A305-1,36)+1</f>
        <v>12</v>
      </c>
      <c r="D305" s="14" t="n">
        <f aca="false">IF($C305&gt;p_horizon,0,IFERROR(IF(AND(INDEX(TblClusters[Cluster],$B305)&lt;&gt;"",ISNUMBER(INDEX(TblClusters[CPU initial (vCPU)],$B305)),ISNUMBER(INDEX(TblClusters[CPU min (vCPU)],$B305)),OR(INDEX(TblClusters[Plateforme],$B305)="IKS",INDEX(TblClusters[Plateforme],$B305)="ROKS")),1,0),0))</f>
        <v>0</v>
      </c>
      <c r="E305" s="83" t="str">
        <f aca="false">IF($D305=1,EDATE(p_debut,$C305-1),"")</f>
        <v/>
      </c>
      <c r="F305" s="14" t="str">
        <f aca="false">IF($D305=1,INDEX(TblClusters[Cluster],$B305),"")</f>
        <v/>
      </c>
      <c r="G305" s="14" t="str">
        <f aca="false">IF($D305=1,INDEX(TblClusters[Plateforme],$B305),"")</f>
        <v/>
      </c>
      <c r="H305" s="14" t="str">
        <f aca="false">IF($D305=1,INDEX(TblClusters[vCPU par nœud],$B305),"")</f>
        <v/>
      </c>
      <c r="I305" s="14" t="str">
        <f aca="false">IF($D305=1,INDEX(TblClusters[RAM par nœud (Go)],$B305),"")</f>
        <v/>
      </c>
      <c r="J305" s="14" t="str">
        <f aca="false">IF($D305=1,INDEX(TblClusters[Workers min],$B305),"")</f>
        <v/>
      </c>
      <c r="K305" s="84" t="str">
        <f aca="false">IF($D305=1,INDEX(TblClusters[Tarif par nœud],$B305),"")</f>
        <v/>
      </c>
      <c r="L305" s="14" t="str">
        <f aca="false">IF($D305=1,INDEX(TblClusters[CPU initial (vCPU)],$B305),"")</f>
        <v/>
      </c>
      <c r="M305" s="14" t="str">
        <f aca="false">IF($D305=1,INDEX(TblClusters[RAM initiale (Go)],$B305),"")</f>
        <v/>
      </c>
      <c r="N305" s="14" t="str">
        <f aca="false">IF($D305=1,INDEX(TblClusters[CPU min (vCPU)],$B305),"")</f>
        <v/>
      </c>
      <c r="O305" s="14" t="str">
        <f aca="false">IF($D305=1,INDEX(TblClusters[RAM min (Go)],$B305),"")</f>
        <v/>
      </c>
      <c r="P305" s="14" t="str">
        <f aca="false">IF($D305&lt;&gt;1,"",IF($G305="ROKS",SUMIFS(TblApplications[Besoin ROKS CPU (vCPU)],TblApplications[Cluster ROKS cible],$F305,TblApplications[Action],"À migrer",TblApplications[Déjà incluse ROKS],"Non",TblApplications[Mois prov (calc)],"&lt;="&amp;$E305),SUMIFS(TblApplications[CPU IKS libérable (vCPU)],TblApplications[Cluster IKS source],$F305,TblApplications[Mois lib (calc)],"&lt;="&amp;$E305)))</f>
        <v/>
      </c>
      <c r="Q305" s="14" t="str">
        <f aca="false">IF($D305&lt;&gt;1,"",IF($G305="ROKS",SUMIFS(TblApplications[Besoin ROKS RAM (Go)],TblApplications[Cluster ROKS cible],$F305,TblApplications[Action],"À migrer",TblApplications[Déjà incluse ROKS],"Non",TblApplications[Mois prov (calc)],"&lt;="&amp;$E305),SUMIFS(TblApplications[RAM IKS libérable (Go)],TblApplications[Cluster IKS source],$F305,TblApplications[Mois lib (calc)],"&lt;="&amp;$E305)))</f>
        <v/>
      </c>
      <c r="R305" s="14" t="str">
        <f aca="false">IF($D305&lt;&gt;1,"",IF($G305="ROKS",$L305+$P305,IF($AI305=1,0,MAX($N305,$L305-$P305))))</f>
        <v/>
      </c>
      <c r="S305" s="14" t="str">
        <f aca="false">IF($D305&lt;&gt;1,"",IF($G305="ROKS",$M305+$Q305,IF($AI305=1,0,MAX($O305,$M305-$Q305))))</f>
        <v/>
      </c>
      <c r="T305" s="14" t="str">
        <f aca="false">IF($D305&lt;&gt;1,"",IF($AI305=1,0,MAX($J305,ROUNDUP(MAX($R305/$H305,$S305/$I305),0))))</f>
        <v/>
      </c>
      <c r="U305" s="14" t="str">
        <f aca="false">IF($D305&lt;&gt;1,"",IF(p_mode="Nœud",$T305*$H305,$R305))</f>
        <v/>
      </c>
      <c r="V305" s="14" t="str">
        <f aca="false">IF($D305&lt;&gt;1,"",IF(p_mode="Nœud",$T305*$I305,$S305))</f>
        <v/>
      </c>
      <c r="W305" s="84" t="str">
        <f aca="false">IF($D305&lt;&gt;1,"",IF(p_mode="Nœud",$T305*$K305,$R305*IF($G305="IKS",p_iks_cpu,p_roks_cpu)+$S305*IF($G305="IKS",p_iks_ram,p_roks_ram))*p_facteur)</f>
        <v/>
      </c>
      <c r="X305" s="14" t="str">
        <f aca="false">IF($D305&lt;&gt;1,"",IF($G305="ROKS",$R305,IF($AI305=1,0,MAX($N305,$L305-SUMIFS(TblApplications[CPU IKS libérable (vCPU)],TblApplications[Cluster IKS source],$F305,TblApplications[Action],"À migrer",TblApplications[Mois prov (calc)],"&lt;="&amp;$E305)-SUMIFS(TblApplications[CPU IKS libérable (vCPU)],TblApplications[Cluster IKS source],$F305,TblApplications[Action],"À décommissionner",TblApplications[Mois lib (calc)],"&lt;="&amp;$E305)))))</f>
        <v/>
      </c>
      <c r="Y305" s="14" t="str">
        <f aca="false">IF($D305&lt;&gt;1,"",IF($G305="ROKS",$S305,IF($AI305=1,0,MAX($O305,$M305-SUMIFS(TblApplications[RAM IKS libérable (Go)],TblApplications[Cluster IKS source],$F305,TblApplications[Action],"À migrer",TblApplications[Mois prov (calc)],"&lt;="&amp;$E305)-SUMIFS(TblApplications[RAM IKS libérable (Go)],TblApplications[Cluster IKS source],$F305,TblApplications[Action],"À décommissionner",TblApplications[Mois lib (calc)],"&lt;="&amp;$E305)))))</f>
        <v/>
      </c>
      <c r="Z305" s="14" t="str">
        <f aca="false">IF($D305&lt;&gt;1,"",IF($AI305=1,0,MAX($J305,ROUNDUP(MAX($X305/$H305,$Y305/$I305),0))))</f>
        <v/>
      </c>
      <c r="AA305" s="84" t="str">
        <f aca="false">IF($D305&lt;&gt;1,"",IF(p_mode="Nœud",$Z305*$K305,$X305*IF($G305="IKS",p_iks_cpu,p_roks_cpu)+$Y305*IF($G305="IKS",p_iks_ram,p_roks_ram))*p_facteur)</f>
        <v/>
      </c>
      <c r="AB305" s="14" t="str">
        <f aca="false">IF($D305&lt;&gt;1,"",MAX($J305,ROUNDUP(MAX($L305/$H305,$M305/$I305),0)))</f>
        <v/>
      </c>
      <c r="AC305" s="84" t="str">
        <f aca="false">IF($D305&lt;&gt;1,"",IF(p_mode="Nœud",$AB305*$K305,$L305*IF($G305="IKS",p_iks_cpu,p_roks_cpu)+$M305*IF($G305="IKS",p_iks_ram,p_roks_ram))*p_facteur)</f>
        <v/>
      </c>
      <c r="AD305" s="14" t="str">
        <f aca="false">IF($D305&lt;&gt;1,"",IF(AND($G305="IKS",$AI305&lt;&gt;1,OR($L305-$P305&lt;$N305,$M305-$Q305&lt;$O305)),1,0))</f>
        <v/>
      </c>
      <c r="AE305" s="14" t="str">
        <f aca="false">IF($D305&lt;&gt;1,"",IF(AND($G305="ROKS",$T305&gt;p_maxworkers),1,0))</f>
        <v/>
      </c>
      <c r="AF305" s="14" t="str">
        <f aca="false">IF($D305&lt;&gt;1,"",IF(INDEX(TblClusters[Environnement],$B305)="","(vide)",INDEX(TblClusters[Environnement],$B305)))</f>
        <v/>
      </c>
      <c r="AG305" s="14" t="str">
        <f aca="false">IF($D305&lt;&gt;1,"",$R305+p_poidsram*$S305)</f>
        <v/>
      </c>
      <c r="AH305" s="14" t="str">
        <f aca="false">IF($D305&lt;&gt;1,"",IFERROR($W305/$AG305,0))</f>
        <v/>
      </c>
      <c r="AI305" s="14" t="str">
        <f aca="false">IF($D305&lt;&gt;1,"",IF(AND($G305="IKS",ISNUMBER(INDEX(TblClusters[Fermeture retenue],$B305))),IF($E305&gt;=INDEX(TblClusters[Fermeture retenue],$B305),1,0),0))</f>
        <v/>
      </c>
    </row>
    <row r="306" customFormat="false" ht="15" hidden="false" customHeight="false" outlineLevel="0" collapsed="false">
      <c r="A306" s="14" t="n">
        <v>301</v>
      </c>
      <c r="B306" s="14" t="n">
        <f aca="false">INT(($A306-1)/36)+1</f>
        <v>9</v>
      </c>
      <c r="C306" s="14" t="n">
        <f aca="false">MOD($A306-1,36)+1</f>
        <v>13</v>
      </c>
      <c r="D306" s="14" t="n">
        <f aca="false">IF($C306&gt;p_horizon,0,IFERROR(IF(AND(INDEX(TblClusters[Cluster],$B306)&lt;&gt;"",ISNUMBER(INDEX(TblClusters[CPU initial (vCPU)],$B306)),ISNUMBER(INDEX(TblClusters[CPU min (vCPU)],$B306)),OR(INDEX(TblClusters[Plateforme],$B306)="IKS",INDEX(TblClusters[Plateforme],$B306)="ROKS")),1,0),0))</f>
        <v>0</v>
      </c>
      <c r="E306" s="83" t="str">
        <f aca="false">IF($D306=1,EDATE(p_debut,$C306-1),"")</f>
        <v/>
      </c>
      <c r="F306" s="14" t="str">
        <f aca="false">IF($D306=1,INDEX(TblClusters[Cluster],$B306),"")</f>
        <v/>
      </c>
      <c r="G306" s="14" t="str">
        <f aca="false">IF($D306=1,INDEX(TblClusters[Plateforme],$B306),"")</f>
        <v/>
      </c>
      <c r="H306" s="14" t="str">
        <f aca="false">IF($D306=1,INDEX(TblClusters[vCPU par nœud],$B306),"")</f>
        <v/>
      </c>
      <c r="I306" s="14" t="str">
        <f aca="false">IF($D306=1,INDEX(TblClusters[RAM par nœud (Go)],$B306),"")</f>
        <v/>
      </c>
      <c r="J306" s="14" t="str">
        <f aca="false">IF($D306=1,INDEX(TblClusters[Workers min],$B306),"")</f>
        <v/>
      </c>
      <c r="K306" s="84" t="str">
        <f aca="false">IF($D306=1,INDEX(TblClusters[Tarif par nœud],$B306),"")</f>
        <v/>
      </c>
      <c r="L306" s="14" t="str">
        <f aca="false">IF($D306=1,INDEX(TblClusters[CPU initial (vCPU)],$B306),"")</f>
        <v/>
      </c>
      <c r="M306" s="14" t="str">
        <f aca="false">IF($D306=1,INDEX(TblClusters[RAM initiale (Go)],$B306),"")</f>
        <v/>
      </c>
      <c r="N306" s="14" t="str">
        <f aca="false">IF($D306=1,INDEX(TblClusters[CPU min (vCPU)],$B306),"")</f>
        <v/>
      </c>
      <c r="O306" s="14" t="str">
        <f aca="false">IF($D306=1,INDEX(TblClusters[RAM min (Go)],$B306),"")</f>
        <v/>
      </c>
      <c r="P306" s="14" t="str">
        <f aca="false">IF($D306&lt;&gt;1,"",IF($G306="ROKS",SUMIFS(TblApplications[Besoin ROKS CPU (vCPU)],TblApplications[Cluster ROKS cible],$F306,TblApplications[Action],"À migrer",TblApplications[Déjà incluse ROKS],"Non",TblApplications[Mois prov (calc)],"&lt;="&amp;$E306),SUMIFS(TblApplications[CPU IKS libérable (vCPU)],TblApplications[Cluster IKS source],$F306,TblApplications[Mois lib (calc)],"&lt;="&amp;$E306)))</f>
        <v/>
      </c>
      <c r="Q306" s="14" t="str">
        <f aca="false">IF($D306&lt;&gt;1,"",IF($G306="ROKS",SUMIFS(TblApplications[Besoin ROKS RAM (Go)],TblApplications[Cluster ROKS cible],$F306,TblApplications[Action],"À migrer",TblApplications[Déjà incluse ROKS],"Non",TblApplications[Mois prov (calc)],"&lt;="&amp;$E306),SUMIFS(TblApplications[RAM IKS libérable (Go)],TblApplications[Cluster IKS source],$F306,TblApplications[Mois lib (calc)],"&lt;="&amp;$E306)))</f>
        <v/>
      </c>
      <c r="R306" s="14" t="str">
        <f aca="false">IF($D306&lt;&gt;1,"",IF($G306="ROKS",$L306+$P306,IF($AI306=1,0,MAX($N306,$L306-$P306))))</f>
        <v/>
      </c>
      <c r="S306" s="14" t="str">
        <f aca="false">IF($D306&lt;&gt;1,"",IF($G306="ROKS",$M306+$Q306,IF($AI306=1,0,MAX($O306,$M306-$Q306))))</f>
        <v/>
      </c>
      <c r="T306" s="14" t="str">
        <f aca="false">IF($D306&lt;&gt;1,"",IF($AI306=1,0,MAX($J306,ROUNDUP(MAX($R306/$H306,$S306/$I306),0))))</f>
        <v/>
      </c>
      <c r="U306" s="14" t="str">
        <f aca="false">IF($D306&lt;&gt;1,"",IF(p_mode="Nœud",$T306*$H306,$R306))</f>
        <v/>
      </c>
      <c r="V306" s="14" t="str">
        <f aca="false">IF($D306&lt;&gt;1,"",IF(p_mode="Nœud",$T306*$I306,$S306))</f>
        <v/>
      </c>
      <c r="W306" s="84" t="str">
        <f aca="false">IF($D306&lt;&gt;1,"",IF(p_mode="Nœud",$T306*$K306,$R306*IF($G306="IKS",p_iks_cpu,p_roks_cpu)+$S306*IF($G306="IKS",p_iks_ram,p_roks_ram))*p_facteur)</f>
        <v/>
      </c>
      <c r="X306" s="14" t="str">
        <f aca="false">IF($D306&lt;&gt;1,"",IF($G306="ROKS",$R306,IF($AI306=1,0,MAX($N306,$L306-SUMIFS(TblApplications[CPU IKS libérable (vCPU)],TblApplications[Cluster IKS source],$F306,TblApplications[Action],"À migrer",TblApplications[Mois prov (calc)],"&lt;="&amp;$E306)-SUMIFS(TblApplications[CPU IKS libérable (vCPU)],TblApplications[Cluster IKS source],$F306,TblApplications[Action],"À décommissionner",TblApplications[Mois lib (calc)],"&lt;="&amp;$E306)))))</f>
        <v/>
      </c>
      <c r="Y306" s="14" t="str">
        <f aca="false">IF($D306&lt;&gt;1,"",IF($G306="ROKS",$S306,IF($AI306=1,0,MAX($O306,$M306-SUMIFS(TblApplications[RAM IKS libérable (Go)],TblApplications[Cluster IKS source],$F306,TblApplications[Action],"À migrer",TblApplications[Mois prov (calc)],"&lt;="&amp;$E306)-SUMIFS(TblApplications[RAM IKS libérable (Go)],TblApplications[Cluster IKS source],$F306,TblApplications[Action],"À décommissionner",TblApplications[Mois lib (calc)],"&lt;="&amp;$E306)))))</f>
        <v/>
      </c>
      <c r="Z306" s="14" t="str">
        <f aca="false">IF($D306&lt;&gt;1,"",IF($AI306=1,0,MAX($J306,ROUNDUP(MAX($X306/$H306,$Y306/$I306),0))))</f>
        <v/>
      </c>
      <c r="AA306" s="84" t="str">
        <f aca="false">IF($D306&lt;&gt;1,"",IF(p_mode="Nœud",$Z306*$K306,$X306*IF($G306="IKS",p_iks_cpu,p_roks_cpu)+$Y306*IF($G306="IKS",p_iks_ram,p_roks_ram))*p_facteur)</f>
        <v/>
      </c>
      <c r="AB306" s="14" t="str">
        <f aca="false">IF($D306&lt;&gt;1,"",MAX($J306,ROUNDUP(MAX($L306/$H306,$M306/$I306),0)))</f>
        <v/>
      </c>
      <c r="AC306" s="84" t="str">
        <f aca="false">IF($D306&lt;&gt;1,"",IF(p_mode="Nœud",$AB306*$K306,$L306*IF($G306="IKS",p_iks_cpu,p_roks_cpu)+$M306*IF($G306="IKS",p_iks_ram,p_roks_ram))*p_facteur)</f>
        <v/>
      </c>
      <c r="AD306" s="14" t="str">
        <f aca="false">IF($D306&lt;&gt;1,"",IF(AND($G306="IKS",$AI306&lt;&gt;1,OR($L306-$P306&lt;$N306,$M306-$Q306&lt;$O306)),1,0))</f>
        <v/>
      </c>
      <c r="AE306" s="14" t="str">
        <f aca="false">IF($D306&lt;&gt;1,"",IF(AND($G306="ROKS",$T306&gt;p_maxworkers),1,0))</f>
        <v/>
      </c>
      <c r="AF306" s="14" t="str">
        <f aca="false">IF($D306&lt;&gt;1,"",IF(INDEX(TblClusters[Environnement],$B306)="","(vide)",INDEX(TblClusters[Environnement],$B306)))</f>
        <v/>
      </c>
      <c r="AG306" s="14" t="str">
        <f aca="false">IF($D306&lt;&gt;1,"",$R306+p_poidsram*$S306)</f>
        <v/>
      </c>
      <c r="AH306" s="14" t="str">
        <f aca="false">IF($D306&lt;&gt;1,"",IFERROR($W306/$AG306,0))</f>
        <v/>
      </c>
      <c r="AI306" s="14" t="str">
        <f aca="false">IF($D306&lt;&gt;1,"",IF(AND($G306="IKS",ISNUMBER(INDEX(TblClusters[Fermeture retenue],$B306))),IF($E306&gt;=INDEX(TblClusters[Fermeture retenue],$B306),1,0),0))</f>
        <v/>
      </c>
    </row>
    <row r="307" customFormat="false" ht="15" hidden="false" customHeight="false" outlineLevel="0" collapsed="false">
      <c r="A307" s="14" t="n">
        <v>302</v>
      </c>
      <c r="B307" s="14" t="n">
        <f aca="false">INT(($A307-1)/36)+1</f>
        <v>9</v>
      </c>
      <c r="C307" s="14" t="n">
        <f aca="false">MOD($A307-1,36)+1</f>
        <v>14</v>
      </c>
      <c r="D307" s="14" t="n">
        <f aca="false">IF($C307&gt;p_horizon,0,IFERROR(IF(AND(INDEX(TblClusters[Cluster],$B307)&lt;&gt;"",ISNUMBER(INDEX(TblClusters[CPU initial (vCPU)],$B307)),ISNUMBER(INDEX(TblClusters[CPU min (vCPU)],$B307)),OR(INDEX(TblClusters[Plateforme],$B307)="IKS",INDEX(TblClusters[Plateforme],$B307)="ROKS")),1,0),0))</f>
        <v>0</v>
      </c>
      <c r="E307" s="83" t="str">
        <f aca="false">IF($D307=1,EDATE(p_debut,$C307-1),"")</f>
        <v/>
      </c>
      <c r="F307" s="14" t="str">
        <f aca="false">IF($D307=1,INDEX(TblClusters[Cluster],$B307),"")</f>
        <v/>
      </c>
      <c r="G307" s="14" t="str">
        <f aca="false">IF($D307=1,INDEX(TblClusters[Plateforme],$B307),"")</f>
        <v/>
      </c>
      <c r="H307" s="14" t="str">
        <f aca="false">IF($D307=1,INDEX(TblClusters[vCPU par nœud],$B307),"")</f>
        <v/>
      </c>
      <c r="I307" s="14" t="str">
        <f aca="false">IF($D307=1,INDEX(TblClusters[RAM par nœud (Go)],$B307),"")</f>
        <v/>
      </c>
      <c r="J307" s="14" t="str">
        <f aca="false">IF($D307=1,INDEX(TblClusters[Workers min],$B307),"")</f>
        <v/>
      </c>
      <c r="K307" s="84" t="str">
        <f aca="false">IF($D307=1,INDEX(TblClusters[Tarif par nœud],$B307),"")</f>
        <v/>
      </c>
      <c r="L307" s="14" t="str">
        <f aca="false">IF($D307=1,INDEX(TblClusters[CPU initial (vCPU)],$B307),"")</f>
        <v/>
      </c>
      <c r="M307" s="14" t="str">
        <f aca="false">IF($D307=1,INDEX(TblClusters[RAM initiale (Go)],$B307),"")</f>
        <v/>
      </c>
      <c r="N307" s="14" t="str">
        <f aca="false">IF($D307=1,INDEX(TblClusters[CPU min (vCPU)],$B307),"")</f>
        <v/>
      </c>
      <c r="O307" s="14" t="str">
        <f aca="false">IF($D307=1,INDEX(TblClusters[RAM min (Go)],$B307),"")</f>
        <v/>
      </c>
      <c r="P307" s="14" t="str">
        <f aca="false">IF($D307&lt;&gt;1,"",IF($G307="ROKS",SUMIFS(TblApplications[Besoin ROKS CPU (vCPU)],TblApplications[Cluster ROKS cible],$F307,TblApplications[Action],"À migrer",TblApplications[Déjà incluse ROKS],"Non",TblApplications[Mois prov (calc)],"&lt;="&amp;$E307),SUMIFS(TblApplications[CPU IKS libérable (vCPU)],TblApplications[Cluster IKS source],$F307,TblApplications[Mois lib (calc)],"&lt;="&amp;$E307)))</f>
        <v/>
      </c>
      <c r="Q307" s="14" t="str">
        <f aca="false">IF($D307&lt;&gt;1,"",IF($G307="ROKS",SUMIFS(TblApplications[Besoin ROKS RAM (Go)],TblApplications[Cluster ROKS cible],$F307,TblApplications[Action],"À migrer",TblApplications[Déjà incluse ROKS],"Non",TblApplications[Mois prov (calc)],"&lt;="&amp;$E307),SUMIFS(TblApplications[RAM IKS libérable (Go)],TblApplications[Cluster IKS source],$F307,TblApplications[Mois lib (calc)],"&lt;="&amp;$E307)))</f>
        <v/>
      </c>
      <c r="R307" s="14" t="str">
        <f aca="false">IF($D307&lt;&gt;1,"",IF($G307="ROKS",$L307+$P307,IF($AI307=1,0,MAX($N307,$L307-$P307))))</f>
        <v/>
      </c>
      <c r="S307" s="14" t="str">
        <f aca="false">IF($D307&lt;&gt;1,"",IF($G307="ROKS",$M307+$Q307,IF($AI307=1,0,MAX($O307,$M307-$Q307))))</f>
        <v/>
      </c>
      <c r="T307" s="14" t="str">
        <f aca="false">IF($D307&lt;&gt;1,"",IF($AI307=1,0,MAX($J307,ROUNDUP(MAX($R307/$H307,$S307/$I307),0))))</f>
        <v/>
      </c>
      <c r="U307" s="14" t="str">
        <f aca="false">IF($D307&lt;&gt;1,"",IF(p_mode="Nœud",$T307*$H307,$R307))</f>
        <v/>
      </c>
      <c r="V307" s="14" t="str">
        <f aca="false">IF($D307&lt;&gt;1,"",IF(p_mode="Nœud",$T307*$I307,$S307))</f>
        <v/>
      </c>
      <c r="W307" s="84" t="str">
        <f aca="false">IF($D307&lt;&gt;1,"",IF(p_mode="Nœud",$T307*$K307,$R307*IF($G307="IKS",p_iks_cpu,p_roks_cpu)+$S307*IF($G307="IKS",p_iks_ram,p_roks_ram))*p_facteur)</f>
        <v/>
      </c>
      <c r="X307" s="14" t="str">
        <f aca="false">IF($D307&lt;&gt;1,"",IF($G307="ROKS",$R307,IF($AI307=1,0,MAX($N307,$L307-SUMIFS(TblApplications[CPU IKS libérable (vCPU)],TblApplications[Cluster IKS source],$F307,TblApplications[Action],"À migrer",TblApplications[Mois prov (calc)],"&lt;="&amp;$E307)-SUMIFS(TblApplications[CPU IKS libérable (vCPU)],TblApplications[Cluster IKS source],$F307,TblApplications[Action],"À décommissionner",TblApplications[Mois lib (calc)],"&lt;="&amp;$E307)))))</f>
        <v/>
      </c>
      <c r="Y307" s="14" t="str">
        <f aca="false">IF($D307&lt;&gt;1,"",IF($G307="ROKS",$S307,IF($AI307=1,0,MAX($O307,$M307-SUMIFS(TblApplications[RAM IKS libérable (Go)],TblApplications[Cluster IKS source],$F307,TblApplications[Action],"À migrer",TblApplications[Mois prov (calc)],"&lt;="&amp;$E307)-SUMIFS(TblApplications[RAM IKS libérable (Go)],TblApplications[Cluster IKS source],$F307,TblApplications[Action],"À décommissionner",TblApplications[Mois lib (calc)],"&lt;="&amp;$E307)))))</f>
        <v/>
      </c>
      <c r="Z307" s="14" t="str">
        <f aca="false">IF($D307&lt;&gt;1,"",IF($AI307=1,0,MAX($J307,ROUNDUP(MAX($X307/$H307,$Y307/$I307),0))))</f>
        <v/>
      </c>
      <c r="AA307" s="84" t="str">
        <f aca="false">IF($D307&lt;&gt;1,"",IF(p_mode="Nœud",$Z307*$K307,$X307*IF($G307="IKS",p_iks_cpu,p_roks_cpu)+$Y307*IF($G307="IKS",p_iks_ram,p_roks_ram))*p_facteur)</f>
        <v/>
      </c>
      <c r="AB307" s="14" t="str">
        <f aca="false">IF($D307&lt;&gt;1,"",MAX($J307,ROUNDUP(MAX($L307/$H307,$M307/$I307),0)))</f>
        <v/>
      </c>
      <c r="AC307" s="84" t="str">
        <f aca="false">IF($D307&lt;&gt;1,"",IF(p_mode="Nœud",$AB307*$K307,$L307*IF($G307="IKS",p_iks_cpu,p_roks_cpu)+$M307*IF($G307="IKS",p_iks_ram,p_roks_ram))*p_facteur)</f>
        <v/>
      </c>
      <c r="AD307" s="14" t="str">
        <f aca="false">IF($D307&lt;&gt;1,"",IF(AND($G307="IKS",$AI307&lt;&gt;1,OR($L307-$P307&lt;$N307,$M307-$Q307&lt;$O307)),1,0))</f>
        <v/>
      </c>
      <c r="AE307" s="14" t="str">
        <f aca="false">IF($D307&lt;&gt;1,"",IF(AND($G307="ROKS",$T307&gt;p_maxworkers),1,0))</f>
        <v/>
      </c>
      <c r="AF307" s="14" t="str">
        <f aca="false">IF($D307&lt;&gt;1,"",IF(INDEX(TblClusters[Environnement],$B307)="","(vide)",INDEX(TblClusters[Environnement],$B307)))</f>
        <v/>
      </c>
      <c r="AG307" s="14" t="str">
        <f aca="false">IF($D307&lt;&gt;1,"",$R307+p_poidsram*$S307)</f>
        <v/>
      </c>
      <c r="AH307" s="14" t="str">
        <f aca="false">IF($D307&lt;&gt;1,"",IFERROR($W307/$AG307,0))</f>
        <v/>
      </c>
      <c r="AI307" s="14" t="str">
        <f aca="false">IF($D307&lt;&gt;1,"",IF(AND($G307="IKS",ISNUMBER(INDEX(TblClusters[Fermeture retenue],$B307))),IF($E307&gt;=INDEX(TblClusters[Fermeture retenue],$B307),1,0),0))</f>
        <v/>
      </c>
    </row>
    <row r="308" customFormat="false" ht="15" hidden="false" customHeight="false" outlineLevel="0" collapsed="false">
      <c r="A308" s="14" t="n">
        <v>303</v>
      </c>
      <c r="B308" s="14" t="n">
        <f aca="false">INT(($A308-1)/36)+1</f>
        <v>9</v>
      </c>
      <c r="C308" s="14" t="n">
        <f aca="false">MOD($A308-1,36)+1</f>
        <v>15</v>
      </c>
      <c r="D308" s="14" t="n">
        <f aca="false">IF($C308&gt;p_horizon,0,IFERROR(IF(AND(INDEX(TblClusters[Cluster],$B308)&lt;&gt;"",ISNUMBER(INDEX(TblClusters[CPU initial (vCPU)],$B308)),ISNUMBER(INDEX(TblClusters[CPU min (vCPU)],$B308)),OR(INDEX(TblClusters[Plateforme],$B308)="IKS",INDEX(TblClusters[Plateforme],$B308)="ROKS")),1,0),0))</f>
        <v>0</v>
      </c>
      <c r="E308" s="83" t="str">
        <f aca="false">IF($D308=1,EDATE(p_debut,$C308-1),"")</f>
        <v/>
      </c>
      <c r="F308" s="14" t="str">
        <f aca="false">IF($D308=1,INDEX(TblClusters[Cluster],$B308),"")</f>
        <v/>
      </c>
      <c r="G308" s="14" t="str">
        <f aca="false">IF($D308=1,INDEX(TblClusters[Plateforme],$B308),"")</f>
        <v/>
      </c>
      <c r="H308" s="14" t="str">
        <f aca="false">IF($D308=1,INDEX(TblClusters[vCPU par nœud],$B308),"")</f>
        <v/>
      </c>
      <c r="I308" s="14" t="str">
        <f aca="false">IF($D308=1,INDEX(TblClusters[RAM par nœud (Go)],$B308),"")</f>
        <v/>
      </c>
      <c r="J308" s="14" t="str">
        <f aca="false">IF($D308=1,INDEX(TblClusters[Workers min],$B308),"")</f>
        <v/>
      </c>
      <c r="K308" s="84" t="str">
        <f aca="false">IF($D308=1,INDEX(TblClusters[Tarif par nœud],$B308),"")</f>
        <v/>
      </c>
      <c r="L308" s="14" t="str">
        <f aca="false">IF($D308=1,INDEX(TblClusters[CPU initial (vCPU)],$B308),"")</f>
        <v/>
      </c>
      <c r="M308" s="14" t="str">
        <f aca="false">IF($D308=1,INDEX(TblClusters[RAM initiale (Go)],$B308),"")</f>
        <v/>
      </c>
      <c r="N308" s="14" t="str">
        <f aca="false">IF($D308=1,INDEX(TblClusters[CPU min (vCPU)],$B308),"")</f>
        <v/>
      </c>
      <c r="O308" s="14" t="str">
        <f aca="false">IF($D308=1,INDEX(TblClusters[RAM min (Go)],$B308),"")</f>
        <v/>
      </c>
      <c r="P308" s="14" t="str">
        <f aca="false">IF($D308&lt;&gt;1,"",IF($G308="ROKS",SUMIFS(TblApplications[Besoin ROKS CPU (vCPU)],TblApplications[Cluster ROKS cible],$F308,TblApplications[Action],"À migrer",TblApplications[Déjà incluse ROKS],"Non",TblApplications[Mois prov (calc)],"&lt;="&amp;$E308),SUMIFS(TblApplications[CPU IKS libérable (vCPU)],TblApplications[Cluster IKS source],$F308,TblApplications[Mois lib (calc)],"&lt;="&amp;$E308)))</f>
        <v/>
      </c>
      <c r="Q308" s="14" t="str">
        <f aca="false">IF($D308&lt;&gt;1,"",IF($G308="ROKS",SUMIFS(TblApplications[Besoin ROKS RAM (Go)],TblApplications[Cluster ROKS cible],$F308,TblApplications[Action],"À migrer",TblApplications[Déjà incluse ROKS],"Non",TblApplications[Mois prov (calc)],"&lt;="&amp;$E308),SUMIFS(TblApplications[RAM IKS libérable (Go)],TblApplications[Cluster IKS source],$F308,TblApplications[Mois lib (calc)],"&lt;="&amp;$E308)))</f>
        <v/>
      </c>
      <c r="R308" s="14" t="str">
        <f aca="false">IF($D308&lt;&gt;1,"",IF($G308="ROKS",$L308+$P308,IF($AI308=1,0,MAX($N308,$L308-$P308))))</f>
        <v/>
      </c>
      <c r="S308" s="14" t="str">
        <f aca="false">IF($D308&lt;&gt;1,"",IF($G308="ROKS",$M308+$Q308,IF($AI308=1,0,MAX($O308,$M308-$Q308))))</f>
        <v/>
      </c>
      <c r="T308" s="14" t="str">
        <f aca="false">IF($D308&lt;&gt;1,"",IF($AI308=1,0,MAX($J308,ROUNDUP(MAX($R308/$H308,$S308/$I308),0))))</f>
        <v/>
      </c>
      <c r="U308" s="14" t="str">
        <f aca="false">IF($D308&lt;&gt;1,"",IF(p_mode="Nœud",$T308*$H308,$R308))</f>
        <v/>
      </c>
      <c r="V308" s="14" t="str">
        <f aca="false">IF($D308&lt;&gt;1,"",IF(p_mode="Nœud",$T308*$I308,$S308))</f>
        <v/>
      </c>
      <c r="W308" s="84" t="str">
        <f aca="false">IF($D308&lt;&gt;1,"",IF(p_mode="Nœud",$T308*$K308,$R308*IF($G308="IKS",p_iks_cpu,p_roks_cpu)+$S308*IF($G308="IKS",p_iks_ram,p_roks_ram))*p_facteur)</f>
        <v/>
      </c>
      <c r="X308" s="14" t="str">
        <f aca="false">IF($D308&lt;&gt;1,"",IF($G308="ROKS",$R308,IF($AI308=1,0,MAX($N308,$L308-SUMIFS(TblApplications[CPU IKS libérable (vCPU)],TblApplications[Cluster IKS source],$F308,TblApplications[Action],"À migrer",TblApplications[Mois prov (calc)],"&lt;="&amp;$E308)-SUMIFS(TblApplications[CPU IKS libérable (vCPU)],TblApplications[Cluster IKS source],$F308,TblApplications[Action],"À décommissionner",TblApplications[Mois lib (calc)],"&lt;="&amp;$E308)))))</f>
        <v/>
      </c>
      <c r="Y308" s="14" t="str">
        <f aca="false">IF($D308&lt;&gt;1,"",IF($G308="ROKS",$S308,IF($AI308=1,0,MAX($O308,$M308-SUMIFS(TblApplications[RAM IKS libérable (Go)],TblApplications[Cluster IKS source],$F308,TblApplications[Action],"À migrer",TblApplications[Mois prov (calc)],"&lt;="&amp;$E308)-SUMIFS(TblApplications[RAM IKS libérable (Go)],TblApplications[Cluster IKS source],$F308,TblApplications[Action],"À décommissionner",TblApplications[Mois lib (calc)],"&lt;="&amp;$E308)))))</f>
        <v/>
      </c>
      <c r="Z308" s="14" t="str">
        <f aca="false">IF($D308&lt;&gt;1,"",IF($AI308=1,0,MAX($J308,ROUNDUP(MAX($X308/$H308,$Y308/$I308),0))))</f>
        <v/>
      </c>
      <c r="AA308" s="84" t="str">
        <f aca="false">IF($D308&lt;&gt;1,"",IF(p_mode="Nœud",$Z308*$K308,$X308*IF($G308="IKS",p_iks_cpu,p_roks_cpu)+$Y308*IF($G308="IKS",p_iks_ram,p_roks_ram))*p_facteur)</f>
        <v/>
      </c>
      <c r="AB308" s="14" t="str">
        <f aca="false">IF($D308&lt;&gt;1,"",MAX($J308,ROUNDUP(MAX($L308/$H308,$M308/$I308),0)))</f>
        <v/>
      </c>
      <c r="AC308" s="84" t="str">
        <f aca="false">IF($D308&lt;&gt;1,"",IF(p_mode="Nœud",$AB308*$K308,$L308*IF($G308="IKS",p_iks_cpu,p_roks_cpu)+$M308*IF($G308="IKS",p_iks_ram,p_roks_ram))*p_facteur)</f>
        <v/>
      </c>
      <c r="AD308" s="14" t="str">
        <f aca="false">IF($D308&lt;&gt;1,"",IF(AND($G308="IKS",$AI308&lt;&gt;1,OR($L308-$P308&lt;$N308,$M308-$Q308&lt;$O308)),1,0))</f>
        <v/>
      </c>
      <c r="AE308" s="14" t="str">
        <f aca="false">IF($D308&lt;&gt;1,"",IF(AND($G308="ROKS",$T308&gt;p_maxworkers),1,0))</f>
        <v/>
      </c>
      <c r="AF308" s="14" t="str">
        <f aca="false">IF($D308&lt;&gt;1,"",IF(INDEX(TblClusters[Environnement],$B308)="","(vide)",INDEX(TblClusters[Environnement],$B308)))</f>
        <v/>
      </c>
      <c r="AG308" s="14" t="str">
        <f aca="false">IF($D308&lt;&gt;1,"",$R308+p_poidsram*$S308)</f>
        <v/>
      </c>
      <c r="AH308" s="14" t="str">
        <f aca="false">IF($D308&lt;&gt;1,"",IFERROR($W308/$AG308,0))</f>
        <v/>
      </c>
      <c r="AI308" s="14" t="str">
        <f aca="false">IF($D308&lt;&gt;1,"",IF(AND($G308="IKS",ISNUMBER(INDEX(TblClusters[Fermeture retenue],$B308))),IF($E308&gt;=INDEX(TblClusters[Fermeture retenue],$B308),1,0),0))</f>
        <v/>
      </c>
    </row>
    <row r="309" customFormat="false" ht="15" hidden="false" customHeight="false" outlineLevel="0" collapsed="false">
      <c r="A309" s="14" t="n">
        <v>304</v>
      </c>
      <c r="B309" s="14" t="n">
        <f aca="false">INT(($A309-1)/36)+1</f>
        <v>9</v>
      </c>
      <c r="C309" s="14" t="n">
        <f aca="false">MOD($A309-1,36)+1</f>
        <v>16</v>
      </c>
      <c r="D309" s="14" t="n">
        <f aca="false">IF($C309&gt;p_horizon,0,IFERROR(IF(AND(INDEX(TblClusters[Cluster],$B309)&lt;&gt;"",ISNUMBER(INDEX(TblClusters[CPU initial (vCPU)],$B309)),ISNUMBER(INDEX(TblClusters[CPU min (vCPU)],$B309)),OR(INDEX(TblClusters[Plateforme],$B309)="IKS",INDEX(TblClusters[Plateforme],$B309)="ROKS")),1,0),0))</f>
        <v>0</v>
      </c>
      <c r="E309" s="83" t="str">
        <f aca="false">IF($D309=1,EDATE(p_debut,$C309-1),"")</f>
        <v/>
      </c>
      <c r="F309" s="14" t="str">
        <f aca="false">IF($D309=1,INDEX(TblClusters[Cluster],$B309),"")</f>
        <v/>
      </c>
      <c r="G309" s="14" t="str">
        <f aca="false">IF($D309=1,INDEX(TblClusters[Plateforme],$B309),"")</f>
        <v/>
      </c>
      <c r="H309" s="14" t="str">
        <f aca="false">IF($D309=1,INDEX(TblClusters[vCPU par nœud],$B309),"")</f>
        <v/>
      </c>
      <c r="I309" s="14" t="str">
        <f aca="false">IF($D309=1,INDEX(TblClusters[RAM par nœud (Go)],$B309),"")</f>
        <v/>
      </c>
      <c r="J309" s="14" t="str">
        <f aca="false">IF($D309=1,INDEX(TblClusters[Workers min],$B309),"")</f>
        <v/>
      </c>
      <c r="K309" s="84" t="str">
        <f aca="false">IF($D309=1,INDEX(TblClusters[Tarif par nœud],$B309),"")</f>
        <v/>
      </c>
      <c r="L309" s="14" t="str">
        <f aca="false">IF($D309=1,INDEX(TblClusters[CPU initial (vCPU)],$B309),"")</f>
        <v/>
      </c>
      <c r="M309" s="14" t="str">
        <f aca="false">IF($D309=1,INDEX(TblClusters[RAM initiale (Go)],$B309),"")</f>
        <v/>
      </c>
      <c r="N309" s="14" t="str">
        <f aca="false">IF($D309=1,INDEX(TblClusters[CPU min (vCPU)],$B309),"")</f>
        <v/>
      </c>
      <c r="O309" s="14" t="str">
        <f aca="false">IF($D309=1,INDEX(TblClusters[RAM min (Go)],$B309),"")</f>
        <v/>
      </c>
      <c r="P309" s="14" t="str">
        <f aca="false">IF($D309&lt;&gt;1,"",IF($G309="ROKS",SUMIFS(TblApplications[Besoin ROKS CPU (vCPU)],TblApplications[Cluster ROKS cible],$F309,TblApplications[Action],"À migrer",TblApplications[Déjà incluse ROKS],"Non",TblApplications[Mois prov (calc)],"&lt;="&amp;$E309),SUMIFS(TblApplications[CPU IKS libérable (vCPU)],TblApplications[Cluster IKS source],$F309,TblApplications[Mois lib (calc)],"&lt;="&amp;$E309)))</f>
        <v/>
      </c>
      <c r="Q309" s="14" t="str">
        <f aca="false">IF($D309&lt;&gt;1,"",IF($G309="ROKS",SUMIFS(TblApplications[Besoin ROKS RAM (Go)],TblApplications[Cluster ROKS cible],$F309,TblApplications[Action],"À migrer",TblApplications[Déjà incluse ROKS],"Non",TblApplications[Mois prov (calc)],"&lt;="&amp;$E309),SUMIFS(TblApplications[RAM IKS libérable (Go)],TblApplications[Cluster IKS source],$F309,TblApplications[Mois lib (calc)],"&lt;="&amp;$E309)))</f>
        <v/>
      </c>
      <c r="R309" s="14" t="str">
        <f aca="false">IF($D309&lt;&gt;1,"",IF($G309="ROKS",$L309+$P309,IF($AI309=1,0,MAX($N309,$L309-$P309))))</f>
        <v/>
      </c>
      <c r="S309" s="14" t="str">
        <f aca="false">IF($D309&lt;&gt;1,"",IF($G309="ROKS",$M309+$Q309,IF($AI309=1,0,MAX($O309,$M309-$Q309))))</f>
        <v/>
      </c>
      <c r="T309" s="14" t="str">
        <f aca="false">IF($D309&lt;&gt;1,"",IF($AI309=1,0,MAX($J309,ROUNDUP(MAX($R309/$H309,$S309/$I309),0))))</f>
        <v/>
      </c>
      <c r="U309" s="14" t="str">
        <f aca="false">IF($D309&lt;&gt;1,"",IF(p_mode="Nœud",$T309*$H309,$R309))</f>
        <v/>
      </c>
      <c r="V309" s="14" t="str">
        <f aca="false">IF($D309&lt;&gt;1,"",IF(p_mode="Nœud",$T309*$I309,$S309))</f>
        <v/>
      </c>
      <c r="W309" s="84" t="str">
        <f aca="false">IF($D309&lt;&gt;1,"",IF(p_mode="Nœud",$T309*$K309,$R309*IF($G309="IKS",p_iks_cpu,p_roks_cpu)+$S309*IF($G309="IKS",p_iks_ram,p_roks_ram))*p_facteur)</f>
        <v/>
      </c>
      <c r="X309" s="14" t="str">
        <f aca="false">IF($D309&lt;&gt;1,"",IF($G309="ROKS",$R309,IF($AI309=1,0,MAX($N309,$L309-SUMIFS(TblApplications[CPU IKS libérable (vCPU)],TblApplications[Cluster IKS source],$F309,TblApplications[Action],"À migrer",TblApplications[Mois prov (calc)],"&lt;="&amp;$E309)-SUMIFS(TblApplications[CPU IKS libérable (vCPU)],TblApplications[Cluster IKS source],$F309,TblApplications[Action],"À décommissionner",TblApplications[Mois lib (calc)],"&lt;="&amp;$E309)))))</f>
        <v/>
      </c>
      <c r="Y309" s="14" t="str">
        <f aca="false">IF($D309&lt;&gt;1,"",IF($G309="ROKS",$S309,IF($AI309=1,0,MAX($O309,$M309-SUMIFS(TblApplications[RAM IKS libérable (Go)],TblApplications[Cluster IKS source],$F309,TblApplications[Action],"À migrer",TblApplications[Mois prov (calc)],"&lt;="&amp;$E309)-SUMIFS(TblApplications[RAM IKS libérable (Go)],TblApplications[Cluster IKS source],$F309,TblApplications[Action],"À décommissionner",TblApplications[Mois lib (calc)],"&lt;="&amp;$E309)))))</f>
        <v/>
      </c>
      <c r="Z309" s="14" t="str">
        <f aca="false">IF($D309&lt;&gt;1,"",IF($AI309=1,0,MAX($J309,ROUNDUP(MAX($X309/$H309,$Y309/$I309),0))))</f>
        <v/>
      </c>
      <c r="AA309" s="84" t="str">
        <f aca="false">IF($D309&lt;&gt;1,"",IF(p_mode="Nœud",$Z309*$K309,$X309*IF($G309="IKS",p_iks_cpu,p_roks_cpu)+$Y309*IF($G309="IKS",p_iks_ram,p_roks_ram))*p_facteur)</f>
        <v/>
      </c>
      <c r="AB309" s="14" t="str">
        <f aca="false">IF($D309&lt;&gt;1,"",MAX($J309,ROUNDUP(MAX($L309/$H309,$M309/$I309),0)))</f>
        <v/>
      </c>
      <c r="AC309" s="84" t="str">
        <f aca="false">IF($D309&lt;&gt;1,"",IF(p_mode="Nœud",$AB309*$K309,$L309*IF($G309="IKS",p_iks_cpu,p_roks_cpu)+$M309*IF($G309="IKS",p_iks_ram,p_roks_ram))*p_facteur)</f>
        <v/>
      </c>
      <c r="AD309" s="14" t="str">
        <f aca="false">IF($D309&lt;&gt;1,"",IF(AND($G309="IKS",$AI309&lt;&gt;1,OR($L309-$P309&lt;$N309,$M309-$Q309&lt;$O309)),1,0))</f>
        <v/>
      </c>
      <c r="AE309" s="14" t="str">
        <f aca="false">IF($D309&lt;&gt;1,"",IF(AND($G309="ROKS",$T309&gt;p_maxworkers),1,0))</f>
        <v/>
      </c>
      <c r="AF309" s="14" t="str">
        <f aca="false">IF($D309&lt;&gt;1,"",IF(INDEX(TblClusters[Environnement],$B309)="","(vide)",INDEX(TblClusters[Environnement],$B309)))</f>
        <v/>
      </c>
      <c r="AG309" s="14" t="str">
        <f aca="false">IF($D309&lt;&gt;1,"",$R309+p_poidsram*$S309)</f>
        <v/>
      </c>
      <c r="AH309" s="14" t="str">
        <f aca="false">IF($D309&lt;&gt;1,"",IFERROR($W309/$AG309,0))</f>
        <v/>
      </c>
      <c r="AI309" s="14" t="str">
        <f aca="false">IF($D309&lt;&gt;1,"",IF(AND($G309="IKS",ISNUMBER(INDEX(TblClusters[Fermeture retenue],$B309))),IF($E309&gt;=INDEX(TblClusters[Fermeture retenue],$B309),1,0),0))</f>
        <v/>
      </c>
    </row>
    <row r="310" customFormat="false" ht="15" hidden="false" customHeight="false" outlineLevel="0" collapsed="false">
      <c r="A310" s="14" t="n">
        <v>305</v>
      </c>
      <c r="B310" s="14" t="n">
        <f aca="false">INT(($A310-1)/36)+1</f>
        <v>9</v>
      </c>
      <c r="C310" s="14" t="n">
        <f aca="false">MOD($A310-1,36)+1</f>
        <v>17</v>
      </c>
      <c r="D310" s="14" t="n">
        <f aca="false">IF($C310&gt;p_horizon,0,IFERROR(IF(AND(INDEX(TblClusters[Cluster],$B310)&lt;&gt;"",ISNUMBER(INDEX(TblClusters[CPU initial (vCPU)],$B310)),ISNUMBER(INDEX(TblClusters[CPU min (vCPU)],$B310)),OR(INDEX(TblClusters[Plateforme],$B310)="IKS",INDEX(TblClusters[Plateforme],$B310)="ROKS")),1,0),0))</f>
        <v>0</v>
      </c>
      <c r="E310" s="83" t="str">
        <f aca="false">IF($D310=1,EDATE(p_debut,$C310-1),"")</f>
        <v/>
      </c>
      <c r="F310" s="14" t="str">
        <f aca="false">IF($D310=1,INDEX(TblClusters[Cluster],$B310),"")</f>
        <v/>
      </c>
      <c r="G310" s="14" t="str">
        <f aca="false">IF($D310=1,INDEX(TblClusters[Plateforme],$B310),"")</f>
        <v/>
      </c>
      <c r="H310" s="14" t="str">
        <f aca="false">IF($D310=1,INDEX(TblClusters[vCPU par nœud],$B310),"")</f>
        <v/>
      </c>
      <c r="I310" s="14" t="str">
        <f aca="false">IF($D310=1,INDEX(TblClusters[RAM par nœud (Go)],$B310),"")</f>
        <v/>
      </c>
      <c r="J310" s="14" t="str">
        <f aca="false">IF($D310=1,INDEX(TblClusters[Workers min],$B310),"")</f>
        <v/>
      </c>
      <c r="K310" s="84" t="str">
        <f aca="false">IF($D310=1,INDEX(TblClusters[Tarif par nœud],$B310),"")</f>
        <v/>
      </c>
      <c r="L310" s="14" t="str">
        <f aca="false">IF($D310=1,INDEX(TblClusters[CPU initial (vCPU)],$B310),"")</f>
        <v/>
      </c>
      <c r="M310" s="14" t="str">
        <f aca="false">IF($D310=1,INDEX(TblClusters[RAM initiale (Go)],$B310),"")</f>
        <v/>
      </c>
      <c r="N310" s="14" t="str">
        <f aca="false">IF($D310=1,INDEX(TblClusters[CPU min (vCPU)],$B310),"")</f>
        <v/>
      </c>
      <c r="O310" s="14" t="str">
        <f aca="false">IF($D310=1,INDEX(TblClusters[RAM min (Go)],$B310),"")</f>
        <v/>
      </c>
      <c r="P310" s="14" t="str">
        <f aca="false">IF($D310&lt;&gt;1,"",IF($G310="ROKS",SUMIFS(TblApplications[Besoin ROKS CPU (vCPU)],TblApplications[Cluster ROKS cible],$F310,TblApplications[Action],"À migrer",TblApplications[Déjà incluse ROKS],"Non",TblApplications[Mois prov (calc)],"&lt;="&amp;$E310),SUMIFS(TblApplications[CPU IKS libérable (vCPU)],TblApplications[Cluster IKS source],$F310,TblApplications[Mois lib (calc)],"&lt;="&amp;$E310)))</f>
        <v/>
      </c>
      <c r="Q310" s="14" t="str">
        <f aca="false">IF($D310&lt;&gt;1,"",IF($G310="ROKS",SUMIFS(TblApplications[Besoin ROKS RAM (Go)],TblApplications[Cluster ROKS cible],$F310,TblApplications[Action],"À migrer",TblApplications[Déjà incluse ROKS],"Non",TblApplications[Mois prov (calc)],"&lt;="&amp;$E310),SUMIFS(TblApplications[RAM IKS libérable (Go)],TblApplications[Cluster IKS source],$F310,TblApplications[Mois lib (calc)],"&lt;="&amp;$E310)))</f>
        <v/>
      </c>
      <c r="R310" s="14" t="str">
        <f aca="false">IF($D310&lt;&gt;1,"",IF($G310="ROKS",$L310+$P310,IF($AI310=1,0,MAX($N310,$L310-$P310))))</f>
        <v/>
      </c>
      <c r="S310" s="14" t="str">
        <f aca="false">IF($D310&lt;&gt;1,"",IF($G310="ROKS",$M310+$Q310,IF($AI310=1,0,MAX($O310,$M310-$Q310))))</f>
        <v/>
      </c>
      <c r="T310" s="14" t="str">
        <f aca="false">IF($D310&lt;&gt;1,"",IF($AI310=1,0,MAX($J310,ROUNDUP(MAX($R310/$H310,$S310/$I310),0))))</f>
        <v/>
      </c>
      <c r="U310" s="14" t="str">
        <f aca="false">IF($D310&lt;&gt;1,"",IF(p_mode="Nœud",$T310*$H310,$R310))</f>
        <v/>
      </c>
      <c r="V310" s="14" t="str">
        <f aca="false">IF($D310&lt;&gt;1,"",IF(p_mode="Nœud",$T310*$I310,$S310))</f>
        <v/>
      </c>
      <c r="W310" s="84" t="str">
        <f aca="false">IF($D310&lt;&gt;1,"",IF(p_mode="Nœud",$T310*$K310,$R310*IF($G310="IKS",p_iks_cpu,p_roks_cpu)+$S310*IF($G310="IKS",p_iks_ram,p_roks_ram))*p_facteur)</f>
        <v/>
      </c>
      <c r="X310" s="14" t="str">
        <f aca="false">IF($D310&lt;&gt;1,"",IF($G310="ROKS",$R310,IF($AI310=1,0,MAX($N310,$L310-SUMIFS(TblApplications[CPU IKS libérable (vCPU)],TblApplications[Cluster IKS source],$F310,TblApplications[Action],"À migrer",TblApplications[Mois prov (calc)],"&lt;="&amp;$E310)-SUMIFS(TblApplications[CPU IKS libérable (vCPU)],TblApplications[Cluster IKS source],$F310,TblApplications[Action],"À décommissionner",TblApplications[Mois lib (calc)],"&lt;="&amp;$E310)))))</f>
        <v/>
      </c>
      <c r="Y310" s="14" t="str">
        <f aca="false">IF($D310&lt;&gt;1,"",IF($G310="ROKS",$S310,IF($AI310=1,0,MAX($O310,$M310-SUMIFS(TblApplications[RAM IKS libérable (Go)],TblApplications[Cluster IKS source],$F310,TblApplications[Action],"À migrer",TblApplications[Mois prov (calc)],"&lt;="&amp;$E310)-SUMIFS(TblApplications[RAM IKS libérable (Go)],TblApplications[Cluster IKS source],$F310,TblApplications[Action],"À décommissionner",TblApplications[Mois lib (calc)],"&lt;="&amp;$E310)))))</f>
        <v/>
      </c>
      <c r="Z310" s="14" t="str">
        <f aca="false">IF($D310&lt;&gt;1,"",IF($AI310=1,0,MAX($J310,ROUNDUP(MAX($X310/$H310,$Y310/$I310),0))))</f>
        <v/>
      </c>
      <c r="AA310" s="84" t="str">
        <f aca="false">IF($D310&lt;&gt;1,"",IF(p_mode="Nœud",$Z310*$K310,$X310*IF($G310="IKS",p_iks_cpu,p_roks_cpu)+$Y310*IF($G310="IKS",p_iks_ram,p_roks_ram))*p_facteur)</f>
        <v/>
      </c>
      <c r="AB310" s="14" t="str">
        <f aca="false">IF($D310&lt;&gt;1,"",MAX($J310,ROUNDUP(MAX($L310/$H310,$M310/$I310),0)))</f>
        <v/>
      </c>
      <c r="AC310" s="84" t="str">
        <f aca="false">IF($D310&lt;&gt;1,"",IF(p_mode="Nœud",$AB310*$K310,$L310*IF($G310="IKS",p_iks_cpu,p_roks_cpu)+$M310*IF($G310="IKS",p_iks_ram,p_roks_ram))*p_facteur)</f>
        <v/>
      </c>
      <c r="AD310" s="14" t="str">
        <f aca="false">IF($D310&lt;&gt;1,"",IF(AND($G310="IKS",$AI310&lt;&gt;1,OR($L310-$P310&lt;$N310,$M310-$Q310&lt;$O310)),1,0))</f>
        <v/>
      </c>
      <c r="AE310" s="14" t="str">
        <f aca="false">IF($D310&lt;&gt;1,"",IF(AND($G310="ROKS",$T310&gt;p_maxworkers),1,0))</f>
        <v/>
      </c>
      <c r="AF310" s="14" t="str">
        <f aca="false">IF($D310&lt;&gt;1,"",IF(INDEX(TblClusters[Environnement],$B310)="","(vide)",INDEX(TblClusters[Environnement],$B310)))</f>
        <v/>
      </c>
      <c r="AG310" s="14" t="str">
        <f aca="false">IF($D310&lt;&gt;1,"",$R310+p_poidsram*$S310)</f>
        <v/>
      </c>
      <c r="AH310" s="14" t="str">
        <f aca="false">IF($D310&lt;&gt;1,"",IFERROR($W310/$AG310,0))</f>
        <v/>
      </c>
      <c r="AI310" s="14" t="str">
        <f aca="false">IF($D310&lt;&gt;1,"",IF(AND($G310="IKS",ISNUMBER(INDEX(TblClusters[Fermeture retenue],$B310))),IF($E310&gt;=INDEX(TblClusters[Fermeture retenue],$B310),1,0),0))</f>
        <v/>
      </c>
    </row>
    <row r="311" customFormat="false" ht="15" hidden="false" customHeight="false" outlineLevel="0" collapsed="false">
      <c r="A311" s="14" t="n">
        <v>306</v>
      </c>
      <c r="B311" s="14" t="n">
        <f aca="false">INT(($A311-1)/36)+1</f>
        <v>9</v>
      </c>
      <c r="C311" s="14" t="n">
        <f aca="false">MOD($A311-1,36)+1</f>
        <v>18</v>
      </c>
      <c r="D311" s="14" t="n">
        <f aca="false">IF($C311&gt;p_horizon,0,IFERROR(IF(AND(INDEX(TblClusters[Cluster],$B311)&lt;&gt;"",ISNUMBER(INDEX(TblClusters[CPU initial (vCPU)],$B311)),ISNUMBER(INDEX(TblClusters[CPU min (vCPU)],$B311)),OR(INDEX(TblClusters[Plateforme],$B311)="IKS",INDEX(TblClusters[Plateforme],$B311)="ROKS")),1,0),0))</f>
        <v>0</v>
      </c>
      <c r="E311" s="83" t="str">
        <f aca="false">IF($D311=1,EDATE(p_debut,$C311-1),"")</f>
        <v/>
      </c>
      <c r="F311" s="14" t="str">
        <f aca="false">IF($D311=1,INDEX(TblClusters[Cluster],$B311),"")</f>
        <v/>
      </c>
      <c r="G311" s="14" t="str">
        <f aca="false">IF($D311=1,INDEX(TblClusters[Plateforme],$B311),"")</f>
        <v/>
      </c>
      <c r="H311" s="14" t="str">
        <f aca="false">IF($D311=1,INDEX(TblClusters[vCPU par nœud],$B311),"")</f>
        <v/>
      </c>
      <c r="I311" s="14" t="str">
        <f aca="false">IF($D311=1,INDEX(TblClusters[RAM par nœud (Go)],$B311),"")</f>
        <v/>
      </c>
      <c r="J311" s="14" t="str">
        <f aca="false">IF($D311=1,INDEX(TblClusters[Workers min],$B311),"")</f>
        <v/>
      </c>
      <c r="K311" s="84" t="str">
        <f aca="false">IF($D311=1,INDEX(TblClusters[Tarif par nœud],$B311),"")</f>
        <v/>
      </c>
      <c r="L311" s="14" t="str">
        <f aca="false">IF($D311=1,INDEX(TblClusters[CPU initial (vCPU)],$B311),"")</f>
        <v/>
      </c>
      <c r="M311" s="14" t="str">
        <f aca="false">IF($D311=1,INDEX(TblClusters[RAM initiale (Go)],$B311),"")</f>
        <v/>
      </c>
      <c r="N311" s="14" t="str">
        <f aca="false">IF($D311=1,INDEX(TblClusters[CPU min (vCPU)],$B311),"")</f>
        <v/>
      </c>
      <c r="O311" s="14" t="str">
        <f aca="false">IF($D311=1,INDEX(TblClusters[RAM min (Go)],$B311),"")</f>
        <v/>
      </c>
      <c r="P311" s="14" t="str">
        <f aca="false">IF($D311&lt;&gt;1,"",IF($G311="ROKS",SUMIFS(TblApplications[Besoin ROKS CPU (vCPU)],TblApplications[Cluster ROKS cible],$F311,TblApplications[Action],"À migrer",TblApplications[Déjà incluse ROKS],"Non",TblApplications[Mois prov (calc)],"&lt;="&amp;$E311),SUMIFS(TblApplications[CPU IKS libérable (vCPU)],TblApplications[Cluster IKS source],$F311,TblApplications[Mois lib (calc)],"&lt;="&amp;$E311)))</f>
        <v/>
      </c>
      <c r="Q311" s="14" t="str">
        <f aca="false">IF($D311&lt;&gt;1,"",IF($G311="ROKS",SUMIFS(TblApplications[Besoin ROKS RAM (Go)],TblApplications[Cluster ROKS cible],$F311,TblApplications[Action],"À migrer",TblApplications[Déjà incluse ROKS],"Non",TblApplications[Mois prov (calc)],"&lt;="&amp;$E311),SUMIFS(TblApplications[RAM IKS libérable (Go)],TblApplications[Cluster IKS source],$F311,TblApplications[Mois lib (calc)],"&lt;="&amp;$E311)))</f>
        <v/>
      </c>
      <c r="R311" s="14" t="str">
        <f aca="false">IF($D311&lt;&gt;1,"",IF($G311="ROKS",$L311+$P311,IF($AI311=1,0,MAX($N311,$L311-$P311))))</f>
        <v/>
      </c>
      <c r="S311" s="14" t="str">
        <f aca="false">IF($D311&lt;&gt;1,"",IF($G311="ROKS",$M311+$Q311,IF($AI311=1,0,MAX($O311,$M311-$Q311))))</f>
        <v/>
      </c>
      <c r="T311" s="14" t="str">
        <f aca="false">IF($D311&lt;&gt;1,"",IF($AI311=1,0,MAX($J311,ROUNDUP(MAX($R311/$H311,$S311/$I311),0))))</f>
        <v/>
      </c>
      <c r="U311" s="14" t="str">
        <f aca="false">IF($D311&lt;&gt;1,"",IF(p_mode="Nœud",$T311*$H311,$R311))</f>
        <v/>
      </c>
      <c r="V311" s="14" t="str">
        <f aca="false">IF($D311&lt;&gt;1,"",IF(p_mode="Nœud",$T311*$I311,$S311))</f>
        <v/>
      </c>
      <c r="W311" s="84" t="str">
        <f aca="false">IF($D311&lt;&gt;1,"",IF(p_mode="Nœud",$T311*$K311,$R311*IF($G311="IKS",p_iks_cpu,p_roks_cpu)+$S311*IF($G311="IKS",p_iks_ram,p_roks_ram))*p_facteur)</f>
        <v/>
      </c>
      <c r="X311" s="14" t="str">
        <f aca="false">IF($D311&lt;&gt;1,"",IF($G311="ROKS",$R311,IF($AI311=1,0,MAX($N311,$L311-SUMIFS(TblApplications[CPU IKS libérable (vCPU)],TblApplications[Cluster IKS source],$F311,TblApplications[Action],"À migrer",TblApplications[Mois prov (calc)],"&lt;="&amp;$E311)-SUMIFS(TblApplications[CPU IKS libérable (vCPU)],TblApplications[Cluster IKS source],$F311,TblApplications[Action],"À décommissionner",TblApplications[Mois lib (calc)],"&lt;="&amp;$E311)))))</f>
        <v/>
      </c>
      <c r="Y311" s="14" t="str">
        <f aca="false">IF($D311&lt;&gt;1,"",IF($G311="ROKS",$S311,IF($AI311=1,0,MAX($O311,$M311-SUMIFS(TblApplications[RAM IKS libérable (Go)],TblApplications[Cluster IKS source],$F311,TblApplications[Action],"À migrer",TblApplications[Mois prov (calc)],"&lt;="&amp;$E311)-SUMIFS(TblApplications[RAM IKS libérable (Go)],TblApplications[Cluster IKS source],$F311,TblApplications[Action],"À décommissionner",TblApplications[Mois lib (calc)],"&lt;="&amp;$E311)))))</f>
        <v/>
      </c>
      <c r="Z311" s="14" t="str">
        <f aca="false">IF($D311&lt;&gt;1,"",IF($AI311=1,0,MAX($J311,ROUNDUP(MAX($X311/$H311,$Y311/$I311),0))))</f>
        <v/>
      </c>
      <c r="AA311" s="84" t="str">
        <f aca="false">IF($D311&lt;&gt;1,"",IF(p_mode="Nœud",$Z311*$K311,$X311*IF($G311="IKS",p_iks_cpu,p_roks_cpu)+$Y311*IF($G311="IKS",p_iks_ram,p_roks_ram))*p_facteur)</f>
        <v/>
      </c>
      <c r="AB311" s="14" t="str">
        <f aca="false">IF($D311&lt;&gt;1,"",MAX($J311,ROUNDUP(MAX($L311/$H311,$M311/$I311),0)))</f>
        <v/>
      </c>
      <c r="AC311" s="84" t="str">
        <f aca="false">IF($D311&lt;&gt;1,"",IF(p_mode="Nœud",$AB311*$K311,$L311*IF($G311="IKS",p_iks_cpu,p_roks_cpu)+$M311*IF($G311="IKS",p_iks_ram,p_roks_ram))*p_facteur)</f>
        <v/>
      </c>
      <c r="AD311" s="14" t="str">
        <f aca="false">IF($D311&lt;&gt;1,"",IF(AND($G311="IKS",$AI311&lt;&gt;1,OR($L311-$P311&lt;$N311,$M311-$Q311&lt;$O311)),1,0))</f>
        <v/>
      </c>
      <c r="AE311" s="14" t="str">
        <f aca="false">IF($D311&lt;&gt;1,"",IF(AND($G311="ROKS",$T311&gt;p_maxworkers),1,0))</f>
        <v/>
      </c>
      <c r="AF311" s="14" t="str">
        <f aca="false">IF($D311&lt;&gt;1,"",IF(INDEX(TblClusters[Environnement],$B311)="","(vide)",INDEX(TblClusters[Environnement],$B311)))</f>
        <v/>
      </c>
      <c r="AG311" s="14" t="str">
        <f aca="false">IF($D311&lt;&gt;1,"",$R311+p_poidsram*$S311)</f>
        <v/>
      </c>
      <c r="AH311" s="14" t="str">
        <f aca="false">IF($D311&lt;&gt;1,"",IFERROR($W311/$AG311,0))</f>
        <v/>
      </c>
      <c r="AI311" s="14" t="str">
        <f aca="false">IF($D311&lt;&gt;1,"",IF(AND($G311="IKS",ISNUMBER(INDEX(TblClusters[Fermeture retenue],$B311))),IF($E311&gt;=INDEX(TblClusters[Fermeture retenue],$B311),1,0),0))</f>
        <v/>
      </c>
    </row>
    <row r="312" customFormat="false" ht="15" hidden="false" customHeight="false" outlineLevel="0" collapsed="false">
      <c r="A312" s="14" t="n">
        <v>307</v>
      </c>
      <c r="B312" s="14" t="n">
        <f aca="false">INT(($A312-1)/36)+1</f>
        <v>9</v>
      </c>
      <c r="C312" s="14" t="n">
        <f aca="false">MOD($A312-1,36)+1</f>
        <v>19</v>
      </c>
      <c r="D312" s="14" t="n">
        <f aca="false">IF($C312&gt;p_horizon,0,IFERROR(IF(AND(INDEX(TblClusters[Cluster],$B312)&lt;&gt;"",ISNUMBER(INDEX(TblClusters[CPU initial (vCPU)],$B312)),ISNUMBER(INDEX(TblClusters[CPU min (vCPU)],$B312)),OR(INDEX(TblClusters[Plateforme],$B312)="IKS",INDEX(TblClusters[Plateforme],$B312)="ROKS")),1,0),0))</f>
        <v>0</v>
      </c>
      <c r="E312" s="83" t="str">
        <f aca="false">IF($D312=1,EDATE(p_debut,$C312-1),"")</f>
        <v/>
      </c>
      <c r="F312" s="14" t="str">
        <f aca="false">IF($D312=1,INDEX(TblClusters[Cluster],$B312),"")</f>
        <v/>
      </c>
      <c r="G312" s="14" t="str">
        <f aca="false">IF($D312=1,INDEX(TblClusters[Plateforme],$B312),"")</f>
        <v/>
      </c>
      <c r="H312" s="14" t="str">
        <f aca="false">IF($D312=1,INDEX(TblClusters[vCPU par nœud],$B312),"")</f>
        <v/>
      </c>
      <c r="I312" s="14" t="str">
        <f aca="false">IF($D312=1,INDEX(TblClusters[RAM par nœud (Go)],$B312),"")</f>
        <v/>
      </c>
      <c r="J312" s="14" t="str">
        <f aca="false">IF($D312=1,INDEX(TblClusters[Workers min],$B312),"")</f>
        <v/>
      </c>
      <c r="K312" s="84" t="str">
        <f aca="false">IF($D312=1,INDEX(TblClusters[Tarif par nœud],$B312),"")</f>
        <v/>
      </c>
      <c r="L312" s="14" t="str">
        <f aca="false">IF($D312=1,INDEX(TblClusters[CPU initial (vCPU)],$B312),"")</f>
        <v/>
      </c>
      <c r="M312" s="14" t="str">
        <f aca="false">IF($D312=1,INDEX(TblClusters[RAM initiale (Go)],$B312),"")</f>
        <v/>
      </c>
      <c r="N312" s="14" t="str">
        <f aca="false">IF($D312=1,INDEX(TblClusters[CPU min (vCPU)],$B312),"")</f>
        <v/>
      </c>
      <c r="O312" s="14" t="str">
        <f aca="false">IF($D312=1,INDEX(TblClusters[RAM min (Go)],$B312),"")</f>
        <v/>
      </c>
      <c r="P312" s="14" t="str">
        <f aca="false">IF($D312&lt;&gt;1,"",IF($G312="ROKS",SUMIFS(TblApplications[Besoin ROKS CPU (vCPU)],TblApplications[Cluster ROKS cible],$F312,TblApplications[Action],"À migrer",TblApplications[Déjà incluse ROKS],"Non",TblApplications[Mois prov (calc)],"&lt;="&amp;$E312),SUMIFS(TblApplications[CPU IKS libérable (vCPU)],TblApplications[Cluster IKS source],$F312,TblApplications[Mois lib (calc)],"&lt;="&amp;$E312)))</f>
        <v/>
      </c>
      <c r="Q312" s="14" t="str">
        <f aca="false">IF($D312&lt;&gt;1,"",IF($G312="ROKS",SUMIFS(TblApplications[Besoin ROKS RAM (Go)],TblApplications[Cluster ROKS cible],$F312,TblApplications[Action],"À migrer",TblApplications[Déjà incluse ROKS],"Non",TblApplications[Mois prov (calc)],"&lt;="&amp;$E312),SUMIFS(TblApplications[RAM IKS libérable (Go)],TblApplications[Cluster IKS source],$F312,TblApplications[Mois lib (calc)],"&lt;="&amp;$E312)))</f>
        <v/>
      </c>
      <c r="R312" s="14" t="str">
        <f aca="false">IF($D312&lt;&gt;1,"",IF($G312="ROKS",$L312+$P312,IF($AI312=1,0,MAX($N312,$L312-$P312))))</f>
        <v/>
      </c>
      <c r="S312" s="14" t="str">
        <f aca="false">IF($D312&lt;&gt;1,"",IF($G312="ROKS",$M312+$Q312,IF($AI312=1,0,MAX($O312,$M312-$Q312))))</f>
        <v/>
      </c>
      <c r="T312" s="14" t="str">
        <f aca="false">IF($D312&lt;&gt;1,"",IF($AI312=1,0,MAX($J312,ROUNDUP(MAX($R312/$H312,$S312/$I312),0))))</f>
        <v/>
      </c>
      <c r="U312" s="14" t="str">
        <f aca="false">IF($D312&lt;&gt;1,"",IF(p_mode="Nœud",$T312*$H312,$R312))</f>
        <v/>
      </c>
      <c r="V312" s="14" t="str">
        <f aca="false">IF($D312&lt;&gt;1,"",IF(p_mode="Nœud",$T312*$I312,$S312))</f>
        <v/>
      </c>
      <c r="W312" s="84" t="str">
        <f aca="false">IF($D312&lt;&gt;1,"",IF(p_mode="Nœud",$T312*$K312,$R312*IF($G312="IKS",p_iks_cpu,p_roks_cpu)+$S312*IF($G312="IKS",p_iks_ram,p_roks_ram))*p_facteur)</f>
        <v/>
      </c>
      <c r="X312" s="14" t="str">
        <f aca="false">IF($D312&lt;&gt;1,"",IF($G312="ROKS",$R312,IF($AI312=1,0,MAX($N312,$L312-SUMIFS(TblApplications[CPU IKS libérable (vCPU)],TblApplications[Cluster IKS source],$F312,TblApplications[Action],"À migrer",TblApplications[Mois prov (calc)],"&lt;="&amp;$E312)-SUMIFS(TblApplications[CPU IKS libérable (vCPU)],TblApplications[Cluster IKS source],$F312,TblApplications[Action],"À décommissionner",TblApplications[Mois lib (calc)],"&lt;="&amp;$E312)))))</f>
        <v/>
      </c>
      <c r="Y312" s="14" t="str">
        <f aca="false">IF($D312&lt;&gt;1,"",IF($G312="ROKS",$S312,IF($AI312=1,0,MAX($O312,$M312-SUMIFS(TblApplications[RAM IKS libérable (Go)],TblApplications[Cluster IKS source],$F312,TblApplications[Action],"À migrer",TblApplications[Mois prov (calc)],"&lt;="&amp;$E312)-SUMIFS(TblApplications[RAM IKS libérable (Go)],TblApplications[Cluster IKS source],$F312,TblApplications[Action],"À décommissionner",TblApplications[Mois lib (calc)],"&lt;="&amp;$E312)))))</f>
        <v/>
      </c>
      <c r="Z312" s="14" t="str">
        <f aca="false">IF($D312&lt;&gt;1,"",IF($AI312=1,0,MAX($J312,ROUNDUP(MAX($X312/$H312,$Y312/$I312),0))))</f>
        <v/>
      </c>
      <c r="AA312" s="84" t="str">
        <f aca="false">IF($D312&lt;&gt;1,"",IF(p_mode="Nœud",$Z312*$K312,$X312*IF($G312="IKS",p_iks_cpu,p_roks_cpu)+$Y312*IF($G312="IKS",p_iks_ram,p_roks_ram))*p_facteur)</f>
        <v/>
      </c>
      <c r="AB312" s="14" t="str">
        <f aca="false">IF($D312&lt;&gt;1,"",MAX($J312,ROUNDUP(MAX($L312/$H312,$M312/$I312),0)))</f>
        <v/>
      </c>
      <c r="AC312" s="84" t="str">
        <f aca="false">IF($D312&lt;&gt;1,"",IF(p_mode="Nœud",$AB312*$K312,$L312*IF($G312="IKS",p_iks_cpu,p_roks_cpu)+$M312*IF($G312="IKS",p_iks_ram,p_roks_ram))*p_facteur)</f>
        <v/>
      </c>
      <c r="AD312" s="14" t="str">
        <f aca="false">IF($D312&lt;&gt;1,"",IF(AND($G312="IKS",$AI312&lt;&gt;1,OR($L312-$P312&lt;$N312,$M312-$Q312&lt;$O312)),1,0))</f>
        <v/>
      </c>
      <c r="AE312" s="14" t="str">
        <f aca="false">IF($D312&lt;&gt;1,"",IF(AND($G312="ROKS",$T312&gt;p_maxworkers),1,0))</f>
        <v/>
      </c>
      <c r="AF312" s="14" t="str">
        <f aca="false">IF($D312&lt;&gt;1,"",IF(INDEX(TblClusters[Environnement],$B312)="","(vide)",INDEX(TblClusters[Environnement],$B312)))</f>
        <v/>
      </c>
      <c r="AG312" s="14" t="str">
        <f aca="false">IF($D312&lt;&gt;1,"",$R312+p_poidsram*$S312)</f>
        <v/>
      </c>
      <c r="AH312" s="14" t="str">
        <f aca="false">IF($D312&lt;&gt;1,"",IFERROR($W312/$AG312,0))</f>
        <v/>
      </c>
      <c r="AI312" s="14" t="str">
        <f aca="false">IF($D312&lt;&gt;1,"",IF(AND($G312="IKS",ISNUMBER(INDEX(TblClusters[Fermeture retenue],$B312))),IF($E312&gt;=INDEX(TblClusters[Fermeture retenue],$B312),1,0),0))</f>
        <v/>
      </c>
    </row>
    <row r="313" customFormat="false" ht="15" hidden="false" customHeight="false" outlineLevel="0" collapsed="false">
      <c r="A313" s="14" t="n">
        <v>308</v>
      </c>
      <c r="B313" s="14" t="n">
        <f aca="false">INT(($A313-1)/36)+1</f>
        <v>9</v>
      </c>
      <c r="C313" s="14" t="n">
        <f aca="false">MOD($A313-1,36)+1</f>
        <v>20</v>
      </c>
      <c r="D313" s="14" t="n">
        <f aca="false">IF($C313&gt;p_horizon,0,IFERROR(IF(AND(INDEX(TblClusters[Cluster],$B313)&lt;&gt;"",ISNUMBER(INDEX(TblClusters[CPU initial (vCPU)],$B313)),ISNUMBER(INDEX(TblClusters[CPU min (vCPU)],$B313)),OR(INDEX(TblClusters[Plateforme],$B313)="IKS",INDEX(TblClusters[Plateforme],$B313)="ROKS")),1,0),0))</f>
        <v>0</v>
      </c>
      <c r="E313" s="83" t="str">
        <f aca="false">IF($D313=1,EDATE(p_debut,$C313-1),"")</f>
        <v/>
      </c>
      <c r="F313" s="14" t="str">
        <f aca="false">IF($D313=1,INDEX(TblClusters[Cluster],$B313),"")</f>
        <v/>
      </c>
      <c r="G313" s="14" t="str">
        <f aca="false">IF($D313=1,INDEX(TblClusters[Plateforme],$B313),"")</f>
        <v/>
      </c>
      <c r="H313" s="14" t="str">
        <f aca="false">IF($D313=1,INDEX(TblClusters[vCPU par nœud],$B313),"")</f>
        <v/>
      </c>
      <c r="I313" s="14" t="str">
        <f aca="false">IF($D313=1,INDEX(TblClusters[RAM par nœud (Go)],$B313),"")</f>
        <v/>
      </c>
      <c r="J313" s="14" t="str">
        <f aca="false">IF($D313=1,INDEX(TblClusters[Workers min],$B313),"")</f>
        <v/>
      </c>
      <c r="K313" s="84" t="str">
        <f aca="false">IF($D313=1,INDEX(TblClusters[Tarif par nœud],$B313),"")</f>
        <v/>
      </c>
      <c r="L313" s="14" t="str">
        <f aca="false">IF($D313=1,INDEX(TblClusters[CPU initial (vCPU)],$B313),"")</f>
        <v/>
      </c>
      <c r="M313" s="14" t="str">
        <f aca="false">IF($D313=1,INDEX(TblClusters[RAM initiale (Go)],$B313),"")</f>
        <v/>
      </c>
      <c r="N313" s="14" t="str">
        <f aca="false">IF($D313=1,INDEX(TblClusters[CPU min (vCPU)],$B313),"")</f>
        <v/>
      </c>
      <c r="O313" s="14" t="str">
        <f aca="false">IF($D313=1,INDEX(TblClusters[RAM min (Go)],$B313),"")</f>
        <v/>
      </c>
      <c r="P313" s="14" t="str">
        <f aca="false">IF($D313&lt;&gt;1,"",IF($G313="ROKS",SUMIFS(TblApplications[Besoin ROKS CPU (vCPU)],TblApplications[Cluster ROKS cible],$F313,TblApplications[Action],"À migrer",TblApplications[Déjà incluse ROKS],"Non",TblApplications[Mois prov (calc)],"&lt;="&amp;$E313),SUMIFS(TblApplications[CPU IKS libérable (vCPU)],TblApplications[Cluster IKS source],$F313,TblApplications[Mois lib (calc)],"&lt;="&amp;$E313)))</f>
        <v/>
      </c>
      <c r="Q313" s="14" t="str">
        <f aca="false">IF($D313&lt;&gt;1,"",IF($G313="ROKS",SUMIFS(TblApplications[Besoin ROKS RAM (Go)],TblApplications[Cluster ROKS cible],$F313,TblApplications[Action],"À migrer",TblApplications[Déjà incluse ROKS],"Non",TblApplications[Mois prov (calc)],"&lt;="&amp;$E313),SUMIFS(TblApplications[RAM IKS libérable (Go)],TblApplications[Cluster IKS source],$F313,TblApplications[Mois lib (calc)],"&lt;="&amp;$E313)))</f>
        <v/>
      </c>
      <c r="R313" s="14" t="str">
        <f aca="false">IF($D313&lt;&gt;1,"",IF($G313="ROKS",$L313+$P313,IF($AI313=1,0,MAX($N313,$L313-$P313))))</f>
        <v/>
      </c>
      <c r="S313" s="14" t="str">
        <f aca="false">IF($D313&lt;&gt;1,"",IF($G313="ROKS",$M313+$Q313,IF($AI313=1,0,MAX($O313,$M313-$Q313))))</f>
        <v/>
      </c>
      <c r="T313" s="14" t="str">
        <f aca="false">IF($D313&lt;&gt;1,"",IF($AI313=1,0,MAX($J313,ROUNDUP(MAX($R313/$H313,$S313/$I313),0))))</f>
        <v/>
      </c>
      <c r="U313" s="14" t="str">
        <f aca="false">IF($D313&lt;&gt;1,"",IF(p_mode="Nœud",$T313*$H313,$R313))</f>
        <v/>
      </c>
      <c r="V313" s="14" t="str">
        <f aca="false">IF($D313&lt;&gt;1,"",IF(p_mode="Nœud",$T313*$I313,$S313))</f>
        <v/>
      </c>
      <c r="W313" s="84" t="str">
        <f aca="false">IF($D313&lt;&gt;1,"",IF(p_mode="Nœud",$T313*$K313,$R313*IF($G313="IKS",p_iks_cpu,p_roks_cpu)+$S313*IF($G313="IKS",p_iks_ram,p_roks_ram))*p_facteur)</f>
        <v/>
      </c>
      <c r="X313" s="14" t="str">
        <f aca="false">IF($D313&lt;&gt;1,"",IF($G313="ROKS",$R313,IF($AI313=1,0,MAX($N313,$L313-SUMIFS(TblApplications[CPU IKS libérable (vCPU)],TblApplications[Cluster IKS source],$F313,TblApplications[Action],"À migrer",TblApplications[Mois prov (calc)],"&lt;="&amp;$E313)-SUMIFS(TblApplications[CPU IKS libérable (vCPU)],TblApplications[Cluster IKS source],$F313,TblApplications[Action],"À décommissionner",TblApplications[Mois lib (calc)],"&lt;="&amp;$E313)))))</f>
        <v/>
      </c>
      <c r="Y313" s="14" t="str">
        <f aca="false">IF($D313&lt;&gt;1,"",IF($G313="ROKS",$S313,IF($AI313=1,0,MAX($O313,$M313-SUMIFS(TblApplications[RAM IKS libérable (Go)],TblApplications[Cluster IKS source],$F313,TblApplications[Action],"À migrer",TblApplications[Mois prov (calc)],"&lt;="&amp;$E313)-SUMIFS(TblApplications[RAM IKS libérable (Go)],TblApplications[Cluster IKS source],$F313,TblApplications[Action],"À décommissionner",TblApplications[Mois lib (calc)],"&lt;="&amp;$E313)))))</f>
        <v/>
      </c>
      <c r="Z313" s="14" t="str">
        <f aca="false">IF($D313&lt;&gt;1,"",IF($AI313=1,0,MAX($J313,ROUNDUP(MAX($X313/$H313,$Y313/$I313),0))))</f>
        <v/>
      </c>
      <c r="AA313" s="84" t="str">
        <f aca="false">IF($D313&lt;&gt;1,"",IF(p_mode="Nœud",$Z313*$K313,$X313*IF($G313="IKS",p_iks_cpu,p_roks_cpu)+$Y313*IF($G313="IKS",p_iks_ram,p_roks_ram))*p_facteur)</f>
        <v/>
      </c>
      <c r="AB313" s="14" t="str">
        <f aca="false">IF($D313&lt;&gt;1,"",MAX($J313,ROUNDUP(MAX($L313/$H313,$M313/$I313),0)))</f>
        <v/>
      </c>
      <c r="AC313" s="84" t="str">
        <f aca="false">IF($D313&lt;&gt;1,"",IF(p_mode="Nœud",$AB313*$K313,$L313*IF($G313="IKS",p_iks_cpu,p_roks_cpu)+$M313*IF($G313="IKS",p_iks_ram,p_roks_ram))*p_facteur)</f>
        <v/>
      </c>
      <c r="AD313" s="14" t="str">
        <f aca="false">IF($D313&lt;&gt;1,"",IF(AND($G313="IKS",$AI313&lt;&gt;1,OR($L313-$P313&lt;$N313,$M313-$Q313&lt;$O313)),1,0))</f>
        <v/>
      </c>
      <c r="AE313" s="14" t="str">
        <f aca="false">IF($D313&lt;&gt;1,"",IF(AND($G313="ROKS",$T313&gt;p_maxworkers),1,0))</f>
        <v/>
      </c>
      <c r="AF313" s="14" t="str">
        <f aca="false">IF($D313&lt;&gt;1,"",IF(INDEX(TblClusters[Environnement],$B313)="","(vide)",INDEX(TblClusters[Environnement],$B313)))</f>
        <v/>
      </c>
      <c r="AG313" s="14" t="str">
        <f aca="false">IF($D313&lt;&gt;1,"",$R313+p_poidsram*$S313)</f>
        <v/>
      </c>
      <c r="AH313" s="14" t="str">
        <f aca="false">IF($D313&lt;&gt;1,"",IFERROR($W313/$AG313,0))</f>
        <v/>
      </c>
      <c r="AI313" s="14" t="str">
        <f aca="false">IF($D313&lt;&gt;1,"",IF(AND($G313="IKS",ISNUMBER(INDEX(TblClusters[Fermeture retenue],$B313))),IF($E313&gt;=INDEX(TblClusters[Fermeture retenue],$B313),1,0),0))</f>
        <v/>
      </c>
    </row>
    <row r="314" customFormat="false" ht="15" hidden="false" customHeight="false" outlineLevel="0" collapsed="false">
      <c r="A314" s="14" t="n">
        <v>309</v>
      </c>
      <c r="B314" s="14" t="n">
        <f aca="false">INT(($A314-1)/36)+1</f>
        <v>9</v>
      </c>
      <c r="C314" s="14" t="n">
        <f aca="false">MOD($A314-1,36)+1</f>
        <v>21</v>
      </c>
      <c r="D314" s="14" t="n">
        <f aca="false">IF($C314&gt;p_horizon,0,IFERROR(IF(AND(INDEX(TblClusters[Cluster],$B314)&lt;&gt;"",ISNUMBER(INDEX(TblClusters[CPU initial (vCPU)],$B314)),ISNUMBER(INDEX(TblClusters[CPU min (vCPU)],$B314)),OR(INDEX(TblClusters[Plateforme],$B314)="IKS",INDEX(TblClusters[Plateforme],$B314)="ROKS")),1,0),0))</f>
        <v>0</v>
      </c>
      <c r="E314" s="83" t="str">
        <f aca="false">IF($D314=1,EDATE(p_debut,$C314-1),"")</f>
        <v/>
      </c>
      <c r="F314" s="14" t="str">
        <f aca="false">IF($D314=1,INDEX(TblClusters[Cluster],$B314),"")</f>
        <v/>
      </c>
      <c r="G314" s="14" t="str">
        <f aca="false">IF($D314=1,INDEX(TblClusters[Plateforme],$B314),"")</f>
        <v/>
      </c>
      <c r="H314" s="14" t="str">
        <f aca="false">IF($D314=1,INDEX(TblClusters[vCPU par nœud],$B314),"")</f>
        <v/>
      </c>
      <c r="I314" s="14" t="str">
        <f aca="false">IF($D314=1,INDEX(TblClusters[RAM par nœud (Go)],$B314),"")</f>
        <v/>
      </c>
      <c r="J314" s="14" t="str">
        <f aca="false">IF($D314=1,INDEX(TblClusters[Workers min],$B314),"")</f>
        <v/>
      </c>
      <c r="K314" s="84" t="str">
        <f aca="false">IF($D314=1,INDEX(TblClusters[Tarif par nœud],$B314),"")</f>
        <v/>
      </c>
      <c r="L314" s="14" t="str">
        <f aca="false">IF($D314=1,INDEX(TblClusters[CPU initial (vCPU)],$B314),"")</f>
        <v/>
      </c>
      <c r="M314" s="14" t="str">
        <f aca="false">IF($D314=1,INDEX(TblClusters[RAM initiale (Go)],$B314),"")</f>
        <v/>
      </c>
      <c r="N314" s="14" t="str">
        <f aca="false">IF($D314=1,INDEX(TblClusters[CPU min (vCPU)],$B314),"")</f>
        <v/>
      </c>
      <c r="O314" s="14" t="str">
        <f aca="false">IF($D314=1,INDEX(TblClusters[RAM min (Go)],$B314),"")</f>
        <v/>
      </c>
      <c r="P314" s="14" t="str">
        <f aca="false">IF($D314&lt;&gt;1,"",IF($G314="ROKS",SUMIFS(TblApplications[Besoin ROKS CPU (vCPU)],TblApplications[Cluster ROKS cible],$F314,TblApplications[Action],"À migrer",TblApplications[Déjà incluse ROKS],"Non",TblApplications[Mois prov (calc)],"&lt;="&amp;$E314),SUMIFS(TblApplications[CPU IKS libérable (vCPU)],TblApplications[Cluster IKS source],$F314,TblApplications[Mois lib (calc)],"&lt;="&amp;$E314)))</f>
        <v/>
      </c>
      <c r="Q314" s="14" t="str">
        <f aca="false">IF($D314&lt;&gt;1,"",IF($G314="ROKS",SUMIFS(TblApplications[Besoin ROKS RAM (Go)],TblApplications[Cluster ROKS cible],$F314,TblApplications[Action],"À migrer",TblApplications[Déjà incluse ROKS],"Non",TblApplications[Mois prov (calc)],"&lt;="&amp;$E314),SUMIFS(TblApplications[RAM IKS libérable (Go)],TblApplications[Cluster IKS source],$F314,TblApplications[Mois lib (calc)],"&lt;="&amp;$E314)))</f>
        <v/>
      </c>
      <c r="R314" s="14" t="str">
        <f aca="false">IF($D314&lt;&gt;1,"",IF($G314="ROKS",$L314+$P314,IF($AI314=1,0,MAX($N314,$L314-$P314))))</f>
        <v/>
      </c>
      <c r="S314" s="14" t="str">
        <f aca="false">IF($D314&lt;&gt;1,"",IF($G314="ROKS",$M314+$Q314,IF($AI314=1,0,MAX($O314,$M314-$Q314))))</f>
        <v/>
      </c>
      <c r="T314" s="14" t="str">
        <f aca="false">IF($D314&lt;&gt;1,"",IF($AI314=1,0,MAX($J314,ROUNDUP(MAX($R314/$H314,$S314/$I314),0))))</f>
        <v/>
      </c>
      <c r="U314" s="14" t="str">
        <f aca="false">IF($D314&lt;&gt;1,"",IF(p_mode="Nœud",$T314*$H314,$R314))</f>
        <v/>
      </c>
      <c r="V314" s="14" t="str">
        <f aca="false">IF($D314&lt;&gt;1,"",IF(p_mode="Nœud",$T314*$I314,$S314))</f>
        <v/>
      </c>
      <c r="W314" s="84" t="str">
        <f aca="false">IF($D314&lt;&gt;1,"",IF(p_mode="Nœud",$T314*$K314,$R314*IF($G314="IKS",p_iks_cpu,p_roks_cpu)+$S314*IF($G314="IKS",p_iks_ram,p_roks_ram))*p_facteur)</f>
        <v/>
      </c>
      <c r="X314" s="14" t="str">
        <f aca="false">IF($D314&lt;&gt;1,"",IF($G314="ROKS",$R314,IF($AI314=1,0,MAX($N314,$L314-SUMIFS(TblApplications[CPU IKS libérable (vCPU)],TblApplications[Cluster IKS source],$F314,TblApplications[Action],"À migrer",TblApplications[Mois prov (calc)],"&lt;="&amp;$E314)-SUMIFS(TblApplications[CPU IKS libérable (vCPU)],TblApplications[Cluster IKS source],$F314,TblApplications[Action],"À décommissionner",TblApplications[Mois lib (calc)],"&lt;="&amp;$E314)))))</f>
        <v/>
      </c>
      <c r="Y314" s="14" t="str">
        <f aca="false">IF($D314&lt;&gt;1,"",IF($G314="ROKS",$S314,IF($AI314=1,0,MAX($O314,$M314-SUMIFS(TblApplications[RAM IKS libérable (Go)],TblApplications[Cluster IKS source],$F314,TblApplications[Action],"À migrer",TblApplications[Mois prov (calc)],"&lt;="&amp;$E314)-SUMIFS(TblApplications[RAM IKS libérable (Go)],TblApplications[Cluster IKS source],$F314,TblApplications[Action],"À décommissionner",TblApplications[Mois lib (calc)],"&lt;="&amp;$E314)))))</f>
        <v/>
      </c>
      <c r="Z314" s="14" t="str">
        <f aca="false">IF($D314&lt;&gt;1,"",IF($AI314=1,0,MAX($J314,ROUNDUP(MAX($X314/$H314,$Y314/$I314),0))))</f>
        <v/>
      </c>
      <c r="AA314" s="84" t="str">
        <f aca="false">IF($D314&lt;&gt;1,"",IF(p_mode="Nœud",$Z314*$K314,$X314*IF($G314="IKS",p_iks_cpu,p_roks_cpu)+$Y314*IF($G314="IKS",p_iks_ram,p_roks_ram))*p_facteur)</f>
        <v/>
      </c>
      <c r="AB314" s="14" t="str">
        <f aca="false">IF($D314&lt;&gt;1,"",MAX($J314,ROUNDUP(MAX($L314/$H314,$M314/$I314),0)))</f>
        <v/>
      </c>
      <c r="AC314" s="84" t="str">
        <f aca="false">IF($D314&lt;&gt;1,"",IF(p_mode="Nœud",$AB314*$K314,$L314*IF($G314="IKS",p_iks_cpu,p_roks_cpu)+$M314*IF($G314="IKS",p_iks_ram,p_roks_ram))*p_facteur)</f>
        <v/>
      </c>
      <c r="AD314" s="14" t="str">
        <f aca="false">IF($D314&lt;&gt;1,"",IF(AND($G314="IKS",$AI314&lt;&gt;1,OR($L314-$P314&lt;$N314,$M314-$Q314&lt;$O314)),1,0))</f>
        <v/>
      </c>
      <c r="AE314" s="14" t="str">
        <f aca="false">IF($D314&lt;&gt;1,"",IF(AND($G314="ROKS",$T314&gt;p_maxworkers),1,0))</f>
        <v/>
      </c>
      <c r="AF314" s="14" t="str">
        <f aca="false">IF($D314&lt;&gt;1,"",IF(INDEX(TblClusters[Environnement],$B314)="","(vide)",INDEX(TblClusters[Environnement],$B314)))</f>
        <v/>
      </c>
      <c r="AG314" s="14" t="str">
        <f aca="false">IF($D314&lt;&gt;1,"",$R314+p_poidsram*$S314)</f>
        <v/>
      </c>
      <c r="AH314" s="14" t="str">
        <f aca="false">IF($D314&lt;&gt;1,"",IFERROR($W314/$AG314,0))</f>
        <v/>
      </c>
      <c r="AI314" s="14" t="str">
        <f aca="false">IF($D314&lt;&gt;1,"",IF(AND($G314="IKS",ISNUMBER(INDEX(TblClusters[Fermeture retenue],$B314))),IF($E314&gt;=INDEX(TblClusters[Fermeture retenue],$B314),1,0),0))</f>
        <v/>
      </c>
    </row>
    <row r="315" customFormat="false" ht="15" hidden="false" customHeight="false" outlineLevel="0" collapsed="false">
      <c r="A315" s="14" t="n">
        <v>310</v>
      </c>
      <c r="B315" s="14" t="n">
        <f aca="false">INT(($A315-1)/36)+1</f>
        <v>9</v>
      </c>
      <c r="C315" s="14" t="n">
        <f aca="false">MOD($A315-1,36)+1</f>
        <v>22</v>
      </c>
      <c r="D315" s="14" t="n">
        <f aca="false">IF($C315&gt;p_horizon,0,IFERROR(IF(AND(INDEX(TblClusters[Cluster],$B315)&lt;&gt;"",ISNUMBER(INDEX(TblClusters[CPU initial (vCPU)],$B315)),ISNUMBER(INDEX(TblClusters[CPU min (vCPU)],$B315)),OR(INDEX(TblClusters[Plateforme],$B315)="IKS",INDEX(TblClusters[Plateforme],$B315)="ROKS")),1,0),0))</f>
        <v>0</v>
      </c>
      <c r="E315" s="83" t="str">
        <f aca="false">IF($D315=1,EDATE(p_debut,$C315-1),"")</f>
        <v/>
      </c>
      <c r="F315" s="14" t="str">
        <f aca="false">IF($D315=1,INDEX(TblClusters[Cluster],$B315),"")</f>
        <v/>
      </c>
      <c r="G315" s="14" t="str">
        <f aca="false">IF($D315=1,INDEX(TblClusters[Plateforme],$B315),"")</f>
        <v/>
      </c>
      <c r="H315" s="14" t="str">
        <f aca="false">IF($D315=1,INDEX(TblClusters[vCPU par nœud],$B315),"")</f>
        <v/>
      </c>
      <c r="I315" s="14" t="str">
        <f aca="false">IF($D315=1,INDEX(TblClusters[RAM par nœud (Go)],$B315),"")</f>
        <v/>
      </c>
      <c r="J315" s="14" t="str">
        <f aca="false">IF($D315=1,INDEX(TblClusters[Workers min],$B315),"")</f>
        <v/>
      </c>
      <c r="K315" s="84" t="str">
        <f aca="false">IF($D315=1,INDEX(TblClusters[Tarif par nœud],$B315),"")</f>
        <v/>
      </c>
      <c r="L315" s="14" t="str">
        <f aca="false">IF($D315=1,INDEX(TblClusters[CPU initial (vCPU)],$B315),"")</f>
        <v/>
      </c>
      <c r="M315" s="14" t="str">
        <f aca="false">IF($D315=1,INDEX(TblClusters[RAM initiale (Go)],$B315),"")</f>
        <v/>
      </c>
      <c r="N315" s="14" t="str">
        <f aca="false">IF($D315=1,INDEX(TblClusters[CPU min (vCPU)],$B315),"")</f>
        <v/>
      </c>
      <c r="O315" s="14" t="str">
        <f aca="false">IF($D315=1,INDEX(TblClusters[RAM min (Go)],$B315),"")</f>
        <v/>
      </c>
      <c r="P315" s="14" t="str">
        <f aca="false">IF($D315&lt;&gt;1,"",IF($G315="ROKS",SUMIFS(TblApplications[Besoin ROKS CPU (vCPU)],TblApplications[Cluster ROKS cible],$F315,TblApplications[Action],"À migrer",TblApplications[Déjà incluse ROKS],"Non",TblApplications[Mois prov (calc)],"&lt;="&amp;$E315),SUMIFS(TblApplications[CPU IKS libérable (vCPU)],TblApplications[Cluster IKS source],$F315,TblApplications[Mois lib (calc)],"&lt;="&amp;$E315)))</f>
        <v/>
      </c>
      <c r="Q315" s="14" t="str">
        <f aca="false">IF($D315&lt;&gt;1,"",IF($G315="ROKS",SUMIFS(TblApplications[Besoin ROKS RAM (Go)],TblApplications[Cluster ROKS cible],$F315,TblApplications[Action],"À migrer",TblApplications[Déjà incluse ROKS],"Non",TblApplications[Mois prov (calc)],"&lt;="&amp;$E315),SUMIFS(TblApplications[RAM IKS libérable (Go)],TblApplications[Cluster IKS source],$F315,TblApplications[Mois lib (calc)],"&lt;="&amp;$E315)))</f>
        <v/>
      </c>
      <c r="R315" s="14" t="str">
        <f aca="false">IF($D315&lt;&gt;1,"",IF($G315="ROKS",$L315+$P315,IF($AI315=1,0,MAX($N315,$L315-$P315))))</f>
        <v/>
      </c>
      <c r="S315" s="14" t="str">
        <f aca="false">IF($D315&lt;&gt;1,"",IF($G315="ROKS",$M315+$Q315,IF($AI315=1,0,MAX($O315,$M315-$Q315))))</f>
        <v/>
      </c>
      <c r="T315" s="14" t="str">
        <f aca="false">IF($D315&lt;&gt;1,"",IF($AI315=1,0,MAX($J315,ROUNDUP(MAX($R315/$H315,$S315/$I315),0))))</f>
        <v/>
      </c>
      <c r="U315" s="14" t="str">
        <f aca="false">IF($D315&lt;&gt;1,"",IF(p_mode="Nœud",$T315*$H315,$R315))</f>
        <v/>
      </c>
      <c r="V315" s="14" t="str">
        <f aca="false">IF($D315&lt;&gt;1,"",IF(p_mode="Nœud",$T315*$I315,$S315))</f>
        <v/>
      </c>
      <c r="W315" s="84" t="str">
        <f aca="false">IF($D315&lt;&gt;1,"",IF(p_mode="Nœud",$T315*$K315,$R315*IF($G315="IKS",p_iks_cpu,p_roks_cpu)+$S315*IF($G315="IKS",p_iks_ram,p_roks_ram))*p_facteur)</f>
        <v/>
      </c>
      <c r="X315" s="14" t="str">
        <f aca="false">IF($D315&lt;&gt;1,"",IF($G315="ROKS",$R315,IF($AI315=1,0,MAX($N315,$L315-SUMIFS(TblApplications[CPU IKS libérable (vCPU)],TblApplications[Cluster IKS source],$F315,TblApplications[Action],"À migrer",TblApplications[Mois prov (calc)],"&lt;="&amp;$E315)-SUMIFS(TblApplications[CPU IKS libérable (vCPU)],TblApplications[Cluster IKS source],$F315,TblApplications[Action],"À décommissionner",TblApplications[Mois lib (calc)],"&lt;="&amp;$E315)))))</f>
        <v/>
      </c>
      <c r="Y315" s="14" t="str">
        <f aca="false">IF($D315&lt;&gt;1,"",IF($G315="ROKS",$S315,IF($AI315=1,0,MAX($O315,$M315-SUMIFS(TblApplications[RAM IKS libérable (Go)],TblApplications[Cluster IKS source],$F315,TblApplications[Action],"À migrer",TblApplications[Mois prov (calc)],"&lt;="&amp;$E315)-SUMIFS(TblApplications[RAM IKS libérable (Go)],TblApplications[Cluster IKS source],$F315,TblApplications[Action],"À décommissionner",TblApplications[Mois lib (calc)],"&lt;="&amp;$E315)))))</f>
        <v/>
      </c>
      <c r="Z315" s="14" t="str">
        <f aca="false">IF($D315&lt;&gt;1,"",IF($AI315=1,0,MAX($J315,ROUNDUP(MAX($X315/$H315,$Y315/$I315),0))))</f>
        <v/>
      </c>
      <c r="AA315" s="84" t="str">
        <f aca="false">IF($D315&lt;&gt;1,"",IF(p_mode="Nœud",$Z315*$K315,$X315*IF($G315="IKS",p_iks_cpu,p_roks_cpu)+$Y315*IF($G315="IKS",p_iks_ram,p_roks_ram))*p_facteur)</f>
        <v/>
      </c>
      <c r="AB315" s="14" t="str">
        <f aca="false">IF($D315&lt;&gt;1,"",MAX($J315,ROUNDUP(MAX($L315/$H315,$M315/$I315),0)))</f>
        <v/>
      </c>
      <c r="AC315" s="84" t="str">
        <f aca="false">IF($D315&lt;&gt;1,"",IF(p_mode="Nœud",$AB315*$K315,$L315*IF($G315="IKS",p_iks_cpu,p_roks_cpu)+$M315*IF($G315="IKS",p_iks_ram,p_roks_ram))*p_facteur)</f>
        <v/>
      </c>
      <c r="AD315" s="14" t="str">
        <f aca="false">IF($D315&lt;&gt;1,"",IF(AND($G315="IKS",$AI315&lt;&gt;1,OR($L315-$P315&lt;$N315,$M315-$Q315&lt;$O315)),1,0))</f>
        <v/>
      </c>
      <c r="AE315" s="14" t="str">
        <f aca="false">IF($D315&lt;&gt;1,"",IF(AND($G315="ROKS",$T315&gt;p_maxworkers),1,0))</f>
        <v/>
      </c>
      <c r="AF315" s="14" t="str">
        <f aca="false">IF($D315&lt;&gt;1,"",IF(INDEX(TblClusters[Environnement],$B315)="","(vide)",INDEX(TblClusters[Environnement],$B315)))</f>
        <v/>
      </c>
      <c r="AG315" s="14" t="str">
        <f aca="false">IF($D315&lt;&gt;1,"",$R315+p_poidsram*$S315)</f>
        <v/>
      </c>
      <c r="AH315" s="14" t="str">
        <f aca="false">IF($D315&lt;&gt;1,"",IFERROR($W315/$AG315,0))</f>
        <v/>
      </c>
      <c r="AI315" s="14" t="str">
        <f aca="false">IF($D315&lt;&gt;1,"",IF(AND($G315="IKS",ISNUMBER(INDEX(TblClusters[Fermeture retenue],$B315))),IF($E315&gt;=INDEX(TblClusters[Fermeture retenue],$B315),1,0),0))</f>
        <v/>
      </c>
    </row>
    <row r="316" customFormat="false" ht="15" hidden="false" customHeight="false" outlineLevel="0" collapsed="false">
      <c r="A316" s="14" t="n">
        <v>311</v>
      </c>
      <c r="B316" s="14" t="n">
        <f aca="false">INT(($A316-1)/36)+1</f>
        <v>9</v>
      </c>
      <c r="C316" s="14" t="n">
        <f aca="false">MOD($A316-1,36)+1</f>
        <v>23</v>
      </c>
      <c r="D316" s="14" t="n">
        <f aca="false">IF($C316&gt;p_horizon,0,IFERROR(IF(AND(INDEX(TblClusters[Cluster],$B316)&lt;&gt;"",ISNUMBER(INDEX(TblClusters[CPU initial (vCPU)],$B316)),ISNUMBER(INDEX(TblClusters[CPU min (vCPU)],$B316)),OR(INDEX(TblClusters[Plateforme],$B316)="IKS",INDEX(TblClusters[Plateforme],$B316)="ROKS")),1,0),0))</f>
        <v>0</v>
      </c>
      <c r="E316" s="83" t="str">
        <f aca="false">IF($D316=1,EDATE(p_debut,$C316-1),"")</f>
        <v/>
      </c>
      <c r="F316" s="14" t="str">
        <f aca="false">IF($D316=1,INDEX(TblClusters[Cluster],$B316),"")</f>
        <v/>
      </c>
      <c r="G316" s="14" t="str">
        <f aca="false">IF($D316=1,INDEX(TblClusters[Plateforme],$B316),"")</f>
        <v/>
      </c>
      <c r="H316" s="14" t="str">
        <f aca="false">IF($D316=1,INDEX(TblClusters[vCPU par nœud],$B316),"")</f>
        <v/>
      </c>
      <c r="I316" s="14" t="str">
        <f aca="false">IF($D316=1,INDEX(TblClusters[RAM par nœud (Go)],$B316),"")</f>
        <v/>
      </c>
      <c r="J316" s="14" t="str">
        <f aca="false">IF($D316=1,INDEX(TblClusters[Workers min],$B316),"")</f>
        <v/>
      </c>
      <c r="K316" s="84" t="str">
        <f aca="false">IF($D316=1,INDEX(TblClusters[Tarif par nœud],$B316),"")</f>
        <v/>
      </c>
      <c r="L316" s="14" t="str">
        <f aca="false">IF($D316=1,INDEX(TblClusters[CPU initial (vCPU)],$B316),"")</f>
        <v/>
      </c>
      <c r="M316" s="14" t="str">
        <f aca="false">IF($D316=1,INDEX(TblClusters[RAM initiale (Go)],$B316),"")</f>
        <v/>
      </c>
      <c r="N316" s="14" t="str">
        <f aca="false">IF($D316=1,INDEX(TblClusters[CPU min (vCPU)],$B316),"")</f>
        <v/>
      </c>
      <c r="O316" s="14" t="str">
        <f aca="false">IF($D316=1,INDEX(TblClusters[RAM min (Go)],$B316),"")</f>
        <v/>
      </c>
      <c r="P316" s="14" t="str">
        <f aca="false">IF($D316&lt;&gt;1,"",IF($G316="ROKS",SUMIFS(TblApplications[Besoin ROKS CPU (vCPU)],TblApplications[Cluster ROKS cible],$F316,TblApplications[Action],"À migrer",TblApplications[Déjà incluse ROKS],"Non",TblApplications[Mois prov (calc)],"&lt;="&amp;$E316),SUMIFS(TblApplications[CPU IKS libérable (vCPU)],TblApplications[Cluster IKS source],$F316,TblApplications[Mois lib (calc)],"&lt;="&amp;$E316)))</f>
        <v/>
      </c>
      <c r="Q316" s="14" t="str">
        <f aca="false">IF($D316&lt;&gt;1,"",IF($G316="ROKS",SUMIFS(TblApplications[Besoin ROKS RAM (Go)],TblApplications[Cluster ROKS cible],$F316,TblApplications[Action],"À migrer",TblApplications[Déjà incluse ROKS],"Non",TblApplications[Mois prov (calc)],"&lt;="&amp;$E316),SUMIFS(TblApplications[RAM IKS libérable (Go)],TblApplications[Cluster IKS source],$F316,TblApplications[Mois lib (calc)],"&lt;="&amp;$E316)))</f>
        <v/>
      </c>
      <c r="R316" s="14" t="str">
        <f aca="false">IF($D316&lt;&gt;1,"",IF($G316="ROKS",$L316+$P316,IF($AI316=1,0,MAX($N316,$L316-$P316))))</f>
        <v/>
      </c>
      <c r="S316" s="14" t="str">
        <f aca="false">IF($D316&lt;&gt;1,"",IF($G316="ROKS",$M316+$Q316,IF($AI316=1,0,MAX($O316,$M316-$Q316))))</f>
        <v/>
      </c>
      <c r="T316" s="14" t="str">
        <f aca="false">IF($D316&lt;&gt;1,"",IF($AI316=1,0,MAX($J316,ROUNDUP(MAX($R316/$H316,$S316/$I316),0))))</f>
        <v/>
      </c>
      <c r="U316" s="14" t="str">
        <f aca="false">IF($D316&lt;&gt;1,"",IF(p_mode="Nœud",$T316*$H316,$R316))</f>
        <v/>
      </c>
      <c r="V316" s="14" t="str">
        <f aca="false">IF($D316&lt;&gt;1,"",IF(p_mode="Nœud",$T316*$I316,$S316))</f>
        <v/>
      </c>
      <c r="W316" s="84" t="str">
        <f aca="false">IF($D316&lt;&gt;1,"",IF(p_mode="Nœud",$T316*$K316,$R316*IF($G316="IKS",p_iks_cpu,p_roks_cpu)+$S316*IF($G316="IKS",p_iks_ram,p_roks_ram))*p_facteur)</f>
        <v/>
      </c>
      <c r="X316" s="14" t="str">
        <f aca="false">IF($D316&lt;&gt;1,"",IF($G316="ROKS",$R316,IF($AI316=1,0,MAX($N316,$L316-SUMIFS(TblApplications[CPU IKS libérable (vCPU)],TblApplications[Cluster IKS source],$F316,TblApplications[Action],"À migrer",TblApplications[Mois prov (calc)],"&lt;="&amp;$E316)-SUMIFS(TblApplications[CPU IKS libérable (vCPU)],TblApplications[Cluster IKS source],$F316,TblApplications[Action],"À décommissionner",TblApplications[Mois lib (calc)],"&lt;="&amp;$E316)))))</f>
        <v/>
      </c>
      <c r="Y316" s="14" t="str">
        <f aca="false">IF($D316&lt;&gt;1,"",IF($G316="ROKS",$S316,IF($AI316=1,0,MAX($O316,$M316-SUMIFS(TblApplications[RAM IKS libérable (Go)],TblApplications[Cluster IKS source],$F316,TblApplications[Action],"À migrer",TblApplications[Mois prov (calc)],"&lt;="&amp;$E316)-SUMIFS(TblApplications[RAM IKS libérable (Go)],TblApplications[Cluster IKS source],$F316,TblApplications[Action],"À décommissionner",TblApplications[Mois lib (calc)],"&lt;="&amp;$E316)))))</f>
        <v/>
      </c>
      <c r="Z316" s="14" t="str">
        <f aca="false">IF($D316&lt;&gt;1,"",IF($AI316=1,0,MAX($J316,ROUNDUP(MAX($X316/$H316,$Y316/$I316),0))))</f>
        <v/>
      </c>
      <c r="AA316" s="84" t="str">
        <f aca="false">IF($D316&lt;&gt;1,"",IF(p_mode="Nœud",$Z316*$K316,$X316*IF($G316="IKS",p_iks_cpu,p_roks_cpu)+$Y316*IF($G316="IKS",p_iks_ram,p_roks_ram))*p_facteur)</f>
        <v/>
      </c>
      <c r="AB316" s="14" t="str">
        <f aca="false">IF($D316&lt;&gt;1,"",MAX($J316,ROUNDUP(MAX($L316/$H316,$M316/$I316),0)))</f>
        <v/>
      </c>
      <c r="AC316" s="84" t="str">
        <f aca="false">IF($D316&lt;&gt;1,"",IF(p_mode="Nœud",$AB316*$K316,$L316*IF($G316="IKS",p_iks_cpu,p_roks_cpu)+$M316*IF($G316="IKS",p_iks_ram,p_roks_ram))*p_facteur)</f>
        <v/>
      </c>
      <c r="AD316" s="14" t="str">
        <f aca="false">IF($D316&lt;&gt;1,"",IF(AND($G316="IKS",$AI316&lt;&gt;1,OR($L316-$P316&lt;$N316,$M316-$Q316&lt;$O316)),1,0))</f>
        <v/>
      </c>
      <c r="AE316" s="14" t="str">
        <f aca="false">IF($D316&lt;&gt;1,"",IF(AND($G316="ROKS",$T316&gt;p_maxworkers),1,0))</f>
        <v/>
      </c>
      <c r="AF316" s="14" t="str">
        <f aca="false">IF($D316&lt;&gt;1,"",IF(INDEX(TblClusters[Environnement],$B316)="","(vide)",INDEX(TblClusters[Environnement],$B316)))</f>
        <v/>
      </c>
      <c r="AG316" s="14" t="str">
        <f aca="false">IF($D316&lt;&gt;1,"",$R316+p_poidsram*$S316)</f>
        <v/>
      </c>
      <c r="AH316" s="14" t="str">
        <f aca="false">IF($D316&lt;&gt;1,"",IFERROR($W316/$AG316,0))</f>
        <v/>
      </c>
      <c r="AI316" s="14" t="str">
        <f aca="false">IF($D316&lt;&gt;1,"",IF(AND($G316="IKS",ISNUMBER(INDEX(TblClusters[Fermeture retenue],$B316))),IF($E316&gt;=INDEX(TblClusters[Fermeture retenue],$B316),1,0),0))</f>
        <v/>
      </c>
    </row>
    <row r="317" customFormat="false" ht="15" hidden="false" customHeight="false" outlineLevel="0" collapsed="false">
      <c r="A317" s="14" t="n">
        <v>312</v>
      </c>
      <c r="B317" s="14" t="n">
        <f aca="false">INT(($A317-1)/36)+1</f>
        <v>9</v>
      </c>
      <c r="C317" s="14" t="n">
        <f aca="false">MOD($A317-1,36)+1</f>
        <v>24</v>
      </c>
      <c r="D317" s="14" t="n">
        <f aca="false">IF($C317&gt;p_horizon,0,IFERROR(IF(AND(INDEX(TblClusters[Cluster],$B317)&lt;&gt;"",ISNUMBER(INDEX(TblClusters[CPU initial (vCPU)],$B317)),ISNUMBER(INDEX(TblClusters[CPU min (vCPU)],$B317)),OR(INDEX(TblClusters[Plateforme],$B317)="IKS",INDEX(TblClusters[Plateforme],$B317)="ROKS")),1,0),0))</f>
        <v>0</v>
      </c>
      <c r="E317" s="83" t="str">
        <f aca="false">IF($D317=1,EDATE(p_debut,$C317-1),"")</f>
        <v/>
      </c>
      <c r="F317" s="14" t="str">
        <f aca="false">IF($D317=1,INDEX(TblClusters[Cluster],$B317),"")</f>
        <v/>
      </c>
      <c r="G317" s="14" t="str">
        <f aca="false">IF($D317=1,INDEX(TblClusters[Plateforme],$B317),"")</f>
        <v/>
      </c>
      <c r="H317" s="14" t="str">
        <f aca="false">IF($D317=1,INDEX(TblClusters[vCPU par nœud],$B317),"")</f>
        <v/>
      </c>
      <c r="I317" s="14" t="str">
        <f aca="false">IF($D317=1,INDEX(TblClusters[RAM par nœud (Go)],$B317),"")</f>
        <v/>
      </c>
      <c r="J317" s="14" t="str">
        <f aca="false">IF($D317=1,INDEX(TblClusters[Workers min],$B317),"")</f>
        <v/>
      </c>
      <c r="K317" s="84" t="str">
        <f aca="false">IF($D317=1,INDEX(TblClusters[Tarif par nœud],$B317),"")</f>
        <v/>
      </c>
      <c r="L317" s="14" t="str">
        <f aca="false">IF($D317=1,INDEX(TblClusters[CPU initial (vCPU)],$B317),"")</f>
        <v/>
      </c>
      <c r="M317" s="14" t="str">
        <f aca="false">IF($D317=1,INDEX(TblClusters[RAM initiale (Go)],$B317),"")</f>
        <v/>
      </c>
      <c r="N317" s="14" t="str">
        <f aca="false">IF($D317=1,INDEX(TblClusters[CPU min (vCPU)],$B317),"")</f>
        <v/>
      </c>
      <c r="O317" s="14" t="str">
        <f aca="false">IF($D317=1,INDEX(TblClusters[RAM min (Go)],$B317),"")</f>
        <v/>
      </c>
      <c r="P317" s="14" t="str">
        <f aca="false">IF($D317&lt;&gt;1,"",IF($G317="ROKS",SUMIFS(TblApplications[Besoin ROKS CPU (vCPU)],TblApplications[Cluster ROKS cible],$F317,TblApplications[Action],"À migrer",TblApplications[Déjà incluse ROKS],"Non",TblApplications[Mois prov (calc)],"&lt;="&amp;$E317),SUMIFS(TblApplications[CPU IKS libérable (vCPU)],TblApplications[Cluster IKS source],$F317,TblApplications[Mois lib (calc)],"&lt;="&amp;$E317)))</f>
        <v/>
      </c>
      <c r="Q317" s="14" t="str">
        <f aca="false">IF($D317&lt;&gt;1,"",IF($G317="ROKS",SUMIFS(TblApplications[Besoin ROKS RAM (Go)],TblApplications[Cluster ROKS cible],$F317,TblApplications[Action],"À migrer",TblApplications[Déjà incluse ROKS],"Non",TblApplications[Mois prov (calc)],"&lt;="&amp;$E317),SUMIFS(TblApplications[RAM IKS libérable (Go)],TblApplications[Cluster IKS source],$F317,TblApplications[Mois lib (calc)],"&lt;="&amp;$E317)))</f>
        <v/>
      </c>
      <c r="R317" s="14" t="str">
        <f aca="false">IF($D317&lt;&gt;1,"",IF($G317="ROKS",$L317+$P317,IF($AI317=1,0,MAX($N317,$L317-$P317))))</f>
        <v/>
      </c>
      <c r="S317" s="14" t="str">
        <f aca="false">IF($D317&lt;&gt;1,"",IF($G317="ROKS",$M317+$Q317,IF($AI317=1,0,MAX($O317,$M317-$Q317))))</f>
        <v/>
      </c>
      <c r="T317" s="14" t="str">
        <f aca="false">IF($D317&lt;&gt;1,"",IF($AI317=1,0,MAX($J317,ROUNDUP(MAX($R317/$H317,$S317/$I317),0))))</f>
        <v/>
      </c>
      <c r="U317" s="14" t="str">
        <f aca="false">IF($D317&lt;&gt;1,"",IF(p_mode="Nœud",$T317*$H317,$R317))</f>
        <v/>
      </c>
      <c r="V317" s="14" t="str">
        <f aca="false">IF($D317&lt;&gt;1,"",IF(p_mode="Nœud",$T317*$I317,$S317))</f>
        <v/>
      </c>
      <c r="W317" s="84" t="str">
        <f aca="false">IF($D317&lt;&gt;1,"",IF(p_mode="Nœud",$T317*$K317,$R317*IF($G317="IKS",p_iks_cpu,p_roks_cpu)+$S317*IF($G317="IKS",p_iks_ram,p_roks_ram))*p_facteur)</f>
        <v/>
      </c>
      <c r="X317" s="14" t="str">
        <f aca="false">IF($D317&lt;&gt;1,"",IF($G317="ROKS",$R317,IF($AI317=1,0,MAX($N317,$L317-SUMIFS(TblApplications[CPU IKS libérable (vCPU)],TblApplications[Cluster IKS source],$F317,TblApplications[Action],"À migrer",TblApplications[Mois prov (calc)],"&lt;="&amp;$E317)-SUMIFS(TblApplications[CPU IKS libérable (vCPU)],TblApplications[Cluster IKS source],$F317,TblApplications[Action],"À décommissionner",TblApplications[Mois lib (calc)],"&lt;="&amp;$E317)))))</f>
        <v/>
      </c>
      <c r="Y317" s="14" t="str">
        <f aca="false">IF($D317&lt;&gt;1,"",IF($G317="ROKS",$S317,IF($AI317=1,0,MAX($O317,$M317-SUMIFS(TblApplications[RAM IKS libérable (Go)],TblApplications[Cluster IKS source],$F317,TblApplications[Action],"À migrer",TblApplications[Mois prov (calc)],"&lt;="&amp;$E317)-SUMIFS(TblApplications[RAM IKS libérable (Go)],TblApplications[Cluster IKS source],$F317,TblApplications[Action],"À décommissionner",TblApplications[Mois lib (calc)],"&lt;="&amp;$E317)))))</f>
        <v/>
      </c>
      <c r="Z317" s="14" t="str">
        <f aca="false">IF($D317&lt;&gt;1,"",IF($AI317=1,0,MAX($J317,ROUNDUP(MAX($X317/$H317,$Y317/$I317),0))))</f>
        <v/>
      </c>
      <c r="AA317" s="84" t="str">
        <f aca="false">IF($D317&lt;&gt;1,"",IF(p_mode="Nœud",$Z317*$K317,$X317*IF($G317="IKS",p_iks_cpu,p_roks_cpu)+$Y317*IF($G317="IKS",p_iks_ram,p_roks_ram))*p_facteur)</f>
        <v/>
      </c>
      <c r="AB317" s="14" t="str">
        <f aca="false">IF($D317&lt;&gt;1,"",MAX($J317,ROUNDUP(MAX($L317/$H317,$M317/$I317),0)))</f>
        <v/>
      </c>
      <c r="AC317" s="84" t="str">
        <f aca="false">IF($D317&lt;&gt;1,"",IF(p_mode="Nœud",$AB317*$K317,$L317*IF($G317="IKS",p_iks_cpu,p_roks_cpu)+$M317*IF($G317="IKS",p_iks_ram,p_roks_ram))*p_facteur)</f>
        <v/>
      </c>
      <c r="AD317" s="14" t="str">
        <f aca="false">IF($D317&lt;&gt;1,"",IF(AND($G317="IKS",$AI317&lt;&gt;1,OR($L317-$P317&lt;$N317,$M317-$Q317&lt;$O317)),1,0))</f>
        <v/>
      </c>
      <c r="AE317" s="14" t="str">
        <f aca="false">IF($D317&lt;&gt;1,"",IF(AND($G317="ROKS",$T317&gt;p_maxworkers),1,0))</f>
        <v/>
      </c>
      <c r="AF317" s="14" t="str">
        <f aca="false">IF($D317&lt;&gt;1,"",IF(INDEX(TblClusters[Environnement],$B317)="","(vide)",INDEX(TblClusters[Environnement],$B317)))</f>
        <v/>
      </c>
      <c r="AG317" s="14" t="str">
        <f aca="false">IF($D317&lt;&gt;1,"",$R317+p_poidsram*$S317)</f>
        <v/>
      </c>
      <c r="AH317" s="14" t="str">
        <f aca="false">IF($D317&lt;&gt;1,"",IFERROR($W317/$AG317,0))</f>
        <v/>
      </c>
      <c r="AI317" s="14" t="str">
        <f aca="false">IF($D317&lt;&gt;1,"",IF(AND($G317="IKS",ISNUMBER(INDEX(TblClusters[Fermeture retenue],$B317))),IF($E317&gt;=INDEX(TblClusters[Fermeture retenue],$B317),1,0),0))</f>
        <v/>
      </c>
    </row>
    <row r="318" customFormat="false" ht="15" hidden="false" customHeight="false" outlineLevel="0" collapsed="false">
      <c r="A318" s="14" t="n">
        <v>313</v>
      </c>
      <c r="B318" s="14" t="n">
        <f aca="false">INT(($A318-1)/36)+1</f>
        <v>9</v>
      </c>
      <c r="C318" s="14" t="n">
        <f aca="false">MOD($A318-1,36)+1</f>
        <v>25</v>
      </c>
      <c r="D318" s="14" t="n">
        <f aca="false">IF($C318&gt;p_horizon,0,IFERROR(IF(AND(INDEX(TblClusters[Cluster],$B318)&lt;&gt;"",ISNUMBER(INDEX(TblClusters[CPU initial (vCPU)],$B318)),ISNUMBER(INDEX(TblClusters[CPU min (vCPU)],$B318)),OR(INDEX(TblClusters[Plateforme],$B318)="IKS",INDEX(TblClusters[Plateforme],$B318)="ROKS")),1,0),0))</f>
        <v>0</v>
      </c>
      <c r="E318" s="83" t="str">
        <f aca="false">IF($D318=1,EDATE(p_debut,$C318-1),"")</f>
        <v/>
      </c>
      <c r="F318" s="14" t="str">
        <f aca="false">IF($D318=1,INDEX(TblClusters[Cluster],$B318),"")</f>
        <v/>
      </c>
      <c r="G318" s="14" t="str">
        <f aca="false">IF($D318=1,INDEX(TblClusters[Plateforme],$B318),"")</f>
        <v/>
      </c>
      <c r="H318" s="14" t="str">
        <f aca="false">IF($D318=1,INDEX(TblClusters[vCPU par nœud],$B318),"")</f>
        <v/>
      </c>
      <c r="I318" s="14" t="str">
        <f aca="false">IF($D318=1,INDEX(TblClusters[RAM par nœud (Go)],$B318),"")</f>
        <v/>
      </c>
      <c r="J318" s="14" t="str">
        <f aca="false">IF($D318=1,INDEX(TblClusters[Workers min],$B318),"")</f>
        <v/>
      </c>
      <c r="K318" s="84" t="str">
        <f aca="false">IF($D318=1,INDEX(TblClusters[Tarif par nœud],$B318),"")</f>
        <v/>
      </c>
      <c r="L318" s="14" t="str">
        <f aca="false">IF($D318=1,INDEX(TblClusters[CPU initial (vCPU)],$B318),"")</f>
        <v/>
      </c>
      <c r="M318" s="14" t="str">
        <f aca="false">IF($D318=1,INDEX(TblClusters[RAM initiale (Go)],$B318),"")</f>
        <v/>
      </c>
      <c r="N318" s="14" t="str">
        <f aca="false">IF($D318=1,INDEX(TblClusters[CPU min (vCPU)],$B318),"")</f>
        <v/>
      </c>
      <c r="O318" s="14" t="str">
        <f aca="false">IF($D318=1,INDEX(TblClusters[RAM min (Go)],$B318),"")</f>
        <v/>
      </c>
      <c r="P318" s="14" t="str">
        <f aca="false">IF($D318&lt;&gt;1,"",IF($G318="ROKS",SUMIFS(TblApplications[Besoin ROKS CPU (vCPU)],TblApplications[Cluster ROKS cible],$F318,TblApplications[Action],"À migrer",TblApplications[Déjà incluse ROKS],"Non",TblApplications[Mois prov (calc)],"&lt;="&amp;$E318),SUMIFS(TblApplications[CPU IKS libérable (vCPU)],TblApplications[Cluster IKS source],$F318,TblApplications[Mois lib (calc)],"&lt;="&amp;$E318)))</f>
        <v/>
      </c>
      <c r="Q318" s="14" t="str">
        <f aca="false">IF($D318&lt;&gt;1,"",IF($G318="ROKS",SUMIFS(TblApplications[Besoin ROKS RAM (Go)],TblApplications[Cluster ROKS cible],$F318,TblApplications[Action],"À migrer",TblApplications[Déjà incluse ROKS],"Non",TblApplications[Mois prov (calc)],"&lt;="&amp;$E318),SUMIFS(TblApplications[RAM IKS libérable (Go)],TblApplications[Cluster IKS source],$F318,TblApplications[Mois lib (calc)],"&lt;="&amp;$E318)))</f>
        <v/>
      </c>
      <c r="R318" s="14" t="str">
        <f aca="false">IF($D318&lt;&gt;1,"",IF($G318="ROKS",$L318+$P318,IF($AI318=1,0,MAX($N318,$L318-$P318))))</f>
        <v/>
      </c>
      <c r="S318" s="14" t="str">
        <f aca="false">IF($D318&lt;&gt;1,"",IF($G318="ROKS",$M318+$Q318,IF($AI318=1,0,MAX($O318,$M318-$Q318))))</f>
        <v/>
      </c>
      <c r="T318" s="14" t="str">
        <f aca="false">IF($D318&lt;&gt;1,"",IF($AI318=1,0,MAX($J318,ROUNDUP(MAX($R318/$H318,$S318/$I318),0))))</f>
        <v/>
      </c>
      <c r="U318" s="14" t="str">
        <f aca="false">IF($D318&lt;&gt;1,"",IF(p_mode="Nœud",$T318*$H318,$R318))</f>
        <v/>
      </c>
      <c r="V318" s="14" t="str">
        <f aca="false">IF($D318&lt;&gt;1,"",IF(p_mode="Nœud",$T318*$I318,$S318))</f>
        <v/>
      </c>
      <c r="W318" s="84" t="str">
        <f aca="false">IF($D318&lt;&gt;1,"",IF(p_mode="Nœud",$T318*$K318,$R318*IF($G318="IKS",p_iks_cpu,p_roks_cpu)+$S318*IF($G318="IKS",p_iks_ram,p_roks_ram))*p_facteur)</f>
        <v/>
      </c>
      <c r="X318" s="14" t="str">
        <f aca="false">IF($D318&lt;&gt;1,"",IF($G318="ROKS",$R318,IF($AI318=1,0,MAX($N318,$L318-SUMIFS(TblApplications[CPU IKS libérable (vCPU)],TblApplications[Cluster IKS source],$F318,TblApplications[Action],"À migrer",TblApplications[Mois prov (calc)],"&lt;="&amp;$E318)-SUMIFS(TblApplications[CPU IKS libérable (vCPU)],TblApplications[Cluster IKS source],$F318,TblApplications[Action],"À décommissionner",TblApplications[Mois lib (calc)],"&lt;="&amp;$E318)))))</f>
        <v/>
      </c>
      <c r="Y318" s="14" t="str">
        <f aca="false">IF($D318&lt;&gt;1,"",IF($G318="ROKS",$S318,IF($AI318=1,0,MAX($O318,$M318-SUMIFS(TblApplications[RAM IKS libérable (Go)],TblApplications[Cluster IKS source],$F318,TblApplications[Action],"À migrer",TblApplications[Mois prov (calc)],"&lt;="&amp;$E318)-SUMIFS(TblApplications[RAM IKS libérable (Go)],TblApplications[Cluster IKS source],$F318,TblApplications[Action],"À décommissionner",TblApplications[Mois lib (calc)],"&lt;="&amp;$E318)))))</f>
        <v/>
      </c>
      <c r="Z318" s="14" t="str">
        <f aca="false">IF($D318&lt;&gt;1,"",IF($AI318=1,0,MAX($J318,ROUNDUP(MAX($X318/$H318,$Y318/$I318),0))))</f>
        <v/>
      </c>
      <c r="AA318" s="84" t="str">
        <f aca="false">IF($D318&lt;&gt;1,"",IF(p_mode="Nœud",$Z318*$K318,$X318*IF($G318="IKS",p_iks_cpu,p_roks_cpu)+$Y318*IF($G318="IKS",p_iks_ram,p_roks_ram))*p_facteur)</f>
        <v/>
      </c>
      <c r="AB318" s="14" t="str">
        <f aca="false">IF($D318&lt;&gt;1,"",MAX($J318,ROUNDUP(MAX($L318/$H318,$M318/$I318),0)))</f>
        <v/>
      </c>
      <c r="AC318" s="84" t="str">
        <f aca="false">IF($D318&lt;&gt;1,"",IF(p_mode="Nœud",$AB318*$K318,$L318*IF($G318="IKS",p_iks_cpu,p_roks_cpu)+$M318*IF($G318="IKS",p_iks_ram,p_roks_ram))*p_facteur)</f>
        <v/>
      </c>
      <c r="AD318" s="14" t="str">
        <f aca="false">IF($D318&lt;&gt;1,"",IF(AND($G318="IKS",$AI318&lt;&gt;1,OR($L318-$P318&lt;$N318,$M318-$Q318&lt;$O318)),1,0))</f>
        <v/>
      </c>
      <c r="AE318" s="14" t="str">
        <f aca="false">IF($D318&lt;&gt;1,"",IF(AND($G318="ROKS",$T318&gt;p_maxworkers),1,0))</f>
        <v/>
      </c>
      <c r="AF318" s="14" t="str">
        <f aca="false">IF($D318&lt;&gt;1,"",IF(INDEX(TblClusters[Environnement],$B318)="","(vide)",INDEX(TblClusters[Environnement],$B318)))</f>
        <v/>
      </c>
      <c r="AG318" s="14" t="str">
        <f aca="false">IF($D318&lt;&gt;1,"",$R318+p_poidsram*$S318)</f>
        <v/>
      </c>
      <c r="AH318" s="14" t="str">
        <f aca="false">IF($D318&lt;&gt;1,"",IFERROR($W318/$AG318,0))</f>
        <v/>
      </c>
      <c r="AI318" s="14" t="str">
        <f aca="false">IF($D318&lt;&gt;1,"",IF(AND($G318="IKS",ISNUMBER(INDEX(TblClusters[Fermeture retenue],$B318))),IF($E318&gt;=INDEX(TblClusters[Fermeture retenue],$B318),1,0),0))</f>
        <v/>
      </c>
    </row>
    <row r="319" customFormat="false" ht="15" hidden="false" customHeight="false" outlineLevel="0" collapsed="false">
      <c r="A319" s="14" t="n">
        <v>314</v>
      </c>
      <c r="B319" s="14" t="n">
        <f aca="false">INT(($A319-1)/36)+1</f>
        <v>9</v>
      </c>
      <c r="C319" s="14" t="n">
        <f aca="false">MOD($A319-1,36)+1</f>
        <v>26</v>
      </c>
      <c r="D319" s="14" t="n">
        <f aca="false">IF($C319&gt;p_horizon,0,IFERROR(IF(AND(INDEX(TblClusters[Cluster],$B319)&lt;&gt;"",ISNUMBER(INDEX(TblClusters[CPU initial (vCPU)],$B319)),ISNUMBER(INDEX(TblClusters[CPU min (vCPU)],$B319)),OR(INDEX(TblClusters[Plateforme],$B319)="IKS",INDEX(TblClusters[Plateforme],$B319)="ROKS")),1,0),0))</f>
        <v>0</v>
      </c>
      <c r="E319" s="83" t="str">
        <f aca="false">IF($D319=1,EDATE(p_debut,$C319-1),"")</f>
        <v/>
      </c>
      <c r="F319" s="14" t="str">
        <f aca="false">IF($D319=1,INDEX(TblClusters[Cluster],$B319),"")</f>
        <v/>
      </c>
      <c r="G319" s="14" t="str">
        <f aca="false">IF($D319=1,INDEX(TblClusters[Plateforme],$B319),"")</f>
        <v/>
      </c>
      <c r="H319" s="14" t="str">
        <f aca="false">IF($D319=1,INDEX(TblClusters[vCPU par nœud],$B319),"")</f>
        <v/>
      </c>
      <c r="I319" s="14" t="str">
        <f aca="false">IF($D319=1,INDEX(TblClusters[RAM par nœud (Go)],$B319),"")</f>
        <v/>
      </c>
      <c r="J319" s="14" t="str">
        <f aca="false">IF($D319=1,INDEX(TblClusters[Workers min],$B319),"")</f>
        <v/>
      </c>
      <c r="K319" s="84" t="str">
        <f aca="false">IF($D319=1,INDEX(TblClusters[Tarif par nœud],$B319),"")</f>
        <v/>
      </c>
      <c r="L319" s="14" t="str">
        <f aca="false">IF($D319=1,INDEX(TblClusters[CPU initial (vCPU)],$B319),"")</f>
        <v/>
      </c>
      <c r="M319" s="14" t="str">
        <f aca="false">IF($D319=1,INDEX(TblClusters[RAM initiale (Go)],$B319),"")</f>
        <v/>
      </c>
      <c r="N319" s="14" t="str">
        <f aca="false">IF($D319=1,INDEX(TblClusters[CPU min (vCPU)],$B319),"")</f>
        <v/>
      </c>
      <c r="O319" s="14" t="str">
        <f aca="false">IF($D319=1,INDEX(TblClusters[RAM min (Go)],$B319),"")</f>
        <v/>
      </c>
      <c r="P319" s="14" t="str">
        <f aca="false">IF($D319&lt;&gt;1,"",IF($G319="ROKS",SUMIFS(TblApplications[Besoin ROKS CPU (vCPU)],TblApplications[Cluster ROKS cible],$F319,TblApplications[Action],"À migrer",TblApplications[Déjà incluse ROKS],"Non",TblApplications[Mois prov (calc)],"&lt;="&amp;$E319),SUMIFS(TblApplications[CPU IKS libérable (vCPU)],TblApplications[Cluster IKS source],$F319,TblApplications[Mois lib (calc)],"&lt;="&amp;$E319)))</f>
        <v/>
      </c>
      <c r="Q319" s="14" t="str">
        <f aca="false">IF($D319&lt;&gt;1,"",IF($G319="ROKS",SUMIFS(TblApplications[Besoin ROKS RAM (Go)],TblApplications[Cluster ROKS cible],$F319,TblApplications[Action],"À migrer",TblApplications[Déjà incluse ROKS],"Non",TblApplications[Mois prov (calc)],"&lt;="&amp;$E319),SUMIFS(TblApplications[RAM IKS libérable (Go)],TblApplications[Cluster IKS source],$F319,TblApplications[Mois lib (calc)],"&lt;="&amp;$E319)))</f>
        <v/>
      </c>
      <c r="R319" s="14" t="str">
        <f aca="false">IF($D319&lt;&gt;1,"",IF($G319="ROKS",$L319+$P319,IF($AI319=1,0,MAX($N319,$L319-$P319))))</f>
        <v/>
      </c>
      <c r="S319" s="14" t="str">
        <f aca="false">IF($D319&lt;&gt;1,"",IF($G319="ROKS",$M319+$Q319,IF($AI319=1,0,MAX($O319,$M319-$Q319))))</f>
        <v/>
      </c>
      <c r="T319" s="14" t="str">
        <f aca="false">IF($D319&lt;&gt;1,"",IF($AI319=1,0,MAX($J319,ROUNDUP(MAX($R319/$H319,$S319/$I319),0))))</f>
        <v/>
      </c>
      <c r="U319" s="14" t="str">
        <f aca="false">IF($D319&lt;&gt;1,"",IF(p_mode="Nœud",$T319*$H319,$R319))</f>
        <v/>
      </c>
      <c r="V319" s="14" t="str">
        <f aca="false">IF($D319&lt;&gt;1,"",IF(p_mode="Nœud",$T319*$I319,$S319))</f>
        <v/>
      </c>
      <c r="W319" s="84" t="str">
        <f aca="false">IF($D319&lt;&gt;1,"",IF(p_mode="Nœud",$T319*$K319,$R319*IF($G319="IKS",p_iks_cpu,p_roks_cpu)+$S319*IF($G319="IKS",p_iks_ram,p_roks_ram))*p_facteur)</f>
        <v/>
      </c>
      <c r="X319" s="14" t="str">
        <f aca="false">IF($D319&lt;&gt;1,"",IF($G319="ROKS",$R319,IF($AI319=1,0,MAX($N319,$L319-SUMIFS(TblApplications[CPU IKS libérable (vCPU)],TblApplications[Cluster IKS source],$F319,TblApplications[Action],"À migrer",TblApplications[Mois prov (calc)],"&lt;="&amp;$E319)-SUMIFS(TblApplications[CPU IKS libérable (vCPU)],TblApplications[Cluster IKS source],$F319,TblApplications[Action],"À décommissionner",TblApplications[Mois lib (calc)],"&lt;="&amp;$E319)))))</f>
        <v/>
      </c>
      <c r="Y319" s="14" t="str">
        <f aca="false">IF($D319&lt;&gt;1,"",IF($G319="ROKS",$S319,IF($AI319=1,0,MAX($O319,$M319-SUMIFS(TblApplications[RAM IKS libérable (Go)],TblApplications[Cluster IKS source],$F319,TblApplications[Action],"À migrer",TblApplications[Mois prov (calc)],"&lt;="&amp;$E319)-SUMIFS(TblApplications[RAM IKS libérable (Go)],TblApplications[Cluster IKS source],$F319,TblApplications[Action],"À décommissionner",TblApplications[Mois lib (calc)],"&lt;="&amp;$E319)))))</f>
        <v/>
      </c>
      <c r="Z319" s="14" t="str">
        <f aca="false">IF($D319&lt;&gt;1,"",IF($AI319=1,0,MAX($J319,ROUNDUP(MAX($X319/$H319,$Y319/$I319),0))))</f>
        <v/>
      </c>
      <c r="AA319" s="84" t="str">
        <f aca="false">IF($D319&lt;&gt;1,"",IF(p_mode="Nœud",$Z319*$K319,$X319*IF($G319="IKS",p_iks_cpu,p_roks_cpu)+$Y319*IF($G319="IKS",p_iks_ram,p_roks_ram))*p_facteur)</f>
        <v/>
      </c>
      <c r="AB319" s="14" t="str">
        <f aca="false">IF($D319&lt;&gt;1,"",MAX($J319,ROUNDUP(MAX($L319/$H319,$M319/$I319),0)))</f>
        <v/>
      </c>
      <c r="AC319" s="84" t="str">
        <f aca="false">IF($D319&lt;&gt;1,"",IF(p_mode="Nœud",$AB319*$K319,$L319*IF($G319="IKS",p_iks_cpu,p_roks_cpu)+$M319*IF($G319="IKS",p_iks_ram,p_roks_ram))*p_facteur)</f>
        <v/>
      </c>
      <c r="AD319" s="14" t="str">
        <f aca="false">IF($D319&lt;&gt;1,"",IF(AND($G319="IKS",$AI319&lt;&gt;1,OR($L319-$P319&lt;$N319,$M319-$Q319&lt;$O319)),1,0))</f>
        <v/>
      </c>
      <c r="AE319" s="14" t="str">
        <f aca="false">IF($D319&lt;&gt;1,"",IF(AND($G319="ROKS",$T319&gt;p_maxworkers),1,0))</f>
        <v/>
      </c>
      <c r="AF319" s="14" t="str">
        <f aca="false">IF($D319&lt;&gt;1,"",IF(INDEX(TblClusters[Environnement],$B319)="","(vide)",INDEX(TblClusters[Environnement],$B319)))</f>
        <v/>
      </c>
      <c r="AG319" s="14" t="str">
        <f aca="false">IF($D319&lt;&gt;1,"",$R319+p_poidsram*$S319)</f>
        <v/>
      </c>
      <c r="AH319" s="14" t="str">
        <f aca="false">IF($D319&lt;&gt;1,"",IFERROR($W319/$AG319,0))</f>
        <v/>
      </c>
      <c r="AI319" s="14" t="str">
        <f aca="false">IF($D319&lt;&gt;1,"",IF(AND($G319="IKS",ISNUMBER(INDEX(TblClusters[Fermeture retenue],$B319))),IF($E319&gt;=INDEX(TblClusters[Fermeture retenue],$B319),1,0),0))</f>
        <v/>
      </c>
    </row>
    <row r="320" customFormat="false" ht="15" hidden="false" customHeight="false" outlineLevel="0" collapsed="false">
      <c r="A320" s="14" t="n">
        <v>315</v>
      </c>
      <c r="B320" s="14" t="n">
        <f aca="false">INT(($A320-1)/36)+1</f>
        <v>9</v>
      </c>
      <c r="C320" s="14" t="n">
        <f aca="false">MOD($A320-1,36)+1</f>
        <v>27</v>
      </c>
      <c r="D320" s="14" t="n">
        <f aca="false">IF($C320&gt;p_horizon,0,IFERROR(IF(AND(INDEX(TblClusters[Cluster],$B320)&lt;&gt;"",ISNUMBER(INDEX(TblClusters[CPU initial (vCPU)],$B320)),ISNUMBER(INDEX(TblClusters[CPU min (vCPU)],$B320)),OR(INDEX(TblClusters[Plateforme],$B320)="IKS",INDEX(TblClusters[Plateforme],$B320)="ROKS")),1,0),0))</f>
        <v>0</v>
      </c>
      <c r="E320" s="83" t="str">
        <f aca="false">IF($D320=1,EDATE(p_debut,$C320-1),"")</f>
        <v/>
      </c>
      <c r="F320" s="14" t="str">
        <f aca="false">IF($D320=1,INDEX(TblClusters[Cluster],$B320),"")</f>
        <v/>
      </c>
      <c r="G320" s="14" t="str">
        <f aca="false">IF($D320=1,INDEX(TblClusters[Plateforme],$B320),"")</f>
        <v/>
      </c>
      <c r="H320" s="14" t="str">
        <f aca="false">IF($D320=1,INDEX(TblClusters[vCPU par nœud],$B320),"")</f>
        <v/>
      </c>
      <c r="I320" s="14" t="str">
        <f aca="false">IF($D320=1,INDEX(TblClusters[RAM par nœud (Go)],$B320),"")</f>
        <v/>
      </c>
      <c r="J320" s="14" t="str">
        <f aca="false">IF($D320=1,INDEX(TblClusters[Workers min],$B320),"")</f>
        <v/>
      </c>
      <c r="K320" s="84" t="str">
        <f aca="false">IF($D320=1,INDEX(TblClusters[Tarif par nœud],$B320),"")</f>
        <v/>
      </c>
      <c r="L320" s="14" t="str">
        <f aca="false">IF($D320=1,INDEX(TblClusters[CPU initial (vCPU)],$B320),"")</f>
        <v/>
      </c>
      <c r="M320" s="14" t="str">
        <f aca="false">IF($D320=1,INDEX(TblClusters[RAM initiale (Go)],$B320),"")</f>
        <v/>
      </c>
      <c r="N320" s="14" t="str">
        <f aca="false">IF($D320=1,INDEX(TblClusters[CPU min (vCPU)],$B320),"")</f>
        <v/>
      </c>
      <c r="O320" s="14" t="str">
        <f aca="false">IF($D320=1,INDEX(TblClusters[RAM min (Go)],$B320),"")</f>
        <v/>
      </c>
      <c r="P320" s="14" t="str">
        <f aca="false">IF($D320&lt;&gt;1,"",IF($G320="ROKS",SUMIFS(TblApplications[Besoin ROKS CPU (vCPU)],TblApplications[Cluster ROKS cible],$F320,TblApplications[Action],"À migrer",TblApplications[Déjà incluse ROKS],"Non",TblApplications[Mois prov (calc)],"&lt;="&amp;$E320),SUMIFS(TblApplications[CPU IKS libérable (vCPU)],TblApplications[Cluster IKS source],$F320,TblApplications[Mois lib (calc)],"&lt;="&amp;$E320)))</f>
        <v/>
      </c>
      <c r="Q320" s="14" t="str">
        <f aca="false">IF($D320&lt;&gt;1,"",IF($G320="ROKS",SUMIFS(TblApplications[Besoin ROKS RAM (Go)],TblApplications[Cluster ROKS cible],$F320,TblApplications[Action],"À migrer",TblApplications[Déjà incluse ROKS],"Non",TblApplications[Mois prov (calc)],"&lt;="&amp;$E320),SUMIFS(TblApplications[RAM IKS libérable (Go)],TblApplications[Cluster IKS source],$F320,TblApplications[Mois lib (calc)],"&lt;="&amp;$E320)))</f>
        <v/>
      </c>
      <c r="R320" s="14" t="str">
        <f aca="false">IF($D320&lt;&gt;1,"",IF($G320="ROKS",$L320+$P320,IF($AI320=1,0,MAX($N320,$L320-$P320))))</f>
        <v/>
      </c>
      <c r="S320" s="14" t="str">
        <f aca="false">IF($D320&lt;&gt;1,"",IF($G320="ROKS",$M320+$Q320,IF($AI320=1,0,MAX($O320,$M320-$Q320))))</f>
        <v/>
      </c>
      <c r="T320" s="14" t="str">
        <f aca="false">IF($D320&lt;&gt;1,"",IF($AI320=1,0,MAX($J320,ROUNDUP(MAX($R320/$H320,$S320/$I320),0))))</f>
        <v/>
      </c>
      <c r="U320" s="14" t="str">
        <f aca="false">IF($D320&lt;&gt;1,"",IF(p_mode="Nœud",$T320*$H320,$R320))</f>
        <v/>
      </c>
      <c r="V320" s="14" t="str">
        <f aca="false">IF($D320&lt;&gt;1,"",IF(p_mode="Nœud",$T320*$I320,$S320))</f>
        <v/>
      </c>
      <c r="W320" s="84" t="str">
        <f aca="false">IF($D320&lt;&gt;1,"",IF(p_mode="Nœud",$T320*$K320,$R320*IF($G320="IKS",p_iks_cpu,p_roks_cpu)+$S320*IF($G320="IKS",p_iks_ram,p_roks_ram))*p_facteur)</f>
        <v/>
      </c>
      <c r="X320" s="14" t="str">
        <f aca="false">IF($D320&lt;&gt;1,"",IF($G320="ROKS",$R320,IF($AI320=1,0,MAX($N320,$L320-SUMIFS(TblApplications[CPU IKS libérable (vCPU)],TblApplications[Cluster IKS source],$F320,TblApplications[Action],"À migrer",TblApplications[Mois prov (calc)],"&lt;="&amp;$E320)-SUMIFS(TblApplications[CPU IKS libérable (vCPU)],TblApplications[Cluster IKS source],$F320,TblApplications[Action],"À décommissionner",TblApplications[Mois lib (calc)],"&lt;="&amp;$E320)))))</f>
        <v/>
      </c>
      <c r="Y320" s="14" t="str">
        <f aca="false">IF($D320&lt;&gt;1,"",IF($G320="ROKS",$S320,IF($AI320=1,0,MAX($O320,$M320-SUMIFS(TblApplications[RAM IKS libérable (Go)],TblApplications[Cluster IKS source],$F320,TblApplications[Action],"À migrer",TblApplications[Mois prov (calc)],"&lt;="&amp;$E320)-SUMIFS(TblApplications[RAM IKS libérable (Go)],TblApplications[Cluster IKS source],$F320,TblApplications[Action],"À décommissionner",TblApplications[Mois lib (calc)],"&lt;="&amp;$E320)))))</f>
        <v/>
      </c>
      <c r="Z320" s="14" t="str">
        <f aca="false">IF($D320&lt;&gt;1,"",IF($AI320=1,0,MAX($J320,ROUNDUP(MAX($X320/$H320,$Y320/$I320),0))))</f>
        <v/>
      </c>
      <c r="AA320" s="84" t="str">
        <f aca="false">IF($D320&lt;&gt;1,"",IF(p_mode="Nœud",$Z320*$K320,$X320*IF($G320="IKS",p_iks_cpu,p_roks_cpu)+$Y320*IF($G320="IKS",p_iks_ram,p_roks_ram))*p_facteur)</f>
        <v/>
      </c>
      <c r="AB320" s="14" t="str">
        <f aca="false">IF($D320&lt;&gt;1,"",MAX($J320,ROUNDUP(MAX($L320/$H320,$M320/$I320),0)))</f>
        <v/>
      </c>
      <c r="AC320" s="84" t="str">
        <f aca="false">IF($D320&lt;&gt;1,"",IF(p_mode="Nœud",$AB320*$K320,$L320*IF($G320="IKS",p_iks_cpu,p_roks_cpu)+$M320*IF($G320="IKS",p_iks_ram,p_roks_ram))*p_facteur)</f>
        <v/>
      </c>
      <c r="AD320" s="14" t="str">
        <f aca="false">IF($D320&lt;&gt;1,"",IF(AND($G320="IKS",$AI320&lt;&gt;1,OR($L320-$P320&lt;$N320,$M320-$Q320&lt;$O320)),1,0))</f>
        <v/>
      </c>
      <c r="AE320" s="14" t="str">
        <f aca="false">IF($D320&lt;&gt;1,"",IF(AND($G320="ROKS",$T320&gt;p_maxworkers),1,0))</f>
        <v/>
      </c>
      <c r="AF320" s="14" t="str">
        <f aca="false">IF($D320&lt;&gt;1,"",IF(INDEX(TblClusters[Environnement],$B320)="","(vide)",INDEX(TblClusters[Environnement],$B320)))</f>
        <v/>
      </c>
      <c r="AG320" s="14" t="str">
        <f aca="false">IF($D320&lt;&gt;1,"",$R320+p_poidsram*$S320)</f>
        <v/>
      </c>
      <c r="AH320" s="14" t="str">
        <f aca="false">IF($D320&lt;&gt;1,"",IFERROR($W320/$AG320,0))</f>
        <v/>
      </c>
      <c r="AI320" s="14" t="str">
        <f aca="false">IF($D320&lt;&gt;1,"",IF(AND($G320="IKS",ISNUMBER(INDEX(TblClusters[Fermeture retenue],$B320))),IF($E320&gt;=INDEX(TblClusters[Fermeture retenue],$B320),1,0),0))</f>
        <v/>
      </c>
    </row>
    <row r="321" customFormat="false" ht="15" hidden="false" customHeight="false" outlineLevel="0" collapsed="false">
      <c r="A321" s="14" t="n">
        <v>316</v>
      </c>
      <c r="B321" s="14" t="n">
        <f aca="false">INT(($A321-1)/36)+1</f>
        <v>9</v>
      </c>
      <c r="C321" s="14" t="n">
        <f aca="false">MOD($A321-1,36)+1</f>
        <v>28</v>
      </c>
      <c r="D321" s="14" t="n">
        <f aca="false">IF($C321&gt;p_horizon,0,IFERROR(IF(AND(INDEX(TblClusters[Cluster],$B321)&lt;&gt;"",ISNUMBER(INDEX(TblClusters[CPU initial (vCPU)],$B321)),ISNUMBER(INDEX(TblClusters[CPU min (vCPU)],$B321)),OR(INDEX(TblClusters[Plateforme],$B321)="IKS",INDEX(TblClusters[Plateforme],$B321)="ROKS")),1,0),0))</f>
        <v>0</v>
      </c>
      <c r="E321" s="83" t="str">
        <f aca="false">IF($D321=1,EDATE(p_debut,$C321-1),"")</f>
        <v/>
      </c>
      <c r="F321" s="14" t="str">
        <f aca="false">IF($D321=1,INDEX(TblClusters[Cluster],$B321),"")</f>
        <v/>
      </c>
      <c r="G321" s="14" t="str">
        <f aca="false">IF($D321=1,INDEX(TblClusters[Plateforme],$B321),"")</f>
        <v/>
      </c>
      <c r="H321" s="14" t="str">
        <f aca="false">IF($D321=1,INDEX(TblClusters[vCPU par nœud],$B321),"")</f>
        <v/>
      </c>
      <c r="I321" s="14" t="str">
        <f aca="false">IF($D321=1,INDEX(TblClusters[RAM par nœud (Go)],$B321),"")</f>
        <v/>
      </c>
      <c r="J321" s="14" t="str">
        <f aca="false">IF($D321=1,INDEX(TblClusters[Workers min],$B321),"")</f>
        <v/>
      </c>
      <c r="K321" s="84" t="str">
        <f aca="false">IF($D321=1,INDEX(TblClusters[Tarif par nœud],$B321),"")</f>
        <v/>
      </c>
      <c r="L321" s="14" t="str">
        <f aca="false">IF($D321=1,INDEX(TblClusters[CPU initial (vCPU)],$B321),"")</f>
        <v/>
      </c>
      <c r="M321" s="14" t="str">
        <f aca="false">IF($D321=1,INDEX(TblClusters[RAM initiale (Go)],$B321),"")</f>
        <v/>
      </c>
      <c r="N321" s="14" t="str">
        <f aca="false">IF($D321=1,INDEX(TblClusters[CPU min (vCPU)],$B321),"")</f>
        <v/>
      </c>
      <c r="O321" s="14" t="str">
        <f aca="false">IF($D321=1,INDEX(TblClusters[RAM min (Go)],$B321),"")</f>
        <v/>
      </c>
      <c r="P321" s="14" t="str">
        <f aca="false">IF($D321&lt;&gt;1,"",IF($G321="ROKS",SUMIFS(TblApplications[Besoin ROKS CPU (vCPU)],TblApplications[Cluster ROKS cible],$F321,TblApplications[Action],"À migrer",TblApplications[Déjà incluse ROKS],"Non",TblApplications[Mois prov (calc)],"&lt;="&amp;$E321),SUMIFS(TblApplications[CPU IKS libérable (vCPU)],TblApplications[Cluster IKS source],$F321,TblApplications[Mois lib (calc)],"&lt;="&amp;$E321)))</f>
        <v/>
      </c>
      <c r="Q321" s="14" t="str">
        <f aca="false">IF($D321&lt;&gt;1,"",IF($G321="ROKS",SUMIFS(TblApplications[Besoin ROKS RAM (Go)],TblApplications[Cluster ROKS cible],$F321,TblApplications[Action],"À migrer",TblApplications[Déjà incluse ROKS],"Non",TblApplications[Mois prov (calc)],"&lt;="&amp;$E321),SUMIFS(TblApplications[RAM IKS libérable (Go)],TblApplications[Cluster IKS source],$F321,TblApplications[Mois lib (calc)],"&lt;="&amp;$E321)))</f>
        <v/>
      </c>
      <c r="R321" s="14" t="str">
        <f aca="false">IF($D321&lt;&gt;1,"",IF($G321="ROKS",$L321+$P321,IF($AI321=1,0,MAX($N321,$L321-$P321))))</f>
        <v/>
      </c>
      <c r="S321" s="14" t="str">
        <f aca="false">IF($D321&lt;&gt;1,"",IF($G321="ROKS",$M321+$Q321,IF($AI321=1,0,MAX($O321,$M321-$Q321))))</f>
        <v/>
      </c>
      <c r="T321" s="14" t="str">
        <f aca="false">IF($D321&lt;&gt;1,"",IF($AI321=1,0,MAX($J321,ROUNDUP(MAX($R321/$H321,$S321/$I321),0))))</f>
        <v/>
      </c>
      <c r="U321" s="14" t="str">
        <f aca="false">IF($D321&lt;&gt;1,"",IF(p_mode="Nœud",$T321*$H321,$R321))</f>
        <v/>
      </c>
      <c r="V321" s="14" t="str">
        <f aca="false">IF($D321&lt;&gt;1,"",IF(p_mode="Nœud",$T321*$I321,$S321))</f>
        <v/>
      </c>
      <c r="W321" s="84" t="str">
        <f aca="false">IF($D321&lt;&gt;1,"",IF(p_mode="Nœud",$T321*$K321,$R321*IF($G321="IKS",p_iks_cpu,p_roks_cpu)+$S321*IF($G321="IKS",p_iks_ram,p_roks_ram))*p_facteur)</f>
        <v/>
      </c>
      <c r="X321" s="14" t="str">
        <f aca="false">IF($D321&lt;&gt;1,"",IF($G321="ROKS",$R321,IF($AI321=1,0,MAX($N321,$L321-SUMIFS(TblApplications[CPU IKS libérable (vCPU)],TblApplications[Cluster IKS source],$F321,TblApplications[Action],"À migrer",TblApplications[Mois prov (calc)],"&lt;="&amp;$E321)-SUMIFS(TblApplications[CPU IKS libérable (vCPU)],TblApplications[Cluster IKS source],$F321,TblApplications[Action],"À décommissionner",TblApplications[Mois lib (calc)],"&lt;="&amp;$E321)))))</f>
        <v/>
      </c>
      <c r="Y321" s="14" t="str">
        <f aca="false">IF($D321&lt;&gt;1,"",IF($G321="ROKS",$S321,IF($AI321=1,0,MAX($O321,$M321-SUMIFS(TblApplications[RAM IKS libérable (Go)],TblApplications[Cluster IKS source],$F321,TblApplications[Action],"À migrer",TblApplications[Mois prov (calc)],"&lt;="&amp;$E321)-SUMIFS(TblApplications[RAM IKS libérable (Go)],TblApplications[Cluster IKS source],$F321,TblApplications[Action],"À décommissionner",TblApplications[Mois lib (calc)],"&lt;="&amp;$E321)))))</f>
        <v/>
      </c>
      <c r="Z321" s="14" t="str">
        <f aca="false">IF($D321&lt;&gt;1,"",IF($AI321=1,0,MAX($J321,ROUNDUP(MAX($X321/$H321,$Y321/$I321),0))))</f>
        <v/>
      </c>
      <c r="AA321" s="84" t="str">
        <f aca="false">IF($D321&lt;&gt;1,"",IF(p_mode="Nœud",$Z321*$K321,$X321*IF($G321="IKS",p_iks_cpu,p_roks_cpu)+$Y321*IF($G321="IKS",p_iks_ram,p_roks_ram))*p_facteur)</f>
        <v/>
      </c>
      <c r="AB321" s="14" t="str">
        <f aca="false">IF($D321&lt;&gt;1,"",MAX($J321,ROUNDUP(MAX($L321/$H321,$M321/$I321),0)))</f>
        <v/>
      </c>
      <c r="AC321" s="84" t="str">
        <f aca="false">IF($D321&lt;&gt;1,"",IF(p_mode="Nœud",$AB321*$K321,$L321*IF($G321="IKS",p_iks_cpu,p_roks_cpu)+$M321*IF($G321="IKS",p_iks_ram,p_roks_ram))*p_facteur)</f>
        <v/>
      </c>
      <c r="AD321" s="14" t="str">
        <f aca="false">IF($D321&lt;&gt;1,"",IF(AND($G321="IKS",$AI321&lt;&gt;1,OR($L321-$P321&lt;$N321,$M321-$Q321&lt;$O321)),1,0))</f>
        <v/>
      </c>
      <c r="AE321" s="14" t="str">
        <f aca="false">IF($D321&lt;&gt;1,"",IF(AND($G321="ROKS",$T321&gt;p_maxworkers),1,0))</f>
        <v/>
      </c>
      <c r="AF321" s="14" t="str">
        <f aca="false">IF($D321&lt;&gt;1,"",IF(INDEX(TblClusters[Environnement],$B321)="","(vide)",INDEX(TblClusters[Environnement],$B321)))</f>
        <v/>
      </c>
      <c r="AG321" s="14" t="str">
        <f aca="false">IF($D321&lt;&gt;1,"",$R321+p_poidsram*$S321)</f>
        <v/>
      </c>
      <c r="AH321" s="14" t="str">
        <f aca="false">IF($D321&lt;&gt;1,"",IFERROR($W321/$AG321,0))</f>
        <v/>
      </c>
      <c r="AI321" s="14" t="str">
        <f aca="false">IF($D321&lt;&gt;1,"",IF(AND($G321="IKS",ISNUMBER(INDEX(TblClusters[Fermeture retenue],$B321))),IF($E321&gt;=INDEX(TblClusters[Fermeture retenue],$B321),1,0),0))</f>
        <v/>
      </c>
    </row>
    <row r="322" customFormat="false" ht="15" hidden="false" customHeight="false" outlineLevel="0" collapsed="false">
      <c r="A322" s="14" t="n">
        <v>317</v>
      </c>
      <c r="B322" s="14" t="n">
        <f aca="false">INT(($A322-1)/36)+1</f>
        <v>9</v>
      </c>
      <c r="C322" s="14" t="n">
        <f aca="false">MOD($A322-1,36)+1</f>
        <v>29</v>
      </c>
      <c r="D322" s="14" t="n">
        <f aca="false">IF($C322&gt;p_horizon,0,IFERROR(IF(AND(INDEX(TblClusters[Cluster],$B322)&lt;&gt;"",ISNUMBER(INDEX(TblClusters[CPU initial (vCPU)],$B322)),ISNUMBER(INDEX(TblClusters[CPU min (vCPU)],$B322)),OR(INDEX(TblClusters[Plateforme],$B322)="IKS",INDEX(TblClusters[Plateforme],$B322)="ROKS")),1,0),0))</f>
        <v>0</v>
      </c>
      <c r="E322" s="83" t="str">
        <f aca="false">IF($D322=1,EDATE(p_debut,$C322-1),"")</f>
        <v/>
      </c>
      <c r="F322" s="14" t="str">
        <f aca="false">IF($D322=1,INDEX(TblClusters[Cluster],$B322),"")</f>
        <v/>
      </c>
      <c r="G322" s="14" t="str">
        <f aca="false">IF($D322=1,INDEX(TblClusters[Plateforme],$B322),"")</f>
        <v/>
      </c>
      <c r="H322" s="14" t="str">
        <f aca="false">IF($D322=1,INDEX(TblClusters[vCPU par nœud],$B322),"")</f>
        <v/>
      </c>
      <c r="I322" s="14" t="str">
        <f aca="false">IF($D322=1,INDEX(TblClusters[RAM par nœud (Go)],$B322),"")</f>
        <v/>
      </c>
      <c r="J322" s="14" t="str">
        <f aca="false">IF($D322=1,INDEX(TblClusters[Workers min],$B322),"")</f>
        <v/>
      </c>
      <c r="K322" s="84" t="str">
        <f aca="false">IF($D322=1,INDEX(TblClusters[Tarif par nœud],$B322),"")</f>
        <v/>
      </c>
      <c r="L322" s="14" t="str">
        <f aca="false">IF($D322=1,INDEX(TblClusters[CPU initial (vCPU)],$B322),"")</f>
        <v/>
      </c>
      <c r="M322" s="14" t="str">
        <f aca="false">IF($D322=1,INDEX(TblClusters[RAM initiale (Go)],$B322),"")</f>
        <v/>
      </c>
      <c r="N322" s="14" t="str">
        <f aca="false">IF($D322=1,INDEX(TblClusters[CPU min (vCPU)],$B322),"")</f>
        <v/>
      </c>
      <c r="O322" s="14" t="str">
        <f aca="false">IF($D322=1,INDEX(TblClusters[RAM min (Go)],$B322),"")</f>
        <v/>
      </c>
      <c r="P322" s="14" t="str">
        <f aca="false">IF($D322&lt;&gt;1,"",IF($G322="ROKS",SUMIFS(TblApplications[Besoin ROKS CPU (vCPU)],TblApplications[Cluster ROKS cible],$F322,TblApplications[Action],"À migrer",TblApplications[Déjà incluse ROKS],"Non",TblApplications[Mois prov (calc)],"&lt;="&amp;$E322),SUMIFS(TblApplications[CPU IKS libérable (vCPU)],TblApplications[Cluster IKS source],$F322,TblApplications[Mois lib (calc)],"&lt;="&amp;$E322)))</f>
        <v/>
      </c>
      <c r="Q322" s="14" t="str">
        <f aca="false">IF($D322&lt;&gt;1,"",IF($G322="ROKS",SUMIFS(TblApplications[Besoin ROKS RAM (Go)],TblApplications[Cluster ROKS cible],$F322,TblApplications[Action],"À migrer",TblApplications[Déjà incluse ROKS],"Non",TblApplications[Mois prov (calc)],"&lt;="&amp;$E322),SUMIFS(TblApplications[RAM IKS libérable (Go)],TblApplications[Cluster IKS source],$F322,TblApplications[Mois lib (calc)],"&lt;="&amp;$E322)))</f>
        <v/>
      </c>
      <c r="R322" s="14" t="str">
        <f aca="false">IF($D322&lt;&gt;1,"",IF($G322="ROKS",$L322+$P322,IF($AI322=1,0,MAX($N322,$L322-$P322))))</f>
        <v/>
      </c>
      <c r="S322" s="14" t="str">
        <f aca="false">IF($D322&lt;&gt;1,"",IF($G322="ROKS",$M322+$Q322,IF($AI322=1,0,MAX($O322,$M322-$Q322))))</f>
        <v/>
      </c>
      <c r="T322" s="14" t="str">
        <f aca="false">IF($D322&lt;&gt;1,"",IF($AI322=1,0,MAX($J322,ROUNDUP(MAX($R322/$H322,$S322/$I322),0))))</f>
        <v/>
      </c>
      <c r="U322" s="14" t="str">
        <f aca="false">IF($D322&lt;&gt;1,"",IF(p_mode="Nœud",$T322*$H322,$R322))</f>
        <v/>
      </c>
      <c r="V322" s="14" t="str">
        <f aca="false">IF($D322&lt;&gt;1,"",IF(p_mode="Nœud",$T322*$I322,$S322))</f>
        <v/>
      </c>
      <c r="W322" s="84" t="str">
        <f aca="false">IF($D322&lt;&gt;1,"",IF(p_mode="Nœud",$T322*$K322,$R322*IF($G322="IKS",p_iks_cpu,p_roks_cpu)+$S322*IF($G322="IKS",p_iks_ram,p_roks_ram))*p_facteur)</f>
        <v/>
      </c>
      <c r="X322" s="14" t="str">
        <f aca="false">IF($D322&lt;&gt;1,"",IF($G322="ROKS",$R322,IF($AI322=1,0,MAX($N322,$L322-SUMIFS(TblApplications[CPU IKS libérable (vCPU)],TblApplications[Cluster IKS source],$F322,TblApplications[Action],"À migrer",TblApplications[Mois prov (calc)],"&lt;="&amp;$E322)-SUMIFS(TblApplications[CPU IKS libérable (vCPU)],TblApplications[Cluster IKS source],$F322,TblApplications[Action],"À décommissionner",TblApplications[Mois lib (calc)],"&lt;="&amp;$E322)))))</f>
        <v/>
      </c>
      <c r="Y322" s="14" t="str">
        <f aca="false">IF($D322&lt;&gt;1,"",IF($G322="ROKS",$S322,IF($AI322=1,0,MAX($O322,$M322-SUMIFS(TblApplications[RAM IKS libérable (Go)],TblApplications[Cluster IKS source],$F322,TblApplications[Action],"À migrer",TblApplications[Mois prov (calc)],"&lt;="&amp;$E322)-SUMIFS(TblApplications[RAM IKS libérable (Go)],TblApplications[Cluster IKS source],$F322,TblApplications[Action],"À décommissionner",TblApplications[Mois lib (calc)],"&lt;="&amp;$E322)))))</f>
        <v/>
      </c>
      <c r="Z322" s="14" t="str">
        <f aca="false">IF($D322&lt;&gt;1,"",IF($AI322=1,0,MAX($J322,ROUNDUP(MAX($X322/$H322,$Y322/$I322),0))))</f>
        <v/>
      </c>
      <c r="AA322" s="84" t="str">
        <f aca="false">IF($D322&lt;&gt;1,"",IF(p_mode="Nœud",$Z322*$K322,$X322*IF($G322="IKS",p_iks_cpu,p_roks_cpu)+$Y322*IF($G322="IKS",p_iks_ram,p_roks_ram))*p_facteur)</f>
        <v/>
      </c>
      <c r="AB322" s="14" t="str">
        <f aca="false">IF($D322&lt;&gt;1,"",MAX($J322,ROUNDUP(MAX($L322/$H322,$M322/$I322),0)))</f>
        <v/>
      </c>
      <c r="AC322" s="84" t="str">
        <f aca="false">IF($D322&lt;&gt;1,"",IF(p_mode="Nœud",$AB322*$K322,$L322*IF($G322="IKS",p_iks_cpu,p_roks_cpu)+$M322*IF($G322="IKS",p_iks_ram,p_roks_ram))*p_facteur)</f>
        <v/>
      </c>
      <c r="AD322" s="14" t="str">
        <f aca="false">IF($D322&lt;&gt;1,"",IF(AND($G322="IKS",$AI322&lt;&gt;1,OR($L322-$P322&lt;$N322,$M322-$Q322&lt;$O322)),1,0))</f>
        <v/>
      </c>
      <c r="AE322" s="14" t="str">
        <f aca="false">IF($D322&lt;&gt;1,"",IF(AND($G322="ROKS",$T322&gt;p_maxworkers),1,0))</f>
        <v/>
      </c>
      <c r="AF322" s="14" t="str">
        <f aca="false">IF($D322&lt;&gt;1,"",IF(INDEX(TblClusters[Environnement],$B322)="","(vide)",INDEX(TblClusters[Environnement],$B322)))</f>
        <v/>
      </c>
      <c r="AG322" s="14" t="str">
        <f aca="false">IF($D322&lt;&gt;1,"",$R322+p_poidsram*$S322)</f>
        <v/>
      </c>
      <c r="AH322" s="14" t="str">
        <f aca="false">IF($D322&lt;&gt;1,"",IFERROR($W322/$AG322,0))</f>
        <v/>
      </c>
      <c r="AI322" s="14" t="str">
        <f aca="false">IF($D322&lt;&gt;1,"",IF(AND($G322="IKS",ISNUMBER(INDEX(TblClusters[Fermeture retenue],$B322))),IF($E322&gt;=INDEX(TblClusters[Fermeture retenue],$B322),1,0),0))</f>
        <v/>
      </c>
    </row>
    <row r="323" customFormat="false" ht="15" hidden="false" customHeight="false" outlineLevel="0" collapsed="false">
      <c r="A323" s="14" t="n">
        <v>318</v>
      </c>
      <c r="B323" s="14" t="n">
        <f aca="false">INT(($A323-1)/36)+1</f>
        <v>9</v>
      </c>
      <c r="C323" s="14" t="n">
        <f aca="false">MOD($A323-1,36)+1</f>
        <v>30</v>
      </c>
      <c r="D323" s="14" t="n">
        <f aca="false">IF($C323&gt;p_horizon,0,IFERROR(IF(AND(INDEX(TblClusters[Cluster],$B323)&lt;&gt;"",ISNUMBER(INDEX(TblClusters[CPU initial (vCPU)],$B323)),ISNUMBER(INDEX(TblClusters[CPU min (vCPU)],$B323)),OR(INDEX(TblClusters[Plateforme],$B323)="IKS",INDEX(TblClusters[Plateforme],$B323)="ROKS")),1,0),0))</f>
        <v>0</v>
      </c>
      <c r="E323" s="83" t="str">
        <f aca="false">IF($D323=1,EDATE(p_debut,$C323-1),"")</f>
        <v/>
      </c>
      <c r="F323" s="14" t="str">
        <f aca="false">IF($D323=1,INDEX(TblClusters[Cluster],$B323),"")</f>
        <v/>
      </c>
      <c r="G323" s="14" t="str">
        <f aca="false">IF($D323=1,INDEX(TblClusters[Plateforme],$B323),"")</f>
        <v/>
      </c>
      <c r="H323" s="14" t="str">
        <f aca="false">IF($D323=1,INDEX(TblClusters[vCPU par nœud],$B323),"")</f>
        <v/>
      </c>
      <c r="I323" s="14" t="str">
        <f aca="false">IF($D323=1,INDEX(TblClusters[RAM par nœud (Go)],$B323),"")</f>
        <v/>
      </c>
      <c r="J323" s="14" t="str">
        <f aca="false">IF($D323=1,INDEX(TblClusters[Workers min],$B323),"")</f>
        <v/>
      </c>
      <c r="K323" s="84" t="str">
        <f aca="false">IF($D323=1,INDEX(TblClusters[Tarif par nœud],$B323),"")</f>
        <v/>
      </c>
      <c r="L323" s="14" t="str">
        <f aca="false">IF($D323=1,INDEX(TblClusters[CPU initial (vCPU)],$B323),"")</f>
        <v/>
      </c>
      <c r="M323" s="14" t="str">
        <f aca="false">IF($D323=1,INDEX(TblClusters[RAM initiale (Go)],$B323),"")</f>
        <v/>
      </c>
      <c r="N323" s="14" t="str">
        <f aca="false">IF($D323=1,INDEX(TblClusters[CPU min (vCPU)],$B323),"")</f>
        <v/>
      </c>
      <c r="O323" s="14" t="str">
        <f aca="false">IF($D323=1,INDEX(TblClusters[RAM min (Go)],$B323),"")</f>
        <v/>
      </c>
      <c r="P323" s="14" t="str">
        <f aca="false">IF($D323&lt;&gt;1,"",IF($G323="ROKS",SUMIFS(TblApplications[Besoin ROKS CPU (vCPU)],TblApplications[Cluster ROKS cible],$F323,TblApplications[Action],"À migrer",TblApplications[Déjà incluse ROKS],"Non",TblApplications[Mois prov (calc)],"&lt;="&amp;$E323),SUMIFS(TblApplications[CPU IKS libérable (vCPU)],TblApplications[Cluster IKS source],$F323,TblApplications[Mois lib (calc)],"&lt;="&amp;$E323)))</f>
        <v/>
      </c>
      <c r="Q323" s="14" t="str">
        <f aca="false">IF($D323&lt;&gt;1,"",IF($G323="ROKS",SUMIFS(TblApplications[Besoin ROKS RAM (Go)],TblApplications[Cluster ROKS cible],$F323,TblApplications[Action],"À migrer",TblApplications[Déjà incluse ROKS],"Non",TblApplications[Mois prov (calc)],"&lt;="&amp;$E323),SUMIFS(TblApplications[RAM IKS libérable (Go)],TblApplications[Cluster IKS source],$F323,TblApplications[Mois lib (calc)],"&lt;="&amp;$E323)))</f>
        <v/>
      </c>
      <c r="R323" s="14" t="str">
        <f aca="false">IF($D323&lt;&gt;1,"",IF($G323="ROKS",$L323+$P323,IF($AI323=1,0,MAX($N323,$L323-$P323))))</f>
        <v/>
      </c>
      <c r="S323" s="14" t="str">
        <f aca="false">IF($D323&lt;&gt;1,"",IF($G323="ROKS",$M323+$Q323,IF($AI323=1,0,MAX($O323,$M323-$Q323))))</f>
        <v/>
      </c>
      <c r="T323" s="14" t="str">
        <f aca="false">IF($D323&lt;&gt;1,"",IF($AI323=1,0,MAX($J323,ROUNDUP(MAX($R323/$H323,$S323/$I323),0))))</f>
        <v/>
      </c>
      <c r="U323" s="14" t="str">
        <f aca="false">IF($D323&lt;&gt;1,"",IF(p_mode="Nœud",$T323*$H323,$R323))</f>
        <v/>
      </c>
      <c r="V323" s="14" t="str">
        <f aca="false">IF($D323&lt;&gt;1,"",IF(p_mode="Nœud",$T323*$I323,$S323))</f>
        <v/>
      </c>
      <c r="W323" s="84" t="str">
        <f aca="false">IF($D323&lt;&gt;1,"",IF(p_mode="Nœud",$T323*$K323,$R323*IF($G323="IKS",p_iks_cpu,p_roks_cpu)+$S323*IF($G323="IKS",p_iks_ram,p_roks_ram))*p_facteur)</f>
        <v/>
      </c>
      <c r="X323" s="14" t="str">
        <f aca="false">IF($D323&lt;&gt;1,"",IF($G323="ROKS",$R323,IF($AI323=1,0,MAX($N323,$L323-SUMIFS(TblApplications[CPU IKS libérable (vCPU)],TblApplications[Cluster IKS source],$F323,TblApplications[Action],"À migrer",TblApplications[Mois prov (calc)],"&lt;="&amp;$E323)-SUMIFS(TblApplications[CPU IKS libérable (vCPU)],TblApplications[Cluster IKS source],$F323,TblApplications[Action],"À décommissionner",TblApplications[Mois lib (calc)],"&lt;="&amp;$E323)))))</f>
        <v/>
      </c>
      <c r="Y323" s="14" t="str">
        <f aca="false">IF($D323&lt;&gt;1,"",IF($G323="ROKS",$S323,IF($AI323=1,0,MAX($O323,$M323-SUMIFS(TblApplications[RAM IKS libérable (Go)],TblApplications[Cluster IKS source],$F323,TblApplications[Action],"À migrer",TblApplications[Mois prov (calc)],"&lt;="&amp;$E323)-SUMIFS(TblApplications[RAM IKS libérable (Go)],TblApplications[Cluster IKS source],$F323,TblApplications[Action],"À décommissionner",TblApplications[Mois lib (calc)],"&lt;="&amp;$E323)))))</f>
        <v/>
      </c>
      <c r="Z323" s="14" t="str">
        <f aca="false">IF($D323&lt;&gt;1,"",IF($AI323=1,0,MAX($J323,ROUNDUP(MAX($X323/$H323,$Y323/$I323),0))))</f>
        <v/>
      </c>
      <c r="AA323" s="84" t="str">
        <f aca="false">IF($D323&lt;&gt;1,"",IF(p_mode="Nœud",$Z323*$K323,$X323*IF($G323="IKS",p_iks_cpu,p_roks_cpu)+$Y323*IF($G323="IKS",p_iks_ram,p_roks_ram))*p_facteur)</f>
        <v/>
      </c>
      <c r="AB323" s="14" t="str">
        <f aca="false">IF($D323&lt;&gt;1,"",MAX($J323,ROUNDUP(MAX($L323/$H323,$M323/$I323),0)))</f>
        <v/>
      </c>
      <c r="AC323" s="84" t="str">
        <f aca="false">IF($D323&lt;&gt;1,"",IF(p_mode="Nœud",$AB323*$K323,$L323*IF($G323="IKS",p_iks_cpu,p_roks_cpu)+$M323*IF($G323="IKS",p_iks_ram,p_roks_ram))*p_facteur)</f>
        <v/>
      </c>
      <c r="AD323" s="14" t="str">
        <f aca="false">IF($D323&lt;&gt;1,"",IF(AND($G323="IKS",$AI323&lt;&gt;1,OR($L323-$P323&lt;$N323,$M323-$Q323&lt;$O323)),1,0))</f>
        <v/>
      </c>
      <c r="AE323" s="14" t="str">
        <f aca="false">IF($D323&lt;&gt;1,"",IF(AND($G323="ROKS",$T323&gt;p_maxworkers),1,0))</f>
        <v/>
      </c>
      <c r="AF323" s="14" t="str">
        <f aca="false">IF($D323&lt;&gt;1,"",IF(INDEX(TblClusters[Environnement],$B323)="","(vide)",INDEX(TblClusters[Environnement],$B323)))</f>
        <v/>
      </c>
      <c r="AG323" s="14" t="str">
        <f aca="false">IF($D323&lt;&gt;1,"",$R323+p_poidsram*$S323)</f>
        <v/>
      </c>
      <c r="AH323" s="14" t="str">
        <f aca="false">IF($D323&lt;&gt;1,"",IFERROR($W323/$AG323,0))</f>
        <v/>
      </c>
      <c r="AI323" s="14" t="str">
        <f aca="false">IF($D323&lt;&gt;1,"",IF(AND($G323="IKS",ISNUMBER(INDEX(TblClusters[Fermeture retenue],$B323))),IF($E323&gt;=INDEX(TblClusters[Fermeture retenue],$B323),1,0),0))</f>
        <v/>
      </c>
    </row>
    <row r="324" customFormat="false" ht="15" hidden="false" customHeight="false" outlineLevel="0" collapsed="false">
      <c r="A324" s="14" t="n">
        <v>319</v>
      </c>
      <c r="B324" s="14" t="n">
        <f aca="false">INT(($A324-1)/36)+1</f>
        <v>9</v>
      </c>
      <c r="C324" s="14" t="n">
        <f aca="false">MOD($A324-1,36)+1</f>
        <v>31</v>
      </c>
      <c r="D324" s="14" t="n">
        <f aca="false">IF($C324&gt;p_horizon,0,IFERROR(IF(AND(INDEX(TblClusters[Cluster],$B324)&lt;&gt;"",ISNUMBER(INDEX(TblClusters[CPU initial (vCPU)],$B324)),ISNUMBER(INDEX(TblClusters[CPU min (vCPU)],$B324)),OR(INDEX(TblClusters[Plateforme],$B324)="IKS",INDEX(TblClusters[Plateforme],$B324)="ROKS")),1,0),0))</f>
        <v>0</v>
      </c>
      <c r="E324" s="83" t="str">
        <f aca="false">IF($D324=1,EDATE(p_debut,$C324-1),"")</f>
        <v/>
      </c>
      <c r="F324" s="14" t="str">
        <f aca="false">IF($D324=1,INDEX(TblClusters[Cluster],$B324),"")</f>
        <v/>
      </c>
      <c r="G324" s="14" t="str">
        <f aca="false">IF($D324=1,INDEX(TblClusters[Plateforme],$B324),"")</f>
        <v/>
      </c>
      <c r="H324" s="14" t="str">
        <f aca="false">IF($D324=1,INDEX(TblClusters[vCPU par nœud],$B324),"")</f>
        <v/>
      </c>
      <c r="I324" s="14" t="str">
        <f aca="false">IF($D324=1,INDEX(TblClusters[RAM par nœud (Go)],$B324),"")</f>
        <v/>
      </c>
      <c r="J324" s="14" t="str">
        <f aca="false">IF($D324=1,INDEX(TblClusters[Workers min],$B324),"")</f>
        <v/>
      </c>
      <c r="K324" s="84" t="str">
        <f aca="false">IF($D324=1,INDEX(TblClusters[Tarif par nœud],$B324),"")</f>
        <v/>
      </c>
      <c r="L324" s="14" t="str">
        <f aca="false">IF($D324=1,INDEX(TblClusters[CPU initial (vCPU)],$B324),"")</f>
        <v/>
      </c>
      <c r="M324" s="14" t="str">
        <f aca="false">IF($D324=1,INDEX(TblClusters[RAM initiale (Go)],$B324),"")</f>
        <v/>
      </c>
      <c r="N324" s="14" t="str">
        <f aca="false">IF($D324=1,INDEX(TblClusters[CPU min (vCPU)],$B324),"")</f>
        <v/>
      </c>
      <c r="O324" s="14" t="str">
        <f aca="false">IF($D324=1,INDEX(TblClusters[RAM min (Go)],$B324),"")</f>
        <v/>
      </c>
      <c r="P324" s="14" t="str">
        <f aca="false">IF($D324&lt;&gt;1,"",IF($G324="ROKS",SUMIFS(TblApplications[Besoin ROKS CPU (vCPU)],TblApplications[Cluster ROKS cible],$F324,TblApplications[Action],"À migrer",TblApplications[Déjà incluse ROKS],"Non",TblApplications[Mois prov (calc)],"&lt;="&amp;$E324),SUMIFS(TblApplications[CPU IKS libérable (vCPU)],TblApplications[Cluster IKS source],$F324,TblApplications[Mois lib (calc)],"&lt;="&amp;$E324)))</f>
        <v/>
      </c>
      <c r="Q324" s="14" t="str">
        <f aca="false">IF($D324&lt;&gt;1,"",IF($G324="ROKS",SUMIFS(TblApplications[Besoin ROKS RAM (Go)],TblApplications[Cluster ROKS cible],$F324,TblApplications[Action],"À migrer",TblApplications[Déjà incluse ROKS],"Non",TblApplications[Mois prov (calc)],"&lt;="&amp;$E324),SUMIFS(TblApplications[RAM IKS libérable (Go)],TblApplications[Cluster IKS source],$F324,TblApplications[Mois lib (calc)],"&lt;="&amp;$E324)))</f>
        <v/>
      </c>
      <c r="R324" s="14" t="str">
        <f aca="false">IF($D324&lt;&gt;1,"",IF($G324="ROKS",$L324+$P324,IF($AI324=1,0,MAX($N324,$L324-$P324))))</f>
        <v/>
      </c>
      <c r="S324" s="14" t="str">
        <f aca="false">IF($D324&lt;&gt;1,"",IF($G324="ROKS",$M324+$Q324,IF($AI324=1,0,MAX($O324,$M324-$Q324))))</f>
        <v/>
      </c>
      <c r="T324" s="14" t="str">
        <f aca="false">IF($D324&lt;&gt;1,"",IF($AI324=1,0,MAX($J324,ROUNDUP(MAX($R324/$H324,$S324/$I324),0))))</f>
        <v/>
      </c>
      <c r="U324" s="14" t="str">
        <f aca="false">IF($D324&lt;&gt;1,"",IF(p_mode="Nœud",$T324*$H324,$R324))</f>
        <v/>
      </c>
      <c r="V324" s="14" t="str">
        <f aca="false">IF($D324&lt;&gt;1,"",IF(p_mode="Nœud",$T324*$I324,$S324))</f>
        <v/>
      </c>
      <c r="W324" s="84" t="str">
        <f aca="false">IF($D324&lt;&gt;1,"",IF(p_mode="Nœud",$T324*$K324,$R324*IF($G324="IKS",p_iks_cpu,p_roks_cpu)+$S324*IF($G324="IKS",p_iks_ram,p_roks_ram))*p_facteur)</f>
        <v/>
      </c>
      <c r="X324" s="14" t="str">
        <f aca="false">IF($D324&lt;&gt;1,"",IF($G324="ROKS",$R324,IF($AI324=1,0,MAX($N324,$L324-SUMIFS(TblApplications[CPU IKS libérable (vCPU)],TblApplications[Cluster IKS source],$F324,TblApplications[Action],"À migrer",TblApplications[Mois prov (calc)],"&lt;="&amp;$E324)-SUMIFS(TblApplications[CPU IKS libérable (vCPU)],TblApplications[Cluster IKS source],$F324,TblApplications[Action],"À décommissionner",TblApplications[Mois lib (calc)],"&lt;="&amp;$E324)))))</f>
        <v/>
      </c>
      <c r="Y324" s="14" t="str">
        <f aca="false">IF($D324&lt;&gt;1,"",IF($G324="ROKS",$S324,IF($AI324=1,0,MAX($O324,$M324-SUMIFS(TblApplications[RAM IKS libérable (Go)],TblApplications[Cluster IKS source],$F324,TblApplications[Action],"À migrer",TblApplications[Mois prov (calc)],"&lt;="&amp;$E324)-SUMIFS(TblApplications[RAM IKS libérable (Go)],TblApplications[Cluster IKS source],$F324,TblApplications[Action],"À décommissionner",TblApplications[Mois lib (calc)],"&lt;="&amp;$E324)))))</f>
        <v/>
      </c>
      <c r="Z324" s="14" t="str">
        <f aca="false">IF($D324&lt;&gt;1,"",IF($AI324=1,0,MAX($J324,ROUNDUP(MAX($X324/$H324,$Y324/$I324),0))))</f>
        <v/>
      </c>
      <c r="AA324" s="84" t="str">
        <f aca="false">IF($D324&lt;&gt;1,"",IF(p_mode="Nœud",$Z324*$K324,$X324*IF($G324="IKS",p_iks_cpu,p_roks_cpu)+$Y324*IF($G324="IKS",p_iks_ram,p_roks_ram))*p_facteur)</f>
        <v/>
      </c>
      <c r="AB324" s="14" t="str">
        <f aca="false">IF($D324&lt;&gt;1,"",MAX($J324,ROUNDUP(MAX($L324/$H324,$M324/$I324),0)))</f>
        <v/>
      </c>
      <c r="AC324" s="84" t="str">
        <f aca="false">IF($D324&lt;&gt;1,"",IF(p_mode="Nœud",$AB324*$K324,$L324*IF($G324="IKS",p_iks_cpu,p_roks_cpu)+$M324*IF($G324="IKS",p_iks_ram,p_roks_ram))*p_facteur)</f>
        <v/>
      </c>
      <c r="AD324" s="14" t="str">
        <f aca="false">IF($D324&lt;&gt;1,"",IF(AND($G324="IKS",$AI324&lt;&gt;1,OR($L324-$P324&lt;$N324,$M324-$Q324&lt;$O324)),1,0))</f>
        <v/>
      </c>
      <c r="AE324" s="14" t="str">
        <f aca="false">IF($D324&lt;&gt;1,"",IF(AND($G324="ROKS",$T324&gt;p_maxworkers),1,0))</f>
        <v/>
      </c>
      <c r="AF324" s="14" t="str">
        <f aca="false">IF($D324&lt;&gt;1,"",IF(INDEX(TblClusters[Environnement],$B324)="","(vide)",INDEX(TblClusters[Environnement],$B324)))</f>
        <v/>
      </c>
      <c r="AG324" s="14" t="str">
        <f aca="false">IF($D324&lt;&gt;1,"",$R324+p_poidsram*$S324)</f>
        <v/>
      </c>
      <c r="AH324" s="14" t="str">
        <f aca="false">IF($D324&lt;&gt;1,"",IFERROR($W324/$AG324,0))</f>
        <v/>
      </c>
      <c r="AI324" s="14" t="str">
        <f aca="false">IF($D324&lt;&gt;1,"",IF(AND($G324="IKS",ISNUMBER(INDEX(TblClusters[Fermeture retenue],$B324))),IF($E324&gt;=INDEX(TblClusters[Fermeture retenue],$B324),1,0),0))</f>
        <v/>
      </c>
    </row>
    <row r="325" customFormat="false" ht="15" hidden="false" customHeight="false" outlineLevel="0" collapsed="false">
      <c r="A325" s="14" t="n">
        <v>320</v>
      </c>
      <c r="B325" s="14" t="n">
        <f aca="false">INT(($A325-1)/36)+1</f>
        <v>9</v>
      </c>
      <c r="C325" s="14" t="n">
        <f aca="false">MOD($A325-1,36)+1</f>
        <v>32</v>
      </c>
      <c r="D325" s="14" t="n">
        <f aca="false">IF($C325&gt;p_horizon,0,IFERROR(IF(AND(INDEX(TblClusters[Cluster],$B325)&lt;&gt;"",ISNUMBER(INDEX(TblClusters[CPU initial (vCPU)],$B325)),ISNUMBER(INDEX(TblClusters[CPU min (vCPU)],$B325)),OR(INDEX(TblClusters[Plateforme],$B325)="IKS",INDEX(TblClusters[Plateforme],$B325)="ROKS")),1,0),0))</f>
        <v>0</v>
      </c>
      <c r="E325" s="83" t="str">
        <f aca="false">IF($D325=1,EDATE(p_debut,$C325-1),"")</f>
        <v/>
      </c>
      <c r="F325" s="14" t="str">
        <f aca="false">IF($D325=1,INDEX(TblClusters[Cluster],$B325),"")</f>
        <v/>
      </c>
      <c r="G325" s="14" t="str">
        <f aca="false">IF($D325=1,INDEX(TblClusters[Plateforme],$B325),"")</f>
        <v/>
      </c>
      <c r="H325" s="14" t="str">
        <f aca="false">IF($D325=1,INDEX(TblClusters[vCPU par nœud],$B325),"")</f>
        <v/>
      </c>
      <c r="I325" s="14" t="str">
        <f aca="false">IF($D325=1,INDEX(TblClusters[RAM par nœud (Go)],$B325),"")</f>
        <v/>
      </c>
      <c r="J325" s="14" t="str">
        <f aca="false">IF($D325=1,INDEX(TblClusters[Workers min],$B325),"")</f>
        <v/>
      </c>
      <c r="K325" s="84" t="str">
        <f aca="false">IF($D325=1,INDEX(TblClusters[Tarif par nœud],$B325),"")</f>
        <v/>
      </c>
      <c r="L325" s="14" t="str">
        <f aca="false">IF($D325=1,INDEX(TblClusters[CPU initial (vCPU)],$B325),"")</f>
        <v/>
      </c>
      <c r="M325" s="14" t="str">
        <f aca="false">IF($D325=1,INDEX(TblClusters[RAM initiale (Go)],$B325),"")</f>
        <v/>
      </c>
      <c r="N325" s="14" t="str">
        <f aca="false">IF($D325=1,INDEX(TblClusters[CPU min (vCPU)],$B325),"")</f>
        <v/>
      </c>
      <c r="O325" s="14" t="str">
        <f aca="false">IF($D325=1,INDEX(TblClusters[RAM min (Go)],$B325),"")</f>
        <v/>
      </c>
      <c r="P325" s="14" t="str">
        <f aca="false">IF($D325&lt;&gt;1,"",IF($G325="ROKS",SUMIFS(TblApplications[Besoin ROKS CPU (vCPU)],TblApplications[Cluster ROKS cible],$F325,TblApplications[Action],"À migrer",TblApplications[Déjà incluse ROKS],"Non",TblApplications[Mois prov (calc)],"&lt;="&amp;$E325),SUMIFS(TblApplications[CPU IKS libérable (vCPU)],TblApplications[Cluster IKS source],$F325,TblApplications[Mois lib (calc)],"&lt;="&amp;$E325)))</f>
        <v/>
      </c>
      <c r="Q325" s="14" t="str">
        <f aca="false">IF($D325&lt;&gt;1,"",IF($G325="ROKS",SUMIFS(TblApplications[Besoin ROKS RAM (Go)],TblApplications[Cluster ROKS cible],$F325,TblApplications[Action],"À migrer",TblApplications[Déjà incluse ROKS],"Non",TblApplications[Mois prov (calc)],"&lt;="&amp;$E325),SUMIFS(TblApplications[RAM IKS libérable (Go)],TblApplications[Cluster IKS source],$F325,TblApplications[Mois lib (calc)],"&lt;="&amp;$E325)))</f>
        <v/>
      </c>
      <c r="R325" s="14" t="str">
        <f aca="false">IF($D325&lt;&gt;1,"",IF($G325="ROKS",$L325+$P325,IF($AI325=1,0,MAX($N325,$L325-$P325))))</f>
        <v/>
      </c>
      <c r="S325" s="14" t="str">
        <f aca="false">IF($D325&lt;&gt;1,"",IF($G325="ROKS",$M325+$Q325,IF($AI325=1,0,MAX($O325,$M325-$Q325))))</f>
        <v/>
      </c>
      <c r="T325" s="14" t="str">
        <f aca="false">IF($D325&lt;&gt;1,"",IF($AI325=1,0,MAX($J325,ROUNDUP(MAX($R325/$H325,$S325/$I325),0))))</f>
        <v/>
      </c>
      <c r="U325" s="14" t="str">
        <f aca="false">IF($D325&lt;&gt;1,"",IF(p_mode="Nœud",$T325*$H325,$R325))</f>
        <v/>
      </c>
      <c r="V325" s="14" t="str">
        <f aca="false">IF($D325&lt;&gt;1,"",IF(p_mode="Nœud",$T325*$I325,$S325))</f>
        <v/>
      </c>
      <c r="W325" s="84" t="str">
        <f aca="false">IF($D325&lt;&gt;1,"",IF(p_mode="Nœud",$T325*$K325,$R325*IF($G325="IKS",p_iks_cpu,p_roks_cpu)+$S325*IF($G325="IKS",p_iks_ram,p_roks_ram))*p_facteur)</f>
        <v/>
      </c>
      <c r="X325" s="14" t="str">
        <f aca="false">IF($D325&lt;&gt;1,"",IF($G325="ROKS",$R325,IF($AI325=1,0,MAX($N325,$L325-SUMIFS(TblApplications[CPU IKS libérable (vCPU)],TblApplications[Cluster IKS source],$F325,TblApplications[Action],"À migrer",TblApplications[Mois prov (calc)],"&lt;="&amp;$E325)-SUMIFS(TblApplications[CPU IKS libérable (vCPU)],TblApplications[Cluster IKS source],$F325,TblApplications[Action],"À décommissionner",TblApplications[Mois lib (calc)],"&lt;="&amp;$E325)))))</f>
        <v/>
      </c>
      <c r="Y325" s="14" t="str">
        <f aca="false">IF($D325&lt;&gt;1,"",IF($G325="ROKS",$S325,IF($AI325=1,0,MAX($O325,$M325-SUMIFS(TblApplications[RAM IKS libérable (Go)],TblApplications[Cluster IKS source],$F325,TblApplications[Action],"À migrer",TblApplications[Mois prov (calc)],"&lt;="&amp;$E325)-SUMIFS(TblApplications[RAM IKS libérable (Go)],TblApplications[Cluster IKS source],$F325,TblApplications[Action],"À décommissionner",TblApplications[Mois lib (calc)],"&lt;="&amp;$E325)))))</f>
        <v/>
      </c>
      <c r="Z325" s="14" t="str">
        <f aca="false">IF($D325&lt;&gt;1,"",IF($AI325=1,0,MAX($J325,ROUNDUP(MAX($X325/$H325,$Y325/$I325),0))))</f>
        <v/>
      </c>
      <c r="AA325" s="84" t="str">
        <f aca="false">IF($D325&lt;&gt;1,"",IF(p_mode="Nœud",$Z325*$K325,$X325*IF($G325="IKS",p_iks_cpu,p_roks_cpu)+$Y325*IF($G325="IKS",p_iks_ram,p_roks_ram))*p_facteur)</f>
        <v/>
      </c>
      <c r="AB325" s="14" t="str">
        <f aca="false">IF($D325&lt;&gt;1,"",MAX($J325,ROUNDUP(MAX($L325/$H325,$M325/$I325),0)))</f>
        <v/>
      </c>
      <c r="AC325" s="84" t="str">
        <f aca="false">IF($D325&lt;&gt;1,"",IF(p_mode="Nœud",$AB325*$K325,$L325*IF($G325="IKS",p_iks_cpu,p_roks_cpu)+$M325*IF($G325="IKS",p_iks_ram,p_roks_ram))*p_facteur)</f>
        <v/>
      </c>
      <c r="AD325" s="14" t="str">
        <f aca="false">IF($D325&lt;&gt;1,"",IF(AND($G325="IKS",$AI325&lt;&gt;1,OR($L325-$P325&lt;$N325,$M325-$Q325&lt;$O325)),1,0))</f>
        <v/>
      </c>
      <c r="AE325" s="14" t="str">
        <f aca="false">IF($D325&lt;&gt;1,"",IF(AND($G325="ROKS",$T325&gt;p_maxworkers),1,0))</f>
        <v/>
      </c>
      <c r="AF325" s="14" t="str">
        <f aca="false">IF($D325&lt;&gt;1,"",IF(INDEX(TblClusters[Environnement],$B325)="","(vide)",INDEX(TblClusters[Environnement],$B325)))</f>
        <v/>
      </c>
      <c r="AG325" s="14" t="str">
        <f aca="false">IF($D325&lt;&gt;1,"",$R325+p_poidsram*$S325)</f>
        <v/>
      </c>
      <c r="AH325" s="14" t="str">
        <f aca="false">IF($D325&lt;&gt;1,"",IFERROR($W325/$AG325,0))</f>
        <v/>
      </c>
      <c r="AI325" s="14" t="str">
        <f aca="false">IF($D325&lt;&gt;1,"",IF(AND($G325="IKS",ISNUMBER(INDEX(TblClusters[Fermeture retenue],$B325))),IF($E325&gt;=INDEX(TblClusters[Fermeture retenue],$B325),1,0),0))</f>
        <v/>
      </c>
    </row>
    <row r="326" customFormat="false" ht="15" hidden="false" customHeight="false" outlineLevel="0" collapsed="false">
      <c r="A326" s="14" t="n">
        <v>321</v>
      </c>
      <c r="B326" s="14" t="n">
        <f aca="false">INT(($A326-1)/36)+1</f>
        <v>9</v>
      </c>
      <c r="C326" s="14" t="n">
        <f aca="false">MOD($A326-1,36)+1</f>
        <v>33</v>
      </c>
      <c r="D326" s="14" t="n">
        <f aca="false">IF($C326&gt;p_horizon,0,IFERROR(IF(AND(INDEX(TblClusters[Cluster],$B326)&lt;&gt;"",ISNUMBER(INDEX(TblClusters[CPU initial (vCPU)],$B326)),ISNUMBER(INDEX(TblClusters[CPU min (vCPU)],$B326)),OR(INDEX(TblClusters[Plateforme],$B326)="IKS",INDEX(TblClusters[Plateforme],$B326)="ROKS")),1,0),0))</f>
        <v>0</v>
      </c>
      <c r="E326" s="83" t="str">
        <f aca="false">IF($D326=1,EDATE(p_debut,$C326-1),"")</f>
        <v/>
      </c>
      <c r="F326" s="14" t="str">
        <f aca="false">IF($D326=1,INDEX(TblClusters[Cluster],$B326),"")</f>
        <v/>
      </c>
      <c r="G326" s="14" t="str">
        <f aca="false">IF($D326=1,INDEX(TblClusters[Plateforme],$B326),"")</f>
        <v/>
      </c>
      <c r="H326" s="14" t="str">
        <f aca="false">IF($D326=1,INDEX(TblClusters[vCPU par nœud],$B326),"")</f>
        <v/>
      </c>
      <c r="I326" s="14" t="str">
        <f aca="false">IF($D326=1,INDEX(TblClusters[RAM par nœud (Go)],$B326),"")</f>
        <v/>
      </c>
      <c r="J326" s="14" t="str">
        <f aca="false">IF($D326=1,INDEX(TblClusters[Workers min],$B326),"")</f>
        <v/>
      </c>
      <c r="K326" s="84" t="str">
        <f aca="false">IF($D326=1,INDEX(TblClusters[Tarif par nœud],$B326),"")</f>
        <v/>
      </c>
      <c r="L326" s="14" t="str">
        <f aca="false">IF($D326=1,INDEX(TblClusters[CPU initial (vCPU)],$B326),"")</f>
        <v/>
      </c>
      <c r="M326" s="14" t="str">
        <f aca="false">IF($D326=1,INDEX(TblClusters[RAM initiale (Go)],$B326),"")</f>
        <v/>
      </c>
      <c r="N326" s="14" t="str">
        <f aca="false">IF($D326=1,INDEX(TblClusters[CPU min (vCPU)],$B326),"")</f>
        <v/>
      </c>
      <c r="O326" s="14" t="str">
        <f aca="false">IF($D326=1,INDEX(TblClusters[RAM min (Go)],$B326),"")</f>
        <v/>
      </c>
      <c r="P326" s="14" t="str">
        <f aca="false">IF($D326&lt;&gt;1,"",IF($G326="ROKS",SUMIFS(TblApplications[Besoin ROKS CPU (vCPU)],TblApplications[Cluster ROKS cible],$F326,TblApplications[Action],"À migrer",TblApplications[Déjà incluse ROKS],"Non",TblApplications[Mois prov (calc)],"&lt;="&amp;$E326),SUMIFS(TblApplications[CPU IKS libérable (vCPU)],TblApplications[Cluster IKS source],$F326,TblApplications[Mois lib (calc)],"&lt;="&amp;$E326)))</f>
        <v/>
      </c>
      <c r="Q326" s="14" t="str">
        <f aca="false">IF($D326&lt;&gt;1,"",IF($G326="ROKS",SUMIFS(TblApplications[Besoin ROKS RAM (Go)],TblApplications[Cluster ROKS cible],$F326,TblApplications[Action],"À migrer",TblApplications[Déjà incluse ROKS],"Non",TblApplications[Mois prov (calc)],"&lt;="&amp;$E326),SUMIFS(TblApplications[RAM IKS libérable (Go)],TblApplications[Cluster IKS source],$F326,TblApplications[Mois lib (calc)],"&lt;="&amp;$E326)))</f>
        <v/>
      </c>
      <c r="R326" s="14" t="str">
        <f aca="false">IF($D326&lt;&gt;1,"",IF($G326="ROKS",$L326+$P326,IF($AI326=1,0,MAX($N326,$L326-$P326))))</f>
        <v/>
      </c>
      <c r="S326" s="14" t="str">
        <f aca="false">IF($D326&lt;&gt;1,"",IF($G326="ROKS",$M326+$Q326,IF($AI326=1,0,MAX($O326,$M326-$Q326))))</f>
        <v/>
      </c>
      <c r="T326" s="14" t="str">
        <f aca="false">IF($D326&lt;&gt;1,"",IF($AI326=1,0,MAX($J326,ROUNDUP(MAX($R326/$H326,$S326/$I326),0))))</f>
        <v/>
      </c>
      <c r="U326" s="14" t="str">
        <f aca="false">IF($D326&lt;&gt;1,"",IF(p_mode="Nœud",$T326*$H326,$R326))</f>
        <v/>
      </c>
      <c r="V326" s="14" t="str">
        <f aca="false">IF($D326&lt;&gt;1,"",IF(p_mode="Nœud",$T326*$I326,$S326))</f>
        <v/>
      </c>
      <c r="W326" s="84" t="str">
        <f aca="false">IF($D326&lt;&gt;1,"",IF(p_mode="Nœud",$T326*$K326,$R326*IF($G326="IKS",p_iks_cpu,p_roks_cpu)+$S326*IF($G326="IKS",p_iks_ram,p_roks_ram))*p_facteur)</f>
        <v/>
      </c>
      <c r="X326" s="14" t="str">
        <f aca="false">IF($D326&lt;&gt;1,"",IF($G326="ROKS",$R326,IF($AI326=1,0,MAX($N326,$L326-SUMIFS(TblApplications[CPU IKS libérable (vCPU)],TblApplications[Cluster IKS source],$F326,TblApplications[Action],"À migrer",TblApplications[Mois prov (calc)],"&lt;="&amp;$E326)-SUMIFS(TblApplications[CPU IKS libérable (vCPU)],TblApplications[Cluster IKS source],$F326,TblApplications[Action],"À décommissionner",TblApplications[Mois lib (calc)],"&lt;="&amp;$E326)))))</f>
        <v/>
      </c>
      <c r="Y326" s="14" t="str">
        <f aca="false">IF($D326&lt;&gt;1,"",IF($G326="ROKS",$S326,IF($AI326=1,0,MAX($O326,$M326-SUMIFS(TblApplications[RAM IKS libérable (Go)],TblApplications[Cluster IKS source],$F326,TblApplications[Action],"À migrer",TblApplications[Mois prov (calc)],"&lt;="&amp;$E326)-SUMIFS(TblApplications[RAM IKS libérable (Go)],TblApplications[Cluster IKS source],$F326,TblApplications[Action],"À décommissionner",TblApplications[Mois lib (calc)],"&lt;="&amp;$E326)))))</f>
        <v/>
      </c>
      <c r="Z326" s="14" t="str">
        <f aca="false">IF($D326&lt;&gt;1,"",IF($AI326=1,0,MAX($J326,ROUNDUP(MAX($X326/$H326,$Y326/$I326),0))))</f>
        <v/>
      </c>
      <c r="AA326" s="84" t="str">
        <f aca="false">IF($D326&lt;&gt;1,"",IF(p_mode="Nœud",$Z326*$K326,$X326*IF($G326="IKS",p_iks_cpu,p_roks_cpu)+$Y326*IF($G326="IKS",p_iks_ram,p_roks_ram))*p_facteur)</f>
        <v/>
      </c>
      <c r="AB326" s="14" t="str">
        <f aca="false">IF($D326&lt;&gt;1,"",MAX($J326,ROUNDUP(MAX($L326/$H326,$M326/$I326),0)))</f>
        <v/>
      </c>
      <c r="AC326" s="84" t="str">
        <f aca="false">IF($D326&lt;&gt;1,"",IF(p_mode="Nœud",$AB326*$K326,$L326*IF($G326="IKS",p_iks_cpu,p_roks_cpu)+$M326*IF($G326="IKS",p_iks_ram,p_roks_ram))*p_facteur)</f>
        <v/>
      </c>
      <c r="AD326" s="14" t="str">
        <f aca="false">IF($D326&lt;&gt;1,"",IF(AND($G326="IKS",$AI326&lt;&gt;1,OR($L326-$P326&lt;$N326,$M326-$Q326&lt;$O326)),1,0))</f>
        <v/>
      </c>
      <c r="AE326" s="14" t="str">
        <f aca="false">IF($D326&lt;&gt;1,"",IF(AND($G326="ROKS",$T326&gt;p_maxworkers),1,0))</f>
        <v/>
      </c>
      <c r="AF326" s="14" t="str">
        <f aca="false">IF($D326&lt;&gt;1,"",IF(INDEX(TblClusters[Environnement],$B326)="","(vide)",INDEX(TblClusters[Environnement],$B326)))</f>
        <v/>
      </c>
      <c r="AG326" s="14" t="str">
        <f aca="false">IF($D326&lt;&gt;1,"",$R326+p_poidsram*$S326)</f>
        <v/>
      </c>
      <c r="AH326" s="14" t="str">
        <f aca="false">IF($D326&lt;&gt;1,"",IFERROR($W326/$AG326,0))</f>
        <v/>
      </c>
      <c r="AI326" s="14" t="str">
        <f aca="false">IF($D326&lt;&gt;1,"",IF(AND($G326="IKS",ISNUMBER(INDEX(TblClusters[Fermeture retenue],$B326))),IF($E326&gt;=INDEX(TblClusters[Fermeture retenue],$B326),1,0),0))</f>
        <v/>
      </c>
    </row>
    <row r="327" customFormat="false" ht="15" hidden="false" customHeight="false" outlineLevel="0" collapsed="false">
      <c r="A327" s="14" t="n">
        <v>322</v>
      </c>
      <c r="B327" s="14" t="n">
        <f aca="false">INT(($A327-1)/36)+1</f>
        <v>9</v>
      </c>
      <c r="C327" s="14" t="n">
        <f aca="false">MOD($A327-1,36)+1</f>
        <v>34</v>
      </c>
      <c r="D327" s="14" t="n">
        <f aca="false">IF($C327&gt;p_horizon,0,IFERROR(IF(AND(INDEX(TblClusters[Cluster],$B327)&lt;&gt;"",ISNUMBER(INDEX(TblClusters[CPU initial (vCPU)],$B327)),ISNUMBER(INDEX(TblClusters[CPU min (vCPU)],$B327)),OR(INDEX(TblClusters[Plateforme],$B327)="IKS",INDEX(TblClusters[Plateforme],$B327)="ROKS")),1,0),0))</f>
        <v>0</v>
      </c>
      <c r="E327" s="83" t="str">
        <f aca="false">IF($D327=1,EDATE(p_debut,$C327-1),"")</f>
        <v/>
      </c>
      <c r="F327" s="14" t="str">
        <f aca="false">IF($D327=1,INDEX(TblClusters[Cluster],$B327),"")</f>
        <v/>
      </c>
      <c r="G327" s="14" t="str">
        <f aca="false">IF($D327=1,INDEX(TblClusters[Plateforme],$B327),"")</f>
        <v/>
      </c>
      <c r="H327" s="14" t="str">
        <f aca="false">IF($D327=1,INDEX(TblClusters[vCPU par nœud],$B327),"")</f>
        <v/>
      </c>
      <c r="I327" s="14" t="str">
        <f aca="false">IF($D327=1,INDEX(TblClusters[RAM par nœud (Go)],$B327),"")</f>
        <v/>
      </c>
      <c r="J327" s="14" t="str">
        <f aca="false">IF($D327=1,INDEX(TblClusters[Workers min],$B327),"")</f>
        <v/>
      </c>
      <c r="K327" s="84" t="str">
        <f aca="false">IF($D327=1,INDEX(TblClusters[Tarif par nœud],$B327),"")</f>
        <v/>
      </c>
      <c r="L327" s="14" t="str">
        <f aca="false">IF($D327=1,INDEX(TblClusters[CPU initial (vCPU)],$B327),"")</f>
        <v/>
      </c>
      <c r="M327" s="14" t="str">
        <f aca="false">IF($D327=1,INDEX(TblClusters[RAM initiale (Go)],$B327),"")</f>
        <v/>
      </c>
      <c r="N327" s="14" t="str">
        <f aca="false">IF($D327=1,INDEX(TblClusters[CPU min (vCPU)],$B327),"")</f>
        <v/>
      </c>
      <c r="O327" s="14" t="str">
        <f aca="false">IF($D327=1,INDEX(TblClusters[RAM min (Go)],$B327),"")</f>
        <v/>
      </c>
      <c r="P327" s="14" t="str">
        <f aca="false">IF($D327&lt;&gt;1,"",IF($G327="ROKS",SUMIFS(TblApplications[Besoin ROKS CPU (vCPU)],TblApplications[Cluster ROKS cible],$F327,TblApplications[Action],"À migrer",TblApplications[Déjà incluse ROKS],"Non",TblApplications[Mois prov (calc)],"&lt;="&amp;$E327),SUMIFS(TblApplications[CPU IKS libérable (vCPU)],TblApplications[Cluster IKS source],$F327,TblApplications[Mois lib (calc)],"&lt;="&amp;$E327)))</f>
        <v/>
      </c>
      <c r="Q327" s="14" t="str">
        <f aca="false">IF($D327&lt;&gt;1,"",IF($G327="ROKS",SUMIFS(TblApplications[Besoin ROKS RAM (Go)],TblApplications[Cluster ROKS cible],$F327,TblApplications[Action],"À migrer",TblApplications[Déjà incluse ROKS],"Non",TblApplications[Mois prov (calc)],"&lt;="&amp;$E327),SUMIFS(TblApplications[RAM IKS libérable (Go)],TblApplications[Cluster IKS source],$F327,TblApplications[Mois lib (calc)],"&lt;="&amp;$E327)))</f>
        <v/>
      </c>
      <c r="R327" s="14" t="str">
        <f aca="false">IF($D327&lt;&gt;1,"",IF($G327="ROKS",$L327+$P327,IF($AI327=1,0,MAX($N327,$L327-$P327))))</f>
        <v/>
      </c>
      <c r="S327" s="14" t="str">
        <f aca="false">IF($D327&lt;&gt;1,"",IF($G327="ROKS",$M327+$Q327,IF($AI327=1,0,MAX($O327,$M327-$Q327))))</f>
        <v/>
      </c>
      <c r="T327" s="14" t="str">
        <f aca="false">IF($D327&lt;&gt;1,"",IF($AI327=1,0,MAX($J327,ROUNDUP(MAX($R327/$H327,$S327/$I327),0))))</f>
        <v/>
      </c>
      <c r="U327" s="14" t="str">
        <f aca="false">IF($D327&lt;&gt;1,"",IF(p_mode="Nœud",$T327*$H327,$R327))</f>
        <v/>
      </c>
      <c r="V327" s="14" t="str">
        <f aca="false">IF($D327&lt;&gt;1,"",IF(p_mode="Nœud",$T327*$I327,$S327))</f>
        <v/>
      </c>
      <c r="W327" s="84" t="str">
        <f aca="false">IF($D327&lt;&gt;1,"",IF(p_mode="Nœud",$T327*$K327,$R327*IF($G327="IKS",p_iks_cpu,p_roks_cpu)+$S327*IF($G327="IKS",p_iks_ram,p_roks_ram))*p_facteur)</f>
        <v/>
      </c>
      <c r="X327" s="14" t="str">
        <f aca="false">IF($D327&lt;&gt;1,"",IF($G327="ROKS",$R327,IF($AI327=1,0,MAX($N327,$L327-SUMIFS(TblApplications[CPU IKS libérable (vCPU)],TblApplications[Cluster IKS source],$F327,TblApplications[Action],"À migrer",TblApplications[Mois prov (calc)],"&lt;="&amp;$E327)-SUMIFS(TblApplications[CPU IKS libérable (vCPU)],TblApplications[Cluster IKS source],$F327,TblApplications[Action],"À décommissionner",TblApplications[Mois lib (calc)],"&lt;="&amp;$E327)))))</f>
        <v/>
      </c>
      <c r="Y327" s="14" t="str">
        <f aca="false">IF($D327&lt;&gt;1,"",IF($G327="ROKS",$S327,IF($AI327=1,0,MAX($O327,$M327-SUMIFS(TblApplications[RAM IKS libérable (Go)],TblApplications[Cluster IKS source],$F327,TblApplications[Action],"À migrer",TblApplications[Mois prov (calc)],"&lt;="&amp;$E327)-SUMIFS(TblApplications[RAM IKS libérable (Go)],TblApplications[Cluster IKS source],$F327,TblApplications[Action],"À décommissionner",TblApplications[Mois lib (calc)],"&lt;="&amp;$E327)))))</f>
        <v/>
      </c>
      <c r="Z327" s="14" t="str">
        <f aca="false">IF($D327&lt;&gt;1,"",IF($AI327=1,0,MAX($J327,ROUNDUP(MAX($X327/$H327,$Y327/$I327),0))))</f>
        <v/>
      </c>
      <c r="AA327" s="84" t="str">
        <f aca="false">IF($D327&lt;&gt;1,"",IF(p_mode="Nœud",$Z327*$K327,$X327*IF($G327="IKS",p_iks_cpu,p_roks_cpu)+$Y327*IF($G327="IKS",p_iks_ram,p_roks_ram))*p_facteur)</f>
        <v/>
      </c>
      <c r="AB327" s="14" t="str">
        <f aca="false">IF($D327&lt;&gt;1,"",MAX($J327,ROUNDUP(MAX($L327/$H327,$M327/$I327),0)))</f>
        <v/>
      </c>
      <c r="AC327" s="84" t="str">
        <f aca="false">IF($D327&lt;&gt;1,"",IF(p_mode="Nœud",$AB327*$K327,$L327*IF($G327="IKS",p_iks_cpu,p_roks_cpu)+$M327*IF($G327="IKS",p_iks_ram,p_roks_ram))*p_facteur)</f>
        <v/>
      </c>
      <c r="AD327" s="14" t="str">
        <f aca="false">IF($D327&lt;&gt;1,"",IF(AND($G327="IKS",$AI327&lt;&gt;1,OR($L327-$P327&lt;$N327,$M327-$Q327&lt;$O327)),1,0))</f>
        <v/>
      </c>
      <c r="AE327" s="14" t="str">
        <f aca="false">IF($D327&lt;&gt;1,"",IF(AND($G327="ROKS",$T327&gt;p_maxworkers),1,0))</f>
        <v/>
      </c>
      <c r="AF327" s="14" t="str">
        <f aca="false">IF($D327&lt;&gt;1,"",IF(INDEX(TblClusters[Environnement],$B327)="","(vide)",INDEX(TblClusters[Environnement],$B327)))</f>
        <v/>
      </c>
      <c r="AG327" s="14" t="str">
        <f aca="false">IF($D327&lt;&gt;1,"",$R327+p_poidsram*$S327)</f>
        <v/>
      </c>
      <c r="AH327" s="14" t="str">
        <f aca="false">IF($D327&lt;&gt;1,"",IFERROR($W327/$AG327,0))</f>
        <v/>
      </c>
      <c r="AI327" s="14" t="str">
        <f aca="false">IF($D327&lt;&gt;1,"",IF(AND($G327="IKS",ISNUMBER(INDEX(TblClusters[Fermeture retenue],$B327))),IF($E327&gt;=INDEX(TblClusters[Fermeture retenue],$B327),1,0),0))</f>
        <v/>
      </c>
    </row>
    <row r="328" customFormat="false" ht="15" hidden="false" customHeight="false" outlineLevel="0" collapsed="false">
      <c r="A328" s="14" t="n">
        <v>323</v>
      </c>
      <c r="B328" s="14" t="n">
        <f aca="false">INT(($A328-1)/36)+1</f>
        <v>9</v>
      </c>
      <c r="C328" s="14" t="n">
        <f aca="false">MOD($A328-1,36)+1</f>
        <v>35</v>
      </c>
      <c r="D328" s="14" t="n">
        <f aca="false">IF($C328&gt;p_horizon,0,IFERROR(IF(AND(INDEX(TblClusters[Cluster],$B328)&lt;&gt;"",ISNUMBER(INDEX(TblClusters[CPU initial (vCPU)],$B328)),ISNUMBER(INDEX(TblClusters[CPU min (vCPU)],$B328)),OR(INDEX(TblClusters[Plateforme],$B328)="IKS",INDEX(TblClusters[Plateforme],$B328)="ROKS")),1,0),0))</f>
        <v>0</v>
      </c>
      <c r="E328" s="83" t="str">
        <f aca="false">IF($D328=1,EDATE(p_debut,$C328-1),"")</f>
        <v/>
      </c>
      <c r="F328" s="14" t="str">
        <f aca="false">IF($D328=1,INDEX(TblClusters[Cluster],$B328),"")</f>
        <v/>
      </c>
      <c r="G328" s="14" t="str">
        <f aca="false">IF($D328=1,INDEX(TblClusters[Plateforme],$B328),"")</f>
        <v/>
      </c>
      <c r="H328" s="14" t="str">
        <f aca="false">IF($D328=1,INDEX(TblClusters[vCPU par nœud],$B328),"")</f>
        <v/>
      </c>
      <c r="I328" s="14" t="str">
        <f aca="false">IF($D328=1,INDEX(TblClusters[RAM par nœud (Go)],$B328),"")</f>
        <v/>
      </c>
      <c r="J328" s="14" t="str">
        <f aca="false">IF($D328=1,INDEX(TblClusters[Workers min],$B328),"")</f>
        <v/>
      </c>
      <c r="K328" s="84" t="str">
        <f aca="false">IF($D328=1,INDEX(TblClusters[Tarif par nœud],$B328),"")</f>
        <v/>
      </c>
      <c r="L328" s="14" t="str">
        <f aca="false">IF($D328=1,INDEX(TblClusters[CPU initial (vCPU)],$B328),"")</f>
        <v/>
      </c>
      <c r="M328" s="14" t="str">
        <f aca="false">IF($D328=1,INDEX(TblClusters[RAM initiale (Go)],$B328),"")</f>
        <v/>
      </c>
      <c r="N328" s="14" t="str">
        <f aca="false">IF($D328=1,INDEX(TblClusters[CPU min (vCPU)],$B328),"")</f>
        <v/>
      </c>
      <c r="O328" s="14" t="str">
        <f aca="false">IF($D328=1,INDEX(TblClusters[RAM min (Go)],$B328),"")</f>
        <v/>
      </c>
      <c r="P328" s="14" t="str">
        <f aca="false">IF($D328&lt;&gt;1,"",IF($G328="ROKS",SUMIFS(TblApplications[Besoin ROKS CPU (vCPU)],TblApplications[Cluster ROKS cible],$F328,TblApplications[Action],"À migrer",TblApplications[Déjà incluse ROKS],"Non",TblApplications[Mois prov (calc)],"&lt;="&amp;$E328),SUMIFS(TblApplications[CPU IKS libérable (vCPU)],TblApplications[Cluster IKS source],$F328,TblApplications[Mois lib (calc)],"&lt;="&amp;$E328)))</f>
        <v/>
      </c>
      <c r="Q328" s="14" t="str">
        <f aca="false">IF($D328&lt;&gt;1,"",IF($G328="ROKS",SUMIFS(TblApplications[Besoin ROKS RAM (Go)],TblApplications[Cluster ROKS cible],$F328,TblApplications[Action],"À migrer",TblApplications[Déjà incluse ROKS],"Non",TblApplications[Mois prov (calc)],"&lt;="&amp;$E328),SUMIFS(TblApplications[RAM IKS libérable (Go)],TblApplications[Cluster IKS source],$F328,TblApplications[Mois lib (calc)],"&lt;="&amp;$E328)))</f>
        <v/>
      </c>
      <c r="R328" s="14" t="str">
        <f aca="false">IF($D328&lt;&gt;1,"",IF($G328="ROKS",$L328+$P328,IF($AI328=1,0,MAX($N328,$L328-$P328))))</f>
        <v/>
      </c>
      <c r="S328" s="14" t="str">
        <f aca="false">IF($D328&lt;&gt;1,"",IF($G328="ROKS",$M328+$Q328,IF($AI328=1,0,MAX($O328,$M328-$Q328))))</f>
        <v/>
      </c>
      <c r="T328" s="14" t="str">
        <f aca="false">IF($D328&lt;&gt;1,"",IF($AI328=1,0,MAX($J328,ROUNDUP(MAX($R328/$H328,$S328/$I328),0))))</f>
        <v/>
      </c>
      <c r="U328" s="14" t="str">
        <f aca="false">IF($D328&lt;&gt;1,"",IF(p_mode="Nœud",$T328*$H328,$R328))</f>
        <v/>
      </c>
      <c r="V328" s="14" t="str">
        <f aca="false">IF($D328&lt;&gt;1,"",IF(p_mode="Nœud",$T328*$I328,$S328))</f>
        <v/>
      </c>
      <c r="W328" s="84" t="str">
        <f aca="false">IF($D328&lt;&gt;1,"",IF(p_mode="Nœud",$T328*$K328,$R328*IF($G328="IKS",p_iks_cpu,p_roks_cpu)+$S328*IF($G328="IKS",p_iks_ram,p_roks_ram))*p_facteur)</f>
        <v/>
      </c>
      <c r="X328" s="14" t="str">
        <f aca="false">IF($D328&lt;&gt;1,"",IF($G328="ROKS",$R328,IF($AI328=1,0,MAX($N328,$L328-SUMIFS(TblApplications[CPU IKS libérable (vCPU)],TblApplications[Cluster IKS source],$F328,TblApplications[Action],"À migrer",TblApplications[Mois prov (calc)],"&lt;="&amp;$E328)-SUMIFS(TblApplications[CPU IKS libérable (vCPU)],TblApplications[Cluster IKS source],$F328,TblApplications[Action],"À décommissionner",TblApplications[Mois lib (calc)],"&lt;="&amp;$E328)))))</f>
        <v/>
      </c>
      <c r="Y328" s="14" t="str">
        <f aca="false">IF($D328&lt;&gt;1,"",IF($G328="ROKS",$S328,IF($AI328=1,0,MAX($O328,$M328-SUMIFS(TblApplications[RAM IKS libérable (Go)],TblApplications[Cluster IKS source],$F328,TblApplications[Action],"À migrer",TblApplications[Mois prov (calc)],"&lt;="&amp;$E328)-SUMIFS(TblApplications[RAM IKS libérable (Go)],TblApplications[Cluster IKS source],$F328,TblApplications[Action],"À décommissionner",TblApplications[Mois lib (calc)],"&lt;="&amp;$E328)))))</f>
        <v/>
      </c>
      <c r="Z328" s="14" t="str">
        <f aca="false">IF($D328&lt;&gt;1,"",IF($AI328=1,0,MAX($J328,ROUNDUP(MAX($X328/$H328,$Y328/$I328),0))))</f>
        <v/>
      </c>
      <c r="AA328" s="84" t="str">
        <f aca="false">IF($D328&lt;&gt;1,"",IF(p_mode="Nœud",$Z328*$K328,$X328*IF($G328="IKS",p_iks_cpu,p_roks_cpu)+$Y328*IF($G328="IKS",p_iks_ram,p_roks_ram))*p_facteur)</f>
        <v/>
      </c>
      <c r="AB328" s="14" t="str">
        <f aca="false">IF($D328&lt;&gt;1,"",MAX($J328,ROUNDUP(MAX($L328/$H328,$M328/$I328),0)))</f>
        <v/>
      </c>
      <c r="AC328" s="84" t="str">
        <f aca="false">IF($D328&lt;&gt;1,"",IF(p_mode="Nœud",$AB328*$K328,$L328*IF($G328="IKS",p_iks_cpu,p_roks_cpu)+$M328*IF($G328="IKS",p_iks_ram,p_roks_ram))*p_facteur)</f>
        <v/>
      </c>
      <c r="AD328" s="14" t="str">
        <f aca="false">IF($D328&lt;&gt;1,"",IF(AND($G328="IKS",$AI328&lt;&gt;1,OR($L328-$P328&lt;$N328,$M328-$Q328&lt;$O328)),1,0))</f>
        <v/>
      </c>
      <c r="AE328" s="14" t="str">
        <f aca="false">IF($D328&lt;&gt;1,"",IF(AND($G328="ROKS",$T328&gt;p_maxworkers),1,0))</f>
        <v/>
      </c>
      <c r="AF328" s="14" t="str">
        <f aca="false">IF($D328&lt;&gt;1,"",IF(INDEX(TblClusters[Environnement],$B328)="","(vide)",INDEX(TblClusters[Environnement],$B328)))</f>
        <v/>
      </c>
      <c r="AG328" s="14" t="str">
        <f aca="false">IF($D328&lt;&gt;1,"",$R328+p_poidsram*$S328)</f>
        <v/>
      </c>
      <c r="AH328" s="14" t="str">
        <f aca="false">IF($D328&lt;&gt;1,"",IFERROR($W328/$AG328,0))</f>
        <v/>
      </c>
      <c r="AI328" s="14" t="str">
        <f aca="false">IF($D328&lt;&gt;1,"",IF(AND($G328="IKS",ISNUMBER(INDEX(TblClusters[Fermeture retenue],$B328))),IF($E328&gt;=INDEX(TblClusters[Fermeture retenue],$B328),1,0),0))</f>
        <v/>
      </c>
    </row>
    <row r="329" customFormat="false" ht="15" hidden="false" customHeight="false" outlineLevel="0" collapsed="false">
      <c r="A329" s="14" t="n">
        <v>324</v>
      </c>
      <c r="B329" s="14" t="n">
        <f aca="false">INT(($A329-1)/36)+1</f>
        <v>9</v>
      </c>
      <c r="C329" s="14" t="n">
        <f aca="false">MOD($A329-1,36)+1</f>
        <v>36</v>
      </c>
      <c r="D329" s="14" t="n">
        <f aca="false">IF($C329&gt;p_horizon,0,IFERROR(IF(AND(INDEX(TblClusters[Cluster],$B329)&lt;&gt;"",ISNUMBER(INDEX(TblClusters[CPU initial (vCPU)],$B329)),ISNUMBER(INDEX(TblClusters[CPU min (vCPU)],$B329)),OR(INDEX(TblClusters[Plateforme],$B329)="IKS",INDEX(TblClusters[Plateforme],$B329)="ROKS")),1,0),0))</f>
        <v>0</v>
      </c>
      <c r="E329" s="83" t="str">
        <f aca="false">IF($D329=1,EDATE(p_debut,$C329-1),"")</f>
        <v/>
      </c>
      <c r="F329" s="14" t="str">
        <f aca="false">IF($D329=1,INDEX(TblClusters[Cluster],$B329),"")</f>
        <v/>
      </c>
      <c r="G329" s="14" t="str">
        <f aca="false">IF($D329=1,INDEX(TblClusters[Plateforme],$B329),"")</f>
        <v/>
      </c>
      <c r="H329" s="14" t="str">
        <f aca="false">IF($D329=1,INDEX(TblClusters[vCPU par nœud],$B329),"")</f>
        <v/>
      </c>
      <c r="I329" s="14" t="str">
        <f aca="false">IF($D329=1,INDEX(TblClusters[RAM par nœud (Go)],$B329),"")</f>
        <v/>
      </c>
      <c r="J329" s="14" t="str">
        <f aca="false">IF($D329=1,INDEX(TblClusters[Workers min],$B329),"")</f>
        <v/>
      </c>
      <c r="K329" s="84" t="str">
        <f aca="false">IF($D329=1,INDEX(TblClusters[Tarif par nœud],$B329),"")</f>
        <v/>
      </c>
      <c r="L329" s="14" t="str">
        <f aca="false">IF($D329=1,INDEX(TblClusters[CPU initial (vCPU)],$B329),"")</f>
        <v/>
      </c>
      <c r="M329" s="14" t="str">
        <f aca="false">IF($D329=1,INDEX(TblClusters[RAM initiale (Go)],$B329),"")</f>
        <v/>
      </c>
      <c r="N329" s="14" t="str">
        <f aca="false">IF($D329=1,INDEX(TblClusters[CPU min (vCPU)],$B329),"")</f>
        <v/>
      </c>
      <c r="O329" s="14" t="str">
        <f aca="false">IF($D329=1,INDEX(TblClusters[RAM min (Go)],$B329),"")</f>
        <v/>
      </c>
      <c r="P329" s="14" t="str">
        <f aca="false">IF($D329&lt;&gt;1,"",IF($G329="ROKS",SUMIFS(TblApplications[Besoin ROKS CPU (vCPU)],TblApplications[Cluster ROKS cible],$F329,TblApplications[Action],"À migrer",TblApplications[Déjà incluse ROKS],"Non",TblApplications[Mois prov (calc)],"&lt;="&amp;$E329),SUMIFS(TblApplications[CPU IKS libérable (vCPU)],TblApplications[Cluster IKS source],$F329,TblApplications[Mois lib (calc)],"&lt;="&amp;$E329)))</f>
        <v/>
      </c>
      <c r="Q329" s="14" t="str">
        <f aca="false">IF($D329&lt;&gt;1,"",IF($G329="ROKS",SUMIFS(TblApplications[Besoin ROKS RAM (Go)],TblApplications[Cluster ROKS cible],$F329,TblApplications[Action],"À migrer",TblApplications[Déjà incluse ROKS],"Non",TblApplications[Mois prov (calc)],"&lt;="&amp;$E329),SUMIFS(TblApplications[RAM IKS libérable (Go)],TblApplications[Cluster IKS source],$F329,TblApplications[Mois lib (calc)],"&lt;="&amp;$E329)))</f>
        <v/>
      </c>
      <c r="R329" s="14" t="str">
        <f aca="false">IF($D329&lt;&gt;1,"",IF($G329="ROKS",$L329+$P329,IF($AI329=1,0,MAX($N329,$L329-$P329))))</f>
        <v/>
      </c>
      <c r="S329" s="14" t="str">
        <f aca="false">IF($D329&lt;&gt;1,"",IF($G329="ROKS",$M329+$Q329,IF($AI329=1,0,MAX($O329,$M329-$Q329))))</f>
        <v/>
      </c>
      <c r="T329" s="14" t="str">
        <f aca="false">IF($D329&lt;&gt;1,"",IF($AI329=1,0,MAX($J329,ROUNDUP(MAX($R329/$H329,$S329/$I329),0))))</f>
        <v/>
      </c>
      <c r="U329" s="14" t="str">
        <f aca="false">IF($D329&lt;&gt;1,"",IF(p_mode="Nœud",$T329*$H329,$R329))</f>
        <v/>
      </c>
      <c r="V329" s="14" t="str">
        <f aca="false">IF($D329&lt;&gt;1,"",IF(p_mode="Nœud",$T329*$I329,$S329))</f>
        <v/>
      </c>
      <c r="W329" s="84" t="str">
        <f aca="false">IF($D329&lt;&gt;1,"",IF(p_mode="Nœud",$T329*$K329,$R329*IF($G329="IKS",p_iks_cpu,p_roks_cpu)+$S329*IF($G329="IKS",p_iks_ram,p_roks_ram))*p_facteur)</f>
        <v/>
      </c>
      <c r="X329" s="14" t="str">
        <f aca="false">IF($D329&lt;&gt;1,"",IF($G329="ROKS",$R329,IF($AI329=1,0,MAX($N329,$L329-SUMIFS(TblApplications[CPU IKS libérable (vCPU)],TblApplications[Cluster IKS source],$F329,TblApplications[Action],"À migrer",TblApplications[Mois prov (calc)],"&lt;="&amp;$E329)-SUMIFS(TblApplications[CPU IKS libérable (vCPU)],TblApplications[Cluster IKS source],$F329,TblApplications[Action],"À décommissionner",TblApplications[Mois lib (calc)],"&lt;="&amp;$E329)))))</f>
        <v/>
      </c>
      <c r="Y329" s="14" t="str">
        <f aca="false">IF($D329&lt;&gt;1,"",IF($G329="ROKS",$S329,IF($AI329=1,0,MAX($O329,$M329-SUMIFS(TblApplications[RAM IKS libérable (Go)],TblApplications[Cluster IKS source],$F329,TblApplications[Action],"À migrer",TblApplications[Mois prov (calc)],"&lt;="&amp;$E329)-SUMIFS(TblApplications[RAM IKS libérable (Go)],TblApplications[Cluster IKS source],$F329,TblApplications[Action],"À décommissionner",TblApplications[Mois lib (calc)],"&lt;="&amp;$E329)))))</f>
        <v/>
      </c>
      <c r="Z329" s="14" t="str">
        <f aca="false">IF($D329&lt;&gt;1,"",IF($AI329=1,0,MAX($J329,ROUNDUP(MAX($X329/$H329,$Y329/$I329),0))))</f>
        <v/>
      </c>
      <c r="AA329" s="84" t="str">
        <f aca="false">IF($D329&lt;&gt;1,"",IF(p_mode="Nœud",$Z329*$K329,$X329*IF($G329="IKS",p_iks_cpu,p_roks_cpu)+$Y329*IF($G329="IKS",p_iks_ram,p_roks_ram))*p_facteur)</f>
        <v/>
      </c>
      <c r="AB329" s="14" t="str">
        <f aca="false">IF($D329&lt;&gt;1,"",MAX($J329,ROUNDUP(MAX($L329/$H329,$M329/$I329),0)))</f>
        <v/>
      </c>
      <c r="AC329" s="84" t="str">
        <f aca="false">IF($D329&lt;&gt;1,"",IF(p_mode="Nœud",$AB329*$K329,$L329*IF($G329="IKS",p_iks_cpu,p_roks_cpu)+$M329*IF($G329="IKS",p_iks_ram,p_roks_ram))*p_facteur)</f>
        <v/>
      </c>
      <c r="AD329" s="14" t="str">
        <f aca="false">IF($D329&lt;&gt;1,"",IF(AND($G329="IKS",$AI329&lt;&gt;1,OR($L329-$P329&lt;$N329,$M329-$Q329&lt;$O329)),1,0))</f>
        <v/>
      </c>
      <c r="AE329" s="14" t="str">
        <f aca="false">IF($D329&lt;&gt;1,"",IF(AND($G329="ROKS",$T329&gt;p_maxworkers),1,0))</f>
        <v/>
      </c>
      <c r="AF329" s="14" t="str">
        <f aca="false">IF($D329&lt;&gt;1,"",IF(INDEX(TblClusters[Environnement],$B329)="","(vide)",INDEX(TblClusters[Environnement],$B329)))</f>
        <v/>
      </c>
      <c r="AG329" s="14" t="str">
        <f aca="false">IF($D329&lt;&gt;1,"",$R329+p_poidsram*$S329)</f>
        <v/>
      </c>
      <c r="AH329" s="14" t="str">
        <f aca="false">IF($D329&lt;&gt;1,"",IFERROR($W329/$AG329,0))</f>
        <v/>
      </c>
      <c r="AI329" s="14" t="str">
        <f aca="false">IF($D329&lt;&gt;1,"",IF(AND($G329="IKS",ISNUMBER(INDEX(TblClusters[Fermeture retenue],$B329))),IF($E329&gt;=INDEX(TblClusters[Fermeture retenue],$B329),1,0),0))</f>
        <v/>
      </c>
    </row>
    <row r="330" customFormat="false" ht="15" hidden="false" customHeight="false" outlineLevel="0" collapsed="false">
      <c r="A330" s="14" t="n">
        <v>325</v>
      </c>
      <c r="B330" s="14" t="n">
        <f aca="false">INT(($A330-1)/36)+1</f>
        <v>10</v>
      </c>
      <c r="C330" s="14" t="n">
        <f aca="false">MOD($A330-1,36)+1</f>
        <v>1</v>
      </c>
      <c r="D330" s="14" t="n">
        <f aca="false">IF($C330&gt;p_horizon,0,IFERROR(IF(AND(INDEX(TblClusters[Cluster],$B330)&lt;&gt;"",ISNUMBER(INDEX(TblClusters[CPU initial (vCPU)],$B330)),ISNUMBER(INDEX(TblClusters[CPU min (vCPU)],$B330)),OR(INDEX(TblClusters[Plateforme],$B330)="IKS",INDEX(TblClusters[Plateforme],$B330)="ROKS")),1,0),0))</f>
        <v>0</v>
      </c>
      <c r="E330" s="83" t="str">
        <f aca="false">IF($D330=1,EDATE(p_debut,$C330-1),"")</f>
        <v/>
      </c>
      <c r="F330" s="14" t="str">
        <f aca="false">IF($D330=1,INDEX(TblClusters[Cluster],$B330),"")</f>
        <v/>
      </c>
      <c r="G330" s="14" t="str">
        <f aca="false">IF($D330=1,INDEX(TblClusters[Plateforme],$B330),"")</f>
        <v/>
      </c>
      <c r="H330" s="14" t="str">
        <f aca="false">IF($D330=1,INDEX(TblClusters[vCPU par nœud],$B330),"")</f>
        <v/>
      </c>
      <c r="I330" s="14" t="str">
        <f aca="false">IF($D330=1,INDEX(TblClusters[RAM par nœud (Go)],$B330),"")</f>
        <v/>
      </c>
      <c r="J330" s="14" t="str">
        <f aca="false">IF($D330=1,INDEX(TblClusters[Workers min],$B330),"")</f>
        <v/>
      </c>
      <c r="K330" s="84" t="str">
        <f aca="false">IF($D330=1,INDEX(TblClusters[Tarif par nœud],$B330),"")</f>
        <v/>
      </c>
      <c r="L330" s="14" t="str">
        <f aca="false">IF($D330=1,INDEX(TblClusters[CPU initial (vCPU)],$B330),"")</f>
        <v/>
      </c>
      <c r="M330" s="14" t="str">
        <f aca="false">IF($D330=1,INDEX(TblClusters[RAM initiale (Go)],$B330),"")</f>
        <v/>
      </c>
      <c r="N330" s="14" t="str">
        <f aca="false">IF($D330=1,INDEX(TblClusters[CPU min (vCPU)],$B330),"")</f>
        <v/>
      </c>
      <c r="O330" s="14" t="str">
        <f aca="false">IF($D330=1,INDEX(TblClusters[RAM min (Go)],$B330),"")</f>
        <v/>
      </c>
      <c r="P330" s="14" t="str">
        <f aca="false">IF($D330&lt;&gt;1,"",IF($G330="ROKS",SUMIFS(TblApplications[Besoin ROKS CPU (vCPU)],TblApplications[Cluster ROKS cible],$F330,TblApplications[Action],"À migrer",TblApplications[Déjà incluse ROKS],"Non",TblApplications[Mois prov (calc)],"&lt;="&amp;$E330),SUMIFS(TblApplications[CPU IKS libérable (vCPU)],TblApplications[Cluster IKS source],$F330,TblApplications[Mois lib (calc)],"&lt;="&amp;$E330)))</f>
        <v/>
      </c>
      <c r="Q330" s="14" t="str">
        <f aca="false">IF($D330&lt;&gt;1,"",IF($G330="ROKS",SUMIFS(TblApplications[Besoin ROKS RAM (Go)],TblApplications[Cluster ROKS cible],$F330,TblApplications[Action],"À migrer",TblApplications[Déjà incluse ROKS],"Non",TblApplications[Mois prov (calc)],"&lt;="&amp;$E330),SUMIFS(TblApplications[RAM IKS libérable (Go)],TblApplications[Cluster IKS source],$F330,TblApplications[Mois lib (calc)],"&lt;="&amp;$E330)))</f>
        <v/>
      </c>
      <c r="R330" s="14" t="str">
        <f aca="false">IF($D330&lt;&gt;1,"",IF($G330="ROKS",$L330+$P330,IF($AI330=1,0,MAX($N330,$L330-$P330))))</f>
        <v/>
      </c>
      <c r="S330" s="14" t="str">
        <f aca="false">IF($D330&lt;&gt;1,"",IF($G330="ROKS",$M330+$Q330,IF($AI330=1,0,MAX($O330,$M330-$Q330))))</f>
        <v/>
      </c>
      <c r="T330" s="14" t="str">
        <f aca="false">IF($D330&lt;&gt;1,"",IF($AI330=1,0,MAX($J330,ROUNDUP(MAX($R330/$H330,$S330/$I330),0))))</f>
        <v/>
      </c>
      <c r="U330" s="14" t="str">
        <f aca="false">IF($D330&lt;&gt;1,"",IF(p_mode="Nœud",$T330*$H330,$R330))</f>
        <v/>
      </c>
      <c r="V330" s="14" t="str">
        <f aca="false">IF($D330&lt;&gt;1,"",IF(p_mode="Nœud",$T330*$I330,$S330))</f>
        <v/>
      </c>
      <c r="W330" s="84" t="str">
        <f aca="false">IF($D330&lt;&gt;1,"",IF(p_mode="Nœud",$T330*$K330,$R330*IF($G330="IKS",p_iks_cpu,p_roks_cpu)+$S330*IF($G330="IKS",p_iks_ram,p_roks_ram))*p_facteur)</f>
        <v/>
      </c>
      <c r="X330" s="14" t="str">
        <f aca="false">IF($D330&lt;&gt;1,"",IF($G330="ROKS",$R330,IF($AI330=1,0,MAX($N330,$L330-SUMIFS(TblApplications[CPU IKS libérable (vCPU)],TblApplications[Cluster IKS source],$F330,TblApplications[Action],"À migrer",TblApplications[Mois prov (calc)],"&lt;="&amp;$E330)-SUMIFS(TblApplications[CPU IKS libérable (vCPU)],TblApplications[Cluster IKS source],$F330,TblApplications[Action],"À décommissionner",TblApplications[Mois lib (calc)],"&lt;="&amp;$E330)))))</f>
        <v/>
      </c>
      <c r="Y330" s="14" t="str">
        <f aca="false">IF($D330&lt;&gt;1,"",IF($G330="ROKS",$S330,IF($AI330=1,0,MAX($O330,$M330-SUMIFS(TblApplications[RAM IKS libérable (Go)],TblApplications[Cluster IKS source],$F330,TblApplications[Action],"À migrer",TblApplications[Mois prov (calc)],"&lt;="&amp;$E330)-SUMIFS(TblApplications[RAM IKS libérable (Go)],TblApplications[Cluster IKS source],$F330,TblApplications[Action],"À décommissionner",TblApplications[Mois lib (calc)],"&lt;="&amp;$E330)))))</f>
        <v/>
      </c>
      <c r="Z330" s="14" t="str">
        <f aca="false">IF($D330&lt;&gt;1,"",IF($AI330=1,0,MAX($J330,ROUNDUP(MAX($X330/$H330,$Y330/$I330),0))))</f>
        <v/>
      </c>
      <c r="AA330" s="84" t="str">
        <f aca="false">IF($D330&lt;&gt;1,"",IF(p_mode="Nœud",$Z330*$K330,$X330*IF($G330="IKS",p_iks_cpu,p_roks_cpu)+$Y330*IF($G330="IKS",p_iks_ram,p_roks_ram))*p_facteur)</f>
        <v/>
      </c>
      <c r="AB330" s="14" t="str">
        <f aca="false">IF($D330&lt;&gt;1,"",MAX($J330,ROUNDUP(MAX($L330/$H330,$M330/$I330),0)))</f>
        <v/>
      </c>
      <c r="AC330" s="84" t="str">
        <f aca="false">IF($D330&lt;&gt;1,"",IF(p_mode="Nœud",$AB330*$K330,$L330*IF($G330="IKS",p_iks_cpu,p_roks_cpu)+$M330*IF($G330="IKS",p_iks_ram,p_roks_ram))*p_facteur)</f>
        <v/>
      </c>
      <c r="AD330" s="14" t="str">
        <f aca="false">IF($D330&lt;&gt;1,"",IF(AND($G330="IKS",$AI330&lt;&gt;1,OR($L330-$P330&lt;$N330,$M330-$Q330&lt;$O330)),1,0))</f>
        <v/>
      </c>
      <c r="AE330" s="14" t="str">
        <f aca="false">IF($D330&lt;&gt;1,"",IF(AND($G330="ROKS",$T330&gt;p_maxworkers),1,0))</f>
        <v/>
      </c>
      <c r="AF330" s="14" t="str">
        <f aca="false">IF($D330&lt;&gt;1,"",IF(INDEX(TblClusters[Environnement],$B330)="","(vide)",INDEX(TblClusters[Environnement],$B330)))</f>
        <v/>
      </c>
      <c r="AG330" s="14" t="str">
        <f aca="false">IF($D330&lt;&gt;1,"",$R330+p_poidsram*$S330)</f>
        <v/>
      </c>
      <c r="AH330" s="14" t="str">
        <f aca="false">IF($D330&lt;&gt;1,"",IFERROR($W330/$AG330,0))</f>
        <v/>
      </c>
      <c r="AI330" s="14" t="str">
        <f aca="false">IF($D330&lt;&gt;1,"",IF(AND($G330="IKS",ISNUMBER(INDEX(TblClusters[Fermeture retenue],$B330))),IF($E330&gt;=INDEX(TblClusters[Fermeture retenue],$B330),1,0),0))</f>
        <v/>
      </c>
    </row>
    <row r="331" customFormat="false" ht="15" hidden="false" customHeight="false" outlineLevel="0" collapsed="false">
      <c r="A331" s="14" t="n">
        <v>326</v>
      </c>
      <c r="B331" s="14" t="n">
        <f aca="false">INT(($A331-1)/36)+1</f>
        <v>10</v>
      </c>
      <c r="C331" s="14" t="n">
        <f aca="false">MOD($A331-1,36)+1</f>
        <v>2</v>
      </c>
      <c r="D331" s="14" t="n">
        <f aca="false">IF($C331&gt;p_horizon,0,IFERROR(IF(AND(INDEX(TblClusters[Cluster],$B331)&lt;&gt;"",ISNUMBER(INDEX(TblClusters[CPU initial (vCPU)],$B331)),ISNUMBER(INDEX(TblClusters[CPU min (vCPU)],$B331)),OR(INDEX(TblClusters[Plateforme],$B331)="IKS",INDEX(TblClusters[Plateforme],$B331)="ROKS")),1,0),0))</f>
        <v>0</v>
      </c>
      <c r="E331" s="83" t="str">
        <f aca="false">IF($D331=1,EDATE(p_debut,$C331-1),"")</f>
        <v/>
      </c>
      <c r="F331" s="14" t="str">
        <f aca="false">IF($D331=1,INDEX(TblClusters[Cluster],$B331),"")</f>
        <v/>
      </c>
      <c r="G331" s="14" t="str">
        <f aca="false">IF($D331=1,INDEX(TblClusters[Plateforme],$B331),"")</f>
        <v/>
      </c>
      <c r="H331" s="14" t="str">
        <f aca="false">IF($D331=1,INDEX(TblClusters[vCPU par nœud],$B331),"")</f>
        <v/>
      </c>
      <c r="I331" s="14" t="str">
        <f aca="false">IF($D331=1,INDEX(TblClusters[RAM par nœud (Go)],$B331),"")</f>
        <v/>
      </c>
      <c r="J331" s="14" t="str">
        <f aca="false">IF($D331=1,INDEX(TblClusters[Workers min],$B331),"")</f>
        <v/>
      </c>
      <c r="K331" s="84" t="str">
        <f aca="false">IF($D331=1,INDEX(TblClusters[Tarif par nœud],$B331),"")</f>
        <v/>
      </c>
      <c r="L331" s="14" t="str">
        <f aca="false">IF($D331=1,INDEX(TblClusters[CPU initial (vCPU)],$B331),"")</f>
        <v/>
      </c>
      <c r="M331" s="14" t="str">
        <f aca="false">IF($D331=1,INDEX(TblClusters[RAM initiale (Go)],$B331),"")</f>
        <v/>
      </c>
      <c r="N331" s="14" t="str">
        <f aca="false">IF($D331=1,INDEX(TblClusters[CPU min (vCPU)],$B331),"")</f>
        <v/>
      </c>
      <c r="O331" s="14" t="str">
        <f aca="false">IF($D331=1,INDEX(TblClusters[RAM min (Go)],$B331),"")</f>
        <v/>
      </c>
      <c r="P331" s="14" t="str">
        <f aca="false">IF($D331&lt;&gt;1,"",IF($G331="ROKS",SUMIFS(TblApplications[Besoin ROKS CPU (vCPU)],TblApplications[Cluster ROKS cible],$F331,TblApplications[Action],"À migrer",TblApplications[Déjà incluse ROKS],"Non",TblApplications[Mois prov (calc)],"&lt;="&amp;$E331),SUMIFS(TblApplications[CPU IKS libérable (vCPU)],TblApplications[Cluster IKS source],$F331,TblApplications[Mois lib (calc)],"&lt;="&amp;$E331)))</f>
        <v/>
      </c>
      <c r="Q331" s="14" t="str">
        <f aca="false">IF($D331&lt;&gt;1,"",IF($G331="ROKS",SUMIFS(TblApplications[Besoin ROKS RAM (Go)],TblApplications[Cluster ROKS cible],$F331,TblApplications[Action],"À migrer",TblApplications[Déjà incluse ROKS],"Non",TblApplications[Mois prov (calc)],"&lt;="&amp;$E331),SUMIFS(TblApplications[RAM IKS libérable (Go)],TblApplications[Cluster IKS source],$F331,TblApplications[Mois lib (calc)],"&lt;="&amp;$E331)))</f>
        <v/>
      </c>
      <c r="R331" s="14" t="str">
        <f aca="false">IF($D331&lt;&gt;1,"",IF($G331="ROKS",$L331+$P331,IF($AI331=1,0,MAX($N331,$L331-$P331))))</f>
        <v/>
      </c>
      <c r="S331" s="14" t="str">
        <f aca="false">IF($D331&lt;&gt;1,"",IF($G331="ROKS",$M331+$Q331,IF($AI331=1,0,MAX($O331,$M331-$Q331))))</f>
        <v/>
      </c>
      <c r="T331" s="14" t="str">
        <f aca="false">IF($D331&lt;&gt;1,"",IF($AI331=1,0,MAX($J331,ROUNDUP(MAX($R331/$H331,$S331/$I331),0))))</f>
        <v/>
      </c>
      <c r="U331" s="14" t="str">
        <f aca="false">IF($D331&lt;&gt;1,"",IF(p_mode="Nœud",$T331*$H331,$R331))</f>
        <v/>
      </c>
      <c r="V331" s="14" t="str">
        <f aca="false">IF($D331&lt;&gt;1,"",IF(p_mode="Nœud",$T331*$I331,$S331))</f>
        <v/>
      </c>
      <c r="W331" s="84" t="str">
        <f aca="false">IF($D331&lt;&gt;1,"",IF(p_mode="Nœud",$T331*$K331,$R331*IF($G331="IKS",p_iks_cpu,p_roks_cpu)+$S331*IF($G331="IKS",p_iks_ram,p_roks_ram))*p_facteur)</f>
        <v/>
      </c>
      <c r="X331" s="14" t="str">
        <f aca="false">IF($D331&lt;&gt;1,"",IF($G331="ROKS",$R331,IF($AI331=1,0,MAX($N331,$L331-SUMIFS(TblApplications[CPU IKS libérable (vCPU)],TblApplications[Cluster IKS source],$F331,TblApplications[Action],"À migrer",TblApplications[Mois prov (calc)],"&lt;="&amp;$E331)-SUMIFS(TblApplications[CPU IKS libérable (vCPU)],TblApplications[Cluster IKS source],$F331,TblApplications[Action],"À décommissionner",TblApplications[Mois lib (calc)],"&lt;="&amp;$E331)))))</f>
        <v/>
      </c>
      <c r="Y331" s="14" t="str">
        <f aca="false">IF($D331&lt;&gt;1,"",IF($G331="ROKS",$S331,IF($AI331=1,0,MAX($O331,$M331-SUMIFS(TblApplications[RAM IKS libérable (Go)],TblApplications[Cluster IKS source],$F331,TblApplications[Action],"À migrer",TblApplications[Mois prov (calc)],"&lt;="&amp;$E331)-SUMIFS(TblApplications[RAM IKS libérable (Go)],TblApplications[Cluster IKS source],$F331,TblApplications[Action],"À décommissionner",TblApplications[Mois lib (calc)],"&lt;="&amp;$E331)))))</f>
        <v/>
      </c>
      <c r="Z331" s="14" t="str">
        <f aca="false">IF($D331&lt;&gt;1,"",IF($AI331=1,0,MAX($J331,ROUNDUP(MAX($X331/$H331,$Y331/$I331),0))))</f>
        <v/>
      </c>
      <c r="AA331" s="84" t="str">
        <f aca="false">IF($D331&lt;&gt;1,"",IF(p_mode="Nœud",$Z331*$K331,$X331*IF($G331="IKS",p_iks_cpu,p_roks_cpu)+$Y331*IF($G331="IKS",p_iks_ram,p_roks_ram))*p_facteur)</f>
        <v/>
      </c>
      <c r="AB331" s="14" t="str">
        <f aca="false">IF($D331&lt;&gt;1,"",MAX($J331,ROUNDUP(MAX($L331/$H331,$M331/$I331),0)))</f>
        <v/>
      </c>
      <c r="AC331" s="84" t="str">
        <f aca="false">IF($D331&lt;&gt;1,"",IF(p_mode="Nœud",$AB331*$K331,$L331*IF($G331="IKS",p_iks_cpu,p_roks_cpu)+$M331*IF($G331="IKS",p_iks_ram,p_roks_ram))*p_facteur)</f>
        <v/>
      </c>
      <c r="AD331" s="14" t="str">
        <f aca="false">IF($D331&lt;&gt;1,"",IF(AND($G331="IKS",$AI331&lt;&gt;1,OR($L331-$P331&lt;$N331,$M331-$Q331&lt;$O331)),1,0))</f>
        <v/>
      </c>
      <c r="AE331" s="14" t="str">
        <f aca="false">IF($D331&lt;&gt;1,"",IF(AND($G331="ROKS",$T331&gt;p_maxworkers),1,0))</f>
        <v/>
      </c>
      <c r="AF331" s="14" t="str">
        <f aca="false">IF($D331&lt;&gt;1,"",IF(INDEX(TblClusters[Environnement],$B331)="","(vide)",INDEX(TblClusters[Environnement],$B331)))</f>
        <v/>
      </c>
      <c r="AG331" s="14" t="str">
        <f aca="false">IF($D331&lt;&gt;1,"",$R331+p_poidsram*$S331)</f>
        <v/>
      </c>
      <c r="AH331" s="14" t="str">
        <f aca="false">IF($D331&lt;&gt;1,"",IFERROR($W331/$AG331,0))</f>
        <v/>
      </c>
      <c r="AI331" s="14" t="str">
        <f aca="false">IF($D331&lt;&gt;1,"",IF(AND($G331="IKS",ISNUMBER(INDEX(TblClusters[Fermeture retenue],$B331))),IF($E331&gt;=INDEX(TblClusters[Fermeture retenue],$B331),1,0),0))</f>
        <v/>
      </c>
    </row>
    <row r="332" customFormat="false" ht="15" hidden="false" customHeight="false" outlineLevel="0" collapsed="false">
      <c r="A332" s="14" t="n">
        <v>327</v>
      </c>
      <c r="B332" s="14" t="n">
        <f aca="false">INT(($A332-1)/36)+1</f>
        <v>10</v>
      </c>
      <c r="C332" s="14" t="n">
        <f aca="false">MOD($A332-1,36)+1</f>
        <v>3</v>
      </c>
      <c r="D332" s="14" t="n">
        <f aca="false">IF($C332&gt;p_horizon,0,IFERROR(IF(AND(INDEX(TblClusters[Cluster],$B332)&lt;&gt;"",ISNUMBER(INDEX(TblClusters[CPU initial (vCPU)],$B332)),ISNUMBER(INDEX(TblClusters[CPU min (vCPU)],$B332)),OR(INDEX(TblClusters[Plateforme],$B332)="IKS",INDEX(TblClusters[Plateforme],$B332)="ROKS")),1,0),0))</f>
        <v>0</v>
      </c>
      <c r="E332" s="83" t="str">
        <f aca="false">IF($D332=1,EDATE(p_debut,$C332-1),"")</f>
        <v/>
      </c>
      <c r="F332" s="14" t="str">
        <f aca="false">IF($D332=1,INDEX(TblClusters[Cluster],$B332),"")</f>
        <v/>
      </c>
      <c r="G332" s="14" t="str">
        <f aca="false">IF($D332=1,INDEX(TblClusters[Plateforme],$B332),"")</f>
        <v/>
      </c>
      <c r="H332" s="14" t="str">
        <f aca="false">IF($D332=1,INDEX(TblClusters[vCPU par nœud],$B332),"")</f>
        <v/>
      </c>
      <c r="I332" s="14" t="str">
        <f aca="false">IF($D332=1,INDEX(TblClusters[RAM par nœud (Go)],$B332),"")</f>
        <v/>
      </c>
      <c r="J332" s="14" t="str">
        <f aca="false">IF($D332=1,INDEX(TblClusters[Workers min],$B332),"")</f>
        <v/>
      </c>
      <c r="K332" s="84" t="str">
        <f aca="false">IF($D332=1,INDEX(TblClusters[Tarif par nœud],$B332),"")</f>
        <v/>
      </c>
      <c r="L332" s="14" t="str">
        <f aca="false">IF($D332=1,INDEX(TblClusters[CPU initial (vCPU)],$B332),"")</f>
        <v/>
      </c>
      <c r="M332" s="14" t="str">
        <f aca="false">IF($D332=1,INDEX(TblClusters[RAM initiale (Go)],$B332),"")</f>
        <v/>
      </c>
      <c r="N332" s="14" t="str">
        <f aca="false">IF($D332=1,INDEX(TblClusters[CPU min (vCPU)],$B332),"")</f>
        <v/>
      </c>
      <c r="O332" s="14" t="str">
        <f aca="false">IF($D332=1,INDEX(TblClusters[RAM min (Go)],$B332),"")</f>
        <v/>
      </c>
      <c r="P332" s="14" t="str">
        <f aca="false">IF($D332&lt;&gt;1,"",IF($G332="ROKS",SUMIFS(TblApplications[Besoin ROKS CPU (vCPU)],TblApplications[Cluster ROKS cible],$F332,TblApplications[Action],"À migrer",TblApplications[Déjà incluse ROKS],"Non",TblApplications[Mois prov (calc)],"&lt;="&amp;$E332),SUMIFS(TblApplications[CPU IKS libérable (vCPU)],TblApplications[Cluster IKS source],$F332,TblApplications[Mois lib (calc)],"&lt;="&amp;$E332)))</f>
        <v/>
      </c>
      <c r="Q332" s="14" t="str">
        <f aca="false">IF($D332&lt;&gt;1,"",IF($G332="ROKS",SUMIFS(TblApplications[Besoin ROKS RAM (Go)],TblApplications[Cluster ROKS cible],$F332,TblApplications[Action],"À migrer",TblApplications[Déjà incluse ROKS],"Non",TblApplications[Mois prov (calc)],"&lt;="&amp;$E332),SUMIFS(TblApplications[RAM IKS libérable (Go)],TblApplications[Cluster IKS source],$F332,TblApplications[Mois lib (calc)],"&lt;="&amp;$E332)))</f>
        <v/>
      </c>
      <c r="R332" s="14" t="str">
        <f aca="false">IF($D332&lt;&gt;1,"",IF($G332="ROKS",$L332+$P332,IF($AI332=1,0,MAX($N332,$L332-$P332))))</f>
        <v/>
      </c>
      <c r="S332" s="14" t="str">
        <f aca="false">IF($D332&lt;&gt;1,"",IF($G332="ROKS",$M332+$Q332,IF($AI332=1,0,MAX($O332,$M332-$Q332))))</f>
        <v/>
      </c>
      <c r="T332" s="14" t="str">
        <f aca="false">IF($D332&lt;&gt;1,"",IF($AI332=1,0,MAX($J332,ROUNDUP(MAX($R332/$H332,$S332/$I332),0))))</f>
        <v/>
      </c>
      <c r="U332" s="14" t="str">
        <f aca="false">IF($D332&lt;&gt;1,"",IF(p_mode="Nœud",$T332*$H332,$R332))</f>
        <v/>
      </c>
      <c r="V332" s="14" t="str">
        <f aca="false">IF($D332&lt;&gt;1,"",IF(p_mode="Nœud",$T332*$I332,$S332))</f>
        <v/>
      </c>
      <c r="W332" s="84" t="str">
        <f aca="false">IF($D332&lt;&gt;1,"",IF(p_mode="Nœud",$T332*$K332,$R332*IF($G332="IKS",p_iks_cpu,p_roks_cpu)+$S332*IF($G332="IKS",p_iks_ram,p_roks_ram))*p_facteur)</f>
        <v/>
      </c>
      <c r="X332" s="14" t="str">
        <f aca="false">IF($D332&lt;&gt;1,"",IF($G332="ROKS",$R332,IF($AI332=1,0,MAX($N332,$L332-SUMIFS(TblApplications[CPU IKS libérable (vCPU)],TblApplications[Cluster IKS source],$F332,TblApplications[Action],"À migrer",TblApplications[Mois prov (calc)],"&lt;="&amp;$E332)-SUMIFS(TblApplications[CPU IKS libérable (vCPU)],TblApplications[Cluster IKS source],$F332,TblApplications[Action],"À décommissionner",TblApplications[Mois lib (calc)],"&lt;="&amp;$E332)))))</f>
        <v/>
      </c>
      <c r="Y332" s="14" t="str">
        <f aca="false">IF($D332&lt;&gt;1,"",IF($G332="ROKS",$S332,IF($AI332=1,0,MAX($O332,$M332-SUMIFS(TblApplications[RAM IKS libérable (Go)],TblApplications[Cluster IKS source],$F332,TblApplications[Action],"À migrer",TblApplications[Mois prov (calc)],"&lt;="&amp;$E332)-SUMIFS(TblApplications[RAM IKS libérable (Go)],TblApplications[Cluster IKS source],$F332,TblApplications[Action],"À décommissionner",TblApplications[Mois lib (calc)],"&lt;="&amp;$E332)))))</f>
        <v/>
      </c>
      <c r="Z332" s="14" t="str">
        <f aca="false">IF($D332&lt;&gt;1,"",IF($AI332=1,0,MAX($J332,ROUNDUP(MAX($X332/$H332,$Y332/$I332),0))))</f>
        <v/>
      </c>
      <c r="AA332" s="84" t="str">
        <f aca="false">IF($D332&lt;&gt;1,"",IF(p_mode="Nœud",$Z332*$K332,$X332*IF($G332="IKS",p_iks_cpu,p_roks_cpu)+$Y332*IF($G332="IKS",p_iks_ram,p_roks_ram))*p_facteur)</f>
        <v/>
      </c>
      <c r="AB332" s="14" t="str">
        <f aca="false">IF($D332&lt;&gt;1,"",MAX($J332,ROUNDUP(MAX($L332/$H332,$M332/$I332),0)))</f>
        <v/>
      </c>
      <c r="AC332" s="84" t="str">
        <f aca="false">IF($D332&lt;&gt;1,"",IF(p_mode="Nœud",$AB332*$K332,$L332*IF($G332="IKS",p_iks_cpu,p_roks_cpu)+$M332*IF($G332="IKS",p_iks_ram,p_roks_ram))*p_facteur)</f>
        <v/>
      </c>
      <c r="AD332" s="14" t="str">
        <f aca="false">IF($D332&lt;&gt;1,"",IF(AND($G332="IKS",$AI332&lt;&gt;1,OR($L332-$P332&lt;$N332,$M332-$Q332&lt;$O332)),1,0))</f>
        <v/>
      </c>
      <c r="AE332" s="14" t="str">
        <f aca="false">IF($D332&lt;&gt;1,"",IF(AND($G332="ROKS",$T332&gt;p_maxworkers),1,0))</f>
        <v/>
      </c>
      <c r="AF332" s="14" t="str">
        <f aca="false">IF($D332&lt;&gt;1,"",IF(INDEX(TblClusters[Environnement],$B332)="","(vide)",INDEX(TblClusters[Environnement],$B332)))</f>
        <v/>
      </c>
      <c r="AG332" s="14" t="str">
        <f aca="false">IF($D332&lt;&gt;1,"",$R332+p_poidsram*$S332)</f>
        <v/>
      </c>
      <c r="AH332" s="14" t="str">
        <f aca="false">IF($D332&lt;&gt;1,"",IFERROR($W332/$AG332,0))</f>
        <v/>
      </c>
      <c r="AI332" s="14" t="str">
        <f aca="false">IF($D332&lt;&gt;1,"",IF(AND($G332="IKS",ISNUMBER(INDEX(TblClusters[Fermeture retenue],$B332))),IF($E332&gt;=INDEX(TblClusters[Fermeture retenue],$B332),1,0),0))</f>
        <v/>
      </c>
    </row>
    <row r="333" customFormat="false" ht="15" hidden="false" customHeight="false" outlineLevel="0" collapsed="false">
      <c r="A333" s="14" t="n">
        <v>328</v>
      </c>
      <c r="B333" s="14" t="n">
        <f aca="false">INT(($A333-1)/36)+1</f>
        <v>10</v>
      </c>
      <c r="C333" s="14" t="n">
        <f aca="false">MOD($A333-1,36)+1</f>
        <v>4</v>
      </c>
      <c r="D333" s="14" t="n">
        <f aca="false">IF($C333&gt;p_horizon,0,IFERROR(IF(AND(INDEX(TblClusters[Cluster],$B333)&lt;&gt;"",ISNUMBER(INDEX(TblClusters[CPU initial (vCPU)],$B333)),ISNUMBER(INDEX(TblClusters[CPU min (vCPU)],$B333)),OR(INDEX(TblClusters[Plateforme],$B333)="IKS",INDEX(TblClusters[Plateforme],$B333)="ROKS")),1,0),0))</f>
        <v>0</v>
      </c>
      <c r="E333" s="83" t="str">
        <f aca="false">IF($D333=1,EDATE(p_debut,$C333-1),"")</f>
        <v/>
      </c>
      <c r="F333" s="14" t="str">
        <f aca="false">IF($D333=1,INDEX(TblClusters[Cluster],$B333),"")</f>
        <v/>
      </c>
      <c r="G333" s="14" t="str">
        <f aca="false">IF($D333=1,INDEX(TblClusters[Plateforme],$B333),"")</f>
        <v/>
      </c>
      <c r="H333" s="14" t="str">
        <f aca="false">IF($D333=1,INDEX(TblClusters[vCPU par nœud],$B333),"")</f>
        <v/>
      </c>
      <c r="I333" s="14" t="str">
        <f aca="false">IF($D333=1,INDEX(TblClusters[RAM par nœud (Go)],$B333),"")</f>
        <v/>
      </c>
      <c r="J333" s="14" t="str">
        <f aca="false">IF($D333=1,INDEX(TblClusters[Workers min],$B333),"")</f>
        <v/>
      </c>
      <c r="K333" s="84" t="str">
        <f aca="false">IF($D333=1,INDEX(TblClusters[Tarif par nœud],$B333),"")</f>
        <v/>
      </c>
      <c r="L333" s="14" t="str">
        <f aca="false">IF($D333=1,INDEX(TblClusters[CPU initial (vCPU)],$B333),"")</f>
        <v/>
      </c>
      <c r="M333" s="14" t="str">
        <f aca="false">IF($D333=1,INDEX(TblClusters[RAM initiale (Go)],$B333),"")</f>
        <v/>
      </c>
      <c r="N333" s="14" t="str">
        <f aca="false">IF($D333=1,INDEX(TblClusters[CPU min (vCPU)],$B333),"")</f>
        <v/>
      </c>
      <c r="O333" s="14" t="str">
        <f aca="false">IF($D333=1,INDEX(TblClusters[RAM min (Go)],$B333),"")</f>
        <v/>
      </c>
      <c r="P333" s="14" t="str">
        <f aca="false">IF($D333&lt;&gt;1,"",IF($G333="ROKS",SUMIFS(TblApplications[Besoin ROKS CPU (vCPU)],TblApplications[Cluster ROKS cible],$F333,TblApplications[Action],"À migrer",TblApplications[Déjà incluse ROKS],"Non",TblApplications[Mois prov (calc)],"&lt;="&amp;$E333),SUMIFS(TblApplications[CPU IKS libérable (vCPU)],TblApplications[Cluster IKS source],$F333,TblApplications[Mois lib (calc)],"&lt;="&amp;$E333)))</f>
        <v/>
      </c>
      <c r="Q333" s="14" t="str">
        <f aca="false">IF($D333&lt;&gt;1,"",IF($G333="ROKS",SUMIFS(TblApplications[Besoin ROKS RAM (Go)],TblApplications[Cluster ROKS cible],$F333,TblApplications[Action],"À migrer",TblApplications[Déjà incluse ROKS],"Non",TblApplications[Mois prov (calc)],"&lt;="&amp;$E333),SUMIFS(TblApplications[RAM IKS libérable (Go)],TblApplications[Cluster IKS source],$F333,TblApplications[Mois lib (calc)],"&lt;="&amp;$E333)))</f>
        <v/>
      </c>
      <c r="R333" s="14" t="str">
        <f aca="false">IF($D333&lt;&gt;1,"",IF($G333="ROKS",$L333+$P333,IF($AI333=1,0,MAX($N333,$L333-$P333))))</f>
        <v/>
      </c>
      <c r="S333" s="14" t="str">
        <f aca="false">IF($D333&lt;&gt;1,"",IF($G333="ROKS",$M333+$Q333,IF($AI333=1,0,MAX($O333,$M333-$Q333))))</f>
        <v/>
      </c>
      <c r="T333" s="14" t="str">
        <f aca="false">IF($D333&lt;&gt;1,"",IF($AI333=1,0,MAX($J333,ROUNDUP(MAX($R333/$H333,$S333/$I333),0))))</f>
        <v/>
      </c>
      <c r="U333" s="14" t="str">
        <f aca="false">IF($D333&lt;&gt;1,"",IF(p_mode="Nœud",$T333*$H333,$R333))</f>
        <v/>
      </c>
      <c r="V333" s="14" t="str">
        <f aca="false">IF($D333&lt;&gt;1,"",IF(p_mode="Nœud",$T333*$I333,$S333))</f>
        <v/>
      </c>
      <c r="W333" s="84" t="str">
        <f aca="false">IF($D333&lt;&gt;1,"",IF(p_mode="Nœud",$T333*$K333,$R333*IF($G333="IKS",p_iks_cpu,p_roks_cpu)+$S333*IF($G333="IKS",p_iks_ram,p_roks_ram))*p_facteur)</f>
        <v/>
      </c>
      <c r="X333" s="14" t="str">
        <f aca="false">IF($D333&lt;&gt;1,"",IF($G333="ROKS",$R333,IF($AI333=1,0,MAX($N333,$L333-SUMIFS(TblApplications[CPU IKS libérable (vCPU)],TblApplications[Cluster IKS source],$F333,TblApplications[Action],"À migrer",TblApplications[Mois prov (calc)],"&lt;="&amp;$E333)-SUMIFS(TblApplications[CPU IKS libérable (vCPU)],TblApplications[Cluster IKS source],$F333,TblApplications[Action],"À décommissionner",TblApplications[Mois lib (calc)],"&lt;="&amp;$E333)))))</f>
        <v/>
      </c>
      <c r="Y333" s="14" t="str">
        <f aca="false">IF($D333&lt;&gt;1,"",IF($G333="ROKS",$S333,IF($AI333=1,0,MAX($O333,$M333-SUMIFS(TblApplications[RAM IKS libérable (Go)],TblApplications[Cluster IKS source],$F333,TblApplications[Action],"À migrer",TblApplications[Mois prov (calc)],"&lt;="&amp;$E333)-SUMIFS(TblApplications[RAM IKS libérable (Go)],TblApplications[Cluster IKS source],$F333,TblApplications[Action],"À décommissionner",TblApplications[Mois lib (calc)],"&lt;="&amp;$E333)))))</f>
        <v/>
      </c>
      <c r="Z333" s="14" t="str">
        <f aca="false">IF($D333&lt;&gt;1,"",IF($AI333=1,0,MAX($J333,ROUNDUP(MAX($X333/$H333,$Y333/$I333),0))))</f>
        <v/>
      </c>
      <c r="AA333" s="84" t="str">
        <f aca="false">IF($D333&lt;&gt;1,"",IF(p_mode="Nœud",$Z333*$K333,$X333*IF($G333="IKS",p_iks_cpu,p_roks_cpu)+$Y333*IF($G333="IKS",p_iks_ram,p_roks_ram))*p_facteur)</f>
        <v/>
      </c>
      <c r="AB333" s="14" t="str">
        <f aca="false">IF($D333&lt;&gt;1,"",MAX($J333,ROUNDUP(MAX($L333/$H333,$M333/$I333),0)))</f>
        <v/>
      </c>
      <c r="AC333" s="84" t="str">
        <f aca="false">IF($D333&lt;&gt;1,"",IF(p_mode="Nœud",$AB333*$K333,$L333*IF($G333="IKS",p_iks_cpu,p_roks_cpu)+$M333*IF($G333="IKS",p_iks_ram,p_roks_ram))*p_facteur)</f>
        <v/>
      </c>
      <c r="AD333" s="14" t="str">
        <f aca="false">IF($D333&lt;&gt;1,"",IF(AND($G333="IKS",$AI333&lt;&gt;1,OR($L333-$P333&lt;$N333,$M333-$Q333&lt;$O333)),1,0))</f>
        <v/>
      </c>
      <c r="AE333" s="14" t="str">
        <f aca="false">IF($D333&lt;&gt;1,"",IF(AND($G333="ROKS",$T333&gt;p_maxworkers),1,0))</f>
        <v/>
      </c>
      <c r="AF333" s="14" t="str">
        <f aca="false">IF($D333&lt;&gt;1,"",IF(INDEX(TblClusters[Environnement],$B333)="","(vide)",INDEX(TblClusters[Environnement],$B333)))</f>
        <v/>
      </c>
      <c r="AG333" s="14" t="str">
        <f aca="false">IF($D333&lt;&gt;1,"",$R333+p_poidsram*$S333)</f>
        <v/>
      </c>
      <c r="AH333" s="14" t="str">
        <f aca="false">IF($D333&lt;&gt;1,"",IFERROR($W333/$AG333,0))</f>
        <v/>
      </c>
      <c r="AI333" s="14" t="str">
        <f aca="false">IF($D333&lt;&gt;1,"",IF(AND($G333="IKS",ISNUMBER(INDEX(TblClusters[Fermeture retenue],$B333))),IF($E333&gt;=INDEX(TblClusters[Fermeture retenue],$B333),1,0),0))</f>
        <v/>
      </c>
    </row>
    <row r="334" customFormat="false" ht="15" hidden="false" customHeight="false" outlineLevel="0" collapsed="false">
      <c r="A334" s="14" t="n">
        <v>329</v>
      </c>
      <c r="B334" s="14" t="n">
        <f aca="false">INT(($A334-1)/36)+1</f>
        <v>10</v>
      </c>
      <c r="C334" s="14" t="n">
        <f aca="false">MOD($A334-1,36)+1</f>
        <v>5</v>
      </c>
      <c r="D334" s="14" t="n">
        <f aca="false">IF($C334&gt;p_horizon,0,IFERROR(IF(AND(INDEX(TblClusters[Cluster],$B334)&lt;&gt;"",ISNUMBER(INDEX(TblClusters[CPU initial (vCPU)],$B334)),ISNUMBER(INDEX(TblClusters[CPU min (vCPU)],$B334)),OR(INDEX(TblClusters[Plateforme],$B334)="IKS",INDEX(TblClusters[Plateforme],$B334)="ROKS")),1,0),0))</f>
        <v>0</v>
      </c>
      <c r="E334" s="83" t="str">
        <f aca="false">IF($D334=1,EDATE(p_debut,$C334-1),"")</f>
        <v/>
      </c>
      <c r="F334" s="14" t="str">
        <f aca="false">IF($D334=1,INDEX(TblClusters[Cluster],$B334),"")</f>
        <v/>
      </c>
      <c r="G334" s="14" t="str">
        <f aca="false">IF($D334=1,INDEX(TblClusters[Plateforme],$B334),"")</f>
        <v/>
      </c>
      <c r="H334" s="14" t="str">
        <f aca="false">IF($D334=1,INDEX(TblClusters[vCPU par nœud],$B334),"")</f>
        <v/>
      </c>
      <c r="I334" s="14" t="str">
        <f aca="false">IF($D334=1,INDEX(TblClusters[RAM par nœud (Go)],$B334),"")</f>
        <v/>
      </c>
      <c r="J334" s="14" t="str">
        <f aca="false">IF($D334=1,INDEX(TblClusters[Workers min],$B334),"")</f>
        <v/>
      </c>
      <c r="K334" s="84" t="str">
        <f aca="false">IF($D334=1,INDEX(TblClusters[Tarif par nœud],$B334),"")</f>
        <v/>
      </c>
      <c r="L334" s="14" t="str">
        <f aca="false">IF($D334=1,INDEX(TblClusters[CPU initial (vCPU)],$B334),"")</f>
        <v/>
      </c>
      <c r="M334" s="14" t="str">
        <f aca="false">IF($D334=1,INDEX(TblClusters[RAM initiale (Go)],$B334),"")</f>
        <v/>
      </c>
      <c r="N334" s="14" t="str">
        <f aca="false">IF($D334=1,INDEX(TblClusters[CPU min (vCPU)],$B334),"")</f>
        <v/>
      </c>
      <c r="O334" s="14" t="str">
        <f aca="false">IF($D334=1,INDEX(TblClusters[RAM min (Go)],$B334),"")</f>
        <v/>
      </c>
      <c r="P334" s="14" t="str">
        <f aca="false">IF($D334&lt;&gt;1,"",IF($G334="ROKS",SUMIFS(TblApplications[Besoin ROKS CPU (vCPU)],TblApplications[Cluster ROKS cible],$F334,TblApplications[Action],"À migrer",TblApplications[Déjà incluse ROKS],"Non",TblApplications[Mois prov (calc)],"&lt;="&amp;$E334),SUMIFS(TblApplications[CPU IKS libérable (vCPU)],TblApplications[Cluster IKS source],$F334,TblApplications[Mois lib (calc)],"&lt;="&amp;$E334)))</f>
        <v/>
      </c>
      <c r="Q334" s="14" t="str">
        <f aca="false">IF($D334&lt;&gt;1,"",IF($G334="ROKS",SUMIFS(TblApplications[Besoin ROKS RAM (Go)],TblApplications[Cluster ROKS cible],$F334,TblApplications[Action],"À migrer",TblApplications[Déjà incluse ROKS],"Non",TblApplications[Mois prov (calc)],"&lt;="&amp;$E334),SUMIFS(TblApplications[RAM IKS libérable (Go)],TblApplications[Cluster IKS source],$F334,TblApplications[Mois lib (calc)],"&lt;="&amp;$E334)))</f>
        <v/>
      </c>
      <c r="R334" s="14" t="str">
        <f aca="false">IF($D334&lt;&gt;1,"",IF($G334="ROKS",$L334+$P334,IF($AI334=1,0,MAX($N334,$L334-$P334))))</f>
        <v/>
      </c>
      <c r="S334" s="14" t="str">
        <f aca="false">IF($D334&lt;&gt;1,"",IF($G334="ROKS",$M334+$Q334,IF($AI334=1,0,MAX($O334,$M334-$Q334))))</f>
        <v/>
      </c>
      <c r="T334" s="14" t="str">
        <f aca="false">IF($D334&lt;&gt;1,"",IF($AI334=1,0,MAX($J334,ROUNDUP(MAX($R334/$H334,$S334/$I334),0))))</f>
        <v/>
      </c>
      <c r="U334" s="14" t="str">
        <f aca="false">IF($D334&lt;&gt;1,"",IF(p_mode="Nœud",$T334*$H334,$R334))</f>
        <v/>
      </c>
      <c r="V334" s="14" t="str">
        <f aca="false">IF($D334&lt;&gt;1,"",IF(p_mode="Nœud",$T334*$I334,$S334))</f>
        <v/>
      </c>
      <c r="W334" s="84" t="str">
        <f aca="false">IF($D334&lt;&gt;1,"",IF(p_mode="Nœud",$T334*$K334,$R334*IF($G334="IKS",p_iks_cpu,p_roks_cpu)+$S334*IF($G334="IKS",p_iks_ram,p_roks_ram))*p_facteur)</f>
        <v/>
      </c>
      <c r="X334" s="14" t="str">
        <f aca="false">IF($D334&lt;&gt;1,"",IF($G334="ROKS",$R334,IF($AI334=1,0,MAX($N334,$L334-SUMIFS(TblApplications[CPU IKS libérable (vCPU)],TblApplications[Cluster IKS source],$F334,TblApplications[Action],"À migrer",TblApplications[Mois prov (calc)],"&lt;="&amp;$E334)-SUMIFS(TblApplications[CPU IKS libérable (vCPU)],TblApplications[Cluster IKS source],$F334,TblApplications[Action],"À décommissionner",TblApplications[Mois lib (calc)],"&lt;="&amp;$E334)))))</f>
        <v/>
      </c>
      <c r="Y334" s="14" t="str">
        <f aca="false">IF($D334&lt;&gt;1,"",IF($G334="ROKS",$S334,IF($AI334=1,0,MAX($O334,$M334-SUMIFS(TblApplications[RAM IKS libérable (Go)],TblApplications[Cluster IKS source],$F334,TblApplications[Action],"À migrer",TblApplications[Mois prov (calc)],"&lt;="&amp;$E334)-SUMIFS(TblApplications[RAM IKS libérable (Go)],TblApplications[Cluster IKS source],$F334,TblApplications[Action],"À décommissionner",TblApplications[Mois lib (calc)],"&lt;="&amp;$E334)))))</f>
        <v/>
      </c>
      <c r="Z334" s="14" t="str">
        <f aca="false">IF($D334&lt;&gt;1,"",IF($AI334=1,0,MAX($J334,ROUNDUP(MAX($X334/$H334,$Y334/$I334),0))))</f>
        <v/>
      </c>
      <c r="AA334" s="84" t="str">
        <f aca="false">IF($D334&lt;&gt;1,"",IF(p_mode="Nœud",$Z334*$K334,$X334*IF($G334="IKS",p_iks_cpu,p_roks_cpu)+$Y334*IF($G334="IKS",p_iks_ram,p_roks_ram))*p_facteur)</f>
        <v/>
      </c>
      <c r="AB334" s="14" t="str">
        <f aca="false">IF($D334&lt;&gt;1,"",MAX($J334,ROUNDUP(MAX($L334/$H334,$M334/$I334),0)))</f>
        <v/>
      </c>
      <c r="AC334" s="84" t="str">
        <f aca="false">IF($D334&lt;&gt;1,"",IF(p_mode="Nœud",$AB334*$K334,$L334*IF($G334="IKS",p_iks_cpu,p_roks_cpu)+$M334*IF($G334="IKS",p_iks_ram,p_roks_ram))*p_facteur)</f>
        <v/>
      </c>
      <c r="AD334" s="14" t="str">
        <f aca="false">IF($D334&lt;&gt;1,"",IF(AND($G334="IKS",$AI334&lt;&gt;1,OR($L334-$P334&lt;$N334,$M334-$Q334&lt;$O334)),1,0))</f>
        <v/>
      </c>
      <c r="AE334" s="14" t="str">
        <f aca="false">IF($D334&lt;&gt;1,"",IF(AND($G334="ROKS",$T334&gt;p_maxworkers),1,0))</f>
        <v/>
      </c>
      <c r="AF334" s="14" t="str">
        <f aca="false">IF($D334&lt;&gt;1,"",IF(INDEX(TblClusters[Environnement],$B334)="","(vide)",INDEX(TblClusters[Environnement],$B334)))</f>
        <v/>
      </c>
      <c r="AG334" s="14" t="str">
        <f aca="false">IF($D334&lt;&gt;1,"",$R334+p_poidsram*$S334)</f>
        <v/>
      </c>
      <c r="AH334" s="14" t="str">
        <f aca="false">IF($D334&lt;&gt;1,"",IFERROR($W334/$AG334,0))</f>
        <v/>
      </c>
      <c r="AI334" s="14" t="str">
        <f aca="false">IF($D334&lt;&gt;1,"",IF(AND($G334="IKS",ISNUMBER(INDEX(TblClusters[Fermeture retenue],$B334))),IF($E334&gt;=INDEX(TblClusters[Fermeture retenue],$B334),1,0),0))</f>
        <v/>
      </c>
    </row>
    <row r="335" customFormat="false" ht="15" hidden="false" customHeight="false" outlineLevel="0" collapsed="false">
      <c r="A335" s="14" t="n">
        <v>330</v>
      </c>
      <c r="B335" s="14" t="n">
        <f aca="false">INT(($A335-1)/36)+1</f>
        <v>10</v>
      </c>
      <c r="C335" s="14" t="n">
        <f aca="false">MOD($A335-1,36)+1</f>
        <v>6</v>
      </c>
      <c r="D335" s="14" t="n">
        <f aca="false">IF($C335&gt;p_horizon,0,IFERROR(IF(AND(INDEX(TblClusters[Cluster],$B335)&lt;&gt;"",ISNUMBER(INDEX(TblClusters[CPU initial (vCPU)],$B335)),ISNUMBER(INDEX(TblClusters[CPU min (vCPU)],$B335)),OR(INDEX(TblClusters[Plateforme],$B335)="IKS",INDEX(TblClusters[Plateforme],$B335)="ROKS")),1,0),0))</f>
        <v>0</v>
      </c>
      <c r="E335" s="83" t="str">
        <f aca="false">IF($D335=1,EDATE(p_debut,$C335-1),"")</f>
        <v/>
      </c>
      <c r="F335" s="14" t="str">
        <f aca="false">IF($D335=1,INDEX(TblClusters[Cluster],$B335),"")</f>
        <v/>
      </c>
      <c r="G335" s="14" t="str">
        <f aca="false">IF($D335=1,INDEX(TblClusters[Plateforme],$B335),"")</f>
        <v/>
      </c>
      <c r="H335" s="14" t="str">
        <f aca="false">IF($D335=1,INDEX(TblClusters[vCPU par nœud],$B335),"")</f>
        <v/>
      </c>
      <c r="I335" s="14" t="str">
        <f aca="false">IF($D335=1,INDEX(TblClusters[RAM par nœud (Go)],$B335),"")</f>
        <v/>
      </c>
      <c r="J335" s="14" t="str">
        <f aca="false">IF($D335=1,INDEX(TblClusters[Workers min],$B335),"")</f>
        <v/>
      </c>
      <c r="K335" s="84" t="str">
        <f aca="false">IF($D335=1,INDEX(TblClusters[Tarif par nœud],$B335),"")</f>
        <v/>
      </c>
      <c r="L335" s="14" t="str">
        <f aca="false">IF($D335=1,INDEX(TblClusters[CPU initial (vCPU)],$B335),"")</f>
        <v/>
      </c>
      <c r="M335" s="14" t="str">
        <f aca="false">IF($D335=1,INDEX(TblClusters[RAM initiale (Go)],$B335),"")</f>
        <v/>
      </c>
      <c r="N335" s="14" t="str">
        <f aca="false">IF($D335=1,INDEX(TblClusters[CPU min (vCPU)],$B335),"")</f>
        <v/>
      </c>
      <c r="O335" s="14" t="str">
        <f aca="false">IF($D335=1,INDEX(TblClusters[RAM min (Go)],$B335),"")</f>
        <v/>
      </c>
      <c r="P335" s="14" t="str">
        <f aca="false">IF($D335&lt;&gt;1,"",IF($G335="ROKS",SUMIFS(TblApplications[Besoin ROKS CPU (vCPU)],TblApplications[Cluster ROKS cible],$F335,TblApplications[Action],"À migrer",TblApplications[Déjà incluse ROKS],"Non",TblApplications[Mois prov (calc)],"&lt;="&amp;$E335),SUMIFS(TblApplications[CPU IKS libérable (vCPU)],TblApplications[Cluster IKS source],$F335,TblApplications[Mois lib (calc)],"&lt;="&amp;$E335)))</f>
        <v/>
      </c>
      <c r="Q335" s="14" t="str">
        <f aca="false">IF($D335&lt;&gt;1,"",IF($G335="ROKS",SUMIFS(TblApplications[Besoin ROKS RAM (Go)],TblApplications[Cluster ROKS cible],$F335,TblApplications[Action],"À migrer",TblApplications[Déjà incluse ROKS],"Non",TblApplications[Mois prov (calc)],"&lt;="&amp;$E335),SUMIFS(TblApplications[RAM IKS libérable (Go)],TblApplications[Cluster IKS source],$F335,TblApplications[Mois lib (calc)],"&lt;="&amp;$E335)))</f>
        <v/>
      </c>
      <c r="R335" s="14" t="str">
        <f aca="false">IF($D335&lt;&gt;1,"",IF($G335="ROKS",$L335+$P335,IF($AI335=1,0,MAX($N335,$L335-$P335))))</f>
        <v/>
      </c>
      <c r="S335" s="14" t="str">
        <f aca="false">IF($D335&lt;&gt;1,"",IF($G335="ROKS",$M335+$Q335,IF($AI335=1,0,MAX($O335,$M335-$Q335))))</f>
        <v/>
      </c>
      <c r="T335" s="14" t="str">
        <f aca="false">IF($D335&lt;&gt;1,"",IF($AI335=1,0,MAX($J335,ROUNDUP(MAX($R335/$H335,$S335/$I335),0))))</f>
        <v/>
      </c>
      <c r="U335" s="14" t="str">
        <f aca="false">IF($D335&lt;&gt;1,"",IF(p_mode="Nœud",$T335*$H335,$R335))</f>
        <v/>
      </c>
      <c r="V335" s="14" t="str">
        <f aca="false">IF($D335&lt;&gt;1,"",IF(p_mode="Nœud",$T335*$I335,$S335))</f>
        <v/>
      </c>
      <c r="W335" s="84" t="str">
        <f aca="false">IF($D335&lt;&gt;1,"",IF(p_mode="Nœud",$T335*$K335,$R335*IF($G335="IKS",p_iks_cpu,p_roks_cpu)+$S335*IF($G335="IKS",p_iks_ram,p_roks_ram))*p_facteur)</f>
        <v/>
      </c>
      <c r="X335" s="14" t="str">
        <f aca="false">IF($D335&lt;&gt;1,"",IF($G335="ROKS",$R335,IF($AI335=1,0,MAX($N335,$L335-SUMIFS(TblApplications[CPU IKS libérable (vCPU)],TblApplications[Cluster IKS source],$F335,TblApplications[Action],"À migrer",TblApplications[Mois prov (calc)],"&lt;="&amp;$E335)-SUMIFS(TblApplications[CPU IKS libérable (vCPU)],TblApplications[Cluster IKS source],$F335,TblApplications[Action],"À décommissionner",TblApplications[Mois lib (calc)],"&lt;="&amp;$E335)))))</f>
        <v/>
      </c>
      <c r="Y335" s="14" t="str">
        <f aca="false">IF($D335&lt;&gt;1,"",IF($G335="ROKS",$S335,IF($AI335=1,0,MAX($O335,$M335-SUMIFS(TblApplications[RAM IKS libérable (Go)],TblApplications[Cluster IKS source],$F335,TblApplications[Action],"À migrer",TblApplications[Mois prov (calc)],"&lt;="&amp;$E335)-SUMIFS(TblApplications[RAM IKS libérable (Go)],TblApplications[Cluster IKS source],$F335,TblApplications[Action],"À décommissionner",TblApplications[Mois lib (calc)],"&lt;="&amp;$E335)))))</f>
        <v/>
      </c>
      <c r="Z335" s="14" t="str">
        <f aca="false">IF($D335&lt;&gt;1,"",IF($AI335=1,0,MAX($J335,ROUNDUP(MAX($X335/$H335,$Y335/$I335),0))))</f>
        <v/>
      </c>
      <c r="AA335" s="84" t="str">
        <f aca="false">IF($D335&lt;&gt;1,"",IF(p_mode="Nœud",$Z335*$K335,$X335*IF($G335="IKS",p_iks_cpu,p_roks_cpu)+$Y335*IF($G335="IKS",p_iks_ram,p_roks_ram))*p_facteur)</f>
        <v/>
      </c>
      <c r="AB335" s="14" t="str">
        <f aca="false">IF($D335&lt;&gt;1,"",MAX($J335,ROUNDUP(MAX($L335/$H335,$M335/$I335),0)))</f>
        <v/>
      </c>
      <c r="AC335" s="84" t="str">
        <f aca="false">IF($D335&lt;&gt;1,"",IF(p_mode="Nœud",$AB335*$K335,$L335*IF($G335="IKS",p_iks_cpu,p_roks_cpu)+$M335*IF($G335="IKS",p_iks_ram,p_roks_ram))*p_facteur)</f>
        <v/>
      </c>
      <c r="AD335" s="14" t="str">
        <f aca="false">IF($D335&lt;&gt;1,"",IF(AND($G335="IKS",$AI335&lt;&gt;1,OR($L335-$P335&lt;$N335,$M335-$Q335&lt;$O335)),1,0))</f>
        <v/>
      </c>
      <c r="AE335" s="14" t="str">
        <f aca="false">IF($D335&lt;&gt;1,"",IF(AND($G335="ROKS",$T335&gt;p_maxworkers),1,0))</f>
        <v/>
      </c>
      <c r="AF335" s="14" t="str">
        <f aca="false">IF($D335&lt;&gt;1,"",IF(INDEX(TblClusters[Environnement],$B335)="","(vide)",INDEX(TblClusters[Environnement],$B335)))</f>
        <v/>
      </c>
      <c r="AG335" s="14" t="str">
        <f aca="false">IF($D335&lt;&gt;1,"",$R335+p_poidsram*$S335)</f>
        <v/>
      </c>
      <c r="AH335" s="14" t="str">
        <f aca="false">IF($D335&lt;&gt;1,"",IFERROR($W335/$AG335,0))</f>
        <v/>
      </c>
      <c r="AI335" s="14" t="str">
        <f aca="false">IF($D335&lt;&gt;1,"",IF(AND($G335="IKS",ISNUMBER(INDEX(TblClusters[Fermeture retenue],$B335))),IF($E335&gt;=INDEX(TblClusters[Fermeture retenue],$B335),1,0),0))</f>
        <v/>
      </c>
    </row>
    <row r="336" customFormat="false" ht="15" hidden="false" customHeight="false" outlineLevel="0" collapsed="false">
      <c r="A336" s="14" t="n">
        <v>331</v>
      </c>
      <c r="B336" s="14" t="n">
        <f aca="false">INT(($A336-1)/36)+1</f>
        <v>10</v>
      </c>
      <c r="C336" s="14" t="n">
        <f aca="false">MOD($A336-1,36)+1</f>
        <v>7</v>
      </c>
      <c r="D336" s="14" t="n">
        <f aca="false">IF($C336&gt;p_horizon,0,IFERROR(IF(AND(INDEX(TblClusters[Cluster],$B336)&lt;&gt;"",ISNUMBER(INDEX(TblClusters[CPU initial (vCPU)],$B336)),ISNUMBER(INDEX(TblClusters[CPU min (vCPU)],$B336)),OR(INDEX(TblClusters[Plateforme],$B336)="IKS",INDEX(TblClusters[Plateforme],$B336)="ROKS")),1,0),0))</f>
        <v>0</v>
      </c>
      <c r="E336" s="83" t="str">
        <f aca="false">IF($D336=1,EDATE(p_debut,$C336-1),"")</f>
        <v/>
      </c>
      <c r="F336" s="14" t="str">
        <f aca="false">IF($D336=1,INDEX(TblClusters[Cluster],$B336),"")</f>
        <v/>
      </c>
      <c r="G336" s="14" t="str">
        <f aca="false">IF($D336=1,INDEX(TblClusters[Plateforme],$B336),"")</f>
        <v/>
      </c>
      <c r="H336" s="14" t="str">
        <f aca="false">IF($D336=1,INDEX(TblClusters[vCPU par nœud],$B336),"")</f>
        <v/>
      </c>
      <c r="I336" s="14" t="str">
        <f aca="false">IF($D336=1,INDEX(TblClusters[RAM par nœud (Go)],$B336),"")</f>
        <v/>
      </c>
      <c r="J336" s="14" t="str">
        <f aca="false">IF($D336=1,INDEX(TblClusters[Workers min],$B336),"")</f>
        <v/>
      </c>
      <c r="K336" s="84" t="str">
        <f aca="false">IF($D336=1,INDEX(TblClusters[Tarif par nœud],$B336),"")</f>
        <v/>
      </c>
      <c r="L336" s="14" t="str">
        <f aca="false">IF($D336=1,INDEX(TblClusters[CPU initial (vCPU)],$B336),"")</f>
        <v/>
      </c>
      <c r="M336" s="14" t="str">
        <f aca="false">IF($D336=1,INDEX(TblClusters[RAM initiale (Go)],$B336),"")</f>
        <v/>
      </c>
      <c r="N336" s="14" t="str">
        <f aca="false">IF($D336=1,INDEX(TblClusters[CPU min (vCPU)],$B336),"")</f>
        <v/>
      </c>
      <c r="O336" s="14" t="str">
        <f aca="false">IF($D336=1,INDEX(TblClusters[RAM min (Go)],$B336),"")</f>
        <v/>
      </c>
      <c r="P336" s="14" t="str">
        <f aca="false">IF($D336&lt;&gt;1,"",IF($G336="ROKS",SUMIFS(TblApplications[Besoin ROKS CPU (vCPU)],TblApplications[Cluster ROKS cible],$F336,TblApplications[Action],"À migrer",TblApplications[Déjà incluse ROKS],"Non",TblApplications[Mois prov (calc)],"&lt;="&amp;$E336),SUMIFS(TblApplications[CPU IKS libérable (vCPU)],TblApplications[Cluster IKS source],$F336,TblApplications[Mois lib (calc)],"&lt;="&amp;$E336)))</f>
        <v/>
      </c>
      <c r="Q336" s="14" t="str">
        <f aca="false">IF($D336&lt;&gt;1,"",IF($G336="ROKS",SUMIFS(TblApplications[Besoin ROKS RAM (Go)],TblApplications[Cluster ROKS cible],$F336,TblApplications[Action],"À migrer",TblApplications[Déjà incluse ROKS],"Non",TblApplications[Mois prov (calc)],"&lt;="&amp;$E336),SUMIFS(TblApplications[RAM IKS libérable (Go)],TblApplications[Cluster IKS source],$F336,TblApplications[Mois lib (calc)],"&lt;="&amp;$E336)))</f>
        <v/>
      </c>
      <c r="R336" s="14" t="str">
        <f aca="false">IF($D336&lt;&gt;1,"",IF($G336="ROKS",$L336+$P336,IF($AI336=1,0,MAX($N336,$L336-$P336))))</f>
        <v/>
      </c>
      <c r="S336" s="14" t="str">
        <f aca="false">IF($D336&lt;&gt;1,"",IF($G336="ROKS",$M336+$Q336,IF($AI336=1,0,MAX($O336,$M336-$Q336))))</f>
        <v/>
      </c>
      <c r="T336" s="14" t="str">
        <f aca="false">IF($D336&lt;&gt;1,"",IF($AI336=1,0,MAX($J336,ROUNDUP(MAX($R336/$H336,$S336/$I336),0))))</f>
        <v/>
      </c>
      <c r="U336" s="14" t="str">
        <f aca="false">IF($D336&lt;&gt;1,"",IF(p_mode="Nœud",$T336*$H336,$R336))</f>
        <v/>
      </c>
      <c r="V336" s="14" t="str">
        <f aca="false">IF($D336&lt;&gt;1,"",IF(p_mode="Nœud",$T336*$I336,$S336))</f>
        <v/>
      </c>
      <c r="W336" s="84" t="str">
        <f aca="false">IF($D336&lt;&gt;1,"",IF(p_mode="Nœud",$T336*$K336,$R336*IF($G336="IKS",p_iks_cpu,p_roks_cpu)+$S336*IF($G336="IKS",p_iks_ram,p_roks_ram))*p_facteur)</f>
        <v/>
      </c>
      <c r="X336" s="14" t="str">
        <f aca="false">IF($D336&lt;&gt;1,"",IF($G336="ROKS",$R336,IF($AI336=1,0,MAX($N336,$L336-SUMIFS(TblApplications[CPU IKS libérable (vCPU)],TblApplications[Cluster IKS source],$F336,TblApplications[Action],"À migrer",TblApplications[Mois prov (calc)],"&lt;="&amp;$E336)-SUMIFS(TblApplications[CPU IKS libérable (vCPU)],TblApplications[Cluster IKS source],$F336,TblApplications[Action],"À décommissionner",TblApplications[Mois lib (calc)],"&lt;="&amp;$E336)))))</f>
        <v/>
      </c>
      <c r="Y336" s="14" t="str">
        <f aca="false">IF($D336&lt;&gt;1,"",IF($G336="ROKS",$S336,IF($AI336=1,0,MAX($O336,$M336-SUMIFS(TblApplications[RAM IKS libérable (Go)],TblApplications[Cluster IKS source],$F336,TblApplications[Action],"À migrer",TblApplications[Mois prov (calc)],"&lt;="&amp;$E336)-SUMIFS(TblApplications[RAM IKS libérable (Go)],TblApplications[Cluster IKS source],$F336,TblApplications[Action],"À décommissionner",TblApplications[Mois lib (calc)],"&lt;="&amp;$E336)))))</f>
        <v/>
      </c>
      <c r="Z336" s="14" t="str">
        <f aca="false">IF($D336&lt;&gt;1,"",IF($AI336=1,0,MAX($J336,ROUNDUP(MAX($X336/$H336,$Y336/$I336),0))))</f>
        <v/>
      </c>
      <c r="AA336" s="84" t="str">
        <f aca="false">IF($D336&lt;&gt;1,"",IF(p_mode="Nœud",$Z336*$K336,$X336*IF($G336="IKS",p_iks_cpu,p_roks_cpu)+$Y336*IF($G336="IKS",p_iks_ram,p_roks_ram))*p_facteur)</f>
        <v/>
      </c>
      <c r="AB336" s="14" t="str">
        <f aca="false">IF($D336&lt;&gt;1,"",MAX($J336,ROUNDUP(MAX($L336/$H336,$M336/$I336),0)))</f>
        <v/>
      </c>
      <c r="AC336" s="84" t="str">
        <f aca="false">IF($D336&lt;&gt;1,"",IF(p_mode="Nœud",$AB336*$K336,$L336*IF($G336="IKS",p_iks_cpu,p_roks_cpu)+$M336*IF($G336="IKS",p_iks_ram,p_roks_ram))*p_facteur)</f>
        <v/>
      </c>
      <c r="AD336" s="14" t="str">
        <f aca="false">IF($D336&lt;&gt;1,"",IF(AND($G336="IKS",$AI336&lt;&gt;1,OR($L336-$P336&lt;$N336,$M336-$Q336&lt;$O336)),1,0))</f>
        <v/>
      </c>
      <c r="AE336" s="14" t="str">
        <f aca="false">IF($D336&lt;&gt;1,"",IF(AND($G336="ROKS",$T336&gt;p_maxworkers),1,0))</f>
        <v/>
      </c>
      <c r="AF336" s="14" t="str">
        <f aca="false">IF($D336&lt;&gt;1,"",IF(INDEX(TblClusters[Environnement],$B336)="","(vide)",INDEX(TblClusters[Environnement],$B336)))</f>
        <v/>
      </c>
      <c r="AG336" s="14" t="str">
        <f aca="false">IF($D336&lt;&gt;1,"",$R336+p_poidsram*$S336)</f>
        <v/>
      </c>
      <c r="AH336" s="14" t="str">
        <f aca="false">IF($D336&lt;&gt;1,"",IFERROR($W336/$AG336,0))</f>
        <v/>
      </c>
      <c r="AI336" s="14" t="str">
        <f aca="false">IF($D336&lt;&gt;1,"",IF(AND($G336="IKS",ISNUMBER(INDEX(TblClusters[Fermeture retenue],$B336))),IF($E336&gt;=INDEX(TblClusters[Fermeture retenue],$B336),1,0),0))</f>
        <v/>
      </c>
    </row>
    <row r="337" customFormat="false" ht="15" hidden="false" customHeight="false" outlineLevel="0" collapsed="false">
      <c r="A337" s="14" t="n">
        <v>332</v>
      </c>
      <c r="B337" s="14" t="n">
        <f aca="false">INT(($A337-1)/36)+1</f>
        <v>10</v>
      </c>
      <c r="C337" s="14" t="n">
        <f aca="false">MOD($A337-1,36)+1</f>
        <v>8</v>
      </c>
      <c r="D337" s="14" t="n">
        <f aca="false">IF($C337&gt;p_horizon,0,IFERROR(IF(AND(INDEX(TblClusters[Cluster],$B337)&lt;&gt;"",ISNUMBER(INDEX(TblClusters[CPU initial (vCPU)],$B337)),ISNUMBER(INDEX(TblClusters[CPU min (vCPU)],$B337)),OR(INDEX(TblClusters[Plateforme],$B337)="IKS",INDEX(TblClusters[Plateforme],$B337)="ROKS")),1,0),0))</f>
        <v>0</v>
      </c>
      <c r="E337" s="83" t="str">
        <f aca="false">IF($D337=1,EDATE(p_debut,$C337-1),"")</f>
        <v/>
      </c>
      <c r="F337" s="14" t="str">
        <f aca="false">IF($D337=1,INDEX(TblClusters[Cluster],$B337),"")</f>
        <v/>
      </c>
      <c r="G337" s="14" t="str">
        <f aca="false">IF($D337=1,INDEX(TblClusters[Plateforme],$B337),"")</f>
        <v/>
      </c>
      <c r="H337" s="14" t="str">
        <f aca="false">IF($D337=1,INDEX(TblClusters[vCPU par nœud],$B337),"")</f>
        <v/>
      </c>
      <c r="I337" s="14" t="str">
        <f aca="false">IF($D337=1,INDEX(TblClusters[RAM par nœud (Go)],$B337),"")</f>
        <v/>
      </c>
      <c r="J337" s="14" t="str">
        <f aca="false">IF($D337=1,INDEX(TblClusters[Workers min],$B337),"")</f>
        <v/>
      </c>
      <c r="K337" s="84" t="str">
        <f aca="false">IF($D337=1,INDEX(TblClusters[Tarif par nœud],$B337),"")</f>
        <v/>
      </c>
      <c r="L337" s="14" t="str">
        <f aca="false">IF($D337=1,INDEX(TblClusters[CPU initial (vCPU)],$B337),"")</f>
        <v/>
      </c>
      <c r="M337" s="14" t="str">
        <f aca="false">IF($D337=1,INDEX(TblClusters[RAM initiale (Go)],$B337),"")</f>
        <v/>
      </c>
      <c r="N337" s="14" t="str">
        <f aca="false">IF($D337=1,INDEX(TblClusters[CPU min (vCPU)],$B337),"")</f>
        <v/>
      </c>
      <c r="O337" s="14" t="str">
        <f aca="false">IF($D337=1,INDEX(TblClusters[RAM min (Go)],$B337),"")</f>
        <v/>
      </c>
      <c r="P337" s="14" t="str">
        <f aca="false">IF($D337&lt;&gt;1,"",IF($G337="ROKS",SUMIFS(TblApplications[Besoin ROKS CPU (vCPU)],TblApplications[Cluster ROKS cible],$F337,TblApplications[Action],"À migrer",TblApplications[Déjà incluse ROKS],"Non",TblApplications[Mois prov (calc)],"&lt;="&amp;$E337),SUMIFS(TblApplications[CPU IKS libérable (vCPU)],TblApplications[Cluster IKS source],$F337,TblApplications[Mois lib (calc)],"&lt;="&amp;$E337)))</f>
        <v/>
      </c>
      <c r="Q337" s="14" t="str">
        <f aca="false">IF($D337&lt;&gt;1,"",IF($G337="ROKS",SUMIFS(TblApplications[Besoin ROKS RAM (Go)],TblApplications[Cluster ROKS cible],$F337,TblApplications[Action],"À migrer",TblApplications[Déjà incluse ROKS],"Non",TblApplications[Mois prov (calc)],"&lt;="&amp;$E337),SUMIFS(TblApplications[RAM IKS libérable (Go)],TblApplications[Cluster IKS source],$F337,TblApplications[Mois lib (calc)],"&lt;="&amp;$E337)))</f>
        <v/>
      </c>
      <c r="R337" s="14" t="str">
        <f aca="false">IF($D337&lt;&gt;1,"",IF($G337="ROKS",$L337+$P337,IF($AI337=1,0,MAX($N337,$L337-$P337))))</f>
        <v/>
      </c>
      <c r="S337" s="14" t="str">
        <f aca="false">IF($D337&lt;&gt;1,"",IF($G337="ROKS",$M337+$Q337,IF($AI337=1,0,MAX($O337,$M337-$Q337))))</f>
        <v/>
      </c>
      <c r="T337" s="14" t="str">
        <f aca="false">IF($D337&lt;&gt;1,"",IF($AI337=1,0,MAX($J337,ROUNDUP(MAX($R337/$H337,$S337/$I337),0))))</f>
        <v/>
      </c>
      <c r="U337" s="14" t="str">
        <f aca="false">IF($D337&lt;&gt;1,"",IF(p_mode="Nœud",$T337*$H337,$R337))</f>
        <v/>
      </c>
      <c r="V337" s="14" t="str">
        <f aca="false">IF($D337&lt;&gt;1,"",IF(p_mode="Nœud",$T337*$I337,$S337))</f>
        <v/>
      </c>
      <c r="W337" s="84" t="str">
        <f aca="false">IF($D337&lt;&gt;1,"",IF(p_mode="Nœud",$T337*$K337,$R337*IF($G337="IKS",p_iks_cpu,p_roks_cpu)+$S337*IF($G337="IKS",p_iks_ram,p_roks_ram))*p_facteur)</f>
        <v/>
      </c>
      <c r="X337" s="14" t="str">
        <f aca="false">IF($D337&lt;&gt;1,"",IF($G337="ROKS",$R337,IF($AI337=1,0,MAX($N337,$L337-SUMIFS(TblApplications[CPU IKS libérable (vCPU)],TblApplications[Cluster IKS source],$F337,TblApplications[Action],"À migrer",TblApplications[Mois prov (calc)],"&lt;="&amp;$E337)-SUMIFS(TblApplications[CPU IKS libérable (vCPU)],TblApplications[Cluster IKS source],$F337,TblApplications[Action],"À décommissionner",TblApplications[Mois lib (calc)],"&lt;="&amp;$E337)))))</f>
        <v/>
      </c>
      <c r="Y337" s="14" t="str">
        <f aca="false">IF($D337&lt;&gt;1,"",IF($G337="ROKS",$S337,IF($AI337=1,0,MAX($O337,$M337-SUMIFS(TblApplications[RAM IKS libérable (Go)],TblApplications[Cluster IKS source],$F337,TblApplications[Action],"À migrer",TblApplications[Mois prov (calc)],"&lt;="&amp;$E337)-SUMIFS(TblApplications[RAM IKS libérable (Go)],TblApplications[Cluster IKS source],$F337,TblApplications[Action],"À décommissionner",TblApplications[Mois lib (calc)],"&lt;="&amp;$E337)))))</f>
        <v/>
      </c>
      <c r="Z337" s="14" t="str">
        <f aca="false">IF($D337&lt;&gt;1,"",IF($AI337=1,0,MAX($J337,ROUNDUP(MAX($X337/$H337,$Y337/$I337),0))))</f>
        <v/>
      </c>
      <c r="AA337" s="84" t="str">
        <f aca="false">IF($D337&lt;&gt;1,"",IF(p_mode="Nœud",$Z337*$K337,$X337*IF($G337="IKS",p_iks_cpu,p_roks_cpu)+$Y337*IF($G337="IKS",p_iks_ram,p_roks_ram))*p_facteur)</f>
        <v/>
      </c>
      <c r="AB337" s="14" t="str">
        <f aca="false">IF($D337&lt;&gt;1,"",MAX($J337,ROUNDUP(MAX($L337/$H337,$M337/$I337),0)))</f>
        <v/>
      </c>
      <c r="AC337" s="84" t="str">
        <f aca="false">IF($D337&lt;&gt;1,"",IF(p_mode="Nœud",$AB337*$K337,$L337*IF($G337="IKS",p_iks_cpu,p_roks_cpu)+$M337*IF($G337="IKS",p_iks_ram,p_roks_ram))*p_facteur)</f>
        <v/>
      </c>
      <c r="AD337" s="14" t="str">
        <f aca="false">IF($D337&lt;&gt;1,"",IF(AND($G337="IKS",$AI337&lt;&gt;1,OR($L337-$P337&lt;$N337,$M337-$Q337&lt;$O337)),1,0))</f>
        <v/>
      </c>
      <c r="AE337" s="14" t="str">
        <f aca="false">IF($D337&lt;&gt;1,"",IF(AND($G337="ROKS",$T337&gt;p_maxworkers),1,0))</f>
        <v/>
      </c>
      <c r="AF337" s="14" t="str">
        <f aca="false">IF($D337&lt;&gt;1,"",IF(INDEX(TblClusters[Environnement],$B337)="","(vide)",INDEX(TblClusters[Environnement],$B337)))</f>
        <v/>
      </c>
      <c r="AG337" s="14" t="str">
        <f aca="false">IF($D337&lt;&gt;1,"",$R337+p_poidsram*$S337)</f>
        <v/>
      </c>
      <c r="AH337" s="14" t="str">
        <f aca="false">IF($D337&lt;&gt;1,"",IFERROR($W337/$AG337,0))</f>
        <v/>
      </c>
      <c r="AI337" s="14" t="str">
        <f aca="false">IF($D337&lt;&gt;1,"",IF(AND($G337="IKS",ISNUMBER(INDEX(TblClusters[Fermeture retenue],$B337))),IF($E337&gt;=INDEX(TblClusters[Fermeture retenue],$B337),1,0),0))</f>
        <v/>
      </c>
    </row>
    <row r="338" customFormat="false" ht="15" hidden="false" customHeight="false" outlineLevel="0" collapsed="false">
      <c r="A338" s="14" t="n">
        <v>333</v>
      </c>
      <c r="B338" s="14" t="n">
        <f aca="false">INT(($A338-1)/36)+1</f>
        <v>10</v>
      </c>
      <c r="C338" s="14" t="n">
        <f aca="false">MOD($A338-1,36)+1</f>
        <v>9</v>
      </c>
      <c r="D338" s="14" t="n">
        <f aca="false">IF($C338&gt;p_horizon,0,IFERROR(IF(AND(INDEX(TblClusters[Cluster],$B338)&lt;&gt;"",ISNUMBER(INDEX(TblClusters[CPU initial (vCPU)],$B338)),ISNUMBER(INDEX(TblClusters[CPU min (vCPU)],$B338)),OR(INDEX(TblClusters[Plateforme],$B338)="IKS",INDEX(TblClusters[Plateforme],$B338)="ROKS")),1,0),0))</f>
        <v>0</v>
      </c>
      <c r="E338" s="83" t="str">
        <f aca="false">IF($D338=1,EDATE(p_debut,$C338-1),"")</f>
        <v/>
      </c>
      <c r="F338" s="14" t="str">
        <f aca="false">IF($D338=1,INDEX(TblClusters[Cluster],$B338),"")</f>
        <v/>
      </c>
      <c r="G338" s="14" t="str">
        <f aca="false">IF($D338=1,INDEX(TblClusters[Plateforme],$B338),"")</f>
        <v/>
      </c>
      <c r="H338" s="14" t="str">
        <f aca="false">IF($D338=1,INDEX(TblClusters[vCPU par nœud],$B338),"")</f>
        <v/>
      </c>
      <c r="I338" s="14" t="str">
        <f aca="false">IF($D338=1,INDEX(TblClusters[RAM par nœud (Go)],$B338),"")</f>
        <v/>
      </c>
      <c r="J338" s="14" t="str">
        <f aca="false">IF($D338=1,INDEX(TblClusters[Workers min],$B338),"")</f>
        <v/>
      </c>
      <c r="K338" s="84" t="str">
        <f aca="false">IF($D338=1,INDEX(TblClusters[Tarif par nœud],$B338),"")</f>
        <v/>
      </c>
      <c r="L338" s="14" t="str">
        <f aca="false">IF($D338=1,INDEX(TblClusters[CPU initial (vCPU)],$B338),"")</f>
        <v/>
      </c>
      <c r="M338" s="14" t="str">
        <f aca="false">IF($D338=1,INDEX(TblClusters[RAM initiale (Go)],$B338),"")</f>
        <v/>
      </c>
      <c r="N338" s="14" t="str">
        <f aca="false">IF($D338=1,INDEX(TblClusters[CPU min (vCPU)],$B338),"")</f>
        <v/>
      </c>
      <c r="O338" s="14" t="str">
        <f aca="false">IF($D338=1,INDEX(TblClusters[RAM min (Go)],$B338),"")</f>
        <v/>
      </c>
      <c r="P338" s="14" t="str">
        <f aca="false">IF($D338&lt;&gt;1,"",IF($G338="ROKS",SUMIFS(TblApplications[Besoin ROKS CPU (vCPU)],TblApplications[Cluster ROKS cible],$F338,TblApplications[Action],"À migrer",TblApplications[Déjà incluse ROKS],"Non",TblApplications[Mois prov (calc)],"&lt;="&amp;$E338),SUMIFS(TblApplications[CPU IKS libérable (vCPU)],TblApplications[Cluster IKS source],$F338,TblApplications[Mois lib (calc)],"&lt;="&amp;$E338)))</f>
        <v/>
      </c>
      <c r="Q338" s="14" t="str">
        <f aca="false">IF($D338&lt;&gt;1,"",IF($G338="ROKS",SUMIFS(TblApplications[Besoin ROKS RAM (Go)],TblApplications[Cluster ROKS cible],$F338,TblApplications[Action],"À migrer",TblApplications[Déjà incluse ROKS],"Non",TblApplications[Mois prov (calc)],"&lt;="&amp;$E338),SUMIFS(TblApplications[RAM IKS libérable (Go)],TblApplications[Cluster IKS source],$F338,TblApplications[Mois lib (calc)],"&lt;="&amp;$E338)))</f>
        <v/>
      </c>
      <c r="R338" s="14" t="str">
        <f aca="false">IF($D338&lt;&gt;1,"",IF($G338="ROKS",$L338+$P338,IF($AI338=1,0,MAX($N338,$L338-$P338))))</f>
        <v/>
      </c>
      <c r="S338" s="14" t="str">
        <f aca="false">IF($D338&lt;&gt;1,"",IF($G338="ROKS",$M338+$Q338,IF($AI338=1,0,MAX($O338,$M338-$Q338))))</f>
        <v/>
      </c>
      <c r="T338" s="14" t="str">
        <f aca="false">IF($D338&lt;&gt;1,"",IF($AI338=1,0,MAX($J338,ROUNDUP(MAX($R338/$H338,$S338/$I338),0))))</f>
        <v/>
      </c>
      <c r="U338" s="14" t="str">
        <f aca="false">IF($D338&lt;&gt;1,"",IF(p_mode="Nœud",$T338*$H338,$R338))</f>
        <v/>
      </c>
      <c r="V338" s="14" t="str">
        <f aca="false">IF($D338&lt;&gt;1,"",IF(p_mode="Nœud",$T338*$I338,$S338))</f>
        <v/>
      </c>
      <c r="W338" s="84" t="str">
        <f aca="false">IF($D338&lt;&gt;1,"",IF(p_mode="Nœud",$T338*$K338,$R338*IF($G338="IKS",p_iks_cpu,p_roks_cpu)+$S338*IF($G338="IKS",p_iks_ram,p_roks_ram))*p_facteur)</f>
        <v/>
      </c>
      <c r="X338" s="14" t="str">
        <f aca="false">IF($D338&lt;&gt;1,"",IF($G338="ROKS",$R338,IF($AI338=1,0,MAX($N338,$L338-SUMIFS(TblApplications[CPU IKS libérable (vCPU)],TblApplications[Cluster IKS source],$F338,TblApplications[Action],"À migrer",TblApplications[Mois prov (calc)],"&lt;="&amp;$E338)-SUMIFS(TblApplications[CPU IKS libérable (vCPU)],TblApplications[Cluster IKS source],$F338,TblApplications[Action],"À décommissionner",TblApplications[Mois lib (calc)],"&lt;="&amp;$E338)))))</f>
        <v/>
      </c>
      <c r="Y338" s="14" t="str">
        <f aca="false">IF($D338&lt;&gt;1,"",IF($G338="ROKS",$S338,IF($AI338=1,0,MAX($O338,$M338-SUMIFS(TblApplications[RAM IKS libérable (Go)],TblApplications[Cluster IKS source],$F338,TblApplications[Action],"À migrer",TblApplications[Mois prov (calc)],"&lt;="&amp;$E338)-SUMIFS(TblApplications[RAM IKS libérable (Go)],TblApplications[Cluster IKS source],$F338,TblApplications[Action],"À décommissionner",TblApplications[Mois lib (calc)],"&lt;="&amp;$E338)))))</f>
        <v/>
      </c>
      <c r="Z338" s="14" t="str">
        <f aca="false">IF($D338&lt;&gt;1,"",IF($AI338=1,0,MAX($J338,ROUNDUP(MAX($X338/$H338,$Y338/$I338),0))))</f>
        <v/>
      </c>
      <c r="AA338" s="84" t="str">
        <f aca="false">IF($D338&lt;&gt;1,"",IF(p_mode="Nœud",$Z338*$K338,$X338*IF($G338="IKS",p_iks_cpu,p_roks_cpu)+$Y338*IF($G338="IKS",p_iks_ram,p_roks_ram))*p_facteur)</f>
        <v/>
      </c>
      <c r="AB338" s="14" t="str">
        <f aca="false">IF($D338&lt;&gt;1,"",MAX($J338,ROUNDUP(MAX($L338/$H338,$M338/$I338),0)))</f>
        <v/>
      </c>
      <c r="AC338" s="84" t="str">
        <f aca="false">IF($D338&lt;&gt;1,"",IF(p_mode="Nœud",$AB338*$K338,$L338*IF($G338="IKS",p_iks_cpu,p_roks_cpu)+$M338*IF($G338="IKS",p_iks_ram,p_roks_ram))*p_facteur)</f>
        <v/>
      </c>
      <c r="AD338" s="14" t="str">
        <f aca="false">IF($D338&lt;&gt;1,"",IF(AND($G338="IKS",$AI338&lt;&gt;1,OR($L338-$P338&lt;$N338,$M338-$Q338&lt;$O338)),1,0))</f>
        <v/>
      </c>
      <c r="AE338" s="14" t="str">
        <f aca="false">IF($D338&lt;&gt;1,"",IF(AND($G338="ROKS",$T338&gt;p_maxworkers),1,0))</f>
        <v/>
      </c>
      <c r="AF338" s="14" t="str">
        <f aca="false">IF($D338&lt;&gt;1,"",IF(INDEX(TblClusters[Environnement],$B338)="","(vide)",INDEX(TblClusters[Environnement],$B338)))</f>
        <v/>
      </c>
      <c r="AG338" s="14" t="str">
        <f aca="false">IF($D338&lt;&gt;1,"",$R338+p_poidsram*$S338)</f>
        <v/>
      </c>
      <c r="AH338" s="14" t="str">
        <f aca="false">IF($D338&lt;&gt;1,"",IFERROR($W338/$AG338,0))</f>
        <v/>
      </c>
      <c r="AI338" s="14" t="str">
        <f aca="false">IF($D338&lt;&gt;1,"",IF(AND($G338="IKS",ISNUMBER(INDEX(TblClusters[Fermeture retenue],$B338))),IF($E338&gt;=INDEX(TblClusters[Fermeture retenue],$B338),1,0),0))</f>
        <v/>
      </c>
    </row>
    <row r="339" customFormat="false" ht="15" hidden="false" customHeight="false" outlineLevel="0" collapsed="false">
      <c r="A339" s="14" t="n">
        <v>334</v>
      </c>
      <c r="B339" s="14" t="n">
        <f aca="false">INT(($A339-1)/36)+1</f>
        <v>10</v>
      </c>
      <c r="C339" s="14" t="n">
        <f aca="false">MOD($A339-1,36)+1</f>
        <v>10</v>
      </c>
      <c r="D339" s="14" t="n">
        <f aca="false">IF($C339&gt;p_horizon,0,IFERROR(IF(AND(INDEX(TblClusters[Cluster],$B339)&lt;&gt;"",ISNUMBER(INDEX(TblClusters[CPU initial (vCPU)],$B339)),ISNUMBER(INDEX(TblClusters[CPU min (vCPU)],$B339)),OR(INDEX(TblClusters[Plateforme],$B339)="IKS",INDEX(TblClusters[Plateforme],$B339)="ROKS")),1,0),0))</f>
        <v>0</v>
      </c>
      <c r="E339" s="83" t="str">
        <f aca="false">IF($D339=1,EDATE(p_debut,$C339-1),"")</f>
        <v/>
      </c>
      <c r="F339" s="14" t="str">
        <f aca="false">IF($D339=1,INDEX(TblClusters[Cluster],$B339),"")</f>
        <v/>
      </c>
      <c r="G339" s="14" t="str">
        <f aca="false">IF($D339=1,INDEX(TblClusters[Plateforme],$B339),"")</f>
        <v/>
      </c>
      <c r="H339" s="14" t="str">
        <f aca="false">IF($D339=1,INDEX(TblClusters[vCPU par nœud],$B339),"")</f>
        <v/>
      </c>
      <c r="I339" s="14" t="str">
        <f aca="false">IF($D339=1,INDEX(TblClusters[RAM par nœud (Go)],$B339),"")</f>
        <v/>
      </c>
      <c r="J339" s="14" t="str">
        <f aca="false">IF($D339=1,INDEX(TblClusters[Workers min],$B339),"")</f>
        <v/>
      </c>
      <c r="K339" s="84" t="str">
        <f aca="false">IF($D339=1,INDEX(TblClusters[Tarif par nœud],$B339),"")</f>
        <v/>
      </c>
      <c r="L339" s="14" t="str">
        <f aca="false">IF($D339=1,INDEX(TblClusters[CPU initial (vCPU)],$B339),"")</f>
        <v/>
      </c>
      <c r="M339" s="14" t="str">
        <f aca="false">IF($D339=1,INDEX(TblClusters[RAM initiale (Go)],$B339),"")</f>
        <v/>
      </c>
      <c r="N339" s="14" t="str">
        <f aca="false">IF($D339=1,INDEX(TblClusters[CPU min (vCPU)],$B339),"")</f>
        <v/>
      </c>
      <c r="O339" s="14" t="str">
        <f aca="false">IF($D339=1,INDEX(TblClusters[RAM min (Go)],$B339),"")</f>
        <v/>
      </c>
      <c r="P339" s="14" t="str">
        <f aca="false">IF($D339&lt;&gt;1,"",IF($G339="ROKS",SUMIFS(TblApplications[Besoin ROKS CPU (vCPU)],TblApplications[Cluster ROKS cible],$F339,TblApplications[Action],"À migrer",TblApplications[Déjà incluse ROKS],"Non",TblApplications[Mois prov (calc)],"&lt;="&amp;$E339),SUMIFS(TblApplications[CPU IKS libérable (vCPU)],TblApplications[Cluster IKS source],$F339,TblApplications[Mois lib (calc)],"&lt;="&amp;$E339)))</f>
        <v/>
      </c>
      <c r="Q339" s="14" t="str">
        <f aca="false">IF($D339&lt;&gt;1,"",IF($G339="ROKS",SUMIFS(TblApplications[Besoin ROKS RAM (Go)],TblApplications[Cluster ROKS cible],$F339,TblApplications[Action],"À migrer",TblApplications[Déjà incluse ROKS],"Non",TblApplications[Mois prov (calc)],"&lt;="&amp;$E339),SUMIFS(TblApplications[RAM IKS libérable (Go)],TblApplications[Cluster IKS source],$F339,TblApplications[Mois lib (calc)],"&lt;="&amp;$E339)))</f>
        <v/>
      </c>
      <c r="R339" s="14" t="str">
        <f aca="false">IF($D339&lt;&gt;1,"",IF($G339="ROKS",$L339+$P339,IF($AI339=1,0,MAX($N339,$L339-$P339))))</f>
        <v/>
      </c>
      <c r="S339" s="14" t="str">
        <f aca="false">IF($D339&lt;&gt;1,"",IF($G339="ROKS",$M339+$Q339,IF($AI339=1,0,MAX($O339,$M339-$Q339))))</f>
        <v/>
      </c>
      <c r="T339" s="14" t="str">
        <f aca="false">IF($D339&lt;&gt;1,"",IF($AI339=1,0,MAX($J339,ROUNDUP(MAX($R339/$H339,$S339/$I339),0))))</f>
        <v/>
      </c>
      <c r="U339" s="14" t="str">
        <f aca="false">IF($D339&lt;&gt;1,"",IF(p_mode="Nœud",$T339*$H339,$R339))</f>
        <v/>
      </c>
      <c r="V339" s="14" t="str">
        <f aca="false">IF($D339&lt;&gt;1,"",IF(p_mode="Nœud",$T339*$I339,$S339))</f>
        <v/>
      </c>
      <c r="W339" s="84" t="str">
        <f aca="false">IF($D339&lt;&gt;1,"",IF(p_mode="Nœud",$T339*$K339,$R339*IF($G339="IKS",p_iks_cpu,p_roks_cpu)+$S339*IF($G339="IKS",p_iks_ram,p_roks_ram))*p_facteur)</f>
        <v/>
      </c>
      <c r="X339" s="14" t="str">
        <f aca="false">IF($D339&lt;&gt;1,"",IF($G339="ROKS",$R339,IF($AI339=1,0,MAX($N339,$L339-SUMIFS(TblApplications[CPU IKS libérable (vCPU)],TblApplications[Cluster IKS source],$F339,TblApplications[Action],"À migrer",TblApplications[Mois prov (calc)],"&lt;="&amp;$E339)-SUMIFS(TblApplications[CPU IKS libérable (vCPU)],TblApplications[Cluster IKS source],$F339,TblApplications[Action],"À décommissionner",TblApplications[Mois lib (calc)],"&lt;="&amp;$E339)))))</f>
        <v/>
      </c>
      <c r="Y339" s="14" t="str">
        <f aca="false">IF($D339&lt;&gt;1,"",IF($G339="ROKS",$S339,IF($AI339=1,0,MAX($O339,$M339-SUMIFS(TblApplications[RAM IKS libérable (Go)],TblApplications[Cluster IKS source],$F339,TblApplications[Action],"À migrer",TblApplications[Mois prov (calc)],"&lt;="&amp;$E339)-SUMIFS(TblApplications[RAM IKS libérable (Go)],TblApplications[Cluster IKS source],$F339,TblApplications[Action],"À décommissionner",TblApplications[Mois lib (calc)],"&lt;="&amp;$E339)))))</f>
        <v/>
      </c>
      <c r="Z339" s="14" t="str">
        <f aca="false">IF($D339&lt;&gt;1,"",IF($AI339=1,0,MAX($J339,ROUNDUP(MAX($X339/$H339,$Y339/$I339),0))))</f>
        <v/>
      </c>
      <c r="AA339" s="84" t="str">
        <f aca="false">IF($D339&lt;&gt;1,"",IF(p_mode="Nœud",$Z339*$K339,$X339*IF($G339="IKS",p_iks_cpu,p_roks_cpu)+$Y339*IF($G339="IKS",p_iks_ram,p_roks_ram))*p_facteur)</f>
        <v/>
      </c>
      <c r="AB339" s="14" t="str">
        <f aca="false">IF($D339&lt;&gt;1,"",MAX($J339,ROUNDUP(MAX($L339/$H339,$M339/$I339),0)))</f>
        <v/>
      </c>
      <c r="AC339" s="84" t="str">
        <f aca="false">IF($D339&lt;&gt;1,"",IF(p_mode="Nœud",$AB339*$K339,$L339*IF($G339="IKS",p_iks_cpu,p_roks_cpu)+$M339*IF($G339="IKS",p_iks_ram,p_roks_ram))*p_facteur)</f>
        <v/>
      </c>
      <c r="AD339" s="14" t="str">
        <f aca="false">IF($D339&lt;&gt;1,"",IF(AND($G339="IKS",$AI339&lt;&gt;1,OR($L339-$P339&lt;$N339,$M339-$Q339&lt;$O339)),1,0))</f>
        <v/>
      </c>
      <c r="AE339" s="14" t="str">
        <f aca="false">IF($D339&lt;&gt;1,"",IF(AND($G339="ROKS",$T339&gt;p_maxworkers),1,0))</f>
        <v/>
      </c>
      <c r="AF339" s="14" t="str">
        <f aca="false">IF($D339&lt;&gt;1,"",IF(INDEX(TblClusters[Environnement],$B339)="","(vide)",INDEX(TblClusters[Environnement],$B339)))</f>
        <v/>
      </c>
      <c r="AG339" s="14" t="str">
        <f aca="false">IF($D339&lt;&gt;1,"",$R339+p_poidsram*$S339)</f>
        <v/>
      </c>
      <c r="AH339" s="14" t="str">
        <f aca="false">IF($D339&lt;&gt;1,"",IFERROR($W339/$AG339,0))</f>
        <v/>
      </c>
      <c r="AI339" s="14" t="str">
        <f aca="false">IF($D339&lt;&gt;1,"",IF(AND($G339="IKS",ISNUMBER(INDEX(TblClusters[Fermeture retenue],$B339))),IF($E339&gt;=INDEX(TblClusters[Fermeture retenue],$B339),1,0),0))</f>
        <v/>
      </c>
    </row>
    <row r="340" customFormat="false" ht="15" hidden="false" customHeight="false" outlineLevel="0" collapsed="false">
      <c r="A340" s="14" t="n">
        <v>335</v>
      </c>
      <c r="B340" s="14" t="n">
        <f aca="false">INT(($A340-1)/36)+1</f>
        <v>10</v>
      </c>
      <c r="C340" s="14" t="n">
        <f aca="false">MOD($A340-1,36)+1</f>
        <v>11</v>
      </c>
      <c r="D340" s="14" t="n">
        <f aca="false">IF($C340&gt;p_horizon,0,IFERROR(IF(AND(INDEX(TblClusters[Cluster],$B340)&lt;&gt;"",ISNUMBER(INDEX(TblClusters[CPU initial (vCPU)],$B340)),ISNUMBER(INDEX(TblClusters[CPU min (vCPU)],$B340)),OR(INDEX(TblClusters[Plateforme],$B340)="IKS",INDEX(TblClusters[Plateforme],$B340)="ROKS")),1,0),0))</f>
        <v>0</v>
      </c>
      <c r="E340" s="83" t="str">
        <f aca="false">IF($D340=1,EDATE(p_debut,$C340-1),"")</f>
        <v/>
      </c>
      <c r="F340" s="14" t="str">
        <f aca="false">IF($D340=1,INDEX(TblClusters[Cluster],$B340),"")</f>
        <v/>
      </c>
      <c r="G340" s="14" t="str">
        <f aca="false">IF($D340=1,INDEX(TblClusters[Plateforme],$B340),"")</f>
        <v/>
      </c>
      <c r="H340" s="14" t="str">
        <f aca="false">IF($D340=1,INDEX(TblClusters[vCPU par nœud],$B340),"")</f>
        <v/>
      </c>
      <c r="I340" s="14" t="str">
        <f aca="false">IF($D340=1,INDEX(TblClusters[RAM par nœud (Go)],$B340),"")</f>
        <v/>
      </c>
      <c r="J340" s="14" t="str">
        <f aca="false">IF($D340=1,INDEX(TblClusters[Workers min],$B340),"")</f>
        <v/>
      </c>
      <c r="K340" s="84" t="str">
        <f aca="false">IF($D340=1,INDEX(TblClusters[Tarif par nœud],$B340),"")</f>
        <v/>
      </c>
      <c r="L340" s="14" t="str">
        <f aca="false">IF($D340=1,INDEX(TblClusters[CPU initial (vCPU)],$B340),"")</f>
        <v/>
      </c>
      <c r="M340" s="14" t="str">
        <f aca="false">IF($D340=1,INDEX(TblClusters[RAM initiale (Go)],$B340),"")</f>
        <v/>
      </c>
      <c r="N340" s="14" t="str">
        <f aca="false">IF($D340=1,INDEX(TblClusters[CPU min (vCPU)],$B340),"")</f>
        <v/>
      </c>
      <c r="O340" s="14" t="str">
        <f aca="false">IF($D340=1,INDEX(TblClusters[RAM min (Go)],$B340),"")</f>
        <v/>
      </c>
      <c r="P340" s="14" t="str">
        <f aca="false">IF($D340&lt;&gt;1,"",IF($G340="ROKS",SUMIFS(TblApplications[Besoin ROKS CPU (vCPU)],TblApplications[Cluster ROKS cible],$F340,TblApplications[Action],"À migrer",TblApplications[Déjà incluse ROKS],"Non",TblApplications[Mois prov (calc)],"&lt;="&amp;$E340),SUMIFS(TblApplications[CPU IKS libérable (vCPU)],TblApplications[Cluster IKS source],$F340,TblApplications[Mois lib (calc)],"&lt;="&amp;$E340)))</f>
        <v/>
      </c>
      <c r="Q340" s="14" t="str">
        <f aca="false">IF($D340&lt;&gt;1,"",IF($G340="ROKS",SUMIFS(TblApplications[Besoin ROKS RAM (Go)],TblApplications[Cluster ROKS cible],$F340,TblApplications[Action],"À migrer",TblApplications[Déjà incluse ROKS],"Non",TblApplications[Mois prov (calc)],"&lt;="&amp;$E340),SUMIFS(TblApplications[RAM IKS libérable (Go)],TblApplications[Cluster IKS source],$F340,TblApplications[Mois lib (calc)],"&lt;="&amp;$E340)))</f>
        <v/>
      </c>
      <c r="R340" s="14" t="str">
        <f aca="false">IF($D340&lt;&gt;1,"",IF($G340="ROKS",$L340+$P340,IF($AI340=1,0,MAX($N340,$L340-$P340))))</f>
        <v/>
      </c>
      <c r="S340" s="14" t="str">
        <f aca="false">IF($D340&lt;&gt;1,"",IF($G340="ROKS",$M340+$Q340,IF($AI340=1,0,MAX($O340,$M340-$Q340))))</f>
        <v/>
      </c>
      <c r="T340" s="14" t="str">
        <f aca="false">IF($D340&lt;&gt;1,"",IF($AI340=1,0,MAX($J340,ROUNDUP(MAX($R340/$H340,$S340/$I340),0))))</f>
        <v/>
      </c>
      <c r="U340" s="14" t="str">
        <f aca="false">IF($D340&lt;&gt;1,"",IF(p_mode="Nœud",$T340*$H340,$R340))</f>
        <v/>
      </c>
      <c r="V340" s="14" t="str">
        <f aca="false">IF($D340&lt;&gt;1,"",IF(p_mode="Nœud",$T340*$I340,$S340))</f>
        <v/>
      </c>
      <c r="W340" s="84" t="str">
        <f aca="false">IF($D340&lt;&gt;1,"",IF(p_mode="Nœud",$T340*$K340,$R340*IF($G340="IKS",p_iks_cpu,p_roks_cpu)+$S340*IF($G340="IKS",p_iks_ram,p_roks_ram))*p_facteur)</f>
        <v/>
      </c>
      <c r="X340" s="14" t="str">
        <f aca="false">IF($D340&lt;&gt;1,"",IF($G340="ROKS",$R340,IF($AI340=1,0,MAX($N340,$L340-SUMIFS(TblApplications[CPU IKS libérable (vCPU)],TblApplications[Cluster IKS source],$F340,TblApplications[Action],"À migrer",TblApplications[Mois prov (calc)],"&lt;="&amp;$E340)-SUMIFS(TblApplications[CPU IKS libérable (vCPU)],TblApplications[Cluster IKS source],$F340,TblApplications[Action],"À décommissionner",TblApplications[Mois lib (calc)],"&lt;="&amp;$E340)))))</f>
        <v/>
      </c>
      <c r="Y340" s="14" t="str">
        <f aca="false">IF($D340&lt;&gt;1,"",IF($G340="ROKS",$S340,IF($AI340=1,0,MAX($O340,$M340-SUMIFS(TblApplications[RAM IKS libérable (Go)],TblApplications[Cluster IKS source],$F340,TblApplications[Action],"À migrer",TblApplications[Mois prov (calc)],"&lt;="&amp;$E340)-SUMIFS(TblApplications[RAM IKS libérable (Go)],TblApplications[Cluster IKS source],$F340,TblApplications[Action],"À décommissionner",TblApplications[Mois lib (calc)],"&lt;="&amp;$E340)))))</f>
        <v/>
      </c>
      <c r="Z340" s="14" t="str">
        <f aca="false">IF($D340&lt;&gt;1,"",IF($AI340=1,0,MAX($J340,ROUNDUP(MAX($X340/$H340,$Y340/$I340),0))))</f>
        <v/>
      </c>
      <c r="AA340" s="84" t="str">
        <f aca="false">IF($D340&lt;&gt;1,"",IF(p_mode="Nœud",$Z340*$K340,$X340*IF($G340="IKS",p_iks_cpu,p_roks_cpu)+$Y340*IF($G340="IKS",p_iks_ram,p_roks_ram))*p_facteur)</f>
        <v/>
      </c>
      <c r="AB340" s="14" t="str">
        <f aca="false">IF($D340&lt;&gt;1,"",MAX($J340,ROUNDUP(MAX($L340/$H340,$M340/$I340),0)))</f>
        <v/>
      </c>
      <c r="AC340" s="84" t="str">
        <f aca="false">IF($D340&lt;&gt;1,"",IF(p_mode="Nœud",$AB340*$K340,$L340*IF($G340="IKS",p_iks_cpu,p_roks_cpu)+$M340*IF($G340="IKS",p_iks_ram,p_roks_ram))*p_facteur)</f>
        <v/>
      </c>
      <c r="AD340" s="14" t="str">
        <f aca="false">IF($D340&lt;&gt;1,"",IF(AND($G340="IKS",$AI340&lt;&gt;1,OR($L340-$P340&lt;$N340,$M340-$Q340&lt;$O340)),1,0))</f>
        <v/>
      </c>
      <c r="AE340" s="14" t="str">
        <f aca="false">IF($D340&lt;&gt;1,"",IF(AND($G340="ROKS",$T340&gt;p_maxworkers),1,0))</f>
        <v/>
      </c>
      <c r="AF340" s="14" t="str">
        <f aca="false">IF($D340&lt;&gt;1,"",IF(INDEX(TblClusters[Environnement],$B340)="","(vide)",INDEX(TblClusters[Environnement],$B340)))</f>
        <v/>
      </c>
      <c r="AG340" s="14" t="str">
        <f aca="false">IF($D340&lt;&gt;1,"",$R340+p_poidsram*$S340)</f>
        <v/>
      </c>
      <c r="AH340" s="14" t="str">
        <f aca="false">IF($D340&lt;&gt;1,"",IFERROR($W340/$AG340,0))</f>
        <v/>
      </c>
      <c r="AI340" s="14" t="str">
        <f aca="false">IF($D340&lt;&gt;1,"",IF(AND($G340="IKS",ISNUMBER(INDEX(TblClusters[Fermeture retenue],$B340))),IF($E340&gt;=INDEX(TblClusters[Fermeture retenue],$B340),1,0),0))</f>
        <v/>
      </c>
    </row>
    <row r="341" customFormat="false" ht="15" hidden="false" customHeight="false" outlineLevel="0" collapsed="false">
      <c r="A341" s="14" t="n">
        <v>336</v>
      </c>
      <c r="B341" s="14" t="n">
        <f aca="false">INT(($A341-1)/36)+1</f>
        <v>10</v>
      </c>
      <c r="C341" s="14" t="n">
        <f aca="false">MOD($A341-1,36)+1</f>
        <v>12</v>
      </c>
      <c r="D341" s="14" t="n">
        <f aca="false">IF($C341&gt;p_horizon,0,IFERROR(IF(AND(INDEX(TblClusters[Cluster],$B341)&lt;&gt;"",ISNUMBER(INDEX(TblClusters[CPU initial (vCPU)],$B341)),ISNUMBER(INDEX(TblClusters[CPU min (vCPU)],$B341)),OR(INDEX(TblClusters[Plateforme],$B341)="IKS",INDEX(TblClusters[Plateforme],$B341)="ROKS")),1,0),0))</f>
        <v>0</v>
      </c>
      <c r="E341" s="83" t="str">
        <f aca="false">IF($D341=1,EDATE(p_debut,$C341-1),"")</f>
        <v/>
      </c>
      <c r="F341" s="14" t="str">
        <f aca="false">IF($D341=1,INDEX(TblClusters[Cluster],$B341),"")</f>
        <v/>
      </c>
      <c r="G341" s="14" t="str">
        <f aca="false">IF($D341=1,INDEX(TblClusters[Plateforme],$B341),"")</f>
        <v/>
      </c>
      <c r="H341" s="14" t="str">
        <f aca="false">IF($D341=1,INDEX(TblClusters[vCPU par nœud],$B341),"")</f>
        <v/>
      </c>
      <c r="I341" s="14" t="str">
        <f aca="false">IF($D341=1,INDEX(TblClusters[RAM par nœud (Go)],$B341),"")</f>
        <v/>
      </c>
      <c r="J341" s="14" t="str">
        <f aca="false">IF($D341=1,INDEX(TblClusters[Workers min],$B341),"")</f>
        <v/>
      </c>
      <c r="K341" s="84" t="str">
        <f aca="false">IF($D341=1,INDEX(TblClusters[Tarif par nœud],$B341),"")</f>
        <v/>
      </c>
      <c r="L341" s="14" t="str">
        <f aca="false">IF($D341=1,INDEX(TblClusters[CPU initial (vCPU)],$B341),"")</f>
        <v/>
      </c>
      <c r="M341" s="14" t="str">
        <f aca="false">IF($D341=1,INDEX(TblClusters[RAM initiale (Go)],$B341),"")</f>
        <v/>
      </c>
      <c r="N341" s="14" t="str">
        <f aca="false">IF($D341=1,INDEX(TblClusters[CPU min (vCPU)],$B341),"")</f>
        <v/>
      </c>
      <c r="O341" s="14" t="str">
        <f aca="false">IF($D341=1,INDEX(TblClusters[RAM min (Go)],$B341),"")</f>
        <v/>
      </c>
      <c r="P341" s="14" t="str">
        <f aca="false">IF($D341&lt;&gt;1,"",IF($G341="ROKS",SUMIFS(TblApplications[Besoin ROKS CPU (vCPU)],TblApplications[Cluster ROKS cible],$F341,TblApplications[Action],"À migrer",TblApplications[Déjà incluse ROKS],"Non",TblApplications[Mois prov (calc)],"&lt;="&amp;$E341),SUMIFS(TblApplications[CPU IKS libérable (vCPU)],TblApplications[Cluster IKS source],$F341,TblApplications[Mois lib (calc)],"&lt;="&amp;$E341)))</f>
        <v/>
      </c>
      <c r="Q341" s="14" t="str">
        <f aca="false">IF($D341&lt;&gt;1,"",IF($G341="ROKS",SUMIFS(TblApplications[Besoin ROKS RAM (Go)],TblApplications[Cluster ROKS cible],$F341,TblApplications[Action],"À migrer",TblApplications[Déjà incluse ROKS],"Non",TblApplications[Mois prov (calc)],"&lt;="&amp;$E341),SUMIFS(TblApplications[RAM IKS libérable (Go)],TblApplications[Cluster IKS source],$F341,TblApplications[Mois lib (calc)],"&lt;="&amp;$E341)))</f>
        <v/>
      </c>
      <c r="R341" s="14" t="str">
        <f aca="false">IF($D341&lt;&gt;1,"",IF($G341="ROKS",$L341+$P341,IF($AI341=1,0,MAX($N341,$L341-$P341))))</f>
        <v/>
      </c>
      <c r="S341" s="14" t="str">
        <f aca="false">IF($D341&lt;&gt;1,"",IF($G341="ROKS",$M341+$Q341,IF($AI341=1,0,MAX($O341,$M341-$Q341))))</f>
        <v/>
      </c>
      <c r="T341" s="14" t="str">
        <f aca="false">IF($D341&lt;&gt;1,"",IF($AI341=1,0,MAX($J341,ROUNDUP(MAX($R341/$H341,$S341/$I341),0))))</f>
        <v/>
      </c>
      <c r="U341" s="14" t="str">
        <f aca="false">IF($D341&lt;&gt;1,"",IF(p_mode="Nœud",$T341*$H341,$R341))</f>
        <v/>
      </c>
      <c r="V341" s="14" t="str">
        <f aca="false">IF($D341&lt;&gt;1,"",IF(p_mode="Nœud",$T341*$I341,$S341))</f>
        <v/>
      </c>
      <c r="W341" s="84" t="str">
        <f aca="false">IF($D341&lt;&gt;1,"",IF(p_mode="Nœud",$T341*$K341,$R341*IF($G341="IKS",p_iks_cpu,p_roks_cpu)+$S341*IF($G341="IKS",p_iks_ram,p_roks_ram))*p_facteur)</f>
        <v/>
      </c>
      <c r="X341" s="14" t="str">
        <f aca="false">IF($D341&lt;&gt;1,"",IF($G341="ROKS",$R341,IF($AI341=1,0,MAX($N341,$L341-SUMIFS(TblApplications[CPU IKS libérable (vCPU)],TblApplications[Cluster IKS source],$F341,TblApplications[Action],"À migrer",TblApplications[Mois prov (calc)],"&lt;="&amp;$E341)-SUMIFS(TblApplications[CPU IKS libérable (vCPU)],TblApplications[Cluster IKS source],$F341,TblApplications[Action],"À décommissionner",TblApplications[Mois lib (calc)],"&lt;="&amp;$E341)))))</f>
        <v/>
      </c>
      <c r="Y341" s="14" t="str">
        <f aca="false">IF($D341&lt;&gt;1,"",IF($G341="ROKS",$S341,IF($AI341=1,0,MAX($O341,$M341-SUMIFS(TblApplications[RAM IKS libérable (Go)],TblApplications[Cluster IKS source],$F341,TblApplications[Action],"À migrer",TblApplications[Mois prov (calc)],"&lt;="&amp;$E341)-SUMIFS(TblApplications[RAM IKS libérable (Go)],TblApplications[Cluster IKS source],$F341,TblApplications[Action],"À décommissionner",TblApplications[Mois lib (calc)],"&lt;="&amp;$E341)))))</f>
        <v/>
      </c>
      <c r="Z341" s="14" t="str">
        <f aca="false">IF($D341&lt;&gt;1,"",IF($AI341=1,0,MAX($J341,ROUNDUP(MAX($X341/$H341,$Y341/$I341),0))))</f>
        <v/>
      </c>
      <c r="AA341" s="84" t="str">
        <f aca="false">IF($D341&lt;&gt;1,"",IF(p_mode="Nœud",$Z341*$K341,$X341*IF($G341="IKS",p_iks_cpu,p_roks_cpu)+$Y341*IF($G341="IKS",p_iks_ram,p_roks_ram))*p_facteur)</f>
        <v/>
      </c>
      <c r="AB341" s="14" t="str">
        <f aca="false">IF($D341&lt;&gt;1,"",MAX($J341,ROUNDUP(MAX($L341/$H341,$M341/$I341),0)))</f>
        <v/>
      </c>
      <c r="AC341" s="84" t="str">
        <f aca="false">IF($D341&lt;&gt;1,"",IF(p_mode="Nœud",$AB341*$K341,$L341*IF($G341="IKS",p_iks_cpu,p_roks_cpu)+$M341*IF($G341="IKS",p_iks_ram,p_roks_ram))*p_facteur)</f>
        <v/>
      </c>
      <c r="AD341" s="14" t="str">
        <f aca="false">IF($D341&lt;&gt;1,"",IF(AND($G341="IKS",$AI341&lt;&gt;1,OR($L341-$P341&lt;$N341,$M341-$Q341&lt;$O341)),1,0))</f>
        <v/>
      </c>
      <c r="AE341" s="14" t="str">
        <f aca="false">IF($D341&lt;&gt;1,"",IF(AND($G341="ROKS",$T341&gt;p_maxworkers),1,0))</f>
        <v/>
      </c>
      <c r="AF341" s="14" t="str">
        <f aca="false">IF($D341&lt;&gt;1,"",IF(INDEX(TblClusters[Environnement],$B341)="","(vide)",INDEX(TblClusters[Environnement],$B341)))</f>
        <v/>
      </c>
      <c r="AG341" s="14" t="str">
        <f aca="false">IF($D341&lt;&gt;1,"",$R341+p_poidsram*$S341)</f>
        <v/>
      </c>
      <c r="AH341" s="14" t="str">
        <f aca="false">IF($D341&lt;&gt;1,"",IFERROR($W341/$AG341,0))</f>
        <v/>
      </c>
      <c r="AI341" s="14" t="str">
        <f aca="false">IF($D341&lt;&gt;1,"",IF(AND($G341="IKS",ISNUMBER(INDEX(TblClusters[Fermeture retenue],$B341))),IF($E341&gt;=INDEX(TblClusters[Fermeture retenue],$B341),1,0),0))</f>
        <v/>
      </c>
    </row>
    <row r="342" customFormat="false" ht="15" hidden="false" customHeight="false" outlineLevel="0" collapsed="false">
      <c r="A342" s="14" t="n">
        <v>337</v>
      </c>
      <c r="B342" s="14" t="n">
        <f aca="false">INT(($A342-1)/36)+1</f>
        <v>10</v>
      </c>
      <c r="C342" s="14" t="n">
        <f aca="false">MOD($A342-1,36)+1</f>
        <v>13</v>
      </c>
      <c r="D342" s="14" t="n">
        <f aca="false">IF($C342&gt;p_horizon,0,IFERROR(IF(AND(INDEX(TblClusters[Cluster],$B342)&lt;&gt;"",ISNUMBER(INDEX(TblClusters[CPU initial (vCPU)],$B342)),ISNUMBER(INDEX(TblClusters[CPU min (vCPU)],$B342)),OR(INDEX(TblClusters[Plateforme],$B342)="IKS",INDEX(TblClusters[Plateforme],$B342)="ROKS")),1,0),0))</f>
        <v>0</v>
      </c>
      <c r="E342" s="83" t="str">
        <f aca="false">IF($D342=1,EDATE(p_debut,$C342-1),"")</f>
        <v/>
      </c>
      <c r="F342" s="14" t="str">
        <f aca="false">IF($D342=1,INDEX(TblClusters[Cluster],$B342),"")</f>
        <v/>
      </c>
      <c r="G342" s="14" t="str">
        <f aca="false">IF($D342=1,INDEX(TblClusters[Plateforme],$B342),"")</f>
        <v/>
      </c>
      <c r="H342" s="14" t="str">
        <f aca="false">IF($D342=1,INDEX(TblClusters[vCPU par nœud],$B342),"")</f>
        <v/>
      </c>
      <c r="I342" s="14" t="str">
        <f aca="false">IF($D342=1,INDEX(TblClusters[RAM par nœud (Go)],$B342),"")</f>
        <v/>
      </c>
      <c r="J342" s="14" t="str">
        <f aca="false">IF($D342=1,INDEX(TblClusters[Workers min],$B342),"")</f>
        <v/>
      </c>
      <c r="K342" s="84" t="str">
        <f aca="false">IF($D342=1,INDEX(TblClusters[Tarif par nœud],$B342),"")</f>
        <v/>
      </c>
      <c r="L342" s="14" t="str">
        <f aca="false">IF($D342=1,INDEX(TblClusters[CPU initial (vCPU)],$B342),"")</f>
        <v/>
      </c>
      <c r="M342" s="14" t="str">
        <f aca="false">IF($D342=1,INDEX(TblClusters[RAM initiale (Go)],$B342),"")</f>
        <v/>
      </c>
      <c r="N342" s="14" t="str">
        <f aca="false">IF($D342=1,INDEX(TblClusters[CPU min (vCPU)],$B342),"")</f>
        <v/>
      </c>
      <c r="O342" s="14" t="str">
        <f aca="false">IF($D342=1,INDEX(TblClusters[RAM min (Go)],$B342),"")</f>
        <v/>
      </c>
      <c r="P342" s="14" t="str">
        <f aca="false">IF($D342&lt;&gt;1,"",IF($G342="ROKS",SUMIFS(TblApplications[Besoin ROKS CPU (vCPU)],TblApplications[Cluster ROKS cible],$F342,TblApplications[Action],"À migrer",TblApplications[Déjà incluse ROKS],"Non",TblApplications[Mois prov (calc)],"&lt;="&amp;$E342),SUMIFS(TblApplications[CPU IKS libérable (vCPU)],TblApplications[Cluster IKS source],$F342,TblApplications[Mois lib (calc)],"&lt;="&amp;$E342)))</f>
        <v/>
      </c>
      <c r="Q342" s="14" t="str">
        <f aca="false">IF($D342&lt;&gt;1,"",IF($G342="ROKS",SUMIFS(TblApplications[Besoin ROKS RAM (Go)],TblApplications[Cluster ROKS cible],$F342,TblApplications[Action],"À migrer",TblApplications[Déjà incluse ROKS],"Non",TblApplications[Mois prov (calc)],"&lt;="&amp;$E342),SUMIFS(TblApplications[RAM IKS libérable (Go)],TblApplications[Cluster IKS source],$F342,TblApplications[Mois lib (calc)],"&lt;="&amp;$E342)))</f>
        <v/>
      </c>
      <c r="R342" s="14" t="str">
        <f aca="false">IF($D342&lt;&gt;1,"",IF($G342="ROKS",$L342+$P342,IF($AI342=1,0,MAX($N342,$L342-$P342))))</f>
        <v/>
      </c>
      <c r="S342" s="14" t="str">
        <f aca="false">IF($D342&lt;&gt;1,"",IF($G342="ROKS",$M342+$Q342,IF($AI342=1,0,MAX($O342,$M342-$Q342))))</f>
        <v/>
      </c>
      <c r="T342" s="14" t="str">
        <f aca="false">IF($D342&lt;&gt;1,"",IF($AI342=1,0,MAX($J342,ROUNDUP(MAX($R342/$H342,$S342/$I342),0))))</f>
        <v/>
      </c>
      <c r="U342" s="14" t="str">
        <f aca="false">IF($D342&lt;&gt;1,"",IF(p_mode="Nœud",$T342*$H342,$R342))</f>
        <v/>
      </c>
      <c r="V342" s="14" t="str">
        <f aca="false">IF($D342&lt;&gt;1,"",IF(p_mode="Nœud",$T342*$I342,$S342))</f>
        <v/>
      </c>
      <c r="W342" s="84" t="str">
        <f aca="false">IF($D342&lt;&gt;1,"",IF(p_mode="Nœud",$T342*$K342,$R342*IF($G342="IKS",p_iks_cpu,p_roks_cpu)+$S342*IF($G342="IKS",p_iks_ram,p_roks_ram))*p_facteur)</f>
        <v/>
      </c>
      <c r="X342" s="14" t="str">
        <f aca="false">IF($D342&lt;&gt;1,"",IF($G342="ROKS",$R342,IF($AI342=1,0,MAX($N342,$L342-SUMIFS(TblApplications[CPU IKS libérable (vCPU)],TblApplications[Cluster IKS source],$F342,TblApplications[Action],"À migrer",TblApplications[Mois prov (calc)],"&lt;="&amp;$E342)-SUMIFS(TblApplications[CPU IKS libérable (vCPU)],TblApplications[Cluster IKS source],$F342,TblApplications[Action],"À décommissionner",TblApplications[Mois lib (calc)],"&lt;="&amp;$E342)))))</f>
        <v/>
      </c>
      <c r="Y342" s="14" t="str">
        <f aca="false">IF($D342&lt;&gt;1,"",IF($G342="ROKS",$S342,IF($AI342=1,0,MAX($O342,$M342-SUMIFS(TblApplications[RAM IKS libérable (Go)],TblApplications[Cluster IKS source],$F342,TblApplications[Action],"À migrer",TblApplications[Mois prov (calc)],"&lt;="&amp;$E342)-SUMIFS(TblApplications[RAM IKS libérable (Go)],TblApplications[Cluster IKS source],$F342,TblApplications[Action],"À décommissionner",TblApplications[Mois lib (calc)],"&lt;="&amp;$E342)))))</f>
        <v/>
      </c>
      <c r="Z342" s="14" t="str">
        <f aca="false">IF($D342&lt;&gt;1,"",IF($AI342=1,0,MAX($J342,ROUNDUP(MAX($X342/$H342,$Y342/$I342),0))))</f>
        <v/>
      </c>
      <c r="AA342" s="84" t="str">
        <f aca="false">IF($D342&lt;&gt;1,"",IF(p_mode="Nœud",$Z342*$K342,$X342*IF($G342="IKS",p_iks_cpu,p_roks_cpu)+$Y342*IF($G342="IKS",p_iks_ram,p_roks_ram))*p_facteur)</f>
        <v/>
      </c>
      <c r="AB342" s="14" t="str">
        <f aca="false">IF($D342&lt;&gt;1,"",MAX($J342,ROUNDUP(MAX($L342/$H342,$M342/$I342),0)))</f>
        <v/>
      </c>
      <c r="AC342" s="84" t="str">
        <f aca="false">IF($D342&lt;&gt;1,"",IF(p_mode="Nœud",$AB342*$K342,$L342*IF($G342="IKS",p_iks_cpu,p_roks_cpu)+$M342*IF($G342="IKS",p_iks_ram,p_roks_ram))*p_facteur)</f>
        <v/>
      </c>
      <c r="AD342" s="14" t="str">
        <f aca="false">IF($D342&lt;&gt;1,"",IF(AND($G342="IKS",$AI342&lt;&gt;1,OR($L342-$P342&lt;$N342,$M342-$Q342&lt;$O342)),1,0))</f>
        <v/>
      </c>
      <c r="AE342" s="14" t="str">
        <f aca="false">IF($D342&lt;&gt;1,"",IF(AND($G342="ROKS",$T342&gt;p_maxworkers),1,0))</f>
        <v/>
      </c>
      <c r="AF342" s="14" t="str">
        <f aca="false">IF($D342&lt;&gt;1,"",IF(INDEX(TblClusters[Environnement],$B342)="","(vide)",INDEX(TblClusters[Environnement],$B342)))</f>
        <v/>
      </c>
      <c r="AG342" s="14" t="str">
        <f aca="false">IF($D342&lt;&gt;1,"",$R342+p_poidsram*$S342)</f>
        <v/>
      </c>
      <c r="AH342" s="14" t="str">
        <f aca="false">IF($D342&lt;&gt;1,"",IFERROR($W342/$AG342,0))</f>
        <v/>
      </c>
      <c r="AI342" s="14" t="str">
        <f aca="false">IF($D342&lt;&gt;1,"",IF(AND($G342="IKS",ISNUMBER(INDEX(TblClusters[Fermeture retenue],$B342))),IF($E342&gt;=INDEX(TblClusters[Fermeture retenue],$B342),1,0),0))</f>
        <v/>
      </c>
    </row>
    <row r="343" customFormat="false" ht="15" hidden="false" customHeight="false" outlineLevel="0" collapsed="false">
      <c r="A343" s="14" t="n">
        <v>338</v>
      </c>
      <c r="B343" s="14" t="n">
        <f aca="false">INT(($A343-1)/36)+1</f>
        <v>10</v>
      </c>
      <c r="C343" s="14" t="n">
        <f aca="false">MOD($A343-1,36)+1</f>
        <v>14</v>
      </c>
      <c r="D343" s="14" t="n">
        <f aca="false">IF($C343&gt;p_horizon,0,IFERROR(IF(AND(INDEX(TblClusters[Cluster],$B343)&lt;&gt;"",ISNUMBER(INDEX(TblClusters[CPU initial (vCPU)],$B343)),ISNUMBER(INDEX(TblClusters[CPU min (vCPU)],$B343)),OR(INDEX(TblClusters[Plateforme],$B343)="IKS",INDEX(TblClusters[Plateforme],$B343)="ROKS")),1,0),0))</f>
        <v>0</v>
      </c>
      <c r="E343" s="83" t="str">
        <f aca="false">IF($D343=1,EDATE(p_debut,$C343-1),"")</f>
        <v/>
      </c>
      <c r="F343" s="14" t="str">
        <f aca="false">IF($D343=1,INDEX(TblClusters[Cluster],$B343),"")</f>
        <v/>
      </c>
      <c r="G343" s="14" t="str">
        <f aca="false">IF($D343=1,INDEX(TblClusters[Plateforme],$B343),"")</f>
        <v/>
      </c>
      <c r="H343" s="14" t="str">
        <f aca="false">IF($D343=1,INDEX(TblClusters[vCPU par nœud],$B343),"")</f>
        <v/>
      </c>
      <c r="I343" s="14" t="str">
        <f aca="false">IF($D343=1,INDEX(TblClusters[RAM par nœud (Go)],$B343),"")</f>
        <v/>
      </c>
      <c r="J343" s="14" t="str">
        <f aca="false">IF($D343=1,INDEX(TblClusters[Workers min],$B343),"")</f>
        <v/>
      </c>
      <c r="K343" s="84" t="str">
        <f aca="false">IF($D343=1,INDEX(TblClusters[Tarif par nœud],$B343),"")</f>
        <v/>
      </c>
      <c r="L343" s="14" t="str">
        <f aca="false">IF($D343=1,INDEX(TblClusters[CPU initial (vCPU)],$B343),"")</f>
        <v/>
      </c>
      <c r="M343" s="14" t="str">
        <f aca="false">IF($D343=1,INDEX(TblClusters[RAM initiale (Go)],$B343),"")</f>
        <v/>
      </c>
      <c r="N343" s="14" t="str">
        <f aca="false">IF($D343=1,INDEX(TblClusters[CPU min (vCPU)],$B343),"")</f>
        <v/>
      </c>
      <c r="O343" s="14" t="str">
        <f aca="false">IF($D343=1,INDEX(TblClusters[RAM min (Go)],$B343),"")</f>
        <v/>
      </c>
      <c r="P343" s="14" t="str">
        <f aca="false">IF($D343&lt;&gt;1,"",IF($G343="ROKS",SUMIFS(TblApplications[Besoin ROKS CPU (vCPU)],TblApplications[Cluster ROKS cible],$F343,TblApplications[Action],"À migrer",TblApplications[Déjà incluse ROKS],"Non",TblApplications[Mois prov (calc)],"&lt;="&amp;$E343),SUMIFS(TblApplications[CPU IKS libérable (vCPU)],TblApplications[Cluster IKS source],$F343,TblApplications[Mois lib (calc)],"&lt;="&amp;$E343)))</f>
        <v/>
      </c>
      <c r="Q343" s="14" t="str">
        <f aca="false">IF($D343&lt;&gt;1,"",IF($G343="ROKS",SUMIFS(TblApplications[Besoin ROKS RAM (Go)],TblApplications[Cluster ROKS cible],$F343,TblApplications[Action],"À migrer",TblApplications[Déjà incluse ROKS],"Non",TblApplications[Mois prov (calc)],"&lt;="&amp;$E343),SUMIFS(TblApplications[RAM IKS libérable (Go)],TblApplications[Cluster IKS source],$F343,TblApplications[Mois lib (calc)],"&lt;="&amp;$E343)))</f>
        <v/>
      </c>
      <c r="R343" s="14" t="str">
        <f aca="false">IF($D343&lt;&gt;1,"",IF($G343="ROKS",$L343+$P343,IF($AI343=1,0,MAX($N343,$L343-$P343))))</f>
        <v/>
      </c>
      <c r="S343" s="14" t="str">
        <f aca="false">IF($D343&lt;&gt;1,"",IF($G343="ROKS",$M343+$Q343,IF($AI343=1,0,MAX($O343,$M343-$Q343))))</f>
        <v/>
      </c>
      <c r="T343" s="14" t="str">
        <f aca="false">IF($D343&lt;&gt;1,"",IF($AI343=1,0,MAX($J343,ROUNDUP(MAX($R343/$H343,$S343/$I343),0))))</f>
        <v/>
      </c>
      <c r="U343" s="14" t="str">
        <f aca="false">IF($D343&lt;&gt;1,"",IF(p_mode="Nœud",$T343*$H343,$R343))</f>
        <v/>
      </c>
      <c r="V343" s="14" t="str">
        <f aca="false">IF($D343&lt;&gt;1,"",IF(p_mode="Nœud",$T343*$I343,$S343))</f>
        <v/>
      </c>
      <c r="W343" s="84" t="str">
        <f aca="false">IF($D343&lt;&gt;1,"",IF(p_mode="Nœud",$T343*$K343,$R343*IF($G343="IKS",p_iks_cpu,p_roks_cpu)+$S343*IF($G343="IKS",p_iks_ram,p_roks_ram))*p_facteur)</f>
        <v/>
      </c>
      <c r="X343" s="14" t="str">
        <f aca="false">IF($D343&lt;&gt;1,"",IF($G343="ROKS",$R343,IF($AI343=1,0,MAX($N343,$L343-SUMIFS(TblApplications[CPU IKS libérable (vCPU)],TblApplications[Cluster IKS source],$F343,TblApplications[Action],"À migrer",TblApplications[Mois prov (calc)],"&lt;="&amp;$E343)-SUMIFS(TblApplications[CPU IKS libérable (vCPU)],TblApplications[Cluster IKS source],$F343,TblApplications[Action],"À décommissionner",TblApplications[Mois lib (calc)],"&lt;="&amp;$E343)))))</f>
        <v/>
      </c>
      <c r="Y343" s="14" t="str">
        <f aca="false">IF($D343&lt;&gt;1,"",IF($G343="ROKS",$S343,IF($AI343=1,0,MAX($O343,$M343-SUMIFS(TblApplications[RAM IKS libérable (Go)],TblApplications[Cluster IKS source],$F343,TblApplications[Action],"À migrer",TblApplications[Mois prov (calc)],"&lt;="&amp;$E343)-SUMIFS(TblApplications[RAM IKS libérable (Go)],TblApplications[Cluster IKS source],$F343,TblApplications[Action],"À décommissionner",TblApplications[Mois lib (calc)],"&lt;="&amp;$E343)))))</f>
        <v/>
      </c>
      <c r="Z343" s="14" t="str">
        <f aca="false">IF($D343&lt;&gt;1,"",IF($AI343=1,0,MAX($J343,ROUNDUP(MAX($X343/$H343,$Y343/$I343),0))))</f>
        <v/>
      </c>
      <c r="AA343" s="84" t="str">
        <f aca="false">IF($D343&lt;&gt;1,"",IF(p_mode="Nœud",$Z343*$K343,$X343*IF($G343="IKS",p_iks_cpu,p_roks_cpu)+$Y343*IF($G343="IKS",p_iks_ram,p_roks_ram))*p_facteur)</f>
        <v/>
      </c>
      <c r="AB343" s="14" t="str">
        <f aca="false">IF($D343&lt;&gt;1,"",MAX($J343,ROUNDUP(MAX($L343/$H343,$M343/$I343),0)))</f>
        <v/>
      </c>
      <c r="AC343" s="84" t="str">
        <f aca="false">IF($D343&lt;&gt;1,"",IF(p_mode="Nœud",$AB343*$K343,$L343*IF($G343="IKS",p_iks_cpu,p_roks_cpu)+$M343*IF($G343="IKS",p_iks_ram,p_roks_ram))*p_facteur)</f>
        <v/>
      </c>
      <c r="AD343" s="14" t="str">
        <f aca="false">IF($D343&lt;&gt;1,"",IF(AND($G343="IKS",$AI343&lt;&gt;1,OR($L343-$P343&lt;$N343,$M343-$Q343&lt;$O343)),1,0))</f>
        <v/>
      </c>
      <c r="AE343" s="14" t="str">
        <f aca="false">IF($D343&lt;&gt;1,"",IF(AND($G343="ROKS",$T343&gt;p_maxworkers),1,0))</f>
        <v/>
      </c>
      <c r="AF343" s="14" t="str">
        <f aca="false">IF($D343&lt;&gt;1,"",IF(INDEX(TblClusters[Environnement],$B343)="","(vide)",INDEX(TblClusters[Environnement],$B343)))</f>
        <v/>
      </c>
      <c r="AG343" s="14" t="str">
        <f aca="false">IF($D343&lt;&gt;1,"",$R343+p_poidsram*$S343)</f>
        <v/>
      </c>
      <c r="AH343" s="14" t="str">
        <f aca="false">IF($D343&lt;&gt;1,"",IFERROR($W343/$AG343,0))</f>
        <v/>
      </c>
      <c r="AI343" s="14" t="str">
        <f aca="false">IF($D343&lt;&gt;1,"",IF(AND($G343="IKS",ISNUMBER(INDEX(TblClusters[Fermeture retenue],$B343))),IF($E343&gt;=INDEX(TblClusters[Fermeture retenue],$B343),1,0),0))</f>
        <v/>
      </c>
    </row>
    <row r="344" customFormat="false" ht="15" hidden="false" customHeight="false" outlineLevel="0" collapsed="false">
      <c r="A344" s="14" t="n">
        <v>339</v>
      </c>
      <c r="B344" s="14" t="n">
        <f aca="false">INT(($A344-1)/36)+1</f>
        <v>10</v>
      </c>
      <c r="C344" s="14" t="n">
        <f aca="false">MOD($A344-1,36)+1</f>
        <v>15</v>
      </c>
      <c r="D344" s="14" t="n">
        <f aca="false">IF($C344&gt;p_horizon,0,IFERROR(IF(AND(INDEX(TblClusters[Cluster],$B344)&lt;&gt;"",ISNUMBER(INDEX(TblClusters[CPU initial (vCPU)],$B344)),ISNUMBER(INDEX(TblClusters[CPU min (vCPU)],$B344)),OR(INDEX(TblClusters[Plateforme],$B344)="IKS",INDEX(TblClusters[Plateforme],$B344)="ROKS")),1,0),0))</f>
        <v>0</v>
      </c>
      <c r="E344" s="83" t="str">
        <f aca="false">IF($D344=1,EDATE(p_debut,$C344-1),"")</f>
        <v/>
      </c>
      <c r="F344" s="14" t="str">
        <f aca="false">IF($D344=1,INDEX(TblClusters[Cluster],$B344),"")</f>
        <v/>
      </c>
      <c r="G344" s="14" t="str">
        <f aca="false">IF($D344=1,INDEX(TblClusters[Plateforme],$B344),"")</f>
        <v/>
      </c>
      <c r="H344" s="14" t="str">
        <f aca="false">IF($D344=1,INDEX(TblClusters[vCPU par nœud],$B344),"")</f>
        <v/>
      </c>
      <c r="I344" s="14" t="str">
        <f aca="false">IF($D344=1,INDEX(TblClusters[RAM par nœud (Go)],$B344),"")</f>
        <v/>
      </c>
      <c r="J344" s="14" t="str">
        <f aca="false">IF($D344=1,INDEX(TblClusters[Workers min],$B344),"")</f>
        <v/>
      </c>
      <c r="K344" s="84" t="str">
        <f aca="false">IF($D344=1,INDEX(TblClusters[Tarif par nœud],$B344),"")</f>
        <v/>
      </c>
      <c r="L344" s="14" t="str">
        <f aca="false">IF($D344=1,INDEX(TblClusters[CPU initial (vCPU)],$B344),"")</f>
        <v/>
      </c>
      <c r="M344" s="14" t="str">
        <f aca="false">IF($D344=1,INDEX(TblClusters[RAM initiale (Go)],$B344),"")</f>
        <v/>
      </c>
      <c r="N344" s="14" t="str">
        <f aca="false">IF($D344=1,INDEX(TblClusters[CPU min (vCPU)],$B344),"")</f>
        <v/>
      </c>
      <c r="O344" s="14" t="str">
        <f aca="false">IF($D344=1,INDEX(TblClusters[RAM min (Go)],$B344),"")</f>
        <v/>
      </c>
      <c r="P344" s="14" t="str">
        <f aca="false">IF($D344&lt;&gt;1,"",IF($G344="ROKS",SUMIFS(TblApplications[Besoin ROKS CPU (vCPU)],TblApplications[Cluster ROKS cible],$F344,TblApplications[Action],"À migrer",TblApplications[Déjà incluse ROKS],"Non",TblApplications[Mois prov (calc)],"&lt;="&amp;$E344),SUMIFS(TblApplications[CPU IKS libérable (vCPU)],TblApplications[Cluster IKS source],$F344,TblApplications[Mois lib (calc)],"&lt;="&amp;$E344)))</f>
        <v/>
      </c>
      <c r="Q344" s="14" t="str">
        <f aca="false">IF($D344&lt;&gt;1,"",IF($G344="ROKS",SUMIFS(TblApplications[Besoin ROKS RAM (Go)],TblApplications[Cluster ROKS cible],$F344,TblApplications[Action],"À migrer",TblApplications[Déjà incluse ROKS],"Non",TblApplications[Mois prov (calc)],"&lt;="&amp;$E344),SUMIFS(TblApplications[RAM IKS libérable (Go)],TblApplications[Cluster IKS source],$F344,TblApplications[Mois lib (calc)],"&lt;="&amp;$E344)))</f>
        <v/>
      </c>
      <c r="R344" s="14" t="str">
        <f aca="false">IF($D344&lt;&gt;1,"",IF($G344="ROKS",$L344+$P344,IF($AI344=1,0,MAX($N344,$L344-$P344))))</f>
        <v/>
      </c>
      <c r="S344" s="14" t="str">
        <f aca="false">IF($D344&lt;&gt;1,"",IF($G344="ROKS",$M344+$Q344,IF($AI344=1,0,MAX($O344,$M344-$Q344))))</f>
        <v/>
      </c>
      <c r="T344" s="14" t="str">
        <f aca="false">IF($D344&lt;&gt;1,"",IF($AI344=1,0,MAX($J344,ROUNDUP(MAX($R344/$H344,$S344/$I344),0))))</f>
        <v/>
      </c>
      <c r="U344" s="14" t="str">
        <f aca="false">IF($D344&lt;&gt;1,"",IF(p_mode="Nœud",$T344*$H344,$R344))</f>
        <v/>
      </c>
      <c r="V344" s="14" t="str">
        <f aca="false">IF($D344&lt;&gt;1,"",IF(p_mode="Nœud",$T344*$I344,$S344))</f>
        <v/>
      </c>
      <c r="W344" s="84" t="str">
        <f aca="false">IF($D344&lt;&gt;1,"",IF(p_mode="Nœud",$T344*$K344,$R344*IF($G344="IKS",p_iks_cpu,p_roks_cpu)+$S344*IF($G344="IKS",p_iks_ram,p_roks_ram))*p_facteur)</f>
        <v/>
      </c>
      <c r="X344" s="14" t="str">
        <f aca="false">IF($D344&lt;&gt;1,"",IF($G344="ROKS",$R344,IF($AI344=1,0,MAX($N344,$L344-SUMIFS(TblApplications[CPU IKS libérable (vCPU)],TblApplications[Cluster IKS source],$F344,TblApplications[Action],"À migrer",TblApplications[Mois prov (calc)],"&lt;="&amp;$E344)-SUMIFS(TblApplications[CPU IKS libérable (vCPU)],TblApplications[Cluster IKS source],$F344,TblApplications[Action],"À décommissionner",TblApplications[Mois lib (calc)],"&lt;="&amp;$E344)))))</f>
        <v/>
      </c>
      <c r="Y344" s="14" t="str">
        <f aca="false">IF($D344&lt;&gt;1,"",IF($G344="ROKS",$S344,IF($AI344=1,0,MAX($O344,$M344-SUMIFS(TblApplications[RAM IKS libérable (Go)],TblApplications[Cluster IKS source],$F344,TblApplications[Action],"À migrer",TblApplications[Mois prov (calc)],"&lt;="&amp;$E344)-SUMIFS(TblApplications[RAM IKS libérable (Go)],TblApplications[Cluster IKS source],$F344,TblApplications[Action],"À décommissionner",TblApplications[Mois lib (calc)],"&lt;="&amp;$E344)))))</f>
        <v/>
      </c>
      <c r="Z344" s="14" t="str">
        <f aca="false">IF($D344&lt;&gt;1,"",IF($AI344=1,0,MAX($J344,ROUNDUP(MAX($X344/$H344,$Y344/$I344),0))))</f>
        <v/>
      </c>
      <c r="AA344" s="84" t="str">
        <f aca="false">IF($D344&lt;&gt;1,"",IF(p_mode="Nœud",$Z344*$K344,$X344*IF($G344="IKS",p_iks_cpu,p_roks_cpu)+$Y344*IF($G344="IKS",p_iks_ram,p_roks_ram))*p_facteur)</f>
        <v/>
      </c>
      <c r="AB344" s="14" t="str">
        <f aca="false">IF($D344&lt;&gt;1,"",MAX($J344,ROUNDUP(MAX($L344/$H344,$M344/$I344),0)))</f>
        <v/>
      </c>
      <c r="AC344" s="84" t="str">
        <f aca="false">IF($D344&lt;&gt;1,"",IF(p_mode="Nœud",$AB344*$K344,$L344*IF($G344="IKS",p_iks_cpu,p_roks_cpu)+$M344*IF($G344="IKS",p_iks_ram,p_roks_ram))*p_facteur)</f>
        <v/>
      </c>
      <c r="AD344" s="14" t="str">
        <f aca="false">IF($D344&lt;&gt;1,"",IF(AND($G344="IKS",$AI344&lt;&gt;1,OR($L344-$P344&lt;$N344,$M344-$Q344&lt;$O344)),1,0))</f>
        <v/>
      </c>
      <c r="AE344" s="14" t="str">
        <f aca="false">IF($D344&lt;&gt;1,"",IF(AND($G344="ROKS",$T344&gt;p_maxworkers),1,0))</f>
        <v/>
      </c>
      <c r="AF344" s="14" t="str">
        <f aca="false">IF($D344&lt;&gt;1,"",IF(INDEX(TblClusters[Environnement],$B344)="","(vide)",INDEX(TblClusters[Environnement],$B344)))</f>
        <v/>
      </c>
      <c r="AG344" s="14" t="str">
        <f aca="false">IF($D344&lt;&gt;1,"",$R344+p_poidsram*$S344)</f>
        <v/>
      </c>
      <c r="AH344" s="14" t="str">
        <f aca="false">IF($D344&lt;&gt;1,"",IFERROR($W344/$AG344,0))</f>
        <v/>
      </c>
      <c r="AI344" s="14" t="str">
        <f aca="false">IF($D344&lt;&gt;1,"",IF(AND($G344="IKS",ISNUMBER(INDEX(TblClusters[Fermeture retenue],$B344))),IF($E344&gt;=INDEX(TblClusters[Fermeture retenue],$B344),1,0),0))</f>
        <v/>
      </c>
    </row>
    <row r="345" customFormat="false" ht="15" hidden="false" customHeight="false" outlineLevel="0" collapsed="false">
      <c r="A345" s="14" t="n">
        <v>340</v>
      </c>
      <c r="B345" s="14" t="n">
        <f aca="false">INT(($A345-1)/36)+1</f>
        <v>10</v>
      </c>
      <c r="C345" s="14" t="n">
        <f aca="false">MOD($A345-1,36)+1</f>
        <v>16</v>
      </c>
      <c r="D345" s="14" t="n">
        <f aca="false">IF($C345&gt;p_horizon,0,IFERROR(IF(AND(INDEX(TblClusters[Cluster],$B345)&lt;&gt;"",ISNUMBER(INDEX(TblClusters[CPU initial (vCPU)],$B345)),ISNUMBER(INDEX(TblClusters[CPU min (vCPU)],$B345)),OR(INDEX(TblClusters[Plateforme],$B345)="IKS",INDEX(TblClusters[Plateforme],$B345)="ROKS")),1,0),0))</f>
        <v>0</v>
      </c>
      <c r="E345" s="83" t="str">
        <f aca="false">IF($D345=1,EDATE(p_debut,$C345-1),"")</f>
        <v/>
      </c>
      <c r="F345" s="14" t="str">
        <f aca="false">IF($D345=1,INDEX(TblClusters[Cluster],$B345),"")</f>
        <v/>
      </c>
      <c r="G345" s="14" t="str">
        <f aca="false">IF($D345=1,INDEX(TblClusters[Plateforme],$B345),"")</f>
        <v/>
      </c>
      <c r="H345" s="14" t="str">
        <f aca="false">IF($D345=1,INDEX(TblClusters[vCPU par nœud],$B345),"")</f>
        <v/>
      </c>
      <c r="I345" s="14" t="str">
        <f aca="false">IF($D345=1,INDEX(TblClusters[RAM par nœud (Go)],$B345),"")</f>
        <v/>
      </c>
      <c r="J345" s="14" t="str">
        <f aca="false">IF($D345=1,INDEX(TblClusters[Workers min],$B345),"")</f>
        <v/>
      </c>
      <c r="K345" s="84" t="str">
        <f aca="false">IF($D345=1,INDEX(TblClusters[Tarif par nœud],$B345),"")</f>
        <v/>
      </c>
      <c r="L345" s="14" t="str">
        <f aca="false">IF($D345=1,INDEX(TblClusters[CPU initial (vCPU)],$B345),"")</f>
        <v/>
      </c>
      <c r="M345" s="14" t="str">
        <f aca="false">IF($D345=1,INDEX(TblClusters[RAM initiale (Go)],$B345),"")</f>
        <v/>
      </c>
      <c r="N345" s="14" t="str">
        <f aca="false">IF($D345=1,INDEX(TblClusters[CPU min (vCPU)],$B345),"")</f>
        <v/>
      </c>
      <c r="O345" s="14" t="str">
        <f aca="false">IF($D345=1,INDEX(TblClusters[RAM min (Go)],$B345),"")</f>
        <v/>
      </c>
      <c r="P345" s="14" t="str">
        <f aca="false">IF($D345&lt;&gt;1,"",IF($G345="ROKS",SUMIFS(TblApplications[Besoin ROKS CPU (vCPU)],TblApplications[Cluster ROKS cible],$F345,TblApplications[Action],"À migrer",TblApplications[Déjà incluse ROKS],"Non",TblApplications[Mois prov (calc)],"&lt;="&amp;$E345),SUMIFS(TblApplications[CPU IKS libérable (vCPU)],TblApplications[Cluster IKS source],$F345,TblApplications[Mois lib (calc)],"&lt;="&amp;$E345)))</f>
        <v/>
      </c>
      <c r="Q345" s="14" t="str">
        <f aca="false">IF($D345&lt;&gt;1,"",IF($G345="ROKS",SUMIFS(TblApplications[Besoin ROKS RAM (Go)],TblApplications[Cluster ROKS cible],$F345,TblApplications[Action],"À migrer",TblApplications[Déjà incluse ROKS],"Non",TblApplications[Mois prov (calc)],"&lt;="&amp;$E345),SUMIFS(TblApplications[RAM IKS libérable (Go)],TblApplications[Cluster IKS source],$F345,TblApplications[Mois lib (calc)],"&lt;="&amp;$E345)))</f>
        <v/>
      </c>
      <c r="R345" s="14" t="str">
        <f aca="false">IF($D345&lt;&gt;1,"",IF($G345="ROKS",$L345+$P345,IF($AI345=1,0,MAX($N345,$L345-$P345))))</f>
        <v/>
      </c>
      <c r="S345" s="14" t="str">
        <f aca="false">IF($D345&lt;&gt;1,"",IF($G345="ROKS",$M345+$Q345,IF($AI345=1,0,MAX($O345,$M345-$Q345))))</f>
        <v/>
      </c>
      <c r="T345" s="14" t="str">
        <f aca="false">IF($D345&lt;&gt;1,"",IF($AI345=1,0,MAX($J345,ROUNDUP(MAX($R345/$H345,$S345/$I345),0))))</f>
        <v/>
      </c>
      <c r="U345" s="14" t="str">
        <f aca="false">IF($D345&lt;&gt;1,"",IF(p_mode="Nœud",$T345*$H345,$R345))</f>
        <v/>
      </c>
      <c r="V345" s="14" t="str">
        <f aca="false">IF($D345&lt;&gt;1,"",IF(p_mode="Nœud",$T345*$I345,$S345))</f>
        <v/>
      </c>
      <c r="W345" s="84" t="str">
        <f aca="false">IF($D345&lt;&gt;1,"",IF(p_mode="Nœud",$T345*$K345,$R345*IF($G345="IKS",p_iks_cpu,p_roks_cpu)+$S345*IF($G345="IKS",p_iks_ram,p_roks_ram))*p_facteur)</f>
        <v/>
      </c>
      <c r="X345" s="14" t="str">
        <f aca="false">IF($D345&lt;&gt;1,"",IF($G345="ROKS",$R345,IF($AI345=1,0,MAX($N345,$L345-SUMIFS(TblApplications[CPU IKS libérable (vCPU)],TblApplications[Cluster IKS source],$F345,TblApplications[Action],"À migrer",TblApplications[Mois prov (calc)],"&lt;="&amp;$E345)-SUMIFS(TblApplications[CPU IKS libérable (vCPU)],TblApplications[Cluster IKS source],$F345,TblApplications[Action],"À décommissionner",TblApplications[Mois lib (calc)],"&lt;="&amp;$E345)))))</f>
        <v/>
      </c>
      <c r="Y345" s="14" t="str">
        <f aca="false">IF($D345&lt;&gt;1,"",IF($G345="ROKS",$S345,IF($AI345=1,0,MAX($O345,$M345-SUMIFS(TblApplications[RAM IKS libérable (Go)],TblApplications[Cluster IKS source],$F345,TblApplications[Action],"À migrer",TblApplications[Mois prov (calc)],"&lt;="&amp;$E345)-SUMIFS(TblApplications[RAM IKS libérable (Go)],TblApplications[Cluster IKS source],$F345,TblApplications[Action],"À décommissionner",TblApplications[Mois lib (calc)],"&lt;="&amp;$E345)))))</f>
        <v/>
      </c>
      <c r="Z345" s="14" t="str">
        <f aca="false">IF($D345&lt;&gt;1,"",IF($AI345=1,0,MAX($J345,ROUNDUP(MAX($X345/$H345,$Y345/$I345),0))))</f>
        <v/>
      </c>
      <c r="AA345" s="84" t="str">
        <f aca="false">IF($D345&lt;&gt;1,"",IF(p_mode="Nœud",$Z345*$K345,$X345*IF($G345="IKS",p_iks_cpu,p_roks_cpu)+$Y345*IF($G345="IKS",p_iks_ram,p_roks_ram))*p_facteur)</f>
        <v/>
      </c>
      <c r="AB345" s="14" t="str">
        <f aca="false">IF($D345&lt;&gt;1,"",MAX($J345,ROUNDUP(MAX($L345/$H345,$M345/$I345),0)))</f>
        <v/>
      </c>
      <c r="AC345" s="84" t="str">
        <f aca="false">IF($D345&lt;&gt;1,"",IF(p_mode="Nœud",$AB345*$K345,$L345*IF($G345="IKS",p_iks_cpu,p_roks_cpu)+$M345*IF($G345="IKS",p_iks_ram,p_roks_ram))*p_facteur)</f>
        <v/>
      </c>
      <c r="AD345" s="14" t="str">
        <f aca="false">IF($D345&lt;&gt;1,"",IF(AND($G345="IKS",$AI345&lt;&gt;1,OR($L345-$P345&lt;$N345,$M345-$Q345&lt;$O345)),1,0))</f>
        <v/>
      </c>
      <c r="AE345" s="14" t="str">
        <f aca="false">IF($D345&lt;&gt;1,"",IF(AND($G345="ROKS",$T345&gt;p_maxworkers),1,0))</f>
        <v/>
      </c>
      <c r="AF345" s="14" t="str">
        <f aca="false">IF($D345&lt;&gt;1,"",IF(INDEX(TblClusters[Environnement],$B345)="","(vide)",INDEX(TblClusters[Environnement],$B345)))</f>
        <v/>
      </c>
      <c r="AG345" s="14" t="str">
        <f aca="false">IF($D345&lt;&gt;1,"",$R345+p_poidsram*$S345)</f>
        <v/>
      </c>
      <c r="AH345" s="14" t="str">
        <f aca="false">IF($D345&lt;&gt;1,"",IFERROR($W345/$AG345,0))</f>
        <v/>
      </c>
      <c r="AI345" s="14" t="str">
        <f aca="false">IF($D345&lt;&gt;1,"",IF(AND($G345="IKS",ISNUMBER(INDEX(TblClusters[Fermeture retenue],$B345))),IF($E345&gt;=INDEX(TblClusters[Fermeture retenue],$B345),1,0),0))</f>
        <v/>
      </c>
    </row>
    <row r="346" customFormat="false" ht="15" hidden="false" customHeight="false" outlineLevel="0" collapsed="false">
      <c r="A346" s="14" t="n">
        <v>341</v>
      </c>
      <c r="B346" s="14" t="n">
        <f aca="false">INT(($A346-1)/36)+1</f>
        <v>10</v>
      </c>
      <c r="C346" s="14" t="n">
        <f aca="false">MOD($A346-1,36)+1</f>
        <v>17</v>
      </c>
      <c r="D346" s="14" t="n">
        <f aca="false">IF($C346&gt;p_horizon,0,IFERROR(IF(AND(INDEX(TblClusters[Cluster],$B346)&lt;&gt;"",ISNUMBER(INDEX(TblClusters[CPU initial (vCPU)],$B346)),ISNUMBER(INDEX(TblClusters[CPU min (vCPU)],$B346)),OR(INDEX(TblClusters[Plateforme],$B346)="IKS",INDEX(TblClusters[Plateforme],$B346)="ROKS")),1,0),0))</f>
        <v>0</v>
      </c>
      <c r="E346" s="83" t="str">
        <f aca="false">IF($D346=1,EDATE(p_debut,$C346-1),"")</f>
        <v/>
      </c>
      <c r="F346" s="14" t="str">
        <f aca="false">IF($D346=1,INDEX(TblClusters[Cluster],$B346),"")</f>
        <v/>
      </c>
      <c r="G346" s="14" t="str">
        <f aca="false">IF($D346=1,INDEX(TblClusters[Plateforme],$B346),"")</f>
        <v/>
      </c>
      <c r="H346" s="14" t="str">
        <f aca="false">IF($D346=1,INDEX(TblClusters[vCPU par nœud],$B346),"")</f>
        <v/>
      </c>
      <c r="I346" s="14" t="str">
        <f aca="false">IF($D346=1,INDEX(TblClusters[RAM par nœud (Go)],$B346),"")</f>
        <v/>
      </c>
      <c r="J346" s="14" t="str">
        <f aca="false">IF($D346=1,INDEX(TblClusters[Workers min],$B346),"")</f>
        <v/>
      </c>
      <c r="K346" s="84" t="str">
        <f aca="false">IF($D346=1,INDEX(TblClusters[Tarif par nœud],$B346),"")</f>
        <v/>
      </c>
      <c r="L346" s="14" t="str">
        <f aca="false">IF($D346=1,INDEX(TblClusters[CPU initial (vCPU)],$B346),"")</f>
        <v/>
      </c>
      <c r="M346" s="14" t="str">
        <f aca="false">IF($D346=1,INDEX(TblClusters[RAM initiale (Go)],$B346),"")</f>
        <v/>
      </c>
      <c r="N346" s="14" t="str">
        <f aca="false">IF($D346=1,INDEX(TblClusters[CPU min (vCPU)],$B346),"")</f>
        <v/>
      </c>
      <c r="O346" s="14" t="str">
        <f aca="false">IF($D346=1,INDEX(TblClusters[RAM min (Go)],$B346),"")</f>
        <v/>
      </c>
      <c r="P346" s="14" t="str">
        <f aca="false">IF($D346&lt;&gt;1,"",IF($G346="ROKS",SUMIFS(TblApplications[Besoin ROKS CPU (vCPU)],TblApplications[Cluster ROKS cible],$F346,TblApplications[Action],"À migrer",TblApplications[Déjà incluse ROKS],"Non",TblApplications[Mois prov (calc)],"&lt;="&amp;$E346),SUMIFS(TblApplications[CPU IKS libérable (vCPU)],TblApplications[Cluster IKS source],$F346,TblApplications[Mois lib (calc)],"&lt;="&amp;$E346)))</f>
        <v/>
      </c>
      <c r="Q346" s="14" t="str">
        <f aca="false">IF($D346&lt;&gt;1,"",IF($G346="ROKS",SUMIFS(TblApplications[Besoin ROKS RAM (Go)],TblApplications[Cluster ROKS cible],$F346,TblApplications[Action],"À migrer",TblApplications[Déjà incluse ROKS],"Non",TblApplications[Mois prov (calc)],"&lt;="&amp;$E346),SUMIFS(TblApplications[RAM IKS libérable (Go)],TblApplications[Cluster IKS source],$F346,TblApplications[Mois lib (calc)],"&lt;="&amp;$E346)))</f>
        <v/>
      </c>
      <c r="R346" s="14" t="str">
        <f aca="false">IF($D346&lt;&gt;1,"",IF($G346="ROKS",$L346+$P346,IF($AI346=1,0,MAX($N346,$L346-$P346))))</f>
        <v/>
      </c>
      <c r="S346" s="14" t="str">
        <f aca="false">IF($D346&lt;&gt;1,"",IF($G346="ROKS",$M346+$Q346,IF($AI346=1,0,MAX($O346,$M346-$Q346))))</f>
        <v/>
      </c>
      <c r="T346" s="14" t="str">
        <f aca="false">IF($D346&lt;&gt;1,"",IF($AI346=1,0,MAX($J346,ROUNDUP(MAX($R346/$H346,$S346/$I346),0))))</f>
        <v/>
      </c>
      <c r="U346" s="14" t="str">
        <f aca="false">IF($D346&lt;&gt;1,"",IF(p_mode="Nœud",$T346*$H346,$R346))</f>
        <v/>
      </c>
      <c r="V346" s="14" t="str">
        <f aca="false">IF($D346&lt;&gt;1,"",IF(p_mode="Nœud",$T346*$I346,$S346))</f>
        <v/>
      </c>
      <c r="W346" s="84" t="str">
        <f aca="false">IF($D346&lt;&gt;1,"",IF(p_mode="Nœud",$T346*$K346,$R346*IF($G346="IKS",p_iks_cpu,p_roks_cpu)+$S346*IF($G346="IKS",p_iks_ram,p_roks_ram))*p_facteur)</f>
        <v/>
      </c>
      <c r="X346" s="14" t="str">
        <f aca="false">IF($D346&lt;&gt;1,"",IF($G346="ROKS",$R346,IF($AI346=1,0,MAX($N346,$L346-SUMIFS(TblApplications[CPU IKS libérable (vCPU)],TblApplications[Cluster IKS source],$F346,TblApplications[Action],"À migrer",TblApplications[Mois prov (calc)],"&lt;="&amp;$E346)-SUMIFS(TblApplications[CPU IKS libérable (vCPU)],TblApplications[Cluster IKS source],$F346,TblApplications[Action],"À décommissionner",TblApplications[Mois lib (calc)],"&lt;="&amp;$E346)))))</f>
        <v/>
      </c>
      <c r="Y346" s="14" t="str">
        <f aca="false">IF($D346&lt;&gt;1,"",IF($G346="ROKS",$S346,IF($AI346=1,0,MAX($O346,$M346-SUMIFS(TblApplications[RAM IKS libérable (Go)],TblApplications[Cluster IKS source],$F346,TblApplications[Action],"À migrer",TblApplications[Mois prov (calc)],"&lt;="&amp;$E346)-SUMIFS(TblApplications[RAM IKS libérable (Go)],TblApplications[Cluster IKS source],$F346,TblApplications[Action],"À décommissionner",TblApplications[Mois lib (calc)],"&lt;="&amp;$E346)))))</f>
        <v/>
      </c>
      <c r="Z346" s="14" t="str">
        <f aca="false">IF($D346&lt;&gt;1,"",IF($AI346=1,0,MAX($J346,ROUNDUP(MAX($X346/$H346,$Y346/$I346),0))))</f>
        <v/>
      </c>
      <c r="AA346" s="84" t="str">
        <f aca="false">IF($D346&lt;&gt;1,"",IF(p_mode="Nœud",$Z346*$K346,$X346*IF($G346="IKS",p_iks_cpu,p_roks_cpu)+$Y346*IF($G346="IKS",p_iks_ram,p_roks_ram))*p_facteur)</f>
        <v/>
      </c>
      <c r="AB346" s="14" t="str">
        <f aca="false">IF($D346&lt;&gt;1,"",MAX($J346,ROUNDUP(MAX($L346/$H346,$M346/$I346),0)))</f>
        <v/>
      </c>
      <c r="AC346" s="84" t="str">
        <f aca="false">IF($D346&lt;&gt;1,"",IF(p_mode="Nœud",$AB346*$K346,$L346*IF($G346="IKS",p_iks_cpu,p_roks_cpu)+$M346*IF($G346="IKS",p_iks_ram,p_roks_ram))*p_facteur)</f>
        <v/>
      </c>
      <c r="AD346" s="14" t="str">
        <f aca="false">IF($D346&lt;&gt;1,"",IF(AND($G346="IKS",$AI346&lt;&gt;1,OR($L346-$P346&lt;$N346,$M346-$Q346&lt;$O346)),1,0))</f>
        <v/>
      </c>
      <c r="AE346" s="14" t="str">
        <f aca="false">IF($D346&lt;&gt;1,"",IF(AND($G346="ROKS",$T346&gt;p_maxworkers),1,0))</f>
        <v/>
      </c>
      <c r="AF346" s="14" t="str">
        <f aca="false">IF($D346&lt;&gt;1,"",IF(INDEX(TblClusters[Environnement],$B346)="","(vide)",INDEX(TblClusters[Environnement],$B346)))</f>
        <v/>
      </c>
      <c r="AG346" s="14" t="str">
        <f aca="false">IF($D346&lt;&gt;1,"",$R346+p_poidsram*$S346)</f>
        <v/>
      </c>
      <c r="AH346" s="14" t="str">
        <f aca="false">IF($D346&lt;&gt;1,"",IFERROR($W346/$AG346,0))</f>
        <v/>
      </c>
      <c r="AI346" s="14" t="str">
        <f aca="false">IF($D346&lt;&gt;1,"",IF(AND($G346="IKS",ISNUMBER(INDEX(TblClusters[Fermeture retenue],$B346))),IF($E346&gt;=INDEX(TblClusters[Fermeture retenue],$B346),1,0),0))</f>
        <v/>
      </c>
    </row>
    <row r="347" customFormat="false" ht="15" hidden="false" customHeight="false" outlineLevel="0" collapsed="false">
      <c r="A347" s="14" t="n">
        <v>342</v>
      </c>
      <c r="B347" s="14" t="n">
        <f aca="false">INT(($A347-1)/36)+1</f>
        <v>10</v>
      </c>
      <c r="C347" s="14" t="n">
        <f aca="false">MOD($A347-1,36)+1</f>
        <v>18</v>
      </c>
      <c r="D347" s="14" t="n">
        <f aca="false">IF($C347&gt;p_horizon,0,IFERROR(IF(AND(INDEX(TblClusters[Cluster],$B347)&lt;&gt;"",ISNUMBER(INDEX(TblClusters[CPU initial (vCPU)],$B347)),ISNUMBER(INDEX(TblClusters[CPU min (vCPU)],$B347)),OR(INDEX(TblClusters[Plateforme],$B347)="IKS",INDEX(TblClusters[Plateforme],$B347)="ROKS")),1,0),0))</f>
        <v>0</v>
      </c>
      <c r="E347" s="83" t="str">
        <f aca="false">IF($D347=1,EDATE(p_debut,$C347-1),"")</f>
        <v/>
      </c>
      <c r="F347" s="14" t="str">
        <f aca="false">IF($D347=1,INDEX(TblClusters[Cluster],$B347),"")</f>
        <v/>
      </c>
      <c r="G347" s="14" t="str">
        <f aca="false">IF($D347=1,INDEX(TblClusters[Plateforme],$B347),"")</f>
        <v/>
      </c>
      <c r="H347" s="14" t="str">
        <f aca="false">IF($D347=1,INDEX(TblClusters[vCPU par nœud],$B347),"")</f>
        <v/>
      </c>
      <c r="I347" s="14" t="str">
        <f aca="false">IF($D347=1,INDEX(TblClusters[RAM par nœud (Go)],$B347),"")</f>
        <v/>
      </c>
      <c r="J347" s="14" t="str">
        <f aca="false">IF($D347=1,INDEX(TblClusters[Workers min],$B347),"")</f>
        <v/>
      </c>
      <c r="K347" s="84" t="str">
        <f aca="false">IF($D347=1,INDEX(TblClusters[Tarif par nœud],$B347),"")</f>
        <v/>
      </c>
      <c r="L347" s="14" t="str">
        <f aca="false">IF($D347=1,INDEX(TblClusters[CPU initial (vCPU)],$B347),"")</f>
        <v/>
      </c>
      <c r="M347" s="14" t="str">
        <f aca="false">IF($D347=1,INDEX(TblClusters[RAM initiale (Go)],$B347),"")</f>
        <v/>
      </c>
      <c r="N347" s="14" t="str">
        <f aca="false">IF($D347=1,INDEX(TblClusters[CPU min (vCPU)],$B347),"")</f>
        <v/>
      </c>
      <c r="O347" s="14" t="str">
        <f aca="false">IF($D347=1,INDEX(TblClusters[RAM min (Go)],$B347),"")</f>
        <v/>
      </c>
      <c r="P347" s="14" t="str">
        <f aca="false">IF($D347&lt;&gt;1,"",IF($G347="ROKS",SUMIFS(TblApplications[Besoin ROKS CPU (vCPU)],TblApplications[Cluster ROKS cible],$F347,TblApplications[Action],"À migrer",TblApplications[Déjà incluse ROKS],"Non",TblApplications[Mois prov (calc)],"&lt;="&amp;$E347),SUMIFS(TblApplications[CPU IKS libérable (vCPU)],TblApplications[Cluster IKS source],$F347,TblApplications[Mois lib (calc)],"&lt;="&amp;$E347)))</f>
        <v/>
      </c>
      <c r="Q347" s="14" t="str">
        <f aca="false">IF($D347&lt;&gt;1,"",IF($G347="ROKS",SUMIFS(TblApplications[Besoin ROKS RAM (Go)],TblApplications[Cluster ROKS cible],$F347,TblApplications[Action],"À migrer",TblApplications[Déjà incluse ROKS],"Non",TblApplications[Mois prov (calc)],"&lt;="&amp;$E347),SUMIFS(TblApplications[RAM IKS libérable (Go)],TblApplications[Cluster IKS source],$F347,TblApplications[Mois lib (calc)],"&lt;="&amp;$E347)))</f>
        <v/>
      </c>
      <c r="R347" s="14" t="str">
        <f aca="false">IF($D347&lt;&gt;1,"",IF($G347="ROKS",$L347+$P347,IF($AI347=1,0,MAX($N347,$L347-$P347))))</f>
        <v/>
      </c>
      <c r="S347" s="14" t="str">
        <f aca="false">IF($D347&lt;&gt;1,"",IF($G347="ROKS",$M347+$Q347,IF($AI347=1,0,MAX($O347,$M347-$Q347))))</f>
        <v/>
      </c>
      <c r="T347" s="14" t="str">
        <f aca="false">IF($D347&lt;&gt;1,"",IF($AI347=1,0,MAX($J347,ROUNDUP(MAX($R347/$H347,$S347/$I347),0))))</f>
        <v/>
      </c>
      <c r="U347" s="14" t="str">
        <f aca="false">IF($D347&lt;&gt;1,"",IF(p_mode="Nœud",$T347*$H347,$R347))</f>
        <v/>
      </c>
      <c r="V347" s="14" t="str">
        <f aca="false">IF($D347&lt;&gt;1,"",IF(p_mode="Nœud",$T347*$I347,$S347))</f>
        <v/>
      </c>
      <c r="W347" s="84" t="str">
        <f aca="false">IF($D347&lt;&gt;1,"",IF(p_mode="Nœud",$T347*$K347,$R347*IF($G347="IKS",p_iks_cpu,p_roks_cpu)+$S347*IF($G347="IKS",p_iks_ram,p_roks_ram))*p_facteur)</f>
        <v/>
      </c>
      <c r="X347" s="14" t="str">
        <f aca="false">IF($D347&lt;&gt;1,"",IF($G347="ROKS",$R347,IF($AI347=1,0,MAX($N347,$L347-SUMIFS(TblApplications[CPU IKS libérable (vCPU)],TblApplications[Cluster IKS source],$F347,TblApplications[Action],"À migrer",TblApplications[Mois prov (calc)],"&lt;="&amp;$E347)-SUMIFS(TblApplications[CPU IKS libérable (vCPU)],TblApplications[Cluster IKS source],$F347,TblApplications[Action],"À décommissionner",TblApplications[Mois lib (calc)],"&lt;="&amp;$E347)))))</f>
        <v/>
      </c>
      <c r="Y347" s="14" t="str">
        <f aca="false">IF($D347&lt;&gt;1,"",IF($G347="ROKS",$S347,IF($AI347=1,0,MAX($O347,$M347-SUMIFS(TblApplications[RAM IKS libérable (Go)],TblApplications[Cluster IKS source],$F347,TblApplications[Action],"À migrer",TblApplications[Mois prov (calc)],"&lt;="&amp;$E347)-SUMIFS(TblApplications[RAM IKS libérable (Go)],TblApplications[Cluster IKS source],$F347,TblApplications[Action],"À décommissionner",TblApplications[Mois lib (calc)],"&lt;="&amp;$E347)))))</f>
        <v/>
      </c>
      <c r="Z347" s="14" t="str">
        <f aca="false">IF($D347&lt;&gt;1,"",IF($AI347=1,0,MAX($J347,ROUNDUP(MAX($X347/$H347,$Y347/$I347),0))))</f>
        <v/>
      </c>
      <c r="AA347" s="84" t="str">
        <f aca="false">IF($D347&lt;&gt;1,"",IF(p_mode="Nœud",$Z347*$K347,$X347*IF($G347="IKS",p_iks_cpu,p_roks_cpu)+$Y347*IF($G347="IKS",p_iks_ram,p_roks_ram))*p_facteur)</f>
        <v/>
      </c>
      <c r="AB347" s="14" t="str">
        <f aca="false">IF($D347&lt;&gt;1,"",MAX($J347,ROUNDUP(MAX($L347/$H347,$M347/$I347),0)))</f>
        <v/>
      </c>
      <c r="AC347" s="84" t="str">
        <f aca="false">IF($D347&lt;&gt;1,"",IF(p_mode="Nœud",$AB347*$K347,$L347*IF($G347="IKS",p_iks_cpu,p_roks_cpu)+$M347*IF($G347="IKS",p_iks_ram,p_roks_ram))*p_facteur)</f>
        <v/>
      </c>
      <c r="AD347" s="14" t="str">
        <f aca="false">IF($D347&lt;&gt;1,"",IF(AND($G347="IKS",$AI347&lt;&gt;1,OR($L347-$P347&lt;$N347,$M347-$Q347&lt;$O347)),1,0))</f>
        <v/>
      </c>
      <c r="AE347" s="14" t="str">
        <f aca="false">IF($D347&lt;&gt;1,"",IF(AND($G347="ROKS",$T347&gt;p_maxworkers),1,0))</f>
        <v/>
      </c>
      <c r="AF347" s="14" t="str">
        <f aca="false">IF($D347&lt;&gt;1,"",IF(INDEX(TblClusters[Environnement],$B347)="","(vide)",INDEX(TblClusters[Environnement],$B347)))</f>
        <v/>
      </c>
      <c r="AG347" s="14" t="str">
        <f aca="false">IF($D347&lt;&gt;1,"",$R347+p_poidsram*$S347)</f>
        <v/>
      </c>
      <c r="AH347" s="14" t="str">
        <f aca="false">IF($D347&lt;&gt;1,"",IFERROR($W347/$AG347,0))</f>
        <v/>
      </c>
      <c r="AI347" s="14" t="str">
        <f aca="false">IF($D347&lt;&gt;1,"",IF(AND($G347="IKS",ISNUMBER(INDEX(TblClusters[Fermeture retenue],$B347))),IF($E347&gt;=INDEX(TblClusters[Fermeture retenue],$B347),1,0),0))</f>
        <v/>
      </c>
    </row>
    <row r="348" customFormat="false" ht="15" hidden="false" customHeight="false" outlineLevel="0" collapsed="false">
      <c r="A348" s="14" t="n">
        <v>343</v>
      </c>
      <c r="B348" s="14" t="n">
        <f aca="false">INT(($A348-1)/36)+1</f>
        <v>10</v>
      </c>
      <c r="C348" s="14" t="n">
        <f aca="false">MOD($A348-1,36)+1</f>
        <v>19</v>
      </c>
      <c r="D348" s="14" t="n">
        <f aca="false">IF($C348&gt;p_horizon,0,IFERROR(IF(AND(INDEX(TblClusters[Cluster],$B348)&lt;&gt;"",ISNUMBER(INDEX(TblClusters[CPU initial (vCPU)],$B348)),ISNUMBER(INDEX(TblClusters[CPU min (vCPU)],$B348)),OR(INDEX(TblClusters[Plateforme],$B348)="IKS",INDEX(TblClusters[Plateforme],$B348)="ROKS")),1,0),0))</f>
        <v>0</v>
      </c>
      <c r="E348" s="83" t="str">
        <f aca="false">IF($D348=1,EDATE(p_debut,$C348-1),"")</f>
        <v/>
      </c>
      <c r="F348" s="14" t="str">
        <f aca="false">IF($D348=1,INDEX(TblClusters[Cluster],$B348),"")</f>
        <v/>
      </c>
      <c r="G348" s="14" t="str">
        <f aca="false">IF($D348=1,INDEX(TblClusters[Plateforme],$B348),"")</f>
        <v/>
      </c>
      <c r="H348" s="14" t="str">
        <f aca="false">IF($D348=1,INDEX(TblClusters[vCPU par nœud],$B348),"")</f>
        <v/>
      </c>
      <c r="I348" s="14" t="str">
        <f aca="false">IF($D348=1,INDEX(TblClusters[RAM par nœud (Go)],$B348),"")</f>
        <v/>
      </c>
      <c r="J348" s="14" t="str">
        <f aca="false">IF($D348=1,INDEX(TblClusters[Workers min],$B348),"")</f>
        <v/>
      </c>
      <c r="K348" s="84" t="str">
        <f aca="false">IF($D348=1,INDEX(TblClusters[Tarif par nœud],$B348),"")</f>
        <v/>
      </c>
      <c r="L348" s="14" t="str">
        <f aca="false">IF($D348=1,INDEX(TblClusters[CPU initial (vCPU)],$B348),"")</f>
        <v/>
      </c>
      <c r="M348" s="14" t="str">
        <f aca="false">IF($D348=1,INDEX(TblClusters[RAM initiale (Go)],$B348),"")</f>
        <v/>
      </c>
      <c r="N348" s="14" t="str">
        <f aca="false">IF($D348=1,INDEX(TblClusters[CPU min (vCPU)],$B348),"")</f>
        <v/>
      </c>
      <c r="O348" s="14" t="str">
        <f aca="false">IF($D348=1,INDEX(TblClusters[RAM min (Go)],$B348),"")</f>
        <v/>
      </c>
      <c r="P348" s="14" t="str">
        <f aca="false">IF($D348&lt;&gt;1,"",IF($G348="ROKS",SUMIFS(TblApplications[Besoin ROKS CPU (vCPU)],TblApplications[Cluster ROKS cible],$F348,TblApplications[Action],"À migrer",TblApplications[Déjà incluse ROKS],"Non",TblApplications[Mois prov (calc)],"&lt;="&amp;$E348),SUMIFS(TblApplications[CPU IKS libérable (vCPU)],TblApplications[Cluster IKS source],$F348,TblApplications[Mois lib (calc)],"&lt;="&amp;$E348)))</f>
        <v/>
      </c>
      <c r="Q348" s="14" t="str">
        <f aca="false">IF($D348&lt;&gt;1,"",IF($G348="ROKS",SUMIFS(TblApplications[Besoin ROKS RAM (Go)],TblApplications[Cluster ROKS cible],$F348,TblApplications[Action],"À migrer",TblApplications[Déjà incluse ROKS],"Non",TblApplications[Mois prov (calc)],"&lt;="&amp;$E348),SUMIFS(TblApplications[RAM IKS libérable (Go)],TblApplications[Cluster IKS source],$F348,TblApplications[Mois lib (calc)],"&lt;="&amp;$E348)))</f>
        <v/>
      </c>
      <c r="R348" s="14" t="str">
        <f aca="false">IF($D348&lt;&gt;1,"",IF($G348="ROKS",$L348+$P348,IF($AI348=1,0,MAX($N348,$L348-$P348))))</f>
        <v/>
      </c>
      <c r="S348" s="14" t="str">
        <f aca="false">IF($D348&lt;&gt;1,"",IF($G348="ROKS",$M348+$Q348,IF($AI348=1,0,MAX($O348,$M348-$Q348))))</f>
        <v/>
      </c>
      <c r="T348" s="14" t="str">
        <f aca="false">IF($D348&lt;&gt;1,"",IF($AI348=1,0,MAX($J348,ROUNDUP(MAX($R348/$H348,$S348/$I348),0))))</f>
        <v/>
      </c>
      <c r="U348" s="14" t="str">
        <f aca="false">IF($D348&lt;&gt;1,"",IF(p_mode="Nœud",$T348*$H348,$R348))</f>
        <v/>
      </c>
      <c r="V348" s="14" t="str">
        <f aca="false">IF($D348&lt;&gt;1,"",IF(p_mode="Nœud",$T348*$I348,$S348))</f>
        <v/>
      </c>
      <c r="W348" s="84" t="str">
        <f aca="false">IF($D348&lt;&gt;1,"",IF(p_mode="Nœud",$T348*$K348,$R348*IF($G348="IKS",p_iks_cpu,p_roks_cpu)+$S348*IF($G348="IKS",p_iks_ram,p_roks_ram))*p_facteur)</f>
        <v/>
      </c>
      <c r="X348" s="14" t="str">
        <f aca="false">IF($D348&lt;&gt;1,"",IF($G348="ROKS",$R348,IF($AI348=1,0,MAX($N348,$L348-SUMIFS(TblApplications[CPU IKS libérable (vCPU)],TblApplications[Cluster IKS source],$F348,TblApplications[Action],"À migrer",TblApplications[Mois prov (calc)],"&lt;="&amp;$E348)-SUMIFS(TblApplications[CPU IKS libérable (vCPU)],TblApplications[Cluster IKS source],$F348,TblApplications[Action],"À décommissionner",TblApplications[Mois lib (calc)],"&lt;="&amp;$E348)))))</f>
        <v/>
      </c>
      <c r="Y348" s="14" t="str">
        <f aca="false">IF($D348&lt;&gt;1,"",IF($G348="ROKS",$S348,IF($AI348=1,0,MAX($O348,$M348-SUMIFS(TblApplications[RAM IKS libérable (Go)],TblApplications[Cluster IKS source],$F348,TblApplications[Action],"À migrer",TblApplications[Mois prov (calc)],"&lt;="&amp;$E348)-SUMIFS(TblApplications[RAM IKS libérable (Go)],TblApplications[Cluster IKS source],$F348,TblApplications[Action],"À décommissionner",TblApplications[Mois lib (calc)],"&lt;="&amp;$E348)))))</f>
        <v/>
      </c>
      <c r="Z348" s="14" t="str">
        <f aca="false">IF($D348&lt;&gt;1,"",IF($AI348=1,0,MAX($J348,ROUNDUP(MAX($X348/$H348,$Y348/$I348),0))))</f>
        <v/>
      </c>
      <c r="AA348" s="84" t="str">
        <f aca="false">IF($D348&lt;&gt;1,"",IF(p_mode="Nœud",$Z348*$K348,$X348*IF($G348="IKS",p_iks_cpu,p_roks_cpu)+$Y348*IF($G348="IKS",p_iks_ram,p_roks_ram))*p_facteur)</f>
        <v/>
      </c>
      <c r="AB348" s="14" t="str">
        <f aca="false">IF($D348&lt;&gt;1,"",MAX($J348,ROUNDUP(MAX($L348/$H348,$M348/$I348),0)))</f>
        <v/>
      </c>
      <c r="AC348" s="84" t="str">
        <f aca="false">IF($D348&lt;&gt;1,"",IF(p_mode="Nœud",$AB348*$K348,$L348*IF($G348="IKS",p_iks_cpu,p_roks_cpu)+$M348*IF($G348="IKS",p_iks_ram,p_roks_ram))*p_facteur)</f>
        <v/>
      </c>
      <c r="AD348" s="14" t="str">
        <f aca="false">IF($D348&lt;&gt;1,"",IF(AND($G348="IKS",$AI348&lt;&gt;1,OR($L348-$P348&lt;$N348,$M348-$Q348&lt;$O348)),1,0))</f>
        <v/>
      </c>
      <c r="AE348" s="14" t="str">
        <f aca="false">IF($D348&lt;&gt;1,"",IF(AND($G348="ROKS",$T348&gt;p_maxworkers),1,0))</f>
        <v/>
      </c>
      <c r="AF348" s="14" t="str">
        <f aca="false">IF($D348&lt;&gt;1,"",IF(INDEX(TblClusters[Environnement],$B348)="","(vide)",INDEX(TblClusters[Environnement],$B348)))</f>
        <v/>
      </c>
      <c r="AG348" s="14" t="str">
        <f aca="false">IF($D348&lt;&gt;1,"",$R348+p_poidsram*$S348)</f>
        <v/>
      </c>
      <c r="AH348" s="14" t="str">
        <f aca="false">IF($D348&lt;&gt;1,"",IFERROR($W348/$AG348,0))</f>
        <v/>
      </c>
      <c r="AI348" s="14" t="str">
        <f aca="false">IF($D348&lt;&gt;1,"",IF(AND($G348="IKS",ISNUMBER(INDEX(TblClusters[Fermeture retenue],$B348))),IF($E348&gt;=INDEX(TblClusters[Fermeture retenue],$B348),1,0),0))</f>
        <v/>
      </c>
    </row>
    <row r="349" customFormat="false" ht="15" hidden="false" customHeight="false" outlineLevel="0" collapsed="false">
      <c r="A349" s="14" t="n">
        <v>344</v>
      </c>
      <c r="B349" s="14" t="n">
        <f aca="false">INT(($A349-1)/36)+1</f>
        <v>10</v>
      </c>
      <c r="C349" s="14" t="n">
        <f aca="false">MOD($A349-1,36)+1</f>
        <v>20</v>
      </c>
      <c r="D349" s="14" t="n">
        <f aca="false">IF($C349&gt;p_horizon,0,IFERROR(IF(AND(INDEX(TblClusters[Cluster],$B349)&lt;&gt;"",ISNUMBER(INDEX(TblClusters[CPU initial (vCPU)],$B349)),ISNUMBER(INDEX(TblClusters[CPU min (vCPU)],$B349)),OR(INDEX(TblClusters[Plateforme],$B349)="IKS",INDEX(TblClusters[Plateforme],$B349)="ROKS")),1,0),0))</f>
        <v>0</v>
      </c>
      <c r="E349" s="83" t="str">
        <f aca="false">IF($D349=1,EDATE(p_debut,$C349-1),"")</f>
        <v/>
      </c>
      <c r="F349" s="14" t="str">
        <f aca="false">IF($D349=1,INDEX(TblClusters[Cluster],$B349),"")</f>
        <v/>
      </c>
      <c r="G349" s="14" t="str">
        <f aca="false">IF($D349=1,INDEX(TblClusters[Plateforme],$B349),"")</f>
        <v/>
      </c>
      <c r="H349" s="14" t="str">
        <f aca="false">IF($D349=1,INDEX(TblClusters[vCPU par nœud],$B349),"")</f>
        <v/>
      </c>
      <c r="I349" s="14" t="str">
        <f aca="false">IF($D349=1,INDEX(TblClusters[RAM par nœud (Go)],$B349),"")</f>
        <v/>
      </c>
      <c r="J349" s="14" t="str">
        <f aca="false">IF($D349=1,INDEX(TblClusters[Workers min],$B349),"")</f>
        <v/>
      </c>
      <c r="K349" s="84" t="str">
        <f aca="false">IF($D349=1,INDEX(TblClusters[Tarif par nœud],$B349),"")</f>
        <v/>
      </c>
      <c r="L349" s="14" t="str">
        <f aca="false">IF($D349=1,INDEX(TblClusters[CPU initial (vCPU)],$B349),"")</f>
        <v/>
      </c>
      <c r="M349" s="14" t="str">
        <f aca="false">IF($D349=1,INDEX(TblClusters[RAM initiale (Go)],$B349),"")</f>
        <v/>
      </c>
      <c r="N349" s="14" t="str">
        <f aca="false">IF($D349=1,INDEX(TblClusters[CPU min (vCPU)],$B349),"")</f>
        <v/>
      </c>
      <c r="O349" s="14" t="str">
        <f aca="false">IF($D349=1,INDEX(TblClusters[RAM min (Go)],$B349),"")</f>
        <v/>
      </c>
      <c r="P349" s="14" t="str">
        <f aca="false">IF($D349&lt;&gt;1,"",IF($G349="ROKS",SUMIFS(TblApplications[Besoin ROKS CPU (vCPU)],TblApplications[Cluster ROKS cible],$F349,TblApplications[Action],"À migrer",TblApplications[Déjà incluse ROKS],"Non",TblApplications[Mois prov (calc)],"&lt;="&amp;$E349),SUMIFS(TblApplications[CPU IKS libérable (vCPU)],TblApplications[Cluster IKS source],$F349,TblApplications[Mois lib (calc)],"&lt;="&amp;$E349)))</f>
        <v/>
      </c>
      <c r="Q349" s="14" t="str">
        <f aca="false">IF($D349&lt;&gt;1,"",IF($G349="ROKS",SUMIFS(TblApplications[Besoin ROKS RAM (Go)],TblApplications[Cluster ROKS cible],$F349,TblApplications[Action],"À migrer",TblApplications[Déjà incluse ROKS],"Non",TblApplications[Mois prov (calc)],"&lt;="&amp;$E349),SUMIFS(TblApplications[RAM IKS libérable (Go)],TblApplications[Cluster IKS source],$F349,TblApplications[Mois lib (calc)],"&lt;="&amp;$E349)))</f>
        <v/>
      </c>
      <c r="R349" s="14" t="str">
        <f aca="false">IF($D349&lt;&gt;1,"",IF($G349="ROKS",$L349+$P349,IF($AI349=1,0,MAX($N349,$L349-$P349))))</f>
        <v/>
      </c>
      <c r="S349" s="14" t="str">
        <f aca="false">IF($D349&lt;&gt;1,"",IF($G349="ROKS",$M349+$Q349,IF($AI349=1,0,MAX($O349,$M349-$Q349))))</f>
        <v/>
      </c>
      <c r="T349" s="14" t="str">
        <f aca="false">IF($D349&lt;&gt;1,"",IF($AI349=1,0,MAX($J349,ROUNDUP(MAX($R349/$H349,$S349/$I349),0))))</f>
        <v/>
      </c>
      <c r="U349" s="14" t="str">
        <f aca="false">IF($D349&lt;&gt;1,"",IF(p_mode="Nœud",$T349*$H349,$R349))</f>
        <v/>
      </c>
      <c r="V349" s="14" t="str">
        <f aca="false">IF($D349&lt;&gt;1,"",IF(p_mode="Nœud",$T349*$I349,$S349))</f>
        <v/>
      </c>
      <c r="W349" s="84" t="str">
        <f aca="false">IF($D349&lt;&gt;1,"",IF(p_mode="Nœud",$T349*$K349,$R349*IF($G349="IKS",p_iks_cpu,p_roks_cpu)+$S349*IF($G349="IKS",p_iks_ram,p_roks_ram))*p_facteur)</f>
        <v/>
      </c>
      <c r="X349" s="14" t="str">
        <f aca="false">IF($D349&lt;&gt;1,"",IF($G349="ROKS",$R349,IF($AI349=1,0,MAX($N349,$L349-SUMIFS(TblApplications[CPU IKS libérable (vCPU)],TblApplications[Cluster IKS source],$F349,TblApplications[Action],"À migrer",TblApplications[Mois prov (calc)],"&lt;="&amp;$E349)-SUMIFS(TblApplications[CPU IKS libérable (vCPU)],TblApplications[Cluster IKS source],$F349,TblApplications[Action],"À décommissionner",TblApplications[Mois lib (calc)],"&lt;="&amp;$E349)))))</f>
        <v/>
      </c>
      <c r="Y349" s="14" t="str">
        <f aca="false">IF($D349&lt;&gt;1,"",IF($G349="ROKS",$S349,IF($AI349=1,0,MAX($O349,$M349-SUMIFS(TblApplications[RAM IKS libérable (Go)],TblApplications[Cluster IKS source],$F349,TblApplications[Action],"À migrer",TblApplications[Mois prov (calc)],"&lt;="&amp;$E349)-SUMIFS(TblApplications[RAM IKS libérable (Go)],TblApplications[Cluster IKS source],$F349,TblApplications[Action],"À décommissionner",TblApplications[Mois lib (calc)],"&lt;="&amp;$E349)))))</f>
        <v/>
      </c>
      <c r="Z349" s="14" t="str">
        <f aca="false">IF($D349&lt;&gt;1,"",IF($AI349=1,0,MAX($J349,ROUNDUP(MAX($X349/$H349,$Y349/$I349),0))))</f>
        <v/>
      </c>
      <c r="AA349" s="84" t="str">
        <f aca="false">IF($D349&lt;&gt;1,"",IF(p_mode="Nœud",$Z349*$K349,$X349*IF($G349="IKS",p_iks_cpu,p_roks_cpu)+$Y349*IF($G349="IKS",p_iks_ram,p_roks_ram))*p_facteur)</f>
        <v/>
      </c>
      <c r="AB349" s="14" t="str">
        <f aca="false">IF($D349&lt;&gt;1,"",MAX($J349,ROUNDUP(MAX($L349/$H349,$M349/$I349),0)))</f>
        <v/>
      </c>
      <c r="AC349" s="84" t="str">
        <f aca="false">IF($D349&lt;&gt;1,"",IF(p_mode="Nœud",$AB349*$K349,$L349*IF($G349="IKS",p_iks_cpu,p_roks_cpu)+$M349*IF($G349="IKS",p_iks_ram,p_roks_ram))*p_facteur)</f>
        <v/>
      </c>
      <c r="AD349" s="14" t="str">
        <f aca="false">IF($D349&lt;&gt;1,"",IF(AND($G349="IKS",$AI349&lt;&gt;1,OR($L349-$P349&lt;$N349,$M349-$Q349&lt;$O349)),1,0))</f>
        <v/>
      </c>
      <c r="AE349" s="14" t="str">
        <f aca="false">IF($D349&lt;&gt;1,"",IF(AND($G349="ROKS",$T349&gt;p_maxworkers),1,0))</f>
        <v/>
      </c>
      <c r="AF349" s="14" t="str">
        <f aca="false">IF($D349&lt;&gt;1,"",IF(INDEX(TblClusters[Environnement],$B349)="","(vide)",INDEX(TblClusters[Environnement],$B349)))</f>
        <v/>
      </c>
      <c r="AG349" s="14" t="str">
        <f aca="false">IF($D349&lt;&gt;1,"",$R349+p_poidsram*$S349)</f>
        <v/>
      </c>
      <c r="AH349" s="14" t="str">
        <f aca="false">IF($D349&lt;&gt;1,"",IFERROR($W349/$AG349,0))</f>
        <v/>
      </c>
      <c r="AI349" s="14" t="str">
        <f aca="false">IF($D349&lt;&gt;1,"",IF(AND($G349="IKS",ISNUMBER(INDEX(TblClusters[Fermeture retenue],$B349))),IF($E349&gt;=INDEX(TblClusters[Fermeture retenue],$B349),1,0),0))</f>
        <v/>
      </c>
    </row>
    <row r="350" customFormat="false" ht="15" hidden="false" customHeight="false" outlineLevel="0" collapsed="false">
      <c r="A350" s="14" t="n">
        <v>345</v>
      </c>
      <c r="B350" s="14" t="n">
        <f aca="false">INT(($A350-1)/36)+1</f>
        <v>10</v>
      </c>
      <c r="C350" s="14" t="n">
        <f aca="false">MOD($A350-1,36)+1</f>
        <v>21</v>
      </c>
      <c r="D350" s="14" t="n">
        <f aca="false">IF($C350&gt;p_horizon,0,IFERROR(IF(AND(INDEX(TblClusters[Cluster],$B350)&lt;&gt;"",ISNUMBER(INDEX(TblClusters[CPU initial (vCPU)],$B350)),ISNUMBER(INDEX(TblClusters[CPU min (vCPU)],$B350)),OR(INDEX(TblClusters[Plateforme],$B350)="IKS",INDEX(TblClusters[Plateforme],$B350)="ROKS")),1,0),0))</f>
        <v>0</v>
      </c>
      <c r="E350" s="83" t="str">
        <f aca="false">IF($D350=1,EDATE(p_debut,$C350-1),"")</f>
        <v/>
      </c>
      <c r="F350" s="14" t="str">
        <f aca="false">IF($D350=1,INDEX(TblClusters[Cluster],$B350),"")</f>
        <v/>
      </c>
      <c r="G350" s="14" t="str">
        <f aca="false">IF($D350=1,INDEX(TblClusters[Plateforme],$B350),"")</f>
        <v/>
      </c>
      <c r="H350" s="14" t="str">
        <f aca="false">IF($D350=1,INDEX(TblClusters[vCPU par nœud],$B350),"")</f>
        <v/>
      </c>
      <c r="I350" s="14" t="str">
        <f aca="false">IF($D350=1,INDEX(TblClusters[RAM par nœud (Go)],$B350),"")</f>
        <v/>
      </c>
      <c r="J350" s="14" t="str">
        <f aca="false">IF($D350=1,INDEX(TblClusters[Workers min],$B350),"")</f>
        <v/>
      </c>
      <c r="K350" s="84" t="str">
        <f aca="false">IF($D350=1,INDEX(TblClusters[Tarif par nœud],$B350),"")</f>
        <v/>
      </c>
      <c r="L350" s="14" t="str">
        <f aca="false">IF($D350=1,INDEX(TblClusters[CPU initial (vCPU)],$B350),"")</f>
        <v/>
      </c>
      <c r="M350" s="14" t="str">
        <f aca="false">IF($D350=1,INDEX(TblClusters[RAM initiale (Go)],$B350),"")</f>
        <v/>
      </c>
      <c r="N350" s="14" t="str">
        <f aca="false">IF($D350=1,INDEX(TblClusters[CPU min (vCPU)],$B350),"")</f>
        <v/>
      </c>
      <c r="O350" s="14" t="str">
        <f aca="false">IF($D350=1,INDEX(TblClusters[RAM min (Go)],$B350),"")</f>
        <v/>
      </c>
      <c r="P350" s="14" t="str">
        <f aca="false">IF($D350&lt;&gt;1,"",IF($G350="ROKS",SUMIFS(TblApplications[Besoin ROKS CPU (vCPU)],TblApplications[Cluster ROKS cible],$F350,TblApplications[Action],"À migrer",TblApplications[Déjà incluse ROKS],"Non",TblApplications[Mois prov (calc)],"&lt;="&amp;$E350),SUMIFS(TblApplications[CPU IKS libérable (vCPU)],TblApplications[Cluster IKS source],$F350,TblApplications[Mois lib (calc)],"&lt;="&amp;$E350)))</f>
        <v/>
      </c>
      <c r="Q350" s="14" t="str">
        <f aca="false">IF($D350&lt;&gt;1,"",IF($G350="ROKS",SUMIFS(TblApplications[Besoin ROKS RAM (Go)],TblApplications[Cluster ROKS cible],$F350,TblApplications[Action],"À migrer",TblApplications[Déjà incluse ROKS],"Non",TblApplications[Mois prov (calc)],"&lt;="&amp;$E350),SUMIFS(TblApplications[RAM IKS libérable (Go)],TblApplications[Cluster IKS source],$F350,TblApplications[Mois lib (calc)],"&lt;="&amp;$E350)))</f>
        <v/>
      </c>
      <c r="R350" s="14" t="str">
        <f aca="false">IF($D350&lt;&gt;1,"",IF($G350="ROKS",$L350+$P350,IF($AI350=1,0,MAX($N350,$L350-$P350))))</f>
        <v/>
      </c>
      <c r="S350" s="14" t="str">
        <f aca="false">IF($D350&lt;&gt;1,"",IF($G350="ROKS",$M350+$Q350,IF($AI350=1,0,MAX($O350,$M350-$Q350))))</f>
        <v/>
      </c>
      <c r="T350" s="14" t="str">
        <f aca="false">IF($D350&lt;&gt;1,"",IF($AI350=1,0,MAX($J350,ROUNDUP(MAX($R350/$H350,$S350/$I350),0))))</f>
        <v/>
      </c>
      <c r="U350" s="14" t="str">
        <f aca="false">IF($D350&lt;&gt;1,"",IF(p_mode="Nœud",$T350*$H350,$R350))</f>
        <v/>
      </c>
      <c r="V350" s="14" t="str">
        <f aca="false">IF($D350&lt;&gt;1,"",IF(p_mode="Nœud",$T350*$I350,$S350))</f>
        <v/>
      </c>
      <c r="W350" s="84" t="str">
        <f aca="false">IF($D350&lt;&gt;1,"",IF(p_mode="Nœud",$T350*$K350,$R350*IF($G350="IKS",p_iks_cpu,p_roks_cpu)+$S350*IF($G350="IKS",p_iks_ram,p_roks_ram))*p_facteur)</f>
        <v/>
      </c>
      <c r="X350" s="14" t="str">
        <f aca="false">IF($D350&lt;&gt;1,"",IF($G350="ROKS",$R350,IF($AI350=1,0,MAX($N350,$L350-SUMIFS(TblApplications[CPU IKS libérable (vCPU)],TblApplications[Cluster IKS source],$F350,TblApplications[Action],"À migrer",TblApplications[Mois prov (calc)],"&lt;="&amp;$E350)-SUMIFS(TblApplications[CPU IKS libérable (vCPU)],TblApplications[Cluster IKS source],$F350,TblApplications[Action],"À décommissionner",TblApplications[Mois lib (calc)],"&lt;="&amp;$E350)))))</f>
        <v/>
      </c>
      <c r="Y350" s="14" t="str">
        <f aca="false">IF($D350&lt;&gt;1,"",IF($G350="ROKS",$S350,IF($AI350=1,0,MAX($O350,$M350-SUMIFS(TblApplications[RAM IKS libérable (Go)],TblApplications[Cluster IKS source],$F350,TblApplications[Action],"À migrer",TblApplications[Mois prov (calc)],"&lt;="&amp;$E350)-SUMIFS(TblApplications[RAM IKS libérable (Go)],TblApplications[Cluster IKS source],$F350,TblApplications[Action],"À décommissionner",TblApplications[Mois lib (calc)],"&lt;="&amp;$E350)))))</f>
        <v/>
      </c>
      <c r="Z350" s="14" t="str">
        <f aca="false">IF($D350&lt;&gt;1,"",IF($AI350=1,0,MAX($J350,ROUNDUP(MAX($X350/$H350,$Y350/$I350),0))))</f>
        <v/>
      </c>
      <c r="AA350" s="84" t="str">
        <f aca="false">IF($D350&lt;&gt;1,"",IF(p_mode="Nœud",$Z350*$K350,$X350*IF($G350="IKS",p_iks_cpu,p_roks_cpu)+$Y350*IF($G350="IKS",p_iks_ram,p_roks_ram))*p_facteur)</f>
        <v/>
      </c>
      <c r="AB350" s="14" t="str">
        <f aca="false">IF($D350&lt;&gt;1,"",MAX($J350,ROUNDUP(MAX($L350/$H350,$M350/$I350),0)))</f>
        <v/>
      </c>
      <c r="AC350" s="84" t="str">
        <f aca="false">IF($D350&lt;&gt;1,"",IF(p_mode="Nœud",$AB350*$K350,$L350*IF($G350="IKS",p_iks_cpu,p_roks_cpu)+$M350*IF($G350="IKS",p_iks_ram,p_roks_ram))*p_facteur)</f>
        <v/>
      </c>
      <c r="AD350" s="14" t="str">
        <f aca="false">IF($D350&lt;&gt;1,"",IF(AND($G350="IKS",$AI350&lt;&gt;1,OR($L350-$P350&lt;$N350,$M350-$Q350&lt;$O350)),1,0))</f>
        <v/>
      </c>
      <c r="AE350" s="14" t="str">
        <f aca="false">IF($D350&lt;&gt;1,"",IF(AND($G350="ROKS",$T350&gt;p_maxworkers),1,0))</f>
        <v/>
      </c>
      <c r="AF350" s="14" t="str">
        <f aca="false">IF($D350&lt;&gt;1,"",IF(INDEX(TblClusters[Environnement],$B350)="","(vide)",INDEX(TblClusters[Environnement],$B350)))</f>
        <v/>
      </c>
      <c r="AG350" s="14" t="str">
        <f aca="false">IF($D350&lt;&gt;1,"",$R350+p_poidsram*$S350)</f>
        <v/>
      </c>
      <c r="AH350" s="14" t="str">
        <f aca="false">IF($D350&lt;&gt;1,"",IFERROR($W350/$AG350,0))</f>
        <v/>
      </c>
      <c r="AI350" s="14" t="str">
        <f aca="false">IF($D350&lt;&gt;1,"",IF(AND($G350="IKS",ISNUMBER(INDEX(TblClusters[Fermeture retenue],$B350))),IF($E350&gt;=INDEX(TblClusters[Fermeture retenue],$B350),1,0),0))</f>
        <v/>
      </c>
    </row>
    <row r="351" customFormat="false" ht="15" hidden="false" customHeight="false" outlineLevel="0" collapsed="false">
      <c r="A351" s="14" t="n">
        <v>346</v>
      </c>
      <c r="B351" s="14" t="n">
        <f aca="false">INT(($A351-1)/36)+1</f>
        <v>10</v>
      </c>
      <c r="C351" s="14" t="n">
        <f aca="false">MOD($A351-1,36)+1</f>
        <v>22</v>
      </c>
      <c r="D351" s="14" t="n">
        <f aca="false">IF($C351&gt;p_horizon,0,IFERROR(IF(AND(INDEX(TblClusters[Cluster],$B351)&lt;&gt;"",ISNUMBER(INDEX(TblClusters[CPU initial (vCPU)],$B351)),ISNUMBER(INDEX(TblClusters[CPU min (vCPU)],$B351)),OR(INDEX(TblClusters[Plateforme],$B351)="IKS",INDEX(TblClusters[Plateforme],$B351)="ROKS")),1,0),0))</f>
        <v>0</v>
      </c>
      <c r="E351" s="83" t="str">
        <f aca="false">IF($D351=1,EDATE(p_debut,$C351-1),"")</f>
        <v/>
      </c>
      <c r="F351" s="14" t="str">
        <f aca="false">IF($D351=1,INDEX(TblClusters[Cluster],$B351),"")</f>
        <v/>
      </c>
      <c r="G351" s="14" t="str">
        <f aca="false">IF($D351=1,INDEX(TblClusters[Plateforme],$B351),"")</f>
        <v/>
      </c>
      <c r="H351" s="14" t="str">
        <f aca="false">IF($D351=1,INDEX(TblClusters[vCPU par nœud],$B351),"")</f>
        <v/>
      </c>
      <c r="I351" s="14" t="str">
        <f aca="false">IF($D351=1,INDEX(TblClusters[RAM par nœud (Go)],$B351),"")</f>
        <v/>
      </c>
      <c r="J351" s="14" t="str">
        <f aca="false">IF($D351=1,INDEX(TblClusters[Workers min],$B351),"")</f>
        <v/>
      </c>
      <c r="K351" s="84" t="str">
        <f aca="false">IF($D351=1,INDEX(TblClusters[Tarif par nœud],$B351),"")</f>
        <v/>
      </c>
      <c r="L351" s="14" t="str">
        <f aca="false">IF($D351=1,INDEX(TblClusters[CPU initial (vCPU)],$B351),"")</f>
        <v/>
      </c>
      <c r="M351" s="14" t="str">
        <f aca="false">IF($D351=1,INDEX(TblClusters[RAM initiale (Go)],$B351),"")</f>
        <v/>
      </c>
      <c r="N351" s="14" t="str">
        <f aca="false">IF($D351=1,INDEX(TblClusters[CPU min (vCPU)],$B351),"")</f>
        <v/>
      </c>
      <c r="O351" s="14" t="str">
        <f aca="false">IF($D351=1,INDEX(TblClusters[RAM min (Go)],$B351),"")</f>
        <v/>
      </c>
      <c r="P351" s="14" t="str">
        <f aca="false">IF($D351&lt;&gt;1,"",IF($G351="ROKS",SUMIFS(TblApplications[Besoin ROKS CPU (vCPU)],TblApplications[Cluster ROKS cible],$F351,TblApplications[Action],"À migrer",TblApplications[Déjà incluse ROKS],"Non",TblApplications[Mois prov (calc)],"&lt;="&amp;$E351),SUMIFS(TblApplications[CPU IKS libérable (vCPU)],TblApplications[Cluster IKS source],$F351,TblApplications[Mois lib (calc)],"&lt;="&amp;$E351)))</f>
        <v/>
      </c>
      <c r="Q351" s="14" t="str">
        <f aca="false">IF($D351&lt;&gt;1,"",IF($G351="ROKS",SUMIFS(TblApplications[Besoin ROKS RAM (Go)],TblApplications[Cluster ROKS cible],$F351,TblApplications[Action],"À migrer",TblApplications[Déjà incluse ROKS],"Non",TblApplications[Mois prov (calc)],"&lt;="&amp;$E351),SUMIFS(TblApplications[RAM IKS libérable (Go)],TblApplications[Cluster IKS source],$F351,TblApplications[Mois lib (calc)],"&lt;="&amp;$E351)))</f>
        <v/>
      </c>
      <c r="R351" s="14" t="str">
        <f aca="false">IF($D351&lt;&gt;1,"",IF($G351="ROKS",$L351+$P351,IF($AI351=1,0,MAX($N351,$L351-$P351))))</f>
        <v/>
      </c>
      <c r="S351" s="14" t="str">
        <f aca="false">IF($D351&lt;&gt;1,"",IF($G351="ROKS",$M351+$Q351,IF($AI351=1,0,MAX($O351,$M351-$Q351))))</f>
        <v/>
      </c>
      <c r="T351" s="14" t="str">
        <f aca="false">IF($D351&lt;&gt;1,"",IF($AI351=1,0,MAX($J351,ROUNDUP(MAX($R351/$H351,$S351/$I351),0))))</f>
        <v/>
      </c>
      <c r="U351" s="14" t="str">
        <f aca="false">IF($D351&lt;&gt;1,"",IF(p_mode="Nœud",$T351*$H351,$R351))</f>
        <v/>
      </c>
      <c r="V351" s="14" t="str">
        <f aca="false">IF($D351&lt;&gt;1,"",IF(p_mode="Nœud",$T351*$I351,$S351))</f>
        <v/>
      </c>
      <c r="W351" s="84" t="str">
        <f aca="false">IF($D351&lt;&gt;1,"",IF(p_mode="Nœud",$T351*$K351,$R351*IF($G351="IKS",p_iks_cpu,p_roks_cpu)+$S351*IF($G351="IKS",p_iks_ram,p_roks_ram))*p_facteur)</f>
        <v/>
      </c>
      <c r="X351" s="14" t="str">
        <f aca="false">IF($D351&lt;&gt;1,"",IF($G351="ROKS",$R351,IF($AI351=1,0,MAX($N351,$L351-SUMIFS(TblApplications[CPU IKS libérable (vCPU)],TblApplications[Cluster IKS source],$F351,TblApplications[Action],"À migrer",TblApplications[Mois prov (calc)],"&lt;="&amp;$E351)-SUMIFS(TblApplications[CPU IKS libérable (vCPU)],TblApplications[Cluster IKS source],$F351,TblApplications[Action],"À décommissionner",TblApplications[Mois lib (calc)],"&lt;="&amp;$E351)))))</f>
        <v/>
      </c>
      <c r="Y351" s="14" t="str">
        <f aca="false">IF($D351&lt;&gt;1,"",IF($G351="ROKS",$S351,IF($AI351=1,0,MAX($O351,$M351-SUMIFS(TblApplications[RAM IKS libérable (Go)],TblApplications[Cluster IKS source],$F351,TblApplications[Action],"À migrer",TblApplications[Mois prov (calc)],"&lt;="&amp;$E351)-SUMIFS(TblApplications[RAM IKS libérable (Go)],TblApplications[Cluster IKS source],$F351,TblApplications[Action],"À décommissionner",TblApplications[Mois lib (calc)],"&lt;="&amp;$E351)))))</f>
        <v/>
      </c>
      <c r="Z351" s="14" t="str">
        <f aca="false">IF($D351&lt;&gt;1,"",IF($AI351=1,0,MAX($J351,ROUNDUP(MAX($X351/$H351,$Y351/$I351),0))))</f>
        <v/>
      </c>
      <c r="AA351" s="84" t="str">
        <f aca="false">IF($D351&lt;&gt;1,"",IF(p_mode="Nœud",$Z351*$K351,$X351*IF($G351="IKS",p_iks_cpu,p_roks_cpu)+$Y351*IF($G351="IKS",p_iks_ram,p_roks_ram))*p_facteur)</f>
        <v/>
      </c>
      <c r="AB351" s="14" t="str">
        <f aca="false">IF($D351&lt;&gt;1,"",MAX($J351,ROUNDUP(MAX($L351/$H351,$M351/$I351),0)))</f>
        <v/>
      </c>
      <c r="AC351" s="84" t="str">
        <f aca="false">IF($D351&lt;&gt;1,"",IF(p_mode="Nœud",$AB351*$K351,$L351*IF($G351="IKS",p_iks_cpu,p_roks_cpu)+$M351*IF($G351="IKS",p_iks_ram,p_roks_ram))*p_facteur)</f>
        <v/>
      </c>
      <c r="AD351" s="14" t="str">
        <f aca="false">IF($D351&lt;&gt;1,"",IF(AND($G351="IKS",$AI351&lt;&gt;1,OR($L351-$P351&lt;$N351,$M351-$Q351&lt;$O351)),1,0))</f>
        <v/>
      </c>
      <c r="AE351" s="14" t="str">
        <f aca="false">IF($D351&lt;&gt;1,"",IF(AND($G351="ROKS",$T351&gt;p_maxworkers),1,0))</f>
        <v/>
      </c>
      <c r="AF351" s="14" t="str">
        <f aca="false">IF($D351&lt;&gt;1,"",IF(INDEX(TblClusters[Environnement],$B351)="","(vide)",INDEX(TblClusters[Environnement],$B351)))</f>
        <v/>
      </c>
      <c r="AG351" s="14" t="str">
        <f aca="false">IF($D351&lt;&gt;1,"",$R351+p_poidsram*$S351)</f>
        <v/>
      </c>
      <c r="AH351" s="14" t="str">
        <f aca="false">IF($D351&lt;&gt;1,"",IFERROR($W351/$AG351,0))</f>
        <v/>
      </c>
      <c r="AI351" s="14" t="str">
        <f aca="false">IF($D351&lt;&gt;1,"",IF(AND($G351="IKS",ISNUMBER(INDEX(TblClusters[Fermeture retenue],$B351))),IF($E351&gt;=INDEX(TblClusters[Fermeture retenue],$B351),1,0),0))</f>
        <v/>
      </c>
    </row>
    <row r="352" customFormat="false" ht="15" hidden="false" customHeight="false" outlineLevel="0" collapsed="false">
      <c r="A352" s="14" t="n">
        <v>347</v>
      </c>
      <c r="B352" s="14" t="n">
        <f aca="false">INT(($A352-1)/36)+1</f>
        <v>10</v>
      </c>
      <c r="C352" s="14" t="n">
        <f aca="false">MOD($A352-1,36)+1</f>
        <v>23</v>
      </c>
      <c r="D352" s="14" t="n">
        <f aca="false">IF($C352&gt;p_horizon,0,IFERROR(IF(AND(INDEX(TblClusters[Cluster],$B352)&lt;&gt;"",ISNUMBER(INDEX(TblClusters[CPU initial (vCPU)],$B352)),ISNUMBER(INDEX(TblClusters[CPU min (vCPU)],$B352)),OR(INDEX(TblClusters[Plateforme],$B352)="IKS",INDEX(TblClusters[Plateforme],$B352)="ROKS")),1,0),0))</f>
        <v>0</v>
      </c>
      <c r="E352" s="83" t="str">
        <f aca="false">IF($D352=1,EDATE(p_debut,$C352-1),"")</f>
        <v/>
      </c>
      <c r="F352" s="14" t="str">
        <f aca="false">IF($D352=1,INDEX(TblClusters[Cluster],$B352),"")</f>
        <v/>
      </c>
      <c r="G352" s="14" t="str">
        <f aca="false">IF($D352=1,INDEX(TblClusters[Plateforme],$B352),"")</f>
        <v/>
      </c>
      <c r="H352" s="14" t="str">
        <f aca="false">IF($D352=1,INDEX(TblClusters[vCPU par nœud],$B352),"")</f>
        <v/>
      </c>
      <c r="I352" s="14" t="str">
        <f aca="false">IF($D352=1,INDEX(TblClusters[RAM par nœud (Go)],$B352),"")</f>
        <v/>
      </c>
      <c r="J352" s="14" t="str">
        <f aca="false">IF($D352=1,INDEX(TblClusters[Workers min],$B352),"")</f>
        <v/>
      </c>
      <c r="K352" s="84" t="str">
        <f aca="false">IF($D352=1,INDEX(TblClusters[Tarif par nœud],$B352),"")</f>
        <v/>
      </c>
      <c r="L352" s="14" t="str">
        <f aca="false">IF($D352=1,INDEX(TblClusters[CPU initial (vCPU)],$B352),"")</f>
        <v/>
      </c>
      <c r="M352" s="14" t="str">
        <f aca="false">IF($D352=1,INDEX(TblClusters[RAM initiale (Go)],$B352),"")</f>
        <v/>
      </c>
      <c r="N352" s="14" t="str">
        <f aca="false">IF($D352=1,INDEX(TblClusters[CPU min (vCPU)],$B352),"")</f>
        <v/>
      </c>
      <c r="O352" s="14" t="str">
        <f aca="false">IF($D352=1,INDEX(TblClusters[RAM min (Go)],$B352),"")</f>
        <v/>
      </c>
      <c r="P352" s="14" t="str">
        <f aca="false">IF($D352&lt;&gt;1,"",IF($G352="ROKS",SUMIFS(TblApplications[Besoin ROKS CPU (vCPU)],TblApplications[Cluster ROKS cible],$F352,TblApplications[Action],"À migrer",TblApplications[Déjà incluse ROKS],"Non",TblApplications[Mois prov (calc)],"&lt;="&amp;$E352),SUMIFS(TblApplications[CPU IKS libérable (vCPU)],TblApplications[Cluster IKS source],$F352,TblApplications[Mois lib (calc)],"&lt;="&amp;$E352)))</f>
        <v/>
      </c>
      <c r="Q352" s="14" t="str">
        <f aca="false">IF($D352&lt;&gt;1,"",IF($G352="ROKS",SUMIFS(TblApplications[Besoin ROKS RAM (Go)],TblApplications[Cluster ROKS cible],$F352,TblApplications[Action],"À migrer",TblApplications[Déjà incluse ROKS],"Non",TblApplications[Mois prov (calc)],"&lt;="&amp;$E352),SUMIFS(TblApplications[RAM IKS libérable (Go)],TblApplications[Cluster IKS source],$F352,TblApplications[Mois lib (calc)],"&lt;="&amp;$E352)))</f>
        <v/>
      </c>
      <c r="R352" s="14" t="str">
        <f aca="false">IF($D352&lt;&gt;1,"",IF($G352="ROKS",$L352+$P352,IF($AI352=1,0,MAX($N352,$L352-$P352))))</f>
        <v/>
      </c>
      <c r="S352" s="14" t="str">
        <f aca="false">IF($D352&lt;&gt;1,"",IF($G352="ROKS",$M352+$Q352,IF($AI352=1,0,MAX($O352,$M352-$Q352))))</f>
        <v/>
      </c>
      <c r="T352" s="14" t="str">
        <f aca="false">IF($D352&lt;&gt;1,"",IF($AI352=1,0,MAX($J352,ROUNDUP(MAX($R352/$H352,$S352/$I352),0))))</f>
        <v/>
      </c>
      <c r="U352" s="14" t="str">
        <f aca="false">IF($D352&lt;&gt;1,"",IF(p_mode="Nœud",$T352*$H352,$R352))</f>
        <v/>
      </c>
      <c r="V352" s="14" t="str">
        <f aca="false">IF($D352&lt;&gt;1,"",IF(p_mode="Nœud",$T352*$I352,$S352))</f>
        <v/>
      </c>
      <c r="W352" s="84" t="str">
        <f aca="false">IF($D352&lt;&gt;1,"",IF(p_mode="Nœud",$T352*$K352,$R352*IF($G352="IKS",p_iks_cpu,p_roks_cpu)+$S352*IF($G352="IKS",p_iks_ram,p_roks_ram))*p_facteur)</f>
        <v/>
      </c>
      <c r="X352" s="14" t="str">
        <f aca="false">IF($D352&lt;&gt;1,"",IF($G352="ROKS",$R352,IF($AI352=1,0,MAX($N352,$L352-SUMIFS(TblApplications[CPU IKS libérable (vCPU)],TblApplications[Cluster IKS source],$F352,TblApplications[Action],"À migrer",TblApplications[Mois prov (calc)],"&lt;="&amp;$E352)-SUMIFS(TblApplications[CPU IKS libérable (vCPU)],TblApplications[Cluster IKS source],$F352,TblApplications[Action],"À décommissionner",TblApplications[Mois lib (calc)],"&lt;="&amp;$E352)))))</f>
        <v/>
      </c>
      <c r="Y352" s="14" t="str">
        <f aca="false">IF($D352&lt;&gt;1,"",IF($G352="ROKS",$S352,IF($AI352=1,0,MAX($O352,$M352-SUMIFS(TblApplications[RAM IKS libérable (Go)],TblApplications[Cluster IKS source],$F352,TblApplications[Action],"À migrer",TblApplications[Mois prov (calc)],"&lt;="&amp;$E352)-SUMIFS(TblApplications[RAM IKS libérable (Go)],TblApplications[Cluster IKS source],$F352,TblApplications[Action],"À décommissionner",TblApplications[Mois lib (calc)],"&lt;="&amp;$E352)))))</f>
        <v/>
      </c>
      <c r="Z352" s="14" t="str">
        <f aca="false">IF($D352&lt;&gt;1,"",IF($AI352=1,0,MAX($J352,ROUNDUP(MAX($X352/$H352,$Y352/$I352),0))))</f>
        <v/>
      </c>
      <c r="AA352" s="84" t="str">
        <f aca="false">IF($D352&lt;&gt;1,"",IF(p_mode="Nœud",$Z352*$K352,$X352*IF($G352="IKS",p_iks_cpu,p_roks_cpu)+$Y352*IF($G352="IKS",p_iks_ram,p_roks_ram))*p_facteur)</f>
        <v/>
      </c>
      <c r="AB352" s="14" t="str">
        <f aca="false">IF($D352&lt;&gt;1,"",MAX($J352,ROUNDUP(MAX($L352/$H352,$M352/$I352),0)))</f>
        <v/>
      </c>
      <c r="AC352" s="84" t="str">
        <f aca="false">IF($D352&lt;&gt;1,"",IF(p_mode="Nœud",$AB352*$K352,$L352*IF($G352="IKS",p_iks_cpu,p_roks_cpu)+$M352*IF($G352="IKS",p_iks_ram,p_roks_ram))*p_facteur)</f>
        <v/>
      </c>
      <c r="AD352" s="14" t="str">
        <f aca="false">IF($D352&lt;&gt;1,"",IF(AND($G352="IKS",$AI352&lt;&gt;1,OR($L352-$P352&lt;$N352,$M352-$Q352&lt;$O352)),1,0))</f>
        <v/>
      </c>
      <c r="AE352" s="14" t="str">
        <f aca="false">IF($D352&lt;&gt;1,"",IF(AND($G352="ROKS",$T352&gt;p_maxworkers),1,0))</f>
        <v/>
      </c>
      <c r="AF352" s="14" t="str">
        <f aca="false">IF($D352&lt;&gt;1,"",IF(INDEX(TblClusters[Environnement],$B352)="","(vide)",INDEX(TblClusters[Environnement],$B352)))</f>
        <v/>
      </c>
      <c r="AG352" s="14" t="str">
        <f aca="false">IF($D352&lt;&gt;1,"",$R352+p_poidsram*$S352)</f>
        <v/>
      </c>
      <c r="AH352" s="14" t="str">
        <f aca="false">IF($D352&lt;&gt;1,"",IFERROR($W352/$AG352,0))</f>
        <v/>
      </c>
      <c r="AI352" s="14" t="str">
        <f aca="false">IF($D352&lt;&gt;1,"",IF(AND($G352="IKS",ISNUMBER(INDEX(TblClusters[Fermeture retenue],$B352))),IF($E352&gt;=INDEX(TblClusters[Fermeture retenue],$B352),1,0),0))</f>
        <v/>
      </c>
    </row>
    <row r="353" customFormat="false" ht="15" hidden="false" customHeight="false" outlineLevel="0" collapsed="false">
      <c r="A353" s="14" t="n">
        <v>348</v>
      </c>
      <c r="B353" s="14" t="n">
        <f aca="false">INT(($A353-1)/36)+1</f>
        <v>10</v>
      </c>
      <c r="C353" s="14" t="n">
        <f aca="false">MOD($A353-1,36)+1</f>
        <v>24</v>
      </c>
      <c r="D353" s="14" t="n">
        <f aca="false">IF($C353&gt;p_horizon,0,IFERROR(IF(AND(INDEX(TblClusters[Cluster],$B353)&lt;&gt;"",ISNUMBER(INDEX(TblClusters[CPU initial (vCPU)],$B353)),ISNUMBER(INDEX(TblClusters[CPU min (vCPU)],$B353)),OR(INDEX(TblClusters[Plateforme],$B353)="IKS",INDEX(TblClusters[Plateforme],$B353)="ROKS")),1,0),0))</f>
        <v>0</v>
      </c>
      <c r="E353" s="83" t="str">
        <f aca="false">IF($D353=1,EDATE(p_debut,$C353-1),"")</f>
        <v/>
      </c>
      <c r="F353" s="14" t="str">
        <f aca="false">IF($D353=1,INDEX(TblClusters[Cluster],$B353),"")</f>
        <v/>
      </c>
      <c r="G353" s="14" t="str">
        <f aca="false">IF($D353=1,INDEX(TblClusters[Plateforme],$B353),"")</f>
        <v/>
      </c>
      <c r="H353" s="14" t="str">
        <f aca="false">IF($D353=1,INDEX(TblClusters[vCPU par nœud],$B353),"")</f>
        <v/>
      </c>
      <c r="I353" s="14" t="str">
        <f aca="false">IF($D353=1,INDEX(TblClusters[RAM par nœud (Go)],$B353),"")</f>
        <v/>
      </c>
      <c r="J353" s="14" t="str">
        <f aca="false">IF($D353=1,INDEX(TblClusters[Workers min],$B353),"")</f>
        <v/>
      </c>
      <c r="K353" s="84" t="str">
        <f aca="false">IF($D353=1,INDEX(TblClusters[Tarif par nœud],$B353),"")</f>
        <v/>
      </c>
      <c r="L353" s="14" t="str">
        <f aca="false">IF($D353=1,INDEX(TblClusters[CPU initial (vCPU)],$B353),"")</f>
        <v/>
      </c>
      <c r="M353" s="14" t="str">
        <f aca="false">IF($D353=1,INDEX(TblClusters[RAM initiale (Go)],$B353),"")</f>
        <v/>
      </c>
      <c r="N353" s="14" t="str">
        <f aca="false">IF($D353=1,INDEX(TblClusters[CPU min (vCPU)],$B353),"")</f>
        <v/>
      </c>
      <c r="O353" s="14" t="str">
        <f aca="false">IF($D353=1,INDEX(TblClusters[RAM min (Go)],$B353),"")</f>
        <v/>
      </c>
      <c r="P353" s="14" t="str">
        <f aca="false">IF($D353&lt;&gt;1,"",IF($G353="ROKS",SUMIFS(TblApplications[Besoin ROKS CPU (vCPU)],TblApplications[Cluster ROKS cible],$F353,TblApplications[Action],"À migrer",TblApplications[Déjà incluse ROKS],"Non",TblApplications[Mois prov (calc)],"&lt;="&amp;$E353),SUMIFS(TblApplications[CPU IKS libérable (vCPU)],TblApplications[Cluster IKS source],$F353,TblApplications[Mois lib (calc)],"&lt;="&amp;$E353)))</f>
        <v/>
      </c>
      <c r="Q353" s="14" t="str">
        <f aca="false">IF($D353&lt;&gt;1,"",IF($G353="ROKS",SUMIFS(TblApplications[Besoin ROKS RAM (Go)],TblApplications[Cluster ROKS cible],$F353,TblApplications[Action],"À migrer",TblApplications[Déjà incluse ROKS],"Non",TblApplications[Mois prov (calc)],"&lt;="&amp;$E353),SUMIFS(TblApplications[RAM IKS libérable (Go)],TblApplications[Cluster IKS source],$F353,TblApplications[Mois lib (calc)],"&lt;="&amp;$E353)))</f>
        <v/>
      </c>
      <c r="R353" s="14" t="str">
        <f aca="false">IF($D353&lt;&gt;1,"",IF($G353="ROKS",$L353+$P353,IF($AI353=1,0,MAX($N353,$L353-$P353))))</f>
        <v/>
      </c>
      <c r="S353" s="14" t="str">
        <f aca="false">IF($D353&lt;&gt;1,"",IF($G353="ROKS",$M353+$Q353,IF($AI353=1,0,MAX($O353,$M353-$Q353))))</f>
        <v/>
      </c>
      <c r="T353" s="14" t="str">
        <f aca="false">IF($D353&lt;&gt;1,"",IF($AI353=1,0,MAX($J353,ROUNDUP(MAX($R353/$H353,$S353/$I353),0))))</f>
        <v/>
      </c>
      <c r="U353" s="14" t="str">
        <f aca="false">IF($D353&lt;&gt;1,"",IF(p_mode="Nœud",$T353*$H353,$R353))</f>
        <v/>
      </c>
      <c r="V353" s="14" t="str">
        <f aca="false">IF($D353&lt;&gt;1,"",IF(p_mode="Nœud",$T353*$I353,$S353))</f>
        <v/>
      </c>
      <c r="W353" s="84" t="str">
        <f aca="false">IF($D353&lt;&gt;1,"",IF(p_mode="Nœud",$T353*$K353,$R353*IF($G353="IKS",p_iks_cpu,p_roks_cpu)+$S353*IF($G353="IKS",p_iks_ram,p_roks_ram))*p_facteur)</f>
        <v/>
      </c>
      <c r="X353" s="14" t="str">
        <f aca="false">IF($D353&lt;&gt;1,"",IF($G353="ROKS",$R353,IF($AI353=1,0,MAX($N353,$L353-SUMIFS(TblApplications[CPU IKS libérable (vCPU)],TblApplications[Cluster IKS source],$F353,TblApplications[Action],"À migrer",TblApplications[Mois prov (calc)],"&lt;="&amp;$E353)-SUMIFS(TblApplications[CPU IKS libérable (vCPU)],TblApplications[Cluster IKS source],$F353,TblApplications[Action],"À décommissionner",TblApplications[Mois lib (calc)],"&lt;="&amp;$E353)))))</f>
        <v/>
      </c>
      <c r="Y353" s="14" t="str">
        <f aca="false">IF($D353&lt;&gt;1,"",IF($G353="ROKS",$S353,IF($AI353=1,0,MAX($O353,$M353-SUMIFS(TblApplications[RAM IKS libérable (Go)],TblApplications[Cluster IKS source],$F353,TblApplications[Action],"À migrer",TblApplications[Mois prov (calc)],"&lt;="&amp;$E353)-SUMIFS(TblApplications[RAM IKS libérable (Go)],TblApplications[Cluster IKS source],$F353,TblApplications[Action],"À décommissionner",TblApplications[Mois lib (calc)],"&lt;="&amp;$E353)))))</f>
        <v/>
      </c>
      <c r="Z353" s="14" t="str">
        <f aca="false">IF($D353&lt;&gt;1,"",IF($AI353=1,0,MAX($J353,ROUNDUP(MAX($X353/$H353,$Y353/$I353),0))))</f>
        <v/>
      </c>
      <c r="AA353" s="84" t="str">
        <f aca="false">IF($D353&lt;&gt;1,"",IF(p_mode="Nœud",$Z353*$K353,$X353*IF($G353="IKS",p_iks_cpu,p_roks_cpu)+$Y353*IF($G353="IKS",p_iks_ram,p_roks_ram))*p_facteur)</f>
        <v/>
      </c>
      <c r="AB353" s="14" t="str">
        <f aca="false">IF($D353&lt;&gt;1,"",MAX($J353,ROUNDUP(MAX($L353/$H353,$M353/$I353),0)))</f>
        <v/>
      </c>
      <c r="AC353" s="84" t="str">
        <f aca="false">IF($D353&lt;&gt;1,"",IF(p_mode="Nœud",$AB353*$K353,$L353*IF($G353="IKS",p_iks_cpu,p_roks_cpu)+$M353*IF($G353="IKS",p_iks_ram,p_roks_ram))*p_facteur)</f>
        <v/>
      </c>
      <c r="AD353" s="14" t="str">
        <f aca="false">IF($D353&lt;&gt;1,"",IF(AND($G353="IKS",$AI353&lt;&gt;1,OR($L353-$P353&lt;$N353,$M353-$Q353&lt;$O353)),1,0))</f>
        <v/>
      </c>
      <c r="AE353" s="14" t="str">
        <f aca="false">IF($D353&lt;&gt;1,"",IF(AND($G353="ROKS",$T353&gt;p_maxworkers),1,0))</f>
        <v/>
      </c>
      <c r="AF353" s="14" t="str">
        <f aca="false">IF($D353&lt;&gt;1,"",IF(INDEX(TblClusters[Environnement],$B353)="","(vide)",INDEX(TblClusters[Environnement],$B353)))</f>
        <v/>
      </c>
      <c r="AG353" s="14" t="str">
        <f aca="false">IF($D353&lt;&gt;1,"",$R353+p_poidsram*$S353)</f>
        <v/>
      </c>
      <c r="AH353" s="14" t="str">
        <f aca="false">IF($D353&lt;&gt;1,"",IFERROR($W353/$AG353,0))</f>
        <v/>
      </c>
      <c r="AI353" s="14" t="str">
        <f aca="false">IF($D353&lt;&gt;1,"",IF(AND($G353="IKS",ISNUMBER(INDEX(TblClusters[Fermeture retenue],$B353))),IF($E353&gt;=INDEX(TblClusters[Fermeture retenue],$B353),1,0),0))</f>
        <v/>
      </c>
    </row>
    <row r="354" customFormat="false" ht="15" hidden="false" customHeight="false" outlineLevel="0" collapsed="false">
      <c r="A354" s="14" t="n">
        <v>349</v>
      </c>
      <c r="B354" s="14" t="n">
        <f aca="false">INT(($A354-1)/36)+1</f>
        <v>10</v>
      </c>
      <c r="C354" s="14" t="n">
        <f aca="false">MOD($A354-1,36)+1</f>
        <v>25</v>
      </c>
      <c r="D354" s="14" t="n">
        <f aca="false">IF($C354&gt;p_horizon,0,IFERROR(IF(AND(INDEX(TblClusters[Cluster],$B354)&lt;&gt;"",ISNUMBER(INDEX(TblClusters[CPU initial (vCPU)],$B354)),ISNUMBER(INDEX(TblClusters[CPU min (vCPU)],$B354)),OR(INDEX(TblClusters[Plateforme],$B354)="IKS",INDEX(TblClusters[Plateforme],$B354)="ROKS")),1,0),0))</f>
        <v>0</v>
      </c>
      <c r="E354" s="83" t="str">
        <f aca="false">IF($D354=1,EDATE(p_debut,$C354-1),"")</f>
        <v/>
      </c>
      <c r="F354" s="14" t="str">
        <f aca="false">IF($D354=1,INDEX(TblClusters[Cluster],$B354),"")</f>
        <v/>
      </c>
      <c r="G354" s="14" t="str">
        <f aca="false">IF($D354=1,INDEX(TblClusters[Plateforme],$B354),"")</f>
        <v/>
      </c>
      <c r="H354" s="14" t="str">
        <f aca="false">IF($D354=1,INDEX(TblClusters[vCPU par nœud],$B354),"")</f>
        <v/>
      </c>
      <c r="I354" s="14" t="str">
        <f aca="false">IF($D354=1,INDEX(TblClusters[RAM par nœud (Go)],$B354),"")</f>
        <v/>
      </c>
      <c r="J354" s="14" t="str">
        <f aca="false">IF($D354=1,INDEX(TblClusters[Workers min],$B354),"")</f>
        <v/>
      </c>
      <c r="K354" s="84" t="str">
        <f aca="false">IF($D354=1,INDEX(TblClusters[Tarif par nœud],$B354),"")</f>
        <v/>
      </c>
      <c r="L354" s="14" t="str">
        <f aca="false">IF($D354=1,INDEX(TblClusters[CPU initial (vCPU)],$B354),"")</f>
        <v/>
      </c>
      <c r="M354" s="14" t="str">
        <f aca="false">IF($D354=1,INDEX(TblClusters[RAM initiale (Go)],$B354),"")</f>
        <v/>
      </c>
      <c r="N354" s="14" t="str">
        <f aca="false">IF($D354=1,INDEX(TblClusters[CPU min (vCPU)],$B354),"")</f>
        <v/>
      </c>
      <c r="O354" s="14" t="str">
        <f aca="false">IF($D354=1,INDEX(TblClusters[RAM min (Go)],$B354),"")</f>
        <v/>
      </c>
      <c r="P354" s="14" t="str">
        <f aca="false">IF($D354&lt;&gt;1,"",IF($G354="ROKS",SUMIFS(TblApplications[Besoin ROKS CPU (vCPU)],TblApplications[Cluster ROKS cible],$F354,TblApplications[Action],"À migrer",TblApplications[Déjà incluse ROKS],"Non",TblApplications[Mois prov (calc)],"&lt;="&amp;$E354),SUMIFS(TblApplications[CPU IKS libérable (vCPU)],TblApplications[Cluster IKS source],$F354,TblApplications[Mois lib (calc)],"&lt;="&amp;$E354)))</f>
        <v/>
      </c>
      <c r="Q354" s="14" t="str">
        <f aca="false">IF($D354&lt;&gt;1,"",IF($G354="ROKS",SUMIFS(TblApplications[Besoin ROKS RAM (Go)],TblApplications[Cluster ROKS cible],$F354,TblApplications[Action],"À migrer",TblApplications[Déjà incluse ROKS],"Non",TblApplications[Mois prov (calc)],"&lt;="&amp;$E354),SUMIFS(TblApplications[RAM IKS libérable (Go)],TblApplications[Cluster IKS source],$F354,TblApplications[Mois lib (calc)],"&lt;="&amp;$E354)))</f>
        <v/>
      </c>
      <c r="R354" s="14" t="str">
        <f aca="false">IF($D354&lt;&gt;1,"",IF($G354="ROKS",$L354+$P354,IF($AI354=1,0,MAX($N354,$L354-$P354))))</f>
        <v/>
      </c>
      <c r="S354" s="14" t="str">
        <f aca="false">IF($D354&lt;&gt;1,"",IF($G354="ROKS",$M354+$Q354,IF($AI354=1,0,MAX($O354,$M354-$Q354))))</f>
        <v/>
      </c>
      <c r="T354" s="14" t="str">
        <f aca="false">IF($D354&lt;&gt;1,"",IF($AI354=1,0,MAX($J354,ROUNDUP(MAX($R354/$H354,$S354/$I354),0))))</f>
        <v/>
      </c>
      <c r="U354" s="14" t="str">
        <f aca="false">IF($D354&lt;&gt;1,"",IF(p_mode="Nœud",$T354*$H354,$R354))</f>
        <v/>
      </c>
      <c r="V354" s="14" t="str">
        <f aca="false">IF($D354&lt;&gt;1,"",IF(p_mode="Nœud",$T354*$I354,$S354))</f>
        <v/>
      </c>
      <c r="W354" s="84" t="str">
        <f aca="false">IF($D354&lt;&gt;1,"",IF(p_mode="Nœud",$T354*$K354,$R354*IF($G354="IKS",p_iks_cpu,p_roks_cpu)+$S354*IF($G354="IKS",p_iks_ram,p_roks_ram))*p_facteur)</f>
        <v/>
      </c>
      <c r="X354" s="14" t="str">
        <f aca="false">IF($D354&lt;&gt;1,"",IF($G354="ROKS",$R354,IF($AI354=1,0,MAX($N354,$L354-SUMIFS(TblApplications[CPU IKS libérable (vCPU)],TblApplications[Cluster IKS source],$F354,TblApplications[Action],"À migrer",TblApplications[Mois prov (calc)],"&lt;="&amp;$E354)-SUMIFS(TblApplications[CPU IKS libérable (vCPU)],TblApplications[Cluster IKS source],$F354,TblApplications[Action],"À décommissionner",TblApplications[Mois lib (calc)],"&lt;="&amp;$E354)))))</f>
        <v/>
      </c>
      <c r="Y354" s="14" t="str">
        <f aca="false">IF($D354&lt;&gt;1,"",IF($G354="ROKS",$S354,IF($AI354=1,0,MAX($O354,$M354-SUMIFS(TblApplications[RAM IKS libérable (Go)],TblApplications[Cluster IKS source],$F354,TblApplications[Action],"À migrer",TblApplications[Mois prov (calc)],"&lt;="&amp;$E354)-SUMIFS(TblApplications[RAM IKS libérable (Go)],TblApplications[Cluster IKS source],$F354,TblApplications[Action],"À décommissionner",TblApplications[Mois lib (calc)],"&lt;="&amp;$E354)))))</f>
        <v/>
      </c>
      <c r="Z354" s="14" t="str">
        <f aca="false">IF($D354&lt;&gt;1,"",IF($AI354=1,0,MAX($J354,ROUNDUP(MAX($X354/$H354,$Y354/$I354),0))))</f>
        <v/>
      </c>
      <c r="AA354" s="84" t="str">
        <f aca="false">IF($D354&lt;&gt;1,"",IF(p_mode="Nœud",$Z354*$K354,$X354*IF($G354="IKS",p_iks_cpu,p_roks_cpu)+$Y354*IF($G354="IKS",p_iks_ram,p_roks_ram))*p_facteur)</f>
        <v/>
      </c>
      <c r="AB354" s="14" t="str">
        <f aca="false">IF($D354&lt;&gt;1,"",MAX($J354,ROUNDUP(MAX($L354/$H354,$M354/$I354),0)))</f>
        <v/>
      </c>
      <c r="AC354" s="84" t="str">
        <f aca="false">IF($D354&lt;&gt;1,"",IF(p_mode="Nœud",$AB354*$K354,$L354*IF($G354="IKS",p_iks_cpu,p_roks_cpu)+$M354*IF($G354="IKS",p_iks_ram,p_roks_ram))*p_facteur)</f>
        <v/>
      </c>
      <c r="AD354" s="14" t="str">
        <f aca="false">IF($D354&lt;&gt;1,"",IF(AND($G354="IKS",$AI354&lt;&gt;1,OR($L354-$P354&lt;$N354,$M354-$Q354&lt;$O354)),1,0))</f>
        <v/>
      </c>
      <c r="AE354" s="14" t="str">
        <f aca="false">IF($D354&lt;&gt;1,"",IF(AND($G354="ROKS",$T354&gt;p_maxworkers),1,0))</f>
        <v/>
      </c>
      <c r="AF354" s="14" t="str">
        <f aca="false">IF($D354&lt;&gt;1,"",IF(INDEX(TblClusters[Environnement],$B354)="","(vide)",INDEX(TblClusters[Environnement],$B354)))</f>
        <v/>
      </c>
      <c r="AG354" s="14" t="str">
        <f aca="false">IF($D354&lt;&gt;1,"",$R354+p_poidsram*$S354)</f>
        <v/>
      </c>
      <c r="AH354" s="14" t="str">
        <f aca="false">IF($D354&lt;&gt;1,"",IFERROR($W354/$AG354,0))</f>
        <v/>
      </c>
      <c r="AI354" s="14" t="str">
        <f aca="false">IF($D354&lt;&gt;1,"",IF(AND($G354="IKS",ISNUMBER(INDEX(TblClusters[Fermeture retenue],$B354))),IF($E354&gt;=INDEX(TblClusters[Fermeture retenue],$B354),1,0),0))</f>
        <v/>
      </c>
    </row>
    <row r="355" customFormat="false" ht="15" hidden="false" customHeight="false" outlineLevel="0" collapsed="false">
      <c r="A355" s="14" t="n">
        <v>350</v>
      </c>
      <c r="B355" s="14" t="n">
        <f aca="false">INT(($A355-1)/36)+1</f>
        <v>10</v>
      </c>
      <c r="C355" s="14" t="n">
        <f aca="false">MOD($A355-1,36)+1</f>
        <v>26</v>
      </c>
      <c r="D355" s="14" t="n">
        <f aca="false">IF($C355&gt;p_horizon,0,IFERROR(IF(AND(INDEX(TblClusters[Cluster],$B355)&lt;&gt;"",ISNUMBER(INDEX(TblClusters[CPU initial (vCPU)],$B355)),ISNUMBER(INDEX(TblClusters[CPU min (vCPU)],$B355)),OR(INDEX(TblClusters[Plateforme],$B355)="IKS",INDEX(TblClusters[Plateforme],$B355)="ROKS")),1,0),0))</f>
        <v>0</v>
      </c>
      <c r="E355" s="83" t="str">
        <f aca="false">IF($D355=1,EDATE(p_debut,$C355-1),"")</f>
        <v/>
      </c>
      <c r="F355" s="14" t="str">
        <f aca="false">IF($D355=1,INDEX(TblClusters[Cluster],$B355),"")</f>
        <v/>
      </c>
      <c r="G355" s="14" t="str">
        <f aca="false">IF($D355=1,INDEX(TblClusters[Plateforme],$B355),"")</f>
        <v/>
      </c>
      <c r="H355" s="14" t="str">
        <f aca="false">IF($D355=1,INDEX(TblClusters[vCPU par nœud],$B355),"")</f>
        <v/>
      </c>
      <c r="I355" s="14" t="str">
        <f aca="false">IF($D355=1,INDEX(TblClusters[RAM par nœud (Go)],$B355),"")</f>
        <v/>
      </c>
      <c r="J355" s="14" t="str">
        <f aca="false">IF($D355=1,INDEX(TblClusters[Workers min],$B355),"")</f>
        <v/>
      </c>
      <c r="K355" s="84" t="str">
        <f aca="false">IF($D355=1,INDEX(TblClusters[Tarif par nœud],$B355),"")</f>
        <v/>
      </c>
      <c r="L355" s="14" t="str">
        <f aca="false">IF($D355=1,INDEX(TblClusters[CPU initial (vCPU)],$B355),"")</f>
        <v/>
      </c>
      <c r="M355" s="14" t="str">
        <f aca="false">IF($D355=1,INDEX(TblClusters[RAM initiale (Go)],$B355),"")</f>
        <v/>
      </c>
      <c r="N355" s="14" t="str">
        <f aca="false">IF($D355=1,INDEX(TblClusters[CPU min (vCPU)],$B355),"")</f>
        <v/>
      </c>
      <c r="O355" s="14" t="str">
        <f aca="false">IF($D355=1,INDEX(TblClusters[RAM min (Go)],$B355),"")</f>
        <v/>
      </c>
      <c r="P355" s="14" t="str">
        <f aca="false">IF($D355&lt;&gt;1,"",IF($G355="ROKS",SUMIFS(TblApplications[Besoin ROKS CPU (vCPU)],TblApplications[Cluster ROKS cible],$F355,TblApplications[Action],"À migrer",TblApplications[Déjà incluse ROKS],"Non",TblApplications[Mois prov (calc)],"&lt;="&amp;$E355),SUMIFS(TblApplications[CPU IKS libérable (vCPU)],TblApplications[Cluster IKS source],$F355,TblApplications[Mois lib (calc)],"&lt;="&amp;$E355)))</f>
        <v/>
      </c>
      <c r="Q355" s="14" t="str">
        <f aca="false">IF($D355&lt;&gt;1,"",IF($G355="ROKS",SUMIFS(TblApplications[Besoin ROKS RAM (Go)],TblApplications[Cluster ROKS cible],$F355,TblApplications[Action],"À migrer",TblApplications[Déjà incluse ROKS],"Non",TblApplications[Mois prov (calc)],"&lt;="&amp;$E355),SUMIFS(TblApplications[RAM IKS libérable (Go)],TblApplications[Cluster IKS source],$F355,TblApplications[Mois lib (calc)],"&lt;="&amp;$E355)))</f>
        <v/>
      </c>
      <c r="R355" s="14" t="str">
        <f aca="false">IF($D355&lt;&gt;1,"",IF($G355="ROKS",$L355+$P355,IF($AI355=1,0,MAX($N355,$L355-$P355))))</f>
        <v/>
      </c>
      <c r="S355" s="14" t="str">
        <f aca="false">IF($D355&lt;&gt;1,"",IF($G355="ROKS",$M355+$Q355,IF($AI355=1,0,MAX($O355,$M355-$Q355))))</f>
        <v/>
      </c>
      <c r="T355" s="14" t="str">
        <f aca="false">IF($D355&lt;&gt;1,"",IF($AI355=1,0,MAX($J355,ROUNDUP(MAX($R355/$H355,$S355/$I355),0))))</f>
        <v/>
      </c>
      <c r="U355" s="14" t="str">
        <f aca="false">IF($D355&lt;&gt;1,"",IF(p_mode="Nœud",$T355*$H355,$R355))</f>
        <v/>
      </c>
      <c r="V355" s="14" t="str">
        <f aca="false">IF($D355&lt;&gt;1,"",IF(p_mode="Nœud",$T355*$I355,$S355))</f>
        <v/>
      </c>
      <c r="W355" s="84" t="str">
        <f aca="false">IF($D355&lt;&gt;1,"",IF(p_mode="Nœud",$T355*$K355,$R355*IF($G355="IKS",p_iks_cpu,p_roks_cpu)+$S355*IF($G355="IKS",p_iks_ram,p_roks_ram))*p_facteur)</f>
        <v/>
      </c>
      <c r="X355" s="14" t="str">
        <f aca="false">IF($D355&lt;&gt;1,"",IF($G355="ROKS",$R355,IF($AI355=1,0,MAX($N355,$L355-SUMIFS(TblApplications[CPU IKS libérable (vCPU)],TblApplications[Cluster IKS source],$F355,TblApplications[Action],"À migrer",TblApplications[Mois prov (calc)],"&lt;="&amp;$E355)-SUMIFS(TblApplications[CPU IKS libérable (vCPU)],TblApplications[Cluster IKS source],$F355,TblApplications[Action],"À décommissionner",TblApplications[Mois lib (calc)],"&lt;="&amp;$E355)))))</f>
        <v/>
      </c>
      <c r="Y355" s="14" t="str">
        <f aca="false">IF($D355&lt;&gt;1,"",IF($G355="ROKS",$S355,IF($AI355=1,0,MAX($O355,$M355-SUMIFS(TblApplications[RAM IKS libérable (Go)],TblApplications[Cluster IKS source],$F355,TblApplications[Action],"À migrer",TblApplications[Mois prov (calc)],"&lt;="&amp;$E355)-SUMIFS(TblApplications[RAM IKS libérable (Go)],TblApplications[Cluster IKS source],$F355,TblApplications[Action],"À décommissionner",TblApplications[Mois lib (calc)],"&lt;="&amp;$E355)))))</f>
        <v/>
      </c>
      <c r="Z355" s="14" t="str">
        <f aca="false">IF($D355&lt;&gt;1,"",IF($AI355=1,0,MAX($J355,ROUNDUP(MAX($X355/$H355,$Y355/$I355),0))))</f>
        <v/>
      </c>
      <c r="AA355" s="84" t="str">
        <f aca="false">IF($D355&lt;&gt;1,"",IF(p_mode="Nœud",$Z355*$K355,$X355*IF($G355="IKS",p_iks_cpu,p_roks_cpu)+$Y355*IF($G355="IKS",p_iks_ram,p_roks_ram))*p_facteur)</f>
        <v/>
      </c>
      <c r="AB355" s="14" t="str">
        <f aca="false">IF($D355&lt;&gt;1,"",MAX($J355,ROUNDUP(MAX($L355/$H355,$M355/$I355),0)))</f>
        <v/>
      </c>
      <c r="AC355" s="84" t="str">
        <f aca="false">IF($D355&lt;&gt;1,"",IF(p_mode="Nœud",$AB355*$K355,$L355*IF($G355="IKS",p_iks_cpu,p_roks_cpu)+$M355*IF($G355="IKS",p_iks_ram,p_roks_ram))*p_facteur)</f>
        <v/>
      </c>
      <c r="AD355" s="14" t="str">
        <f aca="false">IF($D355&lt;&gt;1,"",IF(AND($G355="IKS",$AI355&lt;&gt;1,OR($L355-$P355&lt;$N355,$M355-$Q355&lt;$O355)),1,0))</f>
        <v/>
      </c>
      <c r="AE355" s="14" t="str">
        <f aca="false">IF($D355&lt;&gt;1,"",IF(AND($G355="ROKS",$T355&gt;p_maxworkers),1,0))</f>
        <v/>
      </c>
      <c r="AF355" s="14" t="str">
        <f aca="false">IF($D355&lt;&gt;1,"",IF(INDEX(TblClusters[Environnement],$B355)="","(vide)",INDEX(TblClusters[Environnement],$B355)))</f>
        <v/>
      </c>
      <c r="AG355" s="14" t="str">
        <f aca="false">IF($D355&lt;&gt;1,"",$R355+p_poidsram*$S355)</f>
        <v/>
      </c>
      <c r="AH355" s="14" t="str">
        <f aca="false">IF($D355&lt;&gt;1,"",IFERROR($W355/$AG355,0))</f>
        <v/>
      </c>
      <c r="AI355" s="14" t="str">
        <f aca="false">IF($D355&lt;&gt;1,"",IF(AND($G355="IKS",ISNUMBER(INDEX(TblClusters[Fermeture retenue],$B355))),IF($E355&gt;=INDEX(TblClusters[Fermeture retenue],$B355),1,0),0))</f>
        <v/>
      </c>
    </row>
    <row r="356" customFormat="false" ht="15" hidden="false" customHeight="false" outlineLevel="0" collapsed="false">
      <c r="A356" s="14" t="n">
        <v>351</v>
      </c>
      <c r="B356" s="14" t="n">
        <f aca="false">INT(($A356-1)/36)+1</f>
        <v>10</v>
      </c>
      <c r="C356" s="14" t="n">
        <f aca="false">MOD($A356-1,36)+1</f>
        <v>27</v>
      </c>
      <c r="D356" s="14" t="n">
        <f aca="false">IF($C356&gt;p_horizon,0,IFERROR(IF(AND(INDEX(TblClusters[Cluster],$B356)&lt;&gt;"",ISNUMBER(INDEX(TblClusters[CPU initial (vCPU)],$B356)),ISNUMBER(INDEX(TblClusters[CPU min (vCPU)],$B356)),OR(INDEX(TblClusters[Plateforme],$B356)="IKS",INDEX(TblClusters[Plateforme],$B356)="ROKS")),1,0),0))</f>
        <v>0</v>
      </c>
      <c r="E356" s="83" t="str">
        <f aca="false">IF($D356=1,EDATE(p_debut,$C356-1),"")</f>
        <v/>
      </c>
      <c r="F356" s="14" t="str">
        <f aca="false">IF($D356=1,INDEX(TblClusters[Cluster],$B356),"")</f>
        <v/>
      </c>
      <c r="G356" s="14" t="str">
        <f aca="false">IF($D356=1,INDEX(TblClusters[Plateforme],$B356),"")</f>
        <v/>
      </c>
      <c r="H356" s="14" t="str">
        <f aca="false">IF($D356=1,INDEX(TblClusters[vCPU par nœud],$B356),"")</f>
        <v/>
      </c>
      <c r="I356" s="14" t="str">
        <f aca="false">IF($D356=1,INDEX(TblClusters[RAM par nœud (Go)],$B356),"")</f>
        <v/>
      </c>
      <c r="J356" s="14" t="str">
        <f aca="false">IF($D356=1,INDEX(TblClusters[Workers min],$B356),"")</f>
        <v/>
      </c>
      <c r="K356" s="84" t="str">
        <f aca="false">IF($D356=1,INDEX(TblClusters[Tarif par nœud],$B356),"")</f>
        <v/>
      </c>
      <c r="L356" s="14" t="str">
        <f aca="false">IF($D356=1,INDEX(TblClusters[CPU initial (vCPU)],$B356),"")</f>
        <v/>
      </c>
      <c r="M356" s="14" t="str">
        <f aca="false">IF($D356=1,INDEX(TblClusters[RAM initiale (Go)],$B356),"")</f>
        <v/>
      </c>
      <c r="N356" s="14" t="str">
        <f aca="false">IF($D356=1,INDEX(TblClusters[CPU min (vCPU)],$B356),"")</f>
        <v/>
      </c>
      <c r="O356" s="14" t="str">
        <f aca="false">IF($D356=1,INDEX(TblClusters[RAM min (Go)],$B356),"")</f>
        <v/>
      </c>
      <c r="P356" s="14" t="str">
        <f aca="false">IF($D356&lt;&gt;1,"",IF($G356="ROKS",SUMIFS(TblApplications[Besoin ROKS CPU (vCPU)],TblApplications[Cluster ROKS cible],$F356,TblApplications[Action],"À migrer",TblApplications[Déjà incluse ROKS],"Non",TblApplications[Mois prov (calc)],"&lt;="&amp;$E356),SUMIFS(TblApplications[CPU IKS libérable (vCPU)],TblApplications[Cluster IKS source],$F356,TblApplications[Mois lib (calc)],"&lt;="&amp;$E356)))</f>
        <v/>
      </c>
      <c r="Q356" s="14" t="str">
        <f aca="false">IF($D356&lt;&gt;1,"",IF($G356="ROKS",SUMIFS(TblApplications[Besoin ROKS RAM (Go)],TblApplications[Cluster ROKS cible],$F356,TblApplications[Action],"À migrer",TblApplications[Déjà incluse ROKS],"Non",TblApplications[Mois prov (calc)],"&lt;="&amp;$E356),SUMIFS(TblApplications[RAM IKS libérable (Go)],TblApplications[Cluster IKS source],$F356,TblApplications[Mois lib (calc)],"&lt;="&amp;$E356)))</f>
        <v/>
      </c>
      <c r="R356" s="14" t="str">
        <f aca="false">IF($D356&lt;&gt;1,"",IF($G356="ROKS",$L356+$P356,IF($AI356=1,0,MAX($N356,$L356-$P356))))</f>
        <v/>
      </c>
      <c r="S356" s="14" t="str">
        <f aca="false">IF($D356&lt;&gt;1,"",IF($G356="ROKS",$M356+$Q356,IF($AI356=1,0,MAX($O356,$M356-$Q356))))</f>
        <v/>
      </c>
      <c r="T356" s="14" t="str">
        <f aca="false">IF($D356&lt;&gt;1,"",IF($AI356=1,0,MAX($J356,ROUNDUP(MAX($R356/$H356,$S356/$I356),0))))</f>
        <v/>
      </c>
      <c r="U356" s="14" t="str">
        <f aca="false">IF($D356&lt;&gt;1,"",IF(p_mode="Nœud",$T356*$H356,$R356))</f>
        <v/>
      </c>
      <c r="V356" s="14" t="str">
        <f aca="false">IF($D356&lt;&gt;1,"",IF(p_mode="Nœud",$T356*$I356,$S356))</f>
        <v/>
      </c>
      <c r="W356" s="84" t="str">
        <f aca="false">IF($D356&lt;&gt;1,"",IF(p_mode="Nœud",$T356*$K356,$R356*IF($G356="IKS",p_iks_cpu,p_roks_cpu)+$S356*IF($G356="IKS",p_iks_ram,p_roks_ram))*p_facteur)</f>
        <v/>
      </c>
      <c r="X356" s="14" t="str">
        <f aca="false">IF($D356&lt;&gt;1,"",IF($G356="ROKS",$R356,IF($AI356=1,0,MAX($N356,$L356-SUMIFS(TblApplications[CPU IKS libérable (vCPU)],TblApplications[Cluster IKS source],$F356,TblApplications[Action],"À migrer",TblApplications[Mois prov (calc)],"&lt;="&amp;$E356)-SUMIFS(TblApplications[CPU IKS libérable (vCPU)],TblApplications[Cluster IKS source],$F356,TblApplications[Action],"À décommissionner",TblApplications[Mois lib (calc)],"&lt;="&amp;$E356)))))</f>
        <v/>
      </c>
      <c r="Y356" s="14" t="str">
        <f aca="false">IF($D356&lt;&gt;1,"",IF($G356="ROKS",$S356,IF($AI356=1,0,MAX($O356,$M356-SUMIFS(TblApplications[RAM IKS libérable (Go)],TblApplications[Cluster IKS source],$F356,TblApplications[Action],"À migrer",TblApplications[Mois prov (calc)],"&lt;="&amp;$E356)-SUMIFS(TblApplications[RAM IKS libérable (Go)],TblApplications[Cluster IKS source],$F356,TblApplications[Action],"À décommissionner",TblApplications[Mois lib (calc)],"&lt;="&amp;$E356)))))</f>
        <v/>
      </c>
      <c r="Z356" s="14" t="str">
        <f aca="false">IF($D356&lt;&gt;1,"",IF($AI356=1,0,MAX($J356,ROUNDUP(MAX($X356/$H356,$Y356/$I356),0))))</f>
        <v/>
      </c>
      <c r="AA356" s="84" t="str">
        <f aca="false">IF($D356&lt;&gt;1,"",IF(p_mode="Nœud",$Z356*$K356,$X356*IF($G356="IKS",p_iks_cpu,p_roks_cpu)+$Y356*IF($G356="IKS",p_iks_ram,p_roks_ram))*p_facteur)</f>
        <v/>
      </c>
      <c r="AB356" s="14" t="str">
        <f aca="false">IF($D356&lt;&gt;1,"",MAX($J356,ROUNDUP(MAX($L356/$H356,$M356/$I356),0)))</f>
        <v/>
      </c>
      <c r="AC356" s="84" t="str">
        <f aca="false">IF($D356&lt;&gt;1,"",IF(p_mode="Nœud",$AB356*$K356,$L356*IF($G356="IKS",p_iks_cpu,p_roks_cpu)+$M356*IF($G356="IKS",p_iks_ram,p_roks_ram))*p_facteur)</f>
        <v/>
      </c>
      <c r="AD356" s="14" t="str">
        <f aca="false">IF($D356&lt;&gt;1,"",IF(AND($G356="IKS",$AI356&lt;&gt;1,OR($L356-$P356&lt;$N356,$M356-$Q356&lt;$O356)),1,0))</f>
        <v/>
      </c>
      <c r="AE356" s="14" t="str">
        <f aca="false">IF($D356&lt;&gt;1,"",IF(AND($G356="ROKS",$T356&gt;p_maxworkers),1,0))</f>
        <v/>
      </c>
      <c r="AF356" s="14" t="str">
        <f aca="false">IF($D356&lt;&gt;1,"",IF(INDEX(TblClusters[Environnement],$B356)="","(vide)",INDEX(TblClusters[Environnement],$B356)))</f>
        <v/>
      </c>
      <c r="AG356" s="14" t="str">
        <f aca="false">IF($D356&lt;&gt;1,"",$R356+p_poidsram*$S356)</f>
        <v/>
      </c>
      <c r="AH356" s="14" t="str">
        <f aca="false">IF($D356&lt;&gt;1,"",IFERROR($W356/$AG356,0))</f>
        <v/>
      </c>
      <c r="AI356" s="14" t="str">
        <f aca="false">IF($D356&lt;&gt;1,"",IF(AND($G356="IKS",ISNUMBER(INDEX(TblClusters[Fermeture retenue],$B356))),IF($E356&gt;=INDEX(TblClusters[Fermeture retenue],$B356),1,0),0))</f>
        <v/>
      </c>
    </row>
    <row r="357" customFormat="false" ht="15" hidden="false" customHeight="false" outlineLevel="0" collapsed="false">
      <c r="A357" s="14" t="n">
        <v>352</v>
      </c>
      <c r="B357" s="14" t="n">
        <f aca="false">INT(($A357-1)/36)+1</f>
        <v>10</v>
      </c>
      <c r="C357" s="14" t="n">
        <f aca="false">MOD($A357-1,36)+1</f>
        <v>28</v>
      </c>
      <c r="D357" s="14" t="n">
        <f aca="false">IF($C357&gt;p_horizon,0,IFERROR(IF(AND(INDEX(TblClusters[Cluster],$B357)&lt;&gt;"",ISNUMBER(INDEX(TblClusters[CPU initial (vCPU)],$B357)),ISNUMBER(INDEX(TblClusters[CPU min (vCPU)],$B357)),OR(INDEX(TblClusters[Plateforme],$B357)="IKS",INDEX(TblClusters[Plateforme],$B357)="ROKS")),1,0),0))</f>
        <v>0</v>
      </c>
      <c r="E357" s="83" t="str">
        <f aca="false">IF($D357=1,EDATE(p_debut,$C357-1),"")</f>
        <v/>
      </c>
      <c r="F357" s="14" t="str">
        <f aca="false">IF($D357=1,INDEX(TblClusters[Cluster],$B357),"")</f>
        <v/>
      </c>
      <c r="G357" s="14" t="str">
        <f aca="false">IF($D357=1,INDEX(TblClusters[Plateforme],$B357),"")</f>
        <v/>
      </c>
      <c r="H357" s="14" t="str">
        <f aca="false">IF($D357=1,INDEX(TblClusters[vCPU par nœud],$B357),"")</f>
        <v/>
      </c>
      <c r="I357" s="14" t="str">
        <f aca="false">IF($D357=1,INDEX(TblClusters[RAM par nœud (Go)],$B357),"")</f>
        <v/>
      </c>
      <c r="J357" s="14" t="str">
        <f aca="false">IF($D357=1,INDEX(TblClusters[Workers min],$B357),"")</f>
        <v/>
      </c>
      <c r="K357" s="84" t="str">
        <f aca="false">IF($D357=1,INDEX(TblClusters[Tarif par nœud],$B357),"")</f>
        <v/>
      </c>
      <c r="L357" s="14" t="str">
        <f aca="false">IF($D357=1,INDEX(TblClusters[CPU initial (vCPU)],$B357),"")</f>
        <v/>
      </c>
      <c r="M357" s="14" t="str">
        <f aca="false">IF($D357=1,INDEX(TblClusters[RAM initiale (Go)],$B357),"")</f>
        <v/>
      </c>
      <c r="N357" s="14" t="str">
        <f aca="false">IF($D357=1,INDEX(TblClusters[CPU min (vCPU)],$B357),"")</f>
        <v/>
      </c>
      <c r="O357" s="14" t="str">
        <f aca="false">IF($D357=1,INDEX(TblClusters[RAM min (Go)],$B357),"")</f>
        <v/>
      </c>
      <c r="P357" s="14" t="str">
        <f aca="false">IF($D357&lt;&gt;1,"",IF($G357="ROKS",SUMIFS(TblApplications[Besoin ROKS CPU (vCPU)],TblApplications[Cluster ROKS cible],$F357,TblApplications[Action],"À migrer",TblApplications[Déjà incluse ROKS],"Non",TblApplications[Mois prov (calc)],"&lt;="&amp;$E357),SUMIFS(TblApplications[CPU IKS libérable (vCPU)],TblApplications[Cluster IKS source],$F357,TblApplications[Mois lib (calc)],"&lt;="&amp;$E357)))</f>
        <v/>
      </c>
      <c r="Q357" s="14" t="str">
        <f aca="false">IF($D357&lt;&gt;1,"",IF($G357="ROKS",SUMIFS(TblApplications[Besoin ROKS RAM (Go)],TblApplications[Cluster ROKS cible],$F357,TblApplications[Action],"À migrer",TblApplications[Déjà incluse ROKS],"Non",TblApplications[Mois prov (calc)],"&lt;="&amp;$E357),SUMIFS(TblApplications[RAM IKS libérable (Go)],TblApplications[Cluster IKS source],$F357,TblApplications[Mois lib (calc)],"&lt;="&amp;$E357)))</f>
        <v/>
      </c>
      <c r="R357" s="14" t="str">
        <f aca="false">IF($D357&lt;&gt;1,"",IF($G357="ROKS",$L357+$P357,IF($AI357=1,0,MAX($N357,$L357-$P357))))</f>
        <v/>
      </c>
      <c r="S357" s="14" t="str">
        <f aca="false">IF($D357&lt;&gt;1,"",IF($G357="ROKS",$M357+$Q357,IF($AI357=1,0,MAX($O357,$M357-$Q357))))</f>
        <v/>
      </c>
      <c r="T357" s="14" t="str">
        <f aca="false">IF($D357&lt;&gt;1,"",IF($AI357=1,0,MAX($J357,ROUNDUP(MAX($R357/$H357,$S357/$I357),0))))</f>
        <v/>
      </c>
      <c r="U357" s="14" t="str">
        <f aca="false">IF($D357&lt;&gt;1,"",IF(p_mode="Nœud",$T357*$H357,$R357))</f>
        <v/>
      </c>
      <c r="V357" s="14" t="str">
        <f aca="false">IF($D357&lt;&gt;1,"",IF(p_mode="Nœud",$T357*$I357,$S357))</f>
        <v/>
      </c>
      <c r="W357" s="84" t="str">
        <f aca="false">IF($D357&lt;&gt;1,"",IF(p_mode="Nœud",$T357*$K357,$R357*IF($G357="IKS",p_iks_cpu,p_roks_cpu)+$S357*IF($G357="IKS",p_iks_ram,p_roks_ram))*p_facteur)</f>
        <v/>
      </c>
      <c r="X357" s="14" t="str">
        <f aca="false">IF($D357&lt;&gt;1,"",IF($G357="ROKS",$R357,IF($AI357=1,0,MAX($N357,$L357-SUMIFS(TblApplications[CPU IKS libérable (vCPU)],TblApplications[Cluster IKS source],$F357,TblApplications[Action],"À migrer",TblApplications[Mois prov (calc)],"&lt;="&amp;$E357)-SUMIFS(TblApplications[CPU IKS libérable (vCPU)],TblApplications[Cluster IKS source],$F357,TblApplications[Action],"À décommissionner",TblApplications[Mois lib (calc)],"&lt;="&amp;$E357)))))</f>
        <v/>
      </c>
      <c r="Y357" s="14" t="str">
        <f aca="false">IF($D357&lt;&gt;1,"",IF($G357="ROKS",$S357,IF($AI357=1,0,MAX($O357,$M357-SUMIFS(TblApplications[RAM IKS libérable (Go)],TblApplications[Cluster IKS source],$F357,TblApplications[Action],"À migrer",TblApplications[Mois prov (calc)],"&lt;="&amp;$E357)-SUMIFS(TblApplications[RAM IKS libérable (Go)],TblApplications[Cluster IKS source],$F357,TblApplications[Action],"À décommissionner",TblApplications[Mois lib (calc)],"&lt;="&amp;$E357)))))</f>
        <v/>
      </c>
      <c r="Z357" s="14" t="str">
        <f aca="false">IF($D357&lt;&gt;1,"",IF($AI357=1,0,MAX($J357,ROUNDUP(MAX($X357/$H357,$Y357/$I357),0))))</f>
        <v/>
      </c>
      <c r="AA357" s="84" t="str">
        <f aca="false">IF($D357&lt;&gt;1,"",IF(p_mode="Nœud",$Z357*$K357,$X357*IF($G357="IKS",p_iks_cpu,p_roks_cpu)+$Y357*IF($G357="IKS",p_iks_ram,p_roks_ram))*p_facteur)</f>
        <v/>
      </c>
      <c r="AB357" s="14" t="str">
        <f aca="false">IF($D357&lt;&gt;1,"",MAX($J357,ROUNDUP(MAX($L357/$H357,$M357/$I357),0)))</f>
        <v/>
      </c>
      <c r="AC357" s="84" t="str">
        <f aca="false">IF($D357&lt;&gt;1,"",IF(p_mode="Nœud",$AB357*$K357,$L357*IF($G357="IKS",p_iks_cpu,p_roks_cpu)+$M357*IF($G357="IKS",p_iks_ram,p_roks_ram))*p_facteur)</f>
        <v/>
      </c>
      <c r="AD357" s="14" t="str">
        <f aca="false">IF($D357&lt;&gt;1,"",IF(AND($G357="IKS",$AI357&lt;&gt;1,OR($L357-$P357&lt;$N357,$M357-$Q357&lt;$O357)),1,0))</f>
        <v/>
      </c>
      <c r="AE357" s="14" t="str">
        <f aca="false">IF($D357&lt;&gt;1,"",IF(AND($G357="ROKS",$T357&gt;p_maxworkers),1,0))</f>
        <v/>
      </c>
      <c r="AF357" s="14" t="str">
        <f aca="false">IF($D357&lt;&gt;1,"",IF(INDEX(TblClusters[Environnement],$B357)="","(vide)",INDEX(TblClusters[Environnement],$B357)))</f>
        <v/>
      </c>
      <c r="AG357" s="14" t="str">
        <f aca="false">IF($D357&lt;&gt;1,"",$R357+p_poidsram*$S357)</f>
        <v/>
      </c>
      <c r="AH357" s="14" t="str">
        <f aca="false">IF($D357&lt;&gt;1,"",IFERROR($W357/$AG357,0))</f>
        <v/>
      </c>
      <c r="AI357" s="14" t="str">
        <f aca="false">IF($D357&lt;&gt;1,"",IF(AND($G357="IKS",ISNUMBER(INDEX(TblClusters[Fermeture retenue],$B357))),IF($E357&gt;=INDEX(TblClusters[Fermeture retenue],$B357),1,0),0))</f>
        <v/>
      </c>
    </row>
    <row r="358" customFormat="false" ht="15" hidden="false" customHeight="false" outlineLevel="0" collapsed="false">
      <c r="A358" s="14" t="n">
        <v>353</v>
      </c>
      <c r="B358" s="14" t="n">
        <f aca="false">INT(($A358-1)/36)+1</f>
        <v>10</v>
      </c>
      <c r="C358" s="14" t="n">
        <f aca="false">MOD($A358-1,36)+1</f>
        <v>29</v>
      </c>
      <c r="D358" s="14" t="n">
        <f aca="false">IF($C358&gt;p_horizon,0,IFERROR(IF(AND(INDEX(TblClusters[Cluster],$B358)&lt;&gt;"",ISNUMBER(INDEX(TblClusters[CPU initial (vCPU)],$B358)),ISNUMBER(INDEX(TblClusters[CPU min (vCPU)],$B358)),OR(INDEX(TblClusters[Plateforme],$B358)="IKS",INDEX(TblClusters[Plateforme],$B358)="ROKS")),1,0),0))</f>
        <v>0</v>
      </c>
      <c r="E358" s="83" t="str">
        <f aca="false">IF($D358=1,EDATE(p_debut,$C358-1),"")</f>
        <v/>
      </c>
      <c r="F358" s="14" t="str">
        <f aca="false">IF($D358=1,INDEX(TblClusters[Cluster],$B358),"")</f>
        <v/>
      </c>
      <c r="G358" s="14" t="str">
        <f aca="false">IF($D358=1,INDEX(TblClusters[Plateforme],$B358),"")</f>
        <v/>
      </c>
      <c r="H358" s="14" t="str">
        <f aca="false">IF($D358=1,INDEX(TblClusters[vCPU par nœud],$B358),"")</f>
        <v/>
      </c>
      <c r="I358" s="14" t="str">
        <f aca="false">IF($D358=1,INDEX(TblClusters[RAM par nœud (Go)],$B358),"")</f>
        <v/>
      </c>
      <c r="J358" s="14" t="str">
        <f aca="false">IF($D358=1,INDEX(TblClusters[Workers min],$B358),"")</f>
        <v/>
      </c>
      <c r="K358" s="84" t="str">
        <f aca="false">IF($D358=1,INDEX(TblClusters[Tarif par nœud],$B358),"")</f>
        <v/>
      </c>
      <c r="L358" s="14" t="str">
        <f aca="false">IF($D358=1,INDEX(TblClusters[CPU initial (vCPU)],$B358),"")</f>
        <v/>
      </c>
      <c r="M358" s="14" t="str">
        <f aca="false">IF($D358=1,INDEX(TblClusters[RAM initiale (Go)],$B358),"")</f>
        <v/>
      </c>
      <c r="N358" s="14" t="str">
        <f aca="false">IF($D358=1,INDEX(TblClusters[CPU min (vCPU)],$B358),"")</f>
        <v/>
      </c>
      <c r="O358" s="14" t="str">
        <f aca="false">IF($D358=1,INDEX(TblClusters[RAM min (Go)],$B358),"")</f>
        <v/>
      </c>
      <c r="P358" s="14" t="str">
        <f aca="false">IF($D358&lt;&gt;1,"",IF($G358="ROKS",SUMIFS(TblApplications[Besoin ROKS CPU (vCPU)],TblApplications[Cluster ROKS cible],$F358,TblApplications[Action],"À migrer",TblApplications[Déjà incluse ROKS],"Non",TblApplications[Mois prov (calc)],"&lt;="&amp;$E358),SUMIFS(TblApplications[CPU IKS libérable (vCPU)],TblApplications[Cluster IKS source],$F358,TblApplications[Mois lib (calc)],"&lt;="&amp;$E358)))</f>
        <v/>
      </c>
      <c r="Q358" s="14" t="str">
        <f aca="false">IF($D358&lt;&gt;1,"",IF($G358="ROKS",SUMIFS(TblApplications[Besoin ROKS RAM (Go)],TblApplications[Cluster ROKS cible],$F358,TblApplications[Action],"À migrer",TblApplications[Déjà incluse ROKS],"Non",TblApplications[Mois prov (calc)],"&lt;="&amp;$E358),SUMIFS(TblApplications[RAM IKS libérable (Go)],TblApplications[Cluster IKS source],$F358,TblApplications[Mois lib (calc)],"&lt;="&amp;$E358)))</f>
        <v/>
      </c>
      <c r="R358" s="14" t="str">
        <f aca="false">IF($D358&lt;&gt;1,"",IF($G358="ROKS",$L358+$P358,IF($AI358=1,0,MAX($N358,$L358-$P358))))</f>
        <v/>
      </c>
      <c r="S358" s="14" t="str">
        <f aca="false">IF($D358&lt;&gt;1,"",IF($G358="ROKS",$M358+$Q358,IF($AI358=1,0,MAX($O358,$M358-$Q358))))</f>
        <v/>
      </c>
      <c r="T358" s="14" t="str">
        <f aca="false">IF($D358&lt;&gt;1,"",IF($AI358=1,0,MAX($J358,ROUNDUP(MAX($R358/$H358,$S358/$I358),0))))</f>
        <v/>
      </c>
      <c r="U358" s="14" t="str">
        <f aca="false">IF($D358&lt;&gt;1,"",IF(p_mode="Nœud",$T358*$H358,$R358))</f>
        <v/>
      </c>
      <c r="V358" s="14" t="str">
        <f aca="false">IF($D358&lt;&gt;1,"",IF(p_mode="Nœud",$T358*$I358,$S358))</f>
        <v/>
      </c>
      <c r="W358" s="84" t="str">
        <f aca="false">IF($D358&lt;&gt;1,"",IF(p_mode="Nœud",$T358*$K358,$R358*IF($G358="IKS",p_iks_cpu,p_roks_cpu)+$S358*IF($G358="IKS",p_iks_ram,p_roks_ram))*p_facteur)</f>
        <v/>
      </c>
      <c r="X358" s="14" t="str">
        <f aca="false">IF($D358&lt;&gt;1,"",IF($G358="ROKS",$R358,IF($AI358=1,0,MAX($N358,$L358-SUMIFS(TblApplications[CPU IKS libérable (vCPU)],TblApplications[Cluster IKS source],$F358,TblApplications[Action],"À migrer",TblApplications[Mois prov (calc)],"&lt;="&amp;$E358)-SUMIFS(TblApplications[CPU IKS libérable (vCPU)],TblApplications[Cluster IKS source],$F358,TblApplications[Action],"À décommissionner",TblApplications[Mois lib (calc)],"&lt;="&amp;$E358)))))</f>
        <v/>
      </c>
      <c r="Y358" s="14" t="str">
        <f aca="false">IF($D358&lt;&gt;1,"",IF($G358="ROKS",$S358,IF($AI358=1,0,MAX($O358,$M358-SUMIFS(TblApplications[RAM IKS libérable (Go)],TblApplications[Cluster IKS source],$F358,TblApplications[Action],"À migrer",TblApplications[Mois prov (calc)],"&lt;="&amp;$E358)-SUMIFS(TblApplications[RAM IKS libérable (Go)],TblApplications[Cluster IKS source],$F358,TblApplications[Action],"À décommissionner",TblApplications[Mois lib (calc)],"&lt;="&amp;$E358)))))</f>
        <v/>
      </c>
      <c r="Z358" s="14" t="str">
        <f aca="false">IF($D358&lt;&gt;1,"",IF($AI358=1,0,MAX($J358,ROUNDUP(MAX($X358/$H358,$Y358/$I358),0))))</f>
        <v/>
      </c>
      <c r="AA358" s="84" t="str">
        <f aca="false">IF($D358&lt;&gt;1,"",IF(p_mode="Nœud",$Z358*$K358,$X358*IF($G358="IKS",p_iks_cpu,p_roks_cpu)+$Y358*IF($G358="IKS",p_iks_ram,p_roks_ram))*p_facteur)</f>
        <v/>
      </c>
      <c r="AB358" s="14" t="str">
        <f aca="false">IF($D358&lt;&gt;1,"",MAX($J358,ROUNDUP(MAX($L358/$H358,$M358/$I358),0)))</f>
        <v/>
      </c>
      <c r="AC358" s="84" t="str">
        <f aca="false">IF($D358&lt;&gt;1,"",IF(p_mode="Nœud",$AB358*$K358,$L358*IF($G358="IKS",p_iks_cpu,p_roks_cpu)+$M358*IF($G358="IKS",p_iks_ram,p_roks_ram))*p_facteur)</f>
        <v/>
      </c>
      <c r="AD358" s="14" t="str">
        <f aca="false">IF($D358&lt;&gt;1,"",IF(AND($G358="IKS",$AI358&lt;&gt;1,OR($L358-$P358&lt;$N358,$M358-$Q358&lt;$O358)),1,0))</f>
        <v/>
      </c>
      <c r="AE358" s="14" t="str">
        <f aca="false">IF($D358&lt;&gt;1,"",IF(AND($G358="ROKS",$T358&gt;p_maxworkers),1,0))</f>
        <v/>
      </c>
      <c r="AF358" s="14" t="str">
        <f aca="false">IF($D358&lt;&gt;1,"",IF(INDEX(TblClusters[Environnement],$B358)="","(vide)",INDEX(TblClusters[Environnement],$B358)))</f>
        <v/>
      </c>
      <c r="AG358" s="14" t="str">
        <f aca="false">IF($D358&lt;&gt;1,"",$R358+p_poidsram*$S358)</f>
        <v/>
      </c>
      <c r="AH358" s="14" t="str">
        <f aca="false">IF($D358&lt;&gt;1,"",IFERROR($W358/$AG358,0))</f>
        <v/>
      </c>
      <c r="AI358" s="14" t="str">
        <f aca="false">IF($D358&lt;&gt;1,"",IF(AND($G358="IKS",ISNUMBER(INDEX(TblClusters[Fermeture retenue],$B358))),IF($E358&gt;=INDEX(TblClusters[Fermeture retenue],$B358),1,0),0))</f>
        <v/>
      </c>
    </row>
    <row r="359" customFormat="false" ht="15" hidden="false" customHeight="false" outlineLevel="0" collapsed="false">
      <c r="A359" s="14" t="n">
        <v>354</v>
      </c>
      <c r="B359" s="14" t="n">
        <f aca="false">INT(($A359-1)/36)+1</f>
        <v>10</v>
      </c>
      <c r="C359" s="14" t="n">
        <f aca="false">MOD($A359-1,36)+1</f>
        <v>30</v>
      </c>
      <c r="D359" s="14" t="n">
        <f aca="false">IF($C359&gt;p_horizon,0,IFERROR(IF(AND(INDEX(TblClusters[Cluster],$B359)&lt;&gt;"",ISNUMBER(INDEX(TblClusters[CPU initial (vCPU)],$B359)),ISNUMBER(INDEX(TblClusters[CPU min (vCPU)],$B359)),OR(INDEX(TblClusters[Plateforme],$B359)="IKS",INDEX(TblClusters[Plateforme],$B359)="ROKS")),1,0),0))</f>
        <v>0</v>
      </c>
      <c r="E359" s="83" t="str">
        <f aca="false">IF($D359=1,EDATE(p_debut,$C359-1),"")</f>
        <v/>
      </c>
      <c r="F359" s="14" t="str">
        <f aca="false">IF($D359=1,INDEX(TblClusters[Cluster],$B359),"")</f>
        <v/>
      </c>
      <c r="G359" s="14" t="str">
        <f aca="false">IF($D359=1,INDEX(TblClusters[Plateforme],$B359),"")</f>
        <v/>
      </c>
      <c r="H359" s="14" t="str">
        <f aca="false">IF($D359=1,INDEX(TblClusters[vCPU par nœud],$B359),"")</f>
        <v/>
      </c>
      <c r="I359" s="14" t="str">
        <f aca="false">IF($D359=1,INDEX(TblClusters[RAM par nœud (Go)],$B359),"")</f>
        <v/>
      </c>
      <c r="J359" s="14" t="str">
        <f aca="false">IF($D359=1,INDEX(TblClusters[Workers min],$B359),"")</f>
        <v/>
      </c>
      <c r="K359" s="84" t="str">
        <f aca="false">IF($D359=1,INDEX(TblClusters[Tarif par nœud],$B359),"")</f>
        <v/>
      </c>
      <c r="L359" s="14" t="str">
        <f aca="false">IF($D359=1,INDEX(TblClusters[CPU initial (vCPU)],$B359),"")</f>
        <v/>
      </c>
      <c r="M359" s="14" t="str">
        <f aca="false">IF($D359=1,INDEX(TblClusters[RAM initiale (Go)],$B359),"")</f>
        <v/>
      </c>
      <c r="N359" s="14" t="str">
        <f aca="false">IF($D359=1,INDEX(TblClusters[CPU min (vCPU)],$B359),"")</f>
        <v/>
      </c>
      <c r="O359" s="14" t="str">
        <f aca="false">IF($D359=1,INDEX(TblClusters[RAM min (Go)],$B359),"")</f>
        <v/>
      </c>
      <c r="P359" s="14" t="str">
        <f aca="false">IF($D359&lt;&gt;1,"",IF($G359="ROKS",SUMIFS(TblApplications[Besoin ROKS CPU (vCPU)],TblApplications[Cluster ROKS cible],$F359,TblApplications[Action],"À migrer",TblApplications[Déjà incluse ROKS],"Non",TblApplications[Mois prov (calc)],"&lt;="&amp;$E359),SUMIFS(TblApplications[CPU IKS libérable (vCPU)],TblApplications[Cluster IKS source],$F359,TblApplications[Mois lib (calc)],"&lt;="&amp;$E359)))</f>
        <v/>
      </c>
      <c r="Q359" s="14" t="str">
        <f aca="false">IF($D359&lt;&gt;1,"",IF($G359="ROKS",SUMIFS(TblApplications[Besoin ROKS RAM (Go)],TblApplications[Cluster ROKS cible],$F359,TblApplications[Action],"À migrer",TblApplications[Déjà incluse ROKS],"Non",TblApplications[Mois prov (calc)],"&lt;="&amp;$E359),SUMIFS(TblApplications[RAM IKS libérable (Go)],TblApplications[Cluster IKS source],$F359,TblApplications[Mois lib (calc)],"&lt;="&amp;$E359)))</f>
        <v/>
      </c>
      <c r="R359" s="14" t="str">
        <f aca="false">IF($D359&lt;&gt;1,"",IF($G359="ROKS",$L359+$P359,IF($AI359=1,0,MAX($N359,$L359-$P359))))</f>
        <v/>
      </c>
      <c r="S359" s="14" t="str">
        <f aca="false">IF($D359&lt;&gt;1,"",IF($G359="ROKS",$M359+$Q359,IF($AI359=1,0,MAX($O359,$M359-$Q359))))</f>
        <v/>
      </c>
      <c r="T359" s="14" t="str">
        <f aca="false">IF($D359&lt;&gt;1,"",IF($AI359=1,0,MAX($J359,ROUNDUP(MAX($R359/$H359,$S359/$I359),0))))</f>
        <v/>
      </c>
      <c r="U359" s="14" t="str">
        <f aca="false">IF($D359&lt;&gt;1,"",IF(p_mode="Nœud",$T359*$H359,$R359))</f>
        <v/>
      </c>
      <c r="V359" s="14" t="str">
        <f aca="false">IF($D359&lt;&gt;1,"",IF(p_mode="Nœud",$T359*$I359,$S359))</f>
        <v/>
      </c>
      <c r="W359" s="84" t="str">
        <f aca="false">IF($D359&lt;&gt;1,"",IF(p_mode="Nœud",$T359*$K359,$R359*IF($G359="IKS",p_iks_cpu,p_roks_cpu)+$S359*IF($G359="IKS",p_iks_ram,p_roks_ram))*p_facteur)</f>
        <v/>
      </c>
      <c r="X359" s="14" t="str">
        <f aca="false">IF($D359&lt;&gt;1,"",IF($G359="ROKS",$R359,IF($AI359=1,0,MAX($N359,$L359-SUMIFS(TblApplications[CPU IKS libérable (vCPU)],TblApplications[Cluster IKS source],$F359,TblApplications[Action],"À migrer",TblApplications[Mois prov (calc)],"&lt;="&amp;$E359)-SUMIFS(TblApplications[CPU IKS libérable (vCPU)],TblApplications[Cluster IKS source],$F359,TblApplications[Action],"À décommissionner",TblApplications[Mois lib (calc)],"&lt;="&amp;$E359)))))</f>
        <v/>
      </c>
      <c r="Y359" s="14" t="str">
        <f aca="false">IF($D359&lt;&gt;1,"",IF($G359="ROKS",$S359,IF($AI359=1,0,MAX($O359,$M359-SUMIFS(TblApplications[RAM IKS libérable (Go)],TblApplications[Cluster IKS source],$F359,TblApplications[Action],"À migrer",TblApplications[Mois prov (calc)],"&lt;="&amp;$E359)-SUMIFS(TblApplications[RAM IKS libérable (Go)],TblApplications[Cluster IKS source],$F359,TblApplications[Action],"À décommissionner",TblApplications[Mois lib (calc)],"&lt;="&amp;$E359)))))</f>
        <v/>
      </c>
      <c r="Z359" s="14" t="str">
        <f aca="false">IF($D359&lt;&gt;1,"",IF($AI359=1,0,MAX($J359,ROUNDUP(MAX($X359/$H359,$Y359/$I359),0))))</f>
        <v/>
      </c>
      <c r="AA359" s="84" t="str">
        <f aca="false">IF($D359&lt;&gt;1,"",IF(p_mode="Nœud",$Z359*$K359,$X359*IF($G359="IKS",p_iks_cpu,p_roks_cpu)+$Y359*IF($G359="IKS",p_iks_ram,p_roks_ram))*p_facteur)</f>
        <v/>
      </c>
      <c r="AB359" s="14" t="str">
        <f aca="false">IF($D359&lt;&gt;1,"",MAX($J359,ROUNDUP(MAX($L359/$H359,$M359/$I359),0)))</f>
        <v/>
      </c>
      <c r="AC359" s="84" t="str">
        <f aca="false">IF($D359&lt;&gt;1,"",IF(p_mode="Nœud",$AB359*$K359,$L359*IF($G359="IKS",p_iks_cpu,p_roks_cpu)+$M359*IF($G359="IKS",p_iks_ram,p_roks_ram))*p_facteur)</f>
        <v/>
      </c>
      <c r="AD359" s="14" t="str">
        <f aca="false">IF($D359&lt;&gt;1,"",IF(AND($G359="IKS",$AI359&lt;&gt;1,OR($L359-$P359&lt;$N359,$M359-$Q359&lt;$O359)),1,0))</f>
        <v/>
      </c>
      <c r="AE359" s="14" t="str">
        <f aca="false">IF($D359&lt;&gt;1,"",IF(AND($G359="ROKS",$T359&gt;p_maxworkers),1,0))</f>
        <v/>
      </c>
      <c r="AF359" s="14" t="str">
        <f aca="false">IF($D359&lt;&gt;1,"",IF(INDEX(TblClusters[Environnement],$B359)="","(vide)",INDEX(TblClusters[Environnement],$B359)))</f>
        <v/>
      </c>
      <c r="AG359" s="14" t="str">
        <f aca="false">IF($D359&lt;&gt;1,"",$R359+p_poidsram*$S359)</f>
        <v/>
      </c>
      <c r="AH359" s="14" t="str">
        <f aca="false">IF($D359&lt;&gt;1,"",IFERROR($W359/$AG359,0))</f>
        <v/>
      </c>
      <c r="AI359" s="14" t="str">
        <f aca="false">IF($D359&lt;&gt;1,"",IF(AND($G359="IKS",ISNUMBER(INDEX(TblClusters[Fermeture retenue],$B359))),IF($E359&gt;=INDEX(TblClusters[Fermeture retenue],$B359),1,0),0))</f>
        <v/>
      </c>
    </row>
    <row r="360" customFormat="false" ht="15" hidden="false" customHeight="false" outlineLevel="0" collapsed="false">
      <c r="A360" s="14" t="n">
        <v>355</v>
      </c>
      <c r="B360" s="14" t="n">
        <f aca="false">INT(($A360-1)/36)+1</f>
        <v>10</v>
      </c>
      <c r="C360" s="14" t="n">
        <f aca="false">MOD($A360-1,36)+1</f>
        <v>31</v>
      </c>
      <c r="D360" s="14" t="n">
        <f aca="false">IF($C360&gt;p_horizon,0,IFERROR(IF(AND(INDEX(TblClusters[Cluster],$B360)&lt;&gt;"",ISNUMBER(INDEX(TblClusters[CPU initial (vCPU)],$B360)),ISNUMBER(INDEX(TblClusters[CPU min (vCPU)],$B360)),OR(INDEX(TblClusters[Plateforme],$B360)="IKS",INDEX(TblClusters[Plateforme],$B360)="ROKS")),1,0),0))</f>
        <v>0</v>
      </c>
      <c r="E360" s="83" t="str">
        <f aca="false">IF($D360=1,EDATE(p_debut,$C360-1),"")</f>
        <v/>
      </c>
      <c r="F360" s="14" t="str">
        <f aca="false">IF($D360=1,INDEX(TblClusters[Cluster],$B360),"")</f>
        <v/>
      </c>
      <c r="G360" s="14" t="str">
        <f aca="false">IF($D360=1,INDEX(TblClusters[Plateforme],$B360),"")</f>
        <v/>
      </c>
      <c r="H360" s="14" t="str">
        <f aca="false">IF($D360=1,INDEX(TblClusters[vCPU par nœud],$B360),"")</f>
        <v/>
      </c>
      <c r="I360" s="14" t="str">
        <f aca="false">IF($D360=1,INDEX(TblClusters[RAM par nœud (Go)],$B360),"")</f>
        <v/>
      </c>
      <c r="J360" s="14" t="str">
        <f aca="false">IF($D360=1,INDEX(TblClusters[Workers min],$B360),"")</f>
        <v/>
      </c>
      <c r="K360" s="84" t="str">
        <f aca="false">IF($D360=1,INDEX(TblClusters[Tarif par nœud],$B360),"")</f>
        <v/>
      </c>
      <c r="L360" s="14" t="str">
        <f aca="false">IF($D360=1,INDEX(TblClusters[CPU initial (vCPU)],$B360),"")</f>
        <v/>
      </c>
      <c r="M360" s="14" t="str">
        <f aca="false">IF($D360=1,INDEX(TblClusters[RAM initiale (Go)],$B360),"")</f>
        <v/>
      </c>
      <c r="N360" s="14" t="str">
        <f aca="false">IF($D360=1,INDEX(TblClusters[CPU min (vCPU)],$B360),"")</f>
        <v/>
      </c>
      <c r="O360" s="14" t="str">
        <f aca="false">IF($D360=1,INDEX(TblClusters[RAM min (Go)],$B360),"")</f>
        <v/>
      </c>
      <c r="P360" s="14" t="str">
        <f aca="false">IF($D360&lt;&gt;1,"",IF($G360="ROKS",SUMIFS(TblApplications[Besoin ROKS CPU (vCPU)],TblApplications[Cluster ROKS cible],$F360,TblApplications[Action],"À migrer",TblApplications[Déjà incluse ROKS],"Non",TblApplications[Mois prov (calc)],"&lt;="&amp;$E360),SUMIFS(TblApplications[CPU IKS libérable (vCPU)],TblApplications[Cluster IKS source],$F360,TblApplications[Mois lib (calc)],"&lt;="&amp;$E360)))</f>
        <v/>
      </c>
      <c r="Q360" s="14" t="str">
        <f aca="false">IF($D360&lt;&gt;1,"",IF($G360="ROKS",SUMIFS(TblApplications[Besoin ROKS RAM (Go)],TblApplications[Cluster ROKS cible],$F360,TblApplications[Action],"À migrer",TblApplications[Déjà incluse ROKS],"Non",TblApplications[Mois prov (calc)],"&lt;="&amp;$E360),SUMIFS(TblApplications[RAM IKS libérable (Go)],TblApplications[Cluster IKS source],$F360,TblApplications[Mois lib (calc)],"&lt;="&amp;$E360)))</f>
        <v/>
      </c>
      <c r="R360" s="14" t="str">
        <f aca="false">IF($D360&lt;&gt;1,"",IF($G360="ROKS",$L360+$P360,IF($AI360=1,0,MAX($N360,$L360-$P360))))</f>
        <v/>
      </c>
      <c r="S360" s="14" t="str">
        <f aca="false">IF($D360&lt;&gt;1,"",IF($G360="ROKS",$M360+$Q360,IF($AI360=1,0,MAX($O360,$M360-$Q360))))</f>
        <v/>
      </c>
      <c r="T360" s="14" t="str">
        <f aca="false">IF($D360&lt;&gt;1,"",IF($AI360=1,0,MAX($J360,ROUNDUP(MAX($R360/$H360,$S360/$I360),0))))</f>
        <v/>
      </c>
      <c r="U360" s="14" t="str">
        <f aca="false">IF($D360&lt;&gt;1,"",IF(p_mode="Nœud",$T360*$H360,$R360))</f>
        <v/>
      </c>
      <c r="V360" s="14" t="str">
        <f aca="false">IF($D360&lt;&gt;1,"",IF(p_mode="Nœud",$T360*$I360,$S360))</f>
        <v/>
      </c>
      <c r="W360" s="84" t="str">
        <f aca="false">IF($D360&lt;&gt;1,"",IF(p_mode="Nœud",$T360*$K360,$R360*IF($G360="IKS",p_iks_cpu,p_roks_cpu)+$S360*IF($G360="IKS",p_iks_ram,p_roks_ram))*p_facteur)</f>
        <v/>
      </c>
      <c r="X360" s="14" t="str">
        <f aca="false">IF($D360&lt;&gt;1,"",IF($G360="ROKS",$R360,IF($AI360=1,0,MAX($N360,$L360-SUMIFS(TblApplications[CPU IKS libérable (vCPU)],TblApplications[Cluster IKS source],$F360,TblApplications[Action],"À migrer",TblApplications[Mois prov (calc)],"&lt;="&amp;$E360)-SUMIFS(TblApplications[CPU IKS libérable (vCPU)],TblApplications[Cluster IKS source],$F360,TblApplications[Action],"À décommissionner",TblApplications[Mois lib (calc)],"&lt;="&amp;$E360)))))</f>
        <v/>
      </c>
      <c r="Y360" s="14" t="str">
        <f aca="false">IF($D360&lt;&gt;1,"",IF($G360="ROKS",$S360,IF($AI360=1,0,MAX($O360,$M360-SUMIFS(TblApplications[RAM IKS libérable (Go)],TblApplications[Cluster IKS source],$F360,TblApplications[Action],"À migrer",TblApplications[Mois prov (calc)],"&lt;="&amp;$E360)-SUMIFS(TblApplications[RAM IKS libérable (Go)],TblApplications[Cluster IKS source],$F360,TblApplications[Action],"À décommissionner",TblApplications[Mois lib (calc)],"&lt;="&amp;$E360)))))</f>
        <v/>
      </c>
      <c r="Z360" s="14" t="str">
        <f aca="false">IF($D360&lt;&gt;1,"",IF($AI360=1,0,MAX($J360,ROUNDUP(MAX($X360/$H360,$Y360/$I360),0))))</f>
        <v/>
      </c>
      <c r="AA360" s="84" t="str">
        <f aca="false">IF($D360&lt;&gt;1,"",IF(p_mode="Nœud",$Z360*$K360,$X360*IF($G360="IKS",p_iks_cpu,p_roks_cpu)+$Y360*IF($G360="IKS",p_iks_ram,p_roks_ram))*p_facteur)</f>
        <v/>
      </c>
      <c r="AB360" s="14" t="str">
        <f aca="false">IF($D360&lt;&gt;1,"",MAX($J360,ROUNDUP(MAX($L360/$H360,$M360/$I360),0)))</f>
        <v/>
      </c>
      <c r="AC360" s="84" t="str">
        <f aca="false">IF($D360&lt;&gt;1,"",IF(p_mode="Nœud",$AB360*$K360,$L360*IF($G360="IKS",p_iks_cpu,p_roks_cpu)+$M360*IF($G360="IKS",p_iks_ram,p_roks_ram))*p_facteur)</f>
        <v/>
      </c>
      <c r="AD360" s="14" t="str">
        <f aca="false">IF($D360&lt;&gt;1,"",IF(AND($G360="IKS",$AI360&lt;&gt;1,OR($L360-$P360&lt;$N360,$M360-$Q360&lt;$O360)),1,0))</f>
        <v/>
      </c>
      <c r="AE360" s="14" t="str">
        <f aca="false">IF($D360&lt;&gt;1,"",IF(AND($G360="ROKS",$T360&gt;p_maxworkers),1,0))</f>
        <v/>
      </c>
      <c r="AF360" s="14" t="str">
        <f aca="false">IF($D360&lt;&gt;1,"",IF(INDEX(TblClusters[Environnement],$B360)="","(vide)",INDEX(TblClusters[Environnement],$B360)))</f>
        <v/>
      </c>
      <c r="AG360" s="14" t="str">
        <f aca="false">IF($D360&lt;&gt;1,"",$R360+p_poidsram*$S360)</f>
        <v/>
      </c>
      <c r="AH360" s="14" t="str">
        <f aca="false">IF($D360&lt;&gt;1,"",IFERROR($W360/$AG360,0))</f>
        <v/>
      </c>
      <c r="AI360" s="14" t="str">
        <f aca="false">IF($D360&lt;&gt;1,"",IF(AND($G360="IKS",ISNUMBER(INDEX(TblClusters[Fermeture retenue],$B360))),IF($E360&gt;=INDEX(TblClusters[Fermeture retenue],$B360),1,0),0))</f>
        <v/>
      </c>
    </row>
    <row r="361" customFormat="false" ht="15" hidden="false" customHeight="false" outlineLevel="0" collapsed="false">
      <c r="A361" s="14" t="n">
        <v>356</v>
      </c>
      <c r="B361" s="14" t="n">
        <f aca="false">INT(($A361-1)/36)+1</f>
        <v>10</v>
      </c>
      <c r="C361" s="14" t="n">
        <f aca="false">MOD($A361-1,36)+1</f>
        <v>32</v>
      </c>
      <c r="D361" s="14" t="n">
        <f aca="false">IF($C361&gt;p_horizon,0,IFERROR(IF(AND(INDEX(TblClusters[Cluster],$B361)&lt;&gt;"",ISNUMBER(INDEX(TblClusters[CPU initial (vCPU)],$B361)),ISNUMBER(INDEX(TblClusters[CPU min (vCPU)],$B361)),OR(INDEX(TblClusters[Plateforme],$B361)="IKS",INDEX(TblClusters[Plateforme],$B361)="ROKS")),1,0),0))</f>
        <v>0</v>
      </c>
      <c r="E361" s="83" t="str">
        <f aca="false">IF($D361=1,EDATE(p_debut,$C361-1),"")</f>
        <v/>
      </c>
      <c r="F361" s="14" t="str">
        <f aca="false">IF($D361=1,INDEX(TblClusters[Cluster],$B361),"")</f>
        <v/>
      </c>
      <c r="G361" s="14" t="str">
        <f aca="false">IF($D361=1,INDEX(TblClusters[Plateforme],$B361),"")</f>
        <v/>
      </c>
      <c r="H361" s="14" t="str">
        <f aca="false">IF($D361=1,INDEX(TblClusters[vCPU par nœud],$B361),"")</f>
        <v/>
      </c>
      <c r="I361" s="14" t="str">
        <f aca="false">IF($D361=1,INDEX(TblClusters[RAM par nœud (Go)],$B361),"")</f>
        <v/>
      </c>
      <c r="J361" s="14" t="str">
        <f aca="false">IF($D361=1,INDEX(TblClusters[Workers min],$B361),"")</f>
        <v/>
      </c>
      <c r="K361" s="84" t="str">
        <f aca="false">IF($D361=1,INDEX(TblClusters[Tarif par nœud],$B361),"")</f>
        <v/>
      </c>
      <c r="L361" s="14" t="str">
        <f aca="false">IF($D361=1,INDEX(TblClusters[CPU initial (vCPU)],$B361),"")</f>
        <v/>
      </c>
      <c r="M361" s="14" t="str">
        <f aca="false">IF($D361=1,INDEX(TblClusters[RAM initiale (Go)],$B361),"")</f>
        <v/>
      </c>
      <c r="N361" s="14" t="str">
        <f aca="false">IF($D361=1,INDEX(TblClusters[CPU min (vCPU)],$B361),"")</f>
        <v/>
      </c>
      <c r="O361" s="14" t="str">
        <f aca="false">IF($D361=1,INDEX(TblClusters[RAM min (Go)],$B361),"")</f>
        <v/>
      </c>
      <c r="P361" s="14" t="str">
        <f aca="false">IF($D361&lt;&gt;1,"",IF($G361="ROKS",SUMIFS(TblApplications[Besoin ROKS CPU (vCPU)],TblApplications[Cluster ROKS cible],$F361,TblApplications[Action],"À migrer",TblApplications[Déjà incluse ROKS],"Non",TblApplications[Mois prov (calc)],"&lt;="&amp;$E361),SUMIFS(TblApplications[CPU IKS libérable (vCPU)],TblApplications[Cluster IKS source],$F361,TblApplications[Mois lib (calc)],"&lt;="&amp;$E361)))</f>
        <v/>
      </c>
      <c r="Q361" s="14" t="str">
        <f aca="false">IF($D361&lt;&gt;1,"",IF($G361="ROKS",SUMIFS(TblApplications[Besoin ROKS RAM (Go)],TblApplications[Cluster ROKS cible],$F361,TblApplications[Action],"À migrer",TblApplications[Déjà incluse ROKS],"Non",TblApplications[Mois prov (calc)],"&lt;="&amp;$E361),SUMIFS(TblApplications[RAM IKS libérable (Go)],TblApplications[Cluster IKS source],$F361,TblApplications[Mois lib (calc)],"&lt;="&amp;$E361)))</f>
        <v/>
      </c>
      <c r="R361" s="14" t="str">
        <f aca="false">IF($D361&lt;&gt;1,"",IF($G361="ROKS",$L361+$P361,IF($AI361=1,0,MAX($N361,$L361-$P361))))</f>
        <v/>
      </c>
      <c r="S361" s="14" t="str">
        <f aca="false">IF($D361&lt;&gt;1,"",IF($G361="ROKS",$M361+$Q361,IF($AI361=1,0,MAX($O361,$M361-$Q361))))</f>
        <v/>
      </c>
      <c r="T361" s="14" t="str">
        <f aca="false">IF($D361&lt;&gt;1,"",IF($AI361=1,0,MAX($J361,ROUNDUP(MAX($R361/$H361,$S361/$I361),0))))</f>
        <v/>
      </c>
      <c r="U361" s="14" t="str">
        <f aca="false">IF($D361&lt;&gt;1,"",IF(p_mode="Nœud",$T361*$H361,$R361))</f>
        <v/>
      </c>
      <c r="V361" s="14" t="str">
        <f aca="false">IF($D361&lt;&gt;1,"",IF(p_mode="Nœud",$T361*$I361,$S361))</f>
        <v/>
      </c>
      <c r="W361" s="84" t="str">
        <f aca="false">IF($D361&lt;&gt;1,"",IF(p_mode="Nœud",$T361*$K361,$R361*IF($G361="IKS",p_iks_cpu,p_roks_cpu)+$S361*IF($G361="IKS",p_iks_ram,p_roks_ram))*p_facteur)</f>
        <v/>
      </c>
      <c r="X361" s="14" t="str">
        <f aca="false">IF($D361&lt;&gt;1,"",IF($G361="ROKS",$R361,IF($AI361=1,0,MAX($N361,$L361-SUMIFS(TblApplications[CPU IKS libérable (vCPU)],TblApplications[Cluster IKS source],$F361,TblApplications[Action],"À migrer",TblApplications[Mois prov (calc)],"&lt;="&amp;$E361)-SUMIFS(TblApplications[CPU IKS libérable (vCPU)],TblApplications[Cluster IKS source],$F361,TblApplications[Action],"À décommissionner",TblApplications[Mois lib (calc)],"&lt;="&amp;$E361)))))</f>
        <v/>
      </c>
      <c r="Y361" s="14" t="str">
        <f aca="false">IF($D361&lt;&gt;1,"",IF($G361="ROKS",$S361,IF($AI361=1,0,MAX($O361,$M361-SUMIFS(TblApplications[RAM IKS libérable (Go)],TblApplications[Cluster IKS source],$F361,TblApplications[Action],"À migrer",TblApplications[Mois prov (calc)],"&lt;="&amp;$E361)-SUMIFS(TblApplications[RAM IKS libérable (Go)],TblApplications[Cluster IKS source],$F361,TblApplications[Action],"À décommissionner",TblApplications[Mois lib (calc)],"&lt;="&amp;$E361)))))</f>
        <v/>
      </c>
      <c r="Z361" s="14" t="str">
        <f aca="false">IF($D361&lt;&gt;1,"",IF($AI361=1,0,MAX($J361,ROUNDUP(MAX($X361/$H361,$Y361/$I361),0))))</f>
        <v/>
      </c>
      <c r="AA361" s="84" t="str">
        <f aca="false">IF($D361&lt;&gt;1,"",IF(p_mode="Nœud",$Z361*$K361,$X361*IF($G361="IKS",p_iks_cpu,p_roks_cpu)+$Y361*IF($G361="IKS",p_iks_ram,p_roks_ram))*p_facteur)</f>
        <v/>
      </c>
      <c r="AB361" s="14" t="str">
        <f aca="false">IF($D361&lt;&gt;1,"",MAX($J361,ROUNDUP(MAX($L361/$H361,$M361/$I361),0)))</f>
        <v/>
      </c>
      <c r="AC361" s="84" t="str">
        <f aca="false">IF($D361&lt;&gt;1,"",IF(p_mode="Nœud",$AB361*$K361,$L361*IF($G361="IKS",p_iks_cpu,p_roks_cpu)+$M361*IF($G361="IKS",p_iks_ram,p_roks_ram))*p_facteur)</f>
        <v/>
      </c>
      <c r="AD361" s="14" t="str">
        <f aca="false">IF($D361&lt;&gt;1,"",IF(AND($G361="IKS",$AI361&lt;&gt;1,OR($L361-$P361&lt;$N361,$M361-$Q361&lt;$O361)),1,0))</f>
        <v/>
      </c>
      <c r="AE361" s="14" t="str">
        <f aca="false">IF($D361&lt;&gt;1,"",IF(AND($G361="ROKS",$T361&gt;p_maxworkers),1,0))</f>
        <v/>
      </c>
      <c r="AF361" s="14" t="str">
        <f aca="false">IF($D361&lt;&gt;1,"",IF(INDEX(TblClusters[Environnement],$B361)="","(vide)",INDEX(TblClusters[Environnement],$B361)))</f>
        <v/>
      </c>
      <c r="AG361" s="14" t="str">
        <f aca="false">IF($D361&lt;&gt;1,"",$R361+p_poidsram*$S361)</f>
        <v/>
      </c>
      <c r="AH361" s="14" t="str">
        <f aca="false">IF($D361&lt;&gt;1,"",IFERROR($W361/$AG361,0))</f>
        <v/>
      </c>
      <c r="AI361" s="14" t="str">
        <f aca="false">IF($D361&lt;&gt;1,"",IF(AND($G361="IKS",ISNUMBER(INDEX(TblClusters[Fermeture retenue],$B361))),IF($E361&gt;=INDEX(TblClusters[Fermeture retenue],$B361),1,0),0))</f>
        <v/>
      </c>
    </row>
    <row r="362" customFormat="false" ht="15" hidden="false" customHeight="false" outlineLevel="0" collapsed="false">
      <c r="A362" s="14" t="n">
        <v>357</v>
      </c>
      <c r="B362" s="14" t="n">
        <f aca="false">INT(($A362-1)/36)+1</f>
        <v>10</v>
      </c>
      <c r="C362" s="14" t="n">
        <f aca="false">MOD($A362-1,36)+1</f>
        <v>33</v>
      </c>
      <c r="D362" s="14" t="n">
        <f aca="false">IF($C362&gt;p_horizon,0,IFERROR(IF(AND(INDEX(TblClusters[Cluster],$B362)&lt;&gt;"",ISNUMBER(INDEX(TblClusters[CPU initial (vCPU)],$B362)),ISNUMBER(INDEX(TblClusters[CPU min (vCPU)],$B362)),OR(INDEX(TblClusters[Plateforme],$B362)="IKS",INDEX(TblClusters[Plateforme],$B362)="ROKS")),1,0),0))</f>
        <v>0</v>
      </c>
      <c r="E362" s="83" t="str">
        <f aca="false">IF($D362=1,EDATE(p_debut,$C362-1),"")</f>
        <v/>
      </c>
      <c r="F362" s="14" t="str">
        <f aca="false">IF($D362=1,INDEX(TblClusters[Cluster],$B362),"")</f>
        <v/>
      </c>
      <c r="G362" s="14" t="str">
        <f aca="false">IF($D362=1,INDEX(TblClusters[Plateforme],$B362),"")</f>
        <v/>
      </c>
      <c r="H362" s="14" t="str">
        <f aca="false">IF($D362=1,INDEX(TblClusters[vCPU par nœud],$B362),"")</f>
        <v/>
      </c>
      <c r="I362" s="14" t="str">
        <f aca="false">IF($D362=1,INDEX(TblClusters[RAM par nœud (Go)],$B362),"")</f>
        <v/>
      </c>
      <c r="J362" s="14" t="str">
        <f aca="false">IF($D362=1,INDEX(TblClusters[Workers min],$B362),"")</f>
        <v/>
      </c>
      <c r="K362" s="84" t="str">
        <f aca="false">IF($D362=1,INDEX(TblClusters[Tarif par nœud],$B362),"")</f>
        <v/>
      </c>
      <c r="L362" s="14" t="str">
        <f aca="false">IF($D362=1,INDEX(TblClusters[CPU initial (vCPU)],$B362),"")</f>
        <v/>
      </c>
      <c r="M362" s="14" t="str">
        <f aca="false">IF($D362=1,INDEX(TblClusters[RAM initiale (Go)],$B362),"")</f>
        <v/>
      </c>
      <c r="N362" s="14" t="str">
        <f aca="false">IF($D362=1,INDEX(TblClusters[CPU min (vCPU)],$B362),"")</f>
        <v/>
      </c>
      <c r="O362" s="14" t="str">
        <f aca="false">IF($D362=1,INDEX(TblClusters[RAM min (Go)],$B362),"")</f>
        <v/>
      </c>
      <c r="P362" s="14" t="str">
        <f aca="false">IF($D362&lt;&gt;1,"",IF($G362="ROKS",SUMIFS(TblApplications[Besoin ROKS CPU (vCPU)],TblApplications[Cluster ROKS cible],$F362,TblApplications[Action],"À migrer",TblApplications[Déjà incluse ROKS],"Non",TblApplications[Mois prov (calc)],"&lt;="&amp;$E362),SUMIFS(TblApplications[CPU IKS libérable (vCPU)],TblApplications[Cluster IKS source],$F362,TblApplications[Mois lib (calc)],"&lt;="&amp;$E362)))</f>
        <v/>
      </c>
      <c r="Q362" s="14" t="str">
        <f aca="false">IF($D362&lt;&gt;1,"",IF($G362="ROKS",SUMIFS(TblApplications[Besoin ROKS RAM (Go)],TblApplications[Cluster ROKS cible],$F362,TblApplications[Action],"À migrer",TblApplications[Déjà incluse ROKS],"Non",TblApplications[Mois prov (calc)],"&lt;="&amp;$E362),SUMIFS(TblApplications[RAM IKS libérable (Go)],TblApplications[Cluster IKS source],$F362,TblApplications[Mois lib (calc)],"&lt;="&amp;$E362)))</f>
        <v/>
      </c>
      <c r="R362" s="14" t="str">
        <f aca="false">IF($D362&lt;&gt;1,"",IF($G362="ROKS",$L362+$P362,IF($AI362=1,0,MAX($N362,$L362-$P362))))</f>
        <v/>
      </c>
      <c r="S362" s="14" t="str">
        <f aca="false">IF($D362&lt;&gt;1,"",IF($G362="ROKS",$M362+$Q362,IF($AI362=1,0,MAX($O362,$M362-$Q362))))</f>
        <v/>
      </c>
      <c r="T362" s="14" t="str">
        <f aca="false">IF($D362&lt;&gt;1,"",IF($AI362=1,0,MAX($J362,ROUNDUP(MAX($R362/$H362,$S362/$I362),0))))</f>
        <v/>
      </c>
      <c r="U362" s="14" t="str">
        <f aca="false">IF($D362&lt;&gt;1,"",IF(p_mode="Nœud",$T362*$H362,$R362))</f>
        <v/>
      </c>
      <c r="V362" s="14" t="str">
        <f aca="false">IF($D362&lt;&gt;1,"",IF(p_mode="Nœud",$T362*$I362,$S362))</f>
        <v/>
      </c>
      <c r="W362" s="84" t="str">
        <f aca="false">IF($D362&lt;&gt;1,"",IF(p_mode="Nœud",$T362*$K362,$R362*IF($G362="IKS",p_iks_cpu,p_roks_cpu)+$S362*IF($G362="IKS",p_iks_ram,p_roks_ram))*p_facteur)</f>
        <v/>
      </c>
      <c r="X362" s="14" t="str">
        <f aca="false">IF($D362&lt;&gt;1,"",IF($G362="ROKS",$R362,IF($AI362=1,0,MAX($N362,$L362-SUMIFS(TblApplications[CPU IKS libérable (vCPU)],TblApplications[Cluster IKS source],$F362,TblApplications[Action],"À migrer",TblApplications[Mois prov (calc)],"&lt;="&amp;$E362)-SUMIFS(TblApplications[CPU IKS libérable (vCPU)],TblApplications[Cluster IKS source],$F362,TblApplications[Action],"À décommissionner",TblApplications[Mois lib (calc)],"&lt;="&amp;$E362)))))</f>
        <v/>
      </c>
      <c r="Y362" s="14" t="str">
        <f aca="false">IF($D362&lt;&gt;1,"",IF($G362="ROKS",$S362,IF($AI362=1,0,MAX($O362,$M362-SUMIFS(TblApplications[RAM IKS libérable (Go)],TblApplications[Cluster IKS source],$F362,TblApplications[Action],"À migrer",TblApplications[Mois prov (calc)],"&lt;="&amp;$E362)-SUMIFS(TblApplications[RAM IKS libérable (Go)],TblApplications[Cluster IKS source],$F362,TblApplications[Action],"À décommissionner",TblApplications[Mois lib (calc)],"&lt;="&amp;$E362)))))</f>
        <v/>
      </c>
      <c r="Z362" s="14" t="str">
        <f aca="false">IF($D362&lt;&gt;1,"",IF($AI362=1,0,MAX($J362,ROUNDUP(MAX($X362/$H362,$Y362/$I362),0))))</f>
        <v/>
      </c>
      <c r="AA362" s="84" t="str">
        <f aca="false">IF($D362&lt;&gt;1,"",IF(p_mode="Nœud",$Z362*$K362,$X362*IF($G362="IKS",p_iks_cpu,p_roks_cpu)+$Y362*IF($G362="IKS",p_iks_ram,p_roks_ram))*p_facteur)</f>
        <v/>
      </c>
      <c r="AB362" s="14" t="str">
        <f aca="false">IF($D362&lt;&gt;1,"",MAX($J362,ROUNDUP(MAX($L362/$H362,$M362/$I362),0)))</f>
        <v/>
      </c>
      <c r="AC362" s="84" t="str">
        <f aca="false">IF($D362&lt;&gt;1,"",IF(p_mode="Nœud",$AB362*$K362,$L362*IF($G362="IKS",p_iks_cpu,p_roks_cpu)+$M362*IF($G362="IKS",p_iks_ram,p_roks_ram))*p_facteur)</f>
        <v/>
      </c>
      <c r="AD362" s="14" t="str">
        <f aca="false">IF($D362&lt;&gt;1,"",IF(AND($G362="IKS",$AI362&lt;&gt;1,OR($L362-$P362&lt;$N362,$M362-$Q362&lt;$O362)),1,0))</f>
        <v/>
      </c>
      <c r="AE362" s="14" t="str">
        <f aca="false">IF($D362&lt;&gt;1,"",IF(AND($G362="ROKS",$T362&gt;p_maxworkers),1,0))</f>
        <v/>
      </c>
      <c r="AF362" s="14" t="str">
        <f aca="false">IF($D362&lt;&gt;1,"",IF(INDEX(TblClusters[Environnement],$B362)="","(vide)",INDEX(TblClusters[Environnement],$B362)))</f>
        <v/>
      </c>
      <c r="AG362" s="14" t="str">
        <f aca="false">IF($D362&lt;&gt;1,"",$R362+p_poidsram*$S362)</f>
        <v/>
      </c>
      <c r="AH362" s="14" t="str">
        <f aca="false">IF($D362&lt;&gt;1,"",IFERROR($W362/$AG362,0))</f>
        <v/>
      </c>
      <c r="AI362" s="14" t="str">
        <f aca="false">IF($D362&lt;&gt;1,"",IF(AND($G362="IKS",ISNUMBER(INDEX(TblClusters[Fermeture retenue],$B362))),IF($E362&gt;=INDEX(TblClusters[Fermeture retenue],$B362),1,0),0))</f>
        <v/>
      </c>
    </row>
    <row r="363" customFormat="false" ht="15" hidden="false" customHeight="false" outlineLevel="0" collapsed="false">
      <c r="A363" s="14" t="n">
        <v>358</v>
      </c>
      <c r="B363" s="14" t="n">
        <f aca="false">INT(($A363-1)/36)+1</f>
        <v>10</v>
      </c>
      <c r="C363" s="14" t="n">
        <f aca="false">MOD($A363-1,36)+1</f>
        <v>34</v>
      </c>
      <c r="D363" s="14" t="n">
        <f aca="false">IF($C363&gt;p_horizon,0,IFERROR(IF(AND(INDEX(TblClusters[Cluster],$B363)&lt;&gt;"",ISNUMBER(INDEX(TblClusters[CPU initial (vCPU)],$B363)),ISNUMBER(INDEX(TblClusters[CPU min (vCPU)],$B363)),OR(INDEX(TblClusters[Plateforme],$B363)="IKS",INDEX(TblClusters[Plateforme],$B363)="ROKS")),1,0),0))</f>
        <v>0</v>
      </c>
      <c r="E363" s="83" t="str">
        <f aca="false">IF($D363=1,EDATE(p_debut,$C363-1),"")</f>
        <v/>
      </c>
      <c r="F363" s="14" t="str">
        <f aca="false">IF($D363=1,INDEX(TblClusters[Cluster],$B363),"")</f>
        <v/>
      </c>
      <c r="G363" s="14" t="str">
        <f aca="false">IF($D363=1,INDEX(TblClusters[Plateforme],$B363),"")</f>
        <v/>
      </c>
      <c r="H363" s="14" t="str">
        <f aca="false">IF($D363=1,INDEX(TblClusters[vCPU par nœud],$B363),"")</f>
        <v/>
      </c>
      <c r="I363" s="14" t="str">
        <f aca="false">IF($D363=1,INDEX(TblClusters[RAM par nœud (Go)],$B363),"")</f>
        <v/>
      </c>
      <c r="J363" s="14" t="str">
        <f aca="false">IF($D363=1,INDEX(TblClusters[Workers min],$B363),"")</f>
        <v/>
      </c>
      <c r="K363" s="84" t="str">
        <f aca="false">IF($D363=1,INDEX(TblClusters[Tarif par nœud],$B363),"")</f>
        <v/>
      </c>
      <c r="L363" s="14" t="str">
        <f aca="false">IF($D363=1,INDEX(TblClusters[CPU initial (vCPU)],$B363),"")</f>
        <v/>
      </c>
      <c r="M363" s="14" t="str">
        <f aca="false">IF($D363=1,INDEX(TblClusters[RAM initiale (Go)],$B363),"")</f>
        <v/>
      </c>
      <c r="N363" s="14" t="str">
        <f aca="false">IF($D363=1,INDEX(TblClusters[CPU min (vCPU)],$B363),"")</f>
        <v/>
      </c>
      <c r="O363" s="14" t="str">
        <f aca="false">IF($D363=1,INDEX(TblClusters[RAM min (Go)],$B363),"")</f>
        <v/>
      </c>
      <c r="P363" s="14" t="str">
        <f aca="false">IF($D363&lt;&gt;1,"",IF($G363="ROKS",SUMIFS(TblApplications[Besoin ROKS CPU (vCPU)],TblApplications[Cluster ROKS cible],$F363,TblApplications[Action],"À migrer",TblApplications[Déjà incluse ROKS],"Non",TblApplications[Mois prov (calc)],"&lt;="&amp;$E363),SUMIFS(TblApplications[CPU IKS libérable (vCPU)],TblApplications[Cluster IKS source],$F363,TblApplications[Mois lib (calc)],"&lt;="&amp;$E363)))</f>
        <v/>
      </c>
      <c r="Q363" s="14" t="str">
        <f aca="false">IF($D363&lt;&gt;1,"",IF($G363="ROKS",SUMIFS(TblApplications[Besoin ROKS RAM (Go)],TblApplications[Cluster ROKS cible],$F363,TblApplications[Action],"À migrer",TblApplications[Déjà incluse ROKS],"Non",TblApplications[Mois prov (calc)],"&lt;="&amp;$E363),SUMIFS(TblApplications[RAM IKS libérable (Go)],TblApplications[Cluster IKS source],$F363,TblApplications[Mois lib (calc)],"&lt;="&amp;$E363)))</f>
        <v/>
      </c>
      <c r="R363" s="14" t="str">
        <f aca="false">IF($D363&lt;&gt;1,"",IF($G363="ROKS",$L363+$P363,IF($AI363=1,0,MAX($N363,$L363-$P363))))</f>
        <v/>
      </c>
      <c r="S363" s="14" t="str">
        <f aca="false">IF($D363&lt;&gt;1,"",IF($G363="ROKS",$M363+$Q363,IF($AI363=1,0,MAX($O363,$M363-$Q363))))</f>
        <v/>
      </c>
      <c r="T363" s="14" t="str">
        <f aca="false">IF($D363&lt;&gt;1,"",IF($AI363=1,0,MAX($J363,ROUNDUP(MAX($R363/$H363,$S363/$I363),0))))</f>
        <v/>
      </c>
      <c r="U363" s="14" t="str">
        <f aca="false">IF($D363&lt;&gt;1,"",IF(p_mode="Nœud",$T363*$H363,$R363))</f>
        <v/>
      </c>
      <c r="V363" s="14" t="str">
        <f aca="false">IF($D363&lt;&gt;1,"",IF(p_mode="Nœud",$T363*$I363,$S363))</f>
        <v/>
      </c>
      <c r="W363" s="84" t="str">
        <f aca="false">IF($D363&lt;&gt;1,"",IF(p_mode="Nœud",$T363*$K363,$R363*IF($G363="IKS",p_iks_cpu,p_roks_cpu)+$S363*IF($G363="IKS",p_iks_ram,p_roks_ram))*p_facteur)</f>
        <v/>
      </c>
      <c r="X363" s="14" t="str">
        <f aca="false">IF($D363&lt;&gt;1,"",IF($G363="ROKS",$R363,IF($AI363=1,0,MAX($N363,$L363-SUMIFS(TblApplications[CPU IKS libérable (vCPU)],TblApplications[Cluster IKS source],$F363,TblApplications[Action],"À migrer",TblApplications[Mois prov (calc)],"&lt;="&amp;$E363)-SUMIFS(TblApplications[CPU IKS libérable (vCPU)],TblApplications[Cluster IKS source],$F363,TblApplications[Action],"À décommissionner",TblApplications[Mois lib (calc)],"&lt;="&amp;$E363)))))</f>
        <v/>
      </c>
      <c r="Y363" s="14" t="str">
        <f aca="false">IF($D363&lt;&gt;1,"",IF($G363="ROKS",$S363,IF($AI363=1,0,MAX($O363,$M363-SUMIFS(TblApplications[RAM IKS libérable (Go)],TblApplications[Cluster IKS source],$F363,TblApplications[Action],"À migrer",TblApplications[Mois prov (calc)],"&lt;="&amp;$E363)-SUMIFS(TblApplications[RAM IKS libérable (Go)],TblApplications[Cluster IKS source],$F363,TblApplications[Action],"À décommissionner",TblApplications[Mois lib (calc)],"&lt;="&amp;$E363)))))</f>
        <v/>
      </c>
      <c r="Z363" s="14" t="str">
        <f aca="false">IF($D363&lt;&gt;1,"",IF($AI363=1,0,MAX($J363,ROUNDUP(MAX($X363/$H363,$Y363/$I363),0))))</f>
        <v/>
      </c>
      <c r="AA363" s="84" t="str">
        <f aca="false">IF($D363&lt;&gt;1,"",IF(p_mode="Nœud",$Z363*$K363,$X363*IF($G363="IKS",p_iks_cpu,p_roks_cpu)+$Y363*IF($G363="IKS",p_iks_ram,p_roks_ram))*p_facteur)</f>
        <v/>
      </c>
      <c r="AB363" s="14" t="str">
        <f aca="false">IF($D363&lt;&gt;1,"",MAX($J363,ROUNDUP(MAX($L363/$H363,$M363/$I363),0)))</f>
        <v/>
      </c>
      <c r="AC363" s="84" t="str">
        <f aca="false">IF($D363&lt;&gt;1,"",IF(p_mode="Nœud",$AB363*$K363,$L363*IF($G363="IKS",p_iks_cpu,p_roks_cpu)+$M363*IF($G363="IKS",p_iks_ram,p_roks_ram))*p_facteur)</f>
        <v/>
      </c>
      <c r="AD363" s="14" t="str">
        <f aca="false">IF($D363&lt;&gt;1,"",IF(AND($G363="IKS",$AI363&lt;&gt;1,OR($L363-$P363&lt;$N363,$M363-$Q363&lt;$O363)),1,0))</f>
        <v/>
      </c>
      <c r="AE363" s="14" t="str">
        <f aca="false">IF($D363&lt;&gt;1,"",IF(AND($G363="ROKS",$T363&gt;p_maxworkers),1,0))</f>
        <v/>
      </c>
      <c r="AF363" s="14" t="str">
        <f aca="false">IF($D363&lt;&gt;1,"",IF(INDEX(TblClusters[Environnement],$B363)="","(vide)",INDEX(TblClusters[Environnement],$B363)))</f>
        <v/>
      </c>
      <c r="AG363" s="14" t="str">
        <f aca="false">IF($D363&lt;&gt;1,"",$R363+p_poidsram*$S363)</f>
        <v/>
      </c>
      <c r="AH363" s="14" t="str">
        <f aca="false">IF($D363&lt;&gt;1,"",IFERROR($W363/$AG363,0))</f>
        <v/>
      </c>
      <c r="AI363" s="14" t="str">
        <f aca="false">IF($D363&lt;&gt;1,"",IF(AND($G363="IKS",ISNUMBER(INDEX(TblClusters[Fermeture retenue],$B363))),IF($E363&gt;=INDEX(TblClusters[Fermeture retenue],$B363),1,0),0))</f>
        <v/>
      </c>
    </row>
    <row r="364" customFormat="false" ht="15" hidden="false" customHeight="false" outlineLevel="0" collapsed="false">
      <c r="A364" s="14" t="n">
        <v>359</v>
      </c>
      <c r="B364" s="14" t="n">
        <f aca="false">INT(($A364-1)/36)+1</f>
        <v>10</v>
      </c>
      <c r="C364" s="14" t="n">
        <f aca="false">MOD($A364-1,36)+1</f>
        <v>35</v>
      </c>
      <c r="D364" s="14" t="n">
        <f aca="false">IF($C364&gt;p_horizon,0,IFERROR(IF(AND(INDEX(TblClusters[Cluster],$B364)&lt;&gt;"",ISNUMBER(INDEX(TblClusters[CPU initial (vCPU)],$B364)),ISNUMBER(INDEX(TblClusters[CPU min (vCPU)],$B364)),OR(INDEX(TblClusters[Plateforme],$B364)="IKS",INDEX(TblClusters[Plateforme],$B364)="ROKS")),1,0),0))</f>
        <v>0</v>
      </c>
      <c r="E364" s="83" t="str">
        <f aca="false">IF($D364=1,EDATE(p_debut,$C364-1),"")</f>
        <v/>
      </c>
      <c r="F364" s="14" t="str">
        <f aca="false">IF($D364=1,INDEX(TblClusters[Cluster],$B364),"")</f>
        <v/>
      </c>
      <c r="G364" s="14" t="str">
        <f aca="false">IF($D364=1,INDEX(TblClusters[Plateforme],$B364),"")</f>
        <v/>
      </c>
      <c r="H364" s="14" t="str">
        <f aca="false">IF($D364=1,INDEX(TblClusters[vCPU par nœud],$B364),"")</f>
        <v/>
      </c>
      <c r="I364" s="14" t="str">
        <f aca="false">IF($D364=1,INDEX(TblClusters[RAM par nœud (Go)],$B364),"")</f>
        <v/>
      </c>
      <c r="J364" s="14" t="str">
        <f aca="false">IF($D364=1,INDEX(TblClusters[Workers min],$B364),"")</f>
        <v/>
      </c>
      <c r="K364" s="84" t="str">
        <f aca="false">IF($D364=1,INDEX(TblClusters[Tarif par nœud],$B364),"")</f>
        <v/>
      </c>
      <c r="L364" s="14" t="str">
        <f aca="false">IF($D364=1,INDEX(TblClusters[CPU initial (vCPU)],$B364),"")</f>
        <v/>
      </c>
      <c r="M364" s="14" t="str">
        <f aca="false">IF($D364=1,INDEX(TblClusters[RAM initiale (Go)],$B364),"")</f>
        <v/>
      </c>
      <c r="N364" s="14" t="str">
        <f aca="false">IF($D364=1,INDEX(TblClusters[CPU min (vCPU)],$B364),"")</f>
        <v/>
      </c>
      <c r="O364" s="14" t="str">
        <f aca="false">IF($D364=1,INDEX(TblClusters[RAM min (Go)],$B364),"")</f>
        <v/>
      </c>
      <c r="P364" s="14" t="str">
        <f aca="false">IF($D364&lt;&gt;1,"",IF($G364="ROKS",SUMIFS(TblApplications[Besoin ROKS CPU (vCPU)],TblApplications[Cluster ROKS cible],$F364,TblApplications[Action],"À migrer",TblApplications[Déjà incluse ROKS],"Non",TblApplications[Mois prov (calc)],"&lt;="&amp;$E364),SUMIFS(TblApplications[CPU IKS libérable (vCPU)],TblApplications[Cluster IKS source],$F364,TblApplications[Mois lib (calc)],"&lt;="&amp;$E364)))</f>
        <v/>
      </c>
      <c r="Q364" s="14" t="str">
        <f aca="false">IF($D364&lt;&gt;1,"",IF($G364="ROKS",SUMIFS(TblApplications[Besoin ROKS RAM (Go)],TblApplications[Cluster ROKS cible],$F364,TblApplications[Action],"À migrer",TblApplications[Déjà incluse ROKS],"Non",TblApplications[Mois prov (calc)],"&lt;="&amp;$E364),SUMIFS(TblApplications[RAM IKS libérable (Go)],TblApplications[Cluster IKS source],$F364,TblApplications[Mois lib (calc)],"&lt;="&amp;$E364)))</f>
        <v/>
      </c>
      <c r="R364" s="14" t="str">
        <f aca="false">IF($D364&lt;&gt;1,"",IF($G364="ROKS",$L364+$P364,IF($AI364=1,0,MAX($N364,$L364-$P364))))</f>
        <v/>
      </c>
      <c r="S364" s="14" t="str">
        <f aca="false">IF($D364&lt;&gt;1,"",IF($G364="ROKS",$M364+$Q364,IF($AI364=1,0,MAX($O364,$M364-$Q364))))</f>
        <v/>
      </c>
      <c r="T364" s="14" t="str">
        <f aca="false">IF($D364&lt;&gt;1,"",IF($AI364=1,0,MAX($J364,ROUNDUP(MAX($R364/$H364,$S364/$I364),0))))</f>
        <v/>
      </c>
      <c r="U364" s="14" t="str">
        <f aca="false">IF($D364&lt;&gt;1,"",IF(p_mode="Nœud",$T364*$H364,$R364))</f>
        <v/>
      </c>
      <c r="V364" s="14" t="str">
        <f aca="false">IF($D364&lt;&gt;1,"",IF(p_mode="Nœud",$T364*$I364,$S364))</f>
        <v/>
      </c>
      <c r="W364" s="84" t="str">
        <f aca="false">IF($D364&lt;&gt;1,"",IF(p_mode="Nœud",$T364*$K364,$R364*IF($G364="IKS",p_iks_cpu,p_roks_cpu)+$S364*IF($G364="IKS",p_iks_ram,p_roks_ram))*p_facteur)</f>
        <v/>
      </c>
      <c r="X364" s="14" t="str">
        <f aca="false">IF($D364&lt;&gt;1,"",IF($G364="ROKS",$R364,IF($AI364=1,0,MAX($N364,$L364-SUMIFS(TblApplications[CPU IKS libérable (vCPU)],TblApplications[Cluster IKS source],$F364,TblApplications[Action],"À migrer",TblApplications[Mois prov (calc)],"&lt;="&amp;$E364)-SUMIFS(TblApplications[CPU IKS libérable (vCPU)],TblApplications[Cluster IKS source],$F364,TblApplications[Action],"À décommissionner",TblApplications[Mois lib (calc)],"&lt;="&amp;$E364)))))</f>
        <v/>
      </c>
      <c r="Y364" s="14" t="str">
        <f aca="false">IF($D364&lt;&gt;1,"",IF($G364="ROKS",$S364,IF($AI364=1,0,MAX($O364,$M364-SUMIFS(TblApplications[RAM IKS libérable (Go)],TblApplications[Cluster IKS source],$F364,TblApplications[Action],"À migrer",TblApplications[Mois prov (calc)],"&lt;="&amp;$E364)-SUMIFS(TblApplications[RAM IKS libérable (Go)],TblApplications[Cluster IKS source],$F364,TblApplications[Action],"À décommissionner",TblApplications[Mois lib (calc)],"&lt;="&amp;$E364)))))</f>
        <v/>
      </c>
      <c r="Z364" s="14" t="str">
        <f aca="false">IF($D364&lt;&gt;1,"",IF($AI364=1,0,MAX($J364,ROUNDUP(MAX($X364/$H364,$Y364/$I364),0))))</f>
        <v/>
      </c>
      <c r="AA364" s="84" t="str">
        <f aca="false">IF($D364&lt;&gt;1,"",IF(p_mode="Nœud",$Z364*$K364,$X364*IF($G364="IKS",p_iks_cpu,p_roks_cpu)+$Y364*IF($G364="IKS",p_iks_ram,p_roks_ram))*p_facteur)</f>
        <v/>
      </c>
      <c r="AB364" s="14" t="str">
        <f aca="false">IF($D364&lt;&gt;1,"",MAX($J364,ROUNDUP(MAX($L364/$H364,$M364/$I364),0)))</f>
        <v/>
      </c>
      <c r="AC364" s="84" t="str">
        <f aca="false">IF($D364&lt;&gt;1,"",IF(p_mode="Nœud",$AB364*$K364,$L364*IF($G364="IKS",p_iks_cpu,p_roks_cpu)+$M364*IF($G364="IKS",p_iks_ram,p_roks_ram))*p_facteur)</f>
        <v/>
      </c>
      <c r="AD364" s="14" t="str">
        <f aca="false">IF($D364&lt;&gt;1,"",IF(AND($G364="IKS",$AI364&lt;&gt;1,OR($L364-$P364&lt;$N364,$M364-$Q364&lt;$O364)),1,0))</f>
        <v/>
      </c>
      <c r="AE364" s="14" t="str">
        <f aca="false">IF($D364&lt;&gt;1,"",IF(AND($G364="ROKS",$T364&gt;p_maxworkers),1,0))</f>
        <v/>
      </c>
      <c r="AF364" s="14" t="str">
        <f aca="false">IF($D364&lt;&gt;1,"",IF(INDEX(TblClusters[Environnement],$B364)="","(vide)",INDEX(TblClusters[Environnement],$B364)))</f>
        <v/>
      </c>
      <c r="AG364" s="14" t="str">
        <f aca="false">IF($D364&lt;&gt;1,"",$R364+p_poidsram*$S364)</f>
        <v/>
      </c>
      <c r="AH364" s="14" t="str">
        <f aca="false">IF($D364&lt;&gt;1,"",IFERROR($W364/$AG364,0))</f>
        <v/>
      </c>
      <c r="AI364" s="14" t="str">
        <f aca="false">IF($D364&lt;&gt;1,"",IF(AND($G364="IKS",ISNUMBER(INDEX(TblClusters[Fermeture retenue],$B364))),IF($E364&gt;=INDEX(TblClusters[Fermeture retenue],$B364),1,0),0))</f>
        <v/>
      </c>
    </row>
    <row r="365" customFormat="false" ht="15" hidden="false" customHeight="false" outlineLevel="0" collapsed="false">
      <c r="A365" s="14" t="n">
        <v>360</v>
      </c>
      <c r="B365" s="14" t="n">
        <f aca="false">INT(($A365-1)/36)+1</f>
        <v>10</v>
      </c>
      <c r="C365" s="14" t="n">
        <f aca="false">MOD($A365-1,36)+1</f>
        <v>36</v>
      </c>
      <c r="D365" s="14" t="n">
        <f aca="false">IF($C365&gt;p_horizon,0,IFERROR(IF(AND(INDEX(TblClusters[Cluster],$B365)&lt;&gt;"",ISNUMBER(INDEX(TblClusters[CPU initial (vCPU)],$B365)),ISNUMBER(INDEX(TblClusters[CPU min (vCPU)],$B365)),OR(INDEX(TblClusters[Plateforme],$B365)="IKS",INDEX(TblClusters[Plateforme],$B365)="ROKS")),1,0),0))</f>
        <v>0</v>
      </c>
      <c r="E365" s="83" t="str">
        <f aca="false">IF($D365=1,EDATE(p_debut,$C365-1),"")</f>
        <v/>
      </c>
      <c r="F365" s="14" t="str">
        <f aca="false">IF($D365=1,INDEX(TblClusters[Cluster],$B365),"")</f>
        <v/>
      </c>
      <c r="G365" s="14" t="str">
        <f aca="false">IF($D365=1,INDEX(TblClusters[Plateforme],$B365),"")</f>
        <v/>
      </c>
      <c r="H365" s="14" t="str">
        <f aca="false">IF($D365=1,INDEX(TblClusters[vCPU par nœud],$B365),"")</f>
        <v/>
      </c>
      <c r="I365" s="14" t="str">
        <f aca="false">IF($D365=1,INDEX(TblClusters[RAM par nœud (Go)],$B365),"")</f>
        <v/>
      </c>
      <c r="J365" s="14" t="str">
        <f aca="false">IF($D365=1,INDEX(TblClusters[Workers min],$B365),"")</f>
        <v/>
      </c>
      <c r="K365" s="84" t="str">
        <f aca="false">IF($D365=1,INDEX(TblClusters[Tarif par nœud],$B365),"")</f>
        <v/>
      </c>
      <c r="L365" s="14" t="str">
        <f aca="false">IF($D365=1,INDEX(TblClusters[CPU initial (vCPU)],$B365),"")</f>
        <v/>
      </c>
      <c r="M365" s="14" t="str">
        <f aca="false">IF($D365=1,INDEX(TblClusters[RAM initiale (Go)],$B365),"")</f>
        <v/>
      </c>
      <c r="N365" s="14" t="str">
        <f aca="false">IF($D365=1,INDEX(TblClusters[CPU min (vCPU)],$B365),"")</f>
        <v/>
      </c>
      <c r="O365" s="14" t="str">
        <f aca="false">IF($D365=1,INDEX(TblClusters[RAM min (Go)],$B365),"")</f>
        <v/>
      </c>
      <c r="P365" s="14" t="str">
        <f aca="false">IF($D365&lt;&gt;1,"",IF($G365="ROKS",SUMIFS(TblApplications[Besoin ROKS CPU (vCPU)],TblApplications[Cluster ROKS cible],$F365,TblApplications[Action],"À migrer",TblApplications[Déjà incluse ROKS],"Non",TblApplications[Mois prov (calc)],"&lt;="&amp;$E365),SUMIFS(TblApplications[CPU IKS libérable (vCPU)],TblApplications[Cluster IKS source],$F365,TblApplications[Mois lib (calc)],"&lt;="&amp;$E365)))</f>
        <v/>
      </c>
      <c r="Q365" s="14" t="str">
        <f aca="false">IF($D365&lt;&gt;1,"",IF($G365="ROKS",SUMIFS(TblApplications[Besoin ROKS RAM (Go)],TblApplications[Cluster ROKS cible],$F365,TblApplications[Action],"À migrer",TblApplications[Déjà incluse ROKS],"Non",TblApplications[Mois prov (calc)],"&lt;="&amp;$E365),SUMIFS(TblApplications[RAM IKS libérable (Go)],TblApplications[Cluster IKS source],$F365,TblApplications[Mois lib (calc)],"&lt;="&amp;$E365)))</f>
        <v/>
      </c>
      <c r="R365" s="14" t="str">
        <f aca="false">IF($D365&lt;&gt;1,"",IF($G365="ROKS",$L365+$P365,IF($AI365=1,0,MAX($N365,$L365-$P365))))</f>
        <v/>
      </c>
      <c r="S365" s="14" t="str">
        <f aca="false">IF($D365&lt;&gt;1,"",IF($G365="ROKS",$M365+$Q365,IF($AI365=1,0,MAX($O365,$M365-$Q365))))</f>
        <v/>
      </c>
      <c r="T365" s="14" t="str">
        <f aca="false">IF($D365&lt;&gt;1,"",IF($AI365=1,0,MAX($J365,ROUNDUP(MAX($R365/$H365,$S365/$I365),0))))</f>
        <v/>
      </c>
      <c r="U365" s="14" t="str">
        <f aca="false">IF($D365&lt;&gt;1,"",IF(p_mode="Nœud",$T365*$H365,$R365))</f>
        <v/>
      </c>
      <c r="V365" s="14" t="str">
        <f aca="false">IF($D365&lt;&gt;1,"",IF(p_mode="Nœud",$T365*$I365,$S365))</f>
        <v/>
      </c>
      <c r="W365" s="84" t="str">
        <f aca="false">IF($D365&lt;&gt;1,"",IF(p_mode="Nœud",$T365*$K365,$R365*IF($G365="IKS",p_iks_cpu,p_roks_cpu)+$S365*IF($G365="IKS",p_iks_ram,p_roks_ram))*p_facteur)</f>
        <v/>
      </c>
      <c r="X365" s="14" t="str">
        <f aca="false">IF($D365&lt;&gt;1,"",IF($G365="ROKS",$R365,IF($AI365=1,0,MAX($N365,$L365-SUMIFS(TblApplications[CPU IKS libérable (vCPU)],TblApplications[Cluster IKS source],$F365,TblApplications[Action],"À migrer",TblApplications[Mois prov (calc)],"&lt;="&amp;$E365)-SUMIFS(TblApplications[CPU IKS libérable (vCPU)],TblApplications[Cluster IKS source],$F365,TblApplications[Action],"À décommissionner",TblApplications[Mois lib (calc)],"&lt;="&amp;$E365)))))</f>
        <v/>
      </c>
      <c r="Y365" s="14" t="str">
        <f aca="false">IF($D365&lt;&gt;1,"",IF($G365="ROKS",$S365,IF($AI365=1,0,MAX($O365,$M365-SUMIFS(TblApplications[RAM IKS libérable (Go)],TblApplications[Cluster IKS source],$F365,TblApplications[Action],"À migrer",TblApplications[Mois prov (calc)],"&lt;="&amp;$E365)-SUMIFS(TblApplications[RAM IKS libérable (Go)],TblApplications[Cluster IKS source],$F365,TblApplications[Action],"À décommissionner",TblApplications[Mois lib (calc)],"&lt;="&amp;$E365)))))</f>
        <v/>
      </c>
      <c r="Z365" s="14" t="str">
        <f aca="false">IF($D365&lt;&gt;1,"",IF($AI365=1,0,MAX($J365,ROUNDUP(MAX($X365/$H365,$Y365/$I365),0))))</f>
        <v/>
      </c>
      <c r="AA365" s="84" t="str">
        <f aca="false">IF($D365&lt;&gt;1,"",IF(p_mode="Nœud",$Z365*$K365,$X365*IF($G365="IKS",p_iks_cpu,p_roks_cpu)+$Y365*IF($G365="IKS",p_iks_ram,p_roks_ram))*p_facteur)</f>
        <v/>
      </c>
      <c r="AB365" s="14" t="str">
        <f aca="false">IF($D365&lt;&gt;1,"",MAX($J365,ROUNDUP(MAX($L365/$H365,$M365/$I365),0)))</f>
        <v/>
      </c>
      <c r="AC365" s="84" t="str">
        <f aca="false">IF($D365&lt;&gt;1,"",IF(p_mode="Nœud",$AB365*$K365,$L365*IF($G365="IKS",p_iks_cpu,p_roks_cpu)+$M365*IF($G365="IKS",p_iks_ram,p_roks_ram))*p_facteur)</f>
        <v/>
      </c>
      <c r="AD365" s="14" t="str">
        <f aca="false">IF($D365&lt;&gt;1,"",IF(AND($G365="IKS",$AI365&lt;&gt;1,OR($L365-$P365&lt;$N365,$M365-$Q365&lt;$O365)),1,0))</f>
        <v/>
      </c>
      <c r="AE365" s="14" t="str">
        <f aca="false">IF($D365&lt;&gt;1,"",IF(AND($G365="ROKS",$T365&gt;p_maxworkers),1,0))</f>
        <v/>
      </c>
      <c r="AF365" s="14" t="str">
        <f aca="false">IF($D365&lt;&gt;1,"",IF(INDEX(TblClusters[Environnement],$B365)="","(vide)",INDEX(TblClusters[Environnement],$B365)))</f>
        <v/>
      </c>
      <c r="AG365" s="14" t="str">
        <f aca="false">IF($D365&lt;&gt;1,"",$R365+p_poidsram*$S365)</f>
        <v/>
      </c>
      <c r="AH365" s="14" t="str">
        <f aca="false">IF($D365&lt;&gt;1,"",IFERROR($W365/$AG365,0))</f>
        <v/>
      </c>
      <c r="AI365" s="14" t="str">
        <f aca="false">IF($D365&lt;&gt;1,"",IF(AND($G365="IKS",ISNUMBER(INDEX(TblClusters[Fermeture retenue],$B365))),IF($E365&gt;=INDEX(TblClusters[Fermeture retenue],$B365),1,0),0))</f>
        <v/>
      </c>
    </row>
    <row r="366" customFormat="false" ht="15" hidden="false" customHeight="false" outlineLevel="0" collapsed="false">
      <c r="A366" s="14" t="n">
        <v>361</v>
      </c>
      <c r="B366" s="14" t="n">
        <f aca="false">INT(($A366-1)/36)+1</f>
        <v>11</v>
      </c>
      <c r="C366" s="14" t="n">
        <f aca="false">MOD($A366-1,36)+1</f>
        <v>1</v>
      </c>
      <c r="D366" s="14" t="n">
        <f aca="false">IF($C366&gt;p_horizon,0,IFERROR(IF(AND(INDEX(TblClusters[Cluster],$B366)&lt;&gt;"",ISNUMBER(INDEX(TblClusters[CPU initial (vCPU)],$B366)),ISNUMBER(INDEX(TblClusters[CPU min (vCPU)],$B366)),OR(INDEX(TblClusters[Plateforme],$B366)="IKS",INDEX(TblClusters[Plateforme],$B366)="ROKS")),1,0),0))</f>
        <v>0</v>
      </c>
      <c r="E366" s="83" t="str">
        <f aca="false">IF($D366=1,EDATE(p_debut,$C366-1),"")</f>
        <v/>
      </c>
      <c r="F366" s="14" t="str">
        <f aca="false">IF($D366=1,INDEX(TblClusters[Cluster],$B366),"")</f>
        <v/>
      </c>
      <c r="G366" s="14" t="str">
        <f aca="false">IF($D366=1,INDEX(TblClusters[Plateforme],$B366),"")</f>
        <v/>
      </c>
      <c r="H366" s="14" t="str">
        <f aca="false">IF($D366=1,INDEX(TblClusters[vCPU par nœud],$B366),"")</f>
        <v/>
      </c>
      <c r="I366" s="14" t="str">
        <f aca="false">IF($D366=1,INDEX(TblClusters[RAM par nœud (Go)],$B366),"")</f>
        <v/>
      </c>
      <c r="J366" s="14" t="str">
        <f aca="false">IF($D366=1,INDEX(TblClusters[Workers min],$B366),"")</f>
        <v/>
      </c>
      <c r="K366" s="84" t="str">
        <f aca="false">IF($D366=1,INDEX(TblClusters[Tarif par nœud],$B366),"")</f>
        <v/>
      </c>
      <c r="L366" s="14" t="str">
        <f aca="false">IF($D366=1,INDEX(TblClusters[CPU initial (vCPU)],$B366),"")</f>
        <v/>
      </c>
      <c r="M366" s="14" t="str">
        <f aca="false">IF($D366=1,INDEX(TblClusters[RAM initiale (Go)],$B366),"")</f>
        <v/>
      </c>
      <c r="N366" s="14" t="str">
        <f aca="false">IF($D366=1,INDEX(TblClusters[CPU min (vCPU)],$B366),"")</f>
        <v/>
      </c>
      <c r="O366" s="14" t="str">
        <f aca="false">IF($D366=1,INDEX(TblClusters[RAM min (Go)],$B366),"")</f>
        <v/>
      </c>
      <c r="P366" s="14" t="str">
        <f aca="false">IF($D366&lt;&gt;1,"",IF($G366="ROKS",SUMIFS(TblApplications[Besoin ROKS CPU (vCPU)],TblApplications[Cluster ROKS cible],$F366,TblApplications[Action],"À migrer",TblApplications[Déjà incluse ROKS],"Non",TblApplications[Mois prov (calc)],"&lt;="&amp;$E366),SUMIFS(TblApplications[CPU IKS libérable (vCPU)],TblApplications[Cluster IKS source],$F366,TblApplications[Mois lib (calc)],"&lt;="&amp;$E366)))</f>
        <v/>
      </c>
      <c r="Q366" s="14" t="str">
        <f aca="false">IF($D366&lt;&gt;1,"",IF($G366="ROKS",SUMIFS(TblApplications[Besoin ROKS RAM (Go)],TblApplications[Cluster ROKS cible],$F366,TblApplications[Action],"À migrer",TblApplications[Déjà incluse ROKS],"Non",TblApplications[Mois prov (calc)],"&lt;="&amp;$E366),SUMIFS(TblApplications[RAM IKS libérable (Go)],TblApplications[Cluster IKS source],$F366,TblApplications[Mois lib (calc)],"&lt;="&amp;$E366)))</f>
        <v/>
      </c>
      <c r="R366" s="14" t="str">
        <f aca="false">IF($D366&lt;&gt;1,"",IF($G366="ROKS",$L366+$P366,IF($AI366=1,0,MAX($N366,$L366-$P366))))</f>
        <v/>
      </c>
      <c r="S366" s="14" t="str">
        <f aca="false">IF($D366&lt;&gt;1,"",IF($G366="ROKS",$M366+$Q366,IF($AI366=1,0,MAX($O366,$M366-$Q366))))</f>
        <v/>
      </c>
      <c r="T366" s="14" t="str">
        <f aca="false">IF($D366&lt;&gt;1,"",IF($AI366=1,0,MAX($J366,ROUNDUP(MAX($R366/$H366,$S366/$I366),0))))</f>
        <v/>
      </c>
      <c r="U366" s="14" t="str">
        <f aca="false">IF($D366&lt;&gt;1,"",IF(p_mode="Nœud",$T366*$H366,$R366))</f>
        <v/>
      </c>
      <c r="V366" s="14" t="str">
        <f aca="false">IF($D366&lt;&gt;1,"",IF(p_mode="Nœud",$T366*$I366,$S366))</f>
        <v/>
      </c>
      <c r="W366" s="84" t="str">
        <f aca="false">IF($D366&lt;&gt;1,"",IF(p_mode="Nœud",$T366*$K366,$R366*IF($G366="IKS",p_iks_cpu,p_roks_cpu)+$S366*IF($G366="IKS",p_iks_ram,p_roks_ram))*p_facteur)</f>
        <v/>
      </c>
      <c r="X366" s="14" t="str">
        <f aca="false">IF($D366&lt;&gt;1,"",IF($G366="ROKS",$R366,IF($AI366=1,0,MAX($N366,$L366-SUMIFS(TblApplications[CPU IKS libérable (vCPU)],TblApplications[Cluster IKS source],$F366,TblApplications[Action],"À migrer",TblApplications[Mois prov (calc)],"&lt;="&amp;$E366)-SUMIFS(TblApplications[CPU IKS libérable (vCPU)],TblApplications[Cluster IKS source],$F366,TblApplications[Action],"À décommissionner",TblApplications[Mois lib (calc)],"&lt;="&amp;$E366)))))</f>
        <v/>
      </c>
      <c r="Y366" s="14" t="str">
        <f aca="false">IF($D366&lt;&gt;1,"",IF($G366="ROKS",$S366,IF($AI366=1,0,MAX($O366,$M366-SUMIFS(TblApplications[RAM IKS libérable (Go)],TblApplications[Cluster IKS source],$F366,TblApplications[Action],"À migrer",TblApplications[Mois prov (calc)],"&lt;="&amp;$E366)-SUMIFS(TblApplications[RAM IKS libérable (Go)],TblApplications[Cluster IKS source],$F366,TblApplications[Action],"À décommissionner",TblApplications[Mois lib (calc)],"&lt;="&amp;$E366)))))</f>
        <v/>
      </c>
      <c r="Z366" s="14" t="str">
        <f aca="false">IF($D366&lt;&gt;1,"",IF($AI366=1,0,MAX($J366,ROUNDUP(MAX($X366/$H366,$Y366/$I366),0))))</f>
        <v/>
      </c>
      <c r="AA366" s="84" t="str">
        <f aca="false">IF($D366&lt;&gt;1,"",IF(p_mode="Nœud",$Z366*$K366,$X366*IF($G366="IKS",p_iks_cpu,p_roks_cpu)+$Y366*IF($G366="IKS",p_iks_ram,p_roks_ram))*p_facteur)</f>
        <v/>
      </c>
      <c r="AB366" s="14" t="str">
        <f aca="false">IF($D366&lt;&gt;1,"",MAX($J366,ROUNDUP(MAX($L366/$H366,$M366/$I366),0)))</f>
        <v/>
      </c>
      <c r="AC366" s="84" t="str">
        <f aca="false">IF($D366&lt;&gt;1,"",IF(p_mode="Nœud",$AB366*$K366,$L366*IF($G366="IKS",p_iks_cpu,p_roks_cpu)+$M366*IF($G366="IKS",p_iks_ram,p_roks_ram))*p_facteur)</f>
        <v/>
      </c>
      <c r="AD366" s="14" t="str">
        <f aca="false">IF($D366&lt;&gt;1,"",IF(AND($G366="IKS",$AI366&lt;&gt;1,OR($L366-$P366&lt;$N366,$M366-$Q366&lt;$O366)),1,0))</f>
        <v/>
      </c>
      <c r="AE366" s="14" t="str">
        <f aca="false">IF($D366&lt;&gt;1,"",IF(AND($G366="ROKS",$T366&gt;p_maxworkers),1,0))</f>
        <v/>
      </c>
      <c r="AF366" s="14" t="str">
        <f aca="false">IF($D366&lt;&gt;1,"",IF(INDEX(TblClusters[Environnement],$B366)="","(vide)",INDEX(TblClusters[Environnement],$B366)))</f>
        <v/>
      </c>
      <c r="AG366" s="14" t="str">
        <f aca="false">IF($D366&lt;&gt;1,"",$R366+p_poidsram*$S366)</f>
        <v/>
      </c>
      <c r="AH366" s="14" t="str">
        <f aca="false">IF($D366&lt;&gt;1,"",IFERROR($W366/$AG366,0))</f>
        <v/>
      </c>
      <c r="AI366" s="14" t="str">
        <f aca="false">IF($D366&lt;&gt;1,"",IF(AND($G366="IKS",ISNUMBER(INDEX(TblClusters[Fermeture retenue],$B366))),IF($E366&gt;=INDEX(TblClusters[Fermeture retenue],$B366),1,0),0))</f>
        <v/>
      </c>
    </row>
    <row r="367" customFormat="false" ht="15" hidden="false" customHeight="false" outlineLevel="0" collapsed="false">
      <c r="A367" s="14" t="n">
        <v>362</v>
      </c>
      <c r="B367" s="14" t="n">
        <f aca="false">INT(($A367-1)/36)+1</f>
        <v>11</v>
      </c>
      <c r="C367" s="14" t="n">
        <f aca="false">MOD($A367-1,36)+1</f>
        <v>2</v>
      </c>
      <c r="D367" s="14" t="n">
        <f aca="false">IF($C367&gt;p_horizon,0,IFERROR(IF(AND(INDEX(TblClusters[Cluster],$B367)&lt;&gt;"",ISNUMBER(INDEX(TblClusters[CPU initial (vCPU)],$B367)),ISNUMBER(INDEX(TblClusters[CPU min (vCPU)],$B367)),OR(INDEX(TblClusters[Plateforme],$B367)="IKS",INDEX(TblClusters[Plateforme],$B367)="ROKS")),1,0),0))</f>
        <v>0</v>
      </c>
      <c r="E367" s="83" t="str">
        <f aca="false">IF($D367=1,EDATE(p_debut,$C367-1),"")</f>
        <v/>
      </c>
      <c r="F367" s="14" t="str">
        <f aca="false">IF($D367=1,INDEX(TblClusters[Cluster],$B367),"")</f>
        <v/>
      </c>
      <c r="G367" s="14" t="str">
        <f aca="false">IF($D367=1,INDEX(TblClusters[Plateforme],$B367),"")</f>
        <v/>
      </c>
      <c r="H367" s="14" t="str">
        <f aca="false">IF($D367=1,INDEX(TblClusters[vCPU par nœud],$B367),"")</f>
        <v/>
      </c>
      <c r="I367" s="14" t="str">
        <f aca="false">IF($D367=1,INDEX(TblClusters[RAM par nœud (Go)],$B367),"")</f>
        <v/>
      </c>
      <c r="J367" s="14" t="str">
        <f aca="false">IF($D367=1,INDEX(TblClusters[Workers min],$B367),"")</f>
        <v/>
      </c>
      <c r="K367" s="84" t="str">
        <f aca="false">IF($D367=1,INDEX(TblClusters[Tarif par nœud],$B367),"")</f>
        <v/>
      </c>
      <c r="L367" s="14" t="str">
        <f aca="false">IF($D367=1,INDEX(TblClusters[CPU initial (vCPU)],$B367),"")</f>
        <v/>
      </c>
      <c r="M367" s="14" t="str">
        <f aca="false">IF($D367=1,INDEX(TblClusters[RAM initiale (Go)],$B367),"")</f>
        <v/>
      </c>
      <c r="N367" s="14" t="str">
        <f aca="false">IF($D367=1,INDEX(TblClusters[CPU min (vCPU)],$B367),"")</f>
        <v/>
      </c>
      <c r="O367" s="14" t="str">
        <f aca="false">IF($D367=1,INDEX(TblClusters[RAM min (Go)],$B367),"")</f>
        <v/>
      </c>
      <c r="P367" s="14" t="str">
        <f aca="false">IF($D367&lt;&gt;1,"",IF($G367="ROKS",SUMIFS(TblApplications[Besoin ROKS CPU (vCPU)],TblApplications[Cluster ROKS cible],$F367,TblApplications[Action],"À migrer",TblApplications[Déjà incluse ROKS],"Non",TblApplications[Mois prov (calc)],"&lt;="&amp;$E367),SUMIFS(TblApplications[CPU IKS libérable (vCPU)],TblApplications[Cluster IKS source],$F367,TblApplications[Mois lib (calc)],"&lt;="&amp;$E367)))</f>
        <v/>
      </c>
      <c r="Q367" s="14" t="str">
        <f aca="false">IF($D367&lt;&gt;1,"",IF($G367="ROKS",SUMIFS(TblApplications[Besoin ROKS RAM (Go)],TblApplications[Cluster ROKS cible],$F367,TblApplications[Action],"À migrer",TblApplications[Déjà incluse ROKS],"Non",TblApplications[Mois prov (calc)],"&lt;="&amp;$E367),SUMIFS(TblApplications[RAM IKS libérable (Go)],TblApplications[Cluster IKS source],$F367,TblApplications[Mois lib (calc)],"&lt;="&amp;$E367)))</f>
        <v/>
      </c>
      <c r="R367" s="14" t="str">
        <f aca="false">IF($D367&lt;&gt;1,"",IF($G367="ROKS",$L367+$P367,IF($AI367=1,0,MAX($N367,$L367-$P367))))</f>
        <v/>
      </c>
      <c r="S367" s="14" t="str">
        <f aca="false">IF($D367&lt;&gt;1,"",IF($G367="ROKS",$M367+$Q367,IF($AI367=1,0,MAX($O367,$M367-$Q367))))</f>
        <v/>
      </c>
      <c r="T367" s="14" t="str">
        <f aca="false">IF($D367&lt;&gt;1,"",IF($AI367=1,0,MAX($J367,ROUNDUP(MAX($R367/$H367,$S367/$I367),0))))</f>
        <v/>
      </c>
      <c r="U367" s="14" t="str">
        <f aca="false">IF($D367&lt;&gt;1,"",IF(p_mode="Nœud",$T367*$H367,$R367))</f>
        <v/>
      </c>
      <c r="V367" s="14" t="str">
        <f aca="false">IF($D367&lt;&gt;1,"",IF(p_mode="Nœud",$T367*$I367,$S367))</f>
        <v/>
      </c>
      <c r="W367" s="84" t="str">
        <f aca="false">IF($D367&lt;&gt;1,"",IF(p_mode="Nœud",$T367*$K367,$R367*IF($G367="IKS",p_iks_cpu,p_roks_cpu)+$S367*IF($G367="IKS",p_iks_ram,p_roks_ram))*p_facteur)</f>
        <v/>
      </c>
      <c r="X367" s="14" t="str">
        <f aca="false">IF($D367&lt;&gt;1,"",IF($G367="ROKS",$R367,IF($AI367=1,0,MAX($N367,$L367-SUMIFS(TblApplications[CPU IKS libérable (vCPU)],TblApplications[Cluster IKS source],$F367,TblApplications[Action],"À migrer",TblApplications[Mois prov (calc)],"&lt;="&amp;$E367)-SUMIFS(TblApplications[CPU IKS libérable (vCPU)],TblApplications[Cluster IKS source],$F367,TblApplications[Action],"À décommissionner",TblApplications[Mois lib (calc)],"&lt;="&amp;$E367)))))</f>
        <v/>
      </c>
      <c r="Y367" s="14" t="str">
        <f aca="false">IF($D367&lt;&gt;1,"",IF($G367="ROKS",$S367,IF($AI367=1,0,MAX($O367,$M367-SUMIFS(TblApplications[RAM IKS libérable (Go)],TblApplications[Cluster IKS source],$F367,TblApplications[Action],"À migrer",TblApplications[Mois prov (calc)],"&lt;="&amp;$E367)-SUMIFS(TblApplications[RAM IKS libérable (Go)],TblApplications[Cluster IKS source],$F367,TblApplications[Action],"À décommissionner",TblApplications[Mois lib (calc)],"&lt;="&amp;$E367)))))</f>
        <v/>
      </c>
      <c r="Z367" s="14" t="str">
        <f aca="false">IF($D367&lt;&gt;1,"",IF($AI367=1,0,MAX($J367,ROUNDUP(MAX($X367/$H367,$Y367/$I367),0))))</f>
        <v/>
      </c>
      <c r="AA367" s="84" t="str">
        <f aca="false">IF($D367&lt;&gt;1,"",IF(p_mode="Nœud",$Z367*$K367,$X367*IF($G367="IKS",p_iks_cpu,p_roks_cpu)+$Y367*IF($G367="IKS",p_iks_ram,p_roks_ram))*p_facteur)</f>
        <v/>
      </c>
      <c r="AB367" s="14" t="str">
        <f aca="false">IF($D367&lt;&gt;1,"",MAX($J367,ROUNDUP(MAX($L367/$H367,$M367/$I367),0)))</f>
        <v/>
      </c>
      <c r="AC367" s="84" t="str">
        <f aca="false">IF($D367&lt;&gt;1,"",IF(p_mode="Nœud",$AB367*$K367,$L367*IF($G367="IKS",p_iks_cpu,p_roks_cpu)+$M367*IF($G367="IKS",p_iks_ram,p_roks_ram))*p_facteur)</f>
        <v/>
      </c>
      <c r="AD367" s="14" t="str">
        <f aca="false">IF($D367&lt;&gt;1,"",IF(AND($G367="IKS",$AI367&lt;&gt;1,OR($L367-$P367&lt;$N367,$M367-$Q367&lt;$O367)),1,0))</f>
        <v/>
      </c>
      <c r="AE367" s="14" t="str">
        <f aca="false">IF($D367&lt;&gt;1,"",IF(AND($G367="ROKS",$T367&gt;p_maxworkers),1,0))</f>
        <v/>
      </c>
      <c r="AF367" s="14" t="str">
        <f aca="false">IF($D367&lt;&gt;1,"",IF(INDEX(TblClusters[Environnement],$B367)="","(vide)",INDEX(TblClusters[Environnement],$B367)))</f>
        <v/>
      </c>
      <c r="AG367" s="14" t="str">
        <f aca="false">IF($D367&lt;&gt;1,"",$R367+p_poidsram*$S367)</f>
        <v/>
      </c>
      <c r="AH367" s="14" t="str">
        <f aca="false">IF($D367&lt;&gt;1,"",IFERROR($W367/$AG367,0))</f>
        <v/>
      </c>
      <c r="AI367" s="14" t="str">
        <f aca="false">IF($D367&lt;&gt;1,"",IF(AND($G367="IKS",ISNUMBER(INDEX(TblClusters[Fermeture retenue],$B367))),IF($E367&gt;=INDEX(TblClusters[Fermeture retenue],$B367),1,0),0))</f>
        <v/>
      </c>
    </row>
    <row r="368" customFormat="false" ht="15" hidden="false" customHeight="false" outlineLevel="0" collapsed="false">
      <c r="A368" s="14" t="n">
        <v>363</v>
      </c>
      <c r="B368" s="14" t="n">
        <f aca="false">INT(($A368-1)/36)+1</f>
        <v>11</v>
      </c>
      <c r="C368" s="14" t="n">
        <f aca="false">MOD($A368-1,36)+1</f>
        <v>3</v>
      </c>
      <c r="D368" s="14" t="n">
        <f aca="false">IF($C368&gt;p_horizon,0,IFERROR(IF(AND(INDEX(TblClusters[Cluster],$B368)&lt;&gt;"",ISNUMBER(INDEX(TblClusters[CPU initial (vCPU)],$B368)),ISNUMBER(INDEX(TblClusters[CPU min (vCPU)],$B368)),OR(INDEX(TblClusters[Plateforme],$B368)="IKS",INDEX(TblClusters[Plateforme],$B368)="ROKS")),1,0),0))</f>
        <v>0</v>
      </c>
      <c r="E368" s="83" t="str">
        <f aca="false">IF($D368=1,EDATE(p_debut,$C368-1),"")</f>
        <v/>
      </c>
      <c r="F368" s="14" t="str">
        <f aca="false">IF($D368=1,INDEX(TblClusters[Cluster],$B368),"")</f>
        <v/>
      </c>
      <c r="G368" s="14" t="str">
        <f aca="false">IF($D368=1,INDEX(TblClusters[Plateforme],$B368),"")</f>
        <v/>
      </c>
      <c r="H368" s="14" t="str">
        <f aca="false">IF($D368=1,INDEX(TblClusters[vCPU par nœud],$B368),"")</f>
        <v/>
      </c>
      <c r="I368" s="14" t="str">
        <f aca="false">IF($D368=1,INDEX(TblClusters[RAM par nœud (Go)],$B368),"")</f>
        <v/>
      </c>
      <c r="J368" s="14" t="str">
        <f aca="false">IF($D368=1,INDEX(TblClusters[Workers min],$B368),"")</f>
        <v/>
      </c>
      <c r="K368" s="84" t="str">
        <f aca="false">IF($D368=1,INDEX(TblClusters[Tarif par nœud],$B368),"")</f>
        <v/>
      </c>
      <c r="L368" s="14" t="str">
        <f aca="false">IF($D368=1,INDEX(TblClusters[CPU initial (vCPU)],$B368),"")</f>
        <v/>
      </c>
      <c r="M368" s="14" t="str">
        <f aca="false">IF($D368=1,INDEX(TblClusters[RAM initiale (Go)],$B368),"")</f>
        <v/>
      </c>
      <c r="N368" s="14" t="str">
        <f aca="false">IF($D368=1,INDEX(TblClusters[CPU min (vCPU)],$B368),"")</f>
        <v/>
      </c>
      <c r="O368" s="14" t="str">
        <f aca="false">IF($D368=1,INDEX(TblClusters[RAM min (Go)],$B368),"")</f>
        <v/>
      </c>
      <c r="P368" s="14" t="str">
        <f aca="false">IF($D368&lt;&gt;1,"",IF($G368="ROKS",SUMIFS(TblApplications[Besoin ROKS CPU (vCPU)],TblApplications[Cluster ROKS cible],$F368,TblApplications[Action],"À migrer",TblApplications[Déjà incluse ROKS],"Non",TblApplications[Mois prov (calc)],"&lt;="&amp;$E368),SUMIFS(TblApplications[CPU IKS libérable (vCPU)],TblApplications[Cluster IKS source],$F368,TblApplications[Mois lib (calc)],"&lt;="&amp;$E368)))</f>
        <v/>
      </c>
      <c r="Q368" s="14" t="str">
        <f aca="false">IF($D368&lt;&gt;1,"",IF($G368="ROKS",SUMIFS(TblApplications[Besoin ROKS RAM (Go)],TblApplications[Cluster ROKS cible],$F368,TblApplications[Action],"À migrer",TblApplications[Déjà incluse ROKS],"Non",TblApplications[Mois prov (calc)],"&lt;="&amp;$E368),SUMIFS(TblApplications[RAM IKS libérable (Go)],TblApplications[Cluster IKS source],$F368,TblApplications[Mois lib (calc)],"&lt;="&amp;$E368)))</f>
        <v/>
      </c>
      <c r="R368" s="14" t="str">
        <f aca="false">IF($D368&lt;&gt;1,"",IF($G368="ROKS",$L368+$P368,IF($AI368=1,0,MAX($N368,$L368-$P368))))</f>
        <v/>
      </c>
      <c r="S368" s="14" t="str">
        <f aca="false">IF($D368&lt;&gt;1,"",IF($G368="ROKS",$M368+$Q368,IF($AI368=1,0,MAX($O368,$M368-$Q368))))</f>
        <v/>
      </c>
      <c r="T368" s="14" t="str">
        <f aca="false">IF($D368&lt;&gt;1,"",IF($AI368=1,0,MAX($J368,ROUNDUP(MAX($R368/$H368,$S368/$I368),0))))</f>
        <v/>
      </c>
      <c r="U368" s="14" t="str">
        <f aca="false">IF($D368&lt;&gt;1,"",IF(p_mode="Nœud",$T368*$H368,$R368))</f>
        <v/>
      </c>
      <c r="V368" s="14" t="str">
        <f aca="false">IF($D368&lt;&gt;1,"",IF(p_mode="Nœud",$T368*$I368,$S368))</f>
        <v/>
      </c>
      <c r="W368" s="84" t="str">
        <f aca="false">IF($D368&lt;&gt;1,"",IF(p_mode="Nœud",$T368*$K368,$R368*IF($G368="IKS",p_iks_cpu,p_roks_cpu)+$S368*IF($G368="IKS",p_iks_ram,p_roks_ram))*p_facteur)</f>
        <v/>
      </c>
      <c r="X368" s="14" t="str">
        <f aca="false">IF($D368&lt;&gt;1,"",IF($G368="ROKS",$R368,IF($AI368=1,0,MAX($N368,$L368-SUMIFS(TblApplications[CPU IKS libérable (vCPU)],TblApplications[Cluster IKS source],$F368,TblApplications[Action],"À migrer",TblApplications[Mois prov (calc)],"&lt;="&amp;$E368)-SUMIFS(TblApplications[CPU IKS libérable (vCPU)],TblApplications[Cluster IKS source],$F368,TblApplications[Action],"À décommissionner",TblApplications[Mois lib (calc)],"&lt;="&amp;$E368)))))</f>
        <v/>
      </c>
      <c r="Y368" s="14" t="str">
        <f aca="false">IF($D368&lt;&gt;1,"",IF($G368="ROKS",$S368,IF($AI368=1,0,MAX($O368,$M368-SUMIFS(TblApplications[RAM IKS libérable (Go)],TblApplications[Cluster IKS source],$F368,TblApplications[Action],"À migrer",TblApplications[Mois prov (calc)],"&lt;="&amp;$E368)-SUMIFS(TblApplications[RAM IKS libérable (Go)],TblApplications[Cluster IKS source],$F368,TblApplications[Action],"À décommissionner",TblApplications[Mois lib (calc)],"&lt;="&amp;$E368)))))</f>
        <v/>
      </c>
      <c r="Z368" s="14" t="str">
        <f aca="false">IF($D368&lt;&gt;1,"",IF($AI368=1,0,MAX($J368,ROUNDUP(MAX($X368/$H368,$Y368/$I368),0))))</f>
        <v/>
      </c>
      <c r="AA368" s="84" t="str">
        <f aca="false">IF($D368&lt;&gt;1,"",IF(p_mode="Nœud",$Z368*$K368,$X368*IF($G368="IKS",p_iks_cpu,p_roks_cpu)+$Y368*IF($G368="IKS",p_iks_ram,p_roks_ram))*p_facteur)</f>
        <v/>
      </c>
      <c r="AB368" s="14" t="str">
        <f aca="false">IF($D368&lt;&gt;1,"",MAX($J368,ROUNDUP(MAX($L368/$H368,$M368/$I368),0)))</f>
        <v/>
      </c>
      <c r="AC368" s="84" t="str">
        <f aca="false">IF($D368&lt;&gt;1,"",IF(p_mode="Nœud",$AB368*$K368,$L368*IF($G368="IKS",p_iks_cpu,p_roks_cpu)+$M368*IF($G368="IKS",p_iks_ram,p_roks_ram))*p_facteur)</f>
        <v/>
      </c>
      <c r="AD368" s="14" t="str">
        <f aca="false">IF($D368&lt;&gt;1,"",IF(AND($G368="IKS",$AI368&lt;&gt;1,OR($L368-$P368&lt;$N368,$M368-$Q368&lt;$O368)),1,0))</f>
        <v/>
      </c>
      <c r="AE368" s="14" t="str">
        <f aca="false">IF($D368&lt;&gt;1,"",IF(AND($G368="ROKS",$T368&gt;p_maxworkers),1,0))</f>
        <v/>
      </c>
      <c r="AF368" s="14" t="str">
        <f aca="false">IF($D368&lt;&gt;1,"",IF(INDEX(TblClusters[Environnement],$B368)="","(vide)",INDEX(TblClusters[Environnement],$B368)))</f>
        <v/>
      </c>
      <c r="AG368" s="14" t="str">
        <f aca="false">IF($D368&lt;&gt;1,"",$R368+p_poidsram*$S368)</f>
        <v/>
      </c>
      <c r="AH368" s="14" t="str">
        <f aca="false">IF($D368&lt;&gt;1,"",IFERROR($W368/$AG368,0))</f>
        <v/>
      </c>
      <c r="AI368" s="14" t="str">
        <f aca="false">IF($D368&lt;&gt;1,"",IF(AND($G368="IKS",ISNUMBER(INDEX(TblClusters[Fermeture retenue],$B368))),IF($E368&gt;=INDEX(TblClusters[Fermeture retenue],$B368),1,0),0))</f>
        <v/>
      </c>
    </row>
    <row r="369" customFormat="false" ht="15" hidden="false" customHeight="false" outlineLevel="0" collapsed="false">
      <c r="A369" s="14" t="n">
        <v>364</v>
      </c>
      <c r="B369" s="14" t="n">
        <f aca="false">INT(($A369-1)/36)+1</f>
        <v>11</v>
      </c>
      <c r="C369" s="14" t="n">
        <f aca="false">MOD($A369-1,36)+1</f>
        <v>4</v>
      </c>
      <c r="D369" s="14" t="n">
        <f aca="false">IF($C369&gt;p_horizon,0,IFERROR(IF(AND(INDEX(TblClusters[Cluster],$B369)&lt;&gt;"",ISNUMBER(INDEX(TblClusters[CPU initial (vCPU)],$B369)),ISNUMBER(INDEX(TblClusters[CPU min (vCPU)],$B369)),OR(INDEX(TblClusters[Plateforme],$B369)="IKS",INDEX(TblClusters[Plateforme],$B369)="ROKS")),1,0),0))</f>
        <v>0</v>
      </c>
      <c r="E369" s="83" t="str">
        <f aca="false">IF($D369=1,EDATE(p_debut,$C369-1),"")</f>
        <v/>
      </c>
      <c r="F369" s="14" t="str">
        <f aca="false">IF($D369=1,INDEX(TblClusters[Cluster],$B369),"")</f>
        <v/>
      </c>
      <c r="G369" s="14" t="str">
        <f aca="false">IF($D369=1,INDEX(TblClusters[Plateforme],$B369),"")</f>
        <v/>
      </c>
      <c r="H369" s="14" t="str">
        <f aca="false">IF($D369=1,INDEX(TblClusters[vCPU par nœud],$B369),"")</f>
        <v/>
      </c>
      <c r="I369" s="14" t="str">
        <f aca="false">IF($D369=1,INDEX(TblClusters[RAM par nœud (Go)],$B369),"")</f>
        <v/>
      </c>
      <c r="J369" s="14" t="str">
        <f aca="false">IF($D369=1,INDEX(TblClusters[Workers min],$B369),"")</f>
        <v/>
      </c>
      <c r="K369" s="84" t="str">
        <f aca="false">IF($D369=1,INDEX(TblClusters[Tarif par nœud],$B369),"")</f>
        <v/>
      </c>
      <c r="L369" s="14" t="str">
        <f aca="false">IF($D369=1,INDEX(TblClusters[CPU initial (vCPU)],$B369),"")</f>
        <v/>
      </c>
      <c r="M369" s="14" t="str">
        <f aca="false">IF($D369=1,INDEX(TblClusters[RAM initiale (Go)],$B369),"")</f>
        <v/>
      </c>
      <c r="N369" s="14" t="str">
        <f aca="false">IF($D369=1,INDEX(TblClusters[CPU min (vCPU)],$B369),"")</f>
        <v/>
      </c>
      <c r="O369" s="14" t="str">
        <f aca="false">IF($D369=1,INDEX(TblClusters[RAM min (Go)],$B369),"")</f>
        <v/>
      </c>
      <c r="P369" s="14" t="str">
        <f aca="false">IF($D369&lt;&gt;1,"",IF($G369="ROKS",SUMIFS(TblApplications[Besoin ROKS CPU (vCPU)],TblApplications[Cluster ROKS cible],$F369,TblApplications[Action],"À migrer",TblApplications[Déjà incluse ROKS],"Non",TblApplications[Mois prov (calc)],"&lt;="&amp;$E369),SUMIFS(TblApplications[CPU IKS libérable (vCPU)],TblApplications[Cluster IKS source],$F369,TblApplications[Mois lib (calc)],"&lt;="&amp;$E369)))</f>
        <v/>
      </c>
      <c r="Q369" s="14" t="str">
        <f aca="false">IF($D369&lt;&gt;1,"",IF($G369="ROKS",SUMIFS(TblApplications[Besoin ROKS RAM (Go)],TblApplications[Cluster ROKS cible],$F369,TblApplications[Action],"À migrer",TblApplications[Déjà incluse ROKS],"Non",TblApplications[Mois prov (calc)],"&lt;="&amp;$E369),SUMIFS(TblApplications[RAM IKS libérable (Go)],TblApplications[Cluster IKS source],$F369,TblApplications[Mois lib (calc)],"&lt;="&amp;$E369)))</f>
        <v/>
      </c>
      <c r="R369" s="14" t="str">
        <f aca="false">IF($D369&lt;&gt;1,"",IF($G369="ROKS",$L369+$P369,IF($AI369=1,0,MAX($N369,$L369-$P369))))</f>
        <v/>
      </c>
      <c r="S369" s="14" t="str">
        <f aca="false">IF($D369&lt;&gt;1,"",IF($G369="ROKS",$M369+$Q369,IF($AI369=1,0,MAX($O369,$M369-$Q369))))</f>
        <v/>
      </c>
      <c r="T369" s="14" t="str">
        <f aca="false">IF($D369&lt;&gt;1,"",IF($AI369=1,0,MAX($J369,ROUNDUP(MAX($R369/$H369,$S369/$I369),0))))</f>
        <v/>
      </c>
      <c r="U369" s="14" t="str">
        <f aca="false">IF($D369&lt;&gt;1,"",IF(p_mode="Nœud",$T369*$H369,$R369))</f>
        <v/>
      </c>
      <c r="V369" s="14" t="str">
        <f aca="false">IF($D369&lt;&gt;1,"",IF(p_mode="Nœud",$T369*$I369,$S369))</f>
        <v/>
      </c>
      <c r="W369" s="84" t="str">
        <f aca="false">IF($D369&lt;&gt;1,"",IF(p_mode="Nœud",$T369*$K369,$R369*IF($G369="IKS",p_iks_cpu,p_roks_cpu)+$S369*IF($G369="IKS",p_iks_ram,p_roks_ram))*p_facteur)</f>
        <v/>
      </c>
      <c r="X369" s="14" t="str">
        <f aca="false">IF($D369&lt;&gt;1,"",IF($G369="ROKS",$R369,IF($AI369=1,0,MAX($N369,$L369-SUMIFS(TblApplications[CPU IKS libérable (vCPU)],TblApplications[Cluster IKS source],$F369,TblApplications[Action],"À migrer",TblApplications[Mois prov (calc)],"&lt;="&amp;$E369)-SUMIFS(TblApplications[CPU IKS libérable (vCPU)],TblApplications[Cluster IKS source],$F369,TblApplications[Action],"À décommissionner",TblApplications[Mois lib (calc)],"&lt;="&amp;$E369)))))</f>
        <v/>
      </c>
      <c r="Y369" s="14" t="str">
        <f aca="false">IF($D369&lt;&gt;1,"",IF($G369="ROKS",$S369,IF($AI369=1,0,MAX($O369,$M369-SUMIFS(TblApplications[RAM IKS libérable (Go)],TblApplications[Cluster IKS source],$F369,TblApplications[Action],"À migrer",TblApplications[Mois prov (calc)],"&lt;="&amp;$E369)-SUMIFS(TblApplications[RAM IKS libérable (Go)],TblApplications[Cluster IKS source],$F369,TblApplications[Action],"À décommissionner",TblApplications[Mois lib (calc)],"&lt;="&amp;$E369)))))</f>
        <v/>
      </c>
      <c r="Z369" s="14" t="str">
        <f aca="false">IF($D369&lt;&gt;1,"",IF($AI369=1,0,MAX($J369,ROUNDUP(MAX($X369/$H369,$Y369/$I369),0))))</f>
        <v/>
      </c>
      <c r="AA369" s="84" t="str">
        <f aca="false">IF($D369&lt;&gt;1,"",IF(p_mode="Nœud",$Z369*$K369,$X369*IF($G369="IKS",p_iks_cpu,p_roks_cpu)+$Y369*IF($G369="IKS",p_iks_ram,p_roks_ram))*p_facteur)</f>
        <v/>
      </c>
      <c r="AB369" s="14" t="str">
        <f aca="false">IF($D369&lt;&gt;1,"",MAX($J369,ROUNDUP(MAX($L369/$H369,$M369/$I369),0)))</f>
        <v/>
      </c>
      <c r="AC369" s="84" t="str">
        <f aca="false">IF($D369&lt;&gt;1,"",IF(p_mode="Nœud",$AB369*$K369,$L369*IF($G369="IKS",p_iks_cpu,p_roks_cpu)+$M369*IF($G369="IKS",p_iks_ram,p_roks_ram))*p_facteur)</f>
        <v/>
      </c>
      <c r="AD369" s="14" t="str">
        <f aca="false">IF($D369&lt;&gt;1,"",IF(AND($G369="IKS",$AI369&lt;&gt;1,OR($L369-$P369&lt;$N369,$M369-$Q369&lt;$O369)),1,0))</f>
        <v/>
      </c>
      <c r="AE369" s="14" t="str">
        <f aca="false">IF($D369&lt;&gt;1,"",IF(AND($G369="ROKS",$T369&gt;p_maxworkers),1,0))</f>
        <v/>
      </c>
      <c r="AF369" s="14" t="str">
        <f aca="false">IF($D369&lt;&gt;1,"",IF(INDEX(TblClusters[Environnement],$B369)="","(vide)",INDEX(TblClusters[Environnement],$B369)))</f>
        <v/>
      </c>
      <c r="AG369" s="14" t="str">
        <f aca="false">IF($D369&lt;&gt;1,"",$R369+p_poidsram*$S369)</f>
        <v/>
      </c>
      <c r="AH369" s="14" t="str">
        <f aca="false">IF($D369&lt;&gt;1,"",IFERROR($W369/$AG369,0))</f>
        <v/>
      </c>
      <c r="AI369" s="14" t="str">
        <f aca="false">IF($D369&lt;&gt;1,"",IF(AND($G369="IKS",ISNUMBER(INDEX(TblClusters[Fermeture retenue],$B369))),IF($E369&gt;=INDEX(TblClusters[Fermeture retenue],$B369),1,0),0))</f>
        <v/>
      </c>
    </row>
    <row r="370" customFormat="false" ht="15" hidden="false" customHeight="false" outlineLevel="0" collapsed="false">
      <c r="A370" s="14" t="n">
        <v>365</v>
      </c>
      <c r="B370" s="14" t="n">
        <f aca="false">INT(($A370-1)/36)+1</f>
        <v>11</v>
      </c>
      <c r="C370" s="14" t="n">
        <f aca="false">MOD($A370-1,36)+1</f>
        <v>5</v>
      </c>
      <c r="D370" s="14" t="n">
        <f aca="false">IF($C370&gt;p_horizon,0,IFERROR(IF(AND(INDEX(TblClusters[Cluster],$B370)&lt;&gt;"",ISNUMBER(INDEX(TblClusters[CPU initial (vCPU)],$B370)),ISNUMBER(INDEX(TblClusters[CPU min (vCPU)],$B370)),OR(INDEX(TblClusters[Plateforme],$B370)="IKS",INDEX(TblClusters[Plateforme],$B370)="ROKS")),1,0),0))</f>
        <v>0</v>
      </c>
      <c r="E370" s="83" t="str">
        <f aca="false">IF($D370=1,EDATE(p_debut,$C370-1),"")</f>
        <v/>
      </c>
      <c r="F370" s="14" t="str">
        <f aca="false">IF($D370=1,INDEX(TblClusters[Cluster],$B370),"")</f>
        <v/>
      </c>
      <c r="G370" s="14" t="str">
        <f aca="false">IF($D370=1,INDEX(TblClusters[Plateforme],$B370),"")</f>
        <v/>
      </c>
      <c r="H370" s="14" t="str">
        <f aca="false">IF($D370=1,INDEX(TblClusters[vCPU par nœud],$B370),"")</f>
        <v/>
      </c>
      <c r="I370" s="14" t="str">
        <f aca="false">IF($D370=1,INDEX(TblClusters[RAM par nœud (Go)],$B370),"")</f>
        <v/>
      </c>
      <c r="J370" s="14" t="str">
        <f aca="false">IF($D370=1,INDEX(TblClusters[Workers min],$B370),"")</f>
        <v/>
      </c>
      <c r="K370" s="84" t="str">
        <f aca="false">IF($D370=1,INDEX(TblClusters[Tarif par nœud],$B370),"")</f>
        <v/>
      </c>
      <c r="L370" s="14" t="str">
        <f aca="false">IF($D370=1,INDEX(TblClusters[CPU initial (vCPU)],$B370),"")</f>
        <v/>
      </c>
      <c r="M370" s="14" t="str">
        <f aca="false">IF($D370=1,INDEX(TblClusters[RAM initiale (Go)],$B370),"")</f>
        <v/>
      </c>
      <c r="N370" s="14" t="str">
        <f aca="false">IF($D370=1,INDEX(TblClusters[CPU min (vCPU)],$B370),"")</f>
        <v/>
      </c>
      <c r="O370" s="14" t="str">
        <f aca="false">IF($D370=1,INDEX(TblClusters[RAM min (Go)],$B370),"")</f>
        <v/>
      </c>
      <c r="P370" s="14" t="str">
        <f aca="false">IF($D370&lt;&gt;1,"",IF($G370="ROKS",SUMIFS(TblApplications[Besoin ROKS CPU (vCPU)],TblApplications[Cluster ROKS cible],$F370,TblApplications[Action],"À migrer",TblApplications[Déjà incluse ROKS],"Non",TblApplications[Mois prov (calc)],"&lt;="&amp;$E370),SUMIFS(TblApplications[CPU IKS libérable (vCPU)],TblApplications[Cluster IKS source],$F370,TblApplications[Mois lib (calc)],"&lt;="&amp;$E370)))</f>
        <v/>
      </c>
      <c r="Q370" s="14" t="str">
        <f aca="false">IF($D370&lt;&gt;1,"",IF($G370="ROKS",SUMIFS(TblApplications[Besoin ROKS RAM (Go)],TblApplications[Cluster ROKS cible],$F370,TblApplications[Action],"À migrer",TblApplications[Déjà incluse ROKS],"Non",TblApplications[Mois prov (calc)],"&lt;="&amp;$E370),SUMIFS(TblApplications[RAM IKS libérable (Go)],TblApplications[Cluster IKS source],$F370,TblApplications[Mois lib (calc)],"&lt;="&amp;$E370)))</f>
        <v/>
      </c>
      <c r="R370" s="14" t="str">
        <f aca="false">IF($D370&lt;&gt;1,"",IF($G370="ROKS",$L370+$P370,IF($AI370=1,0,MAX($N370,$L370-$P370))))</f>
        <v/>
      </c>
      <c r="S370" s="14" t="str">
        <f aca="false">IF($D370&lt;&gt;1,"",IF($G370="ROKS",$M370+$Q370,IF($AI370=1,0,MAX($O370,$M370-$Q370))))</f>
        <v/>
      </c>
      <c r="T370" s="14" t="str">
        <f aca="false">IF($D370&lt;&gt;1,"",IF($AI370=1,0,MAX($J370,ROUNDUP(MAX($R370/$H370,$S370/$I370),0))))</f>
        <v/>
      </c>
      <c r="U370" s="14" t="str">
        <f aca="false">IF($D370&lt;&gt;1,"",IF(p_mode="Nœud",$T370*$H370,$R370))</f>
        <v/>
      </c>
      <c r="V370" s="14" t="str">
        <f aca="false">IF($D370&lt;&gt;1,"",IF(p_mode="Nœud",$T370*$I370,$S370))</f>
        <v/>
      </c>
      <c r="W370" s="84" t="str">
        <f aca="false">IF($D370&lt;&gt;1,"",IF(p_mode="Nœud",$T370*$K370,$R370*IF($G370="IKS",p_iks_cpu,p_roks_cpu)+$S370*IF($G370="IKS",p_iks_ram,p_roks_ram))*p_facteur)</f>
        <v/>
      </c>
      <c r="X370" s="14" t="str">
        <f aca="false">IF($D370&lt;&gt;1,"",IF($G370="ROKS",$R370,IF($AI370=1,0,MAX($N370,$L370-SUMIFS(TblApplications[CPU IKS libérable (vCPU)],TblApplications[Cluster IKS source],$F370,TblApplications[Action],"À migrer",TblApplications[Mois prov (calc)],"&lt;="&amp;$E370)-SUMIFS(TblApplications[CPU IKS libérable (vCPU)],TblApplications[Cluster IKS source],$F370,TblApplications[Action],"À décommissionner",TblApplications[Mois lib (calc)],"&lt;="&amp;$E370)))))</f>
        <v/>
      </c>
      <c r="Y370" s="14" t="str">
        <f aca="false">IF($D370&lt;&gt;1,"",IF($G370="ROKS",$S370,IF($AI370=1,0,MAX($O370,$M370-SUMIFS(TblApplications[RAM IKS libérable (Go)],TblApplications[Cluster IKS source],$F370,TblApplications[Action],"À migrer",TblApplications[Mois prov (calc)],"&lt;="&amp;$E370)-SUMIFS(TblApplications[RAM IKS libérable (Go)],TblApplications[Cluster IKS source],$F370,TblApplications[Action],"À décommissionner",TblApplications[Mois lib (calc)],"&lt;="&amp;$E370)))))</f>
        <v/>
      </c>
      <c r="Z370" s="14" t="str">
        <f aca="false">IF($D370&lt;&gt;1,"",IF($AI370=1,0,MAX($J370,ROUNDUP(MAX($X370/$H370,$Y370/$I370),0))))</f>
        <v/>
      </c>
      <c r="AA370" s="84" t="str">
        <f aca="false">IF($D370&lt;&gt;1,"",IF(p_mode="Nœud",$Z370*$K370,$X370*IF($G370="IKS",p_iks_cpu,p_roks_cpu)+$Y370*IF($G370="IKS",p_iks_ram,p_roks_ram))*p_facteur)</f>
        <v/>
      </c>
      <c r="AB370" s="14" t="str">
        <f aca="false">IF($D370&lt;&gt;1,"",MAX($J370,ROUNDUP(MAX($L370/$H370,$M370/$I370),0)))</f>
        <v/>
      </c>
      <c r="AC370" s="84" t="str">
        <f aca="false">IF($D370&lt;&gt;1,"",IF(p_mode="Nœud",$AB370*$K370,$L370*IF($G370="IKS",p_iks_cpu,p_roks_cpu)+$M370*IF($G370="IKS",p_iks_ram,p_roks_ram))*p_facteur)</f>
        <v/>
      </c>
      <c r="AD370" s="14" t="str">
        <f aca="false">IF($D370&lt;&gt;1,"",IF(AND($G370="IKS",$AI370&lt;&gt;1,OR($L370-$P370&lt;$N370,$M370-$Q370&lt;$O370)),1,0))</f>
        <v/>
      </c>
      <c r="AE370" s="14" t="str">
        <f aca="false">IF($D370&lt;&gt;1,"",IF(AND($G370="ROKS",$T370&gt;p_maxworkers),1,0))</f>
        <v/>
      </c>
      <c r="AF370" s="14" t="str">
        <f aca="false">IF($D370&lt;&gt;1,"",IF(INDEX(TblClusters[Environnement],$B370)="","(vide)",INDEX(TblClusters[Environnement],$B370)))</f>
        <v/>
      </c>
      <c r="AG370" s="14" t="str">
        <f aca="false">IF($D370&lt;&gt;1,"",$R370+p_poidsram*$S370)</f>
        <v/>
      </c>
      <c r="AH370" s="14" t="str">
        <f aca="false">IF($D370&lt;&gt;1,"",IFERROR($W370/$AG370,0))</f>
        <v/>
      </c>
      <c r="AI370" s="14" t="str">
        <f aca="false">IF($D370&lt;&gt;1,"",IF(AND($G370="IKS",ISNUMBER(INDEX(TblClusters[Fermeture retenue],$B370))),IF($E370&gt;=INDEX(TblClusters[Fermeture retenue],$B370),1,0),0))</f>
        <v/>
      </c>
    </row>
    <row r="371" customFormat="false" ht="15" hidden="false" customHeight="false" outlineLevel="0" collapsed="false">
      <c r="A371" s="14" t="n">
        <v>366</v>
      </c>
      <c r="B371" s="14" t="n">
        <f aca="false">INT(($A371-1)/36)+1</f>
        <v>11</v>
      </c>
      <c r="C371" s="14" t="n">
        <f aca="false">MOD($A371-1,36)+1</f>
        <v>6</v>
      </c>
      <c r="D371" s="14" t="n">
        <f aca="false">IF($C371&gt;p_horizon,0,IFERROR(IF(AND(INDEX(TblClusters[Cluster],$B371)&lt;&gt;"",ISNUMBER(INDEX(TblClusters[CPU initial (vCPU)],$B371)),ISNUMBER(INDEX(TblClusters[CPU min (vCPU)],$B371)),OR(INDEX(TblClusters[Plateforme],$B371)="IKS",INDEX(TblClusters[Plateforme],$B371)="ROKS")),1,0),0))</f>
        <v>0</v>
      </c>
      <c r="E371" s="83" t="str">
        <f aca="false">IF($D371=1,EDATE(p_debut,$C371-1),"")</f>
        <v/>
      </c>
      <c r="F371" s="14" t="str">
        <f aca="false">IF($D371=1,INDEX(TblClusters[Cluster],$B371),"")</f>
        <v/>
      </c>
      <c r="G371" s="14" t="str">
        <f aca="false">IF($D371=1,INDEX(TblClusters[Plateforme],$B371),"")</f>
        <v/>
      </c>
      <c r="H371" s="14" t="str">
        <f aca="false">IF($D371=1,INDEX(TblClusters[vCPU par nœud],$B371),"")</f>
        <v/>
      </c>
      <c r="I371" s="14" t="str">
        <f aca="false">IF($D371=1,INDEX(TblClusters[RAM par nœud (Go)],$B371),"")</f>
        <v/>
      </c>
      <c r="J371" s="14" t="str">
        <f aca="false">IF($D371=1,INDEX(TblClusters[Workers min],$B371),"")</f>
        <v/>
      </c>
      <c r="K371" s="84" t="str">
        <f aca="false">IF($D371=1,INDEX(TblClusters[Tarif par nœud],$B371),"")</f>
        <v/>
      </c>
      <c r="L371" s="14" t="str">
        <f aca="false">IF($D371=1,INDEX(TblClusters[CPU initial (vCPU)],$B371),"")</f>
        <v/>
      </c>
      <c r="M371" s="14" t="str">
        <f aca="false">IF($D371=1,INDEX(TblClusters[RAM initiale (Go)],$B371),"")</f>
        <v/>
      </c>
      <c r="N371" s="14" t="str">
        <f aca="false">IF($D371=1,INDEX(TblClusters[CPU min (vCPU)],$B371),"")</f>
        <v/>
      </c>
      <c r="O371" s="14" t="str">
        <f aca="false">IF($D371=1,INDEX(TblClusters[RAM min (Go)],$B371),"")</f>
        <v/>
      </c>
      <c r="P371" s="14" t="str">
        <f aca="false">IF($D371&lt;&gt;1,"",IF($G371="ROKS",SUMIFS(TblApplications[Besoin ROKS CPU (vCPU)],TblApplications[Cluster ROKS cible],$F371,TblApplications[Action],"À migrer",TblApplications[Déjà incluse ROKS],"Non",TblApplications[Mois prov (calc)],"&lt;="&amp;$E371),SUMIFS(TblApplications[CPU IKS libérable (vCPU)],TblApplications[Cluster IKS source],$F371,TblApplications[Mois lib (calc)],"&lt;="&amp;$E371)))</f>
        <v/>
      </c>
      <c r="Q371" s="14" t="str">
        <f aca="false">IF($D371&lt;&gt;1,"",IF($G371="ROKS",SUMIFS(TblApplications[Besoin ROKS RAM (Go)],TblApplications[Cluster ROKS cible],$F371,TblApplications[Action],"À migrer",TblApplications[Déjà incluse ROKS],"Non",TblApplications[Mois prov (calc)],"&lt;="&amp;$E371),SUMIFS(TblApplications[RAM IKS libérable (Go)],TblApplications[Cluster IKS source],$F371,TblApplications[Mois lib (calc)],"&lt;="&amp;$E371)))</f>
        <v/>
      </c>
      <c r="R371" s="14" t="str">
        <f aca="false">IF($D371&lt;&gt;1,"",IF($G371="ROKS",$L371+$P371,IF($AI371=1,0,MAX($N371,$L371-$P371))))</f>
        <v/>
      </c>
      <c r="S371" s="14" t="str">
        <f aca="false">IF($D371&lt;&gt;1,"",IF($G371="ROKS",$M371+$Q371,IF($AI371=1,0,MAX($O371,$M371-$Q371))))</f>
        <v/>
      </c>
      <c r="T371" s="14" t="str">
        <f aca="false">IF($D371&lt;&gt;1,"",IF($AI371=1,0,MAX($J371,ROUNDUP(MAX($R371/$H371,$S371/$I371),0))))</f>
        <v/>
      </c>
      <c r="U371" s="14" t="str">
        <f aca="false">IF($D371&lt;&gt;1,"",IF(p_mode="Nœud",$T371*$H371,$R371))</f>
        <v/>
      </c>
      <c r="V371" s="14" t="str">
        <f aca="false">IF($D371&lt;&gt;1,"",IF(p_mode="Nœud",$T371*$I371,$S371))</f>
        <v/>
      </c>
      <c r="W371" s="84" t="str">
        <f aca="false">IF($D371&lt;&gt;1,"",IF(p_mode="Nœud",$T371*$K371,$R371*IF($G371="IKS",p_iks_cpu,p_roks_cpu)+$S371*IF($G371="IKS",p_iks_ram,p_roks_ram))*p_facteur)</f>
        <v/>
      </c>
      <c r="X371" s="14" t="str">
        <f aca="false">IF($D371&lt;&gt;1,"",IF($G371="ROKS",$R371,IF($AI371=1,0,MAX($N371,$L371-SUMIFS(TblApplications[CPU IKS libérable (vCPU)],TblApplications[Cluster IKS source],$F371,TblApplications[Action],"À migrer",TblApplications[Mois prov (calc)],"&lt;="&amp;$E371)-SUMIFS(TblApplications[CPU IKS libérable (vCPU)],TblApplications[Cluster IKS source],$F371,TblApplications[Action],"À décommissionner",TblApplications[Mois lib (calc)],"&lt;="&amp;$E371)))))</f>
        <v/>
      </c>
      <c r="Y371" s="14" t="str">
        <f aca="false">IF($D371&lt;&gt;1,"",IF($G371="ROKS",$S371,IF($AI371=1,0,MAX($O371,$M371-SUMIFS(TblApplications[RAM IKS libérable (Go)],TblApplications[Cluster IKS source],$F371,TblApplications[Action],"À migrer",TblApplications[Mois prov (calc)],"&lt;="&amp;$E371)-SUMIFS(TblApplications[RAM IKS libérable (Go)],TblApplications[Cluster IKS source],$F371,TblApplications[Action],"À décommissionner",TblApplications[Mois lib (calc)],"&lt;="&amp;$E371)))))</f>
        <v/>
      </c>
      <c r="Z371" s="14" t="str">
        <f aca="false">IF($D371&lt;&gt;1,"",IF($AI371=1,0,MAX($J371,ROUNDUP(MAX($X371/$H371,$Y371/$I371),0))))</f>
        <v/>
      </c>
      <c r="AA371" s="84" t="str">
        <f aca="false">IF($D371&lt;&gt;1,"",IF(p_mode="Nœud",$Z371*$K371,$X371*IF($G371="IKS",p_iks_cpu,p_roks_cpu)+$Y371*IF($G371="IKS",p_iks_ram,p_roks_ram))*p_facteur)</f>
        <v/>
      </c>
      <c r="AB371" s="14" t="str">
        <f aca="false">IF($D371&lt;&gt;1,"",MAX($J371,ROUNDUP(MAX($L371/$H371,$M371/$I371),0)))</f>
        <v/>
      </c>
      <c r="AC371" s="84" t="str">
        <f aca="false">IF($D371&lt;&gt;1,"",IF(p_mode="Nœud",$AB371*$K371,$L371*IF($G371="IKS",p_iks_cpu,p_roks_cpu)+$M371*IF($G371="IKS",p_iks_ram,p_roks_ram))*p_facteur)</f>
        <v/>
      </c>
      <c r="AD371" s="14" t="str">
        <f aca="false">IF($D371&lt;&gt;1,"",IF(AND($G371="IKS",$AI371&lt;&gt;1,OR($L371-$P371&lt;$N371,$M371-$Q371&lt;$O371)),1,0))</f>
        <v/>
      </c>
      <c r="AE371" s="14" t="str">
        <f aca="false">IF($D371&lt;&gt;1,"",IF(AND($G371="ROKS",$T371&gt;p_maxworkers),1,0))</f>
        <v/>
      </c>
      <c r="AF371" s="14" t="str">
        <f aca="false">IF($D371&lt;&gt;1,"",IF(INDEX(TblClusters[Environnement],$B371)="","(vide)",INDEX(TblClusters[Environnement],$B371)))</f>
        <v/>
      </c>
      <c r="AG371" s="14" t="str">
        <f aca="false">IF($D371&lt;&gt;1,"",$R371+p_poidsram*$S371)</f>
        <v/>
      </c>
      <c r="AH371" s="14" t="str">
        <f aca="false">IF($D371&lt;&gt;1,"",IFERROR($W371/$AG371,0))</f>
        <v/>
      </c>
      <c r="AI371" s="14" t="str">
        <f aca="false">IF($D371&lt;&gt;1,"",IF(AND($G371="IKS",ISNUMBER(INDEX(TblClusters[Fermeture retenue],$B371))),IF($E371&gt;=INDEX(TblClusters[Fermeture retenue],$B371),1,0),0))</f>
        <v/>
      </c>
    </row>
    <row r="372" customFormat="false" ht="15" hidden="false" customHeight="false" outlineLevel="0" collapsed="false">
      <c r="A372" s="14" t="n">
        <v>367</v>
      </c>
      <c r="B372" s="14" t="n">
        <f aca="false">INT(($A372-1)/36)+1</f>
        <v>11</v>
      </c>
      <c r="C372" s="14" t="n">
        <f aca="false">MOD($A372-1,36)+1</f>
        <v>7</v>
      </c>
      <c r="D372" s="14" t="n">
        <f aca="false">IF($C372&gt;p_horizon,0,IFERROR(IF(AND(INDEX(TblClusters[Cluster],$B372)&lt;&gt;"",ISNUMBER(INDEX(TblClusters[CPU initial (vCPU)],$B372)),ISNUMBER(INDEX(TblClusters[CPU min (vCPU)],$B372)),OR(INDEX(TblClusters[Plateforme],$B372)="IKS",INDEX(TblClusters[Plateforme],$B372)="ROKS")),1,0),0))</f>
        <v>0</v>
      </c>
      <c r="E372" s="83" t="str">
        <f aca="false">IF($D372=1,EDATE(p_debut,$C372-1),"")</f>
        <v/>
      </c>
      <c r="F372" s="14" t="str">
        <f aca="false">IF($D372=1,INDEX(TblClusters[Cluster],$B372),"")</f>
        <v/>
      </c>
      <c r="G372" s="14" t="str">
        <f aca="false">IF($D372=1,INDEX(TblClusters[Plateforme],$B372),"")</f>
        <v/>
      </c>
      <c r="H372" s="14" t="str">
        <f aca="false">IF($D372=1,INDEX(TblClusters[vCPU par nœud],$B372),"")</f>
        <v/>
      </c>
      <c r="I372" s="14" t="str">
        <f aca="false">IF($D372=1,INDEX(TblClusters[RAM par nœud (Go)],$B372),"")</f>
        <v/>
      </c>
      <c r="J372" s="14" t="str">
        <f aca="false">IF($D372=1,INDEX(TblClusters[Workers min],$B372),"")</f>
        <v/>
      </c>
      <c r="K372" s="84" t="str">
        <f aca="false">IF($D372=1,INDEX(TblClusters[Tarif par nœud],$B372),"")</f>
        <v/>
      </c>
      <c r="L372" s="14" t="str">
        <f aca="false">IF($D372=1,INDEX(TblClusters[CPU initial (vCPU)],$B372),"")</f>
        <v/>
      </c>
      <c r="M372" s="14" t="str">
        <f aca="false">IF($D372=1,INDEX(TblClusters[RAM initiale (Go)],$B372),"")</f>
        <v/>
      </c>
      <c r="N372" s="14" t="str">
        <f aca="false">IF($D372=1,INDEX(TblClusters[CPU min (vCPU)],$B372),"")</f>
        <v/>
      </c>
      <c r="O372" s="14" t="str">
        <f aca="false">IF($D372=1,INDEX(TblClusters[RAM min (Go)],$B372),"")</f>
        <v/>
      </c>
      <c r="P372" s="14" t="str">
        <f aca="false">IF($D372&lt;&gt;1,"",IF($G372="ROKS",SUMIFS(TblApplications[Besoin ROKS CPU (vCPU)],TblApplications[Cluster ROKS cible],$F372,TblApplications[Action],"À migrer",TblApplications[Déjà incluse ROKS],"Non",TblApplications[Mois prov (calc)],"&lt;="&amp;$E372),SUMIFS(TblApplications[CPU IKS libérable (vCPU)],TblApplications[Cluster IKS source],$F372,TblApplications[Mois lib (calc)],"&lt;="&amp;$E372)))</f>
        <v/>
      </c>
      <c r="Q372" s="14" t="str">
        <f aca="false">IF($D372&lt;&gt;1,"",IF($G372="ROKS",SUMIFS(TblApplications[Besoin ROKS RAM (Go)],TblApplications[Cluster ROKS cible],$F372,TblApplications[Action],"À migrer",TblApplications[Déjà incluse ROKS],"Non",TblApplications[Mois prov (calc)],"&lt;="&amp;$E372),SUMIFS(TblApplications[RAM IKS libérable (Go)],TblApplications[Cluster IKS source],$F372,TblApplications[Mois lib (calc)],"&lt;="&amp;$E372)))</f>
        <v/>
      </c>
      <c r="R372" s="14" t="str">
        <f aca="false">IF($D372&lt;&gt;1,"",IF($G372="ROKS",$L372+$P372,IF($AI372=1,0,MAX($N372,$L372-$P372))))</f>
        <v/>
      </c>
      <c r="S372" s="14" t="str">
        <f aca="false">IF($D372&lt;&gt;1,"",IF($G372="ROKS",$M372+$Q372,IF($AI372=1,0,MAX($O372,$M372-$Q372))))</f>
        <v/>
      </c>
      <c r="T372" s="14" t="str">
        <f aca="false">IF($D372&lt;&gt;1,"",IF($AI372=1,0,MAX($J372,ROUNDUP(MAX($R372/$H372,$S372/$I372),0))))</f>
        <v/>
      </c>
      <c r="U372" s="14" t="str">
        <f aca="false">IF($D372&lt;&gt;1,"",IF(p_mode="Nœud",$T372*$H372,$R372))</f>
        <v/>
      </c>
      <c r="V372" s="14" t="str">
        <f aca="false">IF($D372&lt;&gt;1,"",IF(p_mode="Nœud",$T372*$I372,$S372))</f>
        <v/>
      </c>
      <c r="W372" s="84" t="str">
        <f aca="false">IF($D372&lt;&gt;1,"",IF(p_mode="Nœud",$T372*$K372,$R372*IF($G372="IKS",p_iks_cpu,p_roks_cpu)+$S372*IF($G372="IKS",p_iks_ram,p_roks_ram))*p_facteur)</f>
        <v/>
      </c>
      <c r="X372" s="14" t="str">
        <f aca="false">IF($D372&lt;&gt;1,"",IF($G372="ROKS",$R372,IF($AI372=1,0,MAX($N372,$L372-SUMIFS(TblApplications[CPU IKS libérable (vCPU)],TblApplications[Cluster IKS source],$F372,TblApplications[Action],"À migrer",TblApplications[Mois prov (calc)],"&lt;="&amp;$E372)-SUMIFS(TblApplications[CPU IKS libérable (vCPU)],TblApplications[Cluster IKS source],$F372,TblApplications[Action],"À décommissionner",TblApplications[Mois lib (calc)],"&lt;="&amp;$E372)))))</f>
        <v/>
      </c>
      <c r="Y372" s="14" t="str">
        <f aca="false">IF($D372&lt;&gt;1,"",IF($G372="ROKS",$S372,IF($AI372=1,0,MAX($O372,$M372-SUMIFS(TblApplications[RAM IKS libérable (Go)],TblApplications[Cluster IKS source],$F372,TblApplications[Action],"À migrer",TblApplications[Mois prov (calc)],"&lt;="&amp;$E372)-SUMIFS(TblApplications[RAM IKS libérable (Go)],TblApplications[Cluster IKS source],$F372,TblApplications[Action],"À décommissionner",TblApplications[Mois lib (calc)],"&lt;="&amp;$E372)))))</f>
        <v/>
      </c>
      <c r="Z372" s="14" t="str">
        <f aca="false">IF($D372&lt;&gt;1,"",IF($AI372=1,0,MAX($J372,ROUNDUP(MAX($X372/$H372,$Y372/$I372),0))))</f>
        <v/>
      </c>
      <c r="AA372" s="84" t="str">
        <f aca="false">IF($D372&lt;&gt;1,"",IF(p_mode="Nœud",$Z372*$K372,$X372*IF($G372="IKS",p_iks_cpu,p_roks_cpu)+$Y372*IF($G372="IKS",p_iks_ram,p_roks_ram))*p_facteur)</f>
        <v/>
      </c>
      <c r="AB372" s="14" t="str">
        <f aca="false">IF($D372&lt;&gt;1,"",MAX($J372,ROUNDUP(MAX($L372/$H372,$M372/$I372),0)))</f>
        <v/>
      </c>
      <c r="AC372" s="84" t="str">
        <f aca="false">IF($D372&lt;&gt;1,"",IF(p_mode="Nœud",$AB372*$K372,$L372*IF($G372="IKS",p_iks_cpu,p_roks_cpu)+$M372*IF($G372="IKS",p_iks_ram,p_roks_ram))*p_facteur)</f>
        <v/>
      </c>
      <c r="AD372" s="14" t="str">
        <f aca="false">IF($D372&lt;&gt;1,"",IF(AND($G372="IKS",$AI372&lt;&gt;1,OR($L372-$P372&lt;$N372,$M372-$Q372&lt;$O372)),1,0))</f>
        <v/>
      </c>
      <c r="AE372" s="14" t="str">
        <f aca="false">IF($D372&lt;&gt;1,"",IF(AND($G372="ROKS",$T372&gt;p_maxworkers),1,0))</f>
        <v/>
      </c>
      <c r="AF372" s="14" t="str">
        <f aca="false">IF($D372&lt;&gt;1,"",IF(INDEX(TblClusters[Environnement],$B372)="","(vide)",INDEX(TblClusters[Environnement],$B372)))</f>
        <v/>
      </c>
      <c r="AG372" s="14" t="str">
        <f aca="false">IF($D372&lt;&gt;1,"",$R372+p_poidsram*$S372)</f>
        <v/>
      </c>
      <c r="AH372" s="14" t="str">
        <f aca="false">IF($D372&lt;&gt;1,"",IFERROR($W372/$AG372,0))</f>
        <v/>
      </c>
      <c r="AI372" s="14" t="str">
        <f aca="false">IF($D372&lt;&gt;1,"",IF(AND($G372="IKS",ISNUMBER(INDEX(TblClusters[Fermeture retenue],$B372))),IF($E372&gt;=INDEX(TblClusters[Fermeture retenue],$B372),1,0),0))</f>
        <v/>
      </c>
    </row>
    <row r="373" customFormat="false" ht="15" hidden="false" customHeight="false" outlineLevel="0" collapsed="false">
      <c r="A373" s="14" t="n">
        <v>368</v>
      </c>
      <c r="B373" s="14" t="n">
        <f aca="false">INT(($A373-1)/36)+1</f>
        <v>11</v>
      </c>
      <c r="C373" s="14" t="n">
        <f aca="false">MOD($A373-1,36)+1</f>
        <v>8</v>
      </c>
      <c r="D373" s="14" t="n">
        <f aca="false">IF($C373&gt;p_horizon,0,IFERROR(IF(AND(INDEX(TblClusters[Cluster],$B373)&lt;&gt;"",ISNUMBER(INDEX(TblClusters[CPU initial (vCPU)],$B373)),ISNUMBER(INDEX(TblClusters[CPU min (vCPU)],$B373)),OR(INDEX(TblClusters[Plateforme],$B373)="IKS",INDEX(TblClusters[Plateforme],$B373)="ROKS")),1,0),0))</f>
        <v>0</v>
      </c>
      <c r="E373" s="83" t="str">
        <f aca="false">IF($D373=1,EDATE(p_debut,$C373-1),"")</f>
        <v/>
      </c>
      <c r="F373" s="14" t="str">
        <f aca="false">IF($D373=1,INDEX(TblClusters[Cluster],$B373),"")</f>
        <v/>
      </c>
      <c r="G373" s="14" t="str">
        <f aca="false">IF($D373=1,INDEX(TblClusters[Plateforme],$B373),"")</f>
        <v/>
      </c>
      <c r="H373" s="14" t="str">
        <f aca="false">IF($D373=1,INDEX(TblClusters[vCPU par nœud],$B373),"")</f>
        <v/>
      </c>
      <c r="I373" s="14" t="str">
        <f aca="false">IF($D373=1,INDEX(TblClusters[RAM par nœud (Go)],$B373),"")</f>
        <v/>
      </c>
      <c r="J373" s="14" t="str">
        <f aca="false">IF($D373=1,INDEX(TblClusters[Workers min],$B373),"")</f>
        <v/>
      </c>
      <c r="K373" s="84" t="str">
        <f aca="false">IF($D373=1,INDEX(TblClusters[Tarif par nœud],$B373),"")</f>
        <v/>
      </c>
      <c r="L373" s="14" t="str">
        <f aca="false">IF($D373=1,INDEX(TblClusters[CPU initial (vCPU)],$B373),"")</f>
        <v/>
      </c>
      <c r="M373" s="14" t="str">
        <f aca="false">IF($D373=1,INDEX(TblClusters[RAM initiale (Go)],$B373),"")</f>
        <v/>
      </c>
      <c r="N373" s="14" t="str">
        <f aca="false">IF($D373=1,INDEX(TblClusters[CPU min (vCPU)],$B373),"")</f>
        <v/>
      </c>
      <c r="O373" s="14" t="str">
        <f aca="false">IF($D373=1,INDEX(TblClusters[RAM min (Go)],$B373),"")</f>
        <v/>
      </c>
      <c r="P373" s="14" t="str">
        <f aca="false">IF($D373&lt;&gt;1,"",IF($G373="ROKS",SUMIFS(TblApplications[Besoin ROKS CPU (vCPU)],TblApplications[Cluster ROKS cible],$F373,TblApplications[Action],"À migrer",TblApplications[Déjà incluse ROKS],"Non",TblApplications[Mois prov (calc)],"&lt;="&amp;$E373),SUMIFS(TblApplications[CPU IKS libérable (vCPU)],TblApplications[Cluster IKS source],$F373,TblApplications[Mois lib (calc)],"&lt;="&amp;$E373)))</f>
        <v/>
      </c>
      <c r="Q373" s="14" t="str">
        <f aca="false">IF($D373&lt;&gt;1,"",IF($G373="ROKS",SUMIFS(TblApplications[Besoin ROKS RAM (Go)],TblApplications[Cluster ROKS cible],$F373,TblApplications[Action],"À migrer",TblApplications[Déjà incluse ROKS],"Non",TblApplications[Mois prov (calc)],"&lt;="&amp;$E373),SUMIFS(TblApplications[RAM IKS libérable (Go)],TblApplications[Cluster IKS source],$F373,TblApplications[Mois lib (calc)],"&lt;="&amp;$E373)))</f>
        <v/>
      </c>
      <c r="R373" s="14" t="str">
        <f aca="false">IF($D373&lt;&gt;1,"",IF($G373="ROKS",$L373+$P373,IF($AI373=1,0,MAX($N373,$L373-$P373))))</f>
        <v/>
      </c>
      <c r="S373" s="14" t="str">
        <f aca="false">IF($D373&lt;&gt;1,"",IF($G373="ROKS",$M373+$Q373,IF($AI373=1,0,MAX($O373,$M373-$Q373))))</f>
        <v/>
      </c>
      <c r="T373" s="14" t="str">
        <f aca="false">IF($D373&lt;&gt;1,"",IF($AI373=1,0,MAX($J373,ROUNDUP(MAX($R373/$H373,$S373/$I373),0))))</f>
        <v/>
      </c>
      <c r="U373" s="14" t="str">
        <f aca="false">IF($D373&lt;&gt;1,"",IF(p_mode="Nœud",$T373*$H373,$R373))</f>
        <v/>
      </c>
      <c r="V373" s="14" t="str">
        <f aca="false">IF($D373&lt;&gt;1,"",IF(p_mode="Nœud",$T373*$I373,$S373))</f>
        <v/>
      </c>
      <c r="W373" s="84" t="str">
        <f aca="false">IF($D373&lt;&gt;1,"",IF(p_mode="Nœud",$T373*$K373,$R373*IF($G373="IKS",p_iks_cpu,p_roks_cpu)+$S373*IF($G373="IKS",p_iks_ram,p_roks_ram))*p_facteur)</f>
        <v/>
      </c>
      <c r="X373" s="14" t="str">
        <f aca="false">IF($D373&lt;&gt;1,"",IF($G373="ROKS",$R373,IF($AI373=1,0,MAX($N373,$L373-SUMIFS(TblApplications[CPU IKS libérable (vCPU)],TblApplications[Cluster IKS source],$F373,TblApplications[Action],"À migrer",TblApplications[Mois prov (calc)],"&lt;="&amp;$E373)-SUMIFS(TblApplications[CPU IKS libérable (vCPU)],TblApplications[Cluster IKS source],$F373,TblApplications[Action],"À décommissionner",TblApplications[Mois lib (calc)],"&lt;="&amp;$E373)))))</f>
        <v/>
      </c>
      <c r="Y373" s="14" t="str">
        <f aca="false">IF($D373&lt;&gt;1,"",IF($G373="ROKS",$S373,IF($AI373=1,0,MAX($O373,$M373-SUMIFS(TblApplications[RAM IKS libérable (Go)],TblApplications[Cluster IKS source],$F373,TblApplications[Action],"À migrer",TblApplications[Mois prov (calc)],"&lt;="&amp;$E373)-SUMIFS(TblApplications[RAM IKS libérable (Go)],TblApplications[Cluster IKS source],$F373,TblApplications[Action],"À décommissionner",TblApplications[Mois lib (calc)],"&lt;="&amp;$E373)))))</f>
        <v/>
      </c>
      <c r="Z373" s="14" t="str">
        <f aca="false">IF($D373&lt;&gt;1,"",IF($AI373=1,0,MAX($J373,ROUNDUP(MAX($X373/$H373,$Y373/$I373),0))))</f>
        <v/>
      </c>
      <c r="AA373" s="84" t="str">
        <f aca="false">IF($D373&lt;&gt;1,"",IF(p_mode="Nœud",$Z373*$K373,$X373*IF($G373="IKS",p_iks_cpu,p_roks_cpu)+$Y373*IF($G373="IKS",p_iks_ram,p_roks_ram))*p_facteur)</f>
        <v/>
      </c>
      <c r="AB373" s="14" t="str">
        <f aca="false">IF($D373&lt;&gt;1,"",MAX($J373,ROUNDUP(MAX($L373/$H373,$M373/$I373),0)))</f>
        <v/>
      </c>
      <c r="AC373" s="84" t="str">
        <f aca="false">IF($D373&lt;&gt;1,"",IF(p_mode="Nœud",$AB373*$K373,$L373*IF($G373="IKS",p_iks_cpu,p_roks_cpu)+$M373*IF($G373="IKS",p_iks_ram,p_roks_ram))*p_facteur)</f>
        <v/>
      </c>
      <c r="AD373" s="14" t="str">
        <f aca="false">IF($D373&lt;&gt;1,"",IF(AND($G373="IKS",$AI373&lt;&gt;1,OR($L373-$P373&lt;$N373,$M373-$Q373&lt;$O373)),1,0))</f>
        <v/>
      </c>
      <c r="AE373" s="14" t="str">
        <f aca="false">IF($D373&lt;&gt;1,"",IF(AND($G373="ROKS",$T373&gt;p_maxworkers),1,0))</f>
        <v/>
      </c>
      <c r="AF373" s="14" t="str">
        <f aca="false">IF($D373&lt;&gt;1,"",IF(INDEX(TblClusters[Environnement],$B373)="","(vide)",INDEX(TblClusters[Environnement],$B373)))</f>
        <v/>
      </c>
      <c r="AG373" s="14" t="str">
        <f aca="false">IF($D373&lt;&gt;1,"",$R373+p_poidsram*$S373)</f>
        <v/>
      </c>
      <c r="AH373" s="14" t="str">
        <f aca="false">IF($D373&lt;&gt;1,"",IFERROR($W373/$AG373,0))</f>
        <v/>
      </c>
      <c r="AI373" s="14" t="str">
        <f aca="false">IF($D373&lt;&gt;1,"",IF(AND($G373="IKS",ISNUMBER(INDEX(TblClusters[Fermeture retenue],$B373))),IF($E373&gt;=INDEX(TblClusters[Fermeture retenue],$B373),1,0),0))</f>
        <v/>
      </c>
    </row>
    <row r="374" customFormat="false" ht="15" hidden="false" customHeight="false" outlineLevel="0" collapsed="false">
      <c r="A374" s="14" t="n">
        <v>369</v>
      </c>
      <c r="B374" s="14" t="n">
        <f aca="false">INT(($A374-1)/36)+1</f>
        <v>11</v>
      </c>
      <c r="C374" s="14" t="n">
        <f aca="false">MOD($A374-1,36)+1</f>
        <v>9</v>
      </c>
      <c r="D374" s="14" t="n">
        <f aca="false">IF($C374&gt;p_horizon,0,IFERROR(IF(AND(INDEX(TblClusters[Cluster],$B374)&lt;&gt;"",ISNUMBER(INDEX(TblClusters[CPU initial (vCPU)],$B374)),ISNUMBER(INDEX(TblClusters[CPU min (vCPU)],$B374)),OR(INDEX(TblClusters[Plateforme],$B374)="IKS",INDEX(TblClusters[Plateforme],$B374)="ROKS")),1,0),0))</f>
        <v>0</v>
      </c>
      <c r="E374" s="83" t="str">
        <f aca="false">IF($D374=1,EDATE(p_debut,$C374-1),"")</f>
        <v/>
      </c>
      <c r="F374" s="14" t="str">
        <f aca="false">IF($D374=1,INDEX(TblClusters[Cluster],$B374),"")</f>
        <v/>
      </c>
      <c r="G374" s="14" t="str">
        <f aca="false">IF($D374=1,INDEX(TblClusters[Plateforme],$B374),"")</f>
        <v/>
      </c>
      <c r="H374" s="14" t="str">
        <f aca="false">IF($D374=1,INDEX(TblClusters[vCPU par nœud],$B374),"")</f>
        <v/>
      </c>
      <c r="I374" s="14" t="str">
        <f aca="false">IF($D374=1,INDEX(TblClusters[RAM par nœud (Go)],$B374),"")</f>
        <v/>
      </c>
      <c r="J374" s="14" t="str">
        <f aca="false">IF($D374=1,INDEX(TblClusters[Workers min],$B374),"")</f>
        <v/>
      </c>
      <c r="K374" s="84" t="str">
        <f aca="false">IF($D374=1,INDEX(TblClusters[Tarif par nœud],$B374),"")</f>
        <v/>
      </c>
      <c r="L374" s="14" t="str">
        <f aca="false">IF($D374=1,INDEX(TblClusters[CPU initial (vCPU)],$B374),"")</f>
        <v/>
      </c>
      <c r="M374" s="14" t="str">
        <f aca="false">IF($D374=1,INDEX(TblClusters[RAM initiale (Go)],$B374),"")</f>
        <v/>
      </c>
      <c r="N374" s="14" t="str">
        <f aca="false">IF($D374=1,INDEX(TblClusters[CPU min (vCPU)],$B374),"")</f>
        <v/>
      </c>
      <c r="O374" s="14" t="str">
        <f aca="false">IF($D374=1,INDEX(TblClusters[RAM min (Go)],$B374),"")</f>
        <v/>
      </c>
      <c r="P374" s="14" t="str">
        <f aca="false">IF($D374&lt;&gt;1,"",IF($G374="ROKS",SUMIFS(TblApplications[Besoin ROKS CPU (vCPU)],TblApplications[Cluster ROKS cible],$F374,TblApplications[Action],"À migrer",TblApplications[Déjà incluse ROKS],"Non",TblApplications[Mois prov (calc)],"&lt;="&amp;$E374),SUMIFS(TblApplications[CPU IKS libérable (vCPU)],TblApplications[Cluster IKS source],$F374,TblApplications[Mois lib (calc)],"&lt;="&amp;$E374)))</f>
        <v/>
      </c>
      <c r="Q374" s="14" t="str">
        <f aca="false">IF($D374&lt;&gt;1,"",IF($G374="ROKS",SUMIFS(TblApplications[Besoin ROKS RAM (Go)],TblApplications[Cluster ROKS cible],$F374,TblApplications[Action],"À migrer",TblApplications[Déjà incluse ROKS],"Non",TblApplications[Mois prov (calc)],"&lt;="&amp;$E374),SUMIFS(TblApplications[RAM IKS libérable (Go)],TblApplications[Cluster IKS source],$F374,TblApplications[Mois lib (calc)],"&lt;="&amp;$E374)))</f>
        <v/>
      </c>
      <c r="R374" s="14" t="str">
        <f aca="false">IF($D374&lt;&gt;1,"",IF($G374="ROKS",$L374+$P374,IF($AI374=1,0,MAX($N374,$L374-$P374))))</f>
        <v/>
      </c>
      <c r="S374" s="14" t="str">
        <f aca="false">IF($D374&lt;&gt;1,"",IF($G374="ROKS",$M374+$Q374,IF($AI374=1,0,MAX($O374,$M374-$Q374))))</f>
        <v/>
      </c>
      <c r="T374" s="14" t="str">
        <f aca="false">IF($D374&lt;&gt;1,"",IF($AI374=1,0,MAX($J374,ROUNDUP(MAX($R374/$H374,$S374/$I374),0))))</f>
        <v/>
      </c>
      <c r="U374" s="14" t="str">
        <f aca="false">IF($D374&lt;&gt;1,"",IF(p_mode="Nœud",$T374*$H374,$R374))</f>
        <v/>
      </c>
      <c r="V374" s="14" t="str">
        <f aca="false">IF($D374&lt;&gt;1,"",IF(p_mode="Nœud",$T374*$I374,$S374))</f>
        <v/>
      </c>
      <c r="W374" s="84" t="str">
        <f aca="false">IF($D374&lt;&gt;1,"",IF(p_mode="Nœud",$T374*$K374,$R374*IF($G374="IKS",p_iks_cpu,p_roks_cpu)+$S374*IF($G374="IKS",p_iks_ram,p_roks_ram))*p_facteur)</f>
        <v/>
      </c>
      <c r="X374" s="14" t="str">
        <f aca="false">IF($D374&lt;&gt;1,"",IF($G374="ROKS",$R374,IF($AI374=1,0,MAX($N374,$L374-SUMIFS(TblApplications[CPU IKS libérable (vCPU)],TblApplications[Cluster IKS source],$F374,TblApplications[Action],"À migrer",TblApplications[Mois prov (calc)],"&lt;="&amp;$E374)-SUMIFS(TblApplications[CPU IKS libérable (vCPU)],TblApplications[Cluster IKS source],$F374,TblApplications[Action],"À décommissionner",TblApplications[Mois lib (calc)],"&lt;="&amp;$E374)))))</f>
        <v/>
      </c>
      <c r="Y374" s="14" t="str">
        <f aca="false">IF($D374&lt;&gt;1,"",IF($G374="ROKS",$S374,IF($AI374=1,0,MAX($O374,$M374-SUMIFS(TblApplications[RAM IKS libérable (Go)],TblApplications[Cluster IKS source],$F374,TblApplications[Action],"À migrer",TblApplications[Mois prov (calc)],"&lt;="&amp;$E374)-SUMIFS(TblApplications[RAM IKS libérable (Go)],TblApplications[Cluster IKS source],$F374,TblApplications[Action],"À décommissionner",TblApplications[Mois lib (calc)],"&lt;="&amp;$E374)))))</f>
        <v/>
      </c>
      <c r="Z374" s="14" t="str">
        <f aca="false">IF($D374&lt;&gt;1,"",IF($AI374=1,0,MAX($J374,ROUNDUP(MAX($X374/$H374,$Y374/$I374),0))))</f>
        <v/>
      </c>
      <c r="AA374" s="84" t="str">
        <f aca="false">IF($D374&lt;&gt;1,"",IF(p_mode="Nœud",$Z374*$K374,$X374*IF($G374="IKS",p_iks_cpu,p_roks_cpu)+$Y374*IF($G374="IKS",p_iks_ram,p_roks_ram))*p_facteur)</f>
        <v/>
      </c>
      <c r="AB374" s="14" t="str">
        <f aca="false">IF($D374&lt;&gt;1,"",MAX($J374,ROUNDUP(MAX($L374/$H374,$M374/$I374),0)))</f>
        <v/>
      </c>
      <c r="AC374" s="84" t="str">
        <f aca="false">IF($D374&lt;&gt;1,"",IF(p_mode="Nœud",$AB374*$K374,$L374*IF($G374="IKS",p_iks_cpu,p_roks_cpu)+$M374*IF($G374="IKS",p_iks_ram,p_roks_ram))*p_facteur)</f>
        <v/>
      </c>
      <c r="AD374" s="14" t="str">
        <f aca="false">IF($D374&lt;&gt;1,"",IF(AND($G374="IKS",$AI374&lt;&gt;1,OR($L374-$P374&lt;$N374,$M374-$Q374&lt;$O374)),1,0))</f>
        <v/>
      </c>
      <c r="AE374" s="14" t="str">
        <f aca="false">IF($D374&lt;&gt;1,"",IF(AND($G374="ROKS",$T374&gt;p_maxworkers),1,0))</f>
        <v/>
      </c>
      <c r="AF374" s="14" t="str">
        <f aca="false">IF($D374&lt;&gt;1,"",IF(INDEX(TblClusters[Environnement],$B374)="","(vide)",INDEX(TblClusters[Environnement],$B374)))</f>
        <v/>
      </c>
      <c r="AG374" s="14" t="str">
        <f aca="false">IF($D374&lt;&gt;1,"",$R374+p_poidsram*$S374)</f>
        <v/>
      </c>
      <c r="AH374" s="14" t="str">
        <f aca="false">IF($D374&lt;&gt;1,"",IFERROR($W374/$AG374,0))</f>
        <v/>
      </c>
      <c r="AI374" s="14" t="str">
        <f aca="false">IF($D374&lt;&gt;1,"",IF(AND($G374="IKS",ISNUMBER(INDEX(TblClusters[Fermeture retenue],$B374))),IF($E374&gt;=INDEX(TblClusters[Fermeture retenue],$B374),1,0),0))</f>
        <v/>
      </c>
    </row>
    <row r="375" customFormat="false" ht="15" hidden="false" customHeight="false" outlineLevel="0" collapsed="false">
      <c r="A375" s="14" t="n">
        <v>370</v>
      </c>
      <c r="B375" s="14" t="n">
        <f aca="false">INT(($A375-1)/36)+1</f>
        <v>11</v>
      </c>
      <c r="C375" s="14" t="n">
        <f aca="false">MOD($A375-1,36)+1</f>
        <v>10</v>
      </c>
      <c r="D375" s="14" t="n">
        <f aca="false">IF($C375&gt;p_horizon,0,IFERROR(IF(AND(INDEX(TblClusters[Cluster],$B375)&lt;&gt;"",ISNUMBER(INDEX(TblClusters[CPU initial (vCPU)],$B375)),ISNUMBER(INDEX(TblClusters[CPU min (vCPU)],$B375)),OR(INDEX(TblClusters[Plateforme],$B375)="IKS",INDEX(TblClusters[Plateforme],$B375)="ROKS")),1,0),0))</f>
        <v>0</v>
      </c>
      <c r="E375" s="83" t="str">
        <f aca="false">IF($D375=1,EDATE(p_debut,$C375-1),"")</f>
        <v/>
      </c>
      <c r="F375" s="14" t="str">
        <f aca="false">IF($D375=1,INDEX(TblClusters[Cluster],$B375),"")</f>
        <v/>
      </c>
      <c r="G375" s="14" t="str">
        <f aca="false">IF($D375=1,INDEX(TblClusters[Plateforme],$B375),"")</f>
        <v/>
      </c>
      <c r="H375" s="14" t="str">
        <f aca="false">IF($D375=1,INDEX(TblClusters[vCPU par nœud],$B375),"")</f>
        <v/>
      </c>
      <c r="I375" s="14" t="str">
        <f aca="false">IF($D375=1,INDEX(TblClusters[RAM par nœud (Go)],$B375),"")</f>
        <v/>
      </c>
      <c r="J375" s="14" t="str">
        <f aca="false">IF($D375=1,INDEX(TblClusters[Workers min],$B375),"")</f>
        <v/>
      </c>
      <c r="K375" s="84" t="str">
        <f aca="false">IF($D375=1,INDEX(TblClusters[Tarif par nœud],$B375),"")</f>
        <v/>
      </c>
      <c r="L375" s="14" t="str">
        <f aca="false">IF($D375=1,INDEX(TblClusters[CPU initial (vCPU)],$B375),"")</f>
        <v/>
      </c>
      <c r="M375" s="14" t="str">
        <f aca="false">IF($D375=1,INDEX(TblClusters[RAM initiale (Go)],$B375),"")</f>
        <v/>
      </c>
      <c r="N375" s="14" t="str">
        <f aca="false">IF($D375=1,INDEX(TblClusters[CPU min (vCPU)],$B375),"")</f>
        <v/>
      </c>
      <c r="O375" s="14" t="str">
        <f aca="false">IF($D375=1,INDEX(TblClusters[RAM min (Go)],$B375),"")</f>
        <v/>
      </c>
      <c r="P375" s="14" t="str">
        <f aca="false">IF($D375&lt;&gt;1,"",IF($G375="ROKS",SUMIFS(TblApplications[Besoin ROKS CPU (vCPU)],TblApplications[Cluster ROKS cible],$F375,TblApplications[Action],"À migrer",TblApplications[Déjà incluse ROKS],"Non",TblApplications[Mois prov (calc)],"&lt;="&amp;$E375),SUMIFS(TblApplications[CPU IKS libérable (vCPU)],TblApplications[Cluster IKS source],$F375,TblApplications[Mois lib (calc)],"&lt;="&amp;$E375)))</f>
        <v/>
      </c>
      <c r="Q375" s="14" t="str">
        <f aca="false">IF($D375&lt;&gt;1,"",IF($G375="ROKS",SUMIFS(TblApplications[Besoin ROKS RAM (Go)],TblApplications[Cluster ROKS cible],$F375,TblApplications[Action],"À migrer",TblApplications[Déjà incluse ROKS],"Non",TblApplications[Mois prov (calc)],"&lt;="&amp;$E375),SUMIFS(TblApplications[RAM IKS libérable (Go)],TblApplications[Cluster IKS source],$F375,TblApplications[Mois lib (calc)],"&lt;="&amp;$E375)))</f>
        <v/>
      </c>
      <c r="R375" s="14" t="str">
        <f aca="false">IF($D375&lt;&gt;1,"",IF($G375="ROKS",$L375+$P375,IF($AI375=1,0,MAX($N375,$L375-$P375))))</f>
        <v/>
      </c>
      <c r="S375" s="14" t="str">
        <f aca="false">IF($D375&lt;&gt;1,"",IF($G375="ROKS",$M375+$Q375,IF($AI375=1,0,MAX($O375,$M375-$Q375))))</f>
        <v/>
      </c>
      <c r="T375" s="14" t="str">
        <f aca="false">IF($D375&lt;&gt;1,"",IF($AI375=1,0,MAX($J375,ROUNDUP(MAX($R375/$H375,$S375/$I375),0))))</f>
        <v/>
      </c>
      <c r="U375" s="14" t="str">
        <f aca="false">IF($D375&lt;&gt;1,"",IF(p_mode="Nœud",$T375*$H375,$R375))</f>
        <v/>
      </c>
      <c r="V375" s="14" t="str">
        <f aca="false">IF($D375&lt;&gt;1,"",IF(p_mode="Nœud",$T375*$I375,$S375))</f>
        <v/>
      </c>
      <c r="W375" s="84" t="str">
        <f aca="false">IF($D375&lt;&gt;1,"",IF(p_mode="Nœud",$T375*$K375,$R375*IF($G375="IKS",p_iks_cpu,p_roks_cpu)+$S375*IF($G375="IKS",p_iks_ram,p_roks_ram))*p_facteur)</f>
        <v/>
      </c>
      <c r="X375" s="14" t="str">
        <f aca="false">IF($D375&lt;&gt;1,"",IF($G375="ROKS",$R375,IF($AI375=1,0,MAX($N375,$L375-SUMIFS(TblApplications[CPU IKS libérable (vCPU)],TblApplications[Cluster IKS source],$F375,TblApplications[Action],"À migrer",TblApplications[Mois prov (calc)],"&lt;="&amp;$E375)-SUMIFS(TblApplications[CPU IKS libérable (vCPU)],TblApplications[Cluster IKS source],$F375,TblApplications[Action],"À décommissionner",TblApplications[Mois lib (calc)],"&lt;="&amp;$E375)))))</f>
        <v/>
      </c>
      <c r="Y375" s="14" t="str">
        <f aca="false">IF($D375&lt;&gt;1,"",IF($G375="ROKS",$S375,IF($AI375=1,0,MAX($O375,$M375-SUMIFS(TblApplications[RAM IKS libérable (Go)],TblApplications[Cluster IKS source],$F375,TblApplications[Action],"À migrer",TblApplications[Mois prov (calc)],"&lt;="&amp;$E375)-SUMIFS(TblApplications[RAM IKS libérable (Go)],TblApplications[Cluster IKS source],$F375,TblApplications[Action],"À décommissionner",TblApplications[Mois lib (calc)],"&lt;="&amp;$E375)))))</f>
        <v/>
      </c>
      <c r="Z375" s="14" t="str">
        <f aca="false">IF($D375&lt;&gt;1,"",IF($AI375=1,0,MAX($J375,ROUNDUP(MAX($X375/$H375,$Y375/$I375),0))))</f>
        <v/>
      </c>
      <c r="AA375" s="84" t="str">
        <f aca="false">IF($D375&lt;&gt;1,"",IF(p_mode="Nœud",$Z375*$K375,$X375*IF($G375="IKS",p_iks_cpu,p_roks_cpu)+$Y375*IF($G375="IKS",p_iks_ram,p_roks_ram))*p_facteur)</f>
        <v/>
      </c>
      <c r="AB375" s="14" t="str">
        <f aca="false">IF($D375&lt;&gt;1,"",MAX($J375,ROUNDUP(MAX($L375/$H375,$M375/$I375),0)))</f>
        <v/>
      </c>
      <c r="AC375" s="84" t="str">
        <f aca="false">IF($D375&lt;&gt;1,"",IF(p_mode="Nœud",$AB375*$K375,$L375*IF($G375="IKS",p_iks_cpu,p_roks_cpu)+$M375*IF($G375="IKS",p_iks_ram,p_roks_ram))*p_facteur)</f>
        <v/>
      </c>
      <c r="AD375" s="14" t="str">
        <f aca="false">IF($D375&lt;&gt;1,"",IF(AND($G375="IKS",$AI375&lt;&gt;1,OR($L375-$P375&lt;$N375,$M375-$Q375&lt;$O375)),1,0))</f>
        <v/>
      </c>
      <c r="AE375" s="14" t="str">
        <f aca="false">IF($D375&lt;&gt;1,"",IF(AND($G375="ROKS",$T375&gt;p_maxworkers),1,0))</f>
        <v/>
      </c>
      <c r="AF375" s="14" t="str">
        <f aca="false">IF($D375&lt;&gt;1,"",IF(INDEX(TblClusters[Environnement],$B375)="","(vide)",INDEX(TblClusters[Environnement],$B375)))</f>
        <v/>
      </c>
      <c r="AG375" s="14" t="str">
        <f aca="false">IF($D375&lt;&gt;1,"",$R375+p_poidsram*$S375)</f>
        <v/>
      </c>
      <c r="AH375" s="14" t="str">
        <f aca="false">IF($D375&lt;&gt;1,"",IFERROR($W375/$AG375,0))</f>
        <v/>
      </c>
      <c r="AI375" s="14" t="str">
        <f aca="false">IF($D375&lt;&gt;1,"",IF(AND($G375="IKS",ISNUMBER(INDEX(TblClusters[Fermeture retenue],$B375))),IF($E375&gt;=INDEX(TblClusters[Fermeture retenue],$B375),1,0),0))</f>
        <v/>
      </c>
    </row>
    <row r="376" customFormat="false" ht="15" hidden="false" customHeight="false" outlineLevel="0" collapsed="false">
      <c r="A376" s="14" t="n">
        <v>371</v>
      </c>
      <c r="B376" s="14" t="n">
        <f aca="false">INT(($A376-1)/36)+1</f>
        <v>11</v>
      </c>
      <c r="C376" s="14" t="n">
        <f aca="false">MOD($A376-1,36)+1</f>
        <v>11</v>
      </c>
      <c r="D376" s="14" t="n">
        <f aca="false">IF($C376&gt;p_horizon,0,IFERROR(IF(AND(INDEX(TblClusters[Cluster],$B376)&lt;&gt;"",ISNUMBER(INDEX(TblClusters[CPU initial (vCPU)],$B376)),ISNUMBER(INDEX(TblClusters[CPU min (vCPU)],$B376)),OR(INDEX(TblClusters[Plateforme],$B376)="IKS",INDEX(TblClusters[Plateforme],$B376)="ROKS")),1,0),0))</f>
        <v>0</v>
      </c>
      <c r="E376" s="83" t="str">
        <f aca="false">IF($D376=1,EDATE(p_debut,$C376-1),"")</f>
        <v/>
      </c>
      <c r="F376" s="14" t="str">
        <f aca="false">IF($D376=1,INDEX(TblClusters[Cluster],$B376),"")</f>
        <v/>
      </c>
      <c r="G376" s="14" t="str">
        <f aca="false">IF($D376=1,INDEX(TblClusters[Plateforme],$B376),"")</f>
        <v/>
      </c>
      <c r="H376" s="14" t="str">
        <f aca="false">IF($D376=1,INDEX(TblClusters[vCPU par nœud],$B376),"")</f>
        <v/>
      </c>
      <c r="I376" s="14" t="str">
        <f aca="false">IF($D376=1,INDEX(TblClusters[RAM par nœud (Go)],$B376),"")</f>
        <v/>
      </c>
      <c r="J376" s="14" t="str">
        <f aca="false">IF($D376=1,INDEX(TblClusters[Workers min],$B376),"")</f>
        <v/>
      </c>
      <c r="K376" s="84" t="str">
        <f aca="false">IF($D376=1,INDEX(TblClusters[Tarif par nœud],$B376),"")</f>
        <v/>
      </c>
      <c r="L376" s="14" t="str">
        <f aca="false">IF($D376=1,INDEX(TblClusters[CPU initial (vCPU)],$B376),"")</f>
        <v/>
      </c>
      <c r="M376" s="14" t="str">
        <f aca="false">IF($D376=1,INDEX(TblClusters[RAM initiale (Go)],$B376),"")</f>
        <v/>
      </c>
      <c r="N376" s="14" t="str">
        <f aca="false">IF($D376=1,INDEX(TblClusters[CPU min (vCPU)],$B376),"")</f>
        <v/>
      </c>
      <c r="O376" s="14" t="str">
        <f aca="false">IF($D376=1,INDEX(TblClusters[RAM min (Go)],$B376),"")</f>
        <v/>
      </c>
      <c r="P376" s="14" t="str">
        <f aca="false">IF($D376&lt;&gt;1,"",IF($G376="ROKS",SUMIFS(TblApplications[Besoin ROKS CPU (vCPU)],TblApplications[Cluster ROKS cible],$F376,TblApplications[Action],"À migrer",TblApplications[Déjà incluse ROKS],"Non",TblApplications[Mois prov (calc)],"&lt;="&amp;$E376),SUMIFS(TblApplications[CPU IKS libérable (vCPU)],TblApplications[Cluster IKS source],$F376,TblApplications[Mois lib (calc)],"&lt;="&amp;$E376)))</f>
        <v/>
      </c>
      <c r="Q376" s="14" t="str">
        <f aca="false">IF($D376&lt;&gt;1,"",IF($G376="ROKS",SUMIFS(TblApplications[Besoin ROKS RAM (Go)],TblApplications[Cluster ROKS cible],$F376,TblApplications[Action],"À migrer",TblApplications[Déjà incluse ROKS],"Non",TblApplications[Mois prov (calc)],"&lt;="&amp;$E376),SUMIFS(TblApplications[RAM IKS libérable (Go)],TblApplications[Cluster IKS source],$F376,TblApplications[Mois lib (calc)],"&lt;="&amp;$E376)))</f>
        <v/>
      </c>
      <c r="R376" s="14" t="str">
        <f aca="false">IF($D376&lt;&gt;1,"",IF($G376="ROKS",$L376+$P376,IF($AI376=1,0,MAX($N376,$L376-$P376))))</f>
        <v/>
      </c>
      <c r="S376" s="14" t="str">
        <f aca="false">IF($D376&lt;&gt;1,"",IF($G376="ROKS",$M376+$Q376,IF($AI376=1,0,MAX($O376,$M376-$Q376))))</f>
        <v/>
      </c>
      <c r="T376" s="14" t="str">
        <f aca="false">IF($D376&lt;&gt;1,"",IF($AI376=1,0,MAX($J376,ROUNDUP(MAX($R376/$H376,$S376/$I376),0))))</f>
        <v/>
      </c>
      <c r="U376" s="14" t="str">
        <f aca="false">IF($D376&lt;&gt;1,"",IF(p_mode="Nœud",$T376*$H376,$R376))</f>
        <v/>
      </c>
      <c r="V376" s="14" t="str">
        <f aca="false">IF($D376&lt;&gt;1,"",IF(p_mode="Nœud",$T376*$I376,$S376))</f>
        <v/>
      </c>
      <c r="W376" s="84" t="str">
        <f aca="false">IF($D376&lt;&gt;1,"",IF(p_mode="Nœud",$T376*$K376,$R376*IF($G376="IKS",p_iks_cpu,p_roks_cpu)+$S376*IF($G376="IKS",p_iks_ram,p_roks_ram))*p_facteur)</f>
        <v/>
      </c>
      <c r="X376" s="14" t="str">
        <f aca="false">IF($D376&lt;&gt;1,"",IF($G376="ROKS",$R376,IF($AI376=1,0,MAX($N376,$L376-SUMIFS(TblApplications[CPU IKS libérable (vCPU)],TblApplications[Cluster IKS source],$F376,TblApplications[Action],"À migrer",TblApplications[Mois prov (calc)],"&lt;="&amp;$E376)-SUMIFS(TblApplications[CPU IKS libérable (vCPU)],TblApplications[Cluster IKS source],$F376,TblApplications[Action],"À décommissionner",TblApplications[Mois lib (calc)],"&lt;="&amp;$E376)))))</f>
        <v/>
      </c>
      <c r="Y376" s="14" t="str">
        <f aca="false">IF($D376&lt;&gt;1,"",IF($G376="ROKS",$S376,IF($AI376=1,0,MAX($O376,$M376-SUMIFS(TblApplications[RAM IKS libérable (Go)],TblApplications[Cluster IKS source],$F376,TblApplications[Action],"À migrer",TblApplications[Mois prov (calc)],"&lt;="&amp;$E376)-SUMIFS(TblApplications[RAM IKS libérable (Go)],TblApplications[Cluster IKS source],$F376,TblApplications[Action],"À décommissionner",TblApplications[Mois lib (calc)],"&lt;="&amp;$E376)))))</f>
        <v/>
      </c>
      <c r="Z376" s="14" t="str">
        <f aca="false">IF($D376&lt;&gt;1,"",IF($AI376=1,0,MAX($J376,ROUNDUP(MAX($X376/$H376,$Y376/$I376),0))))</f>
        <v/>
      </c>
      <c r="AA376" s="84" t="str">
        <f aca="false">IF($D376&lt;&gt;1,"",IF(p_mode="Nœud",$Z376*$K376,$X376*IF($G376="IKS",p_iks_cpu,p_roks_cpu)+$Y376*IF($G376="IKS",p_iks_ram,p_roks_ram))*p_facteur)</f>
        <v/>
      </c>
      <c r="AB376" s="14" t="str">
        <f aca="false">IF($D376&lt;&gt;1,"",MAX($J376,ROUNDUP(MAX($L376/$H376,$M376/$I376),0)))</f>
        <v/>
      </c>
      <c r="AC376" s="84" t="str">
        <f aca="false">IF($D376&lt;&gt;1,"",IF(p_mode="Nœud",$AB376*$K376,$L376*IF($G376="IKS",p_iks_cpu,p_roks_cpu)+$M376*IF($G376="IKS",p_iks_ram,p_roks_ram))*p_facteur)</f>
        <v/>
      </c>
      <c r="AD376" s="14" t="str">
        <f aca="false">IF($D376&lt;&gt;1,"",IF(AND($G376="IKS",$AI376&lt;&gt;1,OR($L376-$P376&lt;$N376,$M376-$Q376&lt;$O376)),1,0))</f>
        <v/>
      </c>
      <c r="AE376" s="14" t="str">
        <f aca="false">IF($D376&lt;&gt;1,"",IF(AND($G376="ROKS",$T376&gt;p_maxworkers),1,0))</f>
        <v/>
      </c>
      <c r="AF376" s="14" t="str">
        <f aca="false">IF($D376&lt;&gt;1,"",IF(INDEX(TblClusters[Environnement],$B376)="","(vide)",INDEX(TblClusters[Environnement],$B376)))</f>
        <v/>
      </c>
      <c r="AG376" s="14" t="str">
        <f aca="false">IF($D376&lt;&gt;1,"",$R376+p_poidsram*$S376)</f>
        <v/>
      </c>
      <c r="AH376" s="14" t="str">
        <f aca="false">IF($D376&lt;&gt;1,"",IFERROR($W376/$AG376,0))</f>
        <v/>
      </c>
      <c r="AI376" s="14" t="str">
        <f aca="false">IF($D376&lt;&gt;1,"",IF(AND($G376="IKS",ISNUMBER(INDEX(TblClusters[Fermeture retenue],$B376))),IF($E376&gt;=INDEX(TblClusters[Fermeture retenue],$B376),1,0),0))</f>
        <v/>
      </c>
    </row>
    <row r="377" customFormat="false" ht="15" hidden="false" customHeight="false" outlineLevel="0" collapsed="false">
      <c r="A377" s="14" t="n">
        <v>372</v>
      </c>
      <c r="B377" s="14" t="n">
        <f aca="false">INT(($A377-1)/36)+1</f>
        <v>11</v>
      </c>
      <c r="C377" s="14" t="n">
        <f aca="false">MOD($A377-1,36)+1</f>
        <v>12</v>
      </c>
      <c r="D377" s="14" t="n">
        <f aca="false">IF($C377&gt;p_horizon,0,IFERROR(IF(AND(INDEX(TblClusters[Cluster],$B377)&lt;&gt;"",ISNUMBER(INDEX(TblClusters[CPU initial (vCPU)],$B377)),ISNUMBER(INDEX(TblClusters[CPU min (vCPU)],$B377)),OR(INDEX(TblClusters[Plateforme],$B377)="IKS",INDEX(TblClusters[Plateforme],$B377)="ROKS")),1,0),0))</f>
        <v>0</v>
      </c>
      <c r="E377" s="83" t="str">
        <f aca="false">IF($D377=1,EDATE(p_debut,$C377-1),"")</f>
        <v/>
      </c>
      <c r="F377" s="14" t="str">
        <f aca="false">IF($D377=1,INDEX(TblClusters[Cluster],$B377),"")</f>
        <v/>
      </c>
      <c r="G377" s="14" t="str">
        <f aca="false">IF($D377=1,INDEX(TblClusters[Plateforme],$B377),"")</f>
        <v/>
      </c>
      <c r="H377" s="14" t="str">
        <f aca="false">IF($D377=1,INDEX(TblClusters[vCPU par nœud],$B377),"")</f>
        <v/>
      </c>
      <c r="I377" s="14" t="str">
        <f aca="false">IF($D377=1,INDEX(TblClusters[RAM par nœud (Go)],$B377),"")</f>
        <v/>
      </c>
      <c r="J377" s="14" t="str">
        <f aca="false">IF($D377=1,INDEX(TblClusters[Workers min],$B377),"")</f>
        <v/>
      </c>
      <c r="K377" s="84" t="str">
        <f aca="false">IF($D377=1,INDEX(TblClusters[Tarif par nœud],$B377),"")</f>
        <v/>
      </c>
      <c r="L377" s="14" t="str">
        <f aca="false">IF($D377=1,INDEX(TblClusters[CPU initial (vCPU)],$B377),"")</f>
        <v/>
      </c>
      <c r="M377" s="14" t="str">
        <f aca="false">IF($D377=1,INDEX(TblClusters[RAM initiale (Go)],$B377),"")</f>
        <v/>
      </c>
      <c r="N377" s="14" t="str">
        <f aca="false">IF($D377=1,INDEX(TblClusters[CPU min (vCPU)],$B377),"")</f>
        <v/>
      </c>
      <c r="O377" s="14" t="str">
        <f aca="false">IF($D377=1,INDEX(TblClusters[RAM min (Go)],$B377),"")</f>
        <v/>
      </c>
      <c r="P377" s="14" t="str">
        <f aca="false">IF($D377&lt;&gt;1,"",IF($G377="ROKS",SUMIFS(TblApplications[Besoin ROKS CPU (vCPU)],TblApplications[Cluster ROKS cible],$F377,TblApplications[Action],"À migrer",TblApplications[Déjà incluse ROKS],"Non",TblApplications[Mois prov (calc)],"&lt;="&amp;$E377),SUMIFS(TblApplications[CPU IKS libérable (vCPU)],TblApplications[Cluster IKS source],$F377,TblApplications[Mois lib (calc)],"&lt;="&amp;$E377)))</f>
        <v/>
      </c>
      <c r="Q377" s="14" t="str">
        <f aca="false">IF($D377&lt;&gt;1,"",IF($G377="ROKS",SUMIFS(TblApplications[Besoin ROKS RAM (Go)],TblApplications[Cluster ROKS cible],$F377,TblApplications[Action],"À migrer",TblApplications[Déjà incluse ROKS],"Non",TblApplications[Mois prov (calc)],"&lt;="&amp;$E377),SUMIFS(TblApplications[RAM IKS libérable (Go)],TblApplications[Cluster IKS source],$F377,TblApplications[Mois lib (calc)],"&lt;="&amp;$E377)))</f>
        <v/>
      </c>
      <c r="R377" s="14" t="str">
        <f aca="false">IF($D377&lt;&gt;1,"",IF($G377="ROKS",$L377+$P377,IF($AI377=1,0,MAX($N377,$L377-$P377))))</f>
        <v/>
      </c>
      <c r="S377" s="14" t="str">
        <f aca="false">IF($D377&lt;&gt;1,"",IF($G377="ROKS",$M377+$Q377,IF($AI377=1,0,MAX($O377,$M377-$Q377))))</f>
        <v/>
      </c>
      <c r="T377" s="14" t="str">
        <f aca="false">IF($D377&lt;&gt;1,"",IF($AI377=1,0,MAX($J377,ROUNDUP(MAX($R377/$H377,$S377/$I377),0))))</f>
        <v/>
      </c>
      <c r="U377" s="14" t="str">
        <f aca="false">IF($D377&lt;&gt;1,"",IF(p_mode="Nœud",$T377*$H377,$R377))</f>
        <v/>
      </c>
      <c r="V377" s="14" t="str">
        <f aca="false">IF($D377&lt;&gt;1,"",IF(p_mode="Nœud",$T377*$I377,$S377))</f>
        <v/>
      </c>
      <c r="W377" s="84" t="str">
        <f aca="false">IF($D377&lt;&gt;1,"",IF(p_mode="Nœud",$T377*$K377,$R377*IF($G377="IKS",p_iks_cpu,p_roks_cpu)+$S377*IF($G377="IKS",p_iks_ram,p_roks_ram))*p_facteur)</f>
        <v/>
      </c>
      <c r="X377" s="14" t="str">
        <f aca="false">IF($D377&lt;&gt;1,"",IF($G377="ROKS",$R377,IF($AI377=1,0,MAX($N377,$L377-SUMIFS(TblApplications[CPU IKS libérable (vCPU)],TblApplications[Cluster IKS source],$F377,TblApplications[Action],"À migrer",TblApplications[Mois prov (calc)],"&lt;="&amp;$E377)-SUMIFS(TblApplications[CPU IKS libérable (vCPU)],TblApplications[Cluster IKS source],$F377,TblApplications[Action],"À décommissionner",TblApplications[Mois lib (calc)],"&lt;="&amp;$E377)))))</f>
        <v/>
      </c>
      <c r="Y377" s="14" t="str">
        <f aca="false">IF($D377&lt;&gt;1,"",IF($G377="ROKS",$S377,IF($AI377=1,0,MAX($O377,$M377-SUMIFS(TblApplications[RAM IKS libérable (Go)],TblApplications[Cluster IKS source],$F377,TblApplications[Action],"À migrer",TblApplications[Mois prov (calc)],"&lt;="&amp;$E377)-SUMIFS(TblApplications[RAM IKS libérable (Go)],TblApplications[Cluster IKS source],$F377,TblApplications[Action],"À décommissionner",TblApplications[Mois lib (calc)],"&lt;="&amp;$E377)))))</f>
        <v/>
      </c>
      <c r="Z377" s="14" t="str">
        <f aca="false">IF($D377&lt;&gt;1,"",IF($AI377=1,0,MAX($J377,ROUNDUP(MAX($X377/$H377,$Y377/$I377),0))))</f>
        <v/>
      </c>
      <c r="AA377" s="84" t="str">
        <f aca="false">IF($D377&lt;&gt;1,"",IF(p_mode="Nœud",$Z377*$K377,$X377*IF($G377="IKS",p_iks_cpu,p_roks_cpu)+$Y377*IF($G377="IKS",p_iks_ram,p_roks_ram))*p_facteur)</f>
        <v/>
      </c>
      <c r="AB377" s="14" t="str">
        <f aca="false">IF($D377&lt;&gt;1,"",MAX($J377,ROUNDUP(MAX($L377/$H377,$M377/$I377),0)))</f>
        <v/>
      </c>
      <c r="AC377" s="84" t="str">
        <f aca="false">IF($D377&lt;&gt;1,"",IF(p_mode="Nœud",$AB377*$K377,$L377*IF($G377="IKS",p_iks_cpu,p_roks_cpu)+$M377*IF($G377="IKS",p_iks_ram,p_roks_ram))*p_facteur)</f>
        <v/>
      </c>
      <c r="AD377" s="14" t="str">
        <f aca="false">IF($D377&lt;&gt;1,"",IF(AND($G377="IKS",$AI377&lt;&gt;1,OR($L377-$P377&lt;$N377,$M377-$Q377&lt;$O377)),1,0))</f>
        <v/>
      </c>
      <c r="AE377" s="14" t="str">
        <f aca="false">IF($D377&lt;&gt;1,"",IF(AND($G377="ROKS",$T377&gt;p_maxworkers),1,0))</f>
        <v/>
      </c>
      <c r="AF377" s="14" t="str">
        <f aca="false">IF($D377&lt;&gt;1,"",IF(INDEX(TblClusters[Environnement],$B377)="","(vide)",INDEX(TblClusters[Environnement],$B377)))</f>
        <v/>
      </c>
      <c r="AG377" s="14" t="str">
        <f aca="false">IF($D377&lt;&gt;1,"",$R377+p_poidsram*$S377)</f>
        <v/>
      </c>
      <c r="AH377" s="14" t="str">
        <f aca="false">IF($D377&lt;&gt;1,"",IFERROR($W377/$AG377,0))</f>
        <v/>
      </c>
      <c r="AI377" s="14" t="str">
        <f aca="false">IF($D377&lt;&gt;1,"",IF(AND($G377="IKS",ISNUMBER(INDEX(TblClusters[Fermeture retenue],$B377))),IF($E377&gt;=INDEX(TblClusters[Fermeture retenue],$B377),1,0),0))</f>
        <v/>
      </c>
    </row>
    <row r="378" customFormat="false" ht="15" hidden="false" customHeight="false" outlineLevel="0" collapsed="false">
      <c r="A378" s="14" t="n">
        <v>373</v>
      </c>
      <c r="B378" s="14" t="n">
        <f aca="false">INT(($A378-1)/36)+1</f>
        <v>11</v>
      </c>
      <c r="C378" s="14" t="n">
        <f aca="false">MOD($A378-1,36)+1</f>
        <v>13</v>
      </c>
      <c r="D378" s="14" t="n">
        <f aca="false">IF($C378&gt;p_horizon,0,IFERROR(IF(AND(INDEX(TblClusters[Cluster],$B378)&lt;&gt;"",ISNUMBER(INDEX(TblClusters[CPU initial (vCPU)],$B378)),ISNUMBER(INDEX(TblClusters[CPU min (vCPU)],$B378)),OR(INDEX(TblClusters[Plateforme],$B378)="IKS",INDEX(TblClusters[Plateforme],$B378)="ROKS")),1,0),0))</f>
        <v>0</v>
      </c>
      <c r="E378" s="83" t="str">
        <f aca="false">IF($D378=1,EDATE(p_debut,$C378-1),"")</f>
        <v/>
      </c>
      <c r="F378" s="14" t="str">
        <f aca="false">IF($D378=1,INDEX(TblClusters[Cluster],$B378),"")</f>
        <v/>
      </c>
      <c r="G378" s="14" t="str">
        <f aca="false">IF($D378=1,INDEX(TblClusters[Plateforme],$B378),"")</f>
        <v/>
      </c>
      <c r="H378" s="14" t="str">
        <f aca="false">IF($D378=1,INDEX(TblClusters[vCPU par nœud],$B378),"")</f>
        <v/>
      </c>
      <c r="I378" s="14" t="str">
        <f aca="false">IF($D378=1,INDEX(TblClusters[RAM par nœud (Go)],$B378),"")</f>
        <v/>
      </c>
      <c r="J378" s="14" t="str">
        <f aca="false">IF($D378=1,INDEX(TblClusters[Workers min],$B378),"")</f>
        <v/>
      </c>
      <c r="K378" s="84" t="str">
        <f aca="false">IF($D378=1,INDEX(TblClusters[Tarif par nœud],$B378),"")</f>
        <v/>
      </c>
      <c r="L378" s="14" t="str">
        <f aca="false">IF($D378=1,INDEX(TblClusters[CPU initial (vCPU)],$B378),"")</f>
        <v/>
      </c>
      <c r="M378" s="14" t="str">
        <f aca="false">IF($D378=1,INDEX(TblClusters[RAM initiale (Go)],$B378),"")</f>
        <v/>
      </c>
      <c r="N378" s="14" t="str">
        <f aca="false">IF($D378=1,INDEX(TblClusters[CPU min (vCPU)],$B378),"")</f>
        <v/>
      </c>
      <c r="O378" s="14" t="str">
        <f aca="false">IF($D378=1,INDEX(TblClusters[RAM min (Go)],$B378),"")</f>
        <v/>
      </c>
      <c r="P378" s="14" t="str">
        <f aca="false">IF($D378&lt;&gt;1,"",IF($G378="ROKS",SUMIFS(TblApplications[Besoin ROKS CPU (vCPU)],TblApplications[Cluster ROKS cible],$F378,TblApplications[Action],"À migrer",TblApplications[Déjà incluse ROKS],"Non",TblApplications[Mois prov (calc)],"&lt;="&amp;$E378),SUMIFS(TblApplications[CPU IKS libérable (vCPU)],TblApplications[Cluster IKS source],$F378,TblApplications[Mois lib (calc)],"&lt;="&amp;$E378)))</f>
        <v/>
      </c>
      <c r="Q378" s="14" t="str">
        <f aca="false">IF($D378&lt;&gt;1,"",IF($G378="ROKS",SUMIFS(TblApplications[Besoin ROKS RAM (Go)],TblApplications[Cluster ROKS cible],$F378,TblApplications[Action],"À migrer",TblApplications[Déjà incluse ROKS],"Non",TblApplications[Mois prov (calc)],"&lt;="&amp;$E378),SUMIFS(TblApplications[RAM IKS libérable (Go)],TblApplications[Cluster IKS source],$F378,TblApplications[Mois lib (calc)],"&lt;="&amp;$E378)))</f>
        <v/>
      </c>
      <c r="R378" s="14" t="str">
        <f aca="false">IF($D378&lt;&gt;1,"",IF($G378="ROKS",$L378+$P378,IF($AI378=1,0,MAX($N378,$L378-$P378))))</f>
        <v/>
      </c>
      <c r="S378" s="14" t="str">
        <f aca="false">IF($D378&lt;&gt;1,"",IF($G378="ROKS",$M378+$Q378,IF($AI378=1,0,MAX($O378,$M378-$Q378))))</f>
        <v/>
      </c>
      <c r="T378" s="14" t="str">
        <f aca="false">IF($D378&lt;&gt;1,"",IF($AI378=1,0,MAX($J378,ROUNDUP(MAX($R378/$H378,$S378/$I378),0))))</f>
        <v/>
      </c>
      <c r="U378" s="14" t="str">
        <f aca="false">IF($D378&lt;&gt;1,"",IF(p_mode="Nœud",$T378*$H378,$R378))</f>
        <v/>
      </c>
      <c r="V378" s="14" t="str">
        <f aca="false">IF($D378&lt;&gt;1,"",IF(p_mode="Nœud",$T378*$I378,$S378))</f>
        <v/>
      </c>
      <c r="W378" s="84" t="str">
        <f aca="false">IF($D378&lt;&gt;1,"",IF(p_mode="Nœud",$T378*$K378,$R378*IF($G378="IKS",p_iks_cpu,p_roks_cpu)+$S378*IF($G378="IKS",p_iks_ram,p_roks_ram))*p_facteur)</f>
        <v/>
      </c>
      <c r="X378" s="14" t="str">
        <f aca="false">IF($D378&lt;&gt;1,"",IF($G378="ROKS",$R378,IF($AI378=1,0,MAX($N378,$L378-SUMIFS(TblApplications[CPU IKS libérable (vCPU)],TblApplications[Cluster IKS source],$F378,TblApplications[Action],"À migrer",TblApplications[Mois prov (calc)],"&lt;="&amp;$E378)-SUMIFS(TblApplications[CPU IKS libérable (vCPU)],TblApplications[Cluster IKS source],$F378,TblApplications[Action],"À décommissionner",TblApplications[Mois lib (calc)],"&lt;="&amp;$E378)))))</f>
        <v/>
      </c>
      <c r="Y378" s="14" t="str">
        <f aca="false">IF($D378&lt;&gt;1,"",IF($G378="ROKS",$S378,IF($AI378=1,0,MAX($O378,$M378-SUMIFS(TblApplications[RAM IKS libérable (Go)],TblApplications[Cluster IKS source],$F378,TblApplications[Action],"À migrer",TblApplications[Mois prov (calc)],"&lt;="&amp;$E378)-SUMIFS(TblApplications[RAM IKS libérable (Go)],TblApplications[Cluster IKS source],$F378,TblApplications[Action],"À décommissionner",TblApplications[Mois lib (calc)],"&lt;="&amp;$E378)))))</f>
        <v/>
      </c>
      <c r="Z378" s="14" t="str">
        <f aca="false">IF($D378&lt;&gt;1,"",IF($AI378=1,0,MAX($J378,ROUNDUP(MAX($X378/$H378,$Y378/$I378),0))))</f>
        <v/>
      </c>
      <c r="AA378" s="84" t="str">
        <f aca="false">IF($D378&lt;&gt;1,"",IF(p_mode="Nœud",$Z378*$K378,$X378*IF($G378="IKS",p_iks_cpu,p_roks_cpu)+$Y378*IF($G378="IKS",p_iks_ram,p_roks_ram))*p_facteur)</f>
        <v/>
      </c>
      <c r="AB378" s="14" t="str">
        <f aca="false">IF($D378&lt;&gt;1,"",MAX($J378,ROUNDUP(MAX($L378/$H378,$M378/$I378),0)))</f>
        <v/>
      </c>
      <c r="AC378" s="84" t="str">
        <f aca="false">IF($D378&lt;&gt;1,"",IF(p_mode="Nœud",$AB378*$K378,$L378*IF($G378="IKS",p_iks_cpu,p_roks_cpu)+$M378*IF($G378="IKS",p_iks_ram,p_roks_ram))*p_facteur)</f>
        <v/>
      </c>
      <c r="AD378" s="14" t="str">
        <f aca="false">IF($D378&lt;&gt;1,"",IF(AND($G378="IKS",$AI378&lt;&gt;1,OR($L378-$P378&lt;$N378,$M378-$Q378&lt;$O378)),1,0))</f>
        <v/>
      </c>
      <c r="AE378" s="14" t="str">
        <f aca="false">IF($D378&lt;&gt;1,"",IF(AND($G378="ROKS",$T378&gt;p_maxworkers),1,0))</f>
        <v/>
      </c>
      <c r="AF378" s="14" t="str">
        <f aca="false">IF($D378&lt;&gt;1,"",IF(INDEX(TblClusters[Environnement],$B378)="","(vide)",INDEX(TblClusters[Environnement],$B378)))</f>
        <v/>
      </c>
      <c r="AG378" s="14" t="str">
        <f aca="false">IF($D378&lt;&gt;1,"",$R378+p_poidsram*$S378)</f>
        <v/>
      </c>
      <c r="AH378" s="14" t="str">
        <f aca="false">IF($D378&lt;&gt;1,"",IFERROR($W378/$AG378,0))</f>
        <v/>
      </c>
      <c r="AI378" s="14" t="str">
        <f aca="false">IF($D378&lt;&gt;1,"",IF(AND($G378="IKS",ISNUMBER(INDEX(TblClusters[Fermeture retenue],$B378))),IF($E378&gt;=INDEX(TblClusters[Fermeture retenue],$B378),1,0),0))</f>
        <v/>
      </c>
    </row>
    <row r="379" customFormat="false" ht="15" hidden="false" customHeight="false" outlineLevel="0" collapsed="false">
      <c r="A379" s="14" t="n">
        <v>374</v>
      </c>
      <c r="B379" s="14" t="n">
        <f aca="false">INT(($A379-1)/36)+1</f>
        <v>11</v>
      </c>
      <c r="C379" s="14" t="n">
        <f aca="false">MOD($A379-1,36)+1</f>
        <v>14</v>
      </c>
      <c r="D379" s="14" t="n">
        <f aca="false">IF($C379&gt;p_horizon,0,IFERROR(IF(AND(INDEX(TblClusters[Cluster],$B379)&lt;&gt;"",ISNUMBER(INDEX(TblClusters[CPU initial (vCPU)],$B379)),ISNUMBER(INDEX(TblClusters[CPU min (vCPU)],$B379)),OR(INDEX(TblClusters[Plateforme],$B379)="IKS",INDEX(TblClusters[Plateforme],$B379)="ROKS")),1,0),0))</f>
        <v>0</v>
      </c>
      <c r="E379" s="83" t="str">
        <f aca="false">IF($D379=1,EDATE(p_debut,$C379-1),"")</f>
        <v/>
      </c>
      <c r="F379" s="14" t="str">
        <f aca="false">IF($D379=1,INDEX(TblClusters[Cluster],$B379),"")</f>
        <v/>
      </c>
      <c r="G379" s="14" t="str">
        <f aca="false">IF($D379=1,INDEX(TblClusters[Plateforme],$B379),"")</f>
        <v/>
      </c>
      <c r="H379" s="14" t="str">
        <f aca="false">IF($D379=1,INDEX(TblClusters[vCPU par nœud],$B379),"")</f>
        <v/>
      </c>
      <c r="I379" s="14" t="str">
        <f aca="false">IF($D379=1,INDEX(TblClusters[RAM par nœud (Go)],$B379),"")</f>
        <v/>
      </c>
      <c r="J379" s="14" t="str">
        <f aca="false">IF($D379=1,INDEX(TblClusters[Workers min],$B379),"")</f>
        <v/>
      </c>
      <c r="K379" s="84" t="str">
        <f aca="false">IF($D379=1,INDEX(TblClusters[Tarif par nœud],$B379),"")</f>
        <v/>
      </c>
      <c r="L379" s="14" t="str">
        <f aca="false">IF($D379=1,INDEX(TblClusters[CPU initial (vCPU)],$B379),"")</f>
        <v/>
      </c>
      <c r="M379" s="14" t="str">
        <f aca="false">IF($D379=1,INDEX(TblClusters[RAM initiale (Go)],$B379),"")</f>
        <v/>
      </c>
      <c r="N379" s="14" t="str">
        <f aca="false">IF($D379=1,INDEX(TblClusters[CPU min (vCPU)],$B379),"")</f>
        <v/>
      </c>
      <c r="O379" s="14" t="str">
        <f aca="false">IF($D379=1,INDEX(TblClusters[RAM min (Go)],$B379),"")</f>
        <v/>
      </c>
      <c r="P379" s="14" t="str">
        <f aca="false">IF($D379&lt;&gt;1,"",IF($G379="ROKS",SUMIFS(TblApplications[Besoin ROKS CPU (vCPU)],TblApplications[Cluster ROKS cible],$F379,TblApplications[Action],"À migrer",TblApplications[Déjà incluse ROKS],"Non",TblApplications[Mois prov (calc)],"&lt;="&amp;$E379),SUMIFS(TblApplications[CPU IKS libérable (vCPU)],TblApplications[Cluster IKS source],$F379,TblApplications[Mois lib (calc)],"&lt;="&amp;$E379)))</f>
        <v/>
      </c>
      <c r="Q379" s="14" t="str">
        <f aca="false">IF($D379&lt;&gt;1,"",IF($G379="ROKS",SUMIFS(TblApplications[Besoin ROKS RAM (Go)],TblApplications[Cluster ROKS cible],$F379,TblApplications[Action],"À migrer",TblApplications[Déjà incluse ROKS],"Non",TblApplications[Mois prov (calc)],"&lt;="&amp;$E379),SUMIFS(TblApplications[RAM IKS libérable (Go)],TblApplications[Cluster IKS source],$F379,TblApplications[Mois lib (calc)],"&lt;="&amp;$E379)))</f>
        <v/>
      </c>
      <c r="R379" s="14" t="str">
        <f aca="false">IF($D379&lt;&gt;1,"",IF($G379="ROKS",$L379+$P379,IF($AI379=1,0,MAX($N379,$L379-$P379))))</f>
        <v/>
      </c>
      <c r="S379" s="14" t="str">
        <f aca="false">IF($D379&lt;&gt;1,"",IF($G379="ROKS",$M379+$Q379,IF($AI379=1,0,MAX($O379,$M379-$Q379))))</f>
        <v/>
      </c>
      <c r="T379" s="14" t="str">
        <f aca="false">IF($D379&lt;&gt;1,"",IF($AI379=1,0,MAX($J379,ROUNDUP(MAX($R379/$H379,$S379/$I379),0))))</f>
        <v/>
      </c>
      <c r="U379" s="14" t="str">
        <f aca="false">IF($D379&lt;&gt;1,"",IF(p_mode="Nœud",$T379*$H379,$R379))</f>
        <v/>
      </c>
      <c r="V379" s="14" t="str">
        <f aca="false">IF($D379&lt;&gt;1,"",IF(p_mode="Nœud",$T379*$I379,$S379))</f>
        <v/>
      </c>
      <c r="W379" s="84" t="str">
        <f aca="false">IF($D379&lt;&gt;1,"",IF(p_mode="Nœud",$T379*$K379,$R379*IF($G379="IKS",p_iks_cpu,p_roks_cpu)+$S379*IF($G379="IKS",p_iks_ram,p_roks_ram))*p_facteur)</f>
        <v/>
      </c>
      <c r="X379" s="14" t="str">
        <f aca="false">IF($D379&lt;&gt;1,"",IF($G379="ROKS",$R379,IF($AI379=1,0,MAX($N379,$L379-SUMIFS(TblApplications[CPU IKS libérable (vCPU)],TblApplications[Cluster IKS source],$F379,TblApplications[Action],"À migrer",TblApplications[Mois prov (calc)],"&lt;="&amp;$E379)-SUMIFS(TblApplications[CPU IKS libérable (vCPU)],TblApplications[Cluster IKS source],$F379,TblApplications[Action],"À décommissionner",TblApplications[Mois lib (calc)],"&lt;="&amp;$E379)))))</f>
        <v/>
      </c>
      <c r="Y379" s="14" t="str">
        <f aca="false">IF($D379&lt;&gt;1,"",IF($G379="ROKS",$S379,IF($AI379=1,0,MAX($O379,$M379-SUMIFS(TblApplications[RAM IKS libérable (Go)],TblApplications[Cluster IKS source],$F379,TblApplications[Action],"À migrer",TblApplications[Mois prov (calc)],"&lt;="&amp;$E379)-SUMIFS(TblApplications[RAM IKS libérable (Go)],TblApplications[Cluster IKS source],$F379,TblApplications[Action],"À décommissionner",TblApplications[Mois lib (calc)],"&lt;="&amp;$E379)))))</f>
        <v/>
      </c>
      <c r="Z379" s="14" t="str">
        <f aca="false">IF($D379&lt;&gt;1,"",IF($AI379=1,0,MAX($J379,ROUNDUP(MAX($X379/$H379,$Y379/$I379),0))))</f>
        <v/>
      </c>
      <c r="AA379" s="84" t="str">
        <f aca="false">IF($D379&lt;&gt;1,"",IF(p_mode="Nœud",$Z379*$K379,$X379*IF($G379="IKS",p_iks_cpu,p_roks_cpu)+$Y379*IF($G379="IKS",p_iks_ram,p_roks_ram))*p_facteur)</f>
        <v/>
      </c>
      <c r="AB379" s="14" t="str">
        <f aca="false">IF($D379&lt;&gt;1,"",MAX($J379,ROUNDUP(MAX($L379/$H379,$M379/$I379),0)))</f>
        <v/>
      </c>
      <c r="AC379" s="84" t="str">
        <f aca="false">IF($D379&lt;&gt;1,"",IF(p_mode="Nœud",$AB379*$K379,$L379*IF($G379="IKS",p_iks_cpu,p_roks_cpu)+$M379*IF($G379="IKS",p_iks_ram,p_roks_ram))*p_facteur)</f>
        <v/>
      </c>
      <c r="AD379" s="14" t="str">
        <f aca="false">IF($D379&lt;&gt;1,"",IF(AND($G379="IKS",$AI379&lt;&gt;1,OR($L379-$P379&lt;$N379,$M379-$Q379&lt;$O379)),1,0))</f>
        <v/>
      </c>
      <c r="AE379" s="14" t="str">
        <f aca="false">IF($D379&lt;&gt;1,"",IF(AND($G379="ROKS",$T379&gt;p_maxworkers),1,0))</f>
        <v/>
      </c>
      <c r="AF379" s="14" t="str">
        <f aca="false">IF($D379&lt;&gt;1,"",IF(INDEX(TblClusters[Environnement],$B379)="","(vide)",INDEX(TblClusters[Environnement],$B379)))</f>
        <v/>
      </c>
      <c r="AG379" s="14" t="str">
        <f aca="false">IF($D379&lt;&gt;1,"",$R379+p_poidsram*$S379)</f>
        <v/>
      </c>
      <c r="AH379" s="14" t="str">
        <f aca="false">IF($D379&lt;&gt;1,"",IFERROR($W379/$AG379,0))</f>
        <v/>
      </c>
      <c r="AI379" s="14" t="str">
        <f aca="false">IF($D379&lt;&gt;1,"",IF(AND($G379="IKS",ISNUMBER(INDEX(TblClusters[Fermeture retenue],$B379))),IF($E379&gt;=INDEX(TblClusters[Fermeture retenue],$B379),1,0),0))</f>
        <v/>
      </c>
    </row>
    <row r="380" customFormat="false" ht="15" hidden="false" customHeight="false" outlineLevel="0" collapsed="false">
      <c r="A380" s="14" t="n">
        <v>375</v>
      </c>
      <c r="B380" s="14" t="n">
        <f aca="false">INT(($A380-1)/36)+1</f>
        <v>11</v>
      </c>
      <c r="C380" s="14" t="n">
        <f aca="false">MOD($A380-1,36)+1</f>
        <v>15</v>
      </c>
      <c r="D380" s="14" t="n">
        <f aca="false">IF($C380&gt;p_horizon,0,IFERROR(IF(AND(INDEX(TblClusters[Cluster],$B380)&lt;&gt;"",ISNUMBER(INDEX(TblClusters[CPU initial (vCPU)],$B380)),ISNUMBER(INDEX(TblClusters[CPU min (vCPU)],$B380)),OR(INDEX(TblClusters[Plateforme],$B380)="IKS",INDEX(TblClusters[Plateforme],$B380)="ROKS")),1,0),0))</f>
        <v>0</v>
      </c>
      <c r="E380" s="83" t="str">
        <f aca="false">IF($D380=1,EDATE(p_debut,$C380-1),"")</f>
        <v/>
      </c>
      <c r="F380" s="14" t="str">
        <f aca="false">IF($D380=1,INDEX(TblClusters[Cluster],$B380),"")</f>
        <v/>
      </c>
      <c r="G380" s="14" t="str">
        <f aca="false">IF($D380=1,INDEX(TblClusters[Plateforme],$B380),"")</f>
        <v/>
      </c>
      <c r="H380" s="14" t="str">
        <f aca="false">IF($D380=1,INDEX(TblClusters[vCPU par nœud],$B380),"")</f>
        <v/>
      </c>
      <c r="I380" s="14" t="str">
        <f aca="false">IF($D380=1,INDEX(TblClusters[RAM par nœud (Go)],$B380),"")</f>
        <v/>
      </c>
      <c r="J380" s="14" t="str">
        <f aca="false">IF($D380=1,INDEX(TblClusters[Workers min],$B380),"")</f>
        <v/>
      </c>
      <c r="K380" s="84" t="str">
        <f aca="false">IF($D380=1,INDEX(TblClusters[Tarif par nœud],$B380),"")</f>
        <v/>
      </c>
      <c r="L380" s="14" t="str">
        <f aca="false">IF($D380=1,INDEX(TblClusters[CPU initial (vCPU)],$B380),"")</f>
        <v/>
      </c>
      <c r="M380" s="14" t="str">
        <f aca="false">IF($D380=1,INDEX(TblClusters[RAM initiale (Go)],$B380),"")</f>
        <v/>
      </c>
      <c r="N380" s="14" t="str">
        <f aca="false">IF($D380=1,INDEX(TblClusters[CPU min (vCPU)],$B380),"")</f>
        <v/>
      </c>
      <c r="O380" s="14" t="str">
        <f aca="false">IF($D380=1,INDEX(TblClusters[RAM min (Go)],$B380),"")</f>
        <v/>
      </c>
      <c r="P380" s="14" t="str">
        <f aca="false">IF($D380&lt;&gt;1,"",IF($G380="ROKS",SUMIFS(TblApplications[Besoin ROKS CPU (vCPU)],TblApplications[Cluster ROKS cible],$F380,TblApplications[Action],"À migrer",TblApplications[Déjà incluse ROKS],"Non",TblApplications[Mois prov (calc)],"&lt;="&amp;$E380),SUMIFS(TblApplications[CPU IKS libérable (vCPU)],TblApplications[Cluster IKS source],$F380,TblApplications[Mois lib (calc)],"&lt;="&amp;$E380)))</f>
        <v/>
      </c>
      <c r="Q380" s="14" t="str">
        <f aca="false">IF($D380&lt;&gt;1,"",IF($G380="ROKS",SUMIFS(TblApplications[Besoin ROKS RAM (Go)],TblApplications[Cluster ROKS cible],$F380,TblApplications[Action],"À migrer",TblApplications[Déjà incluse ROKS],"Non",TblApplications[Mois prov (calc)],"&lt;="&amp;$E380),SUMIFS(TblApplications[RAM IKS libérable (Go)],TblApplications[Cluster IKS source],$F380,TblApplications[Mois lib (calc)],"&lt;="&amp;$E380)))</f>
        <v/>
      </c>
      <c r="R380" s="14" t="str">
        <f aca="false">IF($D380&lt;&gt;1,"",IF($G380="ROKS",$L380+$P380,IF($AI380=1,0,MAX($N380,$L380-$P380))))</f>
        <v/>
      </c>
      <c r="S380" s="14" t="str">
        <f aca="false">IF($D380&lt;&gt;1,"",IF($G380="ROKS",$M380+$Q380,IF($AI380=1,0,MAX($O380,$M380-$Q380))))</f>
        <v/>
      </c>
      <c r="T380" s="14" t="str">
        <f aca="false">IF($D380&lt;&gt;1,"",IF($AI380=1,0,MAX($J380,ROUNDUP(MAX($R380/$H380,$S380/$I380),0))))</f>
        <v/>
      </c>
      <c r="U380" s="14" t="str">
        <f aca="false">IF($D380&lt;&gt;1,"",IF(p_mode="Nœud",$T380*$H380,$R380))</f>
        <v/>
      </c>
      <c r="V380" s="14" t="str">
        <f aca="false">IF($D380&lt;&gt;1,"",IF(p_mode="Nœud",$T380*$I380,$S380))</f>
        <v/>
      </c>
      <c r="W380" s="84" t="str">
        <f aca="false">IF($D380&lt;&gt;1,"",IF(p_mode="Nœud",$T380*$K380,$R380*IF($G380="IKS",p_iks_cpu,p_roks_cpu)+$S380*IF($G380="IKS",p_iks_ram,p_roks_ram))*p_facteur)</f>
        <v/>
      </c>
      <c r="X380" s="14" t="str">
        <f aca="false">IF($D380&lt;&gt;1,"",IF($G380="ROKS",$R380,IF($AI380=1,0,MAX($N380,$L380-SUMIFS(TblApplications[CPU IKS libérable (vCPU)],TblApplications[Cluster IKS source],$F380,TblApplications[Action],"À migrer",TblApplications[Mois prov (calc)],"&lt;="&amp;$E380)-SUMIFS(TblApplications[CPU IKS libérable (vCPU)],TblApplications[Cluster IKS source],$F380,TblApplications[Action],"À décommissionner",TblApplications[Mois lib (calc)],"&lt;="&amp;$E380)))))</f>
        <v/>
      </c>
      <c r="Y380" s="14" t="str">
        <f aca="false">IF($D380&lt;&gt;1,"",IF($G380="ROKS",$S380,IF($AI380=1,0,MAX($O380,$M380-SUMIFS(TblApplications[RAM IKS libérable (Go)],TblApplications[Cluster IKS source],$F380,TblApplications[Action],"À migrer",TblApplications[Mois prov (calc)],"&lt;="&amp;$E380)-SUMIFS(TblApplications[RAM IKS libérable (Go)],TblApplications[Cluster IKS source],$F380,TblApplications[Action],"À décommissionner",TblApplications[Mois lib (calc)],"&lt;="&amp;$E380)))))</f>
        <v/>
      </c>
      <c r="Z380" s="14" t="str">
        <f aca="false">IF($D380&lt;&gt;1,"",IF($AI380=1,0,MAX($J380,ROUNDUP(MAX($X380/$H380,$Y380/$I380),0))))</f>
        <v/>
      </c>
      <c r="AA380" s="84" t="str">
        <f aca="false">IF($D380&lt;&gt;1,"",IF(p_mode="Nœud",$Z380*$K380,$X380*IF($G380="IKS",p_iks_cpu,p_roks_cpu)+$Y380*IF($G380="IKS",p_iks_ram,p_roks_ram))*p_facteur)</f>
        <v/>
      </c>
      <c r="AB380" s="14" t="str">
        <f aca="false">IF($D380&lt;&gt;1,"",MAX($J380,ROUNDUP(MAX($L380/$H380,$M380/$I380),0)))</f>
        <v/>
      </c>
      <c r="AC380" s="84" t="str">
        <f aca="false">IF($D380&lt;&gt;1,"",IF(p_mode="Nœud",$AB380*$K380,$L380*IF($G380="IKS",p_iks_cpu,p_roks_cpu)+$M380*IF($G380="IKS",p_iks_ram,p_roks_ram))*p_facteur)</f>
        <v/>
      </c>
      <c r="AD380" s="14" t="str">
        <f aca="false">IF($D380&lt;&gt;1,"",IF(AND($G380="IKS",$AI380&lt;&gt;1,OR($L380-$P380&lt;$N380,$M380-$Q380&lt;$O380)),1,0))</f>
        <v/>
      </c>
      <c r="AE380" s="14" t="str">
        <f aca="false">IF($D380&lt;&gt;1,"",IF(AND($G380="ROKS",$T380&gt;p_maxworkers),1,0))</f>
        <v/>
      </c>
      <c r="AF380" s="14" t="str">
        <f aca="false">IF($D380&lt;&gt;1,"",IF(INDEX(TblClusters[Environnement],$B380)="","(vide)",INDEX(TblClusters[Environnement],$B380)))</f>
        <v/>
      </c>
      <c r="AG380" s="14" t="str">
        <f aca="false">IF($D380&lt;&gt;1,"",$R380+p_poidsram*$S380)</f>
        <v/>
      </c>
      <c r="AH380" s="14" t="str">
        <f aca="false">IF($D380&lt;&gt;1,"",IFERROR($W380/$AG380,0))</f>
        <v/>
      </c>
      <c r="AI380" s="14" t="str">
        <f aca="false">IF($D380&lt;&gt;1,"",IF(AND($G380="IKS",ISNUMBER(INDEX(TblClusters[Fermeture retenue],$B380))),IF($E380&gt;=INDEX(TblClusters[Fermeture retenue],$B380),1,0),0))</f>
        <v/>
      </c>
    </row>
    <row r="381" customFormat="false" ht="15" hidden="false" customHeight="false" outlineLevel="0" collapsed="false">
      <c r="A381" s="14" t="n">
        <v>376</v>
      </c>
      <c r="B381" s="14" t="n">
        <f aca="false">INT(($A381-1)/36)+1</f>
        <v>11</v>
      </c>
      <c r="C381" s="14" t="n">
        <f aca="false">MOD($A381-1,36)+1</f>
        <v>16</v>
      </c>
      <c r="D381" s="14" t="n">
        <f aca="false">IF($C381&gt;p_horizon,0,IFERROR(IF(AND(INDEX(TblClusters[Cluster],$B381)&lt;&gt;"",ISNUMBER(INDEX(TblClusters[CPU initial (vCPU)],$B381)),ISNUMBER(INDEX(TblClusters[CPU min (vCPU)],$B381)),OR(INDEX(TblClusters[Plateforme],$B381)="IKS",INDEX(TblClusters[Plateforme],$B381)="ROKS")),1,0),0))</f>
        <v>0</v>
      </c>
      <c r="E381" s="83" t="str">
        <f aca="false">IF($D381=1,EDATE(p_debut,$C381-1),"")</f>
        <v/>
      </c>
      <c r="F381" s="14" t="str">
        <f aca="false">IF($D381=1,INDEX(TblClusters[Cluster],$B381),"")</f>
        <v/>
      </c>
      <c r="G381" s="14" t="str">
        <f aca="false">IF($D381=1,INDEX(TblClusters[Plateforme],$B381),"")</f>
        <v/>
      </c>
      <c r="H381" s="14" t="str">
        <f aca="false">IF($D381=1,INDEX(TblClusters[vCPU par nœud],$B381),"")</f>
        <v/>
      </c>
      <c r="I381" s="14" t="str">
        <f aca="false">IF($D381=1,INDEX(TblClusters[RAM par nœud (Go)],$B381),"")</f>
        <v/>
      </c>
      <c r="J381" s="14" t="str">
        <f aca="false">IF($D381=1,INDEX(TblClusters[Workers min],$B381),"")</f>
        <v/>
      </c>
      <c r="K381" s="84" t="str">
        <f aca="false">IF($D381=1,INDEX(TblClusters[Tarif par nœud],$B381),"")</f>
        <v/>
      </c>
      <c r="L381" s="14" t="str">
        <f aca="false">IF($D381=1,INDEX(TblClusters[CPU initial (vCPU)],$B381),"")</f>
        <v/>
      </c>
      <c r="M381" s="14" t="str">
        <f aca="false">IF($D381=1,INDEX(TblClusters[RAM initiale (Go)],$B381),"")</f>
        <v/>
      </c>
      <c r="N381" s="14" t="str">
        <f aca="false">IF($D381=1,INDEX(TblClusters[CPU min (vCPU)],$B381),"")</f>
        <v/>
      </c>
      <c r="O381" s="14" t="str">
        <f aca="false">IF($D381=1,INDEX(TblClusters[RAM min (Go)],$B381),"")</f>
        <v/>
      </c>
      <c r="P381" s="14" t="str">
        <f aca="false">IF($D381&lt;&gt;1,"",IF($G381="ROKS",SUMIFS(TblApplications[Besoin ROKS CPU (vCPU)],TblApplications[Cluster ROKS cible],$F381,TblApplications[Action],"À migrer",TblApplications[Déjà incluse ROKS],"Non",TblApplications[Mois prov (calc)],"&lt;="&amp;$E381),SUMIFS(TblApplications[CPU IKS libérable (vCPU)],TblApplications[Cluster IKS source],$F381,TblApplications[Mois lib (calc)],"&lt;="&amp;$E381)))</f>
        <v/>
      </c>
      <c r="Q381" s="14" t="str">
        <f aca="false">IF($D381&lt;&gt;1,"",IF($G381="ROKS",SUMIFS(TblApplications[Besoin ROKS RAM (Go)],TblApplications[Cluster ROKS cible],$F381,TblApplications[Action],"À migrer",TblApplications[Déjà incluse ROKS],"Non",TblApplications[Mois prov (calc)],"&lt;="&amp;$E381),SUMIFS(TblApplications[RAM IKS libérable (Go)],TblApplications[Cluster IKS source],$F381,TblApplications[Mois lib (calc)],"&lt;="&amp;$E381)))</f>
        <v/>
      </c>
      <c r="R381" s="14" t="str">
        <f aca="false">IF($D381&lt;&gt;1,"",IF($G381="ROKS",$L381+$P381,IF($AI381=1,0,MAX($N381,$L381-$P381))))</f>
        <v/>
      </c>
      <c r="S381" s="14" t="str">
        <f aca="false">IF($D381&lt;&gt;1,"",IF($G381="ROKS",$M381+$Q381,IF($AI381=1,0,MAX($O381,$M381-$Q381))))</f>
        <v/>
      </c>
      <c r="T381" s="14" t="str">
        <f aca="false">IF($D381&lt;&gt;1,"",IF($AI381=1,0,MAX($J381,ROUNDUP(MAX($R381/$H381,$S381/$I381),0))))</f>
        <v/>
      </c>
      <c r="U381" s="14" t="str">
        <f aca="false">IF($D381&lt;&gt;1,"",IF(p_mode="Nœud",$T381*$H381,$R381))</f>
        <v/>
      </c>
      <c r="V381" s="14" t="str">
        <f aca="false">IF($D381&lt;&gt;1,"",IF(p_mode="Nœud",$T381*$I381,$S381))</f>
        <v/>
      </c>
      <c r="W381" s="84" t="str">
        <f aca="false">IF($D381&lt;&gt;1,"",IF(p_mode="Nœud",$T381*$K381,$R381*IF($G381="IKS",p_iks_cpu,p_roks_cpu)+$S381*IF($G381="IKS",p_iks_ram,p_roks_ram))*p_facteur)</f>
        <v/>
      </c>
      <c r="X381" s="14" t="str">
        <f aca="false">IF($D381&lt;&gt;1,"",IF($G381="ROKS",$R381,IF($AI381=1,0,MAX($N381,$L381-SUMIFS(TblApplications[CPU IKS libérable (vCPU)],TblApplications[Cluster IKS source],$F381,TblApplications[Action],"À migrer",TblApplications[Mois prov (calc)],"&lt;="&amp;$E381)-SUMIFS(TblApplications[CPU IKS libérable (vCPU)],TblApplications[Cluster IKS source],$F381,TblApplications[Action],"À décommissionner",TblApplications[Mois lib (calc)],"&lt;="&amp;$E381)))))</f>
        <v/>
      </c>
      <c r="Y381" s="14" t="str">
        <f aca="false">IF($D381&lt;&gt;1,"",IF($G381="ROKS",$S381,IF($AI381=1,0,MAX($O381,$M381-SUMIFS(TblApplications[RAM IKS libérable (Go)],TblApplications[Cluster IKS source],$F381,TblApplications[Action],"À migrer",TblApplications[Mois prov (calc)],"&lt;="&amp;$E381)-SUMIFS(TblApplications[RAM IKS libérable (Go)],TblApplications[Cluster IKS source],$F381,TblApplications[Action],"À décommissionner",TblApplications[Mois lib (calc)],"&lt;="&amp;$E381)))))</f>
        <v/>
      </c>
      <c r="Z381" s="14" t="str">
        <f aca="false">IF($D381&lt;&gt;1,"",IF($AI381=1,0,MAX($J381,ROUNDUP(MAX($X381/$H381,$Y381/$I381),0))))</f>
        <v/>
      </c>
      <c r="AA381" s="84" t="str">
        <f aca="false">IF($D381&lt;&gt;1,"",IF(p_mode="Nœud",$Z381*$K381,$X381*IF($G381="IKS",p_iks_cpu,p_roks_cpu)+$Y381*IF($G381="IKS",p_iks_ram,p_roks_ram))*p_facteur)</f>
        <v/>
      </c>
      <c r="AB381" s="14" t="str">
        <f aca="false">IF($D381&lt;&gt;1,"",MAX($J381,ROUNDUP(MAX($L381/$H381,$M381/$I381),0)))</f>
        <v/>
      </c>
      <c r="AC381" s="84" t="str">
        <f aca="false">IF($D381&lt;&gt;1,"",IF(p_mode="Nœud",$AB381*$K381,$L381*IF($G381="IKS",p_iks_cpu,p_roks_cpu)+$M381*IF($G381="IKS",p_iks_ram,p_roks_ram))*p_facteur)</f>
        <v/>
      </c>
      <c r="AD381" s="14" t="str">
        <f aca="false">IF($D381&lt;&gt;1,"",IF(AND($G381="IKS",$AI381&lt;&gt;1,OR($L381-$P381&lt;$N381,$M381-$Q381&lt;$O381)),1,0))</f>
        <v/>
      </c>
      <c r="AE381" s="14" t="str">
        <f aca="false">IF($D381&lt;&gt;1,"",IF(AND($G381="ROKS",$T381&gt;p_maxworkers),1,0))</f>
        <v/>
      </c>
      <c r="AF381" s="14" t="str">
        <f aca="false">IF($D381&lt;&gt;1,"",IF(INDEX(TblClusters[Environnement],$B381)="","(vide)",INDEX(TblClusters[Environnement],$B381)))</f>
        <v/>
      </c>
      <c r="AG381" s="14" t="str">
        <f aca="false">IF($D381&lt;&gt;1,"",$R381+p_poidsram*$S381)</f>
        <v/>
      </c>
      <c r="AH381" s="14" t="str">
        <f aca="false">IF($D381&lt;&gt;1,"",IFERROR($W381/$AG381,0))</f>
        <v/>
      </c>
      <c r="AI381" s="14" t="str">
        <f aca="false">IF($D381&lt;&gt;1,"",IF(AND($G381="IKS",ISNUMBER(INDEX(TblClusters[Fermeture retenue],$B381))),IF($E381&gt;=INDEX(TblClusters[Fermeture retenue],$B381),1,0),0))</f>
        <v/>
      </c>
    </row>
    <row r="382" customFormat="false" ht="15" hidden="false" customHeight="false" outlineLevel="0" collapsed="false">
      <c r="A382" s="14" t="n">
        <v>377</v>
      </c>
      <c r="B382" s="14" t="n">
        <f aca="false">INT(($A382-1)/36)+1</f>
        <v>11</v>
      </c>
      <c r="C382" s="14" t="n">
        <f aca="false">MOD($A382-1,36)+1</f>
        <v>17</v>
      </c>
      <c r="D382" s="14" t="n">
        <f aca="false">IF($C382&gt;p_horizon,0,IFERROR(IF(AND(INDEX(TblClusters[Cluster],$B382)&lt;&gt;"",ISNUMBER(INDEX(TblClusters[CPU initial (vCPU)],$B382)),ISNUMBER(INDEX(TblClusters[CPU min (vCPU)],$B382)),OR(INDEX(TblClusters[Plateforme],$B382)="IKS",INDEX(TblClusters[Plateforme],$B382)="ROKS")),1,0),0))</f>
        <v>0</v>
      </c>
      <c r="E382" s="83" t="str">
        <f aca="false">IF($D382=1,EDATE(p_debut,$C382-1),"")</f>
        <v/>
      </c>
      <c r="F382" s="14" t="str">
        <f aca="false">IF($D382=1,INDEX(TblClusters[Cluster],$B382),"")</f>
        <v/>
      </c>
      <c r="G382" s="14" t="str">
        <f aca="false">IF($D382=1,INDEX(TblClusters[Plateforme],$B382),"")</f>
        <v/>
      </c>
      <c r="H382" s="14" t="str">
        <f aca="false">IF($D382=1,INDEX(TblClusters[vCPU par nœud],$B382),"")</f>
        <v/>
      </c>
      <c r="I382" s="14" t="str">
        <f aca="false">IF($D382=1,INDEX(TblClusters[RAM par nœud (Go)],$B382),"")</f>
        <v/>
      </c>
      <c r="J382" s="14" t="str">
        <f aca="false">IF($D382=1,INDEX(TblClusters[Workers min],$B382),"")</f>
        <v/>
      </c>
      <c r="K382" s="84" t="str">
        <f aca="false">IF($D382=1,INDEX(TblClusters[Tarif par nœud],$B382),"")</f>
        <v/>
      </c>
      <c r="L382" s="14" t="str">
        <f aca="false">IF($D382=1,INDEX(TblClusters[CPU initial (vCPU)],$B382),"")</f>
        <v/>
      </c>
      <c r="M382" s="14" t="str">
        <f aca="false">IF($D382=1,INDEX(TblClusters[RAM initiale (Go)],$B382),"")</f>
        <v/>
      </c>
      <c r="N382" s="14" t="str">
        <f aca="false">IF($D382=1,INDEX(TblClusters[CPU min (vCPU)],$B382),"")</f>
        <v/>
      </c>
      <c r="O382" s="14" t="str">
        <f aca="false">IF($D382=1,INDEX(TblClusters[RAM min (Go)],$B382),"")</f>
        <v/>
      </c>
      <c r="P382" s="14" t="str">
        <f aca="false">IF($D382&lt;&gt;1,"",IF($G382="ROKS",SUMIFS(TblApplications[Besoin ROKS CPU (vCPU)],TblApplications[Cluster ROKS cible],$F382,TblApplications[Action],"À migrer",TblApplications[Déjà incluse ROKS],"Non",TblApplications[Mois prov (calc)],"&lt;="&amp;$E382),SUMIFS(TblApplications[CPU IKS libérable (vCPU)],TblApplications[Cluster IKS source],$F382,TblApplications[Mois lib (calc)],"&lt;="&amp;$E382)))</f>
        <v/>
      </c>
      <c r="Q382" s="14" t="str">
        <f aca="false">IF($D382&lt;&gt;1,"",IF($G382="ROKS",SUMIFS(TblApplications[Besoin ROKS RAM (Go)],TblApplications[Cluster ROKS cible],$F382,TblApplications[Action],"À migrer",TblApplications[Déjà incluse ROKS],"Non",TblApplications[Mois prov (calc)],"&lt;="&amp;$E382),SUMIFS(TblApplications[RAM IKS libérable (Go)],TblApplications[Cluster IKS source],$F382,TblApplications[Mois lib (calc)],"&lt;="&amp;$E382)))</f>
        <v/>
      </c>
      <c r="R382" s="14" t="str">
        <f aca="false">IF($D382&lt;&gt;1,"",IF($G382="ROKS",$L382+$P382,IF($AI382=1,0,MAX($N382,$L382-$P382))))</f>
        <v/>
      </c>
      <c r="S382" s="14" t="str">
        <f aca="false">IF($D382&lt;&gt;1,"",IF($G382="ROKS",$M382+$Q382,IF($AI382=1,0,MAX($O382,$M382-$Q382))))</f>
        <v/>
      </c>
      <c r="T382" s="14" t="str">
        <f aca="false">IF($D382&lt;&gt;1,"",IF($AI382=1,0,MAX($J382,ROUNDUP(MAX($R382/$H382,$S382/$I382),0))))</f>
        <v/>
      </c>
      <c r="U382" s="14" t="str">
        <f aca="false">IF($D382&lt;&gt;1,"",IF(p_mode="Nœud",$T382*$H382,$R382))</f>
        <v/>
      </c>
      <c r="V382" s="14" t="str">
        <f aca="false">IF($D382&lt;&gt;1,"",IF(p_mode="Nœud",$T382*$I382,$S382))</f>
        <v/>
      </c>
      <c r="W382" s="84" t="str">
        <f aca="false">IF($D382&lt;&gt;1,"",IF(p_mode="Nœud",$T382*$K382,$R382*IF($G382="IKS",p_iks_cpu,p_roks_cpu)+$S382*IF($G382="IKS",p_iks_ram,p_roks_ram))*p_facteur)</f>
        <v/>
      </c>
      <c r="X382" s="14" t="str">
        <f aca="false">IF($D382&lt;&gt;1,"",IF($G382="ROKS",$R382,IF($AI382=1,0,MAX($N382,$L382-SUMIFS(TblApplications[CPU IKS libérable (vCPU)],TblApplications[Cluster IKS source],$F382,TblApplications[Action],"À migrer",TblApplications[Mois prov (calc)],"&lt;="&amp;$E382)-SUMIFS(TblApplications[CPU IKS libérable (vCPU)],TblApplications[Cluster IKS source],$F382,TblApplications[Action],"À décommissionner",TblApplications[Mois lib (calc)],"&lt;="&amp;$E382)))))</f>
        <v/>
      </c>
      <c r="Y382" s="14" t="str">
        <f aca="false">IF($D382&lt;&gt;1,"",IF($G382="ROKS",$S382,IF($AI382=1,0,MAX($O382,$M382-SUMIFS(TblApplications[RAM IKS libérable (Go)],TblApplications[Cluster IKS source],$F382,TblApplications[Action],"À migrer",TblApplications[Mois prov (calc)],"&lt;="&amp;$E382)-SUMIFS(TblApplications[RAM IKS libérable (Go)],TblApplications[Cluster IKS source],$F382,TblApplications[Action],"À décommissionner",TblApplications[Mois lib (calc)],"&lt;="&amp;$E382)))))</f>
        <v/>
      </c>
      <c r="Z382" s="14" t="str">
        <f aca="false">IF($D382&lt;&gt;1,"",IF($AI382=1,0,MAX($J382,ROUNDUP(MAX($X382/$H382,$Y382/$I382),0))))</f>
        <v/>
      </c>
      <c r="AA382" s="84" t="str">
        <f aca="false">IF($D382&lt;&gt;1,"",IF(p_mode="Nœud",$Z382*$K382,$X382*IF($G382="IKS",p_iks_cpu,p_roks_cpu)+$Y382*IF($G382="IKS",p_iks_ram,p_roks_ram))*p_facteur)</f>
        <v/>
      </c>
      <c r="AB382" s="14" t="str">
        <f aca="false">IF($D382&lt;&gt;1,"",MAX($J382,ROUNDUP(MAX($L382/$H382,$M382/$I382),0)))</f>
        <v/>
      </c>
      <c r="AC382" s="84" t="str">
        <f aca="false">IF($D382&lt;&gt;1,"",IF(p_mode="Nœud",$AB382*$K382,$L382*IF($G382="IKS",p_iks_cpu,p_roks_cpu)+$M382*IF($G382="IKS",p_iks_ram,p_roks_ram))*p_facteur)</f>
        <v/>
      </c>
      <c r="AD382" s="14" t="str">
        <f aca="false">IF($D382&lt;&gt;1,"",IF(AND($G382="IKS",$AI382&lt;&gt;1,OR($L382-$P382&lt;$N382,$M382-$Q382&lt;$O382)),1,0))</f>
        <v/>
      </c>
      <c r="AE382" s="14" t="str">
        <f aca="false">IF($D382&lt;&gt;1,"",IF(AND($G382="ROKS",$T382&gt;p_maxworkers),1,0))</f>
        <v/>
      </c>
      <c r="AF382" s="14" t="str">
        <f aca="false">IF($D382&lt;&gt;1,"",IF(INDEX(TblClusters[Environnement],$B382)="","(vide)",INDEX(TblClusters[Environnement],$B382)))</f>
        <v/>
      </c>
      <c r="AG382" s="14" t="str">
        <f aca="false">IF($D382&lt;&gt;1,"",$R382+p_poidsram*$S382)</f>
        <v/>
      </c>
      <c r="AH382" s="14" t="str">
        <f aca="false">IF($D382&lt;&gt;1,"",IFERROR($W382/$AG382,0))</f>
        <v/>
      </c>
      <c r="AI382" s="14" t="str">
        <f aca="false">IF($D382&lt;&gt;1,"",IF(AND($G382="IKS",ISNUMBER(INDEX(TblClusters[Fermeture retenue],$B382))),IF($E382&gt;=INDEX(TblClusters[Fermeture retenue],$B382),1,0),0))</f>
        <v/>
      </c>
    </row>
    <row r="383" customFormat="false" ht="15" hidden="false" customHeight="false" outlineLevel="0" collapsed="false">
      <c r="A383" s="14" t="n">
        <v>378</v>
      </c>
      <c r="B383" s="14" t="n">
        <f aca="false">INT(($A383-1)/36)+1</f>
        <v>11</v>
      </c>
      <c r="C383" s="14" t="n">
        <f aca="false">MOD($A383-1,36)+1</f>
        <v>18</v>
      </c>
      <c r="D383" s="14" t="n">
        <f aca="false">IF($C383&gt;p_horizon,0,IFERROR(IF(AND(INDEX(TblClusters[Cluster],$B383)&lt;&gt;"",ISNUMBER(INDEX(TblClusters[CPU initial (vCPU)],$B383)),ISNUMBER(INDEX(TblClusters[CPU min (vCPU)],$B383)),OR(INDEX(TblClusters[Plateforme],$B383)="IKS",INDEX(TblClusters[Plateforme],$B383)="ROKS")),1,0),0))</f>
        <v>0</v>
      </c>
      <c r="E383" s="83" t="str">
        <f aca="false">IF($D383=1,EDATE(p_debut,$C383-1),"")</f>
        <v/>
      </c>
      <c r="F383" s="14" t="str">
        <f aca="false">IF($D383=1,INDEX(TblClusters[Cluster],$B383),"")</f>
        <v/>
      </c>
      <c r="G383" s="14" t="str">
        <f aca="false">IF($D383=1,INDEX(TblClusters[Plateforme],$B383),"")</f>
        <v/>
      </c>
      <c r="H383" s="14" t="str">
        <f aca="false">IF($D383=1,INDEX(TblClusters[vCPU par nœud],$B383),"")</f>
        <v/>
      </c>
      <c r="I383" s="14" t="str">
        <f aca="false">IF($D383=1,INDEX(TblClusters[RAM par nœud (Go)],$B383),"")</f>
        <v/>
      </c>
      <c r="J383" s="14" t="str">
        <f aca="false">IF($D383=1,INDEX(TblClusters[Workers min],$B383),"")</f>
        <v/>
      </c>
      <c r="K383" s="84" t="str">
        <f aca="false">IF($D383=1,INDEX(TblClusters[Tarif par nœud],$B383),"")</f>
        <v/>
      </c>
      <c r="L383" s="14" t="str">
        <f aca="false">IF($D383=1,INDEX(TblClusters[CPU initial (vCPU)],$B383),"")</f>
        <v/>
      </c>
      <c r="M383" s="14" t="str">
        <f aca="false">IF($D383=1,INDEX(TblClusters[RAM initiale (Go)],$B383),"")</f>
        <v/>
      </c>
      <c r="N383" s="14" t="str">
        <f aca="false">IF($D383=1,INDEX(TblClusters[CPU min (vCPU)],$B383),"")</f>
        <v/>
      </c>
      <c r="O383" s="14" t="str">
        <f aca="false">IF($D383=1,INDEX(TblClusters[RAM min (Go)],$B383),"")</f>
        <v/>
      </c>
      <c r="P383" s="14" t="str">
        <f aca="false">IF($D383&lt;&gt;1,"",IF($G383="ROKS",SUMIFS(TblApplications[Besoin ROKS CPU (vCPU)],TblApplications[Cluster ROKS cible],$F383,TblApplications[Action],"À migrer",TblApplications[Déjà incluse ROKS],"Non",TblApplications[Mois prov (calc)],"&lt;="&amp;$E383),SUMIFS(TblApplications[CPU IKS libérable (vCPU)],TblApplications[Cluster IKS source],$F383,TblApplications[Mois lib (calc)],"&lt;="&amp;$E383)))</f>
        <v/>
      </c>
      <c r="Q383" s="14" t="str">
        <f aca="false">IF($D383&lt;&gt;1,"",IF($G383="ROKS",SUMIFS(TblApplications[Besoin ROKS RAM (Go)],TblApplications[Cluster ROKS cible],$F383,TblApplications[Action],"À migrer",TblApplications[Déjà incluse ROKS],"Non",TblApplications[Mois prov (calc)],"&lt;="&amp;$E383),SUMIFS(TblApplications[RAM IKS libérable (Go)],TblApplications[Cluster IKS source],$F383,TblApplications[Mois lib (calc)],"&lt;="&amp;$E383)))</f>
        <v/>
      </c>
      <c r="R383" s="14" t="str">
        <f aca="false">IF($D383&lt;&gt;1,"",IF($G383="ROKS",$L383+$P383,IF($AI383=1,0,MAX($N383,$L383-$P383))))</f>
        <v/>
      </c>
      <c r="S383" s="14" t="str">
        <f aca="false">IF($D383&lt;&gt;1,"",IF($G383="ROKS",$M383+$Q383,IF($AI383=1,0,MAX($O383,$M383-$Q383))))</f>
        <v/>
      </c>
      <c r="T383" s="14" t="str">
        <f aca="false">IF($D383&lt;&gt;1,"",IF($AI383=1,0,MAX($J383,ROUNDUP(MAX($R383/$H383,$S383/$I383),0))))</f>
        <v/>
      </c>
      <c r="U383" s="14" t="str">
        <f aca="false">IF($D383&lt;&gt;1,"",IF(p_mode="Nœud",$T383*$H383,$R383))</f>
        <v/>
      </c>
      <c r="V383" s="14" t="str">
        <f aca="false">IF($D383&lt;&gt;1,"",IF(p_mode="Nœud",$T383*$I383,$S383))</f>
        <v/>
      </c>
      <c r="W383" s="84" t="str">
        <f aca="false">IF($D383&lt;&gt;1,"",IF(p_mode="Nœud",$T383*$K383,$R383*IF($G383="IKS",p_iks_cpu,p_roks_cpu)+$S383*IF($G383="IKS",p_iks_ram,p_roks_ram))*p_facteur)</f>
        <v/>
      </c>
      <c r="X383" s="14" t="str">
        <f aca="false">IF($D383&lt;&gt;1,"",IF($G383="ROKS",$R383,IF($AI383=1,0,MAX($N383,$L383-SUMIFS(TblApplications[CPU IKS libérable (vCPU)],TblApplications[Cluster IKS source],$F383,TblApplications[Action],"À migrer",TblApplications[Mois prov (calc)],"&lt;="&amp;$E383)-SUMIFS(TblApplications[CPU IKS libérable (vCPU)],TblApplications[Cluster IKS source],$F383,TblApplications[Action],"À décommissionner",TblApplications[Mois lib (calc)],"&lt;="&amp;$E383)))))</f>
        <v/>
      </c>
      <c r="Y383" s="14" t="str">
        <f aca="false">IF($D383&lt;&gt;1,"",IF($G383="ROKS",$S383,IF($AI383=1,0,MAX($O383,$M383-SUMIFS(TblApplications[RAM IKS libérable (Go)],TblApplications[Cluster IKS source],$F383,TblApplications[Action],"À migrer",TblApplications[Mois prov (calc)],"&lt;="&amp;$E383)-SUMIFS(TblApplications[RAM IKS libérable (Go)],TblApplications[Cluster IKS source],$F383,TblApplications[Action],"À décommissionner",TblApplications[Mois lib (calc)],"&lt;="&amp;$E383)))))</f>
        <v/>
      </c>
      <c r="Z383" s="14" t="str">
        <f aca="false">IF($D383&lt;&gt;1,"",IF($AI383=1,0,MAX($J383,ROUNDUP(MAX($X383/$H383,$Y383/$I383),0))))</f>
        <v/>
      </c>
      <c r="AA383" s="84" t="str">
        <f aca="false">IF($D383&lt;&gt;1,"",IF(p_mode="Nœud",$Z383*$K383,$X383*IF($G383="IKS",p_iks_cpu,p_roks_cpu)+$Y383*IF($G383="IKS",p_iks_ram,p_roks_ram))*p_facteur)</f>
        <v/>
      </c>
      <c r="AB383" s="14" t="str">
        <f aca="false">IF($D383&lt;&gt;1,"",MAX($J383,ROUNDUP(MAX($L383/$H383,$M383/$I383),0)))</f>
        <v/>
      </c>
      <c r="AC383" s="84" t="str">
        <f aca="false">IF($D383&lt;&gt;1,"",IF(p_mode="Nœud",$AB383*$K383,$L383*IF($G383="IKS",p_iks_cpu,p_roks_cpu)+$M383*IF($G383="IKS",p_iks_ram,p_roks_ram))*p_facteur)</f>
        <v/>
      </c>
      <c r="AD383" s="14" t="str">
        <f aca="false">IF($D383&lt;&gt;1,"",IF(AND($G383="IKS",$AI383&lt;&gt;1,OR($L383-$P383&lt;$N383,$M383-$Q383&lt;$O383)),1,0))</f>
        <v/>
      </c>
      <c r="AE383" s="14" t="str">
        <f aca="false">IF($D383&lt;&gt;1,"",IF(AND($G383="ROKS",$T383&gt;p_maxworkers),1,0))</f>
        <v/>
      </c>
      <c r="AF383" s="14" t="str">
        <f aca="false">IF($D383&lt;&gt;1,"",IF(INDEX(TblClusters[Environnement],$B383)="","(vide)",INDEX(TblClusters[Environnement],$B383)))</f>
        <v/>
      </c>
      <c r="AG383" s="14" t="str">
        <f aca="false">IF($D383&lt;&gt;1,"",$R383+p_poidsram*$S383)</f>
        <v/>
      </c>
      <c r="AH383" s="14" t="str">
        <f aca="false">IF($D383&lt;&gt;1,"",IFERROR($W383/$AG383,0))</f>
        <v/>
      </c>
      <c r="AI383" s="14" t="str">
        <f aca="false">IF($D383&lt;&gt;1,"",IF(AND($G383="IKS",ISNUMBER(INDEX(TblClusters[Fermeture retenue],$B383))),IF($E383&gt;=INDEX(TblClusters[Fermeture retenue],$B383),1,0),0))</f>
        <v/>
      </c>
    </row>
    <row r="384" customFormat="false" ht="15" hidden="false" customHeight="false" outlineLevel="0" collapsed="false">
      <c r="A384" s="14" t="n">
        <v>379</v>
      </c>
      <c r="B384" s="14" t="n">
        <f aca="false">INT(($A384-1)/36)+1</f>
        <v>11</v>
      </c>
      <c r="C384" s="14" t="n">
        <f aca="false">MOD($A384-1,36)+1</f>
        <v>19</v>
      </c>
      <c r="D384" s="14" t="n">
        <f aca="false">IF($C384&gt;p_horizon,0,IFERROR(IF(AND(INDEX(TblClusters[Cluster],$B384)&lt;&gt;"",ISNUMBER(INDEX(TblClusters[CPU initial (vCPU)],$B384)),ISNUMBER(INDEX(TblClusters[CPU min (vCPU)],$B384)),OR(INDEX(TblClusters[Plateforme],$B384)="IKS",INDEX(TblClusters[Plateforme],$B384)="ROKS")),1,0),0))</f>
        <v>0</v>
      </c>
      <c r="E384" s="83" t="str">
        <f aca="false">IF($D384=1,EDATE(p_debut,$C384-1),"")</f>
        <v/>
      </c>
      <c r="F384" s="14" t="str">
        <f aca="false">IF($D384=1,INDEX(TblClusters[Cluster],$B384),"")</f>
        <v/>
      </c>
      <c r="G384" s="14" t="str">
        <f aca="false">IF($D384=1,INDEX(TblClusters[Plateforme],$B384),"")</f>
        <v/>
      </c>
      <c r="H384" s="14" t="str">
        <f aca="false">IF($D384=1,INDEX(TblClusters[vCPU par nœud],$B384),"")</f>
        <v/>
      </c>
      <c r="I384" s="14" t="str">
        <f aca="false">IF($D384=1,INDEX(TblClusters[RAM par nœud (Go)],$B384),"")</f>
        <v/>
      </c>
      <c r="J384" s="14" t="str">
        <f aca="false">IF($D384=1,INDEX(TblClusters[Workers min],$B384),"")</f>
        <v/>
      </c>
      <c r="K384" s="84" t="str">
        <f aca="false">IF($D384=1,INDEX(TblClusters[Tarif par nœud],$B384),"")</f>
        <v/>
      </c>
      <c r="L384" s="14" t="str">
        <f aca="false">IF($D384=1,INDEX(TblClusters[CPU initial (vCPU)],$B384),"")</f>
        <v/>
      </c>
      <c r="M384" s="14" t="str">
        <f aca="false">IF($D384=1,INDEX(TblClusters[RAM initiale (Go)],$B384),"")</f>
        <v/>
      </c>
      <c r="N384" s="14" t="str">
        <f aca="false">IF($D384=1,INDEX(TblClusters[CPU min (vCPU)],$B384),"")</f>
        <v/>
      </c>
      <c r="O384" s="14" t="str">
        <f aca="false">IF($D384=1,INDEX(TblClusters[RAM min (Go)],$B384),"")</f>
        <v/>
      </c>
      <c r="P384" s="14" t="str">
        <f aca="false">IF($D384&lt;&gt;1,"",IF($G384="ROKS",SUMIFS(TblApplications[Besoin ROKS CPU (vCPU)],TblApplications[Cluster ROKS cible],$F384,TblApplications[Action],"À migrer",TblApplications[Déjà incluse ROKS],"Non",TblApplications[Mois prov (calc)],"&lt;="&amp;$E384),SUMIFS(TblApplications[CPU IKS libérable (vCPU)],TblApplications[Cluster IKS source],$F384,TblApplications[Mois lib (calc)],"&lt;="&amp;$E384)))</f>
        <v/>
      </c>
      <c r="Q384" s="14" t="str">
        <f aca="false">IF($D384&lt;&gt;1,"",IF($G384="ROKS",SUMIFS(TblApplications[Besoin ROKS RAM (Go)],TblApplications[Cluster ROKS cible],$F384,TblApplications[Action],"À migrer",TblApplications[Déjà incluse ROKS],"Non",TblApplications[Mois prov (calc)],"&lt;="&amp;$E384),SUMIFS(TblApplications[RAM IKS libérable (Go)],TblApplications[Cluster IKS source],$F384,TblApplications[Mois lib (calc)],"&lt;="&amp;$E384)))</f>
        <v/>
      </c>
      <c r="R384" s="14" t="str">
        <f aca="false">IF($D384&lt;&gt;1,"",IF($G384="ROKS",$L384+$P384,IF($AI384=1,0,MAX($N384,$L384-$P384))))</f>
        <v/>
      </c>
      <c r="S384" s="14" t="str">
        <f aca="false">IF($D384&lt;&gt;1,"",IF($G384="ROKS",$M384+$Q384,IF($AI384=1,0,MAX($O384,$M384-$Q384))))</f>
        <v/>
      </c>
      <c r="T384" s="14" t="str">
        <f aca="false">IF($D384&lt;&gt;1,"",IF($AI384=1,0,MAX($J384,ROUNDUP(MAX($R384/$H384,$S384/$I384),0))))</f>
        <v/>
      </c>
      <c r="U384" s="14" t="str">
        <f aca="false">IF($D384&lt;&gt;1,"",IF(p_mode="Nœud",$T384*$H384,$R384))</f>
        <v/>
      </c>
      <c r="V384" s="14" t="str">
        <f aca="false">IF($D384&lt;&gt;1,"",IF(p_mode="Nœud",$T384*$I384,$S384))</f>
        <v/>
      </c>
      <c r="W384" s="84" t="str">
        <f aca="false">IF($D384&lt;&gt;1,"",IF(p_mode="Nœud",$T384*$K384,$R384*IF($G384="IKS",p_iks_cpu,p_roks_cpu)+$S384*IF($G384="IKS",p_iks_ram,p_roks_ram))*p_facteur)</f>
        <v/>
      </c>
      <c r="X384" s="14" t="str">
        <f aca="false">IF($D384&lt;&gt;1,"",IF($G384="ROKS",$R384,IF($AI384=1,0,MAX($N384,$L384-SUMIFS(TblApplications[CPU IKS libérable (vCPU)],TblApplications[Cluster IKS source],$F384,TblApplications[Action],"À migrer",TblApplications[Mois prov (calc)],"&lt;="&amp;$E384)-SUMIFS(TblApplications[CPU IKS libérable (vCPU)],TblApplications[Cluster IKS source],$F384,TblApplications[Action],"À décommissionner",TblApplications[Mois lib (calc)],"&lt;="&amp;$E384)))))</f>
        <v/>
      </c>
      <c r="Y384" s="14" t="str">
        <f aca="false">IF($D384&lt;&gt;1,"",IF($G384="ROKS",$S384,IF($AI384=1,0,MAX($O384,$M384-SUMIFS(TblApplications[RAM IKS libérable (Go)],TblApplications[Cluster IKS source],$F384,TblApplications[Action],"À migrer",TblApplications[Mois prov (calc)],"&lt;="&amp;$E384)-SUMIFS(TblApplications[RAM IKS libérable (Go)],TblApplications[Cluster IKS source],$F384,TblApplications[Action],"À décommissionner",TblApplications[Mois lib (calc)],"&lt;="&amp;$E384)))))</f>
        <v/>
      </c>
      <c r="Z384" s="14" t="str">
        <f aca="false">IF($D384&lt;&gt;1,"",IF($AI384=1,0,MAX($J384,ROUNDUP(MAX($X384/$H384,$Y384/$I384),0))))</f>
        <v/>
      </c>
      <c r="AA384" s="84" t="str">
        <f aca="false">IF($D384&lt;&gt;1,"",IF(p_mode="Nœud",$Z384*$K384,$X384*IF($G384="IKS",p_iks_cpu,p_roks_cpu)+$Y384*IF($G384="IKS",p_iks_ram,p_roks_ram))*p_facteur)</f>
        <v/>
      </c>
      <c r="AB384" s="14" t="str">
        <f aca="false">IF($D384&lt;&gt;1,"",MAX($J384,ROUNDUP(MAX($L384/$H384,$M384/$I384),0)))</f>
        <v/>
      </c>
      <c r="AC384" s="84" t="str">
        <f aca="false">IF($D384&lt;&gt;1,"",IF(p_mode="Nœud",$AB384*$K384,$L384*IF($G384="IKS",p_iks_cpu,p_roks_cpu)+$M384*IF($G384="IKS",p_iks_ram,p_roks_ram))*p_facteur)</f>
        <v/>
      </c>
      <c r="AD384" s="14" t="str">
        <f aca="false">IF($D384&lt;&gt;1,"",IF(AND($G384="IKS",$AI384&lt;&gt;1,OR($L384-$P384&lt;$N384,$M384-$Q384&lt;$O384)),1,0))</f>
        <v/>
      </c>
      <c r="AE384" s="14" t="str">
        <f aca="false">IF($D384&lt;&gt;1,"",IF(AND($G384="ROKS",$T384&gt;p_maxworkers),1,0))</f>
        <v/>
      </c>
      <c r="AF384" s="14" t="str">
        <f aca="false">IF($D384&lt;&gt;1,"",IF(INDEX(TblClusters[Environnement],$B384)="","(vide)",INDEX(TblClusters[Environnement],$B384)))</f>
        <v/>
      </c>
      <c r="AG384" s="14" t="str">
        <f aca="false">IF($D384&lt;&gt;1,"",$R384+p_poidsram*$S384)</f>
        <v/>
      </c>
      <c r="AH384" s="14" t="str">
        <f aca="false">IF($D384&lt;&gt;1,"",IFERROR($W384/$AG384,0))</f>
        <v/>
      </c>
      <c r="AI384" s="14" t="str">
        <f aca="false">IF($D384&lt;&gt;1,"",IF(AND($G384="IKS",ISNUMBER(INDEX(TblClusters[Fermeture retenue],$B384))),IF($E384&gt;=INDEX(TblClusters[Fermeture retenue],$B384),1,0),0))</f>
        <v/>
      </c>
    </row>
    <row r="385" customFormat="false" ht="15" hidden="false" customHeight="false" outlineLevel="0" collapsed="false">
      <c r="A385" s="14" t="n">
        <v>380</v>
      </c>
      <c r="B385" s="14" t="n">
        <f aca="false">INT(($A385-1)/36)+1</f>
        <v>11</v>
      </c>
      <c r="C385" s="14" t="n">
        <f aca="false">MOD($A385-1,36)+1</f>
        <v>20</v>
      </c>
      <c r="D385" s="14" t="n">
        <f aca="false">IF($C385&gt;p_horizon,0,IFERROR(IF(AND(INDEX(TblClusters[Cluster],$B385)&lt;&gt;"",ISNUMBER(INDEX(TblClusters[CPU initial (vCPU)],$B385)),ISNUMBER(INDEX(TblClusters[CPU min (vCPU)],$B385)),OR(INDEX(TblClusters[Plateforme],$B385)="IKS",INDEX(TblClusters[Plateforme],$B385)="ROKS")),1,0),0))</f>
        <v>0</v>
      </c>
      <c r="E385" s="83" t="str">
        <f aca="false">IF($D385=1,EDATE(p_debut,$C385-1),"")</f>
        <v/>
      </c>
      <c r="F385" s="14" t="str">
        <f aca="false">IF($D385=1,INDEX(TblClusters[Cluster],$B385),"")</f>
        <v/>
      </c>
      <c r="G385" s="14" t="str">
        <f aca="false">IF($D385=1,INDEX(TblClusters[Plateforme],$B385),"")</f>
        <v/>
      </c>
      <c r="H385" s="14" t="str">
        <f aca="false">IF($D385=1,INDEX(TblClusters[vCPU par nœud],$B385),"")</f>
        <v/>
      </c>
      <c r="I385" s="14" t="str">
        <f aca="false">IF($D385=1,INDEX(TblClusters[RAM par nœud (Go)],$B385),"")</f>
        <v/>
      </c>
      <c r="J385" s="14" t="str">
        <f aca="false">IF($D385=1,INDEX(TblClusters[Workers min],$B385),"")</f>
        <v/>
      </c>
      <c r="K385" s="84" t="str">
        <f aca="false">IF($D385=1,INDEX(TblClusters[Tarif par nœud],$B385),"")</f>
        <v/>
      </c>
      <c r="L385" s="14" t="str">
        <f aca="false">IF($D385=1,INDEX(TblClusters[CPU initial (vCPU)],$B385),"")</f>
        <v/>
      </c>
      <c r="M385" s="14" t="str">
        <f aca="false">IF($D385=1,INDEX(TblClusters[RAM initiale (Go)],$B385),"")</f>
        <v/>
      </c>
      <c r="N385" s="14" t="str">
        <f aca="false">IF($D385=1,INDEX(TblClusters[CPU min (vCPU)],$B385),"")</f>
        <v/>
      </c>
      <c r="O385" s="14" t="str">
        <f aca="false">IF($D385=1,INDEX(TblClusters[RAM min (Go)],$B385),"")</f>
        <v/>
      </c>
      <c r="P385" s="14" t="str">
        <f aca="false">IF($D385&lt;&gt;1,"",IF($G385="ROKS",SUMIFS(TblApplications[Besoin ROKS CPU (vCPU)],TblApplications[Cluster ROKS cible],$F385,TblApplications[Action],"À migrer",TblApplications[Déjà incluse ROKS],"Non",TblApplications[Mois prov (calc)],"&lt;="&amp;$E385),SUMIFS(TblApplications[CPU IKS libérable (vCPU)],TblApplications[Cluster IKS source],$F385,TblApplications[Mois lib (calc)],"&lt;="&amp;$E385)))</f>
        <v/>
      </c>
      <c r="Q385" s="14" t="str">
        <f aca="false">IF($D385&lt;&gt;1,"",IF($G385="ROKS",SUMIFS(TblApplications[Besoin ROKS RAM (Go)],TblApplications[Cluster ROKS cible],$F385,TblApplications[Action],"À migrer",TblApplications[Déjà incluse ROKS],"Non",TblApplications[Mois prov (calc)],"&lt;="&amp;$E385),SUMIFS(TblApplications[RAM IKS libérable (Go)],TblApplications[Cluster IKS source],$F385,TblApplications[Mois lib (calc)],"&lt;="&amp;$E385)))</f>
        <v/>
      </c>
      <c r="R385" s="14" t="str">
        <f aca="false">IF($D385&lt;&gt;1,"",IF($G385="ROKS",$L385+$P385,IF($AI385=1,0,MAX($N385,$L385-$P385))))</f>
        <v/>
      </c>
      <c r="S385" s="14" t="str">
        <f aca="false">IF($D385&lt;&gt;1,"",IF($G385="ROKS",$M385+$Q385,IF($AI385=1,0,MAX($O385,$M385-$Q385))))</f>
        <v/>
      </c>
      <c r="T385" s="14" t="str">
        <f aca="false">IF($D385&lt;&gt;1,"",IF($AI385=1,0,MAX($J385,ROUNDUP(MAX($R385/$H385,$S385/$I385),0))))</f>
        <v/>
      </c>
      <c r="U385" s="14" t="str">
        <f aca="false">IF($D385&lt;&gt;1,"",IF(p_mode="Nœud",$T385*$H385,$R385))</f>
        <v/>
      </c>
      <c r="V385" s="14" t="str">
        <f aca="false">IF($D385&lt;&gt;1,"",IF(p_mode="Nœud",$T385*$I385,$S385))</f>
        <v/>
      </c>
      <c r="W385" s="84" t="str">
        <f aca="false">IF($D385&lt;&gt;1,"",IF(p_mode="Nœud",$T385*$K385,$R385*IF($G385="IKS",p_iks_cpu,p_roks_cpu)+$S385*IF($G385="IKS",p_iks_ram,p_roks_ram))*p_facteur)</f>
        <v/>
      </c>
      <c r="X385" s="14" t="str">
        <f aca="false">IF($D385&lt;&gt;1,"",IF($G385="ROKS",$R385,IF($AI385=1,0,MAX($N385,$L385-SUMIFS(TblApplications[CPU IKS libérable (vCPU)],TblApplications[Cluster IKS source],$F385,TblApplications[Action],"À migrer",TblApplications[Mois prov (calc)],"&lt;="&amp;$E385)-SUMIFS(TblApplications[CPU IKS libérable (vCPU)],TblApplications[Cluster IKS source],$F385,TblApplications[Action],"À décommissionner",TblApplications[Mois lib (calc)],"&lt;="&amp;$E385)))))</f>
        <v/>
      </c>
      <c r="Y385" s="14" t="str">
        <f aca="false">IF($D385&lt;&gt;1,"",IF($G385="ROKS",$S385,IF($AI385=1,0,MAX($O385,$M385-SUMIFS(TblApplications[RAM IKS libérable (Go)],TblApplications[Cluster IKS source],$F385,TblApplications[Action],"À migrer",TblApplications[Mois prov (calc)],"&lt;="&amp;$E385)-SUMIFS(TblApplications[RAM IKS libérable (Go)],TblApplications[Cluster IKS source],$F385,TblApplications[Action],"À décommissionner",TblApplications[Mois lib (calc)],"&lt;="&amp;$E385)))))</f>
        <v/>
      </c>
      <c r="Z385" s="14" t="str">
        <f aca="false">IF($D385&lt;&gt;1,"",IF($AI385=1,0,MAX($J385,ROUNDUP(MAX($X385/$H385,$Y385/$I385),0))))</f>
        <v/>
      </c>
      <c r="AA385" s="84" t="str">
        <f aca="false">IF($D385&lt;&gt;1,"",IF(p_mode="Nœud",$Z385*$K385,$X385*IF($G385="IKS",p_iks_cpu,p_roks_cpu)+$Y385*IF($G385="IKS",p_iks_ram,p_roks_ram))*p_facteur)</f>
        <v/>
      </c>
      <c r="AB385" s="14" t="str">
        <f aca="false">IF($D385&lt;&gt;1,"",MAX($J385,ROUNDUP(MAX($L385/$H385,$M385/$I385),0)))</f>
        <v/>
      </c>
      <c r="AC385" s="84" t="str">
        <f aca="false">IF($D385&lt;&gt;1,"",IF(p_mode="Nœud",$AB385*$K385,$L385*IF($G385="IKS",p_iks_cpu,p_roks_cpu)+$M385*IF($G385="IKS",p_iks_ram,p_roks_ram))*p_facteur)</f>
        <v/>
      </c>
      <c r="AD385" s="14" t="str">
        <f aca="false">IF($D385&lt;&gt;1,"",IF(AND($G385="IKS",$AI385&lt;&gt;1,OR($L385-$P385&lt;$N385,$M385-$Q385&lt;$O385)),1,0))</f>
        <v/>
      </c>
      <c r="AE385" s="14" t="str">
        <f aca="false">IF($D385&lt;&gt;1,"",IF(AND($G385="ROKS",$T385&gt;p_maxworkers),1,0))</f>
        <v/>
      </c>
      <c r="AF385" s="14" t="str">
        <f aca="false">IF($D385&lt;&gt;1,"",IF(INDEX(TblClusters[Environnement],$B385)="","(vide)",INDEX(TblClusters[Environnement],$B385)))</f>
        <v/>
      </c>
      <c r="AG385" s="14" t="str">
        <f aca="false">IF($D385&lt;&gt;1,"",$R385+p_poidsram*$S385)</f>
        <v/>
      </c>
      <c r="AH385" s="14" t="str">
        <f aca="false">IF($D385&lt;&gt;1,"",IFERROR($W385/$AG385,0))</f>
        <v/>
      </c>
      <c r="AI385" s="14" t="str">
        <f aca="false">IF($D385&lt;&gt;1,"",IF(AND($G385="IKS",ISNUMBER(INDEX(TblClusters[Fermeture retenue],$B385))),IF($E385&gt;=INDEX(TblClusters[Fermeture retenue],$B385),1,0),0))</f>
        <v/>
      </c>
    </row>
    <row r="386" customFormat="false" ht="15" hidden="false" customHeight="false" outlineLevel="0" collapsed="false">
      <c r="A386" s="14" t="n">
        <v>381</v>
      </c>
      <c r="B386" s="14" t="n">
        <f aca="false">INT(($A386-1)/36)+1</f>
        <v>11</v>
      </c>
      <c r="C386" s="14" t="n">
        <f aca="false">MOD($A386-1,36)+1</f>
        <v>21</v>
      </c>
      <c r="D386" s="14" t="n">
        <f aca="false">IF($C386&gt;p_horizon,0,IFERROR(IF(AND(INDEX(TblClusters[Cluster],$B386)&lt;&gt;"",ISNUMBER(INDEX(TblClusters[CPU initial (vCPU)],$B386)),ISNUMBER(INDEX(TblClusters[CPU min (vCPU)],$B386)),OR(INDEX(TblClusters[Plateforme],$B386)="IKS",INDEX(TblClusters[Plateforme],$B386)="ROKS")),1,0),0))</f>
        <v>0</v>
      </c>
      <c r="E386" s="83" t="str">
        <f aca="false">IF($D386=1,EDATE(p_debut,$C386-1),"")</f>
        <v/>
      </c>
      <c r="F386" s="14" t="str">
        <f aca="false">IF($D386=1,INDEX(TblClusters[Cluster],$B386),"")</f>
        <v/>
      </c>
      <c r="G386" s="14" t="str">
        <f aca="false">IF($D386=1,INDEX(TblClusters[Plateforme],$B386),"")</f>
        <v/>
      </c>
      <c r="H386" s="14" t="str">
        <f aca="false">IF($D386=1,INDEX(TblClusters[vCPU par nœud],$B386),"")</f>
        <v/>
      </c>
      <c r="I386" s="14" t="str">
        <f aca="false">IF($D386=1,INDEX(TblClusters[RAM par nœud (Go)],$B386),"")</f>
        <v/>
      </c>
      <c r="J386" s="14" t="str">
        <f aca="false">IF($D386=1,INDEX(TblClusters[Workers min],$B386),"")</f>
        <v/>
      </c>
      <c r="K386" s="84" t="str">
        <f aca="false">IF($D386=1,INDEX(TblClusters[Tarif par nœud],$B386),"")</f>
        <v/>
      </c>
      <c r="L386" s="14" t="str">
        <f aca="false">IF($D386=1,INDEX(TblClusters[CPU initial (vCPU)],$B386),"")</f>
        <v/>
      </c>
      <c r="M386" s="14" t="str">
        <f aca="false">IF($D386=1,INDEX(TblClusters[RAM initiale (Go)],$B386),"")</f>
        <v/>
      </c>
      <c r="N386" s="14" t="str">
        <f aca="false">IF($D386=1,INDEX(TblClusters[CPU min (vCPU)],$B386),"")</f>
        <v/>
      </c>
      <c r="O386" s="14" t="str">
        <f aca="false">IF($D386=1,INDEX(TblClusters[RAM min (Go)],$B386),"")</f>
        <v/>
      </c>
      <c r="P386" s="14" t="str">
        <f aca="false">IF($D386&lt;&gt;1,"",IF($G386="ROKS",SUMIFS(TblApplications[Besoin ROKS CPU (vCPU)],TblApplications[Cluster ROKS cible],$F386,TblApplications[Action],"À migrer",TblApplications[Déjà incluse ROKS],"Non",TblApplications[Mois prov (calc)],"&lt;="&amp;$E386),SUMIFS(TblApplications[CPU IKS libérable (vCPU)],TblApplications[Cluster IKS source],$F386,TblApplications[Mois lib (calc)],"&lt;="&amp;$E386)))</f>
        <v/>
      </c>
      <c r="Q386" s="14" t="str">
        <f aca="false">IF($D386&lt;&gt;1,"",IF($G386="ROKS",SUMIFS(TblApplications[Besoin ROKS RAM (Go)],TblApplications[Cluster ROKS cible],$F386,TblApplications[Action],"À migrer",TblApplications[Déjà incluse ROKS],"Non",TblApplications[Mois prov (calc)],"&lt;="&amp;$E386),SUMIFS(TblApplications[RAM IKS libérable (Go)],TblApplications[Cluster IKS source],$F386,TblApplications[Mois lib (calc)],"&lt;="&amp;$E386)))</f>
        <v/>
      </c>
      <c r="R386" s="14" t="str">
        <f aca="false">IF($D386&lt;&gt;1,"",IF($G386="ROKS",$L386+$P386,IF($AI386=1,0,MAX($N386,$L386-$P386))))</f>
        <v/>
      </c>
      <c r="S386" s="14" t="str">
        <f aca="false">IF($D386&lt;&gt;1,"",IF($G386="ROKS",$M386+$Q386,IF($AI386=1,0,MAX($O386,$M386-$Q386))))</f>
        <v/>
      </c>
      <c r="T386" s="14" t="str">
        <f aca="false">IF($D386&lt;&gt;1,"",IF($AI386=1,0,MAX($J386,ROUNDUP(MAX($R386/$H386,$S386/$I386),0))))</f>
        <v/>
      </c>
      <c r="U386" s="14" t="str">
        <f aca="false">IF($D386&lt;&gt;1,"",IF(p_mode="Nœud",$T386*$H386,$R386))</f>
        <v/>
      </c>
      <c r="V386" s="14" t="str">
        <f aca="false">IF($D386&lt;&gt;1,"",IF(p_mode="Nœud",$T386*$I386,$S386))</f>
        <v/>
      </c>
      <c r="W386" s="84" t="str">
        <f aca="false">IF($D386&lt;&gt;1,"",IF(p_mode="Nœud",$T386*$K386,$R386*IF($G386="IKS",p_iks_cpu,p_roks_cpu)+$S386*IF($G386="IKS",p_iks_ram,p_roks_ram))*p_facteur)</f>
        <v/>
      </c>
      <c r="X386" s="14" t="str">
        <f aca="false">IF($D386&lt;&gt;1,"",IF($G386="ROKS",$R386,IF($AI386=1,0,MAX($N386,$L386-SUMIFS(TblApplications[CPU IKS libérable (vCPU)],TblApplications[Cluster IKS source],$F386,TblApplications[Action],"À migrer",TblApplications[Mois prov (calc)],"&lt;="&amp;$E386)-SUMIFS(TblApplications[CPU IKS libérable (vCPU)],TblApplications[Cluster IKS source],$F386,TblApplications[Action],"À décommissionner",TblApplications[Mois lib (calc)],"&lt;="&amp;$E386)))))</f>
        <v/>
      </c>
      <c r="Y386" s="14" t="str">
        <f aca="false">IF($D386&lt;&gt;1,"",IF($G386="ROKS",$S386,IF($AI386=1,0,MAX($O386,$M386-SUMIFS(TblApplications[RAM IKS libérable (Go)],TblApplications[Cluster IKS source],$F386,TblApplications[Action],"À migrer",TblApplications[Mois prov (calc)],"&lt;="&amp;$E386)-SUMIFS(TblApplications[RAM IKS libérable (Go)],TblApplications[Cluster IKS source],$F386,TblApplications[Action],"À décommissionner",TblApplications[Mois lib (calc)],"&lt;="&amp;$E386)))))</f>
        <v/>
      </c>
      <c r="Z386" s="14" t="str">
        <f aca="false">IF($D386&lt;&gt;1,"",IF($AI386=1,0,MAX($J386,ROUNDUP(MAX($X386/$H386,$Y386/$I386),0))))</f>
        <v/>
      </c>
      <c r="AA386" s="84" t="str">
        <f aca="false">IF($D386&lt;&gt;1,"",IF(p_mode="Nœud",$Z386*$K386,$X386*IF($G386="IKS",p_iks_cpu,p_roks_cpu)+$Y386*IF($G386="IKS",p_iks_ram,p_roks_ram))*p_facteur)</f>
        <v/>
      </c>
      <c r="AB386" s="14" t="str">
        <f aca="false">IF($D386&lt;&gt;1,"",MAX($J386,ROUNDUP(MAX($L386/$H386,$M386/$I386),0)))</f>
        <v/>
      </c>
      <c r="AC386" s="84" t="str">
        <f aca="false">IF($D386&lt;&gt;1,"",IF(p_mode="Nœud",$AB386*$K386,$L386*IF($G386="IKS",p_iks_cpu,p_roks_cpu)+$M386*IF($G386="IKS",p_iks_ram,p_roks_ram))*p_facteur)</f>
        <v/>
      </c>
      <c r="AD386" s="14" t="str">
        <f aca="false">IF($D386&lt;&gt;1,"",IF(AND($G386="IKS",$AI386&lt;&gt;1,OR($L386-$P386&lt;$N386,$M386-$Q386&lt;$O386)),1,0))</f>
        <v/>
      </c>
      <c r="AE386" s="14" t="str">
        <f aca="false">IF($D386&lt;&gt;1,"",IF(AND($G386="ROKS",$T386&gt;p_maxworkers),1,0))</f>
        <v/>
      </c>
      <c r="AF386" s="14" t="str">
        <f aca="false">IF($D386&lt;&gt;1,"",IF(INDEX(TblClusters[Environnement],$B386)="","(vide)",INDEX(TblClusters[Environnement],$B386)))</f>
        <v/>
      </c>
      <c r="AG386" s="14" t="str">
        <f aca="false">IF($D386&lt;&gt;1,"",$R386+p_poidsram*$S386)</f>
        <v/>
      </c>
      <c r="AH386" s="14" t="str">
        <f aca="false">IF($D386&lt;&gt;1,"",IFERROR($W386/$AG386,0))</f>
        <v/>
      </c>
      <c r="AI386" s="14" t="str">
        <f aca="false">IF($D386&lt;&gt;1,"",IF(AND($G386="IKS",ISNUMBER(INDEX(TblClusters[Fermeture retenue],$B386))),IF($E386&gt;=INDEX(TblClusters[Fermeture retenue],$B386),1,0),0))</f>
        <v/>
      </c>
    </row>
    <row r="387" customFormat="false" ht="15" hidden="false" customHeight="false" outlineLevel="0" collapsed="false">
      <c r="A387" s="14" t="n">
        <v>382</v>
      </c>
      <c r="B387" s="14" t="n">
        <f aca="false">INT(($A387-1)/36)+1</f>
        <v>11</v>
      </c>
      <c r="C387" s="14" t="n">
        <f aca="false">MOD($A387-1,36)+1</f>
        <v>22</v>
      </c>
      <c r="D387" s="14" t="n">
        <f aca="false">IF($C387&gt;p_horizon,0,IFERROR(IF(AND(INDEX(TblClusters[Cluster],$B387)&lt;&gt;"",ISNUMBER(INDEX(TblClusters[CPU initial (vCPU)],$B387)),ISNUMBER(INDEX(TblClusters[CPU min (vCPU)],$B387)),OR(INDEX(TblClusters[Plateforme],$B387)="IKS",INDEX(TblClusters[Plateforme],$B387)="ROKS")),1,0),0))</f>
        <v>0</v>
      </c>
      <c r="E387" s="83" t="str">
        <f aca="false">IF($D387=1,EDATE(p_debut,$C387-1),"")</f>
        <v/>
      </c>
      <c r="F387" s="14" t="str">
        <f aca="false">IF($D387=1,INDEX(TblClusters[Cluster],$B387),"")</f>
        <v/>
      </c>
      <c r="G387" s="14" t="str">
        <f aca="false">IF($D387=1,INDEX(TblClusters[Plateforme],$B387),"")</f>
        <v/>
      </c>
      <c r="H387" s="14" t="str">
        <f aca="false">IF($D387=1,INDEX(TblClusters[vCPU par nœud],$B387),"")</f>
        <v/>
      </c>
      <c r="I387" s="14" t="str">
        <f aca="false">IF($D387=1,INDEX(TblClusters[RAM par nœud (Go)],$B387),"")</f>
        <v/>
      </c>
      <c r="J387" s="14" t="str">
        <f aca="false">IF($D387=1,INDEX(TblClusters[Workers min],$B387),"")</f>
        <v/>
      </c>
      <c r="K387" s="84" t="str">
        <f aca="false">IF($D387=1,INDEX(TblClusters[Tarif par nœud],$B387),"")</f>
        <v/>
      </c>
      <c r="L387" s="14" t="str">
        <f aca="false">IF($D387=1,INDEX(TblClusters[CPU initial (vCPU)],$B387),"")</f>
        <v/>
      </c>
      <c r="M387" s="14" t="str">
        <f aca="false">IF($D387=1,INDEX(TblClusters[RAM initiale (Go)],$B387),"")</f>
        <v/>
      </c>
      <c r="N387" s="14" t="str">
        <f aca="false">IF($D387=1,INDEX(TblClusters[CPU min (vCPU)],$B387),"")</f>
        <v/>
      </c>
      <c r="O387" s="14" t="str">
        <f aca="false">IF($D387=1,INDEX(TblClusters[RAM min (Go)],$B387),"")</f>
        <v/>
      </c>
      <c r="P387" s="14" t="str">
        <f aca="false">IF($D387&lt;&gt;1,"",IF($G387="ROKS",SUMIFS(TblApplications[Besoin ROKS CPU (vCPU)],TblApplications[Cluster ROKS cible],$F387,TblApplications[Action],"À migrer",TblApplications[Déjà incluse ROKS],"Non",TblApplications[Mois prov (calc)],"&lt;="&amp;$E387),SUMIFS(TblApplications[CPU IKS libérable (vCPU)],TblApplications[Cluster IKS source],$F387,TblApplications[Mois lib (calc)],"&lt;="&amp;$E387)))</f>
        <v/>
      </c>
      <c r="Q387" s="14" t="str">
        <f aca="false">IF($D387&lt;&gt;1,"",IF($G387="ROKS",SUMIFS(TblApplications[Besoin ROKS RAM (Go)],TblApplications[Cluster ROKS cible],$F387,TblApplications[Action],"À migrer",TblApplications[Déjà incluse ROKS],"Non",TblApplications[Mois prov (calc)],"&lt;="&amp;$E387),SUMIFS(TblApplications[RAM IKS libérable (Go)],TblApplications[Cluster IKS source],$F387,TblApplications[Mois lib (calc)],"&lt;="&amp;$E387)))</f>
        <v/>
      </c>
      <c r="R387" s="14" t="str">
        <f aca="false">IF($D387&lt;&gt;1,"",IF($G387="ROKS",$L387+$P387,IF($AI387=1,0,MAX($N387,$L387-$P387))))</f>
        <v/>
      </c>
      <c r="S387" s="14" t="str">
        <f aca="false">IF($D387&lt;&gt;1,"",IF($G387="ROKS",$M387+$Q387,IF($AI387=1,0,MAX($O387,$M387-$Q387))))</f>
        <v/>
      </c>
      <c r="T387" s="14" t="str">
        <f aca="false">IF($D387&lt;&gt;1,"",IF($AI387=1,0,MAX($J387,ROUNDUP(MAX($R387/$H387,$S387/$I387),0))))</f>
        <v/>
      </c>
      <c r="U387" s="14" t="str">
        <f aca="false">IF($D387&lt;&gt;1,"",IF(p_mode="Nœud",$T387*$H387,$R387))</f>
        <v/>
      </c>
      <c r="V387" s="14" t="str">
        <f aca="false">IF($D387&lt;&gt;1,"",IF(p_mode="Nœud",$T387*$I387,$S387))</f>
        <v/>
      </c>
      <c r="W387" s="84" t="str">
        <f aca="false">IF($D387&lt;&gt;1,"",IF(p_mode="Nœud",$T387*$K387,$R387*IF($G387="IKS",p_iks_cpu,p_roks_cpu)+$S387*IF($G387="IKS",p_iks_ram,p_roks_ram))*p_facteur)</f>
        <v/>
      </c>
      <c r="X387" s="14" t="str">
        <f aca="false">IF($D387&lt;&gt;1,"",IF($G387="ROKS",$R387,IF($AI387=1,0,MAX($N387,$L387-SUMIFS(TblApplications[CPU IKS libérable (vCPU)],TblApplications[Cluster IKS source],$F387,TblApplications[Action],"À migrer",TblApplications[Mois prov (calc)],"&lt;="&amp;$E387)-SUMIFS(TblApplications[CPU IKS libérable (vCPU)],TblApplications[Cluster IKS source],$F387,TblApplications[Action],"À décommissionner",TblApplications[Mois lib (calc)],"&lt;="&amp;$E387)))))</f>
        <v/>
      </c>
      <c r="Y387" s="14" t="str">
        <f aca="false">IF($D387&lt;&gt;1,"",IF($G387="ROKS",$S387,IF($AI387=1,0,MAX($O387,$M387-SUMIFS(TblApplications[RAM IKS libérable (Go)],TblApplications[Cluster IKS source],$F387,TblApplications[Action],"À migrer",TblApplications[Mois prov (calc)],"&lt;="&amp;$E387)-SUMIFS(TblApplications[RAM IKS libérable (Go)],TblApplications[Cluster IKS source],$F387,TblApplications[Action],"À décommissionner",TblApplications[Mois lib (calc)],"&lt;="&amp;$E387)))))</f>
        <v/>
      </c>
      <c r="Z387" s="14" t="str">
        <f aca="false">IF($D387&lt;&gt;1,"",IF($AI387=1,0,MAX($J387,ROUNDUP(MAX($X387/$H387,$Y387/$I387),0))))</f>
        <v/>
      </c>
      <c r="AA387" s="84" t="str">
        <f aca="false">IF($D387&lt;&gt;1,"",IF(p_mode="Nœud",$Z387*$K387,$X387*IF($G387="IKS",p_iks_cpu,p_roks_cpu)+$Y387*IF($G387="IKS",p_iks_ram,p_roks_ram))*p_facteur)</f>
        <v/>
      </c>
      <c r="AB387" s="14" t="str">
        <f aca="false">IF($D387&lt;&gt;1,"",MAX($J387,ROUNDUP(MAX($L387/$H387,$M387/$I387),0)))</f>
        <v/>
      </c>
      <c r="AC387" s="84" t="str">
        <f aca="false">IF($D387&lt;&gt;1,"",IF(p_mode="Nœud",$AB387*$K387,$L387*IF($G387="IKS",p_iks_cpu,p_roks_cpu)+$M387*IF($G387="IKS",p_iks_ram,p_roks_ram))*p_facteur)</f>
        <v/>
      </c>
      <c r="AD387" s="14" t="str">
        <f aca="false">IF($D387&lt;&gt;1,"",IF(AND($G387="IKS",$AI387&lt;&gt;1,OR($L387-$P387&lt;$N387,$M387-$Q387&lt;$O387)),1,0))</f>
        <v/>
      </c>
      <c r="AE387" s="14" t="str">
        <f aca="false">IF($D387&lt;&gt;1,"",IF(AND($G387="ROKS",$T387&gt;p_maxworkers),1,0))</f>
        <v/>
      </c>
      <c r="AF387" s="14" t="str">
        <f aca="false">IF($D387&lt;&gt;1,"",IF(INDEX(TblClusters[Environnement],$B387)="","(vide)",INDEX(TblClusters[Environnement],$B387)))</f>
        <v/>
      </c>
      <c r="AG387" s="14" t="str">
        <f aca="false">IF($D387&lt;&gt;1,"",$R387+p_poidsram*$S387)</f>
        <v/>
      </c>
      <c r="AH387" s="14" t="str">
        <f aca="false">IF($D387&lt;&gt;1,"",IFERROR($W387/$AG387,0))</f>
        <v/>
      </c>
      <c r="AI387" s="14" t="str">
        <f aca="false">IF($D387&lt;&gt;1,"",IF(AND($G387="IKS",ISNUMBER(INDEX(TblClusters[Fermeture retenue],$B387))),IF($E387&gt;=INDEX(TblClusters[Fermeture retenue],$B387),1,0),0))</f>
        <v/>
      </c>
    </row>
    <row r="388" customFormat="false" ht="15" hidden="false" customHeight="false" outlineLevel="0" collapsed="false">
      <c r="A388" s="14" t="n">
        <v>383</v>
      </c>
      <c r="B388" s="14" t="n">
        <f aca="false">INT(($A388-1)/36)+1</f>
        <v>11</v>
      </c>
      <c r="C388" s="14" t="n">
        <f aca="false">MOD($A388-1,36)+1</f>
        <v>23</v>
      </c>
      <c r="D388" s="14" t="n">
        <f aca="false">IF($C388&gt;p_horizon,0,IFERROR(IF(AND(INDEX(TblClusters[Cluster],$B388)&lt;&gt;"",ISNUMBER(INDEX(TblClusters[CPU initial (vCPU)],$B388)),ISNUMBER(INDEX(TblClusters[CPU min (vCPU)],$B388)),OR(INDEX(TblClusters[Plateforme],$B388)="IKS",INDEX(TblClusters[Plateforme],$B388)="ROKS")),1,0),0))</f>
        <v>0</v>
      </c>
      <c r="E388" s="83" t="str">
        <f aca="false">IF($D388=1,EDATE(p_debut,$C388-1),"")</f>
        <v/>
      </c>
      <c r="F388" s="14" t="str">
        <f aca="false">IF($D388=1,INDEX(TblClusters[Cluster],$B388),"")</f>
        <v/>
      </c>
      <c r="G388" s="14" t="str">
        <f aca="false">IF($D388=1,INDEX(TblClusters[Plateforme],$B388),"")</f>
        <v/>
      </c>
      <c r="H388" s="14" t="str">
        <f aca="false">IF($D388=1,INDEX(TblClusters[vCPU par nœud],$B388),"")</f>
        <v/>
      </c>
      <c r="I388" s="14" t="str">
        <f aca="false">IF($D388=1,INDEX(TblClusters[RAM par nœud (Go)],$B388),"")</f>
        <v/>
      </c>
      <c r="J388" s="14" t="str">
        <f aca="false">IF($D388=1,INDEX(TblClusters[Workers min],$B388),"")</f>
        <v/>
      </c>
      <c r="K388" s="84" t="str">
        <f aca="false">IF($D388=1,INDEX(TblClusters[Tarif par nœud],$B388),"")</f>
        <v/>
      </c>
      <c r="L388" s="14" t="str">
        <f aca="false">IF($D388=1,INDEX(TblClusters[CPU initial (vCPU)],$B388),"")</f>
        <v/>
      </c>
      <c r="M388" s="14" t="str">
        <f aca="false">IF($D388=1,INDEX(TblClusters[RAM initiale (Go)],$B388),"")</f>
        <v/>
      </c>
      <c r="N388" s="14" t="str">
        <f aca="false">IF($D388=1,INDEX(TblClusters[CPU min (vCPU)],$B388),"")</f>
        <v/>
      </c>
      <c r="O388" s="14" t="str">
        <f aca="false">IF($D388=1,INDEX(TblClusters[RAM min (Go)],$B388),"")</f>
        <v/>
      </c>
      <c r="P388" s="14" t="str">
        <f aca="false">IF($D388&lt;&gt;1,"",IF($G388="ROKS",SUMIFS(TblApplications[Besoin ROKS CPU (vCPU)],TblApplications[Cluster ROKS cible],$F388,TblApplications[Action],"À migrer",TblApplications[Déjà incluse ROKS],"Non",TblApplications[Mois prov (calc)],"&lt;="&amp;$E388),SUMIFS(TblApplications[CPU IKS libérable (vCPU)],TblApplications[Cluster IKS source],$F388,TblApplications[Mois lib (calc)],"&lt;="&amp;$E388)))</f>
        <v/>
      </c>
      <c r="Q388" s="14" t="str">
        <f aca="false">IF($D388&lt;&gt;1,"",IF($G388="ROKS",SUMIFS(TblApplications[Besoin ROKS RAM (Go)],TblApplications[Cluster ROKS cible],$F388,TblApplications[Action],"À migrer",TblApplications[Déjà incluse ROKS],"Non",TblApplications[Mois prov (calc)],"&lt;="&amp;$E388),SUMIFS(TblApplications[RAM IKS libérable (Go)],TblApplications[Cluster IKS source],$F388,TblApplications[Mois lib (calc)],"&lt;="&amp;$E388)))</f>
        <v/>
      </c>
      <c r="R388" s="14" t="str">
        <f aca="false">IF($D388&lt;&gt;1,"",IF($G388="ROKS",$L388+$P388,IF($AI388=1,0,MAX($N388,$L388-$P388))))</f>
        <v/>
      </c>
      <c r="S388" s="14" t="str">
        <f aca="false">IF($D388&lt;&gt;1,"",IF($G388="ROKS",$M388+$Q388,IF($AI388=1,0,MAX($O388,$M388-$Q388))))</f>
        <v/>
      </c>
      <c r="T388" s="14" t="str">
        <f aca="false">IF($D388&lt;&gt;1,"",IF($AI388=1,0,MAX($J388,ROUNDUP(MAX($R388/$H388,$S388/$I388),0))))</f>
        <v/>
      </c>
      <c r="U388" s="14" t="str">
        <f aca="false">IF($D388&lt;&gt;1,"",IF(p_mode="Nœud",$T388*$H388,$R388))</f>
        <v/>
      </c>
      <c r="V388" s="14" t="str">
        <f aca="false">IF($D388&lt;&gt;1,"",IF(p_mode="Nœud",$T388*$I388,$S388))</f>
        <v/>
      </c>
      <c r="W388" s="84" t="str">
        <f aca="false">IF($D388&lt;&gt;1,"",IF(p_mode="Nœud",$T388*$K388,$R388*IF($G388="IKS",p_iks_cpu,p_roks_cpu)+$S388*IF($G388="IKS",p_iks_ram,p_roks_ram))*p_facteur)</f>
        <v/>
      </c>
      <c r="X388" s="14" t="str">
        <f aca="false">IF($D388&lt;&gt;1,"",IF($G388="ROKS",$R388,IF($AI388=1,0,MAX($N388,$L388-SUMIFS(TblApplications[CPU IKS libérable (vCPU)],TblApplications[Cluster IKS source],$F388,TblApplications[Action],"À migrer",TblApplications[Mois prov (calc)],"&lt;="&amp;$E388)-SUMIFS(TblApplications[CPU IKS libérable (vCPU)],TblApplications[Cluster IKS source],$F388,TblApplications[Action],"À décommissionner",TblApplications[Mois lib (calc)],"&lt;="&amp;$E388)))))</f>
        <v/>
      </c>
      <c r="Y388" s="14" t="str">
        <f aca="false">IF($D388&lt;&gt;1,"",IF($G388="ROKS",$S388,IF($AI388=1,0,MAX($O388,$M388-SUMIFS(TblApplications[RAM IKS libérable (Go)],TblApplications[Cluster IKS source],$F388,TblApplications[Action],"À migrer",TblApplications[Mois prov (calc)],"&lt;="&amp;$E388)-SUMIFS(TblApplications[RAM IKS libérable (Go)],TblApplications[Cluster IKS source],$F388,TblApplications[Action],"À décommissionner",TblApplications[Mois lib (calc)],"&lt;="&amp;$E388)))))</f>
        <v/>
      </c>
      <c r="Z388" s="14" t="str">
        <f aca="false">IF($D388&lt;&gt;1,"",IF($AI388=1,0,MAX($J388,ROUNDUP(MAX($X388/$H388,$Y388/$I388),0))))</f>
        <v/>
      </c>
      <c r="AA388" s="84" t="str">
        <f aca="false">IF($D388&lt;&gt;1,"",IF(p_mode="Nœud",$Z388*$K388,$X388*IF($G388="IKS",p_iks_cpu,p_roks_cpu)+$Y388*IF($G388="IKS",p_iks_ram,p_roks_ram))*p_facteur)</f>
        <v/>
      </c>
      <c r="AB388" s="14" t="str">
        <f aca="false">IF($D388&lt;&gt;1,"",MAX($J388,ROUNDUP(MAX($L388/$H388,$M388/$I388),0)))</f>
        <v/>
      </c>
      <c r="AC388" s="84" t="str">
        <f aca="false">IF($D388&lt;&gt;1,"",IF(p_mode="Nœud",$AB388*$K388,$L388*IF($G388="IKS",p_iks_cpu,p_roks_cpu)+$M388*IF($G388="IKS",p_iks_ram,p_roks_ram))*p_facteur)</f>
        <v/>
      </c>
      <c r="AD388" s="14" t="str">
        <f aca="false">IF($D388&lt;&gt;1,"",IF(AND($G388="IKS",$AI388&lt;&gt;1,OR($L388-$P388&lt;$N388,$M388-$Q388&lt;$O388)),1,0))</f>
        <v/>
      </c>
      <c r="AE388" s="14" t="str">
        <f aca="false">IF($D388&lt;&gt;1,"",IF(AND($G388="ROKS",$T388&gt;p_maxworkers),1,0))</f>
        <v/>
      </c>
      <c r="AF388" s="14" t="str">
        <f aca="false">IF($D388&lt;&gt;1,"",IF(INDEX(TblClusters[Environnement],$B388)="","(vide)",INDEX(TblClusters[Environnement],$B388)))</f>
        <v/>
      </c>
      <c r="AG388" s="14" t="str">
        <f aca="false">IF($D388&lt;&gt;1,"",$R388+p_poidsram*$S388)</f>
        <v/>
      </c>
      <c r="AH388" s="14" t="str">
        <f aca="false">IF($D388&lt;&gt;1,"",IFERROR($W388/$AG388,0))</f>
        <v/>
      </c>
      <c r="AI388" s="14" t="str">
        <f aca="false">IF($D388&lt;&gt;1,"",IF(AND($G388="IKS",ISNUMBER(INDEX(TblClusters[Fermeture retenue],$B388))),IF($E388&gt;=INDEX(TblClusters[Fermeture retenue],$B388),1,0),0))</f>
        <v/>
      </c>
    </row>
    <row r="389" customFormat="false" ht="15" hidden="false" customHeight="false" outlineLevel="0" collapsed="false">
      <c r="A389" s="14" t="n">
        <v>384</v>
      </c>
      <c r="B389" s="14" t="n">
        <f aca="false">INT(($A389-1)/36)+1</f>
        <v>11</v>
      </c>
      <c r="C389" s="14" t="n">
        <f aca="false">MOD($A389-1,36)+1</f>
        <v>24</v>
      </c>
      <c r="D389" s="14" t="n">
        <f aca="false">IF($C389&gt;p_horizon,0,IFERROR(IF(AND(INDEX(TblClusters[Cluster],$B389)&lt;&gt;"",ISNUMBER(INDEX(TblClusters[CPU initial (vCPU)],$B389)),ISNUMBER(INDEX(TblClusters[CPU min (vCPU)],$B389)),OR(INDEX(TblClusters[Plateforme],$B389)="IKS",INDEX(TblClusters[Plateforme],$B389)="ROKS")),1,0),0))</f>
        <v>0</v>
      </c>
      <c r="E389" s="83" t="str">
        <f aca="false">IF($D389=1,EDATE(p_debut,$C389-1),"")</f>
        <v/>
      </c>
      <c r="F389" s="14" t="str">
        <f aca="false">IF($D389=1,INDEX(TblClusters[Cluster],$B389),"")</f>
        <v/>
      </c>
      <c r="G389" s="14" t="str">
        <f aca="false">IF($D389=1,INDEX(TblClusters[Plateforme],$B389),"")</f>
        <v/>
      </c>
      <c r="H389" s="14" t="str">
        <f aca="false">IF($D389=1,INDEX(TblClusters[vCPU par nœud],$B389),"")</f>
        <v/>
      </c>
      <c r="I389" s="14" t="str">
        <f aca="false">IF($D389=1,INDEX(TblClusters[RAM par nœud (Go)],$B389),"")</f>
        <v/>
      </c>
      <c r="J389" s="14" t="str">
        <f aca="false">IF($D389=1,INDEX(TblClusters[Workers min],$B389),"")</f>
        <v/>
      </c>
      <c r="K389" s="84" t="str">
        <f aca="false">IF($D389=1,INDEX(TblClusters[Tarif par nœud],$B389),"")</f>
        <v/>
      </c>
      <c r="L389" s="14" t="str">
        <f aca="false">IF($D389=1,INDEX(TblClusters[CPU initial (vCPU)],$B389),"")</f>
        <v/>
      </c>
      <c r="M389" s="14" t="str">
        <f aca="false">IF($D389=1,INDEX(TblClusters[RAM initiale (Go)],$B389),"")</f>
        <v/>
      </c>
      <c r="N389" s="14" t="str">
        <f aca="false">IF($D389=1,INDEX(TblClusters[CPU min (vCPU)],$B389),"")</f>
        <v/>
      </c>
      <c r="O389" s="14" t="str">
        <f aca="false">IF($D389=1,INDEX(TblClusters[RAM min (Go)],$B389),"")</f>
        <v/>
      </c>
      <c r="P389" s="14" t="str">
        <f aca="false">IF($D389&lt;&gt;1,"",IF($G389="ROKS",SUMIFS(TblApplications[Besoin ROKS CPU (vCPU)],TblApplications[Cluster ROKS cible],$F389,TblApplications[Action],"À migrer",TblApplications[Déjà incluse ROKS],"Non",TblApplications[Mois prov (calc)],"&lt;="&amp;$E389),SUMIFS(TblApplications[CPU IKS libérable (vCPU)],TblApplications[Cluster IKS source],$F389,TblApplications[Mois lib (calc)],"&lt;="&amp;$E389)))</f>
        <v/>
      </c>
      <c r="Q389" s="14" t="str">
        <f aca="false">IF($D389&lt;&gt;1,"",IF($G389="ROKS",SUMIFS(TblApplications[Besoin ROKS RAM (Go)],TblApplications[Cluster ROKS cible],$F389,TblApplications[Action],"À migrer",TblApplications[Déjà incluse ROKS],"Non",TblApplications[Mois prov (calc)],"&lt;="&amp;$E389),SUMIFS(TblApplications[RAM IKS libérable (Go)],TblApplications[Cluster IKS source],$F389,TblApplications[Mois lib (calc)],"&lt;="&amp;$E389)))</f>
        <v/>
      </c>
      <c r="R389" s="14" t="str">
        <f aca="false">IF($D389&lt;&gt;1,"",IF($G389="ROKS",$L389+$P389,IF($AI389=1,0,MAX($N389,$L389-$P389))))</f>
        <v/>
      </c>
      <c r="S389" s="14" t="str">
        <f aca="false">IF($D389&lt;&gt;1,"",IF($G389="ROKS",$M389+$Q389,IF($AI389=1,0,MAX($O389,$M389-$Q389))))</f>
        <v/>
      </c>
      <c r="T389" s="14" t="str">
        <f aca="false">IF($D389&lt;&gt;1,"",IF($AI389=1,0,MAX($J389,ROUNDUP(MAX($R389/$H389,$S389/$I389),0))))</f>
        <v/>
      </c>
      <c r="U389" s="14" t="str">
        <f aca="false">IF($D389&lt;&gt;1,"",IF(p_mode="Nœud",$T389*$H389,$R389))</f>
        <v/>
      </c>
      <c r="V389" s="14" t="str">
        <f aca="false">IF($D389&lt;&gt;1,"",IF(p_mode="Nœud",$T389*$I389,$S389))</f>
        <v/>
      </c>
      <c r="W389" s="84" t="str">
        <f aca="false">IF($D389&lt;&gt;1,"",IF(p_mode="Nœud",$T389*$K389,$R389*IF($G389="IKS",p_iks_cpu,p_roks_cpu)+$S389*IF($G389="IKS",p_iks_ram,p_roks_ram))*p_facteur)</f>
        <v/>
      </c>
      <c r="X389" s="14" t="str">
        <f aca="false">IF($D389&lt;&gt;1,"",IF($G389="ROKS",$R389,IF($AI389=1,0,MAX($N389,$L389-SUMIFS(TblApplications[CPU IKS libérable (vCPU)],TblApplications[Cluster IKS source],$F389,TblApplications[Action],"À migrer",TblApplications[Mois prov (calc)],"&lt;="&amp;$E389)-SUMIFS(TblApplications[CPU IKS libérable (vCPU)],TblApplications[Cluster IKS source],$F389,TblApplications[Action],"À décommissionner",TblApplications[Mois lib (calc)],"&lt;="&amp;$E389)))))</f>
        <v/>
      </c>
      <c r="Y389" s="14" t="str">
        <f aca="false">IF($D389&lt;&gt;1,"",IF($G389="ROKS",$S389,IF($AI389=1,0,MAX($O389,$M389-SUMIFS(TblApplications[RAM IKS libérable (Go)],TblApplications[Cluster IKS source],$F389,TblApplications[Action],"À migrer",TblApplications[Mois prov (calc)],"&lt;="&amp;$E389)-SUMIFS(TblApplications[RAM IKS libérable (Go)],TblApplications[Cluster IKS source],$F389,TblApplications[Action],"À décommissionner",TblApplications[Mois lib (calc)],"&lt;="&amp;$E389)))))</f>
        <v/>
      </c>
      <c r="Z389" s="14" t="str">
        <f aca="false">IF($D389&lt;&gt;1,"",IF($AI389=1,0,MAX($J389,ROUNDUP(MAX($X389/$H389,$Y389/$I389),0))))</f>
        <v/>
      </c>
      <c r="AA389" s="84" t="str">
        <f aca="false">IF($D389&lt;&gt;1,"",IF(p_mode="Nœud",$Z389*$K389,$X389*IF($G389="IKS",p_iks_cpu,p_roks_cpu)+$Y389*IF($G389="IKS",p_iks_ram,p_roks_ram))*p_facteur)</f>
        <v/>
      </c>
      <c r="AB389" s="14" t="str">
        <f aca="false">IF($D389&lt;&gt;1,"",MAX($J389,ROUNDUP(MAX($L389/$H389,$M389/$I389),0)))</f>
        <v/>
      </c>
      <c r="AC389" s="84" t="str">
        <f aca="false">IF($D389&lt;&gt;1,"",IF(p_mode="Nœud",$AB389*$K389,$L389*IF($G389="IKS",p_iks_cpu,p_roks_cpu)+$M389*IF($G389="IKS",p_iks_ram,p_roks_ram))*p_facteur)</f>
        <v/>
      </c>
      <c r="AD389" s="14" t="str">
        <f aca="false">IF($D389&lt;&gt;1,"",IF(AND($G389="IKS",$AI389&lt;&gt;1,OR($L389-$P389&lt;$N389,$M389-$Q389&lt;$O389)),1,0))</f>
        <v/>
      </c>
      <c r="AE389" s="14" t="str">
        <f aca="false">IF($D389&lt;&gt;1,"",IF(AND($G389="ROKS",$T389&gt;p_maxworkers),1,0))</f>
        <v/>
      </c>
      <c r="AF389" s="14" t="str">
        <f aca="false">IF($D389&lt;&gt;1,"",IF(INDEX(TblClusters[Environnement],$B389)="","(vide)",INDEX(TblClusters[Environnement],$B389)))</f>
        <v/>
      </c>
      <c r="AG389" s="14" t="str">
        <f aca="false">IF($D389&lt;&gt;1,"",$R389+p_poidsram*$S389)</f>
        <v/>
      </c>
      <c r="AH389" s="14" t="str">
        <f aca="false">IF($D389&lt;&gt;1,"",IFERROR($W389/$AG389,0))</f>
        <v/>
      </c>
      <c r="AI389" s="14" t="str">
        <f aca="false">IF($D389&lt;&gt;1,"",IF(AND($G389="IKS",ISNUMBER(INDEX(TblClusters[Fermeture retenue],$B389))),IF($E389&gt;=INDEX(TblClusters[Fermeture retenue],$B389),1,0),0))</f>
        <v/>
      </c>
    </row>
    <row r="390" customFormat="false" ht="15" hidden="false" customHeight="false" outlineLevel="0" collapsed="false">
      <c r="A390" s="14" t="n">
        <v>385</v>
      </c>
      <c r="B390" s="14" t="n">
        <f aca="false">INT(($A390-1)/36)+1</f>
        <v>11</v>
      </c>
      <c r="C390" s="14" t="n">
        <f aca="false">MOD($A390-1,36)+1</f>
        <v>25</v>
      </c>
      <c r="D390" s="14" t="n">
        <f aca="false">IF($C390&gt;p_horizon,0,IFERROR(IF(AND(INDEX(TblClusters[Cluster],$B390)&lt;&gt;"",ISNUMBER(INDEX(TblClusters[CPU initial (vCPU)],$B390)),ISNUMBER(INDEX(TblClusters[CPU min (vCPU)],$B390)),OR(INDEX(TblClusters[Plateforme],$B390)="IKS",INDEX(TblClusters[Plateforme],$B390)="ROKS")),1,0),0))</f>
        <v>0</v>
      </c>
      <c r="E390" s="83" t="str">
        <f aca="false">IF($D390=1,EDATE(p_debut,$C390-1),"")</f>
        <v/>
      </c>
      <c r="F390" s="14" t="str">
        <f aca="false">IF($D390=1,INDEX(TblClusters[Cluster],$B390),"")</f>
        <v/>
      </c>
      <c r="G390" s="14" t="str">
        <f aca="false">IF($D390=1,INDEX(TblClusters[Plateforme],$B390),"")</f>
        <v/>
      </c>
      <c r="H390" s="14" t="str">
        <f aca="false">IF($D390=1,INDEX(TblClusters[vCPU par nœud],$B390),"")</f>
        <v/>
      </c>
      <c r="I390" s="14" t="str">
        <f aca="false">IF($D390=1,INDEX(TblClusters[RAM par nœud (Go)],$B390),"")</f>
        <v/>
      </c>
      <c r="J390" s="14" t="str">
        <f aca="false">IF($D390=1,INDEX(TblClusters[Workers min],$B390),"")</f>
        <v/>
      </c>
      <c r="K390" s="84" t="str">
        <f aca="false">IF($D390=1,INDEX(TblClusters[Tarif par nœud],$B390),"")</f>
        <v/>
      </c>
      <c r="L390" s="14" t="str">
        <f aca="false">IF($D390=1,INDEX(TblClusters[CPU initial (vCPU)],$B390),"")</f>
        <v/>
      </c>
      <c r="M390" s="14" t="str">
        <f aca="false">IF($D390=1,INDEX(TblClusters[RAM initiale (Go)],$B390),"")</f>
        <v/>
      </c>
      <c r="N390" s="14" t="str">
        <f aca="false">IF($D390=1,INDEX(TblClusters[CPU min (vCPU)],$B390),"")</f>
        <v/>
      </c>
      <c r="O390" s="14" t="str">
        <f aca="false">IF($D390=1,INDEX(TblClusters[RAM min (Go)],$B390),"")</f>
        <v/>
      </c>
      <c r="P390" s="14" t="str">
        <f aca="false">IF($D390&lt;&gt;1,"",IF($G390="ROKS",SUMIFS(TblApplications[Besoin ROKS CPU (vCPU)],TblApplications[Cluster ROKS cible],$F390,TblApplications[Action],"À migrer",TblApplications[Déjà incluse ROKS],"Non",TblApplications[Mois prov (calc)],"&lt;="&amp;$E390),SUMIFS(TblApplications[CPU IKS libérable (vCPU)],TblApplications[Cluster IKS source],$F390,TblApplications[Mois lib (calc)],"&lt;="&amp;$E390)))</f>
        <v/>
      </c>
      <c r="Q390" s="14" t="str">
        <f aca="false">IF($D390&lt;&gt;1,"",IF($G390="ROKS",SUMIFS(TblApplications[Besoin ROKS RAM (Go)],TblApplications[Cluster ROKS cible],$F390,TblApplications[Action],"À migrer",TblApplications[Déjà incluse ROKS],"Non",TblApplications[Mois prov (calc)],"&lt;="&amp;$E390),SUMIFS(TblApplications[RAM IKS libérable (Go)],TblApplications[Cluster IKS source],$F390,TblApplications[Mois lib (calc)],"&lt;="&amp;$E390)))</f>
        <v/>
      </c>
      <c r="R390" s="14" t="str">
        <f aca="false">IF($D390&lt;&gt;1,"",IF($G390="ROKS",$L390+$P390,IF($AI390=1,0,MAX($N390,$L390-$P390))))</f>
        <v/>
      </c>
      <c r="S390" s="14" t="str">
        <f aca="false">IF($D390&lt;&gt;1,"",IF($G390="ROKS",$M390+$Q390,IF($AI390=1,0,MAX($O390,$M390-$Q390))))</f>
        <v/>
      </c>
      <c r="T390" s="14" t="str">
        <f aca="false">IF($D390&lt;&gt;1,"",IF($AI390=1,0,MAX($J390,ROUNDUP(MAX($R390/$H390,$S390/$I390),0))))</f>
        <v/>
      </c>
      <c r="U390" s="14" t="str">
        <f aca="false">IF($D390&lt;&gt;1,"",IF(p_mode="Nœud",$T390*$H390,$R390))</f>
        <v/>
      </c>
      <c r="V390" s="14" t="str">
        <f aca="false">IF($D390&lt;&gt;1,"",IF(p_mode="Nœud",$T390*$I390,$S390))</f>
        <v/>
      </c>
      <c r="W390" s="84" t="str">
        <f aca="false">IF($D390&lt;&gt;1,"",IF(p_mode="Nœud",$T390*$K390,$R390*IF($G390="IKS",p_iks_cpu,p_roks_cpu)+$S390*IF($G390="IKS",p_iks_ram,p_roks_ram))*p_facteur)</f>
        <v/>
      </c>
      <c r="X390" s="14" t="str">
        <f aca="false">IF($D390&lt;&gt;1,"",IF($G390="ROKS",$R390,IF($AI390=1,0,MAX($N390,$L390-SUMIFS(TblApplications[CPU IKS libérable (vCPU)],TblApplications[Cluster IKS source],$F390,TblApplications[Action],"À migrer",TblApplications[Mois prov (calc)],"&lt;="&amp;$E390)-SUMIFS(TblApplications[CPU IKS libérable (vCPU)],TblApplications[Cluster IKS source],$F390,TblApplications[Action],"À décommissionner",TblApplications[Mois lib (calc)],"&lt;="&amp;$E390)))))</f>
        <v/>
      </c>
      <c r="Y390" s="14" t="str">
        <f aca="false">IF($D390&lt;&gt;1,"",IF($G390="ROKS",$S390,IF($AI390=1,0,MAX($O390,$M390-SUMIFS(TblApplications[RAM IKS libérable (Go)],TblApplications[Cluster IKS source],$F390,TblApplications[Action],"À migrer",TblApplications[Mois prov (calc)],"&lt;="&amp;$E390)-SUMIFS(TblApplications[RAM IKS libérable (Go)],TblApplications[Cluster IKS source],$F390,TblApplications[Action],"À décommissionner",TblApplications[Mois lib (calc)],"&lt;="&amp;$E390)))))</f>
        <v/>
      </c>
      <c r="Z390" s="14" t="str">
        <f aca="false">IF($D390&lt;&gt;1,"",IF($AI390=1,0,MAX($J390,ROUNDUP(MAX($X390/$H390,$Y390/$I390),0))))</f>
        <v/>
      </c>
      <c r="AA390" s="84" t="str">
        <f aca="false">IF($D390&lt;&gt;1,"",IF(p_mode="Nœud",$Z390*$K390,$X390*IF($G390="IKS",p_iks_cpu,p_roks_cpu)+$Y390*IF($G390="IKS",p_iks_ram,p_roks_ram))*p_facteur)</f>
        <v/>
      </c>
      <c r="AB390" s="14" t="str">
        <f aca="false">IF($D390&lt;&gt;1,"",MAX($J390,ROUNDUP(MAX($L390/$H390,$M390/$I390),0)))</f>
        <v/>
      </c>
      <c r="AC390" s="84" t="str">
        <f aca="false">IF($D390&lt;&gt;1,"",IF(p_mode="Nœud",$AB390*$K390,$L390*IF($G390="IKS",p_iks_cpu,p_roks_cpu)+$M390*IF($G390="IKS",p_iks_ram,p_roks_ram))*p_facteur)</f>
        <v/>
      </c>
      <c r="AD390" s="14" t="str">
        <f aca="false">IF($D390&lt;&gt;1,"",IF(AND($G390="IKS",$AI390&lt;&gt;1,OR($L390-$P390&lt;$N390,$M390-$Q390&lt;$O390)),1,0))</f>
        <v/>
      </c>
      <c r="AE390" s="14" t="str">
        <f aca="false">IF($D390&lt;&gt;1,"",IF(AND($G390="ROKS",$T390&gt;p_maxworkers),1,0))</f>
        <v/>
      </c>
      <c r="AF390" s="14" t="str">
        <f aca="false">IF($D390&lt;&gt;1,"",IF(INDEX(TblClusters[Environnement],$B390)="","(vide)",INDEX(TblClusters[Environnement],$B390)))</f>
        <v/>
      </c>
      <c r="AG390" s="14" t="str">
        <f aca="false">IF($D390&lt;&gt;1,"",$R390+p_poidsram*$S390)</f>
        <v/>
      </c>
      <c r="AH390" s="14" t="str">
        <f aca="false">IF($D390&lt;&gt;1,"",IFERROR($W390/$AG390,0))</f>
        <v/>
      </c>
      <c r="AI390" s="14" t="str">
        <f aca="false">IF($D390&lt;&gt;1,"",IF(AND($G390="IKS",ISNUMBER(INDEX(TblClusters[Fermeture retenue],$B390))),IF($E390&gt;=INDEX(TblClusters[Fermeture retenue],$B390),1,0),0))</f>
        <v/>
      </c>
    </row>
    <row r="391" customFormat="false" ht="15" hidden="false" customHeight="false" outlineLevel="0" collapsed="false">
      <c r="A391" s="14" t="n">
        <v>386</v>
      </c>
      <c r="B391" s="14" t="n">
        <f aca="false">INT(($A391-1)/36)+1</f>
        <v>11</v>
      </c>
      <c r="C391" s="14" t="n">
        <f aca="false">MOD($A391-1,36)+1</f>
        <v>26</v>
      </c>
      <c r="D391" s="14" t="n">
        <f aca="false">IF($C391&gt;p_horizon,0,IFERROR(IF(AND(INDEX(TblClusters[Cluster],$B391)&lt;&gt;"",ISNUMBER(INDEX(TblClusters[CPU initial (vCPU)],$B391)),ISNUMBER(INDEX(TblClusters[CPU min (vCPU)],$B391)),OR(INDEX(TblClusters[Plateforme],$B391)="IKS",INDEX(TblClusters[Plateforme],$B391)="ROKS")),1,0),0))</f>
        <v>0</v>
      </c>
      <c r="E391" s="83" t="str">
        <f aca="false">IF($D391=1,EDATE(p_debut,$C391-1),"")</f>
        <v/>
      </c>
      <c r="F391" s="14" t="str">
        <f aca="false">IF($D391=1,INDEX(TblClusters[Cluster],$B391),"")</f>
        <v/>
      </c>
      <c r="G391" s="14" t="str">
        <f aca="false">IF($D391=1,INDEX(TblClusters[Plateforme],$B391),"")</f>
        <v/>
      </c>
      <c r="H391" s="14" t="str">
        <f aca="false">IF($D391=1,INDEX(TblClusters[vCPU par nœud],$B391),"")</f>
        <v/>
      </c>
      <c r="I391" s="14" t="str">
        <f aca="false">IF($D391=1,INDEX(TblClusters[RAM par nœud (Go)],$B391),"")</f>
        <v/>
      </c>
      <c r="J391" s="14" t="str">
        <f aca="false">IF($D391=1,INDEX(TblClusters[Workers min],$B391),"")</f>
        <v/>
      </c>
      <c r="K391" s="84" t="str">
        <f aca="false">IF($D391=1,INDEX(TblClusters[Tarif par nœud],$B391),"")</f>
        <v/>
      </c>
      <c r="L391" s="14" t="str">
        <f aca="false">IF($D391=1,INDEX(TblClusters[CPU initial (vCPU)],$B391),"")</f>
        <v/>
      </c>
      <c r="M391" s="14" t="str">
        <f aca="false">IF($D391=1,INDEX(TblClusters[RAM initiale (Go)],$B391),"")</f>
        <v/>
      </c>
      <c r="N391" s="14" t="str">
        <f aca="false">IF($D391=1,INDEX(TblClusters[CPU min (vCPU)],$B391),"")</f>
        <v/>
      </c>
      <c r="O391" s="14" t="str">
        <f aca="false">IF($D391=1,INDEX(TblClusters[RAM min (Go)],$B391),"")</f>
        <v/>
      </c>
      <c r="P391" s="14" t="str">
        <f aca="false">IF($D391&lt;&gt;1,"",IF($G391="ROKS",SUMIFS(TblApplications[Besoin ROKS CPU (vCPU)],TblApplications[Cluster ROKS cible],$F391,TblApplications[Action],"À migrer",TblApplications[Déjà incluse ROKS],"Non",TblApplications[Mois prov (calc)],"&lt;="&amp;$E391),SUMIFS(TblApplications[CPU IKS libérable (vCPU)],TblApplications[Cluster IKS source],$F391,TblApplications[Mois lib (calc)],"&lt;="&amp;$E391)))</f>
        <v/>
      </c>
      <c r="Q391" s="14" t="str">
        <f aca="false">IF($D391&lt;&gt;1,"",IF($G391="ROKS",SUMIFS(TblApplications[Besoin ROKS RAM (Go)],TblApplications[Cluster ROKS cible],$F391,TblApplications[Action],"À migrer",TblApplications[Déjà incluse ROKS],"Non",TblApplications[Mois prov (calc)],"&lt;="&amp;$E391),SUMIFS(TblApplications[RAM IKS libérable (Go)],TblApplications[Cluster IKS source],$F391,TblApplications[Mois lib (calc)],"&lt;="&amp;$E391)))</f>
        <v/>
      </c>
      <c r="R391" s="14" t="str">
        <f aca="false">IF($D391&lt;&gt;1,"",IF($G391="ROKS",$L391+$P391,IF($AI391=1,0,MAX($N391,$L391-$P391))))</f>
        <v/>
      </c>
      <c r="S391" s="14" t="str">
        <f aca="false">IF($D391&lt;&gt;1,"",IF($G391="ROKS",$M391+$Q391,IF($AI391=1,0,MAX($O391,$M391-$Q391))))</f>
        <v/>
      </c>
      <c r="T391" s="14" t="str">
        <f aca="false">IF($D391&lt;&gt;1,"",IF($AI391=1,0,MAX($J391,ROUNDUP(MAX($R391/$H391,$S391/$I391),0))))</f>
        <v/>
      </c>
      <c r="U391" s="14" t="str">
        <f aca="false">IF($D391&lt;&gt;1,"",IF(p_mode="Nœud",$T391*$H391,$R391))</f>
        <v/>
      </c>
      <c r="V391" s="14" t="str">
        <f aca="false">IF($D391&lt;&gt;1,"",IF(p_mode="Nœud",$T391*$I391,$S391))</f>
        <v/>
      </c>
      <c r="W391" s="84" t="str">
        <f aca="false">IF($D391&lt;&gt;1,"",IF(p_mode="Nœud",$T391*$K391,$R391*IF($G391="IKS",p_iks_cpu,p_roks_cpu)+$S391*IF($G391="IKS",p_iks_ram,p_roks_ram))*p_facteur)</f>
        <v/>
      </c>
      <c r="X391" s="14" t="str">
        <f aca="false">IF($D391&lt;&gt;1,"",IF($G391="ROKS",$R391,IF($AI391=1,0,MAX($N391,$L391-SUMIFS(TblApplications[CPU IKS libérable (vCPU)],TblApplications[Cluster IKS source],$F391,TblApplications[Action],"À migrer",TblApplications[Mois prov (calc)],"&lt;="&amp;$E391)-SUMIFS(TblApplications[CPU IKS libérable (vCPU)],TblApplications[Cluster IKS source],$F391,TblApplications[Action],"À décommissionner",TblApplications[Mois lib (calc)],"&lt;="&amp;$E391)))))</f>
        <v/>
      </c>
      <c r="Y391" s="14" t="str">
        <f aca="false">IF($D391&lt;&gt;1,"",IF($G391="ROKS",$S391,IF($AI391=1,0,MAX($O391,$M391-SUMIFS(TblApplications[RAM IKS libérable (Go)],TblApplications[Cluster IKS source],$F391,TblApplications[Action],"À migrer",TblApplications[Mois prov (calc)],"&lt;="&amp;$E391)-SUMIFS(TblApplications[RAM IKS libérable (Go)],TblApplications[Cluster IKS source],$F391,TblApplications[Action],"À décommissionner",TblApplications[Mois lib (calc)],"&lt;="&amp;$E391)))))</f>
        <v/>
      </c>
      <c r="Z391" s="14" t="str">
        <f aca="false">IF($D391&lt;&gt;1,"",IF($AI391=1,0,MAX($J391,ROUNDUP(MAX($X391/$H391,$Y391/$I391),0))))</f>
        <v/>
      </c>
      <c r="AA391" s="84" t="str">
        <f aca="false">IF($D391&lt;&gt;1,"",IF(p_mode="Nœud",$Z391*$K391,$X391*IF($G391="IKS",p_iks_cpu,p_roks_cpu)+$Y391*IF($G391="IKS",p_iks_ram,p_roks_ram))*p_facteur)</f>
        <v/>
      </c>
      <c r="AB391" s="14" t="str">
        <f aca="false">IF($D391&lt;&gt;1,"",MAX($J391,ROUNDUP(MAX($L391/$H391,$M391/$I391),0)))</f>
        <v/>
      </c>
      <c r="AC391" s="84" t="str">
        <f aca="false">IF($D391&lt;&gt;1,"",IF(p_mode="Nœud",$AB391*$K391,$L391*IF($G391="IKS",p_iks_cpu,p_roks_cpu)+$M391*IF($G391="IKS",p_iks_ram,p_roks_ram))*p_facteur)</f>
        <v/>
      </c>
      <c r="AD391" s="14" t="str">
        <f aca="false">IF($D391&lt;&gt;1,"",IF(AND($G391="IKS",$AI391&lt;&gt;1,OR($L391-$P391&lt;$N391,$M391-$Q391&lt;$O391)),1,0))</f>
        <v/>
      </c>
      <c r="AE391" s="14" t="str">
        <f aca="false">IF($D391&lt;&gt;1,"",IF(AND($G391="ROKS",$T391&gt;p_maxworkers),1,0))</f>
        <v/>
      </c>
      <c r="AF391" s="14" t="str">
        <f aca="false">IF($D391&lt;&gt;1,"",IF(INDEX(TblClusters[Environnement],$B391)="","(vide)",INDEX(TblClusters[Environnement],$B391)))</f>
        <v/>
      </c>
      <c r="AG391" s="14" t="str">
        <f aca="false">IF($D391&lt;&gt;1,"",$R391+p_poidsram*$S391)</f>
        <v/>
      </c>
      <c r="AH391" s="14" t="str">
        <f aca="false">IF($D391&lt;&gt;1,"",IFERROR($W391/$AG391,0))</f>
        <v/>
      </c>
      <c r="AI391" s="14" t="str">
        <f aca="false">IF($D391&lt;&gt;1,"",IF(AND($G391="IKS",ISNUMBER(INDEX(TblClusters[Fermeture retenue],$B391))),IF($E391&gt;=INDEX(TblClusters[Fermeture retenue],$B391),1,0),0))</f>
        <v/>
      </c>
    </row>
    <row r="392" customFormat="false" ht="15" hidden="false" customHeight="false" outlineLevel="0" collapsed="false">
      <c r="A392" s="14" t="n">
        <v>387</v>
      </c>
      <c r="B392" s="14" t="n">
        <f aca="false">INT(($A392-1)/36)+1</f>
        <v>11</v>
      </c>
      <c r="C392" s="14" t="n">
        <f aca="false">MOD($A392-1,36)+1</f>
        <v>27</v>
      </c>
      <c r="D392" s="14" t="n">
        <f aca="false">IF($C392&gt;p_horizon,0,IFERROR(IF(AND(INDEX(TblClusters[Cluster],$B392)&lt;&gt;"",ISNUMBER(INDEX(TblClusters[CPU initial (vCPU)],$B392)),ISNUMBER(INDEX(TblClusters[CPU min (vCPU)],$B392)),OR(INDEX(TblClusters[Plateforme],$B392)="IKS",INDEX(TblClusters[Plateforme],$B392)="ROKS")),1,0),0))</f>
        <v>0</v>
      </c>
      <c r="E392" s="83" t="str">
        <f aca="false">IF($D392=1,EDATE(p_debut,$C392-1),"")</f>
        <v/>
      </c>
      <c r="F392" s="14" t="str">
        <f aca="false">IF($D392=1,INDEX(TblClusters[Cluster],$B392),"")</f>
        <v/>
      </c>
      <c r="G392" s="14" t="str">
        <f aca="false">IF($D392=1,INDEX(TblClusters[Plateforme],$B392),"")</f>
        <v/>
      </c>
      <c r="H392" s="14" t="str">
        <f aca="false">IF($D392=1,INDEX(TblClusters[vCPU par nœud],$B392),"")</f>
        <v/>
      </c>
      <c r="I392" s="14" t="str">
        <f aca="false">IF($D392=1,INDEX(TblClusters[RAM par nœud (Go)],$B392),"")</f>
        <v/>
      </c>
      <c r="J392" s="14" t="str">
        <f aca="false">IF($D392=1,INDEX(TblClusters[Workers min],$B392),"")</f>
        <v/>
      </c>
      <c r="K392" s="84" t="str">
        <f aca="false">IF($D392=1,INDEX(TblClusters[Tarif par nœud],$B392),"")</f>
        <v/>
      </c>
      <c r="L392" s="14" t="str">
        <f aca="false">IF($D392=1,INDEX(TblClusters[CPU initial (vCPU)],$B392),"")</f>
        <v/>
      </c>
      <c r="M392" s="14" t="str">
        <f aca="false">IF($D392=1,INDEX(TblClusters[RAM initiale (Go)],$B392),"")</f>
        <v/>
      </c>
      <c r="N392" s="14" t="str">
        <f aca="false">IF($D392=1,INDEX(TblClusters[CPU min (vCPU)],$B392),"")</f>
        <v/>
      </c>
      <c r="O392" s="14" t="str">
        <f aca="false">IF($D392=1,INDEX(TblClusters[RAM min (Go)],$B392),"")</f>
        <v/>
      </c>
      <c r="P392" s="14" t="str">
        <f aca="false">IF($D392&lt;&gt;1,"",IF($G392="ROKS",SUMIFS(TblApplications[Besoin ROKS CPU (vCPU)],TblApplications[Cluster ROKS cible],$F392,TblApplications[Action],"À migrer",TblApplications[Déjà incluse ROKS],"Non",TblApplications[Mois prov (calc)],"&lt;="&amp;$E392),SUMIFS(TblApplications[CPU IKS libérable (vCPU)],TblApplications[Cluster IKS source],$F392,TblApplications[Mois lib (calc)],"&lt;="&amp;$E392)))</f>
        <v/>
      </c>
      <c r="Q392" s="14" t="str">
        <f aca="false">IF($D392&lt;&gt;1,"",IF($G392="ROKS",SUMIFS(TblApplications[Besoin ROKS RAM (Go)],TblApplications[Cluster ROKS cible],$F392,TblApplications[Action],"À migrer",TblApplications[Déjà incluse ROKS],"Non",TblApplications[Mois prov (calc)],"&lt;="&amp;$E392),SUMIFS(TblApplications[RAM IKS libérable (Go)],TblApplications[Cluster IKS source],$F392,TblApplications[Mois lib (calc)],"&lt;="&amp;$E392)))</f>
        <v/>
      </c>
      <c r="R392" s="14" t="str">
        <f aca="false">IF($D392&lt;&gt;1,"",IF($G392="ROKS",$L392+$P392,IF($AI392=1,0,MAX($N392,$L392-$P392))))</f>
        <v/>
      </c>
      <c r="S392" s="14" t="str">
        <f aca="false">IF($D392&lt;&gt;1,"",IF($G392="ROKS",$M392+$Q392,IF($AI392=1,0,MAX($O392,$M392-$Q392))))</f>
        <v/>
      </c>
      <c r="T392" s="14" t="str">
        <f aca="false">IF($D392&lt;&gt;1,"",IF($AI392=1,0,MAX($J392,ROUNDUP(MAX($R392/$H392,$S392/$I392),0))))</f>
        <v/>
      </c>
      <c r="U392" s="14" t="str">
        <f aca="false">IF($D392&lt;&gt;1,"",IF(p_mode="Nœud",$T392*$H392,$R392))</f>
        <v/>
      </c>
      <c r="V392" s="14" t="str">
        <f aca="false">IF($D392&lt;&gt;1,"",IF(p_mode="Nœud",$T392*$I392,$S392))</f>
        <v/>
      </c>
      <c r="W392" s="84" t="str">
        <f aca="false">IF($D392&lt;&gt;1,"",IF(p_mode="Nœud",$T392*$K392,$R392*IF($G392="IKS",p_iks_cpu,p_roks_cpu)+$S392*IF($G392="IKS",p_iks_ram,p_roks_ram))*p_facteur)</f>
        <v/>
      </c>
      <c r="X392" s="14" t="str">
        <f aca="false">IF($D392&lt;&gt;1,"",IF($G392="ROKS",$R392,IF($AI392=1,0,MAX($N392,$L392-SUMIFS(TblApplications[CPU IKS libérable (vCPU)],TblApplications[Cluster IKS source],$F392,TblApplications[Action],"À migrer",TblApplications[Mois prov (calc)],"&lt;="&amp;$E392)-SUMIFS(TblApplications[CPU IKS libérable (vCPU)],TblApplications[Cluster IKS source],$F392,TblApplications[Action],"À décommissionner",TblApplications[Mois lib (calc)],"&lt;="&amp;$E392)))))</f>
        <v/>
      </c>
      <c r="Y392" s="14" t="str">
        <f aca="false">IF($D392&lt;&gt;1,"",IF($G392="ROKS",$S392,IF($AI392=1,0,MAX($O392,$M392-SUMIFS(TblApplications[RAM IKS libérable (Go)],TblApplications[Cluster IKS source],$F392,TblApplications[Action],"À migrer",TblApplications[Mois prov (calc)],"&lt;="&amp;$E392)-SUMIFS(TblApplications[RAM IKS libérable (Go)],TblApplications[Cluster IKS source],$F392,TblApplications[Action],"À décommissionner",TblApplications[Mois lib (calc)],"&lt;="&amp;$E392)))))</f>
        <v/>
      </c>
      <c r="Z392" s="14" t="str">
        <f aca="false">IF($D392&lt;&gt;1,"",IF($AI392=1,0,MAX($J392,ROUNDUP(MAX($X392/$H392,$Y392/$I392),0))))</f>
        <v/>
      </c>
      <c r="AA392" s="84" t="str">
        <f aca="false">IF($D392&lt;&gt;1,"",IF(p_mode="Nœud",$Z392*$K392,$X392*IF($G392="IKS",p_iks_cpu,p_roks_cpu)+$Y392*IF($G392="IKS",p_iks_ram,p_roks_ram))*p_facteur)</f>
        <v/>
      </c>
      <c r="AB392" s="14" t="str">
        <f aca="false">IF($D392&lt;&gt;1,"",MAX($J392,ROUNDUP(MAX($L392/$H392,$M392/$I392),0)))</f>
        <v/>
      </c>
      <c r="AC392" s="84" t="str">
        <f aca="false">IF($D392&lt;&gt;1,"",IF(p_mode="Nœud",$AB392*$K392,$L392*IF($G392="IKS",p_iks_cpu,p_roks_cpu)+$M392*IF($G392="IKS",p_iks_ram,p_roks_ram))*p_facteur)</f>
        <v/>
      </c>
      <c r="AD392" s="14" t="str">
        <f aca="false">IF($D392&lt;&gt;1,"",IF(AND($G392="IKS",$AI392&lt;&gt;1,OR($L392-$P392&lt;$N392,$M392-$Q392&lt;$O392)),1,0))</f>
        <v/>
      </c>
      <c r="AE392" s="14" t="str">
        <f aca="false">IF($D392&lt;&gt;1,"",IF(AND($G392="ROKS",$T392&gt;p_maxworkers),1,0))</f>
        <v/>
      </c>
      <c r="AF392" s="14" t="str">
        <f aca="false">IF($D392&lt;&gt;1,"",IF(INDEX(TblClusters[Environnement],$B392)="","(vide)",INDEX(TblClusters[Environnement],$B392)))</f>
        <v/>
      </c>
      <c r="AG392" s="14" t="str">
        <f aca="false">IF($D392&lt;&gt;1,"",$R392+p_poidsram*$S392)</f>
        <v/>
      </c>
      <c r="AH392" s="14" t="str">
        <f aca="false">IF($D392&lt;&gt;1,"",IFERROR($W392/$AG392,0))</f>
        <v/>
      </c>
      <c r="AI392" s="14" t="str">
        <f aca="false">IF($D392&lt;&gt;1,"",IF(AND($G392="IKS",ISNUMBER(INDEX(TblClusters[Fermeture retenue],$B392))),IF($E392&gt;=INDEX(TblClusters[Fermeture retenue],$B392),1,0),0))</f>
        <v/>
      </c>
    </row>
    <row r="393" customFormat="false" ht="15" hidden="false" customHeight="false" outlineLevel="0" collapsed="false">
      <c r="A393" s="14" t="n">
        <v>388</v>
      </c>
      <c r="B393" s="14" t="n">
        <f aca="false">INT(($A393-1)/36)+1</f>
        <v>11</v>
      </c>
      <c r="C393" s="14" t="n">
        <f aca="false">MOD($A393-1,36)+1</f>
        <v>28</v>
      </c>
      <c r="D393" s="14" t="n">
        <f aca="false">IF($C393&gt;p_horizon,0,IFERROR(IF(AND(INDEX(TblClusters[Cluster],$B393)&lt;&gt;"",ISNUMBER(INDEX(TblClusters[CPU initial (vCPU)],$B393)),ISNUMBER(INDEX(TblClusters[CPU min (vCPU)],$B393)),OR(INDEX(TblClusters[Plateforme],$B393)="IKS",INDEX(TblClusters[Plateforme],$B393)="ROKS")),1,0),0))</f>
        <v>0</v>
      </c>
      <c r="E393" s="83" t="str">
        <f aca="false">IF($D393=1,EDATE(p_debut,$C393-1),"")</f>
        <v/>
      </c>
      <c r="F393" s="14" t="str">
        <f aca="false">IF($D393=1,INDEX(TblClusters[Cluster],$B393),"")</f>
        <v/>
      </c>
      <c r="G393" s="14" t="str">
        <f aca="false">IF($D393=1,INDEX(TblClusters[Plateforme],$B393),"")</f>
        <v/>
      </c>
      <c r="H393" s="14" t="str">
        <f aca="false">IF($D393=1,INDEX(TblClusters[vCPU par nœud],$B393),"")</f>
        <v/>
      </c>
      <c r="I393" s="14" t="str">
        <f aca="false">IF($D393=1,INDEX(TblClusters[RAM par nœud (Go)],$B393),"")</f>
        <v/>
      </c>
      <c r="J393" s="14" t="str">
        <f aca="false">IF($D393=1,INDEX(TblClusters[Workers min],$B393),"")</f>
        <v/>
      </c>
      <c r="K393" s="84" t="str">
        <f aca="false">IF($D393=1,INDEX(TblClusters[Tarif par nœud],$B393),"")</f>
        <v/>
      </c>
      <c r="L393" s="14" t="str">
        <f aca="false">IF($D393=1,INDEX(TblClusters[CPU initial (vCPU)],$B393),"")</f>
        <v/>
      </c>
      <c r="M393" s="14" t="str">
        <f aca="false">IF($D393=1,INDEX(TblClusters[RAM initiale (Go)],$B393),"")</f>
        <v/>
      </c>
      <c r="N393" s="14" t="str">
        <f aca="false">IF($D393=1,INDEX(TblClusters[CPU min (vCPU)],$B393),"")</f>
        <v/>
      </c>
      <c r="O393" s="14" t="str">
        <f aca="false">IF($D393=1,INDEX(TblClusters[RAM min (Go)],$B393),"")</f>
        <v/>
      </c>
      <c r="P393" s="14" t="str">
        <f aca="false">IF($D393&lt;&gt;1,"",IF($G393="ROKS",SUMIFS(TblApplications[Besoin ROKS CPU (vCPU)],TblApplications[Cluster ROKS cible],$F393,TblApplications[Action],"À migrer",TblApplications[Déjà incluse ROKS],"Non",TblApplications[Mois prov (calc)],"&lt;="&amp;$E393),SUMIFS(TblApplications[CPU IKS libérable (vCPU)],TblApplications[Cluster IKS source],$F393,TblApplications[Mois lib (calc)],"&lt;="&amp;$E393)))</f>
        <v/>
      </c>
      <c r="Q393" s="14" t="str">
        <f aca="false">IF($D393&lt;&gt;1,"",IF($G393="ROKS",SUMIFS(TblApplications[Besoin ROKS RAM (Go)],TblApplications[Cluster ROKS cible],$F393,TblApplications[Action],"À migrer",TblApplications[Déjà incluse ROKS],"Non",TblApplications[Mois prov (calc)],"&lt;="&amp;$E393),SUMIFS(TblApplications[RAM IKS libérable (Go)],TblApplications[Cluster IKS source],$F393,TblApplications[Mois lib (calc)],"&lt;="&amp;$E393)))</f>
        <v/>
      </c>
      <c r="R393" s="14" t="str">
        <f aca="false">IF($D393&lt;&gt;1,"",IF($G393="ROKS",$L393+$P393,IF($AI393=1,0,MAX($N393,$L393-$P393))))</f>
        <v/>
      </c>
      <c r="S393" s="14" t="str">
        <f aca="false">IF($D393&lt;&gt;1,"",IF($G393="ROKS",$M393+$Q393,IF($AI393=1,0,MAX($O393,$M393-$Q393))))</f>
        <v/>
      </c>
      <c r="T393" s="14" t="str">
        <f aca="false">IF($D393&lt;&gt;1,"",IF($AI393=1,0,MAX($J393,ROUNDUP(MAX($R393/$H393,$S393/$I393),0))))</f>
        <v/>
      </c>
      <c r="U393" s="14" t="str">
        <f aca="false">IF($D393&lt;&gt;1,"",IF(p_mode="Nœud",$T393*$H393,$R393))</f>
        <v/>
      </c>
      <c r="V393" s="14" t="str">
        <f aca="false">IF($D393&lt;&gt;1,"",IF(p_mode="Nœud",$T393*$I393,$S393))</f>
        <v/>
      </c>
      <c r="W393" s="84" t="str">
        <f aca="false">IF($D393&lt;&gt;1,"",IF(p_mode="Nœud",$T393*$K393,$R393*IF($G393="IKS",p_iks_cpu,p_roks_cpu)+$S393*IF($G393="IKS",p_iks_ram,p_roks_ram))*p_facteur)</f>
        <v/>
      </c>
      <c r="X393" s="14" t="str">
        <f aca="false">IF($D393&lt;&gt;1,"",IF($G393="ROKS",$R393,IF($AI393=1,0,MAX($N393,$L393-SUMIFS(TblApplications[CPU IKS libérable (vCPU)],TblApplications[Cluster IKS source],$F393,TblApplications[Action],"À migrer",TblApplications[Mois prov (calc)],"&lt;="&amp;$E393)-SUMIFS(TblApplications[CPU IKS libérable (vCPU)],TblApplications[Cluster IKS source],$F393,TblApplications[Action],"À décommissionner",TblApplications[Mois lib (calc)],"&lt;="&amp;$E393)))))</f>
        <v/>
      </c>
      <c r="Y393" s="14" t="str">
        <f aca="false">IF($D393&lt;&gt;1,"",IF($G393="ROKS",$S393,IF($AI393=1,0,MAX($O393,$M393-SUMIFS(TblApplications[RAM IKS libérable (Go)],TblApplications[Cluster IKS source],$F393,TblApplications[Action],"À migrer",TblApplications[Mois prov (calc)],"&lt;="&amp;$E393)-SUMIFS(TblApplications[RAM IKS libérable (Go)],TblApplications[Cluster IKS source],$F393,TblApplications[Action],"À décommissionner",TblApplications[Mois lib (calc)],"&lt;="&amp;$E393)))))</f>
        <v/>
      </c>
      <c r="Z393" s="14" t="str">
        <f aca="false">IF($D393&lt;&gt;1,"",IF($AI393=1,0,MAX($J393,ROUNDUP(MAX($X393/$H393,$Y393/$I393),0))))</f>
        <v/>
      </c>
      <c r="AA393" s="84" t="str">
        <f aca="false">IF($D393&lt;&gt;1,"",IF(p_mode="Nœud",$Z393*$K393,$X393*IF($G393="IKS",p_iks_cpu,p_roks_cpu)+$Y393*IF($G393="IKS",p_iks_ram,p_roks_ram))*p_facteur)</f>
        <v/>
      </c>
      <c r="AB393" s="14" t="str">
        <f aca="false">IF($D393&lt;&gt;1,"",MAX($J393,ROUNDUP(MAX($L393/$H393,$M393/$I393),0)))</f>
        <v/>
      </c>
      <c r="AC393" s="84" t="str">
        <f aca="false">IF($D393&lt;&gt;1,"",IF(p_mode="Nœud",$AB393*$K393,$L393*IF($G393="IKS",p_iks_cpu,p_roks_cpu)+$M393*IF($G393="IKS",p_iks_ram,p_roks_ram))*p_facteur)</f>
        <v/>
      </c>
      <c r="AD393" s="14" t="str">
        <f aca="false">IF($D393&lt;&gt;1,"",IF(AND($G393="IKS",$AI393&lt;&gt;1,OR($L393-$P393&lt;$N393,$M393-$Q393&lt;$O393)),1,0))</f>
        <v/>
      </c>
      <c r="AE393" s="14" t="str">
        <f aca="false">IF($D393&lt;&gt;1,"",IF(AND($G393="ROKS",$T393&gt;p_maxworkers),1,0))</f>
        <v/>
      </c>
      <c r="AF393" s="14" t="str">
        <f aca="false">IF($D393&lt;&gt;1,"",IF(INDEX(TblClusters[Environnement],$B393)="","(vide)",INDEX(TblClusters[Environnement],$B393)))</f>
        <v/>
      </c>
      <c r="AG393" s="14" t="str">
        <f aca="false">IF($D393&lt;&gt;1,"",$R393+p_poidsram*$S393)</f>
        <v/>
      </c>
      <c r="AH393" s="14" t="str">
        <f aca="false">IF($D393&lt;&gt;1,"",IFERROR($W393/$AG393,0))</f>
        <v/>
      </c>
      <c r="AI393" s="14" t="str">
        <f aca="false">IF($D393&lt;&gt;1,"",IF(AND($G393="IKS",ISNUMBER(INDEX(TblClusters[Fermeture retenue],$B393))),IF($E393&gt;=INDEX(TblClusters[Fermeture retenue],$B393),1,0),0))</f>
        <v/>
      </c>
    </row>
    <row r="394" customFormat="false" ht="15" hidden="false" customHeight="false" outlineLevel="0" collapsed="false">
      <c r="A394" s="14" t="n">
        <v>389</v>
      </c>
      <c r="B394" s="14" t="n">
        <f aca="false">INT(($A394-1)/36)+1</f>
        <v>11</v>
      </c>
      <c r="C394" s="14" t="n">
        <f aca="false">MOD($A394-1,36)+1</f>
        <v>29</v>
      </c>
      <c r="D394" s="14" t="n">
        <f aca="false">IF($C394&gt;p_horizon,0,IFERROR(IF(AND(INDEX(TblClusters[Cluster],$B394)&lt;&gt;"",ISNUMBER(INDEX(TblClusters[CPU initial (vCPU)],$B394)),ISNUMBER(INDEX(TblClusters[CPU min (vCPU)],$B394)),OR(INDEX(TblClusters[Plateforme],$B394)="IKS",INDEX(TblClusters[Plateforme],$B394)="ROKS")),1,0),0))</f>
        <v>0</v>
      </c>
      <c r="E394" s="83" t="str">
        <f aca="false">IF($D394=1,EDATE(p_debut,$C394-1),"")</f>
        <v/>
      </c>
      <c r="F394" s="14" t="str">
        <f aca="false">IF($D394=1,INDEX(TblClusters[Cluster],$B394),"")</f>
        <v/>
      </c>
      <c r="G394" s="14" t="str">
        <f aca="false">IF($D394=1,INDEX(TblClusters[Plateforme],$B394),"")</f>
        <v/>
      </c>
      <c r="H394" s="14" t="str">
        <f aca="false">IF($D394=1,INDEX(TblClusters[vCPU par nœud],$B394),"")</f>
        <v/>
      </c>
      <c r="I394" s="14" t="str">
        <f aca="false">IF($D394=1,INDEX(TblClusters[RAM par nœud (Go)],$B394),"")</f>
        <v/>
      </c>
      <c r="J394" s="14" t="str">
        <f aca="false">IF($D394=1,INDEX(TblClusters[Workers min],$B394),"")</f>
        <v/>
      </c>
      <c r="K394" s="84" t="str">
        <f aca="false">IF($D394=1,INDEX(TblClusters[Tarif par nœud],$B394),"")</f>
        <v/>
      </c>
      <c r="L394" s="14" t="str">
        <f aca="false">IF($D394=1,INDEX(TblClusters[CPU initial (vCPU)],$B394),"")</f>
        <v/>
      </c>
      <c r="M394" s="14" t="str">
        <f aca="false">IF($D394=1,INDEX(TblClusters[RAM initiale (Go)],$B394),"")</f>
        <v/>
      </c>
      <c r="N394" s="14" t="str">
        <f aca="false">IF($D394=1,INDEX(TblClusters[CPU min (vCPU)],$B394),"")</f>
        <v/>
      </c>
      <c r="O394" s="14" t="str">
        <f aca="false">IF($D394=1,INDEX(TblClusters[RAM min (Go)],$B394),"")</f>
        <v/>
      </c>
      <c r="P394" s="14" t="str">
        <f aca="false">IF($D394&lt;&gt;1,"",IF($G394="ROKS",SUMIFS(TblApplications[Besoin ROKS CPU (vCPU)],TblApplications[Cluster ROKS cible],$F394,TblApplications[Action],"À migrer",TblApplications[Déjà incluse ROKS],"Non",TblApplications[Mois prov (calc)],"&lt;="&amp;$E394),SUMIFS(TblApplications[CPU IKS libérable (vCPU)],TblApplications[Cluster IKS source],$F394,TblApplications[Mois lib (calc)],"&lt;="&amp;$E394)))</f>
        <v/>
      </c>
      <c r="Q394" s="14" t="str">
        <f aca="false">IF($D394&lt;&gt;1,"",IF($G394="ROKS",SUMIFS(TblApplications[Besoin ROKS RAM (Go)],TblApplications[Cluster ROKS cible],$F394,TblApplications[Action],"À migrer",TblApplications[Déjà incluse ROKS],"Non",TblApplications[Mois prov (calc)],"&lt;="&amp;$E394),SUMIFS(TblApplications[RAM IKS libérable (Go)],TblApplications[Cluster IKS source],$F394,TblApplications[Mois lib (calc)],"&lt;="&amp;$E394)))</f>
        <v/>
      </c>
      <c r="R394" s="14" t="str">
        <f aca="false">IF($D394&lt;&gt;1,"",IF($G394="ROKS",$L394+$P394,IF($AI394=1,0,MAX($N394,$L394-$P394))))</f>
        <v/>
      </c>
      <c r="S394" s="14" t="str">
        <f aca="false">IF($D394&lt;&gt;1,"",IF($G394="ROKS",$M394+$Q394,IF($AI394=1,0,MAX($O394,$M394-$Q394))))</f>
        <v/>
      </c>
      <c r="T394" s="14" t="str">
        <f aca="false">IF($D394&lt;&gt;1,"",IF($AI394=1,0,MAX($J394,ROUNDUP(MAX($R394/$H394,$S394/$I394),0))))</f>
        <v/>
      </c>
      <c r="U394" s="14" t="str">
        <f aca="false">IF($D394&lt;&gt;1,"",IF(p_mode="Nœud",$T394*$H394,$R394))</f>
        <v/>
      </c>
      <c r="V394" s="14" t="str">
        <f aca="false">IF($D394&lt;&gt;1,"",IF(p_mode="Nœud",$T394*$I394,$S394))</f>
        <v/>
      </c>
      <c r="W394" s="84" t="str">
        <f aca="false">IF($D394&lt;&gt;1,"",IF(p_mode="Nœud",$T394*$K394,$R394*IF($G394="IKS",p_iks_cpu,p_roks_cpu)+$S394*IF($G394="IKS",p_iks_ram,p_roks_ram))*p_facteur)</f>
        <v/>
      </c>
      <c r="X394" s="14" t="str">
        <f aca="false">IF($D394&lt;&gt;1,"",IF($G394="ROKS",$R394,IF($AI394=1,0,MAX($N394,$L394-SUMIFS(TblApplications[CPU IKS libérable (vCPU)],TblApplications[Cluster IKS source],$F394,TblApplications[Action],"À migrer",TblApplications[Mois prov (calc)],"&lt;="&amp;$E394)-SUMIFS(TblApplications[CPU IKS libérable (vCPU)],TblApplications[Cluster IKS source],$F394,TblApplications[Action],"À décommissionner",TblApplications[Mois lib (calc)],"&lt;="&amp;$E394)))))</f>
        <v/>
      </c>
      <c r="Y394" s="14" t="str">
        <f aca="false">IF($D394&lt;&gt;1,"",IF($G394="ROKS",$S394,IF($AI394=1,0,MAX($O394,$M394-SUMIFS(TblApplications[RAM IKS libérable (Go)],TblApplications[Cluster IKS source],$F394,TblApplications[Action],"À migrer",TblApplications[Mois prov (calc)],"&lt;="&amp;$E394)-SUMIFS(TblApplications[RAM IKS libérable (Go)],TblApplications[Cluster IKS source],$F394,TblApplications[Action],"À décommissionner",TblApplications[Mois lib (calc)],"&lt;="&amp;$E394)))))</f>
        <v/>
      </c>
      <c r="Z394" s="14" t="str">
        <f aca="false">IF($D394&lt;&gt;1,"",IF($AI394=1,0,MAX($J394,ROUNDUP(MAX($X394/$H394,$Y394/$I394),0))))</f>
        <v/>
      </c>
      <c r="AA394" s="84" t="str">
        <f aca="false">IF($D394&lt;&gt;1,"",IF(p_mode="Nœud",$Z394*$K394,$X394*IF($G394="IKS",p_iks_cpu,p_roks_cpu)+$Y394*IF($G394="IKS",p_iks_ram,p_roks_ram))*p_facteur)</f>
        <v/>
      </c>
      <c r="AB394" s="14" t="str">
        <f aca="false">IF($D394&lt;&gt;1,"",MAX($J394,ROUNDUP(MAX($L394/$H394,$M394/$I394),0)))</f>
        <v/>
      </c>
      <c r="AC394" s="84" t="str">
        <f aca="false">IF($D394&lt;&gt;1,"",IF(p_mode="Nœud",$AB394*$K394,$L394*IF($G394="IKS",p_iks_cpu,p_roks_cpu)+$M394*IF($G394="IKS",p_iks_ram,p_roks_ram))*p_facteur)</f>
        <v/>
      </c>
      <c r="AD394" s="14" t="str">
        <f aca="false">IF($D394&lt;&gt;1,"",IF(AND($G394="IKS",$AI394&lt;&gt;1,OR($L394-$P394&lt;$N394,$M394-$Q394&lt;$O394)),1,0))</f>
        <v/>
      </c>
      <c r="AE394" s="14" t="str">
        <f aca="false">IF($D394&lt;&gt;1,"",IF(AND($G394="ROKS",$T394&gt;p_maxworkers),1,0))</f>
        <v/>
      </c>
      <c r="AF394" s="14" t="str">
        <f aca="false">IF($D394&lt;&gt;1,"",IF(INDEX(TblClusters[Environnement],$B394)="","(vide)",INDEX(TblClusters[Environnement],$B394)))</f>
        <v/>
      </c>
      <c r="AG394" s="14" t="str">
        <f aca="false">IF($D394&lt;&gt;1,"",$R394+p_poidsram*$S394)</f>
        <v/>
      </c>
      <c r="AH394" s="14" t="str">
        <f aca="false">IF($D394&lt;&gt;1,"",IFERROR($W394/$AG394,0))</f>
        <v/>
      </c>
      <c r="AI394" s="14" t="str">
        <f aca="false">IF($D394&lt;&gt;1,"",IF(AND($G394="IKS",ISNUMBER(INDEX(TblClusters[Fermeture retenue],$B394))),IF($E394&gt;=INDEX(TblClusters[Fermeture retenue],$B394),1,0),0))</f>
        <v/>
      </c>
    </row>
    <row r="395" customFormat="false" ht="15" hidden="false" customHeight="false" outlineLevel="0" collapsed="false">
      <c r="A395" s="14" t="n">
        <v>390</v>
      </c>
      <c r="B395" s="14" t="n">
        <f aca="false">INT(($A395-1)/36)+1</f>
        <v>11</v>
      </c>
      <c r="C395" s="14" t="n">
        <f aca="false">MOD($A395-1,36)+1</f>
        <v>30</v>
      </c>
      <c r="D395" s="14" t="n">
        <f aca="false">IF($C395&gt;p_horizon,0,IFERROR(IF(AND(INDEX(TblClusters[Cluster],$B395)&lt;&gt;"",ISNUMBER(INDEX(TblClusters[CPU initial (vCPU)],$B395)),ISNUMBER(INDEX(TblClusters[CPU min (vCPU)],$B395)),OR(INDEX(TblClusters[Plateforme],$B395)="IKS",INDEX(TblClusters[Plateforme],$B395)="ROKS")),1,0),0))</f>
        <v>0</v>
      </c>
      <c r="E395" s="83" t="str">
        <f aca="false">IF($D395=1,EDATE(p_debut,$C395-1),"")</f>
        <v/>
      </c>
      <c r="F395" s="14" t="str">
        <f aca="false">IF($D395=1,INDEX(TblClusters[Cluster],$B395),"")</f>
        <v/>
      </c>
      <c r="G395" s="14" t="str">
        <f aca="false">IF($D395=1,INDEX(TblClusters[Plateforme],$B395),"")</f>
        <v/>
      </c>
      <c r="H395" s="14" t="str">
        <f aca="false">IF($D395=1,INDEX(TblClusters[vCPU par nœud],$B395),"")</f>
        <v/>
      </c>
      <c r="I395" s="14" t="str">
        <f aca="false">IF($D395=1,INDEX(TblClusters[RAM par nœud (Go)],$B395),"")</f>
        <v/>
      </c>
      <c r="J395" s="14" t="str">
        <f aca="false">IF($D395=1,INDEX(TblClusters[Workers min],$B395),"")</f>
        <v/>
      </c>
      <c r="K395" s="84" t="str">
        <f aca="false">IF($D395=1,INDEX(TblClusters[Tarif par nœud],$B395),"")</f>
        <v/>
      </c>
      <c r="L395" s="14" t="str">
        <f aca="false">IF($D395=1,INDEX(TblClusters[CPU initial (vCPU)],$B395),"")</f>
        <v/>
      </c>
      <c r="M395" s="14" t="str">
        <f aca="false">IF($D395=1,INDEX(TblClusters[RAM initiale (Go)],$B395),"")</f>
        <v/>
      </c>
      <c r="N395" s="14" t="str">
        <f aca="false">IF($D395=1,INDEX(TblClusters[CPU min (vCPU)],$B395),"")</f>
        <v/>
      </c>
      <c r="O395" s="14" t="str">
        <f aca="false">IF($D395=1,INDEX(TblClusters[RAM min (Go)],$B395),"")</f>
        <v/>
      </c>
      <c r="P395" s="14" t="str">
        <f aca="false">IF($D395&lt;&gt;1,"",IF($G395="ROKS",SUMIFS(TblApplications[Besoin ROKS CPU (vCPU)],TblApplications[Cluster ROKS cible],$F395,TblApplications[Action],"À migrer",TblApplications[Déjà incluse ROKS],"Non",TblApplications[Mois prov (calc)],"&lt;="&amp;$E395),SUMIFS(TblApplications[CPU IKS libérable (vCPU)],TblApplications[Cluster IKS source],$F395,TblApplications[Mois lib (calc)],"&lt;="&amp;$E395)))</f>
        <v/>
      </c>
      <c r="Q395" s="14" t="str">
        <f aca="false">IF($D395&lt;&gt;1,"",IF($G395="ROKS",SUMIFS(TblApplications[Besoin ROKS RAM (Go)],TblApplications[Cluster ROKS cible],$F395,TblApplications[Action],"À migrer",TblApplications[Déjà incluse ROKS],"Non",TblApplications[Mois prov (calc)],"&lt;="&amp;$E395),SUMIFS(TblApplications[RAM IKS libérable (Go)],TblApplications[Cluster IKS source],$F395,TblApplications[Mois lib (calc)],"&lt;="&amp;$E395)))</f>
        <v/>
      </c>
      <c r="R395" s="14" t="str">
        <f aca="false">IF($D395&lt;&gt;1,"",IF($G395="ROKS",$L395+$P395,IF($AI395=1,0,MAX($N395,$L395-$P395))))</f>
        <v/>
      </c>
      <c r="S395" s="14" t="str">
        <f aca="false">IF($D395&lt;&gt;1,"",IF($G395="ROKS",$M395+$Q395,IF($AI395=1,0,MAX($O395,$M395-$Q395))))</f>
        <v/>
      </c>
      <c r="T395" s="14" t="str">
        <f aca="false">IF($D395&lt;&gt;1,"",IF($AI395=1,0,MAX($J395,ROUNDUP(MAX($R395/$H395,$S395/$I395),0))))</f>
        <v/>
      </c>
      <c r="U395" s="14" t="str">
        <f aca="false">IF($D395&lt;&gt;1,"",IF(p_mode="Nœud",$T395*$H395,$R395))</f>
        <v/>
      </c>
      <c r="V395" s="14" t="str">
        <f aca="false">IF($D395&lt;&gt;1,"",IF(p_mode="Nœud",$T395*$I395,$S395))</f>
        <v/>
      </c>
      <c r="W395" s="84" t="str">
        <f aca="false">IF($D395&lt;&gt;1,"",IF(p_mode="Nœud",$T395*$K395,$R395*IF($G395="IKS",p_iks_cpu,p_roks_cpu)+$S395*IF($G395="IKS",p_iks_ram,p_roks_ram))*p_facteur)</f>
        <v/>
      </c>
      <c r="X395" s="14" t="str">
        <f aca="false">IF($D395&lt;&gt;1,"",IF($G395="ROKS",$R395,IF($AI395=1,0,MAX($N395,$L395-SUMIFS(TblApplications[CPU IKS libérable (vCPU)],TblApplications[Cluster IKS source],$F395,TblApplications[Action],"À migrer",TblApplications[Mois prov (calc)],"&lt;="&amp;$E395)-SUMIFS(TblApplications[CPU IKS libérable (vCPU)],TblApplications[Cluster IKS source],$F395,TblApplications[Action],"À décommissionner",TblApplications[Mois lib (calc)],"&lt;="&amp;$E395)))))</f>
        <v/>
      </c>
      <c r="Y395" s="14" t="str">
        <f aca="false">IF($D395&lt;&gt;1,"",IF($G395="ROKS",$S395,IF($AI395=1,0,MAX($O395,$M395-SUMIFS(TblApplications[RAM IKS libérable (Go)],TblApplications[Cluster IKS source],$F395,TblApplications[Action],"À migrer",TblApplications[Mois prov (calc)],"&lt;="&amp;$E395)-SUMIFS(TblApplications[RAM IKS libérable (Go)],TblApplications[Cluster IKS source],$F395,TblApplications[Action],"À décommissionner",TblApplications[Mois lib (calc)],"&lt;="&amp;$E395)))))</f>
        <v/>
      </c>
      <c r="Z395" s="14" t="str">
        <f aca="false">IF($D395&lt;&gt;1,"",IF($AI395=1,0,MAX($J395,ROUNDUP(MAX($X395/$H395,$Y395/$I395),0))))</f>
        <v/>
      </c>
      <c r="AA395" s="84" t="str">
        <f aca="false">IF($D395&lt;&gt;1,"",IF(p_mode="Nœud",$Z395*$K395,$X395*IF($G395="IKS",p_iks_cpu,p_roks_cpu)+$Y395*IF($G395="IKS",p_iks_ram,p_roks_ram))*p_facteur)</f>
        <v/>
      </c>
      <c r="AB395" s="14" t="str">
        <f aca="false">IF($D395&lt;&gt;1,"",MAX($J395,ROUNDUP(MAX($L395/$H395,$M395/$I395),0)))</f>
        <v/>
      </c>
      <c r="AC395" s="84" t="str">
        <f aca="false">IF($D395&lt;&gt;1,"",IF(p_mode="Nœud",$AB395*$K395,$L395*IF($G395="IKS",p_iks_cpu,p_roks_cpu)+$M395*IF($G395="IKS",p_iks_ram,p_roks_ram))*p_facteur)</f>
        <v/>
      </c>
      <c r="AD395" s="14" t="str">
        <f aca="false">IF($D395&lt;&gt;1,"",IF(AND($G395="IKS",$AI395&lt;&gt;1,OR($L395-$P395&lt;$N395,$M395-$Q395&lt;$O395)),1,0))</f>
        <v/>
      </c>
      <c r="AE395" s="14" t="str">
        <f aca="false">IF($D395&lt;&gt;1,"",IF(AND($G395="ROKS",$T395&gt;p_maxworkers),1,0))</f>
        <v/>
      </c>
      <c r="AF395" s="14" t="str">
        <f aca="false">IF($D395&lt;&gt;1,"",IF(INDEX(TblClusters[Environnement],$B395)="","(vide)",INDEX(TblClusters[Environnement],$B395)))</f>
        <v/>
      </c>
      <c r="AG395" s="14" t="str">
        <f aca="false">IF($D395&lt;&gt;1,"",$R395+p_poidsram*$S395)</f>
        <v/>
      </c>
      <c r="AH395" s="14" t="str">
        <f aca="false">IF($D395&lt;&gt;1,"",IFERROR($W395/$AG395,0))</f>
        <v/>
      </c>
      <c r="AI395" s="14" t="str">
        <f aca="false">IF($D395&lt;&gt;1,"",IF(AND($G395="IKS",ISNUMBER(INDEX(TblClusters[Fermeture retenue],$B395))),IF($E395&gt;=INDEX(TblClusters[Fermeture retenue],$B395),1,0),0))</f>
        <v/>
      </c>
    </row>
    <row r="396" customFormat="false" ht="15" hidden="false" customHeight="false" outlineLevel="0" collapsed="false">
      <c r="A396" s="14" t="n">
        <v>391</v>
      </c>
      <c r="B396" s="14" t="n">
        <f aca="false">INT(($A396-1)/36)+1</f>
        <v>11</v>
      </c>
      <c r="C396" s="14" t="n">
        <f aca="false">MOD($A396-1,36)+1</f>
        <v>31</v>
      </c>
      <c r="D396" s="14" t="n">
        <f aca="false">IF($C396&gt;p_horizon,0,IFERROR(IF(AND(INDEX(TblClusters[Cluster],$B396)&lt;&gt;"",ISNUMBER(INDEX(TblClusters[CPU initial (vCPU)],$B396)),ISNUMBER(INDEX(TblClusters[CPU min (vCPU)],$B396)),OR(INDEX(TblClusters[Plateforme],$B396)="IKS",INDEX(TblClusters[Plateforme],$B396)="ROKS")),1,0),0))</f>
        <v>0</v>
      </c>
      <c r="E396" s="83" t="str">
        <f aca="false">IF($D396=1,EDATE(p_debut,$C396-1),"")</f>
        <v/>
      </c>
      <c r="F396" s="14" t="str">
        <f aca="false">IF($D396=1,INDEX(TblClusters[Cluster],$B396),"")</f>
        <v/>
      </c>
      <c r="G396" s="14" t="str">
        <f aca="false">IF($D396=1,INDEX(TblClusters[Plateforme],$B396),"")</f>
        <v/>
      </c>
      <c r="H396" s="14" t="str">
        <f aca="false">IF($D396=1,INDEX(TblClusters[vCPU par nœud],$B396),"")</f>
        <v/>
      </c>
      <c r="I396" s="14" t="str">
        <f aca="false">IF($D396=1,INDEX(TblClusters[RAM par nœud (Go)],$B396),"")</f>
        <v/>
      </c>
      <c r="J396" s="14" t="str">
        <f aca="false">IF($D396=1,INDEX(TblClusters[Workers min],$B396),"")</f>
        <v/>
      </c>
      <c r="K396" s="84" t="str">
        <f aca="false">IF($D396=1,INDEX(TblClusters[Tarif par nœud],$B396),"")</f>
        <v/>
      </c>
      <c r="L396" s="14" t="str">
        <f aca="false">IF($D396=1,INDEX(TblClusters[CPU initial (vCPU)],$B396),"")</f>
        <v/>
      </c>
      <c r="M396" s="14" t="str">
        <f aca="false">IF($D396=1,INDEX(TblClusters[RAM initiale (Go)],$B396),"")</f>
        <v/>
      </c>
      <c r="N396" s="14" t="str">
        <f aca="false">IF($D396=1,INDEX(TblClusters[CPU min (vCPU)],$B396),"")</f>
        <v/>
      </c>
      <c r="O396" s="14" t="str">
        <f aca="false">IF($D396=1,INDEX(TblClusters[RAM min (Go)],$B396),"")</f>
        <v/>
      </c>
      <c r="P396" s="14" t="str">
        <f aca="false">IF($D396&lt;&gt;1,"",IF($G396="ROKS",SUMIFS(TblApplications[Besoin ROKS CPU (vCPU)],TblApplications[Cluster ROKS cible],$F396,TblApplications[Action],"À migrer",TblApplications[Déjà incluse ROKS],"Non",TblApplications[Mois prov (calc)],"&lt;="&amp;$E396),SUMIFS(TblApplications[CPU IKS libérable (vCPU)],TblApplications[Cluster IKS source],$F396,TblApplications[Mois lib (calc)],"&lt;="&amp;$E396)))</f>
        <v/>
      </c>
      <c r="Q396" s="14" t="str">
        <f aca="false">IF($D396&lt;&gt;1,"",IF($G396="ROKS",SUMIFS(TblApplications[Besoin ROKS RAM (Go)],TblApplications[Cluster ROKS cible],$F396,TblApplications[Action],"À migrer",TblApplications[Déjà incluse ROKS],"Non",TblApplications[Mois prov (calc)],"&lt;="&amp;$E396),SUMIFS(TblApplications[RAM IKS libérable (Go)],TblApplications[Cluster IKS source],$F396,TblApplications[Mois lib (calc)],"&lt;="&amp;$E396)))</f>
        <v/>
      </c>
      <c r="R396" s="14" t="str">
        <f aca="false">IF($D396&lt;&gt;1,"",IF($G396="ROKS",$L396+$P396,IF($AI396=1,0,MAX($N396,$L396-$P396))))</f>
        <v/>
      </c>
      <c r="S396" s="14" t="str">
        <f aca="false">IF($D396&lt;&gt;1,"",IF($G396="ROKS",$M396+$Q396,IF($AI396=1,0,MAX($O396,$M396-$Q396))))</f>
        <v/>
      </c>
      <c r="T396" s="14" t="str">
        <f aca="false">IF($D396&lt;&gt;1,"",IF($AI396=1,0,MAX($J396,ROUNDUP(MAX($R396/$H396,$S396/$I396),0))))</f>
        <v/>
      </c>
      <c r="U396" s="14" t="str">
        <f aca="false">IF($D396&lt;&gt;1,"",IF(p_mode="Nœud",$T396*$H396,$R396))</f>
        <v/>
      </c>
      <c r="V396" s="14" t="str">
        <f aca="false">IF($D396&lt;&gt;1,"",IF(p_mode="Nœud",$T396*$I396,$S396))</f>
        <v/>
      </c>
      <c r="W396" s="84" t="str">
        <f aca="false">IF($D396&lt;&gt;1,"",IF(p_mode="Nœud",$T396*$K396,$R396*IF($G396="IKS",p_iks_cpu,p_roks_cpu)+$S396*IF($G396="IKS",p_iks_ram,p_roks_ram))*p_facteur)</f>
        <v/>
      </c>
      <c r="X396" s="14" t="str">
        <f aca="false">IF($D396&lt;&gt;1,"",IF($G396="ROKS",$R396,IF($AI396=1,0,MAX($N396,$L396-SUMIFS(TblApplications[CPU IKS libérable (vCPU)],TblApplications[Cluster IKS source],$F396,TblApplications[Action],"À migrer",TblApplications[Mois prov (calc)],"&lt;="&amp;$E396)-SUMIFS(TblApplications[CPU IKS libérable (vCPU)],TblApplications[Cluster IKS source],$F396,TblApplications[Action],"À décommissionner",TblApplications[Mois lib (calc)],"&lt;="&amp;$E396)))))</f>
        <v/>
      </c>
      <c r="Y396" s="14" t="str">
        <f aca="false">IF($D396&lt;&gt;1,"",IF($G396="ROKS",$S396,IF($AI396=1,0,MAX($O396,$M396-SUMIFS(TblApplications[RAM IKS libérable (Go)],TblApplications[Cluster IKS source],$F396,TblApplications[Action],"À migrer",TblApplications[Mois prov (calc)],"&lt;="&amp;$E396)-SUMIFS(TblApplications[RAM IKS libérable (Go)],TblApplications[Cluster IKS source],$F396,TblApplications[Action],"À décommissionner",TblApplications[Mois lib (calc)],"&lt;="&amp;$E396)))))</f>
        <v/>
      </c>
      <c r="Z396" s="14" t="str">
        <f aca="false">IF($D396&lt;&gt;1,"",IF($AI396=1,0,MAX($J396,ROUNDUP(MAX($X396/$H396,$Y396/$I396),0))))</f>
        <v/>
      </c>
      <c r="AA396" s="84" t="str">
        <f aca="false">IF($D396&lt;&gt;1,"",IF(p_mode="Nœud",$Z396*$K396,$X396*IF($G396="IKS",p_iks_cpu,p_roks_cpu)+$Y396*IF($G396="IKS",p_iks_ram,p_roks_ram))*p_facteur)</f>
        <v/>
      </c>
      <c r="AB396" s="14" t="str">
        <f aca="false">IF($D396&lt;&gt;1,"",MAX($J396,ROUNDUP(MAX($L396/$H396,$M396/$I396),0)))</f>
        <v/>
      </c>
      <c r="AC396" s="84" t="str">
        <f aca="false">IF($D396&lt;&gt;1,"",IF(p_mode="Nœud",$AB396*$K396,$L396*IF($G396="IKS",p_iks_cpu,p_roks_cpu)+$M396*IF($G396="IKS",p_iks_ram,p_roks_ram))*p_facteur)</f>
        <v/>
      </c>
      <c r="AD396" s="14" t="str">
        <f aca="false">IF($D396&lt;&gt;1,"",IF(AND($G396="IKS",$AI396&lt;&gt;1,OR($L396-$P396&lt;$N396,$M396-$Q396&lt;$O396)),1,0))</f>
        <v/>
      </c>
      <c r="AE396" s="14" t="str">
        <f aca="false">IF($D396&lt;&gt;1,"",IF(AND($G396="ROKS",$T396&gt;p_maxworkers),1,0))</f>
        <v/>
      </c>
      <c r="AF396" s="14" t="str">
        <f aca="false">IF($D396&lt;&gt;1,"",IF(INDEX(TblClusters[Environnement],$B396)="","(vide)",INDEX(TblClusters[Environnement],$B396)))</f>
        <v/>
      </c>
      <c r="AG396" s="14" t="str">
        <f aca="false">IF($D396&lt;&gt;1,"",$R396+p_poidsram*$S396)</f>
        <v/>
      </c>
      <c r="AH396" s="14" t="str">
        <f aca="false">IF($D396&lt;&gt;1,"",IFERROR($W396/$AG396,0))</f>
        <v/>
      </c>
      <c r="AI396" s="14" t="str">
        <f aca="false">IF($D396&lt;&gt;1,"",IF(AND($G396="IKS",ISNUMBER(INDEX(TblClusters[Fermeture retenue],$B396))),IF($E396&gt;=INDEX(TblClusters[Fermeture retenue],$B396),1,0),0))</f>
        <v/>
      </c>
    </row>
    <row r="397" customFormat="false" ht="15" hidden="false" customHeight="false" outlineLevel="0" collapsed="false">
      <c r="A397" s="14" t="n">
        <v>392</v>
      </c>
      <c r="B397" s="14" t="n">
        <f aca="false">INT(($A397-1)/36)+1</f>
        <v>11</v>
      </c>
      <c r="C397" s="14" t="n">
        <f aca="false">MOD($A397-1,36)+1</f>
        <v>32</v>
      </c>
      <c r="D397" s="14" t="n">
        <f aca="false">IF($C397&gt;p_horizon,0,IFERROR(IF(AND(INDEX(TblClusters[Cluster],$B397)&lt;&gt;"",ISNUMBER(INDEX(TblClusters[CPU initial (vCPU)],$B397)),ISNUMBER(INDEX(TblClusters[CPU min (vCPU)],$B397)),OR(INDEX(TblClusters[Plateforme],$B397)="IKS",INDEX(TblClusters[Plateforme],$B397)="ROKS")),1,0),0))</f>
        <v>0</v>
      </c>
      <c r="E397" s="83" t="str">
        <f aca="false">IF($D397=1,EDATE(p_debut,$C397-1),"")</f>
        <v/>
      </c>
      <c r="F397" s="14" t="str">
        <f aca="false">IF($D397=1,INDEX(TblClusters[Cluster],$B397),"")</f>
        <v/>
      </c>
      <c r="G397" s="14" t="str">
        <f aca="false">IF($D397=1,INDEX(TblClusters[Plateforme],$B397),"")</f>
        <v/>
      </c>
      <c r="H397" s="14" t="str">
        <f aca="false">IF($D397=1,INDEX(TblClusters[vCPU par nœud],$B397),"")</f>
        <v/>
      </c>
      <c r="I397" s="14" t="str">
        <f aca="false">IF($D397=1,INDEX(TblClusters[RAM par nœud (Go)],$B397),"")</f>
        <v/>
      </c>
      <c r="J397" s="14" t="str">
        <f aca="false">IF($D397=1,INDEX(TblClusters[Workers min],$B397),"")</f>
        <v/>
      </c>
      <c r="K397" s="84" t="str">
        <f aca="false">IF($D397=1,INDEX(TblClusters[Tarif par nœud],$B397),"")</f>
        <v/>
      </c>
      <c r="L397" s="14" t="str">
        <f aca="false">IF($D397=1,INDEX(TblClusters[CPU initial (vCPU)],$B397),"")</f>
        <v/>
      </c>
      <c r="M397" s="14" t="str">
        <f aca="false">IF($D397=1,INDEX(TblClusters[RAM initiale (Go)],$B397),"")</f>
        <v/>
      </c>
      <c r="N397" s="14" t="str">
        <f aca="false">IF($D397=1,INDEX(TblClusters[CPU min (vCPU)],$B397),"")</f>
        <v/>
      </c>
      <c r="O397" s="14" t="str">
        <f aca="false">IF($D397=1,INDEX(TblClusters[RAM min (Go)],$B397),"")</f>
        <v/>
      </c>
      <c r="P397" s="14" t="str">
        <f aca="false">IF($D397&lt;&gt;1,"",IF($G397="ROKS",SUMIFS(TblApplications[Besoin ROKS CPU (vCPU)],TblApplications[Cluster ROKS cible],$F397,TblApplications[Action],"À migrer",TblApplications[Déjà incluse ROKS],"Non",TblApplications[Mois prov (calc)],"&lt;="&amp;$E397),SUMIFS(TblApplications[CPU IKS libérable (vCPU)],TblApplications[Cluster IKS source],$F397,TblApplications[Mois lib (calc)],"&lt;="&amp;$E397)))</f>
        <v/>
      </c>
      <c r="Q397" s="14" t="str">
        <f aca="false">IF($D397&lt;&gt;1,"",IF($G397="ROKS",SUMIFS(TblApplications[Besoin ROKS RAM (Go)],TblApplications[Cluster ROKS cible],$F397,TblApplications[Action],"À migrer",TblApplications[Déjà incluse ROKS],"Non",TblApplications[Mois prov (calc)],"&lt;="&amp;$E397),SUMIFS(TblApplications[RAM IKS libérable (Go)],TblApplications[Cluster IKS source],$F397,TblApplications[Mois lib (calc)],"&lt;="&amp;$E397)))</f>
        <v/>
      </c>
      <c r="R397" s="14" t="str">
        <f aca="false">IF($D397&lt;&gt;1,"",IF($G397="ROKS",$L397+$P397,IF($AI397=1,0,MAX($N397,$L397-$P397))))</f>
        <v/>
      </c>
      <c r="S397" s="14" t="str">
        <f aca="false">IF($D397&lt;&gt;1,"",IF($G397="ROKS",$M397+$Q397,IF($AI397=1,0,MAX($O397,$M397-$Q397))))</f>
        <v/>
      </c>
      <c r="T397" s="14" t="str">
        <f aca="false">IF($D397&lt;&gt;1,"",IF($AI397=1,0,MAX($J397,ROUNDUP(MAX($R397/$H397,$S397/$I397),0))))</f>
        <v/>
      </c>
      <c r="U397" s="14" t="str">
        <f aca="false">IF($D397&lt;&gt;1,"",IF(p_mode="Nœud",$T397*$H397,$R397))</f>
        <v/>
      </c>
      <c r="V397" s="14" t="str">
        <f aca="false">IF($D397&lt;&gt;1,"",IF(p_mode="Nœud",$T397*$I397,$S397))</f>
        <v/>
      </c>
      <c r="W397" s="84" t="str">
        <f aca="false">IF($D397&lt;&gt;1,"",IF(p_mode="Nœud",$T397*$K397,$R397*IF($G397="IKS",p_iks_cpu,p_roks_cpu)+$S397*IF($G397="IKS",p_iks_ram,p_roks_ram))*p_facteur)</f>
        <v/>
      </c>
      <c r="X397" s="14" t="str">
        <f aca="false">IF($D397&lt;&gt;1,"",IF($G397="ROKS",$R397,IF($AI397=1,0,MAX($N397,$L397-SUMIFS(TblApplications[CPU IKS libérable (vCPU)],TblApplications[Cluster IKS source],$F397,TblApplications[Action],"À migrer",TblApplications[Mois prov (calc)],"&lt;="&amp;$E397)-SUMIFS(TblApplications[CPU IKS libérable (vCPU)],TblApplications[Cluster IKS source],$F397,TblApplications[Action],"À décommissionner",TblApplications[Mois lib (calc)],"&lt;="&amp;$E397)))))</f>
        <v/>
      </c>
      <c r="Y397" s="14" t="str">
        <f aca="false">IF($D397&lt;&gt;1,"",IF($G397="ROKS",$S397,IF($AI397=1,0,MAX($O397,$M397-SUMIFS(TblApplications[RAM IKS libérable (Go)],TblApplications[Cluster IKS source],$F397,TblApplications[Action],"À migrer",TblApplications[Mois prov (calc)],"&lt;="&amp;$E397)-SUMIFS(TblApplications[RAM IKS libérable (Go)],TblApplications[Cluster IKS source],$F397,TblApplications[Action],"À décommissionner",TblApplications[Mois lib (calc)],"&lt;="&amp;$E397)))))</f>
        <v/>
      </c>
      <c r="Z397" s="14" t="str">
        <f aca="false">IF($D397&lt;&gt;1,"",IF($AI397=1,0,MAX($J397,ROUNDUP(MAX($X397/$H397,$Y397/$I397),0))))</f>
        <v/>
      </c>
      <c r="AA397" s="84" t="str">
        <f aca="false">IF($D397&lt;&gt;1,"",IF(p_mode="Nœud",$Z397*$K397,$X397*IF($G397="IKS",p_iks_cpu,p_roks_cpu)+$Y397*IF($G397="IKS",p_iks_ram,p_roks_ram))*p_facteur)</f>
        <v/>
      </c>
      <c r="AB397" s="14" t="str">
        <f aca="false">IF($D397&lt;&gt;1,"",MAX($J397,ROUNDUP(MAX($L397/$H397,$M397/$I397),0)))</f>
        <v/>
      </c>
      <c r="AC397" s="84" t="str">
        <f aca="false">IF($D397&lt;&gt;1,"",IF(p_mode="Nœud",$AB397*$K397,$L397*IF($G397="IKS",p_iks_cpu,p_roks_cpu)+$M397*IF($G397="IKS",p_iks_ram,p_roks_ram))*p_facteur)</f>
        <v/>
      </c>
      <c r="AD397" s="14" t="str">
        <f aca="false">IF($D397&lt;&gt;1,"",IF(AND($G397="IKS",$AI397&lt;&gt;1,OR($L397-$P397&lt;$N397,$M397-$Q397&lt;$O397)),1,0))</f>
        <v/>
      </c>
      <c r="AE397" s="14" t="str">
        <f aca="false">IF($D397&lt;&gt;1,"",IF(AND($G397="ROKS",$T397&gt;p_maxworkers),1,0))</f>
        <v/>
      </c>
      <c r="AF397" s="14" t="str">
        <f aca="false">IF($D397&lt;&gt;1,"",IF(INDEX(TblClusters[Environnement],$B397)="","(vide)",INDEX(TblClusters[Environnement],$B397)))</f>
        <v/>
      </c>
      <c r="AG397" s="14" t="str">
        <f aca="false">IF($D397&lt;&gt;1,"",$R397+p_poidsram*$S397)</f>
        <v/>
      </c>
      <c r="AH397" s="14" t="str">
        <f aca="false">IF($D397&lt;&gt;1,"",IFERROR($W397/$AG397,0))</f>
        <v/>
      </c>
      <c r="AI397" s="14" t="str">
        <f aca="false">IF($D397&lt;&gt;1,"",IF(AND($G397="IKS",ISNUMBER(INDEX(TblClusters[Fermeture retenue],$B397))),IF($E397&gt;=INDEX(TblClusters[Fermeture retenue],$B397),1,0),0))</f>
        <v/>
      </c>
    </row>
    <row r="398" customFormat="false" ht="15" hidden="false" customHeight="false" outlineLevel="0" collapsed="false">
      <c r="A398" s="14" t="n">
        <v>393</v>
      </c>
      <c r="B398" s="14" t="n">
        <f aca="false">INT(($A398-1)/36)+1</f>
        <v>11</v>
      </c>
      <c r="C398" s="14" t="n">
        <f aca="false">MOD($A398-1,36)+1</f>
        <v>33</v>
      </c>
      <c r="D398" s="14" t="n">
        <f aca="false">IF($C398&gt;p_horizon,0,IFERROR(IF(AND(INDEX(TblClusters[Cluster],$B398)&lt;&gt;"",ISNUMBER(INDEX(TblClusters[CPU initial (vCPU)],$B398)),ISNUMBER(INDEX(TblClusters[CPU min (vCPU)],$B398)),OR(INDEX(TblClusters[Plateforme],$B398)="IKS",INDEX(TblClusters[Plateforme],$B398)="ROKS")),1,0),0))</f>
        <v>0</v>
      </c>
      <c r="E398" s="83" t="str">
        <f aca="false">IF($D398=1,EDATE(p_debut,$C398-1),"")</f>
        <v/>
      </c>
      <c r="F398" s="14" t="str">
        <f aca="false">IF($D398=1,INDEX(TblClusters[Cluster],$B398),"")</f>
        <v/>
      </c>
      <c r="G398" s="14" t="str">
        <f aca="false">IF($D398=1,INDEX(TblClusters[Plateforme],$B398),"")</f>
        <v/>
      </c>
      <c r="H398" s="14" t="str">
        <f aca="false">IF($D398=1,INDEX(TblClusters[vCPU par nœud],$B398),"")</f>
        <v/>
      </c>
      <c r="I398" s="14" t="str">
        <f aca="false">IF($D398=1,INDEX(TblClusters[RAM par nœud (Go)],$B398),"")</f>
        <v/>
      </c>
      <c r="J398" s="14" t="str">
        <f aca="false">IF($D398=1,INDEX(TblClusters[Workers min],$B398),"")</f>
        <v/>
      </c>
      <c r="K398" s="84" t="str">
        <f aca="false">IF($D398=1,INDEX(TblClusters[Tarif par nœud],$B398),"")</f>
        <v/>
      </c>
      <c r="L398" s="14" t="str">
        <f aca="false">IF($D398=1,INDEX(TblClusters[CPU initial (vCPU)],$B398),"")</f>
        <v/>
      </c>
      <c r="M398" s="14" t="str">
        <f aca="false">IF($D398=1,INDEX(TblClusters[RAM initiale (Go)],$B398),"")</f>
        <v/>
      </c>
      <c r="N398" s="14" t="str">
        <f aca="false">IF($D398=1,INDEX(TblClusters[CPU min (vCPU)],$B398),"")</f>
        <v/>
      </c>
      <c r="O398" s="14" t="str">
        <f aca="false">IF($D398=1,INDEX(TblClusters[RAM min (Go)],$B398),"")</f>
        <v/>
      </c>
      <c r="P398" s="14" t="str">
        <f aca="false">IF($D398&lt;&gt;1,"",IF($G398="ROKS",SUMIFS(TblApplications[Besoin ROKS CPU (vCPU)],TblApplications[Cluster ROKS cible],$F398,TblApplications[Action],"À migrer",TblApplications[Déjà incluse ROKS],"Non",TblApplications[Mois prov (calc)],"&lt;="&amp;$E398),SUMIFS(TblApplications[CPU IKS libérable (vCPU)],TblApplications[Cluster IKS source],$F398,TblApplications[Mois lib (calc)],"&lt;="&amp;$E398)))</f>
        <v/>
      </c>
      <c r="Q398" s="14" t="str">
        <f aca="false">IF($D398&lt;&gt;1,"",IF($G398="ROKS",SUMIFS(TblApplications[Besoin ROKS RAM (Go)],TblApplications[Cluster ROKS cible],$F398,TblApplications[Action],"À migrer",TblApplications[Déjà incluse ROKS],"Non",TblApplications[Mois prov (calc)],"&lt;="&amp;$E398),SUMIFS(TblApplications[RAM IKS libérable (Go)],TblApplications[Cluster IKS source],$F398,TblApplications[Mois lib (calc)],"&lt;="&amp;$E398)))</f>
        <v/>
      </c>
      <c r="R398" s="14" t="str">
        <f aca="false">IF($D398&lt;&gt;1,"",IF($G398="ROKS",$L398+$P398,IF($AI398=1,0,MAX($N398,$L398-$P398))))</f>
        <v/>
      </c>
      <c r="S398" s="14" t="str">
        <f aca="false">IF($D398&lt;&gt;1,"",IF($G398="ROKS",$M398+$Q398,IF($AI398=1,0,MAX($O398,$M398-$Q398))))</f>
        <v/>
      </c>
      <c r="T398" s="14" t="str">
        <f aca="false">IF($D398&lt;&gt;1,"",IF($AI398=1,0,MAX($J398,ROUNDUP(MAX($R398/$H398,$S398/$I398),0))))</f>
        <v/>
      </c>
      <c r="U398" s="14" t="str">
        <f aca="false">IF($D398&lt;&gt;1,"",IF(p_mode="Nœud",$T398*$H398,$R398))</f>
        <v/>
      </c>
      <c r="V398" s="14" t="str">
        <f aca="false">IF($D398&lt;&gt;1,"",IF(p_mode="Nœud",$T398*$I398,$S398))</f>
        <v/>
      </c>
      <c r="W398" s="84" t="str">
        <f aca="false">IF($D398&lt;&gt;1,"",IF(p_mode="Nœud",$T398*$K398,$R398*IF($G398="IKS",p_iks_cpu,p_roks_cpu)+$S398*IF($G398="IKS",p_iks_ram,p_roks_ram))*p_facteur)</f>
        <v/>
      </c>
      <c r="X398" s="14" t="str">
        <f aca="false">IF($D398&lt;&gt;1,"",IF($G398="ROKS",$R398,IF($AI398=1,0,MAX($N398,$L398-SUMIFS(TblApplications[CPU IKS libérable (vCPU)],TblApplications[Cluster IKS source],$F398,TblApplications[Action],"À migrer",TblApplications[Mois prov (calc)],"&lt;="&amp;$E398)-SUMIFS(TblApplications[CPU IKS libérable (vCPU)],TblApplications[Cluster IKS source],$F398,TblApplications[Action],"À décommissionner",TblApplications[Mois lib (calc)],"&lt;="&amp;$E398)))))</f>
        <v/>
      </c>
      <c r="Y398" s="14" t="str">
        <f aca="false">IF($D398&lt;&gt;1,"",IF($G398="ROKS",$S398,IF($AI398=1,0,MAX($O398,$M398-SUMIFS(TblApplications[RAM IKS libérable (Go)],TblApplications[Cluster IKS source],$F398,TblApplications[Action],"À migrer",TblApplications[Mois prov (calc)],"&lt;="&amp;$E398)-SUMIFS(TblApplications[RAM IKS libérable (Go)],TblApplications[Cluster IKS source],$F398,TblApplications[Action],"À décommissionner",TblApplications[Mois lib (calc)],"&lt;="&amp;$E398)))))</f>
        <v/>
      </c>
      <c r="Z398" s="14" t="str">
        <f aca="false">IF($D398&lt;&gt;1,"",IF($AI398=1,0,MAX($J398,ROUNDUP(MAX($X398/$H398,$Y398/$I398),0))))</f>
        <v/>
      </c>
      <c r="AA398" s="84" t="str">
        <f aca="false">IF($D398&lt;&gt;1,"",IF(p_mode="Nœud",$Z398*$K398,$X398*IF($G398="IKS",p_iks_cpu,p_roks_cpu)+$Y398*IF($G398="IKS",p_iks_ram,p_roks_ram))*p_facteur)</f>
        <v/>
      </c>
      <c r="AB398" s="14" t="str">
        <f aca="false">IF($D398&lt;&gt;1,"",MAX($J398,ROUNDUP(MAX($L398/$H398,$M398/$I398),0)))</f>
        <v/>
      </c>
      <c r="AC398" s="84" t="str">
        <f aca="false">IF($D398&lt;&gt;1,"",IF(p_mode="Nœud",$AB398*$K398,$L398*IF($G398="IKS",p_iks_cpu,p_roks_cpu)+$M398*IF($G398="IKS",p_iks_ram,p_roks_ram))*p_facteur)</f>
        <v/>
      </c>
      <c r="AD398" s="14" t="str">
        <f aca="false">IF($D398&lt;&gt;1,"",IF(AND($G398="IKS",$AI398&lt;&gt;1,OR($L398-$P398&lt;$N398,$M398-$Q398&lt;$O398)),1,0))</f>
        <v/>
      </c>
      <c r="AE398" s="14" t="str">
        <f aca="false">IF($D398&lt;&gt;1,"",IF(AND($G398="ROKS",$T398&gt;p_maxworkers),1,0))</f>
        <v/>
      </c>
      <c r="AF398" s="14" t="str">
        <f aca="false">IF($D398&lt;&gt;1,"",IF(INDEX(TblClusters[Environnement],$B398)="","(vide)",INDEX(TblClusters[Environnement],$B398)))</f>
        <v/>
      </c>
      <c r="AG398" s="14" t="str">
        <f aca="false">IF($D398&lt;&gt;1,"",$R398+p_poidsram*$S398)</f>
        <v/>
      </c>
      <c r="AH398" s="14" t="str">
        <f aca="false">IF($D398&lt;&gt;1,"",IFERROR($W398/$AG398,0))</f>
        <v/>
      </c>
      <c r="AI398" s="14" t="str">
        <f aca="false">IF($D398&lt;&gt;1,"",IF(AND($G398="IKS",ISNUMBER(INDEX(TblClusters[Fermeture retenue],$B398))),IF($E398&gt;=INDEX(TblClusters[Fermeture retenue],$B398),1,0),0))</f>
        <v/>
      </c>
    </row>
    <row r="399" customFormat="false" ht="15" hidden="false" customHeight="false" outlineLevel="0" collapsed="false">
      <c r="A399" s="14" t="n">
        <v>394</v>
      </c>
      <c r="B399" s="14" t="n">
        <f aca="false">INT(($A399-1)/36)+1</f>
        <v>11</v>
      </c>
      <c r="C399" s="14" t="n">
        <f aca="false">MOD($A399-1,36)+1</f>
        <v>34</v>
      </c>
      <c r="D399" s="14" t="n">
        <f aca="false">IF($C399&gt;p_horizon,0,IFERROR(IF(AND(INDEX(TblClusters[Cluster],$B399)&lt;&gt;"",ISNUMBER(INDEX(TblClusters[CPU initial (vCPU)],$B399)),ISNUMBER(INDEX(TblClusters[CPU min (vCPU)],$B399)),OR(INDEX(TblClusters[Plateforme],$B399)="IKS",INDEX(TblClusters[Plateforme],$B399)="ROKS")),1,0),0))</f>
        <v>0</v>
      </c>
      <c r="E399" s="83" t="str">
        <f aca="false">IF($D399=1,EDATE(p_debut,$C399-1),"")</f>
        <v/>
      </c>
      <c r="F399" s="14" t="str">
        <f aca="false">IF($D399=1,INDEX(TblClusters[Cluster],$B399),"")</f>
        <v/>
      </c>
      <c r="G399" s="14" t="str">
        <f aca="false">IF($D399=1,INDEX(TblClusters[Plateforme],$B399),"")</f>
        <v/>
      </c>
      <c r="H399" s="14" t="str">
        <f aca="false">IF($D399=1,INDEX(TblClusters[vCPU par nœud],$B399),"")</f>
        <v/>
      </c>
      <c r="I399" s="14" t="str">
        <f aca="false">IF($D399=1,INDEX(TblClusters[RAM par nœud (Go)],$B399),"")</f>
        <v/>
      </c>
      <c r="J399" s="14" t="str">
        <f aca="false">IF($D399=1,INDEX(TblClusters[Workers min],$B399),"")</f>
        <v/>
      </c>
      <c r="K399" s="84" t="str">
        <f aca="false">IF($D399=1,INDEX(TblClusters[Tarif par nœud],$B399),"")</f>
        <v/>
      </c>
      <c r="L399" s="14" t="str">
        <f aca="false">IF($D399=1,INDEX(TblClusters[CPU initial (vCPU)],$B399),"")</f>
        <v/>
      </c>
      <c r="M399" s="14" t="str">
        <f aca="false">IF($D399=1,INDEX(TblClusters[RAM initiale (Go)],$B399),"")</f>
        <v/>
      </c>
      <c r="N399" s="14" t="str">
        <f aca="false">IF($D399=1,INDEX(TblClusters[CPU min (vCPU)],$B399),"")</f>
        <v/>
      </c>
      <c r="O399" s="14" t="str">
        <f aca="false">IF($D399=1,INDEX(TblClusters[RAM min (Go)],$B399),"")</f>
        <v/>
      </c>
      <c r="P399" s="14" t="str">
        <f aca="false">IF($D399&lt;&gt;1,"",IF($G399="ROKS",SUMIFS(TblApplications[Besoin ROKS CPU (vCPU)],TblApplications[Cluster ROKS cible],$F399,TblApplications[Action],"À migrer",TblApplications[Déjà incluse ROKS],"Non",TblApplications[Mois prov (calc)],"&lt;="&amp;$E399),SUMIFS(TblApplications[CPU IKS libérable (vCPU)],TblApplications[Cluster IKS source],$F399,TblApplications[Mois lib (calc)],"&lt;="&amp;$E399)))</f>
        <v/>
      </c>
      <c r="Q399" s="14" t="str">
        <f aca="false">IF($D399&lt;&gt;1,"",IF($G399="ROKS",SUMIFS(TblApplications[Besoin ROKS RAM (Go)],TblApplications[Cluster ROKS cible],$F399,TblApplications[Action],"À migrer",TblApplications[Déjà incluse ROKS],"Non",TblApplications[Mois prov (calc)],"&lt;="&amp;$E399),SUMIFS(TblApplications[RAM IKS libérable (Go)],TblApplications[Cluster IKS source],$F399,TblApplications[Mois lib (calc)],"&lt;="&amp;$E399)))</f>
        <v/>
      </c>
      <c r="R399" s="14" t="str">
        <f aca="false">IF($D399&lt;&gt;1,"",IF($G399="ROKS",$L399+$P399,IF($AI399=1,0,MAX($N399,$L399-$P399))))</f>
        <v/>
      </c>
      <c r="S399" s="14" t="str">
        <f aca="false">IF($D399&lt;&gt;1,"",IF($G399="ROKS",$M399+$Q399,IF($AI399=1,0,MAX($O399,$M399-$Q399))))</f>
        <v/>
      </c>
      <c r="T399" s="14" t="str">
        <f aca="false">IF($D399&lt;&gt;1,"",IF($AI399=1,0,MAX($J399,ROUNDUP(MAX($R399/$H399,$S399/$I399),0))))</f>
        <v/>
      </c>
      <c r="U399" s="14" t="str">
        <f aca="false">IF($D399&lt;&gt;1,"",IF(p_mode="Nœud",$T399*$H399,$R399))</f>
        <v/>
      </c>
      <c r="V399" s="14" t="str">
        <f aca="false">IF($D399&lt;&gt;1,"",IF(p_mode="Nœud",$T399*$I399,$S399))</f>
        <v/>
      </c>
      <c r="W399" s="84" t="str">
        <f aca="false">IF($D399&lt;&gt;1,"",IF(p_mode="Nœud",$T399*$K399,$R399*IF($G399="IKS",p_iks_cpu,p_roks_cpu)+$S399*IF($G399="IKS",p_iks_ram,p_roks_ram))*p_facteur)</f>
        <v/>
      </c>
      <c r="X399" s="14" t="str">
        <f aca="false">IF($D399&lt;&gt;1,"",IF($G399="ROKS",$R399,IF($AI399=1,0,MAX($N399,$L399-SUMIFS(TblApplications[CPU IKS libérable (vCPU)],TblApplications[Cluster IKS source],$F399,TblApplications[Action],"À migrer",TblApplications[Mois prov (calc)],"&lt;="&amp;$E399)-SUMIFS(TblApplications[CPU IKS libérable (vCPU)],TblApplications[Cluster IKS source],$F399,TblApplications[Action],"À décommissionner",TblApplications[Mois lib (calc)],"&lt;="&amp;$E399)))))</f>
        <v/>
      </c>
      <c r="Y399" s="14" t="str">
        <f aca="false">IF($D399&lt;&gt;1,"",IF($G399="ROKS",$S399,IF($AI399=1,0,MAX($O399,$M399-SUMIFS(TblApplications[RAM IKS libérable (Go)],TblApplications[Cluster IKS source],$F399,TblApplications[Action],"À migrer",TblApplications[Mois prov (calc)],"&lt;="&amp;$E399)-SUMIFS(TblApplications[RAM IKS libérable (Go)],TblApplications[Cluster IKS source],$F399,TblApplications[Action],"À décommissionner",TblApplications[Mois lib (calc)],"&lt;="&amp;$E399)))))</f>
        <v/>
      </c>
      <c r="Z399" s="14" t="str">
        <f aca="false">IF($D399&lt;&gt;1,"",IF($AI399=1,0,MAX($J399,ROUNDUP(MAX($X399/$H399,$Y399/$I399),0))))</f>
        <v/>
      </c>
      <c r="AA399" s="84" t="str">
        <f aca="false">IF($D399&lt;&gt;1,"",IF(p_mode="Nœud",$Z399*$K399,$X399*IF($G399="IKS",p_iks_cpu,p_roks_cpu)+$Y399*IF($G399="IKS",p_iks_ram,p_roks_ram))*p_facteur)</f>
        <v/>
      </c>
      <c r="AB399" s="14" t="str">
        <f aca="false">IF($D399&lt;&gt;1,"",MAX($J399,ROUNDUP(MAX($L399/$H399,$M399/$I399),0)))</f>
        <v/>
      </c>
      <c r="AC399" s="84" t="str">
        <f aca="false">IF($D399&lt;&gt;1,"",IF(p_mode="Nœud",$AB399*$K399,$L399*IF($G399="IKS",p_iks_cpu,p_roks_cpu)+$M399*IF($G399="IKS",p_iks_ram,p_roks_ram))*p_facteur)</f>
        <v/>
      </c>
      <c r="AD399" s="14" t="str">
        <f aca="false">IF($D399&lt;&gt;1,"",IF(AND($G399="IKS",$AI399&lt;&gt;1,OR($L399-$P399&lt;$N399,$M399-$Q399&lt;$O399)),1,0))</f>
        <v/>
      </c>
      <c r="AE399" s="14" t="str">
        <f aca="false">IF($D399&lt;&gt;1,"",IF(AND($G399="ROKS",$T399&gt;p_maxworkers),1,0))</f>
        <v/>
      </c>
      <c r="AF399" s="14" t="str">
        <f aca="false">IF($D399&lt;&gt;1,"",IF(INDEX(TblClusters[Environnement],$B399)="","(vide)",INDEX(TblClusters[Environnement],$B399)))</f>
        <v/>
      </c>
      <c r="AG399" s="14" t="str">
        <f aca="false">IF($D399&lt;&gt;1,"",$R399+p_poidsram*$S399)</f>
        <v/>
      </c>
      <c r="AH399" s="14" t="str">
        <f aca="false">IF($D399&lt;&gt;1,"",IFERROR($W399/$AG399,0))</f>
        <v/>
      </c>
      <c r="AI399" s="14" t="str">
        <f aca="false">IF($D399&lt;&gt;1,"",IF(AND($G399="IKS",ISNUMBER(INDEX(TblClusters[Fermeture retenue],$B399))),IF($E399&gt;=INDEX(TblClusters[Fermeture retenue],$B399),1,0),0))</f>
        <v/>
      </c>
    </row>
    <row r="400" customFormat="false" ht="15" hidden="false" customHeight="false" outlineLevel="0" collapsed="false">
      <c r="A400" s="14" t="n">
        <v>395</v>
      </c>
      <c r="B400" s="14" t="n">
        <f aca="false">INT(($A400-1)/36)+1</f>
        <v>11</v>
      </c>
      <c r="C400" s="14" t="n">
        <f aca="false">MOD($A400-1,36)+1</f>
        <v>35</v>
      </c>
      <c r="D400" s="14" t="n">
        <f aca="false">IF($C400&gt;p_horizon,0,IFERROR(IF(AND(INDEX(TblClusters[Cluster],$B400)&lt;&gt;"",ISNUMBER(INDEX(TblClusters[CPU initial (vCPU)],$B400)),ISNUMBER(INDEX(TblClusters[CPU min (vCPU)],$B400)),OR(INDEX(TblClusters[Plateforme],$B400)="IKS",INDEX(TblClusters[Plateforme],$B400)="ROKS")),1,0),0))</f>
        <v>0</v>
      </c>
      <c r="E400" s="83" t="str">
        <f aca="false">IF($D400=1,EDATE(p_debut,$C400-1),"")</f>
        <v/>
      </c>
      <c r="F400" s="14" t="str">
        <f aca="false">IF($D400=1,INDEX(TblClusters[Cluster],$B400),"")</f>
        <v/>
      </c>
      <c r="G400" s="14" t="str">
        <f aca="false">IF($D400=1,INDEX(TblClusters[Plateforme],$B400),"")</f>
        <v/>
      </c>
      <c r="H400" s="14" t="str">
        <f aca="false">IF($D400=1,INDEX(TblClusters[vCPU par nœud],$B400),"")</f>
        <v/>
      </c>
      <c r="I400" s="14" t="str">
        <f aca="false">IF($D400=1,INDEX(TblClusters[RAM par nœud (Go)],$B400),"")</f>
        <v/>
      </c>
      <c r="J400" s="14" t="str">
        <f aca="false">IF($D400=1,INDEX(TblClusters[Workers min],$B400),"")</f>
        <v/>
      </c>
      <c r="K400" s="84" t="str">
        <f aca="false">IF($D400=1,INDEX(TblClusters[Tarif par nœud],$B400),"")</f>
        <v/>
      </c>
      <c r="L400" s="14" t="str">
        <f aca="false">IF($D400=1,INDEX(TblClusters[CPU initial (vCPU)],$B400),"")</f>
        <v/>
      </c>
      <c r="M400" s="14" t="str">
        <f aca="false">IF($D400=1,INDEX(TblClusters[RAM initiale (Go)],$B400),"")</f>
        <v/>
      </c>
      <c r="N400" s="14" t="str">
        <f aca="false">IF($D400=1,INDEX(TblClusters[CPU min (vCPU)],$B400),"")</f>
        <v/>
      </c>
      <c r="O400" s="14" t="str">
        <f aca="false">IF($D400=1,INDEX(TblClusters[RAM min (Go)],$B400),"")</f>
        <v/>
      </c>
      <c r="P400" s="14" t="str">
        <f aca="false">IF($D400&lt;&gt;1,"",IF($G400="ROKS",SUMIFS(TblApplications[Besoin ROKS CPU (vCPU)],TblApplications[Cluster ROKS cible],$F400,TblApplications[Action],"À migrer",TblApplications[Déjà incluse ROKS],"Non",TblApplications[Mois prov (calc)],"&lt;="&amp;$E400),SUMIFS(TblApplications[CPU IKS libérable (vCPU)],TblApplications[Cluster IKS source],$F400,TblApplications[Mois lib (calc)],"&lt;="&amp;$E400)))</f>
        <v/>
      </c>
      <c r="Q400" s="14" t="str">
        <f aca="false">IF($D400&lt;&gt;1,"",IF($G400="ROKS",SUMIFS(TblApplications[Besoin ROKS RAM (Go)],TblApplications[Cluster ROKS cible],$F400,TblApplications[Action],"À migrer",TblApplications[Déjà incluse ROKS],"Non",TblApplications[Mois prov (calc)],"&lt;="&amp;$E400),SUMIFS(TblApplications[RAM IKS libérable (Go)],TblApplications[Cluster IKS source],$F400,TblApplications[Mois lib (calc)],"&lt;="&amp;$E400)))</f>
        <v/>
      </c>
      <c r="R400" s="14" t="str">
        <f aca="false">IF($D400&lt;&gt;1,"",IF($G400="ROKS",$L400+$P400,IF($AI400=1,0,MAX($N400,$L400-$P400))))</f>
        <v/>
      </c>
      <c r="S400" s="14" t="str">
        <f aca="false">IF($D400&lt;&gt;1,"",IF($G400="ROKS",$M400+$Q400,IF($AI400=1,0,MAX($O400,$M400-$Q400))))</f>
        <v/>
      </c>
      <c r="T400" s="14" t="str">
        <f aca="false">IF($D400&lt;&gt;1,"",IF($AI400=1,0,MAX($J400,ROUNDUP(MAX($R400/$H400,$S400/$I400),0))))</f>
        <v/>
      </c>
      <c r="U400" s="14" t="str">
        <f aca="false">IF($D400&lt;&gt;1,"",IF(p_mode="Nœud",$T400*$H400,$R400))</f>
        <v/>
      </c>
      <c r="V400" s="14" t="str">
        <f aca="false">IF($D400&lt;&gt;1,"",IF(p_mode="Nœud",$T400*$I400,$S400))</f>
        <v/>
      </c>
      <c r="W400" s="84" t="str">
        <f aca="false">IF($D400&lt;&gt;1,"",IF(p_mode="Nœud",$T400*$K400,$R400*IF($G400="IKS",p_iks_cpu,p_roks_cpu)+$S400*IF($G400="IKS",p_iks_ram,p_roks_ram))*p_facteur)</f>
        <v/>
      </c>
      <c r="X400" s="14" t="str">
        <f aca="false">IF($D400&lt;&gt;1,"",IF($G400="ROKS",$R400,IF($AI400=1,0,MAX($N400,$L400-SUMIFS(TblApplications[CPU IKS libérable (vCPU)],TblApplications[Cluster IKS source],$F400,TblApplications[Action],"À migrer",TblApplications[Mois prov (calc)],"&lt;="&amp;$E400)-SUMIFS(TblApplications[CPU IKS libérable (vCPU)],TblApplications[Cluster IKS source],$F400,TblApplications[Action],"À décommissionner",TblApplications[Mois lib (calc)],"&lt;="&amp;$E400)))))</f>
        <v/>
      </c>
      <c r="Y400" s="14" t="str">
        <f aca="false">IF($D400&lt;&gt;1,"",IF($G400="ROKS",$S400,IF($AI400=1,0,MAX($O400,$M400-SUMIFS(TblApplications[RAM IKS libérable (Go)],TblApplications[Cluster IKS source],$F400,TblApplications[Action],"À migrer",TblApplications[Mois prov (calc)],"&lt;="&amp;$E400)-SUMIFS(TblApplications[RAM IKS libérable (Go)],TblApplications[Cluster IKS source],$F400,TblApplications[Action],"À décommissionner",TblApplications[Mois lib (calc)],"&lt;="&amp;$E400)))))</f>
        <v/>
      </c>
      <c r="Z400" s="14" t="str">
        <f aca="false">IF($D400&lt;&gt;1,"",IF($AI400=1,0,MAX($J400,ROUNDUP(MAX($X400/$H400,$Y400/$I400),0))))</f>
        <v/>
      </c>
      <c r="AA400" s="84" t="str">
        <f aca="false">IF($D400&lt;&gt;1,"",IF(p_mode="Nœud",$Z400*$K400,$X400*IF($G400="IKS",p_iks_cpu,p_roks_cpu)+$Y400*IF($G400="IKS",p_iks_ram,p_roks_ram))*p_facteur)</f>
        <v/>
      </c>
      <c r="AB400" s="14" t="str">
        <f aca="false">IF($D400&lt;&gt;1,"",MAX($J400,ROUNDUP(MAX($L400/$H400,$M400/$I400),0)))</f>
        <v/>
      </c>
      <c r="AC400" s="84" t="str">
        <f aca="false">IF($D400&lt;&gt;1,"",IF(p_mode="Nœud",$AB400*$K400,$L400*IF($G400="IKS",p_iks_cpu,p_roks_cpu)+$M400*IF($G400="IKS",p_iks_ram,p_roks_ram))*p_facteur)</f>
        <v/>
      </c>
      <c r="AD400" s="14" t="str">
        <f aca="false">IF($D400&lt;&gt;1,"",IF(AND($G400="IKS",$AI400&lt;&gt;1,OR($L400-$P400&lt;$N400,$M400-$Q400&lt;$O400)),1,0))</f>
        <v/>
      </c>
      <c r="AE400" s="14" t="str">
        <f aca="false">IF($D400&lt;&gt;1,"",IF(AND($G400="ROKS",$T400&gt;p_maxworkers),1,0))</f>
        <v/>
      </c>
      <c r="AF400" s="14" t="str">
        <f aca="false">IF($D400&lt;&gt;1,"",IF(INDEX(TblClusters[Environnement],$B400)="","(vide)",INDEX(TblClusters[Environnement],$B400)))</f>
        <v/>
      </c>
      <c r="AG400" s="14" t="str">
        <f aca="false">IF($D400&lt;&gt;1,"",$R400+p_poidsram*$S400)</f>
        <v/>
      </c>
      <c r="AH400" s="14" t="str">
        <f aca="false">IF($D400&lt;&gt;1,"",IFERROR($W400/$AG400,0))</f>
        <v/>
      </c>
      <c r="AI400" s="14" t="str">
        <f aca="false">IF($D400&lt;&gt;1,"",IF(AND($G400="IKS",ISNUMBER(INDEX(TblClusters[Fermeture retenue],$B400))),IF($E400&gt;=INDEX(TblClusters[Fermeture retenue],$B400),1,0),0))</f>
        <v/>
      </c>
    </row>
    <row r="401" customFormat="false" ht="15" hidden="false" customHeight="false" outlineLevel="0" collapsed="false">
      <c r="A401" s="14" t="n">
        <v>396</v>
      </c>
      <c r="B401" s="14" t="n">
        <f aca="false">INT(($A401-1)/36)+1</f>
        <v>11</v>
      </c>
      <c r="C401" s="14" t="n">
        <f aca="false">MOD($A401-1,36)+1</f>
        <v>36</v>
      </c>
      <c r="D401" s="14" t="n">
        <f aca="false">IF($C401&gt;p_horizon,0,IFERROR(IF(AND(INDEX(TblClusters[Cluster],$B401)&lt;&gt;"",ISNUMBER(INDEX(TblClusters[CPU initial (vCPU)],$B401)),ISNUMBER(INDEX(TblClusters[CPU min (vCPU)],$B401)),OR(INDEX(TblClusters[Plateforme],$B401)="IKS",INDEX(TblClusters[Plateforme],$B401)="ROKS")),1,0),0))</f>
        <v>0</v>
      </c>
      <c r="E401" s="83" t="str">
        <f aca="false">IF($D401=1,EDATE(p_debut,$C401-1),"")</f>
        <v/>
      </c>
      <c r="F401" s="14" t="str">
        <f aca="false">IF($D401=1,INDEX(TblClusters[Cluster],$B401),"")</f>
        <v/>
      </c>
      <c r="G401" s="14" t="str">
        <f aca="false">IF($D401=1,INDEX(TblClusters[Plateforme],$B401),"")</f>
        <v/>
      </c>
      <c r="H401" s="14" t="str">
        <f aca="false">IF($D401=1,INDEX(TblClusters[vCPU par nœud],$B401),"")</f>
        <v/>
      </c>
      <c r="I401" s="14" t="str">
        <f aca="false">IF($D401=1,INDEX(TblClusters[RAM par nœud (Go)],$B401),"")</f>
        <v/>
      </c>
      <c r="J401" s="14" t="str">
        <f aca="false">IF($D401=1,INDEX(TblClusters[Workers min],$B401),"")</f>
        <v/>
      </c>
      <c r="K401" s="84" t="str">
        <f aca="false">IF($D401=1,INDEX(TblClusters[Tarif par nœud],$B401),"")</f>
        <v/>
      </c>
      <c r="L401" s="14" t="str">
        <f aca="false">IF($D401=1,INDEX(TblClusters[CPU initial (vCPU)],$B401),"")</f>
        <v/>
      </c>
      <c r="M401" s="14" t="str">
        <f aca="false">IF($D401=1,INDEX(TblClusters[RAM initiale (Go)],$B401),"")</f>
        <v/>
      </c>
      <c r="N401" s="14" t="str">
        <f aca="false">IF($D401=1,INDEX(TblClusters[CPU min (vCPU)],$B401),"")</f>
        <v/>
      </c>
      <c r="O401" s="14" t="str">
        <f aca="false">IF($D401=1,INDEX(TblClusters[RAM min (Go)],$B401),"")</f>
        <v/>
      </c>
      <c r="P401" s="14" t="str">
        <f aca="false">IF($D401&lt;&gt;1,"",IF($G401="ROKS",SUMIFS(TblApplications[Besoin ROKS CPU (vCPU)],TblApplications[Cluster ROKS cible],$F401,TblApplications[Action],"À migrer",TblApplications[Déjà incluse ROKS],"Non",TblApplications[Mois prov (calc)],"&lt;="&amp;$E401),SUMIFS(TblApplications[CPU IKS libérable (vCPU)],TblApplications[Cluster IKS source],$F401,TblApplications[Mois lib (calc)],"&lt;="&amp;$E401)))</f>
        <v/>
      </c>
      <c r="Q401" s="14" t="str">
        <f aca="false">IF($D401&lt;&gt;1,"",IF($G401="ROKS",SUMIFS(TblApplications[Besoin ROKS RAM (Go)],TblApplications[Cluster ROKS cible],$F401,TblApplications[Action],"À migrer",TblApplications[Déjà incluse ROKS],"Non",TblApplications[Mois prov (calc)],"&lt;="&amp;$E401),SUMIFS(TblApplications[RAM IKS libérable (Go)],TblApplications[Cluster IKS source],$F401,TblApplications[Mois lib (calc)],"&lt;="&amp;$E401)))</f>
        <v/>
      </c>
      <c r="R401" s="14" t="str">
        <f aca="false">IF($D401&lt;&gt;1,"",IF($G401="ROKS",$L401+$P401,IF($AI401=1,0,MAX($N401,$L401-$P401))))</f>
        <v/>
      </c>
      <c r="S401" s="14" t="str">
        <f aca="false">IF($D401&lt;&gt;1,"",IF($G401="ROKS",$M401+$Q401,IF($AI401=1,0,MAX($O401,$M401-$Q401))))</f>
        <v/>
      </c>
      <c r="T401" s="14" t="str">
        <f aca="false">IF($D401&lt;&gt;1,"",IF($AI401=1,0,MAX($J401,ROUNDUP(MAX($R401/$H401,$S401/$I401),0))))</f>
        <v/>
      </c>
      <c r="U401" s="14" t="str">
        <f aca="false">IF($D401&lt;&gt;1,"",IF(p_mode="Nœud",$T401*$H401,$R401))</f>
        <v/>
      </c>
      <c r="V401" s="14" t="str">
        <f aca="false">IF($D401&lt;&gt;1,"",IF(p_mode="Nœud",$T401*$I401,$S401))</f>
        <v/>
      </c>
      <c r="W401" s="84" t="str">
        <f aca="false">IF($D401&lt;&gt;1,"",IF(p_mode="Nœud",$T401*$K401,$R401*IF($G401="IKS",p_iks_cpu,p_roks_cpu)+$S401*IF($G401="IKS",p_iks_ram,p_roks_ram))*p_facteur)</f>
        <v/>
      </c>
      <c r="X401" s="14" t="str">
        <f aca="false">IF($D401&lt;&gt;1,"",IF($G401="ROKS",$R401,IF($AI401=1,0,MAX($N401,$L401-SUMIFS(TblApplications[CPU IKS libérable (vCPU)],TblApplications[Cluster IKS source],$F401,TblApplications[Action],"À migrer",TblApplications[Mois prov (calc)],"&lt;="&amp;$E401)-SUMIFS(TblApplications[CPU IKS libérable (vCPU)],TblApplications[Cluster IKS source],$F401,TblApplications[Action],"À décommissionner",TblApplications[Mois lib (calc)],"&lt;="&amp;$E401)))))</f>
        <v/>
      </c>
      <c r="Y401" s="14" t="str">
        <f aca="false">IF($D401&lt;&gt;1,"",IF($G401="ROKS",$S401,IF($AI401=1,0,MAX($O401,$M401-SUMIFS(TblApplications[RAM IKS libérable (Go)],TblApplications[Cluster IKS source],$F401,TblApplications[Action],"À migrer",TblApplications[Mois prov (calc)],"&lt;="&amp;$E401)-SUMIFS(TblApplications[RAM IKS libérable (Go)],TblApplications[Cluster IKS source],$F401,TblApplications[Action],"À décommissionner",TblApplications[Mois lib (calc)],"&lt;="&amp;$E401)))))</f>
        <v/>
      </c>
      <c r="Z401" s="14" t="str">
        <f aca="false">IF($D401&lt;&gt;1,"",IF($AI401=1,0,MAX($J401,ROUNDUP(MAX($X401/$H401,$Y401/$I401),0))))</f>
        <v/>
      </c>
      <c r="AA401" s="84" t="str">
        <f aca="false">IF($D401&lt;&gt;1,"",IF(p_mode="Nœud",$Z401*$K401,$X401*IF($G401="IKS",p_iks_cpu,p_roks_cpu)+$Y401*IF($G401="IKS",p_iks_ram,p_roks_ram))*p_facteur)</f>
        <v/>
      </c>
      <c r="AB401" s="14" t="str">
        <f aca="false">IF($D401&lt;&gt;1,"",MAX($J401,ROUNDUP(MAX($L401/$H401,$M401/$I401),0)))</f>
        <v/>
      </c>
      <c r="AC401" s="84" t="str">
        <f aca="false">IF($D401&lt;&gt;1,"",IF(p_mode="Nœud",$AB401*$K401,$L401*IF($G401="IKS",p_iks_cpu,p_roks_cpu)+$M401*IF($G401="IKS",p_iks_ram,p_roks_ram))*p_facteur)</f>
        <v/>
      </c>
      <c r="AD401" s="14" t="str">
        <f aca="false">IF($D401&lt;&gt;1,"",IF(AND($G401="IKS",$AI401&lt;&gt;1,OR($L401-$P401&lt;$N401,$M401-$Q401&lt;$O401)),1,0))</f>
        <v/>
      </c>
      <c r="AE401" s="14" t="str">
        <f aca="false">IF($D401&lt;&gt;1,"",IF(AND($G401="ROKS",$T401&gt;p_maxworkers),1,0))</f>
        <v/>
      </c>
      <c r="AF401" s="14" t="str">
        <f aca="false">IF($D401&lt;&gt;1,"",IF(INDEX(TblClusters[Environnement],$B401)="","(vide)",INDEX(TblClusters[Environnement],$B401)))</f>
        <v/>
      </c>
      <c r="AG401" s="14" t="str">
        <f aca="false">IF($D401&lt;&gt;1,"",$R401+p_poidsram*$S401)</f>
        <v/>
      </c>
      <c r="AH401" s="14" t="str">
        <f aca="false">IF($D401&lt;&gt;1,"",IFERROR($W401/$AG401,0))</f>
        <v/>
      </c>
      <c r="AI401" s="14" t="str">
        <f aca="false">IF($D401&lt;&gt;1,"",IF(AND($G401="IKS",ISNUMBER(INDEX(TblClusters[Fermeture retenue],$B401))),IF($E401&gt;=INDEX(TblClusters[Fermeture retenue],$B401),1,0),0))</f>
        <v/>
      </c>
    </row>
    <row r="402" customFormat="false" ht="15" hidden="false" customHeight="false" outlineLevel="0" collapsed="false">
      <c r="A402" s="14" t="n">
        <v>397</v>
      </c>
      <c r="B402" s="14" t="n">
        <f aca="false">INT(($A402-1)/36)+1</f>
        <v>12</v>
      </c>
      <c r="C402" s="14" t="n">
        <f aca="false">MOD($A402-1,36)+1</f>
        <v>1</v>
      </c>
      <c r="D402" s="14" t="n">
        <f aca="false">IF($C402&gt;p_horizon,0,IFERROR(IF(AND(INDEX(TblClusters[Cluster],$B402)&lt;&gt;"",ISNUMBER(INDEX(TblClusters[CPU initial (vCPU)],$B402)),ISNUMBER(INDEX(TblClusters[CPU min (vCPU)],$B402)),OR(INDEX(TblClusters[Plateforme],$B402)="IKS",INDEX(TblClusters[Plateforme],$B402)="ROKS")),1,0),0))</f>
        <v>0</v>
      </c>
      <c r="E402" s="83" t="str">
        <f aca="false">IF($D402=1,EDATE(p_debut,$C402-1),"")</f>
        <v/>
      </c>
      <c r="F402" s="14" t="str">
        <f aca="false">IF($D402=1,INDEX(TblClusters[Cluster],$B402),"")</f>
        <v/>
      </c>
      <c r="G402" s="14" t="str">
        <f aca="false">IF($D402=1,INDEX(TblClusters[Plateforme],$B402),"")</f>
        <v/>
      </c>
      <c r="H402" s="14" t="str">
        <f aca="false">IF($D402=1,INDEX(TblClusters[vCPU par nœud],$B402),"")</f>
        <v/>
      </c>
      <c r="I402" s="14" t="str">
        <f aca="false">IF($D402=1,INDEX(TblClusters[RAM par nœud (Go)],$B402),"")</f>
        <v/>
      </c>
      <c r="J402" s="14" t="str">
        <f aca="false">IF($D402=1,INDEX(TblClusters[Workers min],$B402),"")</f>
        <v/>
      </c>
      <c r="K402" s="84" t="str">
        <f aca="false">IF($D402=1,INDEX(TblClusters[Tarif par nœud],$B402),"")</f>
        <v/>
      </c>
      <c r="L402" s="14" t="str">
        <f aca="false">IF($D402=1,INDEX(TblClusters[CPU initial (vCPU)],$B402),"")</f>
        <v/>
      </c>
      <c r="M402" s="14" t="str">
        <f aca="false">IF($D402=1,INDEX(TblClusters[RAM initiale (Go)],$B402),"")</f>
        <v/>
      </c>
      <c r="N402" s="14" t="str">
        <f aca="false">IF($D402=1,INDEX(TblClusters[CPU min (vCPU)],$B402),"")</f>
        <v/>
      </c>
      <c r="O402" s="14" t="str">
        <f aca="false">IF($D402=1,INDEX(TblClusters[RAM min (Go)],$B402),"")</f>
        <v/>
      </c>
      <c r="P402" s="14" t="str">
        <f aca="false">IF($D402&lt;&gt;1,"",IF($G402="ROKS",SUMIFS(TblApplications[Besoin ROKS CPU (vCPU)],TblApplications[Cluster ROKS cible],$F402,TblApplications[Action],"À migrer",TblApplications[Déjà incluse ROKS],"Non",TblApplications[Mois prov (calc)],"&lt;="&amp;$E402),SUMIFS(TblApplications[CPU IKS libérable (vCPU)],TblApplications[Cluster IKS source],$F402,TblApplications[Mois lib (calc)],"&lt;="&amp;$E402)))</f>
        <v/>
      </c>
      <c r="Q402" s="14" t="str">
        <f aca="false">IF($D402&lt;&gt;1,"",IF($G402="ROKS",SUMIFS(TblApplications[Besoin ROKS RAM (Go)],TblApplications[Cluster ROKS cible],$F402,TblApplications[Action],"À migrer",TblApplications[Déjà incluse ROKS],"Non",TblApplications[Mois prov (calc)],"&lt;="&amp;$E402),SUMIFS(TblApplications[RAM IKS libérable (Go)],TblApplications[Cluster IKS source],$F402,TblApplications[Mois lib (calc)],"&lt;="&amp;$E402)))</f>
        <v/>
      </c>
      <c r="R402" s="14" t="str">
        <f aca="false">IF($D402&lt;&gt;1,"",IF($G402="ROKS",$L402+$P402,IF($AI402=1,0,MAX($N402,$L402-$P402))))</f>
        <v/>
      </c>
      <c r="S402" s="14" t="str">
        <f aca="false">IF($D402&lt;&gt;1,"",IF($G402="ROKS",$M402+$Q402,IF($AI402=1,0,MAX($O402,$M402-$Q402))))</f>
        <v/>
      </c>
      <c r="T402" s="14" t="str">
        <f aca="false">IF($D402&lt;&gt;1,"",IF($AI402=1,0,MAX($J402,ROUNDUP(MAX($R402/$H402,$S402/$I402),0))))</f>
        <v/>
      </c>
      <c r="U402" s="14" t="str">
        <f aca="false">IF($D402&lt;&gt;1,"",IF(p_mode="Nœud",$T402*$H402,$R402))</f>
        <v/>
      </c>
      <c r="V402" s="14" t="str">
        <f aca="false">IF($D402&lt;&gt;1,"",IF(p_mode="Nœud",$T402*$I402,$S402))</f>
        <v/>
      </c>
      <c r="W402" s="84" t="str">
        <f aca="false">IF($D402&lt;&gt;1,"",IF(p_mode="Nœud",$T402*$K402,$R402*IF($G402="IKS",p_iks_cpu,p_roks_cpu)+$S402*IF($G402="IKS",p_iks_ram,p_roks_ram))*p_facteur)</f>
        <v/>
      </c>
      <c r="X402" s="14" t="str">
        <f aca="false">IF($D402&lt;&gt;1,"",IF($G402="ROKS",$R402,IF($AI402=1,0,MAX($N402,$L402-SUMIFS(TblApplications[CPU IKS libérable (vCPU)],TblApplications[Cluster IKS source],$F402,TblApplications[Action],"À migrer",TblApplications[Mois prov (calc)],"&lt;="&amp;$E402)-SUMIFS(TblApplications[CPU IKS libérable (vCPU)],TblApplications[Cluster IKS source],$F402,TblApplications[Action],"À décommissionner",TblApplications[Mois lib (calc)],"&lt;="&amp;$E402)))))</f>
        <v/>
      </c>
      <c r="Y402" s="14" t="str">
        <f aca="false">IF($D402&lt;&gt;1,"",IF($G402="ROKS",$S402,IF($AI402=1,0,MAX($O402,$M402-SUMIFS(TblApplications[RAM IKS libérable (Go)],TblApplications[Cluster IKS source],$F402,TblApplications[Action],"À migrer",TblApplications[Mois prov (calc)],"&lt;="&amp;$E402)-SUMIFS(TblApplications[RAM IKS libérable (Go)],TblApplications[Cluster IKS source],$F402,TblApplications[Action],"À décommissionner",TblApplications[Mois lib (calc)],"&lt;="&amp;$E402)))))</f>
        <v/>
      </c>
      <c r="Z402" s="14" t="str">
        <f aca="false">IF($D402&lt;&gt;1,"",IF($AI402=1,0,MAX($J402,ROUNDUP(MAX($X402/$H402,$Y402/$I402),0))))</f>
        <v/>
      </c>
      <c r="AA402" s="84" t="str">
        <f aca="false">IF($D402&lt;&gt;1,"",IF(p_mode="Nœud",$Z402*$K402,$X402*IF($G402="IKS",p_iks_cpu,p_roks_cpu)+$Y402*IF($G402="IKS",p_iks_ram,p_roks_ram))*p_facteur)</f>
        <v/>
      </c>
      <c r="AB402" s="14" t="str">
        <f aca="false">IF($D402&lt;&gt;1,"",MAX($J402,ROUNDUP(MAX($L402/$H402,$M402/$I402),0)))</f>
        <v/>
      </c>
      <c r="AC402" s="84" t="str">
        <f aca="false">IF($D402&lt;&gt;1,"",IF(p_mode="Nœud",$AB402*$K402,$L402*IF($G402="IKS",p_iks_cpu,p_roks_cpu)+$M402*IF($G402="IKS",p_iks_ram,p_roks_ram))*p_facteur)</f>
        <v/>
      </c>
      <c r="AD402" s="14" t="str">
        <f aca="false">IF($D402&lt;&gt;1,"",IF(AND($G402="IKS",$AI402&lt;&gt;1,OR($L402-$P402&lt;$N402,$M402-$Q402&lt;$O402)),1,0))</f>
        <v/>
      </c>
      <c r="AE402" s="14" t="str">
        <f aca="false">IF($D402&lt;&gt;1,"",IF(AND($G402="ROKS",$T402&gt;p_maxworkers),1,0))</f>
        <v/>
      </c>
      <c r="AF402" s="14" t="str">
        <f aca="false">IF($D402&lt;&gt;1,"",IF(INDEX(TblClusters[Environnement],$B402)="","(vide)",INDEX(TblClusters[Environnement],$B402)))</f>
        <v/>
      </c>
      <c r="AG402" s="14" t="str">
        <f aca="false">IF($D402&lt;&gt;1,"",$R402+p_poidsram*$S402)</f>
        <v/>
      </c>
      <c r="AH402" s="14" t="str">
        <f aca="false">IF($D402&lt;&gt;1,"",IFERROR($W402/$AG402,0))</f>
        <v/>
      </c>
      <c r="AI402" s="14" t="str">
        <f aca="false">IF($D402&lt;&gt;1,"",IF(AND($G402="IKS",ISNUMBER(INDEX(TblClusters[Fermeture retenue],$B402))),IF($E402&gt;=INDEX(TblClusters[Fermeture retenue],$B402),1,0),0))</f>
        <v/>
      </c>
    </row>
    <row r="403" customFormat="false" ht="15" hidden="false" customHeight="false" outlineLevel="0" collapsed="false">
      <c r="A403" s="14" t="n">
        <v>398</v>
      </c>
      <c r="B403" s="14" t="n">
        <f aca="false">INT(($A403-1)/36)+1</f>
        <v>12</v>
      </c>
      <c r="C403" s="14" t="n">
        <f aca="false">MOD($A403-1,36)+1</f>
        <v>2</v>
      </c>
      <c r="D403" s="14" t="n">
        <f aca="false">IF($C403&gt;p_horizon,0,IFERROR(IF(AND(INDEX(TblClusters[Cluster],$B403)&lt;&gt;"",ISNUMBER(INDEX(TblClusters[CPU initial (vCPU)],$B403)),ISNUMBER(INDEX(TblClusters[CPU min (vCPU)],$B403)),OR(INDEX(TblClusters[Plateforme],$B403)="IKS",INDEX(TblClusters[Plateforme],$B403)="ROKS")),1,0),0))</f>
        <v>0</v>
      </c>
      <c r="E403" s="83" t="str">
        <f aca="false">IF($D403=1,EDATE(p_debut,$C403-1),"")</f>
        <v/>
      </c>
      <c r="F403" s="14" t="str">
        <f aca="false">IF($D403=1,INDEX(TblClusters[Cluster],$B403),"")</f>
        <v/>
      </c>
      <c r="G403" s="14" t="str">
        <f aca="false">IF($D403=1,INDEX(TblClusters[Plateforme],$B403),"")</f>
        <v/>
      </c>
      <c r="H403" s="14" t="str">
        <f aca="false">IF($D403=1,INDEX(TblClusters[vCPU par nœud],$B403),"")</f>
        <v/>
      </c>
      <c r="I403" s="14" t="str">
        <f aca="false">IF($D403=1,INDEX(TblClusters[RAM par nœud (Go)],$B403),"")</f>
        <v/>
      </c>
      <c r="J403" s="14" t="str">
        <f aca="false">IF($D403=1,INDEX(TblClusters[Workers min],$B403),"")</f>
        <v/>
      </c>
      <c r="K403" s="84" t="str">
        <f aca="false">IF($D403=1,INDEX(TblClusters[Tarif par nœud],$B403),"")</f>
        <v/>
      </c>
      <c r="L403" s="14" t="str">
        <f aca="false">IF($D403=1,INDEX(TblClusters[CPU initial (vCPU)],$B403),"")</f>
        <v/>
      </c>
      <c r="M403" s="14" t="str">
        <f aca="false">IF($D403=1,INDEX(TblClusters[RAM initiale (Go)],$B403),"")</f>
        <v/>
      </c>
      <c r="N403" s="14" t="str">
        <f aca="false">IF($D403=1,INDEX(TblClusters[CPU min (vCPU)],$B403),"")</f>
        <v/>
      </c>
      <c r="O403" s="14" t="str">
        <f aca="false">IF($D403=1,INDEX(TblClusters[RAM min (Go)],$B403),"")</f>
        <v/>
      </c>
      <c r="P403" s="14" t="str">
        <f aca="false">IF($D403&lt;&gt;1,"",IF($G403="ROKS",SUMIFS(TblApplications[Besoin ROKS CPU (vCPU)],TblApplications[Cluster ROKS cible],$F403,TblApplications[Action],"À migrer",TblApplications[Déjà incluse ROKS],"Non",TblApplications[Mois prov (calc)],"&lt;="&amp;$E403),SUMIFS(TblApplications[CPU IKS libérable (vCPU)],TblApplications[Cluster IKS source],$F403,TblApplications[Mois lib (calc)],"&lt;="&amp;$E403)))</f>
        <v/>
      </c>
      <c r="Q403" s="14" t="str">
        <f aca="false">IF($D403&lt;&gt;1,"",IF($G403="ROKS",SUMIFS(TblApplications[Besoin ROKS RAM (Go)],TblApplications[Cluster ROKS cible],$F403,TblApplications[Action],"À migrer",TblApplications[Déjà incluse ROKS],"Non",TblApplications[Mois prov (calc)],"&lt;="&amp;$E403),SUMIFS(TblApplications[RAM IKS libérable (Go)],TblApplications[Cluster IKS source],$F403,TblApplications[Mois lib (calc)],"&lt;="&amp;$E403)))</f>
        <v/>
      </c>
      <c r="R403" s="14" t="str">
        <f aca="false">IF($D403&lt;&gt;1,"",IF($G403="ROKS",$L403+$P403,IF($AI403=1,0,MAX($N403,$L403-$P403))))</f>
        <v/>
      </c>
      <c r="S403" s="14" t="str">
        <f aca="false">IF($D403&lt;&gt;1,"",IF($G403="ROKS",$M403+$Q403,IF($AI403=1,0,MAX($O403,$M403-$Q403))))</f>
        <v/>
      </c>
      <c r="T403" s="14" t="str">
        <f aca="false">IF($D403&lt;&gt;1,"",IF($AI403=1,0,MAX($J403,ROUNDUP(MAX($R403/$H403,$S403/$I403),0))))</f>
        <v/>
      </c>
      <c r="U403" s="14" t="str">
        <f aca="false">IF($D403&lt;&gt;1,"",IF(p_mode="Nœud",$T403*$H403,$R403))</f>
        <v/>
      </c>
      <c r="V403" s="14" t="str">
        <f aca="false">IF($D403&lt;&gt;1,"",IF(p_mode="Nœud",$T403*$I403,$S403))</f>
        <v/>
      </c>
      <c r="W403" s="84" t="str">
        <f aca="false">IF($D403&lt;&gt;1,"",IF(p_mode="Nœud",$T403*$K403,$R403*IF($G403="IKS",p_iks_cpu,p_roks_cpu)+$S403*IF($G403="IKS",p_iks_ram,p_roks_ram))*p_facteur)</f>
        <v/>
      </c>
      <c r="X403" s="14" t="str">
        <f aca="false">IF($D403&lt;&gt;1,"",IF($G403="ROKS",$R403,IF($AI403=1,0,MAX($N403,$L403-SUMIFS(TblApplications[CPU IKS libérable (vCPU)],TblApplications[Cluster IKS source],$F403,TblApplications[Action],"À migrer",TblApplications[Mois prov (calc)],"&lt;="&amp;$E403)-SUMIFS(TblApplications[CPU IKS libérable (vCPU)],TblApplications[Cluster IKS source],$F403,TblApplications[Action],"À décommissionner",TblApplications[Mois lib (calc)],"&lt;="&amp;$E403)))))</f>
        <v/>
      </c>
      <c r="Y403" s="14" t="str">
        <f aca="false">IF($D403&lt;&gt;1,"",IF($G403="ROKS",$S403,IF($AI403=1,0,MAX($O403,$M403-SUMIFS(TblApplications[RAM IKS libérable (Go)],TblApplications[Cluster IKS source],$F403,TblApplications[Action],"À migrer",TblApplications[Mois prov (calc)],"&lt;="&amp;$E403)-SUMIFS(TblApplications[RAM IKS libérable (Go)],TblApplications[Cluster IKS source],$F403,TblApplications[Action],"À décommissionner",TblApplications[Mois lib (calc)],"&lt;="&amp;$E403)))))</f>
        <v/>
      </c>
      <c r="Z403" s="14" t="str">
        <f aca="false">IF($D403&lt;&gt;1,"",IF($AI403=1,0,MAX($J403,ROUNDUP(MAX($X403/$H403,$Y403/$I403),0))))</f>
        <v/>
      </c>
      <c r="AA403" s="84" t="str">
        <f aca="false">IF($D403&lt;&gt;1,"",IF(p_mode="Nœud",$Z403*$K403,$X403*IF($G403="IKS",p_iks_cpu,p_roks_cpu)+$Y403*IF($G403="IKS",p_iks_ram,p_roks_ram))*p_facteur)</f>
        <v/>
      </c>
      <c r="AB403" s="14" t="str">
        <f aca="false">IF($D403&lt;&gt;1,"",MAX($J403,ROUNDUP(MAX($L403/$H403,$M403/$I403),0)))</f>
        <v/>
      </c>
      <c r="AC403" s="84" t="str">
        <f aca="false">IF($D403&lt;&gt;1,"",IF(p_mode="Nœud",$AB403*$K403,$L403*IF($G403="IKS",p_iks_cpu,p_roks_cpu)+$M403*IF($G403="IKS",p_iks_ram,p_roks_ram))*p_facteur)</f>
        <v/>
      </c>
      <c r="AD403" s="14" t="str">
        <f aca="false">IF($D403&lt;&gt;1,"",IF(AND($G403="IKS",$AI403&lt;&gt;1,OR($L403-$P403&lt;$N403,$M403-$Q403&lt;$O403)),1,0))</f>
        <v/>
      </c>
      <c r="AE403" s="14" t="str">
        <f aca="false">IF($D403&lt;&gt;1,"",IF(AND($G403="ROKS",$T403&gt;p_maxworkers),1,0))</f>
        <v/>
      </c>
      <c r="AF403" s="14" t="str">
        <f aca="false">IF($D403&lt;&gt;1,"",IF(INDEX(TblClusters[Environnement],$B403)="","(vide)",INDEX(TblClusters[Environnement],$B403)))</f>
        <v/>
      </c>
      <c r="AG403" s="14" t="str">
        <f aca="false">IF($D403&lt;&gt;1,"",$R403+p_poidsram*$S403)</f>
        <v/>
      </c>
      <c r="AH403" s="14" t="str">
        <f aca="false">IF($D403&lt;&gt;1,"",IFERROR($W403/$AG403,0))</f>
        <v/>
      </c>
      <c r="AI403" s="14" t="str">
        <f aca="false">IF($D403&lt;&gt;1,"",IF(AND($G403="IKS",ISNUMBER(INDEX(TblClusters[Fermeture retenue],$B403))),IF($E403&gt;=INDEX(TblClusters[Fermeture retenue],$B403),1,0),0))</f>
        <v/>
      </c>
    </row>
    <row r="404" customFormat="false" ht="15" hidden="false" customHeight="false" outlineLevel="0" collapsed="false">
      <c r="A404" s="14" t="n">
        <v>399</v>
      </c>
      <c r="B404" s="14" t="n">
        <f aca="false">INT(($A404-1)/36)+1</f>
        <v>12</v>
      </c>
      <c r="C404" s="14" t="n">
        <f aca="false">MOD($A404-1,36)+1</f>
        <v>3</v>
      </c>
      <c r="D404" s="14" t="n">
        <f aca="false">IF($C404&gt;p_horizon,0,IFERROR(IF(AND(INDEX(TblClusters[Cluster],$B404)&lt;&gt;"",ISNUMBER(INDEX(TblClusters[CPU initial (vCPU)],$B404)),ISNUMBER(INDEX(TblClusters[CPU min (vCPU)],$B404)),OR(INDEX(TblClusters[Plateforme],$B404)="IKS",INDEX(TblClusters[Plateforme],$B404)="ROKS")),1,0),0))</f>
        <v>0</v>
      </c>
      <c r="E404" s="83" t="str">
        <f aca="false">IF($D404=1,EDATE(p_debut,$C404-1),"")</f>
        <v/>
      </c>
      <c r="F404" s="14" t="str">
        <f aca="false">IF($D404=1,INDEX(TblClusters[Cluster],$B404),"")</f>
        <v/>
      </c>
      <c r="G404" s="14" t="str">
        <f aca="false">IF($D404=1,INDEX(TblClusters[Plateforme],$B404),"")</f>
        <v/>
      </c>
      <c r="H404" s="14" t="str">
        <f aca="false">IF($D404=1,INDEX(TblClusters[vCPU par nœud],$B404),"")</f>
        <v/>
      </c>
      <c r="I404" s="14" t="str">
        <f aca="false">IF($D404=1,INDEX(TblClusters[RAM par nœud (Go)],$B404),"")</f>
        <v/>
      </c>
      <c r="J404" s="14" t="str">
        <f aca="false">IF($D404=1,INDEX(TblClusters[Workers min],$B404),"")</f>
        <v/>
      </c>
      <c r="K404" s="84" t="str">
        <f aca="false">IF($D404=1,INDEX(TblClusters[Tarif par nœud],$B404),"")</f>
        <v/>
      </c>
      <c r="L404" s="14" t="str">
        <f aca="false">IF($D404=1,INDEX(TblClusters[CPU initial (vCPU)],$B404),"")</f>
        <v/>
      </c>
      <c r="M404" s="14" t="str">
        <f aca="false">IF($D404=1,INDEX(TblClusters[RAM initiale (Go)],$B404),"")</f>
        <v/>
      </c>
      <c r="N404" s="14" t="str">
        <f aca="false">IF($D404=1,INDEX(TblClusters[CPU min (vCPU)],$B404),"")</f>
        <v/>
      </c>
      <c r="O404" s="14" t="str">
        <f aca="false">IF($D404=1,INDEX(TblClusters[RAM min (Go)],$B404),"")</f>
        <v/>
      </c>
      <c r="P404" s="14" t="str">
        <f aca="false">IF($D404&lt;&gt;1,"",IF($G404="ROKS",SUMIFS(TblApplications[Besoin ROKS CPU (vCPU)],TblApplications[Cluster ROKS cible],$F404,TblApplications[Action],"À migrer",TblApplications[Déjà incluse ROKS],"Non",TblApplications[Mois prov (calc)],"&lt;="&amp;$E404),SUMIFS(TblApplications[CPU IKS libérable (vCPU)],TblApplications[Cluster IKS source],$F404,TblApplications[Mois lib (calc)],"&lt;="&amp;$E404)))</f>
        <v/>
      </c>
      <c r="Q404" s="14" t="str">
        <f aca="false">IF($D404&lt;&gt;1,"",IF($G404="ROKS",SUMIFS(TblApplications[Besoin ROKS RAM (Go)],TblApplications[Cluster ROKS cible],$F404,TblApplications[Action],"À migrer",TblApplications[Déjà incluse ROKS],"Non",TblApplications[Mois prov (calc)],"&lt;="&amp;$E404),SUMIFS(TblApplications[RAM IKS libérable (Go)],TblApplications[Cluster IKS source],$F404,TblApplications[Mois lib (calc)],"&lt;="&amp;$E404)))</f>
        <v/>
      </c>
      <c r="R404" s="14" t="str">
        <f aca="false">IF($D404&lt;&gt;1,"",IF($G404="ROKS",$L404+$P404,IF($AI404=1,0,MAX($N404,$L404-$P404))))</f>
        <v/>
      </c>
      <c r="S404" s="14" t="str">
        <f aca="false">IF($D404&lt;&gt;1,"",IF($G404="ROKS",$M404+$Q404,IF($AI404=1,0,MAX($O404,$M404-$Q404))))</f>
        <v/>
      </c>
      <c r="T404" s="14" t="str">
        <f aca="false">IF($D404&lt;&gt;1,"",IF($AI404=1,0,MAX($J404,ROUNDUP(MAX($R404/$H404,$S404/$I404),0))))</f>
        <v/>
      </c>
      <c r="U404" s="14" t="str">
        <f aca="false">IF($D404&lt;&gt;1,"",IF(p_mode="Nœud",$T404*$H404,$R404))</f>
        <v/>
      </c>
      <c r="V404" s="14" t="str">
        <f aca="false">IF($D404&lt;&gt;1,"",IF(p_mode="Nœud",$T404*$I404,$S404))</f>
        <v/>
      </c>
      <c r="W404" s="84" t="str">
        <f aca="false">IF($D404&lt;&gt;1,"",IF(p_mode="Nœud",$T404*$K404,$R404*IF($G404="IKS",p_iks_cpu,p_roks_cpu)+$S404*IF($G404="IKS",p_iks_ram,p_roks_ram))*p_facteur)</f>
        <v/>
      </c>
      <c r="X404" s="14" t="str">
        <f aca="false">IF($D404&lt;&gt;1,"",IF($G404="ROKS",$R404,IF($AI404=1,0,MAX($N404,$L404-SUMIFS(TblApplications[CPU IKS libérable (vCPU)],TblApplications[Cluster IKS source],$F404,TblApplications[Action],"À migrer",TblApplications[Mois prov (calc)],"&lt;="&amp;$E404)-SUMIFS(TblApplications[CPU IKS libérable (vCPU)],TblApplications[Cluster IKS source],$F404,TblApplications[Action],"À décommissionner",TblApplications[Mois lib (calc)],"&lt;="&amp;$E404)))))</f>
        <v/>
      </c>
      <c r="Y404" s="14" t="str">
        <f aca="false">IF($D404&lt;&gt;1,"",IF($G404="ROKS",$S404,IF($AI404=1,0,MAX($O404,$M404-SUMIFS(TblApplications[RAM IKS libérable (Go)],TblApplications[Cluster IKS source],$F404,TblApplications[Action],"À migrer",TblApplications[Mois prov (calc)],"&lt;="&amp;$E404)-SUMIFS(TblApplications[RAM IKS libérable (Go)],TblApplications[Cluster IKS source],$F404,TblApplications[Action],"À décommissionner",TblApplications[Mois lib (calc)],"&lt;="&amp;$E404)))))</f>
        <v/>
      </c>
      <c r="Z404" s="14" t="str">
        <f aca="false">IF($D404&lt;&gt;1,"",IF($AI404=1,0,MAX($J404,ROUNDUP(MAX($X404/$H404,$Y404/$I404),0))))</f>
        <v/>
      </c>
      <c r="AA404" s="84" t="str">
        <f aca="false">IF($D404&lt;&gt;1,"",IF(p_mode="Nœud",$Z404*$K404,$X404*IF($G404="IKS",p_iks_cpu,p_roks_cpu)+$Y404*IF($G404="IKS",p_iks_ram,p_roks_ram))*p_facteur)</f>
        <v/>
      </c>
      <c r="AB404" s="14" t="str">
        <f aca="false">IF($D404&lt;&gt;1,"",MAX($J404,ROUNDUP(MAX($L404/$H404,$M404/$I404),0)))</f>
        <v/>
      </c>
      <c r="AC404" s="84" t="str">
        <f aca="false">IF($D404&lt;&gt;1,"",IF(p_mode="Nœud",$AB404*$K404,$L404*IF($G404="IKS",p_iks_cpu,p_roks_cpu)+$M404*IF($G404="IKS",p_iks_ram,p_roks_ram))*p_facteur)</f>
        <v/>
      </c>
      <c r="AD404" s="14" t="str">
        <f aca="false">IF($D404&lt;&gt;1,"",IF(AND($G404="IKS",$AI404&lt;&gt;1,OR($L404-$P404&lt;$N404,$M404-$Q404&lt;$O404)),1,0))</f>
        <v/>
      </c>
      <c r="AE404" s="14" t="str">
        <f aca="false">IF($D404&lt;&gt;1,"",IF(AND($G404="ROKS",$T404&gt;p_maxworkers),1,0))</f>
        <v/>
      </c>
      <c r="AF404" s="14" t="str">
        <f aca="false">IF($D404&lt;&gt;1,"",IF(INDEX(TblClusters[Environnement],$B404)="","(vide)",INDEX(TblClusters[Environnement],$B404)))</f>
        <v/>
      </c>
      <c r="AG404" s="14" t="str">
        <f aca="false">IF($D404&lt;&gt;1,"",$R404+p_poidsram*$S404)</f>
        <v/>
      </c>
      <c r="AH404" s="14" t="str">
        <f aca="false">IF($D404&lt;&gt;1,"",IFERROR($W404/$AG404,0))</f>
        <v/>
      </c>
      <c r="AI404" s="14" t="str">
        <f aca="false">IF($D404&lt;&gt;1,"",IF(AND($G404="IKS",ISNUMBER(INDEX(TblClusters[Fermeture retenue],$B404))),IF($E404&gt;=INDEX(TblClusters[Fermeture retenue],$B404),1,0),0))</f>
        <v/>
      </c>
    </row>
    <row r="405" customFormat="false" ht="15" hidden="false" customHeight="false" outlineLevel="0" collapsed="false">
      <c r="A405" s="14" t="n">
        <v>400</v>
      </c>
      <c r="B405" s="14" t="n">
        <f aca="false">INT(($A405-1)/36)+1</f>
        <v>12</v>
      </c>
      <c r="C405" s="14" t="n">
        <f aca="false">MOD($A405-1,36)+1</f>
        <v>4</v>
      </c>
      <c r="D405" s="14" t="n">
        <f aca="false">IF($C405&gt;p_horizon,0,IFERROR(IF(AND(INDEX(TblClusters[Cluster],$B405)&lt;&gt;"",ISNUMBER(INDEX(TblClusters[CPU initial (vCPU)],$B405)),ISNUMBER(INDEX(TblClusters[CPU min (vCPU)],$B405)),OR(INDEX(TblClusters[Plateforme],$B405)="IKS",INDEX(TblClusters[Plateforme],$B405)="ROKS")),1,0),0))</f>
        <v>0</v>
      </c>
      <c r="E405" s="83" t="str">
        <f aca="false">IF($D405=1,EDATE(p_debut,$C405-1),"")</f>
        <v/>
      </c>
      <c r="F405" s="14" t="str">
        <f aca="false">IF($D405=1,INDEX(TblClusters[Cluster],$B405),"")</f>
        <v/>
      </c>
      <c r="G405" s="14" t="str">
        <f aca="false">IF($D405=1,INDEX(TblClusters[Plateforme],$B405),"")</f>
        <v/>
      </c>
      <c r="H405" s="14" t="str">
        <f aca="false">IF($D405=1,INDEX(TblClusters[vCPU par nœud],$B405),"")</f>
        <v/>
      </c>
      <c r="I405" s="14" t="str">
        <f aca="false">IF($D405=1,INDEX(TblClusters[RAM par nœud (Go)],$B405),"")</f>
        <v/>
      </c>
      <c r="J405" s="14" t="str">
        <f aca="false">IF($D405=1,INDEX(TblClusters[Workers min],$B405),"")</f>
        <v/>
      </c>
      <c r="K405" s="84" t="str">
        <f aca="false">IF($D405=1,INDEX(TblClusters[Tarif par nœud],$B405),"")</f>
        <v/>
      </c>
      <c r="L405" s="14" t="str">
        <f aca="false">IF($D405=1,INDEX(TblClusters[CPU initial (vCPU)],$B405),"")</f>
        <v/>
      </c>
      <c r="M405" s="14" t="str">
        <f aca="false">IF($D405=1,INDEX(TblClusters[RAM initiale (Go)],$B405),"")</f>
        <v/>
      </c>
      <c r="N405" s="14" t="str">
        <f aca="false">IF($D405=1,INDEX(TblClusters[CPU min (vCPU)],$B405),"")</f>
        <v/>
      </c>
      <c r="O405" s="14" t="str">
        <f aca="false">IF($D405=1,INDEX(TblClusters[RAM min (Go)],$B405),"")</f>
        <v/>
      </c>
      <c r="P405" s="14" t="str">
        <f aca="false">IF($D405&lt;&gt;1,"",IF($G405="ROKS",SUMIFS(TblApplications[Besoin ROKS CPU (vCPU)],TblApplications[Cluster ROKS cible],$F405,TblApplications[Action],"À migrer",TblApplications[Déjà incluse ROKS],"Non",TblApplications[Mois prov (calc)],"&lt;="&amp;$E405),SUMIFS(TblApplications[CPU IKS libérable (vCPU)],TblApplications[Cluster IKS source],$F405,TblApplications[Mois lib (calc)],"&lt;="&amp;$E405)))</f>
        <v/>
      </c>
      <c r="Q405" s="14" t="str">
        <f aca="false">IF($D405&lt;&gt;1,"",IF($G405="ROKS",SUMIFS(TblApplications[Besoin ROKS RAM (Go)],TblApplications[Cluster ROKS cible],$F405,TblApplications[Action],"À migrer",TblApplications[Déjà incluse ROKS],"Non",TblApplications[Mois prov (calc)],"&lt;="&amp;$E405),SUMIFS(TblApplications[RAM IKS libérable (Go)],TblApplications[Cluster IKS source],$F405,TblApplications[Mois lib (calc)],"&lt;="&amp;$E405)))</f>
        <v/>
      </c>
      <c r="R405" s="14" t="str">
        <f aca="false">IF($D405&lt;&gt;1,"",IF($G405="ROKS",$L405+$P405,IF($AI405=1,0,MAX($N405,$L405-$P405))))</f>
        <v/>
      </c>
      <c r="S405" s="14" t="str">
        <f aca="false">IF($D405&lt;&gt;1,"",IF($G405="ROKS",$M405+$Q405,IF($AI405=1,0,MAX($O405,$M405-$Q405))))</f>
        <v/>
      </c>
      <c r="T405" s="14" t="str">
        <f aca="false">IF($D405&lt;&gt;1,"",IF($AI405=1,0,MAX($J405,ROUNDUP(MAX($R405/$H405,$S405/$I405),0))))</f>
        <v/>
      </c>
      <c r="U405" s="14" t="str">
        <f aca="false">IF($D405&lt;&gt;1,"",IF(p_mode="Nœud",$T405*$H405,$R405))</f>
        <v/>
      </c>
      <c r="V405" s="14" t="str">
        <f aca="false">IF($D405&lt;&gt;1,"",IF(p_mode="Nœud",$T405*$I405,$S405))</f>
        <v/>
      </c>
      <c r="W405" s="84" t="str">
        <f aca="false">IF($D405&lt;&gt;1,"",IF(p_mode="Nœud",$T405*$K405,$R405*IF($G405="IKS",p_iks_cpu,p_roks_cpu)+$S405*IF($G405="IKS",p_iks_ram,p_roks_ram))*p_facteur)</f>
        <v/>
      </c>
      <c r="X405" s="14" t="str">
        <f aca="false">IF($D405&lt;&gt;1,"",IF($G405="ROKS",$R405,IF($AI405=1,0,MAX($N405,$L405-SUMIFS(TblApplications[CPU IKS libérable (vCPU)],TblApplications[Cluster IKS source],$F405,TblApplications[Action],"À migrer",TblApplications[Mois prov (calc)],"&lt;="&amp;$E405)-SUMIFS(TblApplications[CPU IKS libérable (vCPU)],TblApplications[Cluster IKS source],$F405,TblApplications[Action],"À décommissionner",TblApplications[Mois lib (calc)],"&lt;="&amp;$E405)))))</f>
        <v/>
      </c>
      <c r="Y405" s="14" t="str">
        <f aca="false">IF($D405&lt;&gt;1,"",IF($G405="ROKS",$S405,IF($AI405=1,0,MAX($O405,$M405-SUMIFS(TblApplications[RAM IKS libérable (Go)],TblApplications[Cluster IKS source],$F405,TblApplications[Action],"À migrer",TblApplications[Mois prov (calc)],"&lt;="&amp;$E405)-SUMIFS(TblApplications[RAM IKS libérable (Go)],TblApplications[Cluster IKS source],$F405,TblApplications[Action],"À décommissionner",TblApplications[Mois lib (calc)],"&lt;="&amp;$E405)))))</f>
        <v/>
      </c>
      <c r="Z405" s="14" t="str">
        <f aca="false">IF($D405&lt;&gt;1,"",IF($AI405=1,0,MAX($J405,ROUNDUP(MAX($X405/$H405,$Y405/$I405),0))))</f>
        <v/>
      </c>
      <c r="AA405" s="84" t="str">
        <f aca="false">IF($D405&lt;&gt;1,"",IF(p_mode="Nœud",$Z405*$K405,$X405*IF($G405="IKS",p_iks_cpu,p_roks_cpu)+$Y405*IF($G405="IKS",p_iks_ram,p_roks_ram))*p_facteur)</f>
        <v/>
      </c>
      <c r="AB405" s="14" t="str">
        <f aca="false">IF($D405&lt;&gt;1,"",MAX($J405,ROUNDUP(MAX($L405/$H405,$M405/$I405),0)))</f>
        <v/>
      </c>
      <c r="AC405" s="84" t="str">
        <f aca="false">IF($D405&lt;&gt;1,"",IF(p_mode="Nœud",$AB405*$K405,$L405*IF($G405="IKS",p_iks_cpu,p_roks_cpu)+$M405*IF($G405="IKS",p_iks_ram,p_roks_ram))*p_facteur)</f>
        <v/>
      </c>
      <c r="AD405" s="14" t="str">
        <f aca="false">IF($D405&lt;&gt;1,"",IF(AND($G405="IKS",$AI405&lt;&gt;1,OR($L405-$P405&lt;$N405,$M405-$Q405&lt;$O405)),1,0))</f>
        <v/>
      </c>
      <c r="AE405" s="14" t="str">
        <f aca="false">IF($D405&lt;&gt;1,"",IF(AND($G405="ROKS",$T405&gt;p_maxworkers),1,0))</f>
        <v/>
      </c>
      <c r="AF405" s="14" t="str">
        <f aca="false">IF($D405&lt;&gt;1,"",IF(INDEX(TblClusters[Environnement],$B405)="","(vide)",INDEX(TblClusters[Environnement],$B405)))</f>
        <v/>
      </c>
      <c r="AG405" s="14" t="str">
        <f aca="false">IF($D405&lt;&gt;1,"",$R405+p_poidsram*$S405)</f>
        <v/>
      </c>
      <c r="AH405" s="14" t="str">
        <f aca="false">IF($D405&lt;&gt;1,"",IFERROR($W405/$AG405,0))</f>
        <v/>
      </c>
      <c r="AI405" s="14" t="str">
        <f aca="false">IF($D405&lt;&gt;1,"",IF(AND($G405="IKS",ISNUMBER(INDEX(TblClusters[Fermeture retenue],$B405))),IF($E405&gt;=INDEX(TblClusters[Fermeture retenue],$B405),1,0),0))</f>
        <v/>
      </c>
    </row>
    <row r="406" customFormat="false" ht="15" hidden="false" customHeight="false" outlineLevel="0" collapsed="false">
      <c r="A406" s="14" t="n">
        <v>401</v>
      </c>
      <c r="B406" s="14" t="n">
        <f aca="false">INT(($A406-1)/36)+1</f>
        <v>12</v>
      </c>
      <c r="C406" s="14" t="n">
        <f aca="false">MOD($A406-1,36)+1</f>
        <v>5</v>
      </c>
      <c r="D406" s="14" t="n">
        <f aca="false">IF($C406&gt;p_horizon,0,IFERROR(IF(AND(INDEX(TblClusters[Cluster],$B406)&lt;&gt;"",ISNUMBER(INDEX(TblClusters[CPU initial (vCPU)],$B406)),ISNUMBER(INDEX(TblClusters[CPU min (vCPU)],$B406)),OR(INDEX(TblClusters[Plateforme],$B406)="IKS",INDEX(TblClusters[Plateforme],$B406)="ROKS")),1,0),0))</f>
        <v>0</v>
      </c>
      <c r="E406" s="83" t="str">
        <f aca="false">IF($D406=1,EDATE(p_debut,$C406-1),"")</f>
        <v/>
      </c>
      <c r="F406" s="14" t="str">
        <f aca="false">IF($D406=1,INDEX(TblClusters[Cluster],$B406),"")</f>
        <v/>
      </c>
      <c r="G406" s="14" t="str">
        <f aca="false">IF($D406=1,INDEX(TblClusters[Plateforme],$B406),"")</f>
        <v/>
      </c>
      <c r="H406" s="14" t="str">
        <f aca="false">IF($D406=1,INDEX(TblClusters[vCPU par nœud],$B406),"")</f>
        <v/>
      </c>
      <c r="I406" s="14" t="str">
        <f aca="false">IF($D406=1,INDEX(TblClusters[RAM par nœud (Go)],$B406),"")</f>
        <v/>
      </c>
      <c r="J406" s="14" t="str">
        <f aca="false">IF($D406=1,INDEX(TblClusters[Workers min],$B406),"")</f>
        <v/>
      </c>
      <c r="K406" s="84" t="str">
        <f aca="false">IF($D406=1,INDEX(TblClusters[Tarif par nœud],$B406),"")</f>
        <v/>
      </c>
      <c r="L406" s="14" t="str">
        <f aca="false">IF($D406=1,INDEX(TblClusters[CPU initial (vCPU)],$B406),"")</f>
        <v/>
      </c>
      <c r="M406" s="14" t="str">
        <f aca="false">IF($D406=1,INDEX(TblClusters[RAM initiale (Go)],$B406),"")</f>
        <v/>
      </c>
      <c r="N406" s="14" t="str">
        <f aca="false">IF($D406=1,INDEX(TblClusters[CPU min (vCPU)],$B406),"")</f>
        <v/>
      </c>
      <c r="O406" s="14" t="str">
        <f aca="false">IF($D406=1,INDEX(TblClusters[RAM min (Go)],$B406),"")</f>
        <v/>
      </c>
      <c r="P406" s="14" t="str">
        <f aca="false">IF($D406&lt;&gt;1,"",IF($G406="ROKS",SUMIFS(TblApplications[Besoin ROKS CPU (vCPU)],TblApplications[Cluster ROKS cible],$F406,TblApplications[Action],"À migrer",TblApplications[Déjà incluse ROKS],"Non",TblApplications[Mois prov (calc)],"&lt;="&amp;$E406),SUMIFS(TblApplications[CPU IKS libérable (vCPU)],TblApplications[Cluster IKS source],$F406,TblApplications[Mois lib (calc)],"&lt;="&amp;$E406)))</f>
        <v/>
      </c>
      <c r="Q406" s="14" t="str">
        <f aca="false">IF($D406&lt;&gt;1,"",IF($G406="ROKS",SUMIFS(TblApplications[Besoin ROKS RAM (Go)],TblApplications[Cluster ROKS cible],$F406,TblApplications[Action],"À migrer",TblApplications[Déjà incluse ROKS],"Non",TblApplications[Mois prov (calc)],"&lt;="&amp;$E406),SUMIFS(TblApplications[RAM IKS libérable (Go)],TblApplications[Cluster IKS source],$F406,TblApplications[Mois lib (calc)],"&lt;="&amp;$E406)))</f>
        <v/>
      </c>
      <c r="R406" s="14" t="str">
        <f aca="false">IF($D406&lt;&gt;1,"",IF($G406="ROKS",$L406+$P406,IF($AI406=1,0,MAX($N406,$L406-$P406))))</f>
        <v/>
      </c>
      <c r="S406" s="14" t="str">
        <f aca="false">IF($D406&lt;&gt;1,"",IF($G406="ROKS",$M406+$Q406,IF($AI406=1,0,MAX($O406,$M406-$Q406))))</f>
        <v/>
      </c>
      <c r="T406" s="14" t="str">
        <f aca="false">IF($D406&lt;&gt;1,"",IF($AI406=1,0,MAX($J406,ROUNDUP(MAX($R406/$H406,$S406/$I406),0))))</f>
        <v/>
      </c>
      <c r="U406" s="14" t="str">
        <f aca="false">IF($D406&lt;&gt;1,"",IF(p_mode="Nœud",$T406*$H406,$R406))</f>
        <v/>
      </c>
      <c r="V406" s="14" t="str">
        <f aca="false">IF($D406&lt;&gt;1,"",IF(p_mode="Nœud",$T406*$I406,$S406))</f>
        <v/>
      </c>
      <c r="W406" s="84" t="str">
        <f aca="false">IF($D406&lt;&gt;1,"",IF(p_mode="Nœud",$T406*$K406,$R406*IF($G406="IKS",p_iks_cpu,p_roks_cpu)+$S406*IF($G406="IKS",p_iks_ram,p_roks_ram))*p_facteur)</f>
        <v/>
      </c>
      <c r="X406" s="14" t="str">
        <f aca="false">IF($D406&lt;&gt;1,"",IF($G406="ROKS",$R406,IF($AI406=1,0,MAX($N406,$L406-SUMIFS(TblApplications[CPU IKS libérable (vCPU)],TblApplications[Cluster IKS source],$F406,TblApplications[Action],"À migrer",TblApplications[Mois prov (calc)],"&lt;="&amp;$E406)-SUMIFS(TblApplications[CPU IKS libérable (vCPU)],TblApplications[Cluster IKS source],$F406,TblApplications[Action],"À décommissionner",TblApplications[Mois lib (calc)],"&lt;="&amp;$E406)))))</f>
        <v/>
      </c>
      <c r="Y406" s="14" t="str">
        <f aca="false">IF($D406&lt;&gt;1,"",IF($G406="ROKS",$S406,IF($AI406=1,0,MAX($O406,$M406-SUMIFS(TblApplications[RAM IKS libérable (Go)],TblApplications[Cluster IKS source],$F406,TblApplications[Action],"À migrer",TblApplications[Mois prov (calc)],"&lt;="&amp;$E406)-SUMIFS(TblApplications[RAM IKS libérable (Go)],TblApplications[Cluster IKS source],$F406,TblApplications[Action],"À décommissionner",TblApplications[Mois lib (calc)],"&lt;="&amp;$E406)))))</f>
        <v/>
      </c>
      <c r="Z406" s="14" t="str">
        <f aca="false">IF($D406&lt;&gt;1,"",IF($AI406=1,0,MAX($J406,ROUNDUP(MAX($X406/$H406,$Y406/$I406),0))))</f>
        <v/>
      </c>
      <c r="AA406" s="84" t="str">
        <f aca="false">IF($D406&lt;&gt;1,"",IF(p_mode="Nœud",$Z406*$K406,$X406*IF($G406="IKS",p_iks_cpu,p_roks_cpu)+$Y406*IF($G406="IKS",p_iks_ram,p_roks_ram))*p_facteur)</f>
        <v/>
      </c>
      <c r="AB406" s="14" t="str">
        <f aca="false">IF($D406&lt;&gt;1,"",MAX($J406,ROUNDUP(MAX($L406/$H406,$M406/$I406),0)))</f>
        <v/>
      </c>
      <c r="AC406" s="84" t="str">
        <f aca="false">IF($D406&lt;&gt;1,"",IF(p_mode="Nœud",$AB406*$K406,$L406*IF($G406="IKS",p_iks_cpu,p_roks_cpu)+$M406*IF($G406="IKS",p_iks_ram,p_roks_ram))*p_facteur)</f>
        <v/>
      </c>
      <c r="AD406" s="14" t="str">
        <f aca="false">IF($D406&lt;&gt;1,"",IF(AND($G406="IKS",$AI406&lt;&gt;1,OR($L406-$P406&lt;$N406,$M406-$Q406&lt;$O406)),1,0))</f>
        <v/>
      </c>
      <c r="AE406" s="14" t="str">
        <f aca="false">IF($D406&lt;&gt;1,"",IF(AND($G406="ROKS",$T406&gt;p_maxworkers),1,0))</f>
        <v/>
      </c>
      <c r="AF406" s="14" t="str">
        <f aca="false">IF($D406&lt;&gt;1,"",IF(INDEX(TblClusters[Environnement],$B406)="","(vide)",INDEX(TblClusters[Environnement],$B406)))</f>
        <v/>
      </c>
      <c r="AG406" s="14" t="str">
        <f aca="false">IF($D406&lt;&gt;1,"",$R406+p_poidsram*$S406)</f>
        <v/>
      </c>
      <c r="AH406" s="14" t="str">
        <f aca="false">IF($D406&lt;&gt;1,"",IFERROR($W406/$AG406,0))</f>
        <v/>
      </c>
      <c r="AI406" s="14" t="str">
        <f aca="false">IF($D406&lt;&gt;1,"",IF(AND($G406="IKS",ISNUMBER(INDEX(TblClusters[Fermeture retenue],$B406))),IF($E406&gt;=INDEX(TblClusters[Fermeture retenue],$B406),1,0),0))</f>
        <v/>
      </c>
    </row>
    <row r="407" customFormat="false" ht="15" hidden="false" customHeight="false" outlineLevel="0" collapsed="false">
      <c r="A407" s="14" t="n">
        <v>402</v>
      </c>
      <c r="B407" s="14" t="n">
        <f aca="false">INT(($A407-1)/36)+1</f>
        <v>12</v>
      </c>
      <c r="C407" s="14" t="n">
        <f aca="false">MOD($A407-1,36)+1</f>
        <v>6</v>
      </c>
      <c r="D407" s="14" t="n">
        <f aca="false">IF($C407&gt;p_horizon,0,IFERROR(IF(AND(INDEX(TblClusters[Cluster],$B407)&lt;&gt;"",ISNUMBER(INDEX(TblClusters[CPU initial (vCPU)],$B407)),ISNUMBER(INDEX(TblClusters[CPU min (vCPU)],$B407)),OR(INDEX(TblClusters[Plateforme],$B407)="IKS",INDEX(TblClusters[Plateforme],$B407)="ROKS")),1,0),0))</f>
        <v>0</v>
      </c>
      <c r="E407" s="83" t="str">
        <f aca="false">IF($D407=1,EDATE(p_debut,$C407-1),"")</f>
        <v/>
      </c>
      <c r="F407" s="14" t="str">
        <f aca="false">IF($D407=1,INDEX(TblClusters[Cluster],$B407),"")</f>
        <v/>
      </c>
      <c r="G407" s="14" t="str">
        <f aca="false">IF($D407=1,INDEX(TblClusters[Plateforme],$B407),"")</f>
        <v/>
      </c>
      <c r="H407" s="14" t="str">
        <f aca="false">IF($D407=1,INDEX(TblClusters[vCPU par nœud],$B407),"")</f>
        <v/>
      </c>
      <c r="I407" s="14" t="str">
        <f aca="false">IF($D407=1,INDEX(TblClusters[RAM par nœud (Go)],$B407),"")</f>
        <v/>
      </c>
      <c r="J407" s="14" t="str">
        <f aca="false">IF($D407=1,INDEX(TblClusters[Workers min],$B407),"")</f>
        <v/>
      </c>
      <c r="K407" s="84" t="str">
        <f aca="false">IF($D407=1,INDEX(TblClusters[Tarif par nœud],$B407),"")</f>
        <v/>
      </c>
      <c r="L407" s="14" t="str">
        <f aca="false">IF($D407=1,INDEX(TblClusters[CPU initial (vCPU)],$B407),"")</f>
        <v/>
      </c>
      <c r="M407" s="14" t="str">
        <f aca="false">IF($D407=1,INDEX(TblClusters[RAM initiale (Go)],$B407),"")</f>
        <v/>
      </c>
      <c r="N407" s="14" t="str">
        <f aca="false">IF($D407=1,INDEX(TblClusters[CPU min (vCPU)],$B407),"")</f>
        <v/>
      </c>
      <c r="O407" s="14" t="str">
        <f aca="false">IF($D407=1,INDEX(TblClusters[RAM min (Go)],$B407),"")</f>
        <v/>
      </c>
      <c r="P407" s="14" t="str">
        <f aca="false">IF($D407&lt;&gt;1,"",IF($G407="ROKS",SUMIFS(TblApplications[Besoin ROKS CPU (vCPU)],TblApplications[Cluster ROKS cible],$F407,TblApplications[Action],"À migrer",TblApplications[Déjà incluse ROKS],"Non",TblApplications[Mois prov (calc)],"&lt;="&amp;$E407),SUMIFS(TblApplications[CPU IKS libérable (vCPU)],TblApplications[Cluster IKS source],$F407,TblApplications[Mois lib (calc)],"&lt;="&amp;$E407)))</f>
        <v/>
      </c>
      <c r="Q407" s="14" t="str">
        <f aca="false">IF($D407&lt;&gt;1,"",IF($G407="ROKS",SUMIFS(TblApplications[Besoin ROKS RAM (Go)],TblApplications[Cluster ROKS cible],$F407,TblApplications[Action],"À migrer",TblApplications[Déjà incluse ROKS],"Non",TblApplications[Mois prov (calc)],"&lt;="&amp;$E407),SUMIFS(TblApplications[RAM IKS libérable (Go)],TblApplications[Cluster IKS source],$F407,TblApplications[Mois lib (calc)],"&lt;="&amp;$E407)))</f>
        <v/>
      </c>
      <c r="R407" s="14" t="str">
        <f aca="false">IF($D407&lt;&gt;1,"",IF($G407="ROKS",$L407+$P407,IF($AI407=1,0,MAX($N407,$L407-$P407))))</f>
        <v/>
      </c>
      <c r="S407" s="14" t="str">
        <f aca="false">IF($D407&lt;&gt;1,"",IF($G407="ROKS",$M407+$Q407,IF($AI407=1,0,MAX($O407,$M407-$Q407))))</f>
        <v/>
      </c>
      <c r="T407" s="14" t="str">
        <f aca="false">IF($D407&lt;&gt;1,"",IF($AI407=1,0,MAX($J407,ROUNDUP(MAX($R407/$H407,$S407/$I407),0))))</f>
        <v/>
      </c>
      <c r="U407" s="14" t="str">
        <f aca="false">IF($D407&lt;&gt;1,"",IF(p_mode="Nœud",$T407*$H407,$R407))</f>
        <v/>
      </c>
      <c r="V407" s="14" t="str">
        <f aca="false">IF($D407&lt;&gt;1,"",IF(p_mode="Nœud",$T407*$I407,$S407))</f>
        <v/>
      </c>
      <c r="W407" s="84" t="str">
        <f aca="false">IF($D407&lt;&gt;1,"",IF(p_mode="Nœud",$T407*$K407,$R407*IF($G407="IKS",p_iks_cpu,p_roks_cpu)+$S407*IF($G407="IKS",p_iks_ram,p_roks_ram))*p_facteur)</f>
        <v/>
      </c>
      <c r="X407" s="14" t="str">
        <f aca="false">IF($D407&lt;&gt;1,"",IF($G407="ROKS",$R407,IF($AI407=1,0,MAX($N407,$L407-SUMIFS(TblApplications[CPU IKS libérable (vCPU)],TblApplications[Cluster IKS source],$F407,TblApplications[Action],"À migrer",TblApplications[Mois prov (calc)],"&lt;="&amp;$E407)-SUMIFS(TblApplications[CPU IKS libérable (vCPU)],TblApplications[Cluster IKS source],$F407,TblApplications[Action],"À décommissionner",TblApplications[Mois lib (calc)],"&lt;="&amp;$E407)))))</f>
        <v/>
      </c>
      <c r="Y407" s="14" t="str">
        <f aca="false">IF($D407&lt;&gt;1,"",IF($G407="ROKS",$S407,IF($AI407=1,0,MAX($O407,$M407-SUMIFS(TblApplications[RAM IKS libérable (Go)],TblApplications[Cluster IKS source],$F407,TblApplications[Action],"À migrer",TblApplications[Mois prov (calc)],"&lt;="&amp;$E407)-SUMIFS(TblApplications[RAM IKS libérable (Go)],TblApplications[Cluster IKS source],$F407,TblApplications[Action],"À décommissionner",TblApplications[Mois lib (calc)],"&lt;="&amp;$E407)))))</f>
        <v/>
      </c>
      <c r="Z407" s="14" t="str">
        <f aca="false">IF($D407&lt;&gt;1,"",IF($AI407=1,0,MAX($J407,ROUNDUP(MAX($X407/$H407,$Y407/$I407),0))))</f>
        <v/>
      </c>
      <c r="AA407" s="84" t="str">
        <f aca="false">IF($D407&lt;&gt;1,"",IF(p_mode="Nœud",$Z407*$K407,$X407*IF($G407="IKS",p_iks_cpu,p_roks_cpu)+$Y407*IF($G407="IKS",p_iks_ram,p_roks_ram))*p_facteur)</f>
        <v/>
      </c>
      <c r="AB407" s="14" t="str">
        <f aca="false">IF($D407&lt;&gt;1,"",MAX($J407,ROUNDUP(MAX($L407/$H407,$M407/$I407),0)))</f>
        <v/>
      </c>
      <c r="AC407" s="84" t="str">
        <f aca="false">IF($D407&lt;&gt;1,"",IF(p_mode="Nœud",$AB407*$K407,$L407*IF($G407="IKS",p_iks_cpu,p_roks_cpu)+$M407*IF($G407="IKS",p_iks_ram,p_roks_ram))*p_facteur)</f>
        <v/>
      </c>
      <c r="AD407" s="14" t="str">
        <f aca="false">IF($D407&lt;&gt;1,"",IF(AND($G407="IKS",$AI407&lt;&gt;1,OR($L407-$P407&lt;$N407,$M407-$Q407&lt;$O407)),1,0))</f>
        <v/>
      </c>
      <c r="AE407" s="14" t="str">
        <f aca="false">IF($D407&lt;&gt;1,"",IF(AND($G407="ROKS",$T407&gt;p_maxworkers),1,0))</f>
        <v/>
      </c>
      <c r="AF407" s="14" t="str">
        <f aca="false">IF($D407&lt;&gt;1,"",IF(INDEX(TblClusters[Environnement],$B407)="","(vide)",INDEX(TblClusters[Environnement],$B407)))</f>
        <v/>
      </c>
      <c r="AG407" s="14" t="str">
        <f aca="false">IF($D407&lt;&gt;1,"",$R407+p_poidsram*$S407)</f>
        <v/>
      </c>
      <c r="AH407" s="14" t="str">
        <f aca="false">IF($D407&lt;&gt;1,"",IFERROR($W407/$AG407,0))</f>
        <v/>
      </c>
      <c r="AI407" s="14" t="str">
        <f aca="false">IF($D407&lt;&gt;1,"",IF(AND($G407="IKS",ISNUMBER(INDEX(TblClusters[Fermeture retenue],$B407))),IF($E407&gt;=INDEX(TblClusters[Fermeture retenue],$B407),1,0),0))</f>
        <v/>
      </c>
    </row>
    <row r="408" customFormat="false" ht="15" hidden="false" customHeight="false" outlineLevel="0" collapsed="false">
      <c r="A408" s="14" t="n">
        <v>403</v>
      </c>
      <c r="B408" s="14" t="n">
        <f aca="false">INT(($A408-1)/36)+1</f>
        <v>12</v>
      </c>
      <c r="C408" s="14" t="n">
        <f aca="false">MOD($A408-1,36)+1</f>
        <v>7</v>
      </c>
      <c r="D408" s="14" t="n">
        <f aca="false">IF($C408&gt;p_horizon,0,IFERROR(IF(AND(INDEX(TblClusters[Cluster],$B408)&lt;&gt;"",ISNUMBER(INDEX(TblClusters[CPU initial (vCPU)],$B408)),ISNUMBER(INDEX(TblClusters[CPU min (vCPU)],$B408)),OR(INDEX(TblClusters[Plateforme],$B408)="IKS",INDEX(TblClusters[Plateforme],$B408)="ROKS")),1,0),0))</f>
        <v>0</v>
      </c>
      <c r="E408" s="83" t="str">
        <f aca="false">IF($D408=1,EDATE(p_debut,$C408-1),"")</f>
        <v/>
      </c>
      <c r="F408" s="14" t="str">
        <f aca="false">IF($D408=1,INDEX(TblClusters[Cluster],$B408),"")</f>
        <v/>
      </c>
      <c r="G408" s="14" t="str">
        <f aca="false">IF($D408=1,INDEX(TblClusters[Plateforme],$B408),"")</f>
        <v/>
      </c>
      <c r="H408" s="14" t="str">
        <f aca="false">IF($D408=1,INDEX(TblClusters[vCPU par nœud],$B408),"")</f>
        <v/>
      </c>
      <c r="I408" s="14" t="str">
        <f aca="false">IF($D408=1,INDEX(TblClusters[RAM par nœud (Go)],$B408),"")</f>
        <v/>
      </c>
      <c r="J408" s="14" t="str">
        <f aca="false">IF($D408=1,INDEX(TblClusters[Workers min],$B408),"")</f>
        <v/>
      </c>
      <c r="K408" s="84" t="str">
        <f aca="false">IF($D408=1,INDEX(TblClusters[Tarif par nœud],$B408),"")</f>
        <v/>
      </c>
      <c r="L408" s="14" t="str">
        <f aca="false">IF($D408=1,INDEX(TblClusters[CPU initial (vCPU)],$B408),"")</f>
        <v/>
      </c>
      <c r="M408" s="14" t="str">
        <f aca="false">IF($D408=1,INDEX(TblClusters[RAM initiale (Go)],$B408),"")</f>
        <v/>
      </c>
      <c r="N408" s="14" t="str">
        <f aca="false">IF($D408=1,INDEX(TblClusters[CPU min (vCPU)],$B408),"")</f>
        <v/>
      </c>
      <c r="O408" s="14" t="str">
        <f aca="false">IF($D408=1,INDEX(TblClusters[RAM min (Go)],$B408),"")</f>
        <v/>
      </c>
      <c r="P408" s="14" t="str">
        <f aca="false">IF($D408&lt;&gt;1,"",IF($G408="ROKS",SUMIFS(TblApplications[Besoin ROKS CPU (vCPU)],TblApplications[Cluster ROKS cible],$F408,TblApplications[Action],"À migrer",TblApplications[Déjà incluse ROKS],"Non",TblApplications[Mois prov (calc)],"&lt;="&amp;$E408),SUMIFS(TblApplications[CPU IKS libérable (vCPU)],TblApplications[Cluster IKS source],$F408,TblApplications[Mois lib (calc)],"&lt;="&amp;$E408)))</f>
        <v/>
      </c>
      <c r="Q408" s="14" t="str">
        <f aca="false">IF($D408&lt;&gt;1,"",IF($G408="ROKS",SUMIFS(TblApplications[Besoin ROKS RAM (Go)],TblApplications[Cluster ROKS cible],$F408,TblApplications[Action],"À migrer",TblApplications[Déjà incluse ROKS],"Non",TblApplications[Mois prov (calc)],"&lt;="&amp;$E408),SUMIFS(TblApplications[RAM IKS libérable (Go)],TblApplications[Cluster IKS source],$F408,TblApplications[Mois lib (calc)],"&lt;="&amp;$E408)))</f>
        <v/>
      </c>
      <c r="R408" s="14" t="str">
        <f aca="false">IF($D408&lt;&gt;1,"",IF($G408="ROKS",$L408+$P408,IF($AI408=1,0,MAX($N408,$L408-$P408))))</f>
        <v/>
      </c>
      <c r="S408" s="14" t="str">
        <f aca="false">IF($D408&lt;&gt;1,"",IF($G408="ROKS",$M408+$Q408,IF($AI408=1,0,MAX($O408,$M408-$Q408))))</f>
        <v/>
      </c>
      <c r="T408" s="14" t="str">
        <f aca="false">IF($D408&lt;&gt;1,"",IF($AI408=1,0,MAX($J408,ROUNDUP(MAX($R408/$H408,$S408/$I408),0))))</f>
        <v/>
      </c>
      <c r="U408" s="14" t="str">
        <f aca="false">IF($D408&lt;&gt;1,"",IF(p_mode="Nœud",$T408*$H408,$R408))</f>
        <v/>
      </c>
      <c r="V408" s="14" t="str">
        <f aca="false">IF($D408&lt;&gt;1,"",IF(p_mode="Nœud",$T408*$I408,$S408))</f>
        <v/>
      </c>
      <c r="W408" s="84" t="str">
        <f aca="false">IF($D408&lt;&gt;1,"",IF(p_mode="Nœud",$T408*$K408,$R408*IF($G408="IKS",p_iks_cpu,p_roks_cpu)+$S408*IF($G408="IKS",p_iks_ram,p_roks_ram))*p_facteur)</f>
        <v/>
      </c>
      <c r="X408" s="14" t="str">
        <f aca="false">IF($D408&lt;&gt;1,"",IF($G408="ROKS",$R408,IF($AI408=1,0,MAX($N408,$L408-SUMIFS(TblApplications[CPU IKS libérable (vCPU)],TblApplications[Cluster IKS source],$F408,TblApplications[Action],"À migrer",TblApplications[Mois prov (calc)],"&lt;="&amp;$E408)-SUMIFS(TblApplications[CPU IKS libérable (vCPU)],TblApplications[Cluster IKS source],$F408,TblApplications[Action],"À décommissionner",TblApplications[Mois lib (calc)],"&lt;="&amp;$E408)))))</f>
        <v/>
      </c>
      <c r="Y408" s="14" t="str">
        <f aca="false">IF($D408&lt;&gt;1,"",IF($G408="ROKS",$S408,IF($AI408=1,0,MAX($O408,$M408-SUMIFS(TblApplications[RAM IKS libérable (Go)],TblApplications[Cluster IKS source],$F408,TblApplications[Action],"À migrer",TblApplications[Mois prov (calc)],"&lt;="&amp;$E408)-SUMIFS(TblApplications[RAM IKS libérable (Go)],TblApplications[Cluster IKS source],$F408,TblApplications[Action],"À décommissionner",TblApplications[Mois lib (calc)],"&lt;="&amp;$E408)))))</f>
        <v/>
      </c>
      <c r="Z408" s="14" t="str">
        <f aca="false">IF($D408&lt;&gt;1,"",IF($AI408=1,0,MAX($J408,ROUNDUP(MAX($X408/$H408,$Y408/$I408),0))))</f>
        <v/>
      </c>
      <c r="AA408" s="84" t="str">
        <f aca="false">IF($D408&lt;&gt;1,"",IF(p_mode="Nœud",$Z408*$K408,$X408*IF($G408="IKS",p_iks_cpu,p_roks_cpu)+$Y408*IF($G408="IKS",p_iks_ram,p_roks_ram))*p_facteur)</f>
        <v/>
      </c>
      <c r="AB408" s="14" t="str">
        <f aca="false">IF($D408&lt;&gt;1,"",MAX($J408,ROUNDUP(MAX($L408/$H408,$M408/$I408),0)))</f>
        <v/>
      </c>
      <c r="AC408" s="84" t="str">
        <f aca="false">IF($D408&lt;&gt;1,"",IF(p_mode="Nœud",$AB408*$K408,$L408*IF($G408="IKS",p_iks_cpu,p_roks_cpu)+$M408*IF($G408="IKS",p_iks_ram,p_roks_ram))*p_facteur)</f>
        <v/>
      </c>
      <c r="AD408" s="14" t="str">
        <f aca="false">IF($D408&lt;&gt;1,"",IF(AND($G408="IKS",$AI408&lt;&gt;1,OR($L408-$P408&lt;$N408,$M408-$Q408&lt;$O408)),1,0))</f>
        <v/>
      </c>
      <c r="AE408" s="14" t="str">
        <f aca="false">IF($D408&lt;&gt;1,"",IF(AND($G408="ROKS",$T408&gt;p_maxworkers),1,0))</f>
        <v/>
      </c>
      <c r="AF408" s="14" t="str">
        <f aca="false">IF($D408&lt;&gt;1,"",IF(INDEX(TblClusters[Environnement],$B408)="","(vide)",INDEX(TblClusters[Environnement],$B408)))</f>
        <v/>
      </c>
      <c r="AG408" s="14" t="str">
        <f aca="false">IF($D408&lt;&gt;1,"",$R408+p_poidsram*$S408)</f>
        <v/>
      </c>
      <c r="AH408" s="14" t="str">
        <f aca="false">IF($D408&lt;&gt;1,"",IFERROR($W408/$AG408,0))</f>
        <v/>
      </c>
      <c r="AI408" s="14" t="str">
        <f aca="false">IF($D408&lt;&gt;1,"",IF(AND($G408="IKS",ISNUMBER(INDEX(TblClusters[Fermeture retenue],$B408))),IF($E408&gt;=INDEX(TblClusters[Fermeture retenue],$B408),1,0),0))</f>
        <v/>
      </c>
    </row>
    <row r="409" customFormat="false" ht="15" hidden="false" customHeight="false" outlineLevel="0" collapsed="false">
      <c r="A409" s="14" t="n">
        <v>404</v>
      </c>
      <c r="B409" s="14" t="n">
        <f aca="false">INT(($A409-1)/36)+1</f>
        <v>12</v>
      </c>
      <c r="C409" s="14" t="n">
        <f aca="false">MOD($A409-1,36)+1</f>
        <v>8</v>
      </c>
      <c r="D409" s="14" t="n">
        <f aca="false">IF($C409&gt;p_horizon,0,IFERROR(IF(AND(INDEX(TblClusters[Cluster],$B409)&lt;&gt;"",ISNUMBER(INDEX(TblClusters[CPU initial (vCPU)],$B409)),ISNUMBER(INDEX(TblClusters[CPU min (vCPU)],$B409)),OR(INDEX(TblClusters[Plateforme],$B409)="IKS",INDEX(TblClusters[Plateforme],$B409)="ROKS")),1,0),0))</f>
        <v>0</v>
      </c>
      <c r="E409" s="83" t="str">
        <f aca="false">IF($D409=1,EDATE(p_debut,$C409-1),"")</f>
        <v/>
      </c>
      <c r="F409" s="14" t="str">
        <f aca="false">IF($D409=1,INDEX(TblClusters[Cluster],$B409),"")</f>
        <v/>
      </c>
      <c r="G409" s="14" t="str">
        <f aca="false">IF($D409=1,INDEX(TblClusters[Plateforme],$B409),"")</f>
        <v/>
      </c>
      <c r="H409" s="14" t="str">
        <f aca="false">IF($D409=1,INDEX(TblClusters[vCPU par nœud],$B409),"")</f>
        <v/>
      </c>
      <c r="I409" s="14" t="str">
        <f aca="false">IF($D409=1,INDEX(TblClusters[RAM par nœud (Go)],$B409),"")</f>
        <v/>
      </c>
      <c r="J409" s="14" t="str">
        <f aca="false">IF($D409=1,INDEX(TblClusters[Workers min],$B409),"")</f>
        <v/>
      </c>
      <c r="K409" s="84" t="str">
        <f aca="false">IF($D409=1,INDEX(TblClusters[Tarif par nœud],$B409),"")</f>
        <v/>
      </c>
      <c r="L409" s="14" t="str">
        <f aca="false">IF($D409=1,INDEX(TblClusters[CPU initial (vCPU)],$B409),"")</f>
        <v/>
      </c>
      <c r="M409" s="14" t="str">
        <f aca="false">IF($D409=1,INDEX(TblClusters[RAM initiale (Go)],$B409),"")</f>
        <v/>
      </c>
      <c r="N409" s="14" t="str">
        <f aca="false">IF($D409=1,INDEX(TblClusters[CPU min (vCPU)],$B409),"")</f>
        <v/>
      </c>
      <c r="O409" s="14" t="str">
        <f aca="false">IF($D409=1,INDEX(TblClusters[RAM min (Go)],$B409),"")</f>
        <v/>
      </c>
      <c r="P409" s="14" t="str">
        <f aca="false">IF($D409&lt;&gt;1,"",IF($G409="ROKS",SUMIFS(TblApplications[Besoin ROKS CPU (vCPU)],TblApplications[Cluster ROKS cible],$F409,TblApplications[Action],"À migrer",TblApplications[Déjà incluse ROKS],"Non",TblApplications[Mois prov (calc)],"&lt;="&amp;$E409),SUMIFS(TblApplications[CPU IKS libérable (vCPU)],TblApplications[Cluster IKS source],$F409,TblApplications[Mois lib (calc)],"&lt;="&amp;$E409)))</f>
        <v/>
      </c>
      <c r="Q409" s="14" t="str">
        <f aca="false">IF($D409&lt;&gt;1,"",IF($G409="ROKS",SUMIFS(TblApplications[Besoin ROKS RAM (Go)],TblApplications[Cluster ROKS cible],$F409,TblApplications[Action],"À migrer",TblApplications[Déjà incluse ROKS],"Non",TblApplications[Mois prov (calc)],"&lt;="&amp;$E409),SUMIFS(TblApplications[RAM IKS libérable (Go)],TblApplications[Cluster IKS source],$F409,TblApplications[Mois lib (calc)],"&lt;="&amp;$E409)))</f>
        <v/>
      </c>
      <c r="R409" s="14" t="str">
        <f aca="false">IF($D409&lt;&gt;1,"",IF($G409="ROKS",$L409+$P409,IF($AI409=1,0,MAX($N409,$L409-$P409))))</f>
        <v/>
      </c>
      <c r="S409" s="14" t="str">
        <f aca="false">IF($D409&lt;&gt;1,"",IF($G409="ROKS",$M409+$Q409,IF($AI409=1,0,MAX($O409,$M409-$Q409))))</f>
        <v/>
      </c>
      <c r="T409" s="14" t="str">
        <f aca="false">IF($D409&lt;&gt;1,"",IF($AI409=1,0,MAX($J409,ROUNDUP(MAX($R409/$H409,$S409/$I409),0))))</f>
        <v/>
      </c>
      <c r="U409" s="14" t="str">
        <f aca="false">IF($D409&lt;&gt;1,"",IF(p_mode="Nœud",$T409*$H409,$R409))</f>
        <v/>
      </c>
      <c r="V409" s="14" t="str">
        <f aca="false">IF($D409&lt;&gt;1,"",IF(p_mode="Nœud",$T409*$I409,$S409))</f>
        <v/>
      </c>
      <c r="W409" s="84" t="str">
        <f aca="false">IF($D409&lt;&gt;1,"",IF(p_mode="Nœud",$T409*$K409,$R409*IF($G409="IKS",p_iks_cpu,p_roks_cpu)+$S409*IF($G409="IKS",p_iks_ram,p_roks_ram))*p_facteur)</f>
        <v/>
      </c>
      <c r="X409" s="14" t="str">
        <f aca="false">IF($D409&lt;&gt;1,"",IF($G409="ROKS",$R409,IF($AI409=1,0,MAX($N409,$L409-SUMIFS(TblApplications[CPU IKS libérable (vCPU)],TblApplications[Cluster IKS source],$F409,TblApplications[Action],"À migrer",TblApplications[Mois prov (calc)],"&lt;="&amp;$E409)-SUMIFS(TblApplications[CPU IKS libérable (vCPU)],TblApplications[Cluster IKS source],$F409,TblApplications[Action],"À décommissionner",TblApplications[Mois lib (calc)],"&lt;="&amp;$E409)))))</f>
        <v/>
      </c>
      <c r="Y409" s="14" t="str">
        <f aca="false">IF($D409&lt;&gt;1,"",IF($G409="ROKS",$S409,IF($AI409=1,0,MAX($O409,$M409-SUMIFS(TblApplications[RAM IKS libérable (Go)],TblApplications[Cluster IKS source],$F409,TblApplications[Action],"À migrer",TblApplications[Mois prov (calc)],"&lt;="&amp;$E409)-SUMIFS(TblApplications[RAM IKS libérable (Go)],TblApplications[Cluster IKS source],$F409,TblApplications[Action],"À décommissionner",TblApplications[Mois lib (calc)],"&lt;="&amp;$E409)))))</f>
        <v/>
      </c>
      <c r="Z409" s="14" t="str">
        <f aca="false">IF($D409&lt;&gt;1,"",IF($AI409=1,0,MAX($J409,ROUNDUP(MAX($X409/$H409,$Y409/$I409),0))))</f>
        <v/>
      </c>
      <c r="AA409" s="84" t="str">
        <f aca="false">IF($D409&lt;&gt;1,"",IF(p_mode="Nœud",$Z409*$K409,$X409*IF($G409="IKS",p_iks_cpu,p_roks_cpu)+$Y409*IF($G409="IKS",p_iks_ram,p_roks_ram))*p_facteur)</f>
        <v/>
      </c>
      <c r="AB409" s="14" t="str">
        <f aca="false">IF($D409&lt;&gt;1,"",MAX($J409,ROUNDUP(MAX($L409/$H409,$M409/$I409),0)))</f>
        <v/>
      </c>
      <c r="AC409" s="84" t="str">
        <f aca="false">IF($D409&lt;&gt;1,"",IF(p_mode="Nœud",$AB409*$K409,$L409*IF($G409="IKS",p_iks_cpu,p_roks_cpu)+$M409*IF($G409="IKS",p_iks_ram,p_roks_ram))*p_facteur)</f>
        <v/>
      </c>
      <c r="AD409" s="14" t="str">
        <f aca="false">IF($D409&lt;&gt;1,"",IF(AND($G409="IKS",$AI409&lt;&gt;1,OR($L409-$P409&lt;$N409,$M409-$Q409&lt;$O409)),1,0))</f>
        <v/>
      </c>
      <c r="AE409" s="14" t="str">
        <f aca="false">IF($D409&lt;&gt;1,"",IF(AND($G409="ROKS",$T409&gt;p_maxworkers),1,0))</f>
        <v/>
      </c>
      <c r="AF409" s="14" t="str">
        <f aca="false">IF($D409&lt;&gt;1,"",IF(INDEX(TblClusters[Environnement],$B409)="","(vide)",INDEX(TblClusters[Environnement],$B409)))</f>
        <v/>
      </c>
      <c r="AG409" s="14" t="str">
        <f aca="false">IF($D409&lt;&gt;1,"",$R409+p_poidsram*$S409)</f>
        <v/>
      </c>
      <c r="AH409" s="14" t="str">
        <f aca="false">IF($D409&lt;&gt;1,"",IFERROR($W409/$AG409,0))</f>
        <v/>
      </c>
      <c r="AI409" s="14" t="str">
        <f aca="false">IF($D409&lt;&gt;1,"",IF(AND($G409="IKS",ISNUMBER(INDEX(TblClusters[Fermeture retenue],$B409))),IF($E409&gt;=INDEX(TblClusters[Fermeture retenue],$B409),1,0),0))</f>
        <v/>
      </c>
    </row>
    <row r="410" customFormat="false" ht="15" hidden="false" customHeight="false" outlineLevel="0" collapsed="false">
      <c r="A410" s="14" t="n">
        <v>405</v>
      </c>
      <c r="B410" s="14" t="n">
        <f aca="false">INT(($A410-1)/36)+1</f>
        <v>12</v>
      </c>
      <c r="C410" s="14" t="n">
        <f aca="false">MOD($A410-1,36)+1</f>
        <v>9</v>
      </c>
      <c r="D410" s="14" t="n">
        <f aca="false">IF($C410&gt;p_horizon,0,IFERROR(IF(AND(INDEX(TblClusters[Cluster],$B410)&lt;&gt;"",ISNUMBER(INDEX(TblClusters[CPU initial (vCPU)],$B410)),ISNUMBER(INDEX(TblClusters[CPU min (vCPU)],$B410)),OR(INDEX(TblClusters[Plateforme],$B410)="IKS",INDEX(TblClusters[Plateforme],$B410)="ROKS")),1,0),0))</f>
        <v>0</v>
      </c>
      <c r="E410" s="83" t="str">
        <f aca="false">IF($D410=1,EDATE(p_debut,$C410-1),"")</f>
        <v/>
      </c>
      <c r="F410" s="14" t="str">
        <f aca="false">IF($D410=1,INDEX(TblClusters[Cluster],$B410),"")</f>
        <v/>
      </c>
      <c r="G410" s="14" t="str">
        <f aca="false">IF($D410=1,INDEX(TblClusters[Plateforme],$B410),"")</f>
        <v/>
      </c>
      <c r="H410" s="14" t="str">
        <f aca="false">IF($D410=1,INDEX(TblClusters[vCPU par nœud],$B410),"")</f>
        <v/>
      </c>
      <c r="I410" s="14" t="str">
        <f aca="false">IF($D410=1,INDEX(TblClusters[RAM par nœud (Go)],$B410),"")</f>
        <v/>
      </c>
      <c r="J410" s="14" t="str">
        <f aca="false">IF($D410=1,INDEX(TblClusters[Workers min],$B410),"")</f>
        <v/>
      </c>
      <c r="K410" s="84" t="str">
        <f aca="false">IF($D410=1,INDEX(TblClusters[Tarif par nœud],$B410),"")</f>
        <v/>
      </c>
      <c r="L410" s="14" t="str">
        <f aca="false">IF($D410=1,INDEX(TblClusters[CPU initial (vCPU)],$B410),"")</f>
        <v/>
      </c>
      <c r="M410" s="14" t="str">
        <f aca="false">IF($D410=1,INDEX(TblClusters[RAM initiale (Go)],$B410),"")</f>
        <v/>
      </c>
      <c r="N410" s="14" t="str">
        <f aca="false">IF($D410=1,INDEX(TblClusters[CPU min (vCPU)],$B410),"")</f>
        <v/>
      </c>
      <c r="O410" s="14" t="str">
        <f aca="false">IF($D410=1,INDEX(TblClusters[RAM min (Go)],$B410),"")</f>
        <v/>
      </c>
      <c r="P410" s="14" t="str">
        <f aca="false">IF($D410&lt;&gt;1,"",IF($G410="ROKS",SUMIFS(TblApplications[Besoin ROKS CPU (vCPU)],TblApplications[Cluster ROKS cible],$F410,TblApplications[Action],"À migrer",TblApplications[Déjà incluse ROKS],"Non",TblApplications[Mois prov (calc)],"&lt;="&amp;$E410),SUMIFS(TblApplications[CPU IKS libérable (vCPU)],TblApplications[Cluster IKS source],$F410,TblApplications[Mois lib (calc)],"&lt;="&amp;$E410)))</f>
        <v/>
      </c>
      <c r="Q410" s="14" t="str">
        <f aca="false">IF($D410&lt;&gt;1,"",IF($G410="ROKS",SUMIFS(TblApplications[Besoin ROKS RAM (Go)],TblApplications[Cluster ROKS cible],$F410,TblApplications[Action],"À migrer",TblApplications[Déjà incluse ROKS],"Non",TblApplications[Mois prov (calc)],"&lt;="&amp;$E410),SUMIFS(TblApplications[RAM IKS libérable (Go)],TblApplications[Cluster IKS source],$F410,TblApplications[Mois lib (calc)],"&lt;="&amp;$E410)))</f>
        <v/>
      </c>
      <c r="R410" s="14" t="str">
        <f aca="false">IF($D410&lt;&gt;1,"",IF($G410="ROKS",$L410+$P410,IF($AI410=1,0,MAX($N410,$L410-$P410))))</f>
        <v/>
      </c>
      <c r="S410" s="14" t="str">
        <f aca="false">IF($D410&lt;&gt;1,"",IF($G410="ROKS",$M410+$Q410,IF($AI410=1,0,MAX($O410,$M410-$Q410))))</f>
        <v/>
      </c>
      <c r="T410" s="14" t="str">
        <f aca="false">IF($D410&lt;&gt;1,"",IF($AI410=1,0,MAX($J410,ROUNDUP(MAX($R410/$H410,$S410/$I410),0))))</f>
        <v/>
      </c>
      <c r="U410" s="14" t="str">
        <f aca="false">IF($D410&lt;&gt;1,"",IF(p_mode="Nœud",$T410*$H410,$R410))</f>
        <v/>
      </c>
      <c r="V410" s="14" t="str">
        <f aca="false">IF($D410&lt;&gt;1,"",IF(p_mode="Nœud",$T410*$I410,$S410))</f>
        <v/>
      </c>
      <c r="W410" s="84" t="str">
        <f aca="false">IF($D410&lt;&gt;1,"",IF(p_mode="Nœud",$T410*$K410,$R410*IF($G410="IKS",p_iks_cpu,p_roks_cpu)+$S410*IF($G410="IKS",p_iks_ram,p_roks_ram))*p_facteur)</f>
        <v/>
      </c>
      <c r="X410" s="14" t="str">
        <f aca="false">IF($D410&lt;&gt;1,"",IF($G410="ROKS",$R410,IF($AI410=1,0,MAX($N410,$L410-SUMIFS(TblApplications[CPU IKS libérable (vCPU)],TblApplications[Cluster IKS source],$F410,TblApplications[Action],"À migrer",TblApplications[Mois prov (calc)],"&lt;="&amp;$E410)-SUMIFS(TblApplications[CPU IKS libérable (vCPU)],TblApplications[Cluster IKS source],$F410,TblApplications[Action],"À décommissionner",TblApplications[Mois lib (calc)],"&lt;="&amp;$E410)))))</f>
        <v/>
      </c>
      <c r="Y410" s="14" t="str">
        <f aca="false">IF($D410&lt;&gt;1,"",IF($G410="ROKS",$S410,IF($AI410=1,0,MAX($O410,$M410-SUMIFS(TblApplications[RAM IKS libérable (Go)],TblApplications[Cluster IKS source],$F410,TblApplications[Action],"À migrer",TblApplications[Mois prov (calc)],"&lt;="&amp;$E410)-SUMIFS(TblApplications[RAM IKS libérable (Go)],TblApplications[Cluster IKS source],$F410,TblApplications[Action],"À décommissionner",TblApplications[Mois lib (calc)],"&lt;="&amp;$E410)))))</f>
        <v/>
      </c>
      <c r="Z410" s="14" t="str">
        <f aca="false">IF($D410&lt;&gt;1,"",IF($AI410=1,0,MAX($J410,ROUNDUP(MAX($X410/$H410,$Y410/$I410),0))))</f>
        <v/>
      </c>
      <c r="AA410" s="84" t="str">
        <f aca="false">IF($D410&lt;&gt;1,"",IF(p_mode="Nœud",$Z410*$K410,$X410*IF($G410="IKS",p_iks_cpu,p_roks_cpu)+$Y410*IF($G410="IKS",p_iks_ram,p_roks_ram))*p_facteur)</f>
        <v/>
      </c>
      <c r="AB410" s="14" t="str">
        <f aca="false">IF($D410&lt;&gt;1,"",MAX($J410,ROUNDUP(MAX($L410/$H410,$M410/$I410),0)))</f>
        <v/>
      </c>
      <c r="AC410" s="84" t="str">
        <f aca="false">IF($D410&lt;&gt;1,"",IF(p_mode="Nœud",$AB410*$K410,$L410*IF($G410="IKS",p_iks_cpu,p_roks_cpu)+$M410*IF($G410="IKS",p_iks_ram,p_roks_ram))*p_facteur)</f>
        <v/>
      </c>
      <c r="AD410" s="14" t="str">
        <f aca="false">IF($D410&lt;&gt;1,"",IF(AND($G410="IKS",$AI410&lt;&gt;1,OR($L410-$P410&lt;$N410,$M410-$Q410&lt;$O410)),1,0))</f>
        <v/>
      </c>
      <c r="AE410" s="14" t="str">
        <f aca="false">IF($D410&lt;&gt;1,"",IF(AND($G410="ROKS",$T410&gt;p_maxworkers),1,0))</f>
        <v/>
      </c>
      <c r="AF410" s="14" t="str">
        <f aca="false">IF($D410&lt;&gt;1,"",IF(INDEX(TblClusters[Environnement],$B410)="","(vide)",INDEX(TblClusters[Environnement],$B410)))</f>
        <v/>
      </c>
      <c r="AG410" s="14" t="str">
        <f aca="false">IF($D410&lt;&gt;1,"",$R410+p_poidsram*$S410)</f>
        <v/>
      </c>
      <c r="AH410" s="14" t="str">
        <f aca="false">IF($D410&lt;&gt;1,"",IFERROR($W410/$AG410,0))</f>
        <v/>
      </c>
      <c r="AI410" s="14" t="str">
        <f aca="false">IF($D410&lt;&gt;1,"",IF(AND($G410="IKS",ISNUMBER(INDEX(TblClusters[Fermeture retenue],$B410))),IF($E410&gt;=INDEX(TblClusters[Fermeture retenue],$B410),1,0),0))</f>
        <v/>
      </c>
    </row>
    <row r="411" customFormat="false" ht="15" hidden="false" customHeight="false" outlineLevel="0" collapsed="false">
      <c r="A411" s="14" t="n">
        <v>406</v>
      </c>
      <c r="B411" s="14" t="n">
        <f aca="false">INT(($A411-1)/36)+1</f>
        <v>12</v>
      </c>
      <c r="C411" s="14" t="n">
        <f aca="false">MOD($A411-1,36)+1</f>
        <v>10</v>
      </c>
      <c r="D411" s="14" t="n">
        <f aca="false">IF($C411&gt;p_horizon,0,IFERROR(IF(AND(INDEX(TblClusters[Cluster],$B411)&lt;&gt;"",ISNUMBER(INDEX(TblClusters[CPU initial (vCPU)],$B411)),ISNUMBER(INDEX(TblClusters[CPU min (vCPU)],$B411)),OR(INDEX(TblClusters[Plateforme],$B411)="IKS",INDEX(TblClusters[Plateforme],$B411)="ROKS")),1,0),0))</f>
        <v>0</v>
      </c>
      <c r="E411" s="83" t="str">
        <f aca="false">IF($D411=1,EDATE(p_debut,$C411-1),"")</f>
        <v/>
      </c>
      <c r="F411" s="14" t="str">
        <f aca="false">IF($D411=1,INDEX(TblClusters[Cluster],$B411),"")</f>
        <v/>
      </c>
      <c r="G411" s="14" t="str">
        <f aca="false">IF($D411=1,INDEX(TblClusters[Plateforme],$B411),"")</f>
        <v/>
      </c>
      <c r="H411" s="14" t="str">
        <f aca="false">IF($D411=1,INDEX(TblClusters[vCPU par nœud],$B411),"")</f>
        <v/>
      </c>
      <c r="I411" s="14" t="str">
        <f aca="false">IF($D411=1,INDEX(TblClusters[RAM par nœud (Go)],$B411),"")</f>
        <v/>
      </c>
      <c r="J411" s="14" t="str">
        <f aca="false">IF($D411=1,INDEX(TblClusters[Workers min],$B411),"")</f>
        <v/>
      </c>
      <c r="K411" s="84" t="str">
        <f aca="false">IF($D411=1,INDEX(TblClusters[Tarif par nœud],$B411),"")</f>
        <v/>
      </c>
      <c r="L411" s="14" t="str">
        <f aca="false">IF($D411=1,INDEX(TblClusters[CPU initial (vCPU)],$B411),"")</f>
        <v/>
      </c>
      <c r="M411" s="14" t="str">
        <f aca="false">IF($D411=1,INDEX(TblClusters[RAM initiale (Go)],$B411),"")</f>
        <v/>
      </c>
      <c r="N411" s="14" t="str">
        <f aca="false">IF($D411=1,INDEX(TblClusters[CPU min (vCPU)],$B411),"")</f>
        <v/>
      </c>
      <c r="O411" s="14" t="str">
        <f aca="false">IF($D411=1,INDEX(TblClusters[RAM min (Go)],$B411),"")</f>
        <v/>
      </c>
      <c r="P411" s="14" t="str">
        <f aca="false">IF($D411&lt;&gt;1,"",IF($G411="ROKS",SUMIFS(TblApplications[Besoin ROKS CPU (vCPU)],TblApplications[Cluster ROKS cible],$F411,TblApplications[Action],"À migrer",TblApplications[Déjà incluse ROKS],"Non",TblApplications[Mois prov (calc)],"&lt;="&amp;$E411),SUMIFS(TblApplications[CPU IKS libérable (vCPU)],TblApplications[Cluster IKS source],$F411,TblApplications[Mois lib (calc)],"&lt;="&amp;$E411)))</f>
        <v/>
      </c>
      <c r="Q411" s="14" t="str">
        <f aca="false">IF($D411&lt;&gt;1,"",IF($G411="ROKS",SUMIFS(TblApplications[Besoin ROKS RAM (Go)],TblApplications[Cluster ROKS cible],$F411,TblApplications[Action],"À migrer",TblApplications[Déjà incluse ROKS],"Non",TblApplications[Mois prov (calc)],"&lt;="&amp;$E411),SUMIFS(TblApplications[RAM IKS libérable (Go)],TblApplications[Cluster IKS source],$F411,TblApplications[Mois lib (calc)],"&lt;="&amp;$E411)))</f>
        <v/>
      </c>
      <c r="R411" s="14" t="str">
        <f aca="false">IF($D411&lt;&gt;1,"",IF($G411="ROKS",$L411+$P411,IF($AI411=1,0,MAX($N411,$L411-$P411))))</f>
        <v/>
      </c>
      <c r="S411" s="14" t="str">
        <f aca="false">IF($D411&lt;&gt;1,"",IF($G411="ROKS",$M411+$Q411,IF($AI411=1,0,MAX($O411,$M411-$Q411))))</f>
        <v/>
      </c>
      <c r="T411" s="14" t="str">
        <f aca="false">IF($D411&lt;&gt;1,"",IF($AI411=1,0,MAX($J411,ROUNDUP(MAX($R411/$H411,$S411/$I411),0))))</f>
        <v/>
      </c>
      <c r="U411" s="14" t="str">
        <f aca="false">IF($D411&lt;&gt;1,"",IF(p_mode="Nœud",$T411*$H411,$R411))</f>
        <v/>
      </c>
      <c r="V411" s="14" t="str">
        <f aca="false">IF($D411&lt;&gt;1,"",IF(p_mode="Nœud",$T411*$I411,$S411))</f>
        <v/>
      </c>
      <c r="W411" s="84" t="str">
        <f aca="false">IF($D411&lt;&gt;1,"",IF(p_mode="Nœud",$T411*$K411,$R411*IF($G411="IKS",p_iks_cpu,p_roks_cpu)+$S411*IF($G411="IKS",p_iks_ram,p_roks_ram))*p_facteur)</f>
        <v/>
      </c>
      <c r="X411" s="14" t="str">
        <f aca="false">IF($D411&lt;&gt;1,"",IF($G411="ROKS",$R411,IF($AI411=1,0,MAX($N411,$L411-SUMIFS(TblApplications[CPU IKS libérable (vCPU)],TblApplications[Cluster IKS source],$F411,TblApplications[Action],"À migrer",TblApplications[Mois prov (calc)],"&lt;="&amp;$E411)-SUMIFS(TblApplications[CPU IKS libérable (vCPU)],TblApplications[Cluster IKS source],$F411,TblApplications[Action],"À décommissionner",TblApplications[Mois lib (calc)],"&lt;="&amp;$E411)))))</f>
        <v/>
      </c>
      <c r="Y411" s="14" t="str">
        <f aca="false">IF($D411&lt;&gt;1,"",IF($G411="ROKS",$S411,IF($AI411=1,0,MAX($O411,$M411-SUMIFS(TblApplications[RAM IKS libérable (Go)],TblApplications[Cluster IKS source],$F411,TblApplications[Action],"À migrer",TblApplications[Mois prov (calc)],"&lt;="&amp;$E411)-SUMIFS(TblApplications[RAM IKS libérable (Go)],TblApplications[Cluster IKS source],$F411,TblApplications[Action],"À décommissionner",TblApplications[Mois lib (calc)],"&lt;="&amp;$E411)))))</f>
        <v/>
      </c>
      <c r="Z411" s="14" t="str">
        <f aca="false">IF($D411&lt;&gt;1,"",IF($AI411=1,0,MAX($J411,ROUNDUP(MAX($X411/$H411,$Y411/$I411),0))))</f>
        <v/>
      </c>
      <c r="AA411" s="84" t="str">
        <f aca="false">IF($D411&lt;&gt;1,"",IF(p_mode="Nœud",$Z411*$K411,$X411*IF($G411="IKS",p_iks_cpu,p_roks_cpu)+$Y411*IF($G411="IKS",p_iks_ram,p_roks_ram))*p_facteur)</f>
        <v/>
      </c>
      <c r="AB411" s="14" t="str">
        <f aca="false">IF($D411&lt;&gt;1,"",MAX($J411,ROUNDUP(MAX($L411/$H411,$M411/$I411),0)))</f>
        <v/>
      </c>
      <c r="AC411" s="84" t="str">
        <f aca="false">IF($D411&lt;&gt;1,"",IF(p_mode="Nœud",$AB411*$K411,$L411*IF($G411="IKS",p_iks_cpu,p_roks_cpu)+$M411*IF($G411="IKS",p_iks_ram,p_roks_ram))*p_facteur)</f>
        <v/>
      </c>
      <c r="AD411" s="14" t="str">
        <f aca="false">IF($D411&lt;&gt;1,"",IF(AND($G411="IKS",$AI411&lt;&gt;1,OR($L411-$P411&lt;$N411,$M411-$Q411&lt;$O411)),1,0))</f>
        <v/>
      </c>
      <c r="AE411" s="14" t="str">
        <f aca="false">IF($D411&lt;&gt;1,"",IF(AND($G411="ROKS",$T411&gt;p_maxworkers),1,0))</f>
        <v/>
      </c>
      <c r="AF411" s="14" t="str">
        <f aca="false">IF($D411&lt;&gt;1,"",IF(INDEX(TblClusters[Environnement],$B411)="","(vide)",INDEX(TblClusters[Environnement],$B411)))</f>
        <v/>
      </c>
      <c r="AG411" s="14" t="str">
        <f aca="false">IF($D411&lt;&gt;1,"",$R411+p_poidsram*$S411)</f>
        <v/>
      </c>
      <c r="AH411" s="14" t="str">
        <f aca="false">IF($D411&lt;&gt;1,"",IFERROR($W411/$AG411,0))</f>
        <v/>
      </c>
      <c r="AI411" s="14" t="str">
        <f aca="false">IF($D411&lt;&gt;1,"",IF(AND($G411="IKS",ISNUMBER(INDEX(TblClusters[Fermeture retenue],$B411))),IF($E411&gt;=INDEX(TblClusters[Fermeture retenue],$B411),1,0),0))</f>
        <v/>
      </c>
    </row>
    <row r="412" customFormat="false" ht="15" hidden="false" customHeight="false" outlineLevel="0" collapsed="false">
      <c r="A412" s="14" t="n">
        <v>407</v>
      </c>
      <c r="B412" s="14" t="n">
        <f aca="false">INT(($A412-1)/36)+1</f>
        <v>12</v>
      </c>
      <c r="C412" s="14" t="n">
        <f aca="false">MOD($A412-1,36)+1</f>
        <v>11</v>
      </c>
      <c r="D412" s="14" t="n">
        <f aca="false">IF($C412&gt;p_horizon,0,IFERROR(IF(AND(INDEX(TblClusters[Cluster],$B412)&lt;&gt;"",ISNUMBER(INDEX(TblClusters[CPU initial (vCPU)],$B412)),ISNUMBER(INDEX(TblClusters[CPU min (vCPU)],$B412)),OR(INDEX(TblClusters[Plateforme],$B412)="IKS",INDEX(TblClusters[Plateforme],$B412)="ROKS")),1,0),0))</f>
        <v>0</v>
      </c>
      <c r="E412" s="83" t="str">
        <f aca="false">IF($D412=1,EDATE(p_debut,$C412-1),"")</f>
        <v/>
      </c>
      <c r="F412" s="14" t="str">
        <f aca="false">IF($D412=1,INDEX(TblClusters[Cluster],$B412),"")</f>
        <v/>
      </c>
      <c r="G412" s="14" t="str">
        <f aca="false">IF($D412=1,INDEX(TblClusters[Plateforme],$B412),"")</f>
        <v/>
      </c>
      <c r="H412" s="14" t="str">
        <f aca="false">IF($D412=1,INDEX(TblClusters[vCPU par nœud],$B412),"")</f>
        <v/>
      </c>
      <c r="I412" s="14" t="str">
        <f aca="false">IF($D412=1,INDEX(TblClusters[RAM par nœud (Go)],$B412),"")</f>
        <v/>
      </c>
      <c r="J412" s="14" t="str">
        <f aca="false">IF($D412=1,INDEX(TblClusters[Workers min],$B412),"")</f>
        <v/>
      </c>
      <c r="K412" s="84" t="str">
        <f aca="false">IF($D412=1,INDEX(TblClusters[Tarif par nœud],$B412),"")</f>
        <v/>
      </c>
      <c r="L412" s="14" t="str">
        <f aca="false">IF($D412=1,INDEX(TblClusters[CPU initial (vCPU)],$B412),"")</f>
        <v/>
      </c>
      <c r="M412" s="14" t="str">
        <f aca="false">IF($D412=1,INDEX(TblClusters[RAM initiale (Go)],$B412),"")</f>
        <v/>
      </c>
      <c r="N412" s="14" t="str">
        <f aca="false">IF($D412=1,INDEX(TblClusters[CPU min (vCPU)],$B412),"")</f>
        <v/>
      </c>
      <c r="O412" s="14" t="str">
        <f aca="false">IF($D412=1,INDEX(TblClusters[RAM min (Go)],$B412),"")</f>
        <v/>
      </c>
      <c r="P412" s="14" t="str">
        <f aca="false">IF($D412&lt;&gt;1,"",IF($G412="ROKS",SUMIFS(TblApplications[Besoin ROKS CPU (vCPU)],TblApplications[Cluster ROKS cible],$F412,TblApplications[Action],"À migrer",TblApplications[Déjà incluse ROKS],"Non",TblApplications[Mois prov (calc)],"&lt;="&amp;$E412),SUMIFS(TblApplications[CPU IKS libérable (vCPU)],TblApplications[Cluster IKS source],$F412,TblApplications[Mois lib (calc)],"&lt;="&amp;$E412)))</f>
        <v/>
      </c>
      <c r="Q412" s="14" t="str">
        <f aca="false">IF($D412&lt;&gt;1,"",IF($G412="ROKS",SUMIFS(TblApplications[Besoin ROKS RAM (Go)],TblApplications[Cluster ROKS cible],$F412,TblApplications[Action],"À migrer",TblApplications[Déjà incluse ROKS],"Non",TblApplications[Mois prov (calc)],"&lt;="&amp;$E412),SUMIFS(TblApplications[RAM IKS libérable (Go)],TblApplications[Cluster IKS source],$F412,TblApplications[Mois lib (calc)],"&lt;="&amp;$E412)))</f>
        <v/>
      </c>
      <c r="R412" s="14" t="str">
        <f aca="false">IF($D412&lt;&gt;1,"",IF($G412="ROKS",$L412+$P412,IF($AI412=1,0,MAX($N412,$L412-$P412))))</f>
        <v/>
      </c>
      <c r="S412" s="14" t="str">
        <f aca="false">IF($D412&lt;&gt;1,"",IF($G412="ROKS",$M412+$Q412,IF($AI412=1,0,MAX($O412,$M412-$Q412))))</f>
        <v/>
      </c>
      <c r="T412" s="14" t="str">
        <f aca="false">IF($D412&lt;&gt;1,"",IF($AI412=1,0,MAX($J412,ROUNDUP(MAX($R412/$H412,$S412/$I412),0))))</f>
        <v/>
      </c>
      <c r="U412" s="14" t="str">
        <f aca="false">IF($D412&lt;&gt;1,"",IF(p_mode="Nœud",$T412*$H412,$R412))</f>
        <v/>
      </c>
      <c r="V412" s="14" t="str">
        <f aca="false">IF($D412&lt;&gt;1,"",IF(p_mode="Nœud",$T412*$I412,$S412))</f>
        <v/>
      </c>
      <c r="W412" s="84" t="str">
        <f aca="false">IF($D412&lt;&gt;1,"",IF(p_mode="Nœud",$T412*$K412,$R412*IF($G412="IKS",p_iks_cpu,p_roks_cpu)+$S412*IF($G412="IKS",p_iks_ram,p_roks_ram))*p_facteur)</f>
        <v/>
      </c>
      <c r="X412" s="14" t="str">
        <f aca="false">IF($D412&lt;&gt;1,"",IF($G412="ROKS",$R412,IF($AI412=1,0,MAX($N412,$L412-SUMIFS(TblApplications[CPU IKS libérable (vCPU)],TblApplications[Cluster IKS source],$F412,TblApplications[Action],"À migrer",TblApplications[Mois prov (calc)],"&lt;="&amp;$E412)-SUMIFS(TblApplications[CPU IKS libérable (vCPU)],TblApplications[Cluster IKS source],$F412,TblApplications[Action],"À décommissionner",TblApplications[Mois lib (calc)],"&lt;="&amp;$E412)))))</f>
        <v/>
      </c>
      <c r="Y412" s="14" t="str">
        <f aca="false">IF($D412&lt;&gt;1,"",IF($G412="ROKS",$S412,IF($AI412=1,0,MAX($O412,$M412-SUMIFS(TblApplications[RAM IKS libérable (Go)],TblApplications[Cluster IKS source],$F412,TblApplications[Action],"À migrer",TblApplications[Mois prov (calc)],"&lt;="&amp;$E412)-SUMIFS(TblApplications[RAM IKS libérable (Go)],TblApplications[Cluster IKS source],$F412,TblApplications[Action],"À décommissionner",TblApplications[Mois lib (calc)],"&lt;="&amp;$E412)))))</f>
        <v/>
      </c>
      <c r="Z412" s="14" t="str">
        <f aca="false">IF($D412&lt;&gt;1,"",IF($AI412=1,0,MAX($J412,ROUNDUP(MAX($X412/$H412,$Y412/$I412),0))))</f>
        <v/>
      </c>
      <c r="AA412" s="84" t="str">
        <f aca="false">IF($D412&lt;&gt;1,"",IF(p_mode="Nœud",$Z412*$K412,$X412*IF($G412="IKS",p_iks_cpu,p_roks_cpu)+$Y412*IF($G412="IKS",p_iks_ram,p_roks_ram))*p_facteur)</f>
        <v/>
      </c>
      <c r="AB412" s="14" t="str">
        <f aca="false">IF($D412&lt;&gt;1,"",MAX($J412,ROUNDUP(MAX($L412/$H412,$M412/$I412),0)))</f>
        <v/>
      </c>
      <c r="AC412" s="84" t="str">
        <f aca="false">IF($D412&lt;&gt;1,"",IF(p_mode="Nœud",$AB412*$K412,$L412*IF($G412="IKS",p_iks_cpu,p_roks_cpu)+$M412*IF($G412="IKS",p_iks_ram,p_roks_ram))*p_facteur)</f>
        <v/>
      </c>
      <c r="AD412" s="14" t="str">
        <f aca="false">IF($D412&lt;&gt;1,"",IF(AND($G412="IKS",$AI412&lt;&gt;1,OR($L412-$P412&lt;$N412,$M412-$Q412&lt;$O412)),1,0))</f>
        <v/>
      </c>
      <c r="AE412" s="14" t="str">
        <f aca="false">IF($D412&lt;&gt;1,"",IF(AND($G412="ROKS",$T412&gt;p_maxworkers),1,0))</f>
        <v/>
      </c>
      <c r="AF412" s="14" t="str">
        <f aca="false">IF($D412&lt;&gt;1,"",IF(INDEX(TblClusters[Environnement],$B412)="","(vide)",INDEX(TblClusters[Environnement],$B412)))</f>
        <v/>
      </c>
      <c r="AG412" s="14" t="str">
        <f aca="false">IF($D412&lt;&gt;1,"",$R412+p_poidsram*$S412)</f>
        <v/>
      </c>
      <c r="AH412" s="14" t="str">
        <f aca="false">IF($D412&lt;&gt;1,"",IFERROR($W412/$AG412,0))</f>
        <v/>
      </c>
      <c r="AI412" s="14" t="str">
        <f aca="false">IF($D412&lt;&gt;1,"",IF(AND($G412="IKS",ISNUMBER(INDEX(TblClusters[Fermeture retenue],$B412))),IF($E412&gt;=INDEX(TblClusters[Fermeture retenue],$B412),1,0),0))</f>
        <v/>
      </c>
    </row>
    <row r="413" customFormat="false" ht="15" hidden="false" customHeight="false" outlineLevel="0" collapsed="false">
      <c r="A413" s="14" t="n">
        <v>408</v>
      </c>
      <c r="B413" s="14" t="n">
        <f aca="false">INT(($A413-1)/36)+1</f>
        <v>12</v>
      </c>
      <c r="C413" s="14" t="n">
        <f aca="false">MOD($A413-1,36)+1</f>
        <v>12</v>
      </c>
      <c r="D413" s="14" t="n">
        <f aca="false">IF($C413&gt;p_horizon,0,IFERROR(IF(AND(INDEX(TblClusters[Cluster],$B413)&lt;&gt;"",ISNUMBER(INDEX(TblClusters[CPU initial (vCPU)],$B413)),ISNUMBER(INDEX(TblClusters[CPU min (vCPU)],$B413)),OR(INDEX(TblClusters[Plateforme],$B413)="IKS",INDEX(TblClusters[Plateforme],$B413)="ROKS")),1,0),0))</f>
        <v>0</v>
      </c>
      <c r="E413" s="83" t="str">
        <f aca="false">IF($D413=1,EDATE(p_debut,$C413-1),"")</f>
        <v/>
      </c>
      <c r="F413" s="14" t="str">
        <f aca="false">IF($D413=1,INDEX(TblClusters[Cluster],$B413),"")</f>
        <v/>
      </c>
      <c r="G413" s="14" t="str">
        <f aca="false">IF($D413=1,INDEX(TblClusters[Plateforme],$B413),"")</f>
        <v/>
      </c>
      <c r="H413" s="14" t="str">
        <f aca="false">IF($D413=1,INDEX(TblClusters[vCPU par nœud],$B413),"")</f>
        <v/>
      </c>
      <c r="I413" s="14" t="str">
        <f aca="false">IF($D413=1,INDEX(TblClusters[RAM par nœud (Go)],$B413),"")</f>
        <v/>
      </c>
      <c r="J413" s="14" t="str">
        <f aca="false">IF($D413=1,INDEX(TblClusters[Workers min],$B413),"")</f>
        <v/>
      </c>
      <c r="K413" s="84" t="str">
        <f aca="false">IF($D413=1,INDEX(TblClusters[Tarif par nœud],$B413),"")</f>
        <v/>
      </c>
      <c r="L413" s="14" t="str">
        <f aca="false">IF($D413=1,INDEX(TblClusters[CPU initial (vCPU)],$B413),"")</f>
        <v/>
      </c>
      <c r="M413" s="14" t="str">
        <f aca="false">IF($D413=1,INDEX(TblClusters[RAM initiale (Go)],$B413),"")</f>
        <v/>
      </c>
      <c r="N413" s="14" t="str">
        <f aca="false">IF($D413=1,INDEX(TblClusters[CPU min (vCPU)],$B413),"")</f>
        <v/>
      </c>
      <c r="O413" s="14" t="str">
        <f aca="false">IF($D413=1,INDEX(TblClusters[RAM min (Go)],$B413),"")</f>
        <v/>
      </c>
      <c r="P413" s="14" t="str">
        <f aca="false">IF($D413&lt;&gt;1,"",IF($G413="ROKS",SUMIFS(TblApplications[Besoin ROKS CPU (vCPU)],TblApplications[Cluster ROKS cible],$F413,TblApplications[Action],"À migrer",TblApplications[Déjà incluse ROKS],"Non",TblApplications[Mois prov (calc)],"&lt;="&amp;$E413),SUMIFS(TblApplications[CPU IKS libérable (vCPU)],TblApplications[Cluster IKS source],$F413,TblApplications[Mois lib (calc)],"&lt;="&amp;$E413)))</f>
        <v/>
      </c>
      <c r="Q413" s="14" t="str">
        <f aca="false">IF($D413&lt;&gt;1,"",IF($G413="ROKS",SUMIFS(TblApplications[Besoin ROKS RAM (Go)],TblApplications[Cluster ROKS cible],$F413,TblApplications[Action],"À migrer",TblApplications[Déjà incluse ROKS],"Non",TblApplications[Mois prov (calc)],"&lt;="&amp;$E413),SUMIFS(TblApplications[RAM IKS libérable (Go)],TblApplications[Cluster IKS source],$F413,TblApplications[Mois lib (calc)],"&lt;="&amp;$E413)))</f>
        <v/>
      </c>
      <c r="R413" s="14" t="str">
        <f aca="false">IF($D413&lt;&gt;1,"",IF($G413="ROKS",$L413+$P413,IF($AI413=1,0,MAX($N413,$L413-$P413))))</f>
        <v/>
      </c>
      <c r="S413" s="14" t="str">
        <f aca="false">IF($D413&lt;&gt;1,"",IF($G413="ROKS",$M413+$Q413,IF($AI413=1,0,MAX($O413,$M413-$Q413))))</f>
        <v/>
      </c>
      <c r="T413" s="14" t="str">
        <f aca="false">IF($D413&lt;&gt;1,"",IF($AI413=1,0,MAX($J413,ROUNDUP(MAX($R413/$H413,$S413/$I413),0))))</f>
        <v/>
      </c>
      <c r="U413" s="14" t="str">
        <f aca="false">IF($D413&lt;&gt;1,"",IF(p_mode="Nœud",$T413*$H413,$R413))</f>
        <v/>
      </c>
      <c r="V413" s="14" t="str">
        <f aca="false">IF($D413&lt;&gt;1,"",IF(p_mode="Nœud",$T413*$I413,$S413))</f>
        <v/>
      </c>
      <c r="W413" s="84" t="str">
        <f aca="false">IF($D413&lt;&gt;1,"",IF(p_mode="Nœud",$T413*$K413,$R413*IF($G413="IKS",p_iks_cpu,p_roks_cpu)+$S413*IF($G413="IKS",p_iks_ram,p_roks_ram))*p_facteur)</f>
        <v/>
      </c>
      <c r="X413" s="14" t="str">
        <f aca="false">IF($D413&lt;&gt;1,"",IF($G413="ROKS",$R413,IF($AI413=1,0,MAX($N413,$L413-SUMIFS(TblApplications[CPU IKS libérable (vCPU)],TblApplications[Cluster IKS source],$F413,TblApplications[Action],"À migrer",TblApplications[Mois prov (calc)],"&lt;="&amp;$E413)-SUMIFS(TblApplications[CPU IKS libérable (vCPU)],TblApplications[Cluster IKS source],$F413,TblApplications[Action],"À décommissionner",TblApplications[Mois lib (calc)],"&lt;="&amp;$E413)))))</f>
        <v/>
      </c>
      <c r="Y413" s="14" t="str">
        <f aca="false">IF($D413&lt;&gt;1,"",IF($G413="ROKS",$S413,IF($AI413=1,0,MAX($O413,$M413-SUMIFS(TblApplications[RAM IKS libérable (Go)],TblApplications[Cluster IKS source],$F413,TblApplications[Action],"À migrer",TblApplications[Mois prov (calc)],"&lt;="&amp;$E413)-SUMIFS(TblApplications[RAM IKS libérable (Go)],TblApplications[Cluster IKS source],$F413,TblApplications[Action],"À décommissionner",TblApplications[Mois lib (calc)],"&lt;="&amp;$E413)))))</f>
        <v/>
      </c>
      <c r="Z413" s="14" t="str">
        <f aca="false">IF($D413&lt;&gt;1,"",IF($AI413=1,0,MAX($J413,ROUNDUP(MAX($X413/$H413,$Y413/$I413),0))))</f>
        <v/>
      </c>
      <c r="AA413" s="84" t="str">
        <f aca="false">IF($D413&lt;&gt;1,"",IF(p_mode="Nœud",$Z413*$K413,$X413*IF($G413="IKS",p_iks_cpu,p_roks_cpu)+$Y413*IF($G413="IKS",p_iks_ram,p_roks_ram))*p_facteur)</f>
        <v/>
      </c>
      <c r="AB413" s="14" t="str">
        <f aca="false">IF($D413&lt;&gt;1,"",MAX($J413,ROUNDUP(MAX($L413/$H413,$M413/$I413),0)))</f>
        <v/>
      </c>
      <c r="AC413" s="84" t="str">
        <f aca="false">IF($D413&lt;&gt;1,"",IF(p_mode="Nœud",$AB413*$K413,$L413*IF($G413="IKS",p_iks_cpu,p_roks_cpu)+$M413*IF($G413="IKS",p_iks_ram,p_roks_ram))*p_facteur)</f>
        <v/>
      </c>
      <c r="AD413" s="14" t="str">
        <f aca="false">IF($D413&lt;&gt;1,"",IF(AND($G413="IKS",$AI413&lt;&gt;1,OR($L413-$P413&lt;$N413,$M413-$Q413&lt;$O413)),1,0))</f>
        <v/>
      </c>
      <c r="AE413" s="14" t="str">
        <f aca="false">IF($D413&lt;&gt;1,"",IF(AND($G413="ROKS",$T413&gt;p_maxworkers),1,0))</f>
        <v/>
      </c>
      <c r="AF413" s="14" t="str">
        <f aca="false">IF($D413&lt;&gt;1,"",IF(INDEX(TblClusters[Environnement],$B413)="","(vide)",INDEX(TblClusters[Environnement],$B413)))</f>
        <v/>
      </c>
      <c r="AG413" s="14" t="str">
        <f aca="false">IF($D413&lt;&gt;1,"",$R413+p_poidsram*$S413)</f>
        <v/>
      </c>
      <c r="AH413" s="14" t="str">
        <f aca="false">IF($D413&lt;&gt;1,"",IFERROR($W413/$AG413,0))</f>
        <v/>
      </c>
      <c r="AI413" s="14" t="str">
        <f aca="false">IF($D413&lt;&gt;1,"",IF(AND($G413="IKS",ISNUMBER(INDEX(TblClusters[Fermeture retenue],$B413))),IF($E413&gt;=INDEX(TblClusters[Fermeture retenue],$B413),1,0),0))</f>
        <v/>
      </c>
    </row>
    <row r="414" customFormat="false" ht="15" hidden="false" customHeight="false" outlineLevel="0" collapsed="false">
      <c r="A414" s="14" t="n">
        <v>409</v>
      </c>
      <c r="B414" s="14" t="n">
        <f aca="false">INT(($A414-1)/36)+1</f>
        <v>12</v>
      </c>
      <c r="C414" s="14" t="n">
        <f aca="false">MOD($A414-1,36)+1</f>
        <v>13</v>
      </c>
      <c r="D414" s="14" t="n">
        <f aca="false">IF($C414&gt;p_horizon,0,IFERROR(IF(AND(INDEX(TblClusters[Cluster],$B414)&lt;&gt;"",ISNUMBER(INDEX(TblClusters[CPU initial (vCPU)],$B414)),ISNUMBER(INDEX(TblClusters[CPU min (vCPU)],$B414)),OR(INDEX(TblClusters[Plateforme],$B414)="IKS",INDEX(TblClusters[Plateforme],$B414)="ROKS")),1,0),0))</f>
        <v>0</v>
      </c>
      <c r="E414" s="83" t="str">
        <f aca="false">IF($D414=1,EDATE(p_debut,$C414-1),"")</f>
        <v/>
      </c>
      <c r="F414" s="14" t="str">
        <f aca="false">IF($D414=1,INDEX(TblClusters[Cluster],$B414),"")</f>
        <v/>
      </c>
      <c r="G414" s="14" t="str">
        <f aca="false">IF($D414=1,INDEX(TblClusters[Plateforme],$B414),"")</f>
        <v/>
      </c>
      <c r="H414" s="14" t="str">
        <f aca="false">IF($D414=1,INDEX(TblClusters[vCPU par nœud],$B414),"")</f>
        <v/>
      </c>
      <c r="I414" s="14" t="str">
        <f aca="false">IF($D414=1,INDEX(TblClusters[RAM par nœud (Go)],$B414),"")</f>
        <v/>
      </c>
      <c r="J414" s="14" t="str">
        <f aca="false">IF($D414=1,INDEX(TblClusters[Workers min],$B414),"")</f>
        <v/>
      </c>
      <c r="K414" s="84" t="str">
        <f aca="false">IF($D414=1,INDEX(TblClusters[Tarif par nœud],$B414),"")</f>
        <v/>
      </c>
      <c r="L414" s="14" t="str">
        <f aca="false">IF($D414=1,INDEX(TblClusters[CPU initial (vCPU)],$B414),"")</f>
        <v/>
      </c>
      <c r="M414" s="14" t="str">
        <f aca="false">IF($D414=1,INDEX(TblClusters[RAM initiale (Go)],$B414),"")</f>
        <v/>
      </c>
      <c r="N414" s="14" t="str">
        <f aca="false">IF($D414=1,INDEX(TblClusters[CPU min (vCPU)],$B414),"")</f>
        <v/>
      </c>
      <c r="O414" s="14" t="str">
        <f aca="false">IF($D414=1,INDEX(TblClusters[RAM min (Go)],$B414),"")</f>
        <v/>
      </c>
      <c r="P414" s="14" t="str">
        <f aca="false">IF($D414&lt;&gt;1,"",IF($G414="ROKS",SUMIFS(TblApplications[Besoin ROKS CPU (vCPU)],TblApplications[Cluster ROKS cible],$F414,TblApplications[Action],"À migrer",TblApplications[Déjà incluse ROKS],"Non",TblApplications[Mois prov (calc)],"&lt;="&amp;$E414),SUMIFS(TblApplications[CPU IKS libérable (vCPU)],TblApplications[Cluster IKS source],$F414,TblApplications[Mois lib (calc)],"&lt;="&amp;$E414)))</f>
        <v/>
      </c>
      <c r="Q414" s="14" t="str">
        <f aca="false">IF($D414&lt;&gt;1,"",IF($G414="ROKS",SUMIFS(TblApplications[Besoin ROKS RAM (Go)],TblApplications[Cluster ROKS cible],$F414,TblApplications[Action],"À migrer",TblApplications[Déjà incluse ROKS],"Non",TblApplications[Mois prov (calc)],"&lt;="&amp;$E414),SUMIFS(TblApplications[RAM IKS libérable (Go)],TblApplications[Cluster IKS source],$F414,TblApplications[Mois lib (calc)],"&lt;="&amp;$E414)))</f>
        <v/>
      </c>
      <c r="R414" s="14" t="str">
        <f aca="false">IF($D414&lt;&gt;1,"",IF($G414="ROKS",$L414+$P414,IF($AI414=1,0,MAX($N414,$L414-$P414))))</f>
        <v/>
      </c>
      <c r="S414" s="14" t="str">
        <f aca="false">IF($D414&lt;&gt;1,"",IF($G414="ROKS",$M414+$Q414,IF($AI414=1,0,MAX($O414,$M414-$Q414))))</f>
        <v/>
      </c>
      <c r="T414" s="14" t="str">
        <f aca="false">IF($D414&lt;&gt;1,"",IF($AI414=1,0,MAX($J414,ROUNDUP(MAX($R414/$H414,$S414/$I414),0))))</f>
        <v/>
      </c>
      <c r="U414" s="14" t="str">
        <f aca="false">IF($D414&lt;&gt;1,"",IF(p_mode="Nœud",$T414*$H414,$R414))</f>
        <v/>
      </c>
      <c r="V414" s="14" t="str">
        <f aca="false">IF($D414&lt;&gt;1,"",IF(p_mode="Nœud",$T414*$I414,$S414))</f>
        <v/>
      </c>
      <c r="W414" s="84" t="str">
        <f aca="false">IF($D414&lt;&gt;1,"",IF(p_mode="Nœud",$T414*$K414,$R414*IF($G414="IKS",p_iks_cpu,p_roks_cpu)+$S414*IF($G414="IKS",p_iks_ram,p_roks_ram))*p_facteur)</f>
        <v/>
      </c>
      <c r="X414" s="14" t="str">
        <f aca="false">IF($D414&lt;&gt;1,"",IF($G414="ROKS",$R414,IF($AI414=1,0,MAX($N414,$L414-SUMIFS(TblApplications[CPU IKS libérable (vCPU)],TblApplications[Cluster IKS source],$F414,TblApplications[Action],"À migrer",TblApplications[Mois prov (calc)],"&lt;="&amp;$E414)-SUMIFS(TblApplications[CPU IKS libérable (vCPU)],TblApplications[Cluster IKS source],$F414,TblApplications[Action],"À décommissionner",TblApplications[Mois lib (calc)],"&lt;="&amp;$E414)))))</f>
        <v/>
      </c>
      <c r="Y414" s="14" t="str">
        <f aca="false">IF($D414&lt;&gt;1,"",IF($G414="ROKS",$S414,IF($AI414=1,0,MAX($O414,$M414-SUMIFS(TblApplications[RAM IKS libérable (Go)],TblApplications[Cluster IKS source],$F414,TblApplications[Action],"À migrer",TblApplications[Mois prov (calc)],"&lt;="&amp;$E414)-SUMIFS(TblApplications[RAM IKS libérable (Go)],TblApplications[Cluster IKS source],$F414,TblApplications[Action],"À décommissionner",TblApplications[Mois lib (calc)],"&lt;="&amp;$E414)))))</f>
        <v/>
      </c>
      <c r="Z414" s="14" t="str">
        <f aca="false">IF($D414&lt;&gt;1,"",IF($AI414=1,0,MAX($J414,ROUNDUP(MAX($X414/$H414,$Y414/$I414),0))))</f>
        <v/>
      </c>
      <c r="AA414" s="84" t="str">
        <f aca="false">IF($D414&lt;&gt;1,"",IF(p_mode="Nœud",$Z414*$K414,$X414*IF($G414="IKS",p_iks_cpu,p_roks_cpu)+$Y414*IF($G414="IKS",p_iks_ram,p_roks_ram))*p_facteur)</f>
        <v/>
      </c>
      <c r="AB414" s="14" t="str">
        <f aca="false">IF($D414&lt;&gt;1,"",MAX($J414,ROUNDUP(MAX($L414/$H414,$M414/$I414),0)))</f>
        <v/>
      </c>
      <c r="AC414" s="84" t="str">
        <f aca="false">IF($D414&lt;&gt;1,"",IF(p_mode="Nœud",$AB414*$K414,$L414*IF($G414="IKS",p_iks_cpu,p_roks_cpu)+$M414*IF($G414="IKS",p_iks_ram,p_roks_ram))*p_facteur)</f>
        <v/>
      </c>
      <c r="AD414" s="14" t="str">
        <f aca="false">IF($D414&lt;&gt;1,"",IF(AND($G414="IKS",$AI414&lt;&gt;1,OR($L414-$P414&lt;$N414,$M414-$Q414&lt;$O414)),1,0))</f>
        <v/>
      </c>
      <c r="AE414" s="14" t="str">
        <f aca="false">IF($D414&lt;&gt;1,"",IF(AND($G414="ROKS",$T414&gt;p_maxworkers),1,0))</f>
        <v/>
      </c>
      <c r="AF414" s="14" t="str">
        <f aca="false">IF($D414&lt;&gt;1,"",IF(INDEX(TblClusters[Environnement],$B414)="","(vide)",INDEX(TblClusters[Environnement],$B414)))</f>
        <v/>
      </c>
      <c r="AG414" s="14" t="str">
        <f aca="false">IF($D414&lt;&gt;1,"",$R414+p_poidsram*$S414)</f>
        <v/>
      </c>
      <c r="AH414" s="14" t="str">
        <f aca="false">IF($D414&lt;&gt;1,"",IFERROR($W414/$AG414,0))</f>
        <v/>
      </c>
      <c r="AI414" s="14" t="str">
        <f aca="false">IF($D414&lt;&gt;1,"",IF(AND($G414="IKS",ISNUMBER(INDEX(TblClusters[Fermeture retenue],$B414))),IF($E414&gt;=INDEX(TblClusters[Fermeture retenue],$B414),1,0),0))</f>
        <v/>
      </c>
    </row>
    <row r="415" customFormat="false" ht="15" hidden="false" customHeight="false" outlineLevel="0" collapsed="false">
      <c r="A415" s="14" t="n">
        <v>410</v>
      </c>
      <c r="B415" s="14" t="n">
        <f aca="false">INT(($A415-1)/36)+1</f>
        <v>12</v>
      </c>
      <c r="C415" s="14" t="n">
        <f aca="false">MOD($A415-1,36)+1</f>
        <v>14</v>
      </c>
      <c r="D415" s="14" t="n">
        <f aca="false">IF($C415&gt;p_horizon,0,IFERROR(IF(AND(INDEX(TblClusters[Cluster],$B415)&lt;&gt;"",ISNUMBER(INDEX(TblClusters[CPU initial (vCPU)],$B415)),ISNUMBER(INDEX(TblClusters[CPU min (vCPU)],$B415)),OR(INDEX(TblClusters[Plateforme],$B415)="IKS",INDEX(TblClusters[Plateforme],$B415)="ROKS")),1,0),0))</f>
        <v>0</v>
      </c>
      <c r="E415" s="83" t="str">
        <f aca="false">IF($D415=1,EDATE(p_debut,$C415-1),"")</f>
        <v/>
      </c>
      <c r="F415" s="14" t="str">
        <f aca="false">IF($D415=1,INDEX(TblClusters[Cluster],$B415),"")</f>
        <v/>
      </c>
      <c r="G415" s="14" t="str">
        <f aca="false">IF($D415=1,INDEX(TblClusters[Plateforme],$B415),"")</f>
        <v/>
      </c>
      <c r="H415" s="14" t="str">
        <f aca="false">IF($D415=1,INDEX(TblClusters[vCPU par nœud],$B415),"")</f>
        <v/>
      </c>
      <c r="I415" s="14" t="str">
        <f aca="false">IF($D415=1,INDEX(TblClusters[RAM par nœud (Go)],$B415),"")</f>
        <v/>
      </c>
      <c r="J415" s="14" t="str">
        <f aca="false">IF($D415=1,INDEX(TblClusters[Workers min],$B415),"")</f>
        <v/>
      </c>
      <c r="K415" s="84" t="str">
        <f aca="false">IF($D415=1,INDEX(TblClusters[Tarif par nœud],$B415),"")</f>
        <v/>
      </c>
      <c r="L415" s="14" t="str">
        <f aca="false">IF($D415=1,INDEX(TblClusters[CPU initial (vCPU)],$B415),"")</f>
        <v/>
      </c>
      <c r="M415" s="14" t="str">
        <f aca="false">IF($D415=1,INDEX(TblClusters[RAM initiale (Go)],$B415),"")</f>
        <v/>
      </c>
      <c r="N415" s="14" t="str">
        <f aca="false">IF($D415=1,INDEX(TblClusters[CPU min (vCPU)],$B415),"")</f>
        <v/>
      </c>
      <c r="O415" s="14" t="str">
        <f aca="false">IF($D415=1,INDEX(TblClusters[RAM min (Go)],$B415),"")</f>
        <v/>
      </c>
      <c r="P415" s="14" t="str">
        <f aca="false">IF($D415&lt;&gt;1,"",IF($G415="ROKS",SUMIFS(TblApplications[Besoin ROKS CPU (vCPU)],TblApplications[Cluster ROKS cible],$F415,TblApplications[Action],"À migrer",TblApplications[Déjà incluse ROKS],"Non",TblApplications[Mois prov (calc)],"&lt;="&amp;$E415),SUMIFS(TblApplications[CPU IKS libérable (vCPU)],TblApplications[Cluster IKS source],$F415,TblApplications[Mois lib (calc)],"&lt;="&amp;$E415)))</f>
        <v/>
      </c>
      <c r="Q415" s="14" t="str">
        <f aca="false">IF($D415&lt;&gt;1,"",IF($G415="ROKS",SUMIFS(TblApplications[Besoin ROKS RAM (Go)],TblApplications[Cluster ROKS cible],$F415,TblApplications[Action],"À migrer",TblApplications[Déjà incluse ROKS],"Non",TblApplications[Mois prov (calc)],"&lt;="&amp;$E415),SUMIFS(TblApplications[RAM IKS libérable (Go)],TblApplications[Cluster IKS source],$F415,TblApplications[Mois lib (calc)],"&lt;="&amp;$E415)))</f>
        <v/>
      </c>
      <c r="R415" s="14" t="str">
        <f aca="false">IF($D415&lt;&gt;1,"",IF($G415="ROKS",$L415+$P415,IF($AI415=1,0,MAX($N415,$L415-$P415))))</f>
        <v/>
      </c>
      <c r="S415" s="14" t="str">
        <f aca="false">IF($D415&lt;&gt;1,"",IF($G415="ROKS",$M415+$Q415,IF($AI415=1,0,MAX($O415,$M415-$Q415))))</f>
        <v/>
      </c>
      <c r="T415" s="14" t="str">
        <f aca="false">IF($D415&lt;&gt;1,"",IF($AI415=1,0,MAX($J415,ROUNDUP(MAX($R415/$H415,$S415/$I415),0))))</f>
        <v/>
      </c>
      <c r="U415" s="14" t="str">
        <f aca="false">IF($D415&lt;&gt;1,"",IF(p_mode="Nœud",$T415*$H415,$R415))</f>
        <v/>
      </c>
      <c r="V415" s="14" t="str">
        <f aca="false">IF($D415&lt;&gt;1,"",IF(p_mode="Nœud",$T415*$I415,$S415))</f>
        <v/>
      </c>
      <c r="W415" s="84" t="str">
        <f aca="false">IF($D415&lt;&gt;1,"",IF(p_mode="Nœud",$T415*$K415,$R415*IF($G415="IKS",p_iks_cpu,p_roks_cpu)+$S415*IF($G415="IKS",p_iks_ram,p_roks_ram))*p_facteur)</f>
        <v/>
      </c>
      <c r="X415" s="14" t="str">
        <f aca="false">IF($D415&lt;&gt;1,"",IF($G415="ROKS",$R415,IF($AI415=1,0,MAX($N415,$L415-SUMIFS(TblApplications[CPU IKS libérable (vCPU)],TblApplications[Cluster IKS source],$F415,TblApplications[Action],"À migrer",TblApplications[Mois prov (calc)],"&lt;="&amp;$E415)-SUMIFS(TblApplications[CPU IKS libérable (vCPU)],TblApplications[Cluster IKS source],$F415,TblApplications[Action],"À décommissionner",TblApplications[Mois lib (calc)],"&lt;="&amp;$E415)))))</f>
        <v/>
      </c>
      <c r="Y415" s="14" t="str">
        <f aca="false">IF($D415&lt;&gt;1,"",IF($G415="ROKS",$S415,IF($AI415=1,0,MAX($O415,$M415-SUMIFS(TblApplications[RAM IKS libérable (Go)],TblApplications[Cluster IKS source],$F415,TblApplications[Action],"À migrer",TblApplications[Mois prov (calc)],"&lt;="&amp;$E415)-SUMIFS(TblApplications[RAM IKS libérable (Go)],TblApplications[Cluster IKS source],$F415,TblApplications[Action],"À décommissionner",TblApplications[Mois lib (calc)],"&lt;="&amp;$E415)))))</f>
        <v/>
      </c>
      <c r="Z415" s="14" t="str">
        <f aca="false">IF($D415&lt;&gt;1,"",IF($AI415=1,0,MAX($J415,ROUNDUP(MAX($X415/$H415,$Y415/$I415),0))))</f>
        <v/>
      </c>
      <c r="AA415" s="84" t="str">
        <f aca="false">IF($D415&lt;&gt;1,"",IF(p_mode="Nœud",$Z415*$K415,$X415*IF($G415="IKS",p_iks_cpu,p_roks_cpu)+$Y415*IF($G415="IKS",p_iks_ram,p_roks_ram))*p_facteur)</f>
        <v/>
      </c>
      <c r="AB415" s="14" t="str">
        <f aca="false">IF($D415&lt;&gt;1,"",MAX($J415,ROUNDUP(MAX($L415/$H415,$M415/$I415),0)))</f>
        <v/>
      </c>
      <c r="AC415" s="84" t="str">
        <f aca="false">IF($D415&lt;&gt;1,"",IF(p_mode="Nœud",$AB415*$K415,$L415*IF($G415="IKS",p_iks_cpu,p_roks_cpu)+$M415*IF($G415="IKS",p_iks_ram,p_roks_ram))*p_facteur)</f>
        <v/>
      </c>
      <c r="AD415" s="14" t="str">
        <f aca="false">IF($D415&lt;&gt;1,"",IF(AND($G415="IKS",$AI415&lt;&gt;1,OR($L415-$P415&lt;$N415,$M415-$Q415&lt;$O415)),1,0))</f>
        <v/>
      </c>
      <c r="AE415" s="14" t="str">
        <f aca="false">IF($D415&lt;&gt;1,"",IF(AND($G415="ROKS",$T415&gt;p_maxworkers),1,0))</f>
        <v/>
      </c>
      <c r="AF415" s="14" t="str">
        <f aca="false">IF($D415&lt;&gt;1,"",IF(INDEX(TblClusters[Environnement],$B415)="","(vide)",INDEX(TblClusters[Environnement],$B415)))</f>
        <v/>
      </c>
      <c r="AG415" s="14" t="str">
        <f aca="false">IF($D415&lt;&gt;1,"",$R415+p_poidsram*$S415)</f>
        <v/>
      </c>
      <c r="AH415" s="14" t="str">
        <f aca="false">IF($D415&lt;&gt;1,"",IFERROR($W415/$AG415,0))</f>
        <v/>
      </c>
      <c r="AI415" s="14" t="str">
        <f aca="false">IF($D415&lt;&gt;1,"",IF(AND($G415="IKS",ISNUMBER(INDEX(TblClusters[Fermeture retenue],$B415))),IF($E415&gt;=INDEX(TblClusters[Fermeture retenue],$B415),1,0),0))</f>
        <v/>
      </c>
    </row>
    <row r="416" customFormat="false" ht="15" hidden="false" customHeight="false" outlineLevel="0" collapsed="false">
      <c r="A416" s="14" t="n">
        <v>411</v>
      </c>
      <c r="B416" s="14" t="n">
        <f aca="false">INT(($A416-1)/36)+1</f>
        <v>12</v>
      </c>
      <c r="C416" s="14" t="n">
        <f aca="false">MOD($A416-1,36)+1</f>
        <v>15</v>
      </c>
      <c r="D416" s="14" t="n">
        <f aca="false">IF($C416&gt;p_horizon,0,IFERROR(IF(AND(INDEX(TblClusters[Cluster],$B416)&lt;&gt;"",ISNUMBER(INDEX(TblClusters[CPU initial (vCPU)],$B416)),ISNUMBER(INDEX(TblClusters[CPU min (vCPU)],$B416)),OR(INDEX(TblClusters[Plateforme],$B416)="IKS",INDEX(TblClusters[Plateforme],$B416)="ROKS")),1,0),0))</f>
        <v>0</v>
      </c>
      <c r="E416" s="83" t="str">
        <f aca="false">IF($D416=1,EDATE(p_debut,$C416-1),"")</f>
        <v/>
      </c>
      <c r="F416" s="14" t="str">
        <f aca="false">IF($D416=1,INDEX(TblClusters[Cluster],$B416),"")</f>
        <v/>
      </c>
      <c r="G416" s="14" t="str">
        <f aca="false">IF($D416=1,INDEX(TblClusters[Plateforme],$B416),"")</f>
        <v/>
      </c>
      <c r="H416" s="14" t="str">
        <f aca="false">IF($D416=1,INDEX(TblClusters[vCPU par nœud],$B416),"")</f>
        <v/>
      </c>
      <c r="I416" s="14" t="str">
        <f aca="false">IF($D416=1,INDEX(TblClusters[RAM par nœud (Go)],$B416),"")</f>
        <v/>
      </c>
      <c r="J416" s="14" t="str">
        <f aca="false">IF($D416=1,INDEX(TblClusters[Workers min],$B416),"")</f>
        <v/>
      </c>
      <c r="K416" s="84" t="str">
        <f aca="false">IF($D416=1,INDEX(TblClusters[Tarif par nœud],$B416),"")</f>
        <v/>
      </c>
      <c r="L416" s="14" t="str">
        <f aca="false">IF($D416=1,INDEX(TblClusters[CPU initial (vCPU)],$B416),"")</f>
        <v/>
      </c>
      <c r="M416" s="14" t="str">
        <f aca="false">IF($D416=1,INDEX(TblClusters[RAM initiale (Go)],$B416),"")</f>
        <v/>
      </c>
      <c r="N416" s="14" t="str">
        <f aca="false">IF($D416=1,INDEX(TblClusters[CPU min (vCPU)],$B416),"")</f>
        <v/>
      </c>
      <c r="O416" s="14" t="str">
        <f aca="false">IF($D416=1,INDEX(TblClusters[RAM min (Go)],$B416),"")</f>
        <v/>
      </c>
      <c r="P416" s="14" t="str">
        <f aca="false">IF($D416&lt;&gt;1,"",IF($G416="ROKS",SUMIFS(TblApplications[Besoin ROKS CPU (vCPU)],TblApplications[Cluster ROKS cible],$F416,TblApplications[Action],"À migrer",TblApplications[Déjà incluse ROKS],"Non",TblApplications[Mois prov (calc)],"&lt;="&amp;$E416),SUMIFS(TblApplications[CPU IKS libérable (vCPU)],TblApplications[Cluster IKS source],$F416,TblApplications[Mois lib (calc)],"&lt;="&amp;$E416)))</f>
        <v/>
      </c>
      <c r="Q416" s="14" t="str">
        <f aca="false">IF($D416&lt;&gt;1,"",IF($G416="ROKS",SUMIFS(TblApplications[Besoin ROKS RAM (Go)],TblApplications[Cluster ROKS cible],$F416,TblApplications[Action],"À migrer",TblApplications[Déjà incluse ROKS],"Non",TblApplications[Mois prov (calc)],"&lt;="&amp;$E416),SUMIFS(TblApplications[RAM IKS libérable (Go)],TblApplications[Cluster IKS source],$F416,TblApplications[Mois lib (calc)],"&lt;="&amp;$E416)))</f>
        <v/>
      </c>
      <c r="R416" s="14" t="str">
        <f aca="false">IF($D416&lt;&gt;1,"",IF($G416="ROKS",$L416+$P416,IF($AI416=1,0,MAX($N416,$L416-$P416))))</f>
        <v/>
      </c>
      <c r="S416" s="14" t="str">
        <f aca="false">IF($D416&lt;&gt;1,"",IF($G416="ROKS",$M416+$Q416,IF($AI416=1,0,MAX($O416,$M416-$Q416))))</f>
        <v/>
      </c>
      <c r="T416" s="14" t="str">
        <f aca="false">IF($D416&lt;&gt;1,"",IF($AI416=1,0,MAX($J416,ROUNDUP(MAX($R416/$H416,$S416/$I416),0))))</f>
        <v/>
      </c>
      <c r="U416" s="14" t="str">
        <f aca="false">IF($D416&lt;&gt;1,"",IF(p_mode="Nœud",$T416*$H416,$R416))</f>
        <v/>
      </c>
      <c r="V416" s="14" t="str">
        <f aca="false">IF($D416&lt;&gt;1,"",IF(p_mode="Nœud",$T416*$I416,$S416))</f>
        <v/>
      </c>
      <c r="W416" s="84" t="str">
        <f aca="false">IF($D416&lt;&gt;1,"",IF(p_mode="Nœud",$T416*$K416,$R416*IF($G416="IKS",p_iks_cpu,p_roks_cpu)+$S416*IF($G416="IKS",p_iks_ram,p_roks_ram))*p_facteur)</f>
        <v/>
      </c>
      <c r="X416" s="14" t="str">
        <f aca="false">IF($D416&lt;&gt;1,"",IF($G416="ROKS",$R416,IF($AI416=1,0,MAX($N416,$L416-SUMIFS(TblApplications[CPU IKS libérable (vCPU)],TblApplications[Cluster IKS source],$F416,TblApplications[Action],"À migrer",TblApplications[Mois prov (calc)],"&lt;="&amp;$E416)-SUMIFS(TblApplications[CPU IKS libérable (vCPU)],TblApplications[Cluster IKS source],$F416,TblApplications[Action],"À décommissionner",TblApplications[Mois lib (calc)],"&lt;="&amp;$E416)))))</f>
        <v/>
      </c>
      <c r="Y416" s="14" t="str">
        <f aca="false">IF($D416&lt;&gt;1,"",IF($G416="ROKS",$S416,IF($AI416=1,0,MAX($O416,$M416-SUMIFS(TblApplications[RAM IKS libérable (Go)],TblApplications[Cluster IKS source],$F416,TblApplications[Action],"À migrer",TblApplications[Mois prov (calc)],"&lt;="&amp;$E416)-SUMIFS(TblApplications[RAM IKS libérable (Go)],TblApplications[Cluster IKS source],$F416,TblApplications[Action],"À décommissionner",TblApplications[Mois lib (calc)],"&lt;="&amp;$E416)))))</f>
        <v/>
      </c>
      <c r="Z416" s="14" t="str">
        <f aca="false">IF($D416&lt;&gt;1,"",IF($AI416=1,0,MAX($J416,ROUNDUP(MAX($X416/$H416,$Y416/$I416),0))))</f>
        <v/>
      </c>
      <c r="AA416" s="84" t="str">
        <f aca="false">IF($D416&lt;&gt;1,"",IF(p_mode="Nœud",$Z416*$K416,$X416*IF($G416="IKS",p_iks_cpu,p_roks_cpu)+$Y416*IF($G416="IKS",p_iks_ram,p_roks_ram))*p_facteur)</f>
        <v/>
      </c>
      <c r="AB416" s="14" t="str">
        <f aca="false">IF($D416&lt;&gt;1,"",MAX($J416,ROUNDUP(MAX($L416/$H416,$M416/$I416),0)))</f>
        <v/>
      </c>
      <c r="AC416" s="84" t="str">
        <f aca="false">IF($D416&lt;&gt;1,"",IF(p_mode="Nœud",$AB416*$K416,$L416*IF($G416="IKS",p_iks_cpu,p_roks_cpu)+$M416*IF($G416="IKS",p_iks_ram,p_roks_ram))*p_facteur)</f>
        <v/>
      </c>
      <c r="AD416" s="14" t="str">
        <f aca="false">IF($D416&lt;&gt;1,"",IF(AND($G416="IKS",$AI416&lt;&gt;1,OR($L416-$P416&lt;$N416,$M416-$Q416&lt;$O416)),1,0))</f>
        <v/>
      </c>
      <c r="AE416" s="14" t="str">
        <f aca="false">IF($D416&lt;&gt;1,"",IF(AND($G416="ROKS",$T416&gt;p_maxworkers),1,0))</f>
        <v/>
      </c>
      <c r="AF416" s="14" t="str">
        <f aca="false">IF($D416&lt;&gt;1,"",IF(INDEX(TblClusters[Environnement],$B416)="","(vide)",INDEX(TblClusters[Environnement],$B416)))</f>
        <v/>
      </c>
      <c r="AG416" s="14" t="str">
        <f aca="false">IF($D416&lt;&gt;1,"",$R416+p_poidsram*$S416)</f>
        <v/>
      </c>
      <c r="AH416" s="14" t="str">
        <f aca="false">IF($D416&lt;&gt;1,"",IFERROR($W416/$AG416,0))</f>
        <v/>
      </c>
      <c r="AI416" s="14" t="str">
        <f aca="false">IF($D416&lt;&gt;1,"",IF(AND($G416="IKS",ISNUMBER(INDEX(TblClusters[Fermeture retenue],$B416))),IF($E416&gt;=INDEX(TblClusters[Fermeture retenue],$B416),1,0),0))</f>
        <v/>
      </c>
    </row>
    <row r="417" customFormat="false" ht="15" hidden="false" customHeight="false" outlineLevel="0" collapsed="false">
      <c r="A417" s="14" t="n">
        <v>412</v>
      </c>
      <c r="B417" s="14" t="n">
        <f aca="false">INT(($A417-1)/36)+1</f>
        <v>12</v>
      </c>
      <c r="C417" s="14" t="n">
        <f aca="false">MOD($A417-1,36)+1</f>
        <v>16</v>
      </c>
      <c r="D417" s="14" t="n">
        <f aca="false">IF($C417&gt;p_horizon,0,IFERROR(IF(AND(INDEX(TblClusters[Cluster],$B417)&lt;&gt;"",ISNUMBER(INDEX(TblClusters[CPU initial (vCPU)],$B417)),ISNUMBER(INDEX(TblClusters[CPU min (vCPU)],$B417)),OR(INDEX(TblClusters[Plateforme],$B417)="IKS",INDEX(TblClusters[Plateforme],$B417)="ROKS")),1,0),0))</f>
        <v>0</v>
      </c>
      <c r="E417" s="83" t="str">
        <f aca="false">IF($D417=1,EDATE(p_debut,$C417-1),"")</f>
        <v/>
      </c>
      <c r="F417" s="14" t="str">
        <f aca="false">IF($D417=1,INDEX(TblClusters[Cluster],$B417),"")</f>
        <v/>
      </c>
      <c r="G417" s="14" t="str">
        <f aca="false">IF($D417=1,INDEX(TblClusters[Plateforme],$B417),"")</f>
        <v/>
      </c>
      <c r="H417" s="14" t="str">
        <f aca="false">IF($D417=1,INDEX(TblClusters[vCPU par nœud],$B417),"")</f>
        <v/>
      </c>
      <c r="I417" s="14" t="str">
        <f aca="false">IF($D417=1,INDEX(TblClusters[RAM par nœud (Go)],$B417),"")</f>
        <v/>
      </c>
      <c r="J417" s="14" t="str">
        <f aca="false">IF($D417=1,INDEX(TblClusters[Workers min],$B417),"")</f>
        <v/>
      </c>
      <c r="K417" s="84" t="str">
        <f aca="false">IF($D417=1,INDEX(TblClusters[Tarif par nœud],$B417),"")</f>
        <v/>
      </c>
      <c r="L417" s="14" t="str">
        <f aca="false">IF($D417=1,INDEX(TblClusters[CPU initial (vCPU)],$B417),"")</f>
        <v/>
      </c>
      <c r="M417" s="14" t="str">
        <f aca="false">IF($D417=1,INDEX(TblClusters[RAM initiale (Go)],$B417),"")</f>
        <v/>
      </c>
      <c r="N417" s="14" t="str">
        <f aca="false">IF($D417=1,INDEX(TblClusters[CPU min (vCPU)],$B417),"")</f>
        <v/>
      </c>
      <c r="O417" s="14" t="str">
        <f aca="false">IF($D417=1,INDEX(TblClusters[RAM min (Go)],$B417),"")</f>
        <v/>
      </c>
      <c r="P417" s="14" t="str">
        <f aca="false">IF($D417&lt;&gt;1,"",IF($G417="ROKS",SUMIFS(TblApplications[Besoin ROKS CPU (vCPU)],TblApplications[Cluster ROKS cible],$F417,TblApplications[Action],"À migrer",TblApplications[Déjà incluse ROKS],"Non",TblApplications[Mois prov (calc)],"&lt;="&amp;$E417),SUMIFS(TblApplications[CPU IKS libérable (vCPU)],TblApplications[Cluster IKS source],$F417,TblApplications[Mois lib (calc)],"&lt;="&amp;$E417)))</f>
        <v/>
      </c>
      <c r="Q417" s="14" t="str">
        <f aca="false">IF($D417&lt;&gt;1,"",IF($G417="ROKS",SUMIFS(TblApplications[Besoin ROKS RAM (Go)],TblApplications[Cluster ROKS cible],$F417,TblApplications[Action],"À migrer",TblApplications[Déjà incluse ROKS],"Non",TblApplications[Mois prov (calc)],"&lt;="&amp;$E417),SUMIFS(TblApplications[RAM IKS libérable (Go)],TblApplications[Cluster IKS source],$F417,TblApplications[Mois lib (calc)],"&lt;="&amp;$E417)))</f>
        <v/>
      </c>
      <c r="R417" s="14" t="str">
        <f aca="false">IF($D417&lt;&gt;1,"",IF($G417="ROKS",$L417+$P417,IF($AI417=1,0,MAX($N417,$L417-$P417))))</f>
        <v/>
      </c>
      <c r="S417" s="14" t="str">
        <f aca="false">IF($D417&lt;&gt;1,"",IF($G417="ROKS",$M417+$Q417,IF($AI417=1,0,MAX($O417,$M417-$Q417))))</f>
        <v/>
      </c>
      <c r="T417" s="14" t="str">
        <f aca="false">IF($D417&lt;&gt;1,"",IF($AI417=1,0,MAX($J417,ROUNDUP(MAX($R417/$H417,$S417/$I417),0))))</f>
        <v/>
      </c>
      <c r="U417" s="14" t="str">
        <f aca="false">IF($D417&lt;&gt;1,"",IF(p_mode="Nœud",$T417*$H417,$R417))</f>
        <v/>
      </c>
      <c r="V417" s="14" t="str">
        <f aca="false">IF($D417&lt;&gt;1,"",IF(p_mode="Nœud",$T417*$I417,$S417))</f>
        <v/>
      </c>
      <c r="W417" s="84" t="str">
        <f aca="false">IF($D417&lt;&gt;1,"",IF(p_mode="Nœud",$T417*$K417,$R417*IF($G417="IKS",p_iks_cpu,p_roks_cpu)+$S417*IF($G417="IKS",p_iks_ram,p_roks_ram))*p_facteur)</f>
        <v/>
      </c>
      <c r="X417" s="14" t="str">
        <f aca="false">IF($D417&lt;&gt;1,"",IF($G417="ROKS",$R417,IF($AI417=1,0,MAX($N417,$L417-SUMIFS(TblApplications[CPU IKS libérable (vCPU)],TblApplications[Cluster IKS source],$F417,TblApplications[Action],"À migrer",TblApplications[Mois prov (calc)],"&lt;="&amp;$E417)-SUMIFS(TblApplications[CPU IKS libérable (vCPU)],TblApplications[Cluster IKS source],$F417,TblApplications[Action],"À décommissionner",TblApplications[Mois lib (calc)],"&lt;="&amp;$E417)))))</f>
        <v/>
      </c>
      <c r="Y417" s="14" t="str">
        <f aca="false">IF($D417&lt;&gt;1,"",IF($G417="ROKS",$S417,IF($AI417=1,0,MAX($O417,$M417-SUMIFS(TblApplications[RAM IKS libérable (Go)],TblApplications[Cluster IKS source],$F417,TblApplications[Action],"À migrer",TblApplications[Mois prov (calc)],"&lt;="&amp;$E417)-SUMIFS(TblApplications[RAM IKS libérable (Go)],TblApplications[Cluster IKS source],$F417,TblApplications[Action],"À décommissionner",TblApplications[Mois lib (calc)],"&lt;="&amp;$E417)))))</f>
        <v/>
      </c>
      <c r="Z417" s="14" t="str">
        <f aca="false">IF($D417&lt;&gt;1,"",IF($AI417=1,0,MAX($J417,ROUNDUP(MAX($X417/$H417,$Y417/$I417),0))))</f>
        <v/>
      </c>
      <c r="AA417" s="84" t="str">
        <f aca="false">IF($D417&lt;&gt;1,"",IF(p_mode="Nœud",$Z417*$K417,$X417*IF($G417="IKS",p_iks_cpu,p_roks_cpu)+$Y417*IF($G417="IKS",p_iks_ram,p_roks_ram))*p_facteur)</f>
        <v/>
      </c>
      <c r="AB417" s="14" t="str">
        <f aca="false">IF($D417&lt;&gt;1,"",MAX($J417,ROUNDUP(MAX($L417/$H417,$M417/$I417),0)))</f>
        <v/>
      </c>
      <c r="AC417" s="84" t="str">
        <f aca="false">IF($D417&lt;&gt;1,"",IF(p_mode="Nœud",$AB417*$K417,$L417*IF($G417="IKS",p_iks_cpu,p_roks_cpu)+$M417*IF($G417="IKS",p_iks_ram,p_roks_ram))*p_facteur)</f>
        <v/>
      </c>
      <c r="AD417" s="14" t="str">
        <f aca="false">IF($D417&lt;&gt;1,"",IF(AND($G417="IKS",$AI417&lt;&gt;1,OR($L417-$P417&lt;$N417,$M417-$Q417&lt;$O417)),1,0))</f>
        <v/>
      </c>
      <c r="AE417" s="14" t="str">
        <f aca="false">IF($D417&lt;&gt;1,"",IF(AND($G417="ROKS",$T417&gt;p_maxworkers),1,0))</f>
        <v/>
      </c>
      <c r="AF417" s="14" t="str">
        <f aca="false">IF($D417&lt;&gt;1,"",IF(INDEX(TblClusters[Environnement],$B417)="","(vide)",INDEX(TblClusters[Environnement],$B417)))</f>
        <v/>
      </c>
      <c r="AG417" s="14" t="str">
        <f aca="false">IF($D417&lt;&gt;1,"",$R417+p_poidsram*$S417)</f>
        <v/>
      </c>
      <c r="AH417" s="14" t="str">
        <f aca="false">IF($D417&lt;&gt;1,"",IFERROR($W417/$AG417,0))</f>
        <v/>
      </c>
      <c r="AI417" s="14" t="str">
        <f aca="false">IF($D417&lt;&gt;1,"",IF(AND($G417="IKS",ISNUMBER(INDEX(TblClusters[Fermeture retenue],$B417))),IF($E417&gt;=INDEX(TblClusters[Fermeture retenue],$B417),1,0),0))</f>
        <v/>
      </c>
    </row>
    <row r="418" customFormat="false" ht="15" hidden="false" customHeight="false" outlineLevel="0" collapsed="false">
      <c r="A418" s="14" t="n">
        <v>413</v>
      </c>
      <c r="B418" s="14" t="n">
        <f aca="false">INT(($A418-1)/36)+1</f>
        <v>12</v>
      </c>
      <c r="C418" s="14" t="n">
        <f aca="false">MOD($A418-1,36)+1</f>
        <v>17</v>
      </c>
      <c r="D418" s="14" t="n">
        <f aca="false">IF($C418&gt;p_horizon,0,IFERROR(IF(AND(INDEX(TblClusters[Cluster],$B418)&lt;&gt;"",ISNUMBER(INDEX(TblClusters[CPU initial (vCPU)],$B418)),ISNUMBER(INDEX(TblClusters[CPU min (vCPU)],$B418)),OR(INDEX(TblClusters[Plateforme],$B418)="IKS",INDEX(TblClusters[Plateforme],$B418)="ROKS")),1,0),0))</f>
        <v>0</v>
      </c>
      <c r="E418" s="83" t="str">
        <f aca="false">IF($D418=1,EDATE(p_debut,$C418-1),"")</f>
        <v/>
      </c>
      <c r="F418" s="14" t="str">
        <f aca="false">IF($D418=1,INDEX(TblClusters[Cluster],$B418),"")</f>
        <v/>
      </c>
      <c r="G418" s="14" t="str">
        <f aca="false">IF($D418=1,INDEX(TblClusters[Plateforme],$B418),"")</f>
        <v/>
      </c>
      <c r="H418" s="14" t="str">
        <f aca="false">IF($D418=1,INDEX(TblClusters[vCPU par nœud],$B418),"")</f>
        <v/>
      </c>
      <c r="I418" s="14" t="str">
        <f aca="false">IF($D418=1,INDEX(TblClusters[RAM par nœud (Go)],$B418),"")</f>
        <v/>
      </c>
      <c r="J418" s="14" t="str">
        <f aca="false">IF($D418=1,INDEX(TblClusters[Workers min],$B418),"")</f>
        <v/>
      </c>
      <c r="K418" s="84" t="str">
        <f aca="false">IF($D418=1,INDEX(TblClusters[Tarif par nœud],$B418),"")</f>
        <v/>
      </c>
      <c r="L418" s="14" t="str">
        <f aca="false">IF($D418=1,INDEX(TblClusters[CPU initial (vCPU)],$B418),"")</f>
        <v/>
      </c>
      <c r="M418" s="14" t="str">
        <f aca="false">IF($D418=1,INDEX(TblClusters[RAM initiale (Go)],$B418),"")</f>
        <v/>
      </c>
      <c r="N418" s="14" t="str">
        <f aca="false">IF($D418=1,INDEX(TblClusters[CPU min (vCPU)],$B418),"")</f>
        <v/>
      </c>
      <c r="O418" s="14" t="str">
        <f aca="false">IF($D418=1,INDEX(TblClusters[RAM min (Go)],$B418),"")</f>
        <v/>
      </c>
      <c r="P418" s="14" t="str">
        <f aca="false">IF($D418&lt;&gt;1,"",IF($G418="ROKS",SUMIFS(TblApplications[Besoin ROKS CPU (vCPU)],TblApplications[Cluster ROKS cible],$F418,TblApplications[Action],"À migrer",TblApplications[Déjà incluse ROKS],"Non",TblApplications[Mois prov (calc)],"&lt;="&amp;$E418),SUMIFS(TblApplications[CPU IKS libérable (vCPU)],TblApplications[Cluster IKS source],$F418,TblApplications[Mois lib (calc)],"&lt;="&amp;$E418)))</f>
        <v/>
      </c>
      <c r="Q418" s="14" t="str">
        <f aca="false">IF($D418&lt;&gt;1,"",IF($G418="ROKS",SUMIFS(TblApplications[Besoin ROKS RAM (Go)],TblApplications[Cluster ROKS cible],$F418,TblApplications[Action],"À migrer",TblApplications[Déjà incluse ROKS],"Non",TblApplications[Mois prov (calc)],"&lt;="&amp;$E418),SUMIFS(TblApplications[RAM IKS libérable (Go)],TblApplications[Cluster IKS source],$F418,TblApplications[Mois lib (calc)],"&lt;="&amp;$E418)))</f>
        <v/>
      </c>
      <c r="R418" s="14" t="str">
        <f aca="false">IF($D418&lt;&gt;1,"",IF($G418="ROKS",$L418+$P418,IF($AI418=1,0,MAX($N418,$L418-$P418))))</f>
        <v/>
      </c>
      <c r="S418" s="14" t="str">
        <f aca="false">IF($D418&lt;&gt;1,"",IF($G418="ROKS",$M418+$Q418,IF($AI418=1,0,MAX($O418,$M418-$Q418))))</f>
        <v/>
      </c>
      <c r="T418" s="14" t="str">
        <f aca="false">IF($D418&lt;&gt;1,"",IF($AI418=1,0,MAX($J418,ROUNDUP(MAX($R418/$H418,$S418/$I418),0))))</f>
        <v/>
      </c>
      <c r="U418" s="14" t="str">
        <f aca="false">IF($D418&lt;&gt;1,"",IF(p_mode="Nœud",$T418*$H418,$R418))</f>
        <v/>
      </c>
      <c r="V418" s="14" t="str">
        <f aca="false">IF($D418&lt;&gt;1,"",IF(p_mode="Nœud",$T418*$I418,$S418))</f>
        <v/>
      </c>
      <c r="W418" s="84" t="str">
        <f aca="false">IF($D418&lt;&gt;1,"",IF(p_mode="Nœud",$T418*$K418,$R418*IF($G418="IKS",p_iks_cpu,p_roks_cpu)+$S418*IF($G418="IKS",p_iks_ram,p_roks_ram))*p_facteur)</f>
        <v/>
      </c>
      <c r="X418" s="14" t="str">
        <f aca="false">IF($D418&lt;&gt;1,"",IF($G418="ROKS",$R418,IF($AI418=1,0,MAX($N418,$L418-SUMIFS(TblApplications[CPU IKS libérable (vCPU)],TblApplications[Cluster IKS source],$F418,TblApplications[Action],"À migrer",TblApplications[Mois prov (calc)],"&lt;="&amp;$E418)-SUMIFS(TblApplications[CPU IKS libérable (vCPU)],TblApplications[Cluster IKS source],$F418,TblApplications[Action],"À décommissionner",TblApplications[Mois lib (calc)],"&lt;="&amp;$E418)))))</f>
        <v/>
      </c>
      <c r="Y418" s="14" t="str">
        <f aca="false">IF($D418&lt;&gt;1,"",IF($G418="ROKS",$S418,IF($AI418=1,0,MAX($O418,$M418-SUMIFS(TblApplications[RAM IKS libérable (Go)],TblApplications[Cluster IKS source],$F418,TblApplications[Action],"À migrer",TblApplications[Mois prov (calc)],"&lt;="&amp;$E418)-SUMIFS(TblApplications[RAM IKS libérable (Go)],TblApplications[Cluster IKS source],$F418,TblApplications[Action],"À décommissionner",TblApplications[Mois lib (calc)],"&lt;="&amp;$E418)))))</f>
        <v/>
      </c>
      <c r="Z418" s="14" t="str">
        <f aca="false">IF($D418&lt;&gt;1,"",IF($AI418=1,0,MAX($J418,ROUNDUP(MAX($X418/$H418,$Y418/$I418),0))))</f>
        <v/>
      </c>
      <c r="AA418" s="84" t="str">
        <f aca="false">IF($D418&lt;&gt;1,"",IF(p_mode="Nœud",$Z418*$K418,$X418*IF($G418="IKS",p_iks_cpu,p_roks_cpu)+$Y418*IF($G418="IKS",p_iks_ram,p_roks_ram))*p_facteur)</f>
        <v/>
      </c>
      <c r="AB418" s="14" t="str">
        <f aca="false">IF($D418&lt;&gt;1,"",MAX($J418,ROUNDUP(MAX($L418/$H418,$M418/$I418),0)))</f>
        <v/>
      </c>
      <c r="AC418" s="84" t="str">
        <f aca="false">IF($D418&lt;&gt;1,"",IF(p_mode="Nœud",$AB418*$K418,$L418*IF($G418="IKS",p_iks_cpu,p_roks_cpu)+$M418*IF($G418="IKS",p_iks_ram,p_roks_ram))*p_facteur)</f>
        <v/>
      </c>
      <c r="AD418" s="14" t="str">
        <f aca="false">IF($D418&lt;&gt;1,"",IF(AND($G418="IKS",$AI418&lt;&gt;1,OR($L418-$P418&lt;$N418,$M418-$Q418&lt;$O418)),1,0))</f>
        <v/>
      </c>
      <c r="AE418" s="14" t="str">
        <f aca="false">IF($D418&lt;&gt;1,"",IF(AND($G418="ROKS",$T418&gt;p_maxworkers),1,0))</f>
        <v/>
      </c>
      <c r="AF418" s="14" t="str">
        <f aca="false">IF($D418&lt;&gt;1,"",IF(INDEX(TblClusters[Environnement],$B418)="","(vide)",INDEX(TblClusters[Environnement],$B418)))</f>
        <v/>
      </c>
      <c r="AG418" s="14" t="str">
        <f aca="false">IF($D418&lt;&gt;1,"",$R418+p_poidsram*$S418)</f>
        <v/>
      </c>
      <c r="AH418" s="14" t="str">
        <f aca="false">IF($D418&lt;&gt;1,"",IFERROR($W418/$AG418,0))</f>
        <v/>
      </c>
      <c r="AI418" s="14" t="str">
        <f aca="false">IF($D418&lt;&gt;1,"",IF(AND($G418="IKS",ISNUMBER(INDEX(TblClusters[Fermeture retenue],$B418))),IF($E418&gt;=INDEX(TblClusters[Fermeture retenue],$B418),1,0),0))</f>
        <v/>
      </c>
    </row>
    <row r="419" customFormat="false" ht="15" hidden="false" customHeight="false" outlineLevel="0" collapsed="false">
      <c r="A419" s="14" t="n">
        <v>414</v>
      </c>
      <c r="B419" s="14" t="n">
        <f aca="false">INT(($A419-1)/36)+1</f>
        <v>12</v>
      </c>
      <c r="C419" s="14" t="n">
        <f aca="false">MOD($A419-1,36)+1</f>
        <v>18</v>
      </c>
      <c r="D419" s="14" t="n">
        <f aca="false">IF($C419&gt;p_horizon,0,IFERROR(IF(AND(INDEX(TblClusters[Cluster],$B419)&lt;&gt;"",ISNUMBER(INDEX(TblClusters[CPU initial (vCPU)],$B419)),ISNUMBER(INDEX(TblClusters[CPU min (vCPU)],$B419)),OR(INDEX(TblClusters[Plateforme],$B419)="IKS",INDEX(TblClusters[Plateforme],$B419)="ROKS")),1,0),0))</f>
        <v>0</v>
      </c>
      <c r="E419" s="83" t="str">
        <f aca="false">IF($D419=1,EDATE(p_debut,$C419-1),"")</f>
        <v/>
      </c>
      <c r="F419" s="14" t="str">
        <f aca="false">IF($D419=1,INDEX(TblClusters[Cluster],$B419),"")</f>
        <v/>
      </c>
      <c r="G419" s="14" t="str">
        <f aca="false">IF($D419=1,INDEX(TblClusters[Plateforme],$B419),"")</f>
        <v/>
      </c>
      <c r="H419" s="14" t="str">
        <f aca="false">IF($D419=1,INDEX(TblClusters[vCPU par nœud],$B419),"")</f>
        <v/>
      </c>
      <c r="I419" s="14" t="str">
        <f aca="false">IF($D419=1,INDEX(TblClusters[RAM par nœud (Go)],$B419),"")</f>
        <v/>
      </c>
      <c r="J419" s="14" t="str">
        <f aca="false">IF($D419=1,INDEX(TblClusters[Workers min],$B419),"")</f>
        <v/>
      </c>
      <c r="K419" s="84" t="str">
        <f aca="false">IF($D419=1,INDEX(TblClusters[Tarif par nœud],$B419),"")</f>
        <v/>
      </c>
      <c r="L419" s="14" t="str">
        <f aca="false">IF($D419=1,INDEX(TblClusters[CPU initial (vCPU)],$B419),"")</f>
        <v/>
      </c>
      <c r="M419" s="14" t="str">
        <f aca="false">IF($D419=1,INDEX(TblClusters[RAM initiale (Go)],$B419),"")</f>
        <v/>
      </c>
      <c r="N419" s="14" t="str">
        <f aca="false">IF($D419=1,INDEX(TblClusters[CPU min (vCPU)],$B419),"")</f>
        <v/>
      </c>
      <c r="O419" s="14" t="str">
        <f aca="false">IF($D419=1,INDEX(TblClusters[RAM min (Go)],$B419),"")</f>
        <v/>
      </c>
      <c r="P419" s="14" t="str">
        <f aca="false">IF($D419&lt;&gt;1,"",IF($G419="ROKS",SUMIFS(TblApplications[Besoin ROKS CPU (vCPU)],TblApplications[Cluster ROKS cible],$F419,TblApplications[Action],"À migrer",TblApplications[Déjà incluse ROKS],"Non",TblApplications[Mois prov (calc)],"&lt;="&amp;$E419),SUMIFS(TblApplications[CPU IKS libérable (vCPU)],TblApplications[Cluster IKS source],$F419,TblApplications[Mois lib (calc)],"&lt;="&amp;$E419)))</f>
        <v/>
      </c>
      <c r="Q419" s="14" t="str">
        <f aca="false">IF($D419&lt;&gt;1,"",IF($G419="ROKS",SUMIFS(TblApplications[Besoin ROKS RAM (Go)],TblApplications[Cluster ROKS cible],$F419,TblApplications[Action],"À migrer",TblApplications[Déjà incluse ROKS],"Non",TblApplications[Mois prov (calc)],"&lt;="&amp;$E419),SUMIFS(TblApplications[RAM IKS libérable (Go)],TblApplications[Cluster IKS source],$F419,TblApplications[Mois lib (calc)],"&lt;="&amp;$E419)))</f>
        <v/>
      </c>
      <c r="R419" s="14" t="str">
        <f aca="false">IF($D419&lt;&gt;1,"",IF($G419="ROKS",$L419+$P419,IF($AI419=1,0,MAX($N419,$L419-$P419))))</f>
        <v/>
      </c>
      <c r="S419" s="14" t="str">
        <f aca="false">IF($D419&lt;&gt;1,"",IF($G419="ROKS",$M419+$Q419,IF($AI419=1,0,MAX($O419,$M419-$Q419))))</f>
        <v/>
      </c>
      <c r="T419" s="14" t="str">
        <f aca="false">IF($D419&lt;&gt;1,"",IF($AI419=1,0,MAX($J419,ROUNDUP(MAX($R419/$H419,$S419/$I419),0))))</f>
        <v/>
      </c>
      <c r="U419" s="14" t="str">
        <f aca="false">IF($D419&lt;&gt;1,"",IF(p_mode="Nœud",$T419*$H419,$R419))</f>
        <v/>
      </c>
      <c r="V419" s="14" t="str">
        <f aca="false">IF($D419&lt;&gt;1,"",IF(p_mode="Nœud",$T419*$I419,$S419))</f>
        <v/>
      </c>
      <c r="W419" s="84" t="str">
        <f aca="false">IF($D419&lt;&gt;1,"",IF(p_mode="Nœud",$T419*$K419,$R419*IF($G419="IKS",p_iks_cpu,p_roks_cpu)+$S419*IF($G419="IKS",p_iks_ram,p_roks_ram))*p_facteur)</f>
        <v/>
      </c>
      <c r="X419" s="14" t="str">
        <f aca="false">IF($D419&lt;&gt;1,"",IF($G419="ROKS",$R419,IF($AI419=1,0,MAX($N419,$L419-SUMIFS(TblApplications[CPU IKS libérable (vCPU)],TblApplications[Cluster IKS source],$F419,TblApplications[Action],"À migrer",TblApplications[Mois prov (calc)],"&lt;="&amp;$E419)-SUMIFS(TblApplications[CPU IKS libérable (vCPU)],TblApplications[Cluster IKS source],$F419,TblApplications[Action],"À décommissionner",TblApplications[Mois lib (calc)],"&lt;="&amp;$E419)))))</f>
        <v/>
      </c>
      <c r="Y419" s="14" t="str">
        <f aca="false">IF($D419&lt;&gt;1,"",IF($G419="ROKS",$S419,IF($AI419=1,0,MAX($O419,$M419-SUMIFS(TblApplications[RAM IKS libérable (Go)],TblApplications[Cluster IKS source],$F419,TblApplications[Action],"À migrer",TblApplications[Mois prov (calc)],"&lt;="&amp;$E419)-SUMIFS(TblApplications[RAM IKS libérable (Go)],TblApplications[Cluster IKS source],$F419,TblApplications[Action],"À décommissionner",TblApplications[Mois lib (calc)],"&lt;="&amp;$E419)))))</f>
        <v/>
      </c>
      <c r="Z419" s="14" t="str">
        <f aca="false">IF($D419&lt;&gt;1,"",IF($AI419=1,0,MAX($J419,ROUNDUP(MAX($X419/$H419,$Y419/$I419),0))))</f>
        <v/>
      </c>
      <c r="AA419" s="84" t="str">
        <f aca="false">IF($D419&lt;&gt;1,"",IF(p_mode="Nœud",$Z419*$K419,$X419*IF($G419="IKS",p_iks_cpu,p_roks_cpu)+$Y419*IF($G419="IKS",p_iks_ram,p_roks_ram))*p_facteur)</f>
        <v/>
      </c>
      <c r="AB419" s="14" t="str">
        <f aca="false">IF($D419&lt;&gt;1,"",MAX($J419,ROUNDUP(MAX($L419/$H419,$M419/$I419),0)))</f>
        <v/>
      </c>
      <c r="AC419" s="84" t="str">
        <f aca="false">IF($D419&lt;&gt;1,"",IF(p_mode="Nœud",$AB419*$K419,$L419*IF($G419="IKS",p_iks_cpu,p_roks_cpu)+$M419*IF($G419="IKS",p_iks_ram,p_roks_ram))*p_facteur)</f>
        <v/>
      </c>
      <c r="AD419" s="14" t="str">
        <f aca="false">IF($D419&lt;&gt;1,"",IF(AND($G419="IKS",$AI419&lt;&gt;1,OR($L419-$P419&lt;$N419,$M419-$Q419&lt;$O419)),1,0))</f>
        <v/>
      </c>
      <c r="AE419" s="14" t="str">
        <f aca="false">IF($D419&lt;&gt;1,"",IF(AND($G419="ROKS",$T419&gt;p_maxworkers),1,0))</f>
        <v/>
      </c>
      <c r="AF419" s="14" t="str">
        <f aca="false">IF($D419&lt;&gt;1,"",IF(INDEX(TblClusters[Environnement],$B419)="","(vide)",INDEX(TblClusters[Environnement],$B419)))</f>
        <v/>
      </c>
      <c r="AG419" s="14" t="str">
        <f aca="false">IF($D419&lt;&gt;1,"",$R419+p_poidsram*$S419)</f>
        <v/>
      </c>
      <c r="AH419" s="14" t="str">
        <f aca="false">IF($D419&lt;&gt;1,"",IFERROR($W419/$AG419,0))</f>
        <v/>
      </c>
      <c r="AI419" s="14" t="str">
        <f aca="false">IF($D419&lt;&gt;1,"",IF(AND($G419="IKS",ISNUMBER(INDEX(TblClusters[Fermeture retenue],$B419))),IF($E419&gt;=INDEX(TblClusters[Fermeture retenue],$B419),1,0),0))</f>
        <v/>
      </c>
    </row>
    <row r="420" customFormat="false" ht="15" hidden="false" customHeight="false" outlineLevel="0" collapsed="false">
      <c r="A420" s="14" t="n">
        <v>415</v>
      </c>
      <c r="B420" s="14" t="n">
        <f aca="false">INT(($A420-1)/36)+1</f>
        <v>12</v>
      </c>
      <c r="C420" s="14" t="n">
        <f aca="false">MOD($A420-1,36)+1</f>
        <v>19</v>
      </c>
      <c r="D420" s="14" t="n">
        <f aca="false">IF($C420&gt;p_horizon,0,IFERROR(IF(AND(INDEX(TblClusters[Cluster],$B420)&lt;&gt;"",ISNUMBER(INDEX(TblClusters[CPU initial (vCPU)],$B420)),ISNUMBER(INDEX(TblClusters[CPU min (vCPU)],$B420)),OR(INDEX(TblClusters[Plateforme],$B420)="IKS",INDEX(TblClusters[Plateforme],$B420)="ROKS")),1,0),0))</f>
        <v>0</v>
      </c>
      <c r="E420" s="83" t="str">
        <f aca="false">IF($D420=1,EDATE(p_debut,$C420-1),"")</f>
        <v/>
      </c>
      <c r="F420" s="14" t="str">
        <f aca="false">IF($D420=1,INDEX(TblClusters[Cluster],$B420),"")</f>
        <v/>
      </c>
      <c r="G420" s="14" t="str">
        <f aca="false">IF($D420=1,INDEX(TblClusters[Plateforme],$B420),"")</f>
        <v/>
      </c>
      <c r="H420" s="14" t="str">
        <f aca="false">IF($D420=1,INDEX(TblClusters[vCPU par nœud],$B420),"")</f>
        <v/>
      </c>
      <c r="I420" s="14" t="str">
        <f aca="false">IF($D420=1,INDEX(TblClusters[RAM par nœud (Go)],$B420),"")</f>
        <v/>
      </c>
      <c r="J420" s="14" t="str">
        <f aca="false">IF($D420=1,INDEX(TblClusters[Workers min],$B420),"")</f>
        <v/>
      </c>
      <c r="K420" s="84" t="str">
        <f aca="false">IF($D420=1,INDEX(TblClusters[Tarif par nœud],$B420),"")</f>
        <v/>
      </c>
      <c r="L420" s="14" t="str">
        <f aca="false">IF($D420=1,INDEX(TblClusters[CPU initial (vCPU)],$B420),"")</f>
        <v/>
      </c>
      <c r="M420" s="14" t="str">
        <f aca="false">IF($D420=1,INDEX(TblClusters[RAM initiale (Go)],$B420),"")</f>
        <v/>
      </c>
      <c r="N420" s="14" t="str">
        <f aca="false">IF($D420=1,INDEX(TblClusters[CPU min (vCPU)],$B420),"")</f>
        <v/>
      </c>
      <c r="O420" s="14" t="str">
        <f aca="false">IF($D420=1,INDEX(TblClusters[RAM min (Go)],$B420),"")</f>
        <v/>
      </c>
      <c r="P420" s="14" t="str">
        <f aca="false">IF($D420&lt;&gt;1,"",IF($G420="ROKS",SUMIFS(TblApplications[Besoin ROKS CPU (vCPU)],TblApplications[Cluster ROKS cible],$F420,TblApplications[Action],"À migrer",TblApplications[Déjà incluse ROKS],"Non",TblApplications[Mois prov (calc)],"&lt;="&amp;$E420),SUMIFS(TblApplications[CPU IKS libérable (vCPU)],TblApplications[Cluster IKS source],$F420,TblApplications[Mois lib (calc)],"&lt;="&amp;$E420)))</f>
        <v/>
      </c>
      <c r="Q420" s="14" t="str">
        <f aca="false">IF($D420&lt;&gt;1,"",IF($G420="ROKS",SUMIFS(TblApplications[Besoin ROKS RAM (Go)],TblApplications[Cluster ROKS cible],$F420,TblApplications[Action],"À migrer",TblApplications[Déjà incluse ROKS],"Non",TblApplications[Mois prov (calc)],"&lt;="&amp;$E420),SUMIFS(TblApplications[RAM IKS libérable (Go)],TblApplications[Cluster IKS source],$F420,TblApplications[Mois lib (calc)],"&lt;="&amp;$E420)))</f>
        <v/>
      </c>
      <c r="R420" s="14" t="str">
        <f aca="false">IF($D420&lt;&gt;1,"",IF($G420="ROKS",$L420+$P420,IF($AI420=1,0,MAX($N420,$L420-$P420))))</f>
        <v/>
      </c>
      <c r="S420" s="14" t="str">
        <f aca="false">IF($D420&lt;&gt;1,"",IF($G420="ROKS",$M420+$Q420,IF($AI420=1,0,MAX($O420,$M420-$Q420))))</f>
        <v/>
      </c>
      <c r="T420" s="14" t="str">
        <f aca="false">IF($D420&lt;&gt;1,"",IF($AI420=1,0,MAX($J420,ROUNDUP(MAX($R420/$H420,$S420/$I420),0))))</f>
        <v/>
      </c>
      <c r="U420" s="14" t="str">
        <f aca="false">IF($D420&lt;&gt;1,"",IF(p_mode="Nœud",$T420*$H420,$R420))</f>
        <v/>
      </c>
      <c r="V420" s="14" t="str">
        <f aca="false">IF($D420&lt;&gt;1,"",IF(p_mode="Nœud",$T420*$I420,$S420))</f>
        <v/>
      </c>
      <c r="W420" s="84" t="str">
        <f aca="false">IF($D420&lt;&gt;1,"",IF(p_mode="Nœud",$T420*$K420,$R420*IF($G420="IKS",p_iks_cpu,p_roks_cpu)+$S420*IF($G420="IKS",p_iks_ram,p_roks_ram))*p_facteur)</f>
        <v/>
      </c>
      <c r="X420" s="14" t="str">
        <f aca="false">IF($D420&lt;&gt;1,"",IF($G420="ROKS",$R420,IF($AI420=1,0,MAX($N420,$L420-SUMIFS(TblApplications[CPU IKS libérable (vCPU)],TblApplications[Cluster IKS source],$F420,TblApplications[Action],"À migrer",TblApplications[Mois prov (calc)],"&lt;="&amp;$E420)-SUMIFS(TblApplications[CPU IKS libérable (vCPU)],TblApplications[Cluster IKS source],$F420,TblApplications[Action],"À décommissionner",TblApplications[Mois lib (calc)],"&lt;="&amp;$E420)))))</f>
        <v/>
      </c>
      <c r="Y420" s="14" t="str">
        <f aca="false">IF($D420&lt;&gt;1,"",IF($G420="ROKS",$S420,IF($AI420=1,0,MAX($O420,$M420-SUMIFS(TblApplications[RAM IKS libérable (Go)],TblApplications[Cluster IKS source],$F420,TblApplications[Action],"À migrer",TblApplications[Mois prov (calc)],"&lt;="&amp;$E420)-SUMIFS(TblApplications[RAM IKS libérable (Go)],TblApplications[Cluster IKS source],$F420,TblApplications[Action],"À décommissionner",TblApplications[Mois lib (calc)],"&lt;="&amp;$E420)))))</f>
        <v/>
      </c>
      <c r="Z420" s="14" t="str">
        <f aca="false">IF($D420&lt;&gt;1,"",IF($AI420=1,0,MAX($J420,ROUNDUP(MAX($X420/$H420,$Y420/$I420),0))))</f>
        <v/>
      </c>
      <c r="AA420" s="84" t="str">
        <f aca="false">IF($D420&lt;&gt;1,"",IF(p_mode="Nœud",$Z420*$K420,$X420*IF($G420="IKS",p_iks_cpu,p_roks_cpu)+$Y420*IF($G420="IKS",p_iks_ram,p_roks_ram))*p_facteur)</f>
        <v/>
      </c>
      <c r="AB420" s="14" t="str">
        <f aca="false">IF($D420&lt;&gt;1,"",MAX($J420,ROUNDUP(MAX($L420/$H420,$M420/$I420),0)))</f>
        <v/>
      </c>
      <c r="AC420" s="84" t="str">
        <f aca="false">IF($D420&lt;&gt;1,"",IF(p_mode="Nœud",$AB420*$K420,$L420*IF($G420="IKS",p_iks_cpu,p_roks_cpu)+$M420*IF($G420="IKS",p_iks_ram,p_roks_ram))*p_facteur)</f>
        <v/>
      </c>
      <c r="AD420" s="14" t="str">
        <f aca="false">IF($D420&lt;&gt;1,"",IF(AND($G420="IKS",$AI420&lt;&gt;1,OR($L420-$P420&lt;$N420,$M420-$Q420&lt;$O420)),1,0))</f>
        <v/>
      </c>
      <c r="AE420" s="14" t="str">
        <f aca="false">IF($D420&lt;&gt;1,"",IF(AND($G420="ROKS",$T420&gt;p_maxworkers),1,0))</f>
        <v/>
      </c>
      <c r="AF420" s="14" t="str">
        <f aca="false">IF($D420&lt;&gt;1,"",IF(INDEX(TblClusters[Environnement],$B420)="","(vide)",INDEX(TblClusters[Environnement],$B420)))</f>
        <v/>
      </c>
      <c r="AG420" s="14" t="str">
        <f aca="false">IF($D420&lt;&gt;1,"",$R420+p_poidsram*$S420)</f>
        <v/>
      </c>
      <c r="AH420" s="14" t="str">
        <f aca="false">IF($D420&lt;&gt;1,"",IFERROR($W420/$AG420,0))</f>
        <v/>
      </c>
      <c r="AI420" s="14" t="str">
        <f aca="false">IF($D420&lt;&gt;1,"",IF(AND($G420="IKS",ISNUMBER(INDEX(TblClusters[Fermeture retenue],$B420))),IF($E420&gt;=INDEX(TblClusters[Fermeture retenue],$B420),1,0),0))</f>
        <v/>
      </c>
    </row>
    <row r="421" customFormat="false" ht="15" hidden="false" customHeight="false" outlineLevel="0" collapsed="false">
      <c r="A421" s="14" t="n">
        <v>416</v>
      </c>
      <c r="B421" s="14" t="n">
        <f aca="false">INT(($A421-1)/36)+1</f>
        <v>12</v>
      </c>
      <c r="C421" s="14" t="n">
        <f aca="false">MOD($A421-1,36)+1</f>
        <v>20</v>
      </c>
      <c r="D421" s="14" t="n">
        <f aca="false">IF($C421&gt;p_horizon,0,IFERROR(IF(AND(INDEX(TblClusters[Cluster],$B421)&lt;&gt;"",ISNUMBER(INDEX(TblClusters[CPU initial (vCPU)],$B421)),ISNUMBER(INDEX(TblClusters[CPU min (vCPU)],$B421)),OR(INDEX(TblClusters[Plateforme],$B421)="IKS",INDEX(TblClusters[Plateforme],$B421)="ROKS")),1,0),0))</f>
        <v>0</v>
      </c>
      <c r="E421" s="83" t="str">
        <f aca="false">IF($D421=1,EDATE(p_debut,$C421-1),"")</f>
        <v/>
      </c>
      <c r="F421" s="14" t="str">
        <f aca="false">IF($D421=1,INDEX(TblClusters[Cluster],$B421),"")</f>
        <v/>
      </c>
      <c r="G421" s="14" t="str">
        <f aca="false">IF($D421=1,INDEX(TblClusters[Plateforme],$B421),"")</f>
        <v/>
      </c>
      <c r="H421" s="14" t="str">
        <f aca="false">IF($D421=1,INDEX(TblClusters[vCPU par nœud],$B421),"")</f>
        <v/>
      </c>
      <c r="I421" s="14" t="str">
        <f aca="false">IF($D421=1,INDEX(TblClusters[RAM par nœud (Go)],$B421),"")</f>
        <v/>
      </c>
      <c r="J421" s="14" t="str">
        <f aca="false">IF($D421=1,INDEX(TblClusters[Workers min],$B421),"")</f>
        <v/>
      </c>
      <c r="K421" s="84" t="str">
        <f aca="false">IF($D421=1,INDEX(TblClusters[Tarif par nœud],$B421),"")</f>
        <v/>
      </c>
      <c r="L421" s="14" t="str">
        <f aca="false">IF($D421=1,INDEX(TblClusters[CPU initial (vCPU)],$B421),"")</f>
        <v/>
      </c>
      <c r="M421" s="14" t="str">
        <f aca="false">IF($D421=1,INDEX(TblClusters[RAM initiale (Go)],$B421),"")</f>
        <v/>
      </c>
      <c r="N421" s="14" t="str">
        <f aca="false">IF($D421=1,INDEX(TblClusters[CPU min (vCPU)],$B421),"")</f>
        <v/>
      </c>
      <c r="O421" s="14" t="str">
        <f aca="false">IF($D421=1,INDEX(TblClusters[RAM min (Go)],$B421),"")</f>
        <v/>
      </c>
      <c r="P421" s="14" t="str">
        <f aca="false">IF($D421&lt;&gt;1,"",IF($G421="ROKS",SUMIFS(TblApplications[Besoin ROKS CPU (vCPU)],TblApplications[Cluster ROKS cible],$F421,TblApplications[Action],"À migrer",TblApplications[Déjà incluse ROKS],"Non",TblApplications[Mois prov (calc)],"&lt;="&amp;$E421),SUMIFS(TblApplications[CPU IKS libérable (vCPU)],TblApplications[Cluster IKS source],$F421,TblApplications[Mois lib (calc)],"&lt;="&amp;$E421)))</f>
        <v/>
      </c>
      <c r="Q421" s="14" t="str">
        <f aca="false">IF($D421&lt;&gt;1,"",IF($G421="ROKS",SUMIFS(TblApplications[Besoin ROKS RAM (Go)],TblApplications[Cluster ROKS cible],$F421,TblApplications[Action],"À migrer",TblApplications[Déjà incluse ROKS],"Non",TblApplications[Mois prov (calc)],"&lt;="&amp;$E421),SUMIFS(TblApplications[RAM IKS libérable (Go)],TblApplications[Cluster IKS source],$F421,TblApplications[Mois lib (calc)],"&lt;="&amp;$E421)))</f>
        <v/>
      </c>
      <c r="R421" s="14" t="str">
        <f aca="false">IF($D421&lt;&gt;1,"",IF($G421="ROKS",$L421+$P421,IF($AI421=1,0,MAX($N421,$L421-$P421))))</f>
        <v/>
      </c>
      <c r="S421" s="14" t="str">
        <f aca="false">IF($D421&lt;&gt;1,"",IF($G421="ROKS",$M421+$Q421,IF($AI421=1,0,MAX($O421,$M421-$Q421))))</f>
        <v/>
      </c>
      <c r="T421" s="14" t="str">
        <f aca="false">IF($D421&lt;&gt;1,"",IF($AI421=1,0,MAX($J421,ROUNDUP(MAX($R421/$H421,$S421/$I421),0))))</f>
        <v/>
      </c>
      <c r="U421" s="14" t="str">
        <f aca="false">IF($D421&lt;&gt;1,"",IF(p_mode="Nœud",$T421*$H421,$R421))</f>
        <v/>
      </c>
      <c r="V421" s="14" t="str">
        <f aca="false">IF($D421&lt;&gt;1,"",IF(p_mode="Nœud",$T421*$I421,$S421))</f>
        <v/>
      </c>
      <c r="W421" s="84" t="str">
        <f aca="false">IF($D421&lt;&gt;1,"",IF(p_mode="Nœud",$T421*$K421,$R421*IF($G421="IKS",p_iks_cpu,p_roks_cpu)+$S421*IF($G421="IKS",p_iks_ram,p_roks_ram))*p_facteur)</f>
        <v/>
      </c>
      <c r="X421" s="14" t="str">
        <f aca="false">IF($D421&lt;&gt;1,"",IF($G421="ROKS",$R421,IF($AI421=1,0,MAX($N421,$L421-SUMIFS(TblApplications[CPU IKS libérable (vCPU)],TblApplications[Cluster IKS source],$F421,TblApplications[Action],"À migrer",TblApplications[Mois prov (calc)],"&lt;="&amp;$E421)-SUMIFS(TblApplications[CPU IKS libérable (vCPU)],TblApplications[Cluster IKS source],$F421,TblApplications[Action],"À décommissionner",TblApplications[Mois lib (calc)],"&lt;="&amp;$E421)))))</f>
        <v/>
      </c>
      <c r="Y421" s="14" t="str">
        <f aca="false">IF($D421&lt;&gt;1,"",IF($G421="ROKS",$S421,IF($AI421=1,0,MAX($O421,$M421-SUMIFS(TblApplications[RAM IKS libérable (Go)],TblApplications[Cluster IKS source],$F421,TblApplications[Action],"À migrer",TblApplications[Mois prov (calc)],"&lt;="&amp;$E421)-SUMIFS(TblApplications[RAM IKS libérable (Go)],TblApplications[Cluster IKS source],$F421,TblApplications[Action],"À décommissionner",TblApplications[Mois lib (calc)],"&lt;="&amp;$E421)))))</f>
        <v/>
      </c>
      <c r="Z421" s="14" t="str">
        <f aca="false">IF($D421&lt;&gt;1,"",IF($AI421=1,0,MAX($J421,ROUNDUP(MAX($X421/$H421,$Y421/$I421),0))))</f>
        <v/>
      </c>
      <c r="AA421" s="84" t="str">
        <f aca="false">IF($D421&lt;&gt;1,"",IF(p_mode="Nœud",$Z421*$K421,$X421*IF($G421="IKS",p_iks_cpu,p_roks_cpu)+$Y421*IF($G421="IKS",p_iks_ram,p_roks_ram))*p_facteur)</f>
        <v/>
      </c>
      <c r="AB421" s="14" t="str">
        <f aca="false">IF($D421&lt;&gt;1,"",MAX($J421,ROUNDUP(MAX($L421/$H421,$M421/$I421),0)))</f>
        <v/>
      </c>
      <c r="AC421" s="84" t="str">
        <f aca="false">IF($D421&lt;&gt;1,"",IF(p_mode="Nœud",$AB421*$K421,$L421*IF($G421="IKS",p_iks_cpu,p_roks_cpu)+$M421*IF($G421="IKS",p_iks_ram,p_roks_ram))*p_facteur)</f>
        <v/>
      </c>
      <c r="AD421" s="14" t="str">
        <f aca="false">IF($D421&lt;&gt;1,"",IF(AND($G421="IKS",$AI421&lt;&gt;1,OR($L421-$P421&lt;$N421,$M421-$Q421&lt;$O421)),1,0))</f>
        <v/>
      </c>
      <c r="AE421" s="14" t="str">
        <f aca="false">IF($D421&lt;&gt;1,"",IF(AND($G421="ROKS",$T421&gt;p_maxworkers),1,0))</f>
        <v/>
      </c>
      <c r="AF421" s="14" t="str">
        <f aca="false">IF($D421&lt;&gt;1,"",IF(INDEX(TblClusters[Environnement],$B421)="","(vide)",INDEX(TblClusters[Environnement],$B421)))</f>
        <v/>
      </c>
      <c r="AG421" s="14" t="str">
        <f aca="false">IF($D421&lt;&gt;1,"",$R421+p_poidsram*$S421)</f>
        <v/>
      </c>
      <c r="AH421" s="14" t="str">
        <f aca="false">IF($D421&lt;&gt;1,"",IFERROR($W421/$AG421,0))</f>
        <v/>
      </c>
      <c r="AI421" s="14" t="str">
        <f aca="false">IF($D421&lt;&gt;1,"",IF(AND($G421="IKS",ISNUMBER(INDEX(TblClusters[Fermeture retenue],$B421))),IF($E421&gt;=INDEX(TblClusters[Fermeture retenue],$B421),1,0),0))</f>
        <v/>
      </c>
    </row>
    <row r="422" customFormat="false" ht="15" hidden="false" customHeight="false" outlineLevel="0" collapsed="false">
      <c r="A422" s="14" t="n">
        <v>417</v>
      </c>
      <c r="B422" s="14" t="n">
        <f aca="false">INT(($A422-1)/36)+1</f>
        <v>12</v>
      </c>
      <c r="C422" s="14" t="n">
        <f aca="false">MOD($A422-1,36)+1</f>
        <v>21</v>
      </c>
      <c r="D422" s="14" t="n">
        <f aca="false">IF($C422&gt;p_horizon,0,IFERROR(IF(AND(INDEX(TblClusters[Cluster],$B422)&lt;&gt;"",ISNUMBER(INDEX(TblClusters[CPU initial (vCPU)],$B422)),ISNUMBER(INDEX(TblClusters[CPU min (vCPU)],$B422)),OR(INDEX(TblClusters[Plateforme],$B422)="IKS",INDEX(TblClusters[Plateforme],$B422)="ROKS")),1,0),0))</f>
        <v>0</v>
      </c>
      <c r="E422" s="83" t="str">
        <f aca="false">IF($D422=1,EDATE(p_debut,$C422-1),"")</f>
        <v/>
      </c>
      <c r="F422" s="14" t="str">
        <f aca="false">IF($D422=1,INDEX(TblClusters[Cluster],$B422),"")</f>
        <v/>
      </c>
      <c r="G422" s="14" t="str">
        <f aca="false">IF($D422=1,INDEX(TblClusters[Plateforme],$B422),"")</f>
        <v/>
      </c>
      <c r="H422" s="14" t="str">
        <f aca="false">IF($D422=1,INDEX(TblClusters[vCPU par nœud],$B422),"")</f>
        <v/>
      </c>
      <c r="I422" s="14" t="str">
        <f aca="false">IF($D422=1,INDEX(TblClusters[RAM par nœud (Go)],$B422),"")</f>
        <v/>
      </c>
      <c r="J422" s="14" t="str">
        <f aca="false">IF($D422=1,INDEX(TblClusters[Workers min],$B422),"")</f>
        <v/>
      </c>
      <c r="K422" s="84" t="str">
        <f aca="false">IF($D422=1,INDEX(TblClusters[Tarif par nœud],$B422),"")</f>
        <v/>
      </c>
      <c r="L422" s="14" t="str">
        <f aca="false">IF($D422=1,INDEX(TblClusters[CPU initial (vCPU)],$B422),"")</f>
        <v/>
      </c>
      <c r="M422" s="14" t="str">
        <f aca="false">IF($D422=1,INDEX(TblClusters[RAM initiale (Go)],$B422),"")</f>
        <v/>
      </c>
      <c r="N422" s="14" t="str">
        <f aca="false">IF($D422=1,INDEX(TblClusters[CPU min (vCPU)],$B422),"")</f>
        <v/>
      </c>
      <c r="O422" s="14" t="str">
        <f aca="false">IF($D422=1,INDEX(TblClusters[RAM min (Go)],$B422),"")</f>
        <v/>
      </c>
      <c r="P422" s="14" t="str">
        <f aca="false">IF($D422&lt;&gt;1,"",IF($G422="ROKS",SUMIFS(TblApplications[Besoin ROKS CPU (vCPU)],TblApplications[Cluster ROKS cible],$F422,TblApplications[Action],"À migrer",TblApplications[Déjà incluse ROKS],"Non",TblApplications[Mois prov (calc)],"&lt;="&amp;$E422),SUMIFS(TblApplications[CPU IKS libérable (vCPU)],TblApplications[Cluster IKS source],$F422,TblApplications[Mois lib (calc)],"&lt;="&amp;$E422)))</f>
        <v/>
      </c>
      <c r="Q422" s="14" t="str">
        <f aca="false">IF($D422&lt;&gt;1,"",IF($G422="ROKS",SUMIFS(TblApplications[Besoin ROKS RAM (Go)],TblApplications[Cluster ROKS cible],$F422,TblApplications[Action],"À migrer",TblApplications[Déjà incluse ROKS],"Non",TblApplications[Mois prov (calc)],"&lt;="&amp;$E422),SUMIFS(TblApplications[RAM IKS libérable (Go)],TblApplications[Cluster IKS source],$F422,TblApplications[Mois lib (calc)],"&lt;="&amp;$E422)))</f>
        <v/>
      </c>
      <c r="R422" s="14" t="str">
        <f aca="false">IF($D422&lt;&gt;1,"",IF($G422="ROKS",$L422+$P422,IF($AI422=1,0,MAX($N422,$L422-$P422))))</f>
        <v/>
      </c>
      <c r="S422" s="14" t="str">
        <f aca="false">IF($D422&lt;&gt;1,"",IF($G422="ROKS",$M422+$Q422,IF($AI422=1,0,MAX($O422,$M422-$Q422))))</f>
        <v/>
      </c>
      <c r="T422" s="14" t="str">
        <f aca="false">IF($D422&lt;&gt;1,"",IF($AI422=1,0,MAX($J422,ROUNDUP(MAX($R422/$H422,$S422/$I422),0))))</f>
        <v/>
      </c>
      <c r="U422" s="14" t="str">
        <f aca="false">IF($D422&lt;&gt;1,"",IF(p_mode="Nœud",$T422*$H422,$R422))</f>
        <v/>
      </c>
      <c r="V422" s="14" t="str">
        <f aca="false">IF($D422&lt;&gt;1,"",IF(p_mode="Nœud",$T422*$I422,$S422))</f>
        <v/>
      </c>
      <c r="W422" s="84" t="str">
        <f aca="false">IF($D422&lt;&gt;1,"",IF(p_mode="Nœud",$T422*$K422,$R422*IF($G422="IKS",p_iks_cpu,p_roks_cpu)+$S422*IF($G422="IKS",p_iks_ram,p_roks_ram))*p_facteur)</f>
        <v/>
      </c>
      <c r="X422" s="14" t="str">
        <f aca="false">IF($D422&lt;&gt;1,"",IF($G422="ROKS",$R422,IF($AI422=1,0,MAX($N422,$L422-SUMIFS(TblApplications[CPU IKS libérable (vCPU)],TblApplications[Cluster IKS source],$F422,TblApplications[Action],"À migrer",TblApplications[Mois prov (calc)],"&lt;="&amp;$E422)-SUMIFS(TblApplications[CPU IKS libérable (vCPU)],TblApplications[Cluster IKS source],$F422,TblApplications[Action],"À décommissionner",TblApplications[Mois lib (calc)],"&lt;="&amp;$E422)))))</f>
        <v/>
      </c>
      <c r="Y422" s="14" t="str">
        <f aca="false">IF($D422&lt;&gt;1,"",IF($G422="ROKS",$S422,IF($AI422=1,0,MAX($O422,$M422-SUMIFS(TblApplications[RAM IKS libérable (Go)],TblApplications[Cluster IKS source],$F422,TblApplications[Action],"À migrer",TblApplications[Mois prov (calc)],"&lt;="&amp;$E422)-SUMIFS(TblApplications[RAM IKS libérable (Go)],TblApplications[Cluster IKS source],$F422,TblApplications[Action],"À décommissionner",TblApplications[Mois lib (calc)],"&lt;="&amp;$E422)))))</f>
        <v/>
      </c>
      <c r="Z422" s="14" t="str">
        <f aca="false">IF($D422&lt;&gt;1,"",IF($AI422=1,0,MAX($J422,ROUNDUP(MAX($X422/$H422,$Y422/$I422),0))))</f>
        <v/>
      </c>
      <c r="AA422" s="84" t="str">
        <f aca="false">IF($D422&lt;&gt;1,"",IF(p_mode="Nœud",$Z422*$K422,$X422*IF($G422="IKS",p_iks_cpu,p_roks_cpu)+$Y422*IF($G422="IKS",p_iks_ram,p_roks_ram))*p_facteur)</f>
        <v/>
      </c>
      <c r="AB422" s="14" t="str">
        <f aca="false">IF($D422&lt;&gt;1,"",MAX($J422,ROUNDUP(MAX($L422/$H422,$M422/$I422),0)))</f>
        <v/>
      </c>
      <c r="AC422" s="84" t="str">
        <f aca="false">IF($D422&lt;&gt;1,"",IF(p_mode="Nœud",$AB422*$K422,$L422*IF($G422="IKS",p_iks_cpu,p_roks_cpu)+$M422*IF($G422="IKS",p_iks_ram,p_roks_ram))*p_facteur)</f>
        <v/>
      </c>
      <c r="AD422" s="14" t="str">
        <f aca="false">IF($D422&lt;&gt;1,"",IF(AND($G422="IKS",$AI422&lt;&gt;1,OR($L422-$P422&lt;$N422,$M422-$Q422&lt;$O422)),1,0))</f>
        <v/>
      </c>
      <c r="AE422" s="14" t="str">
        <f aca="false">IF($D422&lt;&gt;1,"",IF(AND($G422="ROKS",$T422&gt;p_maxworkers),1,0))</f>
        <v/>
      </c>
      <c r="AF422" s="14" t="str">
        <f aca="false">IF($D422&lt;&gt;1,"",IF(INDEX(TblClusters[Environnement],$B422)="","(vide)",INDEX(TblClusters[Environnement],$B422)))</f>
        <v/>
      </c>
      <c r="AG422" s="14" t="str">
        <f aca="false">IF($D422&lt;&gt;1,"",$R422+p_poidsram*$S422)</f>
        <v/>
      </c>
      <c r="AH422" s="14" t="str">
        <f aca="false">IF($D422&lt;&gt;1,"",IFERROR($W422/$AG422,0))</f>
        <v/>
      </c>
      <c r="AI422" s="14" t="str">
        <f aca="false">IF($D422&lt;&gt;1,"",IF(AND($G422="IKS",ISNUMBER(INDEX(TblClusters[Fermeture retenue],$B422))),IF($E422&gt;=INDEX(TblClusters[Fermeture retenue],$B422),1,0),0))</f>
        <v/>
      </c>
    </row>
    <row r="423" customFormat="false" ht="15" hidden="false" customHeight="false" outlineLevel="0" collapsed="false">
      <c r="A423" s="14" t="n">
        <v>418</v>
      </c>
      <c r="B423" s="14" t="n">
        <f aca="false">INT(($A423-1)/36)+1</f>
        <v>12</v>
      </c>
      <c r="C423" s="14" t="n">
        <f aca="false">MOD($A423-1,36)+1</f>
        <v>22</v>
      </c>
      <c r="D423" s="14" t="n">
        <f aca="false">IF($C423&gt;p_horizon,0,IFERROR(IF(AND(INDEX(TblClusters[Cluster],$B423)&lt;&gt;"",ISNUMBER(INDEX(TblClusters[CPU initial (vCPU)],$B423)),ISNUMBER(INDEX(TblClusters[CPU min (vCPU)],$B423)),OR(INDEX(TblClusters[Plateforme],$B423)="IKS",INDEX(TblClusters[Plateforme],$B423)="ROKS")),1,0),0))</f>
        <v>0</v>
      </c>
      <c r="E423" s="83" t="str">
        <f aca="false">IF($D423=1,EDATE(p_debut,$C423-1),"")</f>
        <v/>
      </c>
      <c r="F423" s="14" t="str">
        <f aca="false">IF($D423=1,INDEX(TblClusters[Cluster],$B423),"")</f>
        <v/>
      </c>
      <c r="G423" s="14" t="str">
        <f aca="false">IF($D423=1,INDEX(TblClusters[Plateforme],$B423),"")</f>
        <v/>
      </c>
      <c r="H423" s="14" t="str">
        <f aca="false">IF($D423=1,INDEX(TblClusters[vCPU par nœud],$B423),"")</f>
        <v/>
      </c>
      <c r="I423" s="14" t="str">
        <f aca="false">IF($D423=1,INDEX(TblClusters[RAM par nœud (Go)],$B423),"")</f>
        <v/>
      </c>
      <c r="J423" s="14" t="str">
        <f aca="false">IF($D423=1,INDEX(TblClusters[Workers min],$B423),"")</f>
        <v/>
      </c>
      <c r="K423" s="84" t="str">
        <f aca="false">IF($D423=1,INDEX(TblClusters[Tarif par nœud],$B423),"")</f>
        <v/>
      </c>
      <c r="L423" s="14" t="str">
        <f aca="false">IF($D423=1,INDEX(TblClusters[CPU initial (vCPU)],$B423),"")</f>
        <v/>
      </c>
      <c r="M423" s="14" t="str">
        <f aca="false">IF($D423=1,INDEX(TblClusters[RAM initiale (Go)],$B423),"")</f>
        <v/>
      </c>
      <c r="N423" s="14" t="str">
        <f aca="false">IF($D423=1,INDEX(TblClusters[CPU min (vCPU)],$B423),"")</f>
        <v/>
      </c>
      <c r="O423" s="14" t="str">
        <f aca="false">IF($D423=1,INDEX(TblClusters[RAM min (Go)],$B423),"")</f>
        <v/>
      </c>
      <c r="P423" s="14" t="str">
        <f aca="false">IF($D423&lt;&gt;1,"",IF($G423="ROKS",SUMIFS(TblApplications[Besoin ROKS CPU (vCPU)],TblApplications[Cluster ROKS cible],$F423,TblApplications[Action],"À migrer",TblApplications[Déjà incluse ROKS],"Non",TblApplications[Mois prov (calc)],"&lt;="&amp;$E423),SUMIFS(TblApplications[CPU IKS libérable (vCPU)],TblApplications[Cluster IKS source],$F423,TblApplications[Mois lib (calc)],"&lt;="&amp;$E423)))</f>
        <v/>
      </c>
      <c r="Q423" s="14" t="str">
        <f aca="false">IF($D423&lt;&gt;1,"",IF($G423="ROKS",SUMIFS(TblApplications[Besoin ROKS RAM (Go)],TblApplications[Cluster ROKS cible],$F423,TblApplications[Action],"À migrer",TblApplications[Déjà incluse ROKS],"Non",TblApplications[Mois prov (calc)],"&lt;="&amp;$E423),SUMIFS(TblApplications[RAM IKS libérable (Go)],TblApplications[Cluster IKS source],$F423,TblApplications[Mois lib (calc)],"&lt;="&amp;$E423)))</f>
        <v/>
      </c>
      <c r="R423" s="14" t="str">
        <f aca="false">IF($D423&lt;&gt;1,"",IF($G423="ROKS",$L423+$P423,IF($AI423=1,0,MAX($N423,$L423-$P423))))</f>
        <v/>
      </c>
      <c r="S423" s="14" t="str">
        <f aca="false">IF($D423&lt;&gt;1,"",IF($G423="ROKS",$M423+$Q423,IF($AI423=1,0,MAX($O423,$M423-$Q423))))</f>
        <v/>
      </c>
      <c r="T423" s="14" t="str">
        <f aca="false">IF($D423&lt;&gt;1,"",IF($AI423=1,0,MAX($J423,ROUNDUP(MAX($R423/$H423,$S423/$I423),0))))</f>
        <v/>
      </c>
      <c r="U423" s="14" t="str">
        <f aca="false">IF($D423&lt;&gt;1,"",IF(p_mode="Nœud",$T423*$H423,$R423))</f>
        <v/>
      </c>
      <c r="V423" s="14" t="str">
        <f aca="false">IF($D423&lt;&gt;1,"",IF(p_mode="Nœud",$T423*$I423,$S423))</f>
        <v/>
      </c>
      <c r="W423" s="84" t="str">
        <f aca="false">IF($D423&lt;&gt;1,"",IF(p_mode="Nœud",$T423*$K423,$R423*IF($G423="IKS",p_iks_cpu,p_roks_cpu)+$S423*IF($G423="IKS",p_iks_ram,p_roks_ram))*p_facteur)</f>
        <v/>
      </c>
      <c r="X423" s="14" t="str">
        <f aca="false">IF($D423&lt;&gt;1,"",IF($G423="ROKS",$R423,IF($AI423=1,0,MAX($N423,$L423-SUMIFS(TblApplications[CPU IKS libérable (vCPU)],TblApplications[Cluster IKS source],$F423,TblApplications[Action],"À migrer",TblApplications[Mois prov (calc)],"&lt;="&amp;$E423)-SUMIFS(TblApplications[CPU IKS libérable (vCPU)],TblApplications[Cluster IKS source],$F423,TblApplications[Action],"À décommissionner",TblApplications[Mois lib (calc)],"&lt;="&amp;$E423)))))</f>
        <v/>
      </c>
      <c r="Y423" s="14" t="str">
        <f aca="false">IF($D423&lt;&gt;1,"",IF($G423="ROKS",$S423,IF($AI423=1,0,MAX($O423,$M423-SUMIFS(TblApplications[RAM IKS libérable (Go)],TblApplications[Cluster IKS source],$F423,TblApplications[Action],"À migrer",TblApplications[Mois prov (calc)],"&lt;="&amp;$E423)-SUMIFS(TblApplications[RAM IKS libérable (Go)],TblApplications[Cluster IKS source],$F423,TblApplications[Action],"À décommissionner",TblApplications[Mois lib (calc)],"&lt;="&amp;$E423)))))</f>
        <v/>
      </c>
      <c r="Z423" s="14" t="str">
        <f aca="false">IF($D423&lt;&gt;1,"",IF($AI423=1,0,MAX($J423,ROUNDUP(MAX($X423/$H423,$Y423/$I423),0))))</f>
        <v/>
      </c>
      <c r="AA423" s="84" t="str">
        <f aca="false">IF($D423&lt;&gt;1,"",IF(p_mode="Nœud",$Z423*$K423,$X423*IF($G423="IKS",p_iks_cpu,p_roks_cpu)+$Y423*IF($G423="IKS",p_iks_ram,p_roks_ram))*p_facteur)</f>
        <v/>
      </c>
      <c r="AB423" s="14" t="str">
        <f aca="false">IF($D423&lt;&gt;1,"",MAX($J423,ROUNDUP(MAX($L423/$H423,$M423/$I423),0)))</f>
        <v/>
      </c>
      <c r="AC423" s="84" t="str">
        <f aca="false">IF($D423&lt;&gt;1,"",IF(p_mode="Nœud",$AB423*$K423,$L423*IF($G423="IKS",p_iks_cpu,p_roks_cpu)+$M423*IF($G423="IKS",p_iks_ram,p_roks_ram))*p_facteur)</f>
        <v/>
      </c>
      <c r="AD423" s="14" t="str">
        <f aca="false">IF($D423&lt;&gt;1,"",IF(AND($G423="IKS",$AI423&lt;&gt;1,OR($L423-$P423&lt;$N423,$M423-$Q423&lt;$O423)),1,0))</f>
        <v/>
      </c>
      <c r="AE423" s="14" t="str">
        <f aca="false">IF($D423&lt;&gt;1,"",IF(AND($G423="ROKS",$T423&gt;p_maxworkers),1,0))</f>
        <v/>
      </c>
      <c r="AF423" s="14" t="str">
        <f aca="false">IF($D423&lt;&gt;1,"",IF(INDEX(TblClusters[Environnement],$B423)="","(vide)",INDEX(TblClusters[Environnement],$B423)))</f>
        <v/>
      </c>
      <c r="AG423" s="14" t="str">
        <f aca="false">IF($D423&lt;&gt;1,"",$R423+p_poidsram*$S423)</f>
        <v/>
      </c>
      <c r="AH423" s="14" t="str">
        <f aca="false">IF($D423&lt;&gt;1,"",IFERROR($W423/$AG423,0))</f>
        <v/>
      </c>
      <c r="AI423" s="14" t="str">
        <f aca="false">IF($D423&lt;&gt;1,"",IF(AND($G423="IKS",ISNUMBER(INDEX(TblClusters[Fermeture retenue],$B423))),IF($E423&gt;=INDEX(TblClusters[Fermeture retenue],$B423),1,0),0))</f>
        <v/>
      </c>
    </row>
    <row r="424" customFormat="false" ht="15" hidden="false" customHeight="false" outlineLevel="0" collapsed="false">
      <c r="A424" s="14" t="n">
        <v>419</v>
      </c>
      <c r="B424" s="14" t="n">
        <f aca="false">INT(($A424-1)/36)+1</f>
        <v>12</v>
      </c>
      <c r="C424" s="14" t="n">
        <f aca="false">MOD($A424-1,36)+1</f>
        <v>23</v>
      </c>
      <c r="D424" s="14" t="n">
        <f aca="false">IF($C424&gt;p_horizon,0,IFERROR(IF(AND(INDEX(TblClusters[Cluster],$B424)&lt;&gt;"",ISNUMBER(INDEX(TblClusters[CPU initial (vCPU)],$B424)),ISNUMBER(INDEX(TblClusters[CPU min (vCPU)],$B424)),OR(INDEX(TblClusters[Plateforme],$B424)="IKS",INDEX(TblClusters[Plateforme],$B424)="ROKS")),1,0),0))</f>
        <v>0</v>
      </c>
      <c r="E424" s="83" t="str">
        <f aca="false">IF($D424=1,EDATE(p_debut,$C424-1),"")</f>
        <v/>
      </c>
      <c r="F424" s="14" t="str">
        <f aca="false">IF($D424=1,INDEX(TblClusters[Cluster],$B424),"")</f>
        <v/>
      </c>
      <c r="G424" s="14" t="str">
        <f aca="false">IF($D424=1,INDEX(TblClusters[Plateforme],$B424),"")</f>
        <v/>
      </c>
      <c r="H424" s="14" t="str">
        <f aca="false">IF($D424=1,INDEX(TblClusters[vCPU par nœud],$B424),"")</f>
        <v/>
      </c>
      <c r="I424" s="14" t="str">
        <f aca="false">IF($D424=1,INDEX(TblClusters[RAM par nœud (Go)],$B424),"")</f>
        <v/>
      </c>
      <c r="J424" s="14" t="str">
        <f aca="false">IF($D424=1,INDEX(TblClusters[Workers min],$B424),"")</f>
        <v/>
      </c>
      <c r="K424" s="84" t="str">
        <f aca="false">IF($D424=1,INDEX(TblClusters[Tarif par nœud],$B424),"")</f>
        <v/>
      </c>
      <c r="L424" s="14" t="str">
        <f aca="false">IF($D424=1,INDEX(TblClusters[CPU initial (vCPU)],$B424),"")</f>
        <v/>
      </c>
      <c r="M424" s="14" t="str">
        <f aca="false">IF($D424=1,INDEX(TblClusters[RAM initiale (Go)],$B424),"")</f>
        <v/>
      </c>
      <c r="N424" s="14" t="str">
        <f aca="false">IF($D424=1,INDEX(TblClusters[CPU min (vCPU)],$B424),"")</f>
        <v/>
      </c>
      <c r="O424" s="14" t="str">
        <f aca="false">IF($D424=1,INDEX(TblClusters[RAM min (Go)],$B424),"")</f>
        <v/>
      </c>
      <c r="P424" s="14" t="str">
        <f aca="false">IF($D424&lt;&gt;1,"",IF($G424="ROKS",SUMIFS(TblApplications[Besoin ROKS CPU (vCPU)],TblApplications[Cluster ROKS cible],$F424,TblApplications[Action],"À migrer",TblApplications[Déjà incluse ROKS],"Non",TblApplications[Mois prov (calc)],"&lt;="&amp;$E424),SUMIFS(TblApplications[CPU IKS libérable (vCPU)],TblApplications[Cluster IKS source],$F424,TblApplications[Mois lib (calc)],"&lt;="&amp;$E424)))</f>
        <v/>
      </c>
      <c r="Q424" s="14" t="str">
        <f aca="false">IF($D424&lt;&gt;1,"",IF($G424="ROKS",SUMIFS(TblApplications[Besoin ROKS RAM (Go)],TblApplications[Cluster ROKS cible],$F424,TblApplications[Action],"À migrer",TblApplications[Déjà incluse ROKS],"Non",TblApplications[Mois prov (calc)],"&lt;="&amp;$E424),SUMIFS(TblApplications[RAM IKS libérable (Go)],TblApplications[Cluster IKS source],$F424,TblApplications[Mois lib (calc)],"&lt;="&amp;$E424)))</f>
        <v/>
      </c>
      <c r="R424" s="14" t="str">
        <f aca="false">IF($D424&lt;&gt;1,"",IF($G424="ROKS",$L424+$P424,IF($AI424=1,0,MAX($N424,$L424-$P424))))</f>
        <v/>
      </c>
      <c r="S424" s="14" t="str">
        <f aca="false">IF($D424&lt;&gt;1,"",IF($G424="ROKS",$M424+$Q424,IF($AI424=1,0,MAX($O424,$M424-$Q424))))</f>
        <v/>
      </c>
      <c r="T424" s="14" t="str">
        <f aca="false">IF($D424&lt;&gt;1,"",IF($AI424=1,0,MAX($J424,ROUNDUP(MAX($R424/$H424,$S424/$I424),0))))</f>
        <v/>
      </c>
      <c r="U424" s="14" t="str">
        <f aca="false">IF($D424&lt;&gt;1,"",IF(p_mode="Nœud",$T424*$H424,$R424))</f>
        <v/>
      </c>
      <c r="V424" s="14" t="str">
        <f aca="false">IF($D424&lt;&gt;1,"",IF(p_mode="Nœud",$T424*$I424,$S424))</f>
        <v/>
      </c>
      <c r="W424" s="84" t="str">
        <f aca="false">IF($D424&lt;&gt;1,"",IF(p_mode="Nœud",$T424*$K424,$R424*IF($G424="IKS",p_iks_cpu,p_roks_cpu)+$S424*IF($G424="IKS",p_iks_ram,p_roks_ram))*p_facteur)</f>
        <v/>
      </c>
      <c r="X424" s="14" t="str">
        <f aca="false">IF($D424&lt;&gt;1,"",IF($G424="ROKS",$R424,IF($AI424=1,0,MAX($N424,$L424-SUMIFS(TblApplications[CPU IKS libérable (vCPU)],TblApplications[Cluster IKS source],$F424,TblApplications[Action],"À migrer",TblApplications[Mois prov (calc)],"&lt;="&amp;$E424)-SUMIFS(TblApplications[CPU IKS libérable (vCPU)],TblApplications[Cluster IKS source],$F424,TblApplications[Action],"À décommissionner",TblApplications[Mois lib (calc)],"&lt;="&amp;$E424)))))</f>
        <v/>
      </c>
      <c r="Y424" s="14" t="str">
        <f aca="false">IF($D424&lt;&gt;1,"",IF($G424="ROKS",$S424,IF($AI424=1,0,MAX($O424,$M424-SUMIFS(TblApplications[RAM IKS libérable (Go)],TblApplications[Cluster IKS source],$F424,TblApplications[Action],"À migrer",TblApplications[Mois prov (calc)],"&lt;="&amp;$E424)-SUMIFS(TblApplications[RAM IKS libérable (Go)],TblApplications[Cluster IKS source],$F424,TblApplications[Action],"À décommissionner",TblApplications[Mois lib (calc)],"&lt;="&amp;$E424)))))</f>
        <v/>
      </c>
      <c r="Z424" s="14" t="str">
        <f aca="false">IF($D424&lt;&gt;1,"",IF($AI424=1,0,MAX($J424,ROUNDUP(MAX($X424/$H424,$Y424/$I424),0))))</f>
        <v/>
      </c>
      <c r="AA424" s="84" t="str">
        <f aca="false">IF($D424&lt;&gt;1,"",IF(p_mode="Nœud",$Z424*$K424,$X424*IF($G424="IKS",p_iks_cpu,p_roks_cpu)+$Y424*IF($G424="IKS",p_iks_ram,p_roks_ram))*p_facteur)</f>
        <v/>
      </c>
      <c r="AB424" s="14" t="str">
        <f aca="false">IF($D424&lt;&gt;1,"",MAX($J424,ROUNDUP(MAX($L424/$H424,$M424/$I424),0)))</f>
        <v/>
      </c>
      <c r="AC424" s="84" t="str">
        <f aca="false">IF($D424&lt;&gt;1,"",IF(p_mode="Nœud",$AB424*$K424,$L424*IF($G424="IKS",p_iks_cpu,p_roks_cpu)+$M424*IF($G424="IKS",p_iks_ram,p_roks_ram))*p_facteur)</f>
        <v/>
      </c>
      <c r="AD424" s="14" t="str">
        <f aca="false">IF($D424&lt;&gt;1,"",IF(AND($G424="IKS",$AI424&lt;&gt;1,OR($L424-$P424&lt;$N424,$M424-$Q424&lt;$O424)),1,0))</f>
        <v/>
      </c>
      <c r="AE424" s="14" t="str">
        <f aca="false">IF($D424&lt;&gt;1,"",IF(AND($G424="ROKS",$T424&gt;p_maxworkers),1,0))</f>
        <v/>
      </c>
      <c r="AF424" s="14" t="str">
        <f aca="false">IF($D424&lt;&gt;1,"",IF(INDEX(TblClusters[Environnement],$B424)="","(vide)",INDEX(TblClusters[Environnement],$B424)))</f>
        <v/>
      </c>
      <c r="AG424" s="14" t="str">
        <f aca="false">IF($D424&lt;&gt;1,"",$R424+p_poidsram*$S424)</f>
        <v/>
      </c>
      <c r="AH424" s="14" t="str">
        <f aca="false">IF($D424&lt;&gt;1,"",IFERROR($W424/$AG424,0))</f>
        <v/>
      </c>
      <c r="AI424" s="14" t="str">
        <f aca="false">IF($D424&lt;&gt;1,"",IF(AND($G424="IKS",ISNUMBER(INDEX(TblClusters[Fermeture retenue],$B424))),IF($E424&gt;=INDEX(TblClusters[Fermeture retenue],$B424),1,0),0))</f>
        <v/>
      </c>
    </row>
    <row r="425" customFormat="false" ht="15" hidden="false" customHeight="false" outlineLevel="0" collapsed="false">
      <c r="A425" s="14" t="n">
        <v>420</v>
      </c>
      <c r="B425" s="14" t="n">
        <f aca="false">INT(($A425-1)/36)+1</f>
        <v>12</v>
      </c>
      <c r="C425" s="14" t="n">
        <f aca="false">MOD($A425-1,36)+1</f>
        <v>24</v>
      </c>
      <c r="D425" s="14" t="n">
        <f aca="false">IF($C425&gt;p_horizon,0,IFERROR(IF(AND(INDEX(TblClusters[Cluster],$B425)&lt;&gt;"",ISNUMBER(INDEX(TblClusters[CPU initial (vCPU)],$B425)),ISNUMBER(INDEX(TblClusters[CPU min (vCPU)],$B425)),OR(INDEX(TblClusters[Plateforme],$B425)="IKS",INDEX(TblClusters[Plateforme],$B425)="ROKS")),1,0),0))</f>
        <v>0</v>
      </c>
      <c r="E425" s="83" t="str">
        <f aca="false">IF($D425=1,EDATE(p_debut,$C425-1),"")</f>
        <v/>
      </c>
      <c r="F425" s="14" t="str">
        <f aca="false">IF($D425=1,INDEX(TblClusters[Cluster],$B425),"")</f>
        <v/>
      </c>
      <c r="G425" s="14" t="str">
        <f aca="false">IF($D425=1,INDEX(TblClusters[Plateforme],$B425),"")</f>
        <v/>
      </c>
      <c r="H425" s="14" t="str">
        <f aca="false">IF($D425=1,INDEX(TblClusters[vCPU par nœud],$B425),"")</f>
        <v/>
      </c>
      <c r="I425" s="14" t="str">
        <f aca="false">IF($D425=1,INDEX(TblClusters[RAM par nœud (Go)],$B425),"")</f>
        <v/>
      </c>
      <c r="J425" s="14" t="str">
        <f aca="false">IF($D425=1,INDEX(TblClusters[Workers min],$B425),"")</f>
        <v/>
      </c>
      <c r="K425" s="84" t="str">
        <f aca="false">IF($D425=1,INDEX(TblClusters[Tarif par nœud],$B425),"")</f>
        <v/>
      </c>
      <c r="L425" s="14" t="str">
        <f aca="false">IF($D425=1,INDEX(TblClusters[CPU initial (vCPU)],$B425),"")</f>
        <v/>
      </c>
      <c r="M425" s="14" t="str">
        <f aca="false">IF($D425=1,INDEX(TblClusters[RAM initiale (Go)],$B425),"")</f>
        <v/>
      </c>
      <c r="N425" s="14" t="str">
        <f aca="false">IF($D425=1,INDEX(TblClusters[CPU min (vCPU)],$B425),"")</f>
        <v/>
      </c>
      <c r="O425" s="14" t="str">
        <f aca="false">IF($D425=1,INDEX(TblClusters[RAM min (Go)],$B425),"")</f>
        <v/>
      </c>
      <c r="P425" s="14" t="str">
        <f aca="false">IF($D425&lt;&gt;1,"",IF($G425="ROKS",SUMIFS(TblApplications[Besoin ROKS CPU (vCPU)],TblApplications[Cluster ROKS cible],$F425,TblApplications[Action],"À migrer",TblApplications[Déjà incluse ROKS],"Non",TblApplications[Mois prov (calc)],"&lt;="&amp;$E425),SUMIFS(TblApplications[CPU IKS libérable (vCPU)],TblApplications[Cluster IKS source],$F425,TblApplications[Mois lib (calc)],"&lt;="&amp;$E425)))</f>
        <v/>
      </c>
      <c r="Q425" s="14" t="str">
        <f aca="false">IF($D425&lt;&gt;1,"",IF($G425="ROKS",SUMIFS(TblApplications[Besoin ROKS RAM (Go)],TblApplications[Cluster ROKS cible],$F425,TblApplications[Action],"À migrer",TblApplications[Déjà incluse ROKS],"Non",TblApplications[Mois prov (calc)],"&lt;="&amp;$E425),SUMIFS(TblApplications[RAM IKS libérable (Go)],TblApplications[Cluster IKS source],$F425,TblApplications[Mois lib (calc)],"&lt;="&amp;$E425)))</f>
        <v/>
      </c>
      <c r="R425" s="14" t="str">
        <f aca="false">IF($D425&lt;&gt;1,"",IF($G425="ROKS",$L425+$P425,IF($AI425=1,0,MAX($N425,$L425-$P425))))</f>
        <v/>
      </c>
      <c r="S425" s="14" t="str">
        <f aca="false">IF($D425&lt;&gt;1,"",IF($G425="ROKS",$M425+$Q425,IF($AI425=1,0,MAX($O425,$M425-$Q425))))</f>
        <v/>
      </c>
      <c r="T425" s="14" t="str">
        <f aca="false">IF($D425&lt;&gt;1,"",IF($AI425=1,0,MAX($J425,ROUNDUP(MAX($R425/$H425,$S425/$I425),0))))</f>
        <v/>
      </c>
      <c r="U425" s="14" t="str">
        <f aca="false">IF($D425&lt;&gt;1,"",IF(p_mode="Nœud",$T425*$H425,$R425))</f>
        <v/>
      </c>
      <c r="V425" s="14" t="str">
        <f aca="false">IF($D425&lt;&gt;1,"",IF(p_mode="Nœud",$T425*$I425,$S425))</f>
        <v/>
      </c>
      <c r="W425" s="84" t="str">
        <f aca="false">IF($D425&lt;&gt;1,"",IF(p_mode="Nœud",$T425*$K425,$R425*IF($G425="IKS",p_iks_cpu,p_roks_cpu)+$S425*IF($G425="IKS",p_iks_ram,p_roks_ram))*p_facteur)</f>
        <v/>
      </c>
      <c r="X425" s="14" t="str">
        <f aca="false">IF($D425&lt;&gt;1,"",IF($G425="ROKS",$R425,IF($AI425=1,0,MAX($N425,$L425-SUMIFS(TblApplications[CPU IKS libérable (vCPU)],TblApplications[Cluster IKS source],$F425,TblApplications[Action],"À migrer",TblApplications[Mois prov (calc)],"&lt;="&amp;$E425)-SUMIFS(TblApplications[CPU IKS libérable (vCPU)],TblApplications[Cluster IKS source],$F425,TblApplications[Action],"À décommissionner",TblApplications[Mois lib (calc)],"&lt;="&amp;$E425)))))</f>
        <v/>
      </c>
      <c r="Y425" s="14" t="str">
        <f aca="false">IF($D425&lt;&gt;1,"",IF($G425="ROKS",$S425,IF($AI425=1,0,MAX($O425,$M425-SUMIFS(TblApplications[RAM IKS libérable (Go)],TblApplications[Cluster IKS source],$F425,TblApplications[Action],"À migrer",TblApplications[Mois prov (calc)],"&lt;="&amp;$E425)-SUMIFS(TblApplications[RAM IKS libérable (Go)],TblApplications[Cluster IKS source],$F425,TblApplications[Action],"À décommissionner",TblApplications[Mois lib (calc)],"&lt;="&amp;$E425)))))</f>
        <v/>
      </c>
      <c r="Z425" s="14" t="str">
        <f aca="false">IF($D425&lt;&gt;1,"",IF($AI425=1,0,MAX($J425,ROUNDUP(MAX($X425/$H425,$Y425/$I425),0))))</f>
        <v/>
      </c>
      <c r="AA425" s="84" t="str">
        <f aca="false">IF($D425&lt;&gt;1,"",IF(p_mode="Nœud",$Z425*$K425,$X425*IF($G425="IKS",p_iks_cpu,p_roks_cpu)+$Y425*IF($G425="IKS",p_iks_ram,p_roks_ram))*p_facteur)</f>
        <v/>
      </c>
      <c r="AB425" s="14" t="str">
        <f aca="false">IF($D425&lt;&gt;1,"",MAX($J425,ROUNDUP(MAX($L425/$H425,$M425/$I425),0)))</f>
        <v/>
      </c>
      <c r="AC425" s="84" t="str">
        <f aca="false">IF($D425&lt;&gt;1,"",IF(p_mode="Nœud",$AB425*$K425,$L425*IF($G425="IKS",p_iks_cpu,p_roks_cpu)+$M425*IF($G425="IKS",p_iks_ram,p_roks_ram))*p_facteur)</f>
        <v/>
      </c>
      <c r="AD425" s="14" t="str">
        <f aca="false">IF($D425&lt;&gt;1,"",IF(AND($G425="IKS",$AI425&lt;&gt;1,OR($L425-$P425&lt;$N425,$M425-$Q425&lt;$O425)),1,0))</f>
        <v/>
      </c>
      <c r="AE425" s="14" t="str">
        <f aca="false">IF($D425&lt;&gt;1,"",IF(AND($G425="ROKS",$T425&gt;p_maxworkers),1,0))</f>
        <v/>
      </c>
      <c r="AF425" s="14" t="str">
        <f aca="false">IF($D425&lt;&gt;1,"",IF(INDEX(TblClusters[Environnement],$B425)="","(vide)",INDEX(TblClusters[Environnement],$B425)))</f>
        <v/>
      </c>
      <c r="AG425" s="14" t="str">
        <f aca="false">IF($D425&lt;&gt;1,"",$R425+p_poidsram*$S425)</f>
        <v/>
      </c>
      <c r="AH425" s="14" t="str">
        <f aca="false">IF($D425&lt;&gt;1,"",IFERROR($W425/$AG425,0))</f>
        <v/>
      </c>
      <c r="AI425" s="14" t="str">
        <f aca="false">IF($D425&lt;&gt;1,"",IF(AND($G425="IKS",ISNUMBER(INDEX(TblClusters[Fermeture retenue],$B425))),IF($E425&gt;=INDEX(TblClusters[Fermeture retenue],$B425),1,0),0))</f>
        <v/>
      </c>
    </row>
    <row r="426" customFormat="false" ht="15" hidden="false" customHeight="false" outlineLevel="0" collapsed="false">
      <c r="A426" s="14" t="n">
        <v>421</v>
      </c>
      <c r="B426" s="14" t="n">
        <f aca="false">INT(($A426-1)/36)+1</f>
        <v>12</v>
      </c>
      <c r="C426" s="14" t="n">
        <f aca="false">MOD($A426-1,36)+1</f>
        <v>25</v>
      </c>
      <c r="D426" s="14" t="n">
        <f aca="false">IF($C426&gt;p_horizon,0,IFERROR(IF(AND(INDEX(TblClusters[Cluster],$B426)&lt;&gt;"",ISNUMBER(INDEX(TblClusters[CPU initial (vCPU)],$B426)),ISNUMBER(INDEX(TblClusters[CPU min (vCPU)],$B426)),OR(INDEX(TblClusters[Plateforme],$B426)="IKS",INDEX(TblClusters[Plateforme],$B426)="ROKS")),1,0),0))</f>
        <v>0</v>
      </c>
      <c r="E426" s="83" t="str">
        <f aca="false">IF($D426=1,EDATE(p_debut,$C426-1),"")</f>
        <v/>
      </c>
      <c r="F426" s="14" t="str">
        <f aca="false">IF($D426=1,INDEX(TblClusters[Cluster],$B426),"")</f>
        <v/>
      </c>
      <c r="G426" s="14" t="str">
        <f aca="false">IF($D426=1,INDEX(TblClusters[Plateforme],$B426),"")</f>
        <v/>
      </c>
      <c r="H426" s="14" t="str">
        <f aca="false">IF($D426=1,INDEX(TblClusters[vCPU par nœud],$B426),"")</f>
        <v/>
      </c>
      <c r="I426" s="14" t="str">
        <f aca="false">IF($D426=1,INDEX(TblClusters[RAM par nœud (Go)],$B426),"")</f>
        <v/>
      </c>
      <c r="J426" s="14" t="str">
        <f aca="false">IF($D426=1,INDEX(TblClusters[Workers min],$B426),"")</f>
        <v/>
      </c>
      <c r="K426" s="84" t="str">
        <f aca="false">IF($D426=1,INDEX(TblClusters[Tarif par nœud],$B426),"")</f>
        <v/>
      </c>
      <c r="L426" s="14" t="str">
        <f aca="false">IF($D426=1,INDEX(TblClusters[CPU initial (vCPU)],$B426),"")</f>
        <v/>
      </c>
      <c r="M426" s="14" t="str">
        <f aca="false">IF($D426=1,INDEX(TblClusters[RAM initiale (Go)],$B426),"")</f>
        <v/>
      </c>
      <c r="N426" s="14" t="str">
        <f aca="false">IF($D426=1,INDEX(TblClusters[CPU min (vCPU)],$B426),"")</f>
        <v/>
      </c>
      <c r="O426" s="14" t="str">
        <f aca="false">IF($D426=1,INDEX(TblClusters[RAM min (Go)],$B426),"")</f>
        <v/>
      </c>
      <c r="P426" s="14" t="str">
        <f aca="false">IF($D426&lt;&gt;1,"",IF($G426="ROKS",SUMIFS(TblApplications[Besoin ROKS CPU (vCPU)],TblApplications[Cluster ROKS cible],$F426,TblApplications[Action],"À migrer",TblApplications[Déjà incluse ROKS],"Non",TblApplications[Mois prov (calc)],"&lt;="&amp;$E426),SUMIFS(TblApplications[CPU IKS libérable (vCPU)],TblApplications[Cluster IKS source],$F426,TblApplications[Mois lib (calc)],"&lt;="&amp;$E426)))</f>
        <v/>
      </c>
      <c r="Q426" s="14" t="str">
        <f aca="false">IF($D426&lt;&gt;1,"",IF($G426="ROKS",SUMIFS(TblApplications[Besoin ROKS RAM (Go)],TblApplications[Cluster ROKS cible],$F426,TblApplications[Action],"À migrer",TblApplications[Déjà incluse ROKS],"Non",TblApplications[Mois prov (calc)],"&lt;="&amp;$E426),SUMIFS(TblApplications[RAM IKS libérable (Go)],TblApplications[Cluster IKS source],$F426,TblApplications[Mois lib (calc)],"&lt;="&amp;$E426)))</f>
        <v/>
      </c>
      <c r="R426" s="14" t="str">
        <f aca="false">IF($D426&lt;&gt;1,"",IF($G426="ROKS",$L426+$P426,IF($AI426=1,0,MAX($N426,$L426-$P426))))</f>
        <v/>
      </c>
      <c r="S426" s="14" t="str">
        <f aca="false">IF($D426&lt;&gt;1,"",IF($G426="ROKS",$M426+$Q426,IF($AI426=1,0,MAX($O426,$M426-$Q426))))</f>
        <v/>
      </c>
      <c r="T426" s="14" t="str">
        <f aca="false">IF($D426&lt;&gt;1,"",IF($AI426=1,0,MAX($J426,ROUNDUP(MAX($R426/$H426,$S426/$I426),0))))</f>
        <v/>
      </c>
      <c r="U426" s="14" t="str">
        <f aca="false">IF($D426&lt;&gt;1,"",IF(p_mode="Nœud",$T426*$H426,$R426))</f>
        <v/>
      </c>
      <c r="V426" s="14" t="str">
        <f aca="false">IF($D426&lt;&gt;1,"",IF(p_mode="Nœud",$T426*$I426,$S426))</f>
        <v/>
      </c>
      <c r="W426" s="84" t="str">
        <f aca="false">IF($D426&lt;&gt;1,"",IF(p_mode="Nœud",$T426*$K426,$R426*IF($G426="IKS",p_iks_cpu,p_roks_cpu)+$S426*IF($G426="IKS",p_iks_ram,p_roks_ram))*p_facteur)</f>
        <v/>
      </c>
      <c r="X426" s="14" t="str">
        <f aca="false">IF($D426&lt;&gt;1,"",IF($G426="ROKS",$R426,IF($AI426=1,0,MAX($N426,$L426-SUMIFS(TblApplications[CPU IKS libérable (vCPU)],TblApplications[Cluster IKS source],$F426,TblApplications[Action],"À migrer",TblApplications[Mois prov (calc)],"&lt;="&amp;$E426)-SUMIFS(TblApplications[CPU IKS libérable (vCPU)],TblApplications[Cluster IKS source],$F426,TblApplications[Action],"À décommissionner",TblApplications[Mois lib (calc)],"&lt;="&amp;$E426)))))</f>
        <v/>
      </c>
      <c r="Y426" s="14" t="str">
        <f aca="false">IF($D426&lt;&gt;1,"",IF($G426="ROKS",$S426,IF($AI426=1,0,MAX($O426,$M426-SUMIFS(TblApplications[RAM IKS libérable (Go)],TblApplications[Cluster IKS source],$F426,TblApplications[Action],"À migrer",TblApplications[Mois prov (calc)],"&lt;="&amp;$E426)-SUMIFS(TblApplications[RAM IKS libérable (Go)],TblApplications[Cluster IKS source],$F426,TblApplications[Action],"À décommissionner",TblApplications[Mois lib (calc)],"&lt;="&amp;$E426)))))</f>
        <v/>
      </c>
      <c r="Z426" s="14" t="str">
        <f aca="false">IF($D426&lt;&gt;1,"",IF($AI426=1,0,MAX($J426,ROUNDUP(MAX($X426/$H426,$Y426/$I426),0))))</f>
        <v/>
      </c>
      <c r="AA426" s="84" t="str">
        <f aca="false">IF($D426&lt;&gt;1,"",IF(p_mode="Nœud",$Z426*$K426,$X426*IF($G426="IKS",p_iks_cpu,p_roks_cpu)+$Y426*IF($G426="IKS",p_iks_ram,p_roks_ram))*p_facteur)</f>
        <v/>
      </c>
      <c r="AB426" s="14" t="str">
        <f aca="false">IF($D426&lt;&gt;1,"",MAX($J426,ROUNDUP(MAX($L426/$H426,$M426/$I426),0)))</f>
        <v/>
      </c>
      <c r="AC426" s="84" t="str">
        <f aca="false">IF($D426&lt;&gt;1,"",IF(p_mode="Nœud",$AB426*$K426,$L426*IF($G426="IKS",p_iks_cpu,p_roks_cpu)+$M426*IF($G426="IKS",p_iks_ram,p_roks_ram))*p_facteur)</f>
        <v/>
      </c>
      <c r="AD426" s="14" t="str">
        <f aca="false">IF($D426&lt;&gt;1,"",IF(AND($G426="IKS",$AI426&lt;&gt;1,OR($L426-$P426&lt;$N426,$M426-$Q426&lt;$O426)),1,0))</f>
        <v/>
      </c>
      <c r="AE426" s="14" t="str">
        <f aca="false">IF($D426&lt;&gt;1,"",IF(AND($G426="ROKS",$T426&gt;p_maxworkers),1,0))</f>
        <v/>
      </c>
      <c r="AF426" s="14" t="str">
        <f aca="false">IF($D426&lt;&gt;1,"",IF(INDEX(TblClusters[Environnement],$B426)="","(vide)",INDEX(TblClusters[Environnement],$B426)))</f>
        <v/>
      </c>
      <c r="AG426" s="14" t="str">
        <f aca="false">IF($D426&lt;&gt;1,"",$R426+p_poidsram*$S426)</f>
        <v/>
      </c>
      <c r="AH426" s="14" t="str">
        <f aca="false">IF($D426&lt;&gt;1,"",IFERROR($W426/$AG426,0))</f>
        <v/>
      </c>
      <c r="AI426" s="14" t="str">
        <f aca="false">IF($D426&lt;&gt;1,"",IF(AND($G426="IKS",ISNUMBER(INDEX(TblClusters[Fermeture retenue],$B426))),IF($E426&gt;=INDEX(TblClusters[Fermeture retenue],$B426),1,0),0))</f>
        <v/>
      </c>
    </row>
    <row r="427" customFormat="false" ht="15" hidden="false" customHeight="false" outlineLevel="0" collapsed="false">
      <c r="A427" s="14" t="n">
        <v>422</v>
      </c>
      <c r="B427" s="14" t="n">
        <f aca="false">INT(($A427-1)/36)+1</f>
        <v>12</v>
      </c>
      <c r="C427" s="14" t="n">
        <f aca="false">MOD($A427-1,36)+1</f>
        <v>26</v>
      </c>
      <c r="D427" s="14" t="n">
        <f aca="false">IF($C427&gt;p_horizon,0,IFERROR(IF(AND(INDEX(TblClusters[Cluster],$B427)&lt;&gt;"",ISNUMBER(INDEX(TblClusters[CPU initial (vCPU)],$B427)),ISNUMBER(INDEX(TblClusters[CPU min (vCPU)],$B427)),OR(INDEX(TblClusters[Plateforme],$B427)="IKS",INDEX(TblClusters[Plateforme],$B427)="ROKS")),1,0),0))</f>
        <v>0</v>
      </c>
      <c r="E427" s="83" t="str">
        <f aca="false">IF($D427=1,EDATE(p_debut,$C427-1),"")</f>
        <v/>
      </c>
      <c r="F427" s="14" t="str">
        <f aca="false">IF($D427=1,INDEX(TblClusters[Cluster],$B427),"")</f>
        <v/>
      </c>
      <c r="G427" s="14" t="str">
        <f aca="false">IF($D427=1,INDEX(TblClusters[Plateforme],$B427),"")</f>
        <v/>
      </c>
      <c r="H427" s="14" t="str">
        <f aca="false">IF($D427=1,INDEX(TblClusters[vCPU par nœud],$B427),"")</f>
        <v/>
      </c>
      <c r="I427" s="14" t="str">
        <f aca="false">IF($D427=1,INDEX(TblClusters[RAM par nœud (Go)],$B427),"")</f>
        <v/>
      </c>
      <c r="J427" s="14" t="str">
        <f aca="false">IF($D427=1,INDEX(TblClusters[Workers min],$B427),"")</f>
        <v/>
      </c>
      <c r="K427" s="84" t="str">
        <f aca="false">IF($D427=1,INDEX(TblClusters[Tarif par nœud],$B427),"")</f>
        <v/>
      </c>
      <c r="L427" s="14" t="str">
        <f aca="false">IF($D427=1,INDEX(TblClusters[CPU initial (vCPU)],$B427),"")</f>
        <v/>
      </c>
      <c r="M427" s="14" t="str">
        <f aca="false">IF($D427=1,INDEX(TblClusters[RAM initiale (Go)],$B427),"")</f>
        <v/>
      </c>
      <c r="N427" s="14" t="str">
        <f aca="false">IF($D427=1,INDEX(TblClusters[CPU min (vCPU)],$B427),"")</f>
        <v/>
      </c>
      <c r="O427" s="14" t="str">
        <f aca="false">IF($D427=1,INDEX(TblClusters[RAM min (Go)],$B427),"")</f>
        <v/>
      </c>
      <c r="P427" s="14" t="str">
        <f aca="false">IF($D427&lt;&gt;1,"",IF($G427="ROKS",SUMIFS(TblApplications[Besoin ROKS CPU (vCPU)],TblApplications[Cluster ROKS cible],$F427,TblApplications[Action],"À migrer",TblApplications[Déjà incluse ROKS],"Non",TblApplications[Mois prov (calc)],"&lt;="&amp;$E427),SUMIFS(TblApplications[CPU IKS libérable (vCPU)],TblApplications[Cluster IKS source],$F427,TblApplications[Mois lib (calc)],"&lt;="&amp;$E427)))</f>
        <v/>
      </c>
      <c r="Q427" s="14" t="str">
        <f aca="false">IF($D427&lt;&gt;1,"",IF($G427="ROKS",SUMIFS(TblApplications[Besoin ROKS RAM (Go)],TblApplications[Cluster ROKS cible],$F427,TblApplications[Action],"À migrer",TblApplications[Déjà incluse ROKS],"Non",TblApplications[Mois prov (calc)],"&lt;="&amp;$E427),SUMIFS(TblApplications[RAM IKS libérable (Go)],TblApplications[Cluster IKS source],$F427,TblApplications[Mois lib (calc)],"&lt;="&amp;$E427)))</f>
        <v/>
      </c>
      <c r="R427" s="14" t="str">
        <f aca="false">IF($D427&lt;&gt;1,"",IF($G427="ROKS",$L427+$P427,IF($AI427=1,0,MAX($N427,$L427-$P427))))</f>
        <v/>
      </c>
      <c r="S427" s="14" t="str">
        <f aca="false">IF($D427&lt;&gt;1,"",IF($G427="ROKS",$M427+$Q427,IF($AI427=1,0,MAX($O427,$M427-$Q427))))</f>
        <v/>
      </c>
      <c r="T427" s="14" t="str">
        <f aca="false">IF($D427&lt;&gt;1,"",IF($AI427=1,0,MAX($J427,ROUNDUP(MAX($R427/$H427,$S427/$I427),0))))</f>
        <v/>
      </c>
      <c r="U427" s="14" t="str">
        <f aca="false">IF($D427&lt;&gt;1,"",IF(p_mode="Nœud",$T427*$H427,$R427))</f>
        <v/>
      </c>
      <c r="V427" s="14" t="str">
        <f aca="false">IF($D427&lt;&gt;1,"",IF(p_mode="Nœud",$T427*$I427,$S427))</f>
        <v/>
      </c>
      <c r="W427" s="84" t="str">
        <f aca="false">IF($D427&lt;&gt;1,"",IF(p_mode="Nœud",$T427*$K427,$R427*IF($G427="IKS",p_iks_cpu,p_roks_cpu)+$S427*IF($G427="IKS",p_iks_ram,p_roks_ram))*p_facteur)</f>
        <v/>
      </c>
      <c r="X427" s="14" t="str">
        <f aca="false">IF($D427&lt;&gt;1,"",IF($G427="ROKS",$R427,IF($AI427=1,0,MAX($N427,$L427-SUMIFS(TblApplications[CPU IKS libérable (vCPU)],TblApplications[Cluster IKS source],$F427,TblApplications[Action],"À migrer",TblApplications[Mois prov (calc)],"&lt;="&amp;$E427)-SUMIFS(TblApplications[CPU IKS libérable (vCPU)],TblApplications[Cluster IKS source],$F427,TblApplications[Action],"À décommissionner",TblApplications[Mois lib (calc)],"&lt;="&amp;$E427)))))</f>
        <v/>
      </c>
      <c r="Y427" s="14" t="str">
        <f aca="false">IF($D427&lt;&gt;1,"",IF($G427="ROKS",$S427,IF($AI427=1,0,MAX($O427,$M427-SUMIFS(TblApplications[RAM IKS libérable (Go)],TblApplications[Cluster IKS source],$F427,TblApplications[Action],"À migrer",TblApplications[Mois prov (calc)],"&lt;="&amp;$E427)-SUMIFS(TblApplications[RAM IKS libérable (Go)],TblApplications[Cluster IKS source],$F427,TblApplications[Action],"À décommissionner",TblApplications[Mois lib (calc)],"&lt;="&amp;$E427)))))</f>
        <v/>
      </c>
      <c r="Z427" s="14" t="str">
        <f aca="false">IF($D427&lt;&gt;1,"",IF($AI427=1,0,MAX($J427,ROUNDUP(MAX($X427/$H427,$Y427/$I427),0))))</f>
        <v/>
      </c>
      <c r="AA427" s="84" t="str">
        <f aca="false">IF($D427&lt;&gt;1,"",IF(p_mode="Nœud",$Z427*$K427,$X427*IF($G427="IKS",p_iks_cpu,p_roks_cpu)+$Y427*IF($G427="IKS",p_iks_ram,p_roks_ram))*p_facteur)</f>
        <v/>
      </c>
      <c r="AB427" s="14" t="str">
        <f aca="false">IF($D427&lt;&gt;1,"",MAX($J427,ROUNDUP(MAX($L427/$H427,$M427/$I427),0)))</f>
        <v/>
      </c>
      <c r="AC427" s="84" t="str">
        <f aca="false">IF($D427&lt;&gt;1,"",IF(p_mode="Nœud",$AB427*$K427,$L427*IF($G427="IKS",p_iks_cpu,p_roks_cpu)+$M427*IF($G427="IKS",p_iks_ram,p_roks_ram))*p_facteur)</f>
        <v/>
      </c>
      <c r="AD427" s="14" t="str">
        <f aca="false">IF($D427&lt;&gt;1,"",IF(AND($G427="IKS",$AI427&lt;&gt;1,OR($L427-$P427&lt;$N427,$M427-$Q427&lt;$O427)),1,0))</f>
        <v/>
      </c>
      <c r="AE427" s="14" t="str">
        <f aca="false">IF($D427&lt;&gt;1,"",IF(AND($G427="ROKS",$T427&gt;p_maxworkers),1,0))</f>
        <v/>
      </c>
      <c r="AF427" s="14" t="str">
        <f aca="false">IF($D427&lt;&gt;1,"",IF(INDEX(TblClusters[Environnement],$B427)="","(vide)",INDEX(TblClusters[Environnement],$B427)))</f>
        <v/>
      </c>
      <c r="AG427" s="14" t="str">
        <f aca="false">IF($D427&lt;&gt;1,"",$R427+p_poidsram*$S427)</f>
        <v/>
      </c>
      <c r="AH427" s="14" t="str">
        <f aca="false">IF($D427&lt;&gt;1,"",IFERROR($W427/$AG427,0))</f>
        <v/>
      </c>
      <c r="AI427" s="14" t="str">
        <f aca="false">IF($D427&lt;&gt;1,"",IF(AND($G427="IKS",ISNUMBER(INDEX(TblClusters[Fermeture retenue],$B427))),IF($E427&gt;=INDEX(TblClusters[Fermeture retenue],$B427),1,0),0))</f>
        <v/>
      </c>
    </row>
    <row r="428" customFormat="false" ht="15" hidden="false" customHeight="false" outlineLevel="0" collapsed="false">
      <c r="A428" s="14" t="n">
        <v>423</v>
      </c>
      <c r="B428" s="14" t="n">
        <f aca="false">INT(($A428-1)/36)+1</f>
        <v>12</v>
      </c>
      <c r="C428" s="14" t="n">
        <f aca="false">MOD($A428-1,36)+1</f>
        <v>27</v>
      </c>
      <c r="D428" s="14" t="n">
        <f aca="false">IF($C428&gt;p_horizon,0,IFERROR(IF(AND(INDEX(TblClusters[Cluster],$B428)&lt;&gt;"",ISNUMBER(INDEX(TblClusters[CPU initial (vCPU)],$B428)),ISNUMBER(INDEX(TblClusters[CPU min (vCPU)],$B428)),OR(INDEX(TblClusters[Plateforme],$B428)="IKS",INDEX(TblClusters[Plateforme],$B428)="ROKS")),1,0),0))</f>
        <v>0</v>
      </c>
      <c r="E428" s="83" t="str">
        <f aca="false">IF($D428=1,EDATE(p_debut,$C428-1),"")</f>
        <v/>
      </c>
      <c r="F428" s="14" t="str">
        <f aca="false">IF($D428=1,INDEX(TblClusters[Cluster],$B428),"")</f>
        <v/>
      </c>
      <c r="G428" s="14" t="str">
        <f aca="false">IF($D428=1,INDEX(TblClusters[Plateforme],$B428),"")</f>
        <v/>
      </c>
      <c r="H428" s="14" t="str">
        <f aca="false">IF($D428=1,INDEX(TblClusters[vCPU par nœud],$B428),"")</f>
        <v/>
      </c>
      <c r="I428" s="14" t="str">
        <f aca="false">IF($D428=1,INDEX(TblClusters[RAM par nœud (Go)],$B428),"")</f>
        <v/>
      </c>
      <c r="J428" s="14" t="str">
        <f aca="false">IF($D428=1,INDEX(TblClusters[Workers min],$B428),"")</f>
        <v/>
      </c>
      <c r="K428" s="84" t="str">
        <f aca="false">IF($D428=1,INDEX(TblClusters[Tarif par nœud],$B428),"")</f>
        <v/>
      </c>
      <c r="L428" s="14" t="str">
        <f aca="false">IF($D428=1,INDEX(TblClusters[CPU initial (vCPU)],$B428),"")</f>
        <v/>
      </c>
      <c r="M428" s="14" t="str">
        <f aca="false">IF($D428=1,INDEX(TblClusters[RAM initiale (Go)],$B428),"")</f>
        <v/>
      </c>
      <c r="N428" s="14" t="str">
        <f aca="false">IF($D428=1,INDEX(TblClusters[CPU min (vCPU)],$B428),"")</f>
        <v/>
      </c>
      <c r="O428" s="14" t="str">
        <f aca="false">IF($D428=1,INDEX(TblClusters[RAM min (Go)],$B428),"")</f>
        <v/>
      </c>
      <c r="P428" s="14" t="str">
        <f aca="false">IF($D428&lt;&gt;1,"",IF($G428="ROKS",SUMIFS(TblApplications[Besoin ROKS CPU (vCPU)],TblApplications[Cluster ROKS cible],$F428,TblApplications[Action],"À migrer",TblApplications[Déjà incluse ROKS],"Non",TblApplications[Mois prov (calc)],"&lt;="&amp;$E428),SUMIFS(TblApplications[CPU IKS libérable (vCPU)],TblApplications[Cluster IKS source],$F428,TblApplications[Mois lib (calc)],"&lt;="&amp;$E428)))</f>
        <v/>
      </c>
      <c r="Q428" s="14" t="str">
        <f aca="false">IF($D428&lt;&gt;1,"",IF($G428="ROKS",SUMIFS(TblApplications[Besoin ROKS RAM (Go)],TblApplications[Cluster ROKS cible],$F428,TblApplications[Action],"À migrer",TblApplications[Déjà incluse ROKS],"Non",TblApplications[Mois prov (calc)],"&lt;="&amp;$E428),SUMIFS(TblApplications[RAM IKS libérable (Go)],TblApplications[Cluster IKS source],$F428,TblApplications[Mois lib (calc)],"&lt;="&amp;$E428)))</f>
        <v/>
      </c>
      <c r="R428" s="14" t="str">
        <f aca="false">IF($D428&lt;&gt;1,"",IF($G428="ROKS",$L428+$P428,IF($AI428=1,0,MAX($N428,$L428-$P428))))</f>
        <v/>
      </c>
      <c r="S428" s="14" t="str">
        <f aca="false">IF($D428&lt;&gt;1,"",IF($G428="ROKS",$M428+$Q428,IF($AI428=1,0,MAX($O428,$M428-$Q428))))</f>
        <v/>
      </c>
      <c r="T428" s="14" t="str">
        <f aca="false">IF($D428&lt;&gt;1,"",IF($AI428=1,0,MAX($J428,ROUNDUP(MAX($R428/$H428,$S428/$I428),0))))</f>
        <v/>
      </c>
      <c r="U428" s="14" t="str">
        <f aca="false">IF($D428&lt;&gt;1,"",IF(p_mode="Nœud",$T428*$H428,$R428))</f>
        <v/>
      </c>
      <c r="V428" s="14" t="str">
        <f aca="false">IF($D428&lt;&gt;1,"",IF(p_mode="Nœud",$T428*$I428,$S428))</f>
        <v/>
      </c>
      <c r="W428" s="84" t="str">
        <f aca="false">IF($D428&lt;&gt;1,"",IF(p_mode="Nœud",$T428*$K428,$R428*IF($G428="IKS",p_iks_cpu,p_roks_cpu)+$S428*IF($G428="IKS",p_iks_ram,p_roks_ram))*p_facteur)</f>
        <v/>
      </c>
      <c r="X428" s="14" t="str">
        <f aca="false">IF($D428&lt;&gt;1,"",IF($G428="ROKS",$R428,IF($AI428=1,0,MAX($N428,$L428-SUMIFS(TblApplications[CPU IKS libérable (vCPU)],TblApplications[Cluster IKS source],$F428,TblApplications[Action],"À migrer",TblApplications[Mois prov (calc)],"&lt;="&amp;$E428)-SUMIFS(TblApplications[CPU IKS libérable (vCPU)],TblApplications[Cluster IKS source],$F428,TblApplications[Action],"À décommissionner",TblApplications[Mois lib (calc)],"&lt;="&amp;$E428)))))</f>
        <v/>
      </c>
      <c r="Y428" s="14" t="str">
        <f aca="false">IF($D428&lt;&gt;1,"",IF($G428="ROKS",$S428,IF($AI428=1,0,MAX($O428,$M428-SUMIFS(TblApplications[RAM IKS libérable (Go)],TblApplications[Cluster IKS source],$F428,TblApplications[Action],"À migrer",TblApplications[Mois prov (calc)],"&lt;="&amp;$E428)-SUMIFS(TblApplications[RAM IKS libérable (Go)],TblApplications[Cluster IKS source],$F428,TblApplications[Action],"À décommissionner",TblApplications[Mois lib (calc)],"&lt;="&amp;$E428)))))</f>
        <v/>
      </c>
      <c r="Z428" s="14" t="str">
        <f aca="false">IF($D428&lt;&gt;1,"",IF($AI428=1,0,MAX($J428,ROUNDUP(MAX($X428/$H428,$Y428/$I428),0))))</f>
        <v/>
      </c>
      <c r="AA428" s="84" t="str">
        <f aca="false">IF($D428&lt;&gt;1,"",IF(p_mode="Nœud",$Z428*$K428,$X428*IF($G428="IKS",p_iks_cpu,p_roks_cpu)+$Y428*IF($G428="IKS",p_iks_ram,p_roks_ram))*p_facteur)</f>
        <v/>
      </c>
      <c r="AB428" s="14" t="str">
        <f aca="false">IF($D428&lt;&gt;1,"",MAX($J428,ROUNDUP(MAX($L428/$H428,$M428/$I428),0)))</f>
        <v/>
      </c>
      <c r="AC428" s="84" t="str">
        <f aca="false">IF($D428&lt;&gt;1,"",IF(p_mode="Nœud",$AB428*$K428,$L428*IF($G428="IKS",p_iks_cpu,p_roks_cpu)+$M428*IF($G428="IKS",p_iks_ram,p_roks_ram))*p_facteur)</f>
        <v/>
      </c>
      <c r="AD428" s="14" t="str">
        <f aca="false">IF($D428&lt;&gt;1,"",IF(AND($G428="IKS",$AI428&lt;&gt;1,OR($L428-$P428&lt;$N428,$M428-$Q428&lt;$O428)),1,0))</f>
        <v/>
      </c>
      <c r="AE428" s="14" t="str">
        <f aca="false">IF($D428&lt;&gt;1,"",IF(AND($G428="ROKS",$T428&gt;p_maxworkers),1,0))</f>
        <v/>
      </c>
      <c r="AF428" s="14" t="str">
        <f aca="false">IF($D428&lt;&gt;1,"",IF(INDEX(TblClusters[Environnement],$B428)="","(vide)",INDEX(TblClusters[Environnement],$B428)))</f>
        <v/>
      </c>
      <c r="AG428" s="14" t="str">
        <f aca="false">IF($D428&lt;&gt;1,"",$R428+p_poidsram*$S428)</f>
        <v/>
      </c>
      <c r="AH428" s="14" t="str">
        <f aca="false">IF($D428&lt;&gt;1,"",IFERROR($W428/$AG428,0))</f>
        <v/>
      </c>
      <c r="AI428" s="14" t="str">
        <f aca="false">IF($D428&lt;&gt;1,"",IF(AND($G428="IKS",ISNUMBER(INDEX(TblClusters[Fermeture retenue],$B428))),IF($E428&gt;=INDEX(TblClusters[Fermeture retenue],$B428),1,0),0))</f>
        <v/>
      </c>
    </row>
    <row r="429" customFormat="false" ht="15" hidden="false" customHeight="false" outlineLevel="0" collapsed="false">
      <c r="A429" s="14" t="n">
        <v>424</v>
      </c>
      <c r="B429" s="14" t="n">
        <f aca="false">INT(($A429-1)/36)+1</f>
        <v>12</v>
      </c>
      <c r="C429" s="14" t="n">
        <f aca="false">MOD($A429-1,36)+1</f>
        <v>28</v>
      </c>
      <c r="D429" s="14" t="n">
        <f aca="false">IF($C429&gt;p_horizon,0,IFERROR(IF(AND(INDEX(TblClusters[Cluster],$B429)&lt;&gt;"",ISNUMBER(INDEX(TblClusters[CPU initial (vCPU)],$B429)),ISNUMBER(INDEX(TblClusters[CPU min (vCPU)],$B429)),OR(INDEX(TblClusters[Plateforme],$B429)="IKS",INDEX(TblClusters[Plateforme],$B429)="ROKS")),1,0),0))</f>
        <v>0</v>
      </c>
      <c r="E429" s="83" t="str">
        <f aca="false">IF($D429=1,EDATE(p_debut,$C429-1),"")</f>
        <v/>
      </c>
      <c r="F429" s="14" t="str">
        <f aca="false">IF($D429=1,INDEX(TblClusters[Cluster],$B429),"")</f>
        <v/>
      </c>
      <c r="G429" s="14" t="str">
        <f aca="false">IF($D429=1,INDEX(TblClusters[Plateforme],$B429),"")</f>
        <v/>
      </c>
      <c r="H429" s="14" t="str">
        <f aca="false">IF($D429=1,INDEX(TblClusters[vCPU par nœud],$B429),"")</f>
        <v/>
      </c>
      <c r="I429" s="14" t="str">
        <f aca="false">IF($D429=1,INDEX(TblClusters[RAM par nœud (Go)],$B429),"")</f>
        <v/>
      </c>
      <c r="J429" s="14" t="str">
        <f aca="false">IF($D429=1,INDEX(TblClusters[Workers min],$B429),"")</f>
        <v/>
      </c>
      <c r="K429" s="84" t="str">
        <f aca="false">IF($D429=1,INDEX(TblClusters[Tarif par nœud],$B429),"")</f>
        <v/>
      </c>
      <c r="L429" s="14" t="str">
        <f aca="false">IF($D429=1,INDEX(TblClusters[CPU initial (vCPU)],$B429),"")</f>
        <v/>
      </c>
      <c r="M429" s="14" t="str">
        <f aca="false">IF($D429=1,INDEX(TblClusters[RAM initiale (Go)],$B429),"")</f>
        <v/>
      </c>
      <c r="N429" s="14" t="str">
        <f aca="false">IF($D429=1,INDEX(TblClusters[CPU min (vCPU)],$B429),"")</f>
        <v/>
      </c>
      <c r="O429" s="14" t="str">
        <f aca="false">IF($D429=1,INDEX(TblClusters[RAM min (Go)],$B429),"")</f>
        <v/>
      </c>
      <c r="P429" s="14" t="str">
        <f aca="false">IF($D429&lt;&gt;1,"",IF($G429="ROKS",SUMIFS(TblApplications[Besoin ROKS CPU (vCPU)],TblApplications[Cluster ROKS cible],$F429,TblApplications[Action],"À migrer",TblApplications[Déjà incluse ROKS],"Non",TblApplications[Mois prov (calc)],"&lt;="&amp;$E429),SUMIFS(TblApplications[CPU IKS libérable (vCPU)],TblApplications[Cluster IKS source],$F429,TblApplications[Mois lib (calc)],"&lt;="&amp;$E429)))</f>
        <v/>
      </c>
      <c r="Q429" s="14" t="str">
        <f aca="false">IF($D429&lt;&gt;1,"",IF($G429="ROKS",SUMIFS(TblApplications[Besoin ROKS RAM (Go)],TblApplications[Cluster ROKS cible],$F429,TblApplications[Action],"À migrer",TblApplications[Déjà incluse ROKS],"Non",TblApplications[Mois prov (calc)],"&lt;="&amp;$E429),SUMIFS(TblApplications[RAM IKS libérable (Go)],TblApplications[Cluster IKS source],$F429,TblApplications[Mois lib (calc)],"&lt;="&amp;$E429)))</f>
        <v/>
      </c>
      <c r="R429" s="14" t="str">
        <f aca="false">IF($D429&lt;&gt;1,"",IF($G429="ROKS",$L429+$P429,IF($AI429=1,0,MAX($N429,$L429-$P429))))</f>
        <v/>
      </c>
      <c r="S429" s="14" t="str">
        <f aca="false">IF($D429&lt;&gt;1,"",IF($G429="ROKS",$M429+$Q429,IF($AI429=1,0,MAX($O429,$M429-$Q429))))</f>
        <v/>
      </c>
      <c r="T429" s="14" t="str">
        <f aca="false">IF($D429&lt;&gt;1,"",IF($AI429=1,0,MAX($J429,ROUNDUP(MAX($R429/$H429,$S429/$I429),0))))</f>
        <v/>
      </c>
      <c r="U429" s="14" t="str">
        <f aca="false">IF($D429&lt;&gt;1,"",IF(p_mode="Nœud",$T429*$H429,$R429))</f>
        <v/>
      </c>
      <c r="V429" s="14" t="str">
        <f aca="false">IF($D429&lt;&gt;1,"",IF(p_mode="Nœud",$T429*$I429,$S429))</f>
        <v/>
      </c>
      <c r="W429" s="84" t="str">
        <f aca="false">IF($D429&lt;&gt;1,"",IF(p_mode="Nœud",$T429*$K429,$R429*IF($G429="IKS",p_iks_cpu,p_roks_cpu)+$S429*IF($G429="IKS",p_iks_ram,p_roks_ram))*p_facteur)</f>
        <v/>
      </c>
      <c r="X429" s="14" t="str">
        <f aca="false">IF($D429&lt;&gt;1,"",IF($G429="ROKS",$R429,IF($AI429=1,0,MAX($N429,$L429-SUMIFS(TblApplications[CPU IKS libérable (vCPU)],TblApplications[Cluster IKS source],$F429,TblApplications[Action],"À migrer",TblApplications[Mois prov (calc)],"&lt;="&amp;$E429)-SUMIFS(TblApplications[CPU IKS libérable (vCPU)],TblApplications[Cluster IKS source],$F429,TblApplications[Action],"À décommissionner",TblApplications[Mois lib (calc)],"&lt;="&amp;$E429)))))</f>
        <v/>
      </c>
      <c r="Y429" s="14" t="str">
        <f aca="false">IF($D429&lt;&gt;1,"",IF($G429="ROKS",$S429,IF($AI429=1,0,MAX($O429,$M429-SUMIFS(TblApplications[RAM IKS libérable (Go)],TblApplications[Cluster IKS source],$F429,TblApplications[Action],"À migrer",TblApplications[Mois prov (calc)],"&lt;="&amp;$E429)-SUMIFS(TblApplications[RAM IKS libérable (Go)],TblApplications[Cluster IKS source],$F429,TblApplications[Action],"À décommissionner",TblApplications[Mois lib (calc)],"&lt;="&amp;$E429)))))</f>
        <v/>
      </c>
      <c r="Z429" s="14" t="str">
        <f aca="false">IF($D429&lt;&gt;1,"",IF($AI429=1,0,MAX($J429,ROUNDUP(MAX($X429/$H429,$Y429/$I429),0))))</f>
        <v/>
      </c>
      <c r="AA429" s="84" t="str">
        <f aca="false">IF($D429&lt;&gt;1,"",IF(p_mode="Nœud",$Z429*$K429,$X429*IF($G429="IKS",p_iks_cpu,p_roks_cpu)+$Y429*IF($G429="IKS",p_iks_ram,p_roks_ram))*p_facteur)</f>
        <v/>
      </c>
      <c r="AB429" s="14" t="str">
        <f aca="false">IF($D429&lt;&gt;1,"",MAX($J429,ROUNDUP(MAX($L429/$H429,$M429/$I429),0)))</f>
        <v/>
      </c>
      <c r="AC429" s="84" t="str">
        <f aca="false">IF($D429&lt;&gt;1,"",IF(p_mode="Nœud",$AB429*$K429,$L429*IF($G429="IKS",p_iks_cpu,p_roks_cpu)+$M429*IF($G429="IKS",p_iks_ram,p_roks_ram))*p_facteur)</f>
        <v/>
      </c>
      <c r="AD429" s="14" t="str">
        <f aca="false">IF($D429&lt;&gt;1,"",IF(AND($G429="IKS",$AI429&lt;&gt;1,OR($L429-$P429&lt;$N429,$M429-$Q429&lt;$O429)),1,0))</f>
        <v/>
      </c>
      <c r="AE429" s="14" t="str">
        <f aca="false">IF($D429&lt;&gt;1,"",IF(AND($G429="ROKS",$T429&gt;p_maxworkers),1,0))</f>
        <v/>
      </c>
      <c r="AF429" s="14" t="str">
        <f aca="false">IF($D429&lt;&gt;1,"",IF(INDEX(TblClusters[Environnement],$B429)="","(vide)",INDEX(TblClusters[Environnement],$B429)))</f>
        <v/>
      </c>
      <c r="AG429" s="14" t="str">
        <f aca="false">IF($D429&lt;&gt;1,"",$R429+p_poidsram*$S429)</f>
        <v/>
      </c>
      <c r="AH429" s="14" t="str">
        <f aca="false">IF($D429&lt;&gt;1,"",IFERROR($W429/$AG429,0))</f>
        <v/>
      </c>
      <c r="AI429" s="14" t="str">
        <f aca="false">IF($D429&lt;&gt;1,"",IF(AND($G429="IKS",ISNUMBER(INDEX(TblClusters[Fermeture retenue],$B429))),IF($E429&gt;=INDEX(TblClusters[Fermeture retenue],$B429),1,0),0))</f>
        <v/>
      </c>
    </row>
    <row r="430" customFormat="false" ht="15" hidden="false" customHeight="false" outlineLevel="0" collapsed="false">
      <c r="A430" s="14" t="n">
        <v>425</v>
      </c>
      <c r="B430" s="14" t="n">
        <f aca="false">INT(($A430-1)/36)+1</f>
        <v>12</v>
      </c>
      <c r="C430" s="14" t="n">
        <f aca="false">MOD($A430-1,36)+1</f>
        <v>29</v>
      </c>
      <c r="D430" s="14" t="n">
        <f aca="false">IF($C430&gt;p_horizon,0,IFERROR(IF(AND(INDEX(TblClusters[Cluster],$B430)&lt;&gt;"",ISNUMBER(INDEX(TblClusters[CPU initial (vCPU)],$B430)),ISNUMBER(INDEX(TblClusters[CPU min (vCPU)],$B430)),OR(INDEX(TblClusters[Plateforme],$B430)="IKS",INDEX(TblClusters[Plateforme],$B430)="ROKS")),1,0),0))</f>
        <v>0</v>
      </c>
      <c r="E430" s="83" t="str">
        <f aca="false">IF($D430=1,EDATE(p_debut,$C430-1),"")</f>
        <v/>
      </c>
      <c r="F430" s="14" t="str">
        <f aca="false">IF($D430=1,INDEX(TblClusters[Cluster],$B430),"")</f>
        <v/>
      </c>
      <c r="G430" s="14" t="str">
        <f aca="false">IF($D430=1,INDEX(TblClusters[Plateforme],$B430),"")</f>
        <v/>
      </c>
      <c r="H430" s="14" t="str">
        <f aca="false">IF($D430=1,INDEX(TblClusters[vCPU par nœud],$B430),"")</f>
        <v/>
      </c>
      <c r="I430" s="14" t="str">
        <f aca="false">IF($D430=1,INDEX(TblClusters[RAM par nœud (Go)],$B430),"")</f>
        <v/>
      </c>
      <c r="J430" s="14" t="str">
        <f aca="false">IF($D430=1,INDEX(TblClusters[Workers min],$B430),"")</f>
        <v/>
      </c>
      <c r="K430" s="84" t="str">
        <f aca="false">IF($D430=1,INDEX(TblClusters[Tarif par nœud],$B430),"")</f>
        <v/>
      </c>
      <c r="L430" s="14" t="str">
        <f aca="false">IF($D430=1,INDEX(TblClusters[CPU initial (vCPU)],$B430),"")</f>
        <v/>
      </c>
      <c r="M430" s="14" t="str">
        <f aca="false">IF($D430=1,INDEX(TblClusters[RAM initiale (Go)],$B430),"")</f>
        <v/>
      </c>
      <c r="N430" s="14" t="str">
        <f aca="false">IF($D430=1,INDEX(TblClusters[CPU min (vCPU)],$B430),"")</f>
        <v/>
      </c>
      <c r="O430" s="14" t="str">
        <f aca="false">IF($D430=1,INDEX(TblClusters[RAM min (Go)],$B430),"")</f>
        <v/>
      </c>
      <c r="P430" s="14" t="str">
        <f aca="false">IF($D430&lt;&gt;1,"",IF($G430="ROKS",SUMIFS(TblApplications[Besoin ROKS CPU (vCPU)],TblApplications[Cluster ROKS cible],$F430,TblApplications[Action],"À migrer",TblApplications[Déjà incluse ROKS],"Non",TblApplications[Mois prov (calc)],"&lt;="&amp;$E430),SUMIFS(TblApplications[CPU IKS libérable (vCPU)],TblApplications[Cluster IKS source],$F430,TblApplications[Mois lib (calc)],"&lt;="&amp;$E430)))</f>
        <v/>
      </c>
      <c r="Q430" s="14" t="str">
        <f aca="false">IF($D430&lt;&gt;1,"",IF($G430="ROKS",SUMIFS(TblApplications[Besoin ROKS RAM (Go)],TblApplications[Cluster ROKS cible],$F430,TblApplications[Action],"À migrer",TblApplications[Déjà incluse ROKS],"Non",TblApplications[Mois prov (calc)],"&lt;="&amp;$E430),SUMIFS(TblApplications[RAM IKS libérable (Go)],TblApplications[Cluster IKS source],$F430,TblApplications[Mois lib (calc)],"&lt;="&amp;$E430)))</f>
        <v/>
      </c>
      <c r="R430" s="14" t="str">
        <f aca="false">IF($D430&lt;&gt;1,"",IF($G430="ROKS",$L430+$P430,IF($AI430=1,0,MAX($N430,$L430-$P430))))</f>
        <v/>
      </c>
      <c r="S430" s="14" t="str">
        <f aca="false">IF($D430&lt;&gt;1,"",IF($G430="ROKS",$M430+$Q430,IF($AI430=1,0,MAX($O430,$M430-$Q430))))</f>
        <v/>
      </c>
      <c r="T430" s="14" t="str">
        <f aca="false">IF($D430&lt;&gt;1,"",IF($AI430=1,0,MAX($J430,ROUNDUP(MAX($R430/$H430,$S430/$I430),0))))</f>
        <v/>
      </c>
      <c r="U430" s="14" t="str">
        <f aca="false">IF($D430&lt;&gt;1,"",IF(p_mode="Nœud",$T430*$H430,$R430))</f>
        <v/>
      </c>
      <c r="V430" s="14" t="str">
        <f aca="false">IF($D430&lt;&gt;1,"",IF(p_mode="Nœud",$T430*$I430,$S430))</f>
        <v/>
      </c>
      <c r="W430" s="84" t="str">
        <f aca="false">IF($D430&lt;&gt;1,"",IF(p_mode="Nœud",$T430*$K430,$R430*IF($G430="IKS",p_iks_cpu,p_roks_cpu)+$S430*IF($G430="IKS",p_iks_ram,p_roks_ram))*p_facteur)</f>
        <v/>
      </c>
      <c r="X430" s="14" t="str">
        <f aca="false">IF($D430&lt;&gt;1,"",IF($G430="ROKS",$R430,IF($AI430=1,0,MAX($N430,$L430-SUMIFS(TblApplications[CPU IKS libérable (vCPU)],TblApplications[Cluster IKS source],$F430,TblApplications[Action],"À migrer",TblApplications[Mois prov (calc)],"&lt;="&amp;$E430)-SUMIFS(TblApplications[CPU IKS libérable (vCPU)],TblApplications[Cluster IKS source],$F430,TblApplications[Action],"À décommissionner",TblApplications[Mois lib (calc)],"&lt;="&amp;$E430)))))</f>
        <v/>
      </c>
      <c r="Y430" s="14" t="str">
        <f aca="false">IF($D430&lt;&gt;1,"",IF($G430="ROKS",$S430,IF($AI430=1,0,MAX($O430,$M430-SUMIFS(TblApplications[RAM IKS libérable (Go)],TblApplications[Cluster IKS source],$F430,TblApplications[Action],"À migrer",TblApplications[Mois prov (calc)],"&lt;="&amp;$E430)-SUMIFS(TblApplications[RAM IKS libérable (Go)],TblApplications[Cluster IKS source],$F430,TblApplications[Action],"À décommissionner",TblApplications[Mois lib (calc)],"&lt;="&amp;$E430)))))</f>
        <v/>
      </c>
      <c r="Z430" s="14" t="str">
        <f aca="false">IF($D430&lt;&gt;1,"",IF($AI430=1,0,MAX($J430,ROUNDUP(MAX($X430/$H430,$Y430/$I430),0))))</f>
        <v/>
      </c>
      <c r="AA430" s="84" t="str">
        <f aca="false">IF($D430&lt;&gt;1,"",IF(p_mode="Nœud",$Z430*$K430,$X430*IF($G430="IKS",p_iks_cpu,p_roks_cpu)+$Y430*IF($G430="IKS",p_iks_ram,p_roks_ram))*p_facteur)</f>
        <v/>
      </c>
      <c r="AB430" s="14" t="str">
        <f aca="false">IF($D430&lt;&gt;1,"",MAX($J430,ROUNDUP(MAX($L430/$H430,$M430/$I430),0)))</f>
        <v/>
      </c>
      <c r="AC430" s="84" t="str">
        <f aca="false">IF($D430&lt;&gt;1,"",IF(p_mode="Nœud",$AB430*$K430,$L430*IF($G430="IKS",p_iks_cpu,p_roks_cpu)+$M430*IF($G430="IKS",p_iks_ram,p_roks_ram))*p_facteur)</f>
        <v/>
      </c>
      <c r="AD430" s="14" t="str">
        <f aca="false">IF($D430&lt;&gt;1,"",IF(AND($G430="IKS",$AI430&lt;&gt;1,OR($L430-$P430&lt;$N430,$M430-$Q430&lt;$O430)),1,0))</f>
        <v/>
      </c>
      <c r="AE430" s="14" t="str">
        <f aca="false">IF($D430&lt;&gt;1,"",IF(AND($G430="ROKS",$T430&gt;p_maxworkers),1,0))</f>
        <v/>
      </c>
      <c r="AF430" s="14" t="str">
        <f aca="false">IF($D430&lt;&gt;1,"",IF(INDEX(TblClusters[Environnement],$B430)="","(vide)",INDEX(TblClusters[Environnement],$B430)))</f>
        <v/>
      </c>
      <c r="AG430" s="14" t="str">
        <f aca="false">IF($D430&lt;&gt;1,"",$R430+p_poidsram*$S430)</f>
        <v/>
      </c>
      <c r="AH430" s="14" t="str">
        <f aca="false">IF($D430&lt;&gt;1,"",IFERROR($W430/$AG430,0))</f>
        <v/>
      </c>
      <c r="AI430" s="14" t="str">
        <f aca="false">IF($D430&lt;&gt;1,"",IF(AND($G430="IKS",ISNUMBER(INDEX(TblClusters[Fermeture retenue],$B430))),IF($E430&gt;=INDEX(TblClusters[Fermeture retenue],$B430),1,0),0))</f>
        <v/>
      </c>
    </row>
    <row r="431" customFormat="false" ht="15" hidden="false" customHeight="false" outlineLevel="0" collapsed="false">
      <c r="A431" s="14" t="n">
        <v>426</v>
      </c>
      <c r="B431" s="14" t="n">
        <f aca="false">INT(($A431-1)/36)+1</f>
        <v>12</v>
      </c>
      <c r="C431" s="14" t="n">
        <f aca="false">MOD($A431-1,36)+1</f>
        <v>30</v>
      </c>
      <c r="D431" s="14" t="n">
        <f aca="false">IF($C431&gt;p_horizon,0,IFERROR(IF(AND(INDEX(TblClusters[Cluster],$B431)&lt;&gt;"",ISNUMBER(INDEX(TblClusters[CPU initial (vCPU)],$B431)),ISNUMBER(INDEX(TblClusters[CPU min (vCPU)],$B431)),OR(INDEX(TblClusters[Plateforme],$B431)="IKS",INDEX(TblClusters[Plateforme],$B431)="ROKS")),1,0),0))</f>
        <v>0</v>
      </c>
      <c r="E431" s="83" t="str">
        <f aca="false">IF($D431=1,EDATE(p_debut,$C431-1),"")</f>
        <v/>
      </c>
      <c r="F431" s="14" t="str">
        <f aca="false">IF($D431=1,INDEX(TblClusters[Cluster],$B431),"")</f>
        <v/>
      </c>
      <c r="G431" s="14" t="str">
        <f aca="false">IF($D431=1,INDEX(TblClusters[Plateforme],$B431),"")</f>
        <v/>
      </c>
      <c r="H431" s="14" t="str">
        <f aca="false">IF($D431=1,INDEX(TblClusters[vCPU par nœud],$B431),"")</f>
        <v/>
      </c>
      <c r="I431" s="14" t="str">
        <f aca="false">IF($D431=1,INDEX(TblClusters[RAM par nœud (Go)],$B431),"")</f>
        <v/>
      </c>
      <c r="J431" s="14" t="str">
        <f aca="false">IF($D431=1,INDEX(TblClusters[Workers min],$B431),"")</f>
        <v/>
      </c>
      <c r="K431" s="84" t="str">
        <f aca="false">IF($D431=1,INDEX(TblClusters[Tarif par nœud],$B431),"")</f>
        <v/>
      </c>
      <c r="L431" s="14" t="str">
        <f aca="false">IF($D431=1,INDEX(TblClusters[CPU initial (vCPU)],$B431),"")</f>
        <v/>
      </c>
      <c r="M431" s="14" t="str">
        <f aca="false">IF($D431=1,INDEX(TblClusters[RAM initiale (Go)],$B431),"")</f>
        <v/>
      </c>
      <c r="N431" s="14" t="str">
        <f aca="false">IF($D431=1,INDEX(TblClusters[CPU min (vCPU)],$B431),"")</f>
        <v/>
      </c>
      <c r="O431" s="14" t="str">
        <f aca="false">IF($D431=1,INDEX(TblClusters[RAM min (Go)],$B431),"")</f>
        <v/>
      </c>
      <c r="P431" s="14" t="str">
        <f aca="false">IF($D431&lt;&gt;1,"",IF($G431="ROKS",SUMIFS(TblApplications[Besoin ROKS CPU (vCPU)],TblApplications[Cluster ROKS cible],$F431,TblApplications[Action],"À migrer",TblApplications[Déjà incluse ROKS],"Non",TblApplications[Mois prov (calc)],"&lt;="&amp;$E431),SUMIFS(TblApplications[CPU IKS libérable (vCPU)],TblApplications[Cluster IKS source],$F431,TblApplications[Mois lib (calc)],"&lt;="&amp;$E431)))</f>
        <v/>
      </c>
      <c r="Q431" s="14" t="str">
        <f aca="false">IF($D431&lt;&gt;1,"",IF($G431="ROKS",SUMIFS(TblApplications[Besoin ROKS RAM (Go)],TblApplications[Cluster ROKS cible],$F431,TblApplications[Action],"À migrer",TblApplications[Déjà incluse ROKS],"Non",TblApplications[Mois prov (calc)],"&lt;="&amp;$E431),SUMIFS(TblApplications[RAM IKS libérable (Go)],TblApplications[Cluster IKS source],$F431,TblApplications[Mois lib (calc)],"&lt;="&amp;$E431)))</f>
        <v/>
      </c>
      <c r="R431" s="14" t="str">
        <f aca="false">IF($D431&lt;&gt;1,"",IF($G431="ROKS",$L431+$P431,IF($AI431=1,0,MAX($N431,$L431-$P431))))</f>
        <v/>
      </c>
      <c r="S431" s="14" t="str">
        <f aca="false">IF($D431&lt;&gt;1,"",IF($G431="ROKS",$M431+$Q431,IF($AI431=1,0,MAX($O431,$M431-$Q431))))</f>
        <v/>
      </c>
      <c r="T431" s="14" t="str">
        <f aca="false">IF($D431&lt;&gt;1,"",IF($AI431=1,0,MAX($J431,ROUNDUP(MAX($R431/$H431,$S431/$I431),0))))</f>
        <v/>
      </c>
      <c r="U431" s="14" t="str">
        <f aca="false">IF($D431&lt;&gt;1,"",IF(p_mode="Nœud",$T431*$H431,$R431))</f>
        <v/>
      </c>
      <c r="V431" s="14" t="str">
        <f aca="false">IF($D431&lt;&gt;1,"",IF(p_mode="Nœud",$T431*$I431,$S431))</f>
        <v/>
      </c>
      <c r="W431" s="84" t="str">
        <f aca="false">IF($D431&lt;&gt;1,"",IF(p_mode="Nœud",$T431*$K431,$R431*IF($G431="IKS",p_iks_cpu,p_roks_cpu)+$S431*IF($G431="IKS",p_iks_ram,p_roks_ram))*p_facteur)</f>
        <v/>
      </c>
      <c r="X431" s="14" t="str">
        <f aca="false">IF($D431&lt;&gt;1,"",IF($G431="ROKS",$R431,IF($AI431=1,0,MAX($N431,$L431-SUMIFS(TblApplications[CPU IKS libérable (vCPU)],TblApplications[Cluster IKS source],$F431,TblApplications[Action],"À migrer",TblApplications[Mois prov (calc)],"&lt;="&amp;$E431)-SUMIFS(TblApplications[CPU IKS libérable (vCPU)],TblApplications[Cluster IKS source],$F431,TblApplications[Action],"À décommissionner",TblApplications[Mois lib (calc)],"&lt;="&amp;$E431)))))</f>
        <v/>
      </c>
      <c r="Y431" s="14" t="str">
        <f aca="false">IF($D431&lt;&gt;1,"",IF($G431="ROKS",$S431,IF($AI431=1,0,MAX($O431,$M431-SUMIFS(TblApplications[RAM IKS libérable (Go)],TblApplications[Cluster IKS source],$F431,TblApplications[Action],"À migrer",TblApplications[Mois prov (calc)],"&lt;="&amp;$E431)-SUMIFS(TblApplications[RAM IKS libérable (Go)],TblApplications[Cluster IKS source],$F431,TblApplications[Action],"À décommissionner",TblApplications[Mois lib (calc)],"&lt;="&amp;$E431)))))</f>
        <v/>
      </c>
      <c r="Z431" s="14" t="str">
        <f aca="false">IF($D431&lt;&gt;1,"",IF($AI431=1,0,MAX($J431,ROUNDUP(MAX($X431/$H431,$Y431/$I431),0))))</f>
        <v/>
      </c>
      <c r="AA431" s="84" t="str">
        <f aca="false">IF($D431&lt;&gt;1,"",IF(p_mode="Nœud",$Z431*$K431,$X431*IF($G431="IKS",p_iks_cpu,p_roks_cpu)+$Y431*IF($G431="IKS",p_iks_ram,p_roks_ram))*p_facteur)</f>
        <v/>
      </c>
      <c r="AB431" s="14" t="str">
        <f aca="false">IF($D431&lt;&gt;1,"",MAX($J431,ROUNDUP(MAX($L431/$H431,$M431/$I431),0)))</f>
        <v/>
      </c>
      <c r="AC431" s="84" t="str">
        <f aca="false">IF($D431&lt;&gt;1,"",IF(p_mode="Nœud",$AB431*$K431,$L431*IF($G431="IKS",p_iks_cpu,p_roks_cpu)+$M431*IF($G431="IKS",p_iks_ram,p_roks_ram))*p_facteur)</f>
        <v/>
      </c>
      <c r="AD431" s="14" t="str">
        <f aca="false">IF($D431&lt;&gt;1,"",IF(AND($G431="IKS",$AI431&lt;&gt;1,OR($L431-$P431&lt;$N431,$M431-$Q431&lt;$O431)),1,0))</f>
        <v/>
      </c>
      <c r="AE431" s="14" t="str">
        <f aca="false">IF($D431&lt;&gt;1,"",IF(AND($G431="ROKS",$T431&gt;p_maxworkers),1,0))</f>
        <v/>
      </c>
      <c r="AF431" s="14" t="str">
        <f aca="false">IF($D431&lt;&gt;1,"",IF(INDEX(TblClusters[Environnement],$B431)="","(vide)",INDEX(TblClusters[Environnement],$B431)))</f>
        <v/>
      </c>
      <c r="AG431" s="14" t="str">
        <f aca="false">IF($D431&lt;&gt;1,"",$R431+p_poidsram*$S431)</f>
        <v/>
      </c>
      <c r="AH431" s="14" t="str">
        <f aca="false">IF($D431&lt;&gt;1,"",IFERROR($W431/$AG431,0))</f>
        <v/>
      </c>
      <c r="AI431" s="14" t="str">
        <f aca="false">IF($D431&lt;&gt;1,"",IF(AND($G431="IKS",ISNUMBER(INDEX(TblClusters[Fermeture retenue],$B431))),IF($E431&gt;=INDEX(TblClusters[Fermeture retenue],$B431),1,0),0))</f>
        <v/>
      </c>
    </row>
    <row r="432" customFormat="false" ht="15" hidden="false" customHeight="false" outlineLevel="0" collapsed="false">
      <c r="A432" s="14" t="n">
        <v>427</v>
      </c>
      <c r="B432" s="14" t="n">
        <f aca="false">INT(($A432-1)/36)+1</f>
        <v>12</v>
      </c>
      <c r="C432" s="14" t="n">
        <f aca="false">MOD($A432-1,36)+1</f>
        <v>31</v>
      </c>
      <c r="D432" s="14" t="n">
        <f aca="false">IF($C432&gt;p_horizon,0,IFERROR(IF(AND(INDEX(TblClusters[Cluster],$B432)&lt;&gt;"",ISNUMBER(INDEX(TblClusters[CPU initial (vCPU)],$B432)),ISNUMBER(INDEX(TblClusters[CPU min (vCPU)],$B432)),OR(INDEX(TblClusters[Plateforme],$B432)="IKS",INDEX(TblClusters[Plateforme],$B432)="ROKS")),1,0),0))</f>
        <v>0</v>
      </c>
      <c r="E432" s="83" t="str">
        <f aca="false">IF($D432=1,EDATE(p_debut,$C432-1),"")</f>
        <v/>
      </c>
      <c r="F432" s="14" t="str">
        <f aca="false">IF($D432=1,INDEX(TblClusters[Cluster],$B432),"")</f>
        <v/>
      </c>
      <c r="G432" s="14" t="str">
        <f aca="false">IF($D432=1,INDEX(TblClusters[Plateforme],$B432),"")</f>
        <v/>
      </c>
      <c r="H432" s="14" t="str">
        <f aca="false">IF($D432=1,INDEX(TblClusters[vCPU par nœud],$B432),"")</f>
        <v/>
      </c>
      <c r="I432" s="14" t="str">
        <f aca="false">IF($D432=1,INDEX(TblClusters[RAM par nœud (Go)],$B432),"")</f>
        <v/>
      </c>
      <c r="J432" s="14" t="str">
        <f aca="false">IF($D432=1,INDEX(TblClusters[Workers min],$B432),"")</f>
        <v/>
      </c>
      <c r="K432" s="84" t="str">
        <f aca="false">IF($D432=1,INDEX(TblClusters[Tarif par nœud],$B432),"")</f>
        <v/>
      </c>
      <c r="L432" s="14" t="str">
        <f aca="false">IF($D432=1,INDEX(TblClusters[CPU initial (vCPU)],$B432),"")</f>
        <v/>
      </c>
      <c r="M432" s="14" t="str">
        <f aca="false">IF($D432=1,INDEX(TblClusters[RAM initiale (Go)],$B432),"")</f>
        <v/>
      </c>
      <c r="N432" s="14" t="str">
        <f aca="false">IF($D432=1,INDEX(TblClusters[CPU min (vCPU)],$B432),"")</f>
        <v/>
      </c>
      <c r="O432" s="14" t="str">
        <f aca="false">IF($D432=1,INDEX(TblClusters[RAM min (Go)],$B432),"")</f>
        <v/>
      </c>
      <c r="P432" s="14" t="str">
        <f aca="false">IF($D432&lt;&gt;1,"",IF($G432="ROKS",SUMIFS(TblApplications[Besoin ROKS CPU (vCPU)],TblApplications[Cluster ROKS cible],$F432,TblApplications[Action],"À migrer",TblApplications[Déjà incluse ROKS],"Non",TblApplications[Mois prov (calc)],"&lt;="&amp;$E432),SUMIFS(TblApplications[CPU IKS libérable (vCPU)],TblApplications[Cluster IKS source],$F432,TblApplications[Mois lib (calc)],"&lt;="&amp;$E432)))</f>
        <v/>
      </c>
      <c r="Q432" s="14" t="str">
        <f aca="false">IF($D432&lt;&gt;1,"",IF($G432="ROKS",SUMIFS(TblApplications[Besoin ROKS RAM (Go)],TblApplications[Cluster ROKS cible],$F432,TblApplications[Action],"À migrer",TblApplications[Déjà incluse ROKS],"Non",TblApplications[Mois prov (calc)],"&lt;="&amp;$E432),SUMIFS(TblApplications[RAM IKS libérable (Go)],TblApplications[Cluster IKS source],$F432,TblApplications[Mois lib (calc)],"&lt;="&amp;$E432)))</f>
        <v/>
      </c>
      <c r="R432" s="14" t="str">
        <f aca="false">IF($D432&lt;&gt;1,"",IF($G432="ROKS",$L432+$P432,IF($AI432=1,0,MAX($N432,$L432-$P432))))</f>
        <v/>
      </c>
      <c r="S432" s="14" t="str">
        <f aca="false">IF($D432&lt;&gt;1,"",IF($G432="ROKS",$M432+$Q432,IF($AI432=1,0,MAX($O432,$M432-$Q432))))</f>
        <v/>
      </c>
      <c r="T432" s="14" t="str">
        <f aca="false">IF($D432&lt;&gt;1,"",IF($AI432=1,0,MAX($J432,ROUNDUP(MAX($R432/$H432,$S432/$I432),0))))</f>
        <v/>
      </c>
      <c r="U432" s="14" t="str">
        <f aca="false">IF($D432&lt;&gt;1,"",IF(p_mode="Nœud",$T432*$H432,$R432))</f>
        <v/>
      </c>
      <c r="V432" s="14" t="str">
        <f aca="false">IF($D432&lt;&gt;1,"",IF(p_mode="Nœud",$T432*$I432,$S432))</f>
        <v/>
      </c>
      <c r="W432" s="84" t="str">
        <f aca="false">IF($D432&lt;&gt;1,"",IF(p_mode="Nœud",$T432*$K432,$R432*IF($G432="IKS",p_iks_cpu,p_roks_cpu)+$S432*IF($G432="IKS",p_iks_ram,p_roks_ram))*p_facteur)</f>
        <v/>
      </c>
      <c r="X432" s="14" t="str">
        <f aca="false">IF($D432&lt;&gt;1,"",IF($G432="ROKS",$R432,IF($AI432=1,0,MAX($N432,$L432-SUMIFS(TblApplications[CPU IKS libérable (vCPU)],TblApplications[Cluster IKS source],$F432,TblApplications[Action],"À migrer",TblApplications[Mois prov (calc)],"&lt;="&amp;$E432)-SUMIFS(TblApplications[CPU IKS libérable (vCPU)],TblApplications[Cluster IKS source],$F432,TblApplications[Action],"À décommissionner",TblApplications[Mois lib (calc)],"&lt;="&amp;$E432)))))</f>
        <v/>
      </c>
      <c r="Y432" s="14" t="str">
        <f aca="false">IF($D432&lt;&gt;1,"",IF($G432="ROKS",$S432,IF($AI432=1,0,MAX($O432,$M432-SUMIFS(TblApplications[RAM IKS libérable (Go)],TblApplications[Cluster IKS source],$F432,TblApplications[Action],"À migrer",TblApplications[Mois prov (calc)],"&lt;="&amp;$E432)-SUMIFS(TblApplications[RAM IKS libérable (Go)],TblApplications[Cluster IKS source],$F432,TblApplications[Action],"À décommissionner",TblApplications[Mois lib (calc)],"&lt;="&amp;$E432)))))</f>
        <v/>
      </c>
      <c r="Z432" s="14" t="str">
        <f aca="false">IF($D432&lt;&gt;1,"",IF($AI432=1,0,MAX($J432,ROUNDUP(MAX($X432/$H432,$Y432/$I432),0))))</f>
        <v/>
      </c>
      <c r="AA432" s="84" t="str">
        <f aca="false">IF($D432&lt;&gt;1,"",IF(p_mode="Nœud",$Z432*$K432,$X432*IF($G432="IKS",p_iks_cpu,p_roks_cpu)+$Y432*IF($G432="IKS",p_iks_ram,p_roks_ram))*p_facteur)</f>
        <v/>
      </c>
      <c r="AB432" s="14" t="str">
        <f aca="false">IF($D432&lt;&gt;1,"",MAX($J432,ROUNDUP(MAX($L432/$H432,$M432/$I432),0)))</f>
        <v/>
      </c>
      <c r="AC432" s="84" t="str">
        <f aca="false">IF($D432&lt;&gt;1,"",IF(p_mode="Nœud",$AB432*$K432,$L432*IF($G432="IKS",p_iks_cpu,p_roks_cpu)+$M432*IF($G432="IKS",p_iks_ram,p_roks_ram))*p_facteur)</f>
        <v/>
      </c>
      <c r="AD432" s="14" t="str">
        <f aca="false">IF($D432&lt;&gt;1,"",IF(AND($G432="IKS",$AI432&lt;&gt;1,OR($L432-$P432&lt;$N432,$M432-$Q432&lt;$O432)),1,0))</f>
        <v/>
      </c>
      <c r="AE432" s="14" t="str">
        <f aca="false">IF($D432&lt;&gt;1,"",IF(AND($G432="ROKS",$T432&gt;p_maxworkers),1,0))</f>
        <v/>
      </c>
      <c r="AF432" s="14" t="str">
        <f aca="false">IF($D432&lt;&gt;1,"",IF(INDEX(TblClusters[Environnement],$B432)="","(vide)",INDEX(TblClusters[Environnement],$B432)))</f>
        <v/>
      </c>
      <c r="AG432" s="14" t="str">
        <f aca="false">IF($D432&lt;&gt;1,"",$R432+p_poidsram*$S432)</f>
        <v/>
      </c>
      <c r="AH432" s="14" t="str">
        <f aca="false">IF($D432&lt;&gt;1,"",IFERROR($W432/$AG432,0))</f>
        <v/>
      </c>
      <c r="AI432" s="14" t="str">
        <f aca="false">IF($D432&lt;&gt;1,"",IF(AND($G432="IKS",ISNUMBER(INDEX(TblClusters[Fermeture retenue],$B432))),IF($E432&gt;=INDEX(TblClusters[Fermeture retenue],$B432),1,0),0))</f>
        <v/>
      </c>
    </row>
    <row r="433" customFormat="false" ht="15" hidden="false" customHeight="false" outlineLevel="0" collapsed="false">
      <c r="A433" s="14" t="n">
        <v>428</v>
      </c>
      <c r="B433" s="14" t="n">
        <f aca="false">INT(($A433-1)/36)+1</f>
        <v>12</v>
      </c>
      <c r="C433" s="14" t="n">
        <f aca="false">MOD($A433-1,36)+1</f>
        <v>32</v>
      </c>
      <c r="D433" s="14" t="n">
        <f aca="false">IF($C433&gt;p_horizon,0,IFERROR(IF(AND(INDEX(TblClusters[Cluster],$B433)&lt;&gt;"",ISNUMBER(INDEX(TblClusters[CPU initial (vCPU)],$B433)),ISNUMBER(INDEX(TblClusters[CPU min (vCPU)],$B433)),OR(INDEX(TblClusters[Plateforme],$B433)="IKS",INDEX(TblClusters[Plateforme],$B433)="ROKS")),1,0),0))</f>
        <v>0</v>
      </c>
      <c r="E433" s="83" t="str">
        <f aca="false">IF($D433=1,EDATE(p_debut,$C433-1),"")</f>
        <v/>
      </c>
      <c r="F433" s="14" t="str">
        <f aca="false">IF($D433=1,INDEX(TblClusters[Cluster],$B433),"")</f>
        <v/>
      </c>
      <c r="G433" s="14" t="str">
        <f aca="false">IF($D433=1,INDEX(TblClusters[Plateforme],$B433),"")</f>
        <v/>
      </c>
      <c r="H433" s="14" t="str">
        <f aca="false">IF($D433=1,INDEX(TblClusters[vCPU par nœud],$B433),"")</f>
        <v/>
      </c>
      <c r="I433" s="14" t="str">
        <f aca="false">IF($D433=1,INDEX(TblClusters[RAM par nœud (Go)],$B433),"")</f>
        <v/>
      </c>
      <c r="J433" s="14" t="str">
        <f aca="false">IF($D433=1,INDEX(TblClusters[Workers min],$B433),"")</f>
        <v/>
      </c>
      <c r="K433" s="84" t="str">
        <f aca="false">IF($D433=1,INDEX(TblClusters[Tarif par nœud],$B433),"")</f>
        <v/>
      </c>
      <c r="L433" s="14" t="str">
        <f aca="false">IF($D433=1,INDEX(TblClusters[CPU initial (vCPU)],$B433),"")</f>
        <v/>
      </c>
      <c r="M433" s="14" t="str">
        <f aca="false">IF($D433=1,INDEX(TblClusters[RAM initiale (Go)],$B433),"")</f>
        <v/>
      </c>
      <c r="N433" s="14" t="str">
        <f aca="false">IF($D433=1,INDEX(TblClusters[CPU min (vCPU)],$B433),"")</f>
        <v/>
      </c>
      <c r="O433" s="14" t="str">
        <f aca="false">IF($D433=1,INDEX(TblClusters[RAM min (Go)],$B433),"")</f>
        <v/>
      </c>
      <c r="P433" s="14" t="str">
        <f aca="false">IF($D433&lt;&gt;1,"",IF($G433="ROKS",SUMIFS(TblApplications[Besoin ROKS CPU (vCPU)],TblApplications[Cluster ROKS cible],$F433,TblApplications[Action],"À migrer",TblApplications[Déjà incluse ROKS],"Non",TblApplications[Mois prov (calc)],"&lt;="&amp;$E433),SUMIFS(TblApplications[CPU IKS libérable (vCPU)],TblApplications[Cluster IKS source],$F433,TblApplications[Mois lib (calc)],"&lt;="&amp;$E433)))</f>
        <v/>
      </c>
      <c r="Q433" s="14" t="str">
        <f aca="false">IF($D433&lt;&gt;1,"",IF($G433="ROKS",SUMIFS(TblApplications[Besoin ROKS RAM (Go)],TblApplications[Cluster ROKS cible],$F433,TblApplications[Action],"À migrer",TblApplications[Déjà incluse ROKS],"Non",TblApplications[Mois prov (calc)],"&lt;="&amp;$E433),SUMIFS(TblApplications[RAM IKS libérable (Go)],TblApplications[Cluster IKS source],$F433,TblApplications[Mois lib (calc)],"&lt;="&amp;$E433)))</f>
        <v/>
      </c>
      <c r="R433" s="14" t="str">
        <f aca="false">IF($D433&lt;&gt;1,"",IF($G433="ROKS",$L433+$P433,IF($AI433=1,0,MAX($N433,$L433-$P433))))</f>
        <v/>
      </c>
      <c r="S433" s="14" t="str">
        <f aca="false">IF($D433&lt;&gt;1,"",IF($G433="ROKS",$M433+$Q433,IF($AI433=1,0,MAX($O433,$M433-$Q433))))</f>
        <v/>
      </c>
      <c r="T433" s="14" t="str">
        <f aca="false">IF($D433&lt;&gt;1,"",IF($AI433=1,0,MAX($J433,ROUNDUP(MAX($R433/$H433,$S433/$I433),0))))</f>
        <v/>
      </c>
      <c r="U433" s="14" t="str">
        <f aca="false">IF($D433&lt;&gt;1,"",IF(p_mode="Nœud",$T433*$H433,$R433))</f>
        <v/>
      </c>
      <c r="V433" s="14" t="str">
        <f aca="false">IF($D433&lt;&gt;1,"",IF(p_mode="Nœud",$T433*$I433,$S433))</f>
        <v/>
      </c>
      <c r="W433" s="84" t="str">
        <f aca="false">IF($D433&lt;&gt;1,"",IF(p_mode="Nœud",$T433*$K433,$R433*IF($G433="IKS",p_iks_cpu,p_roks_cpu)+$S433*IF($G433="IKS",p_iks_ram,p_roks_ram))*p_facteur)</f>
        <v/>
      </c>
      <c r="X433" s="14" t="str">
        <f aca="false">IF($D433&lt;&gt;1,"",IF($G433="ROKS",$R433,IF($AI433=1,0,MAX($N433,$L433-SUMIFS(TblApplications[CPU IKS libérable (vCPU)],TblApplications[Cluster IKS source],$F433,TblApplications[Action],"À migrer",TblApplications[Mois prov (calc)],"&lt;="&amp;$E433)-SUMIFS(TblApplications[CPU IKS libérable (vCPU)],TblApplications[Cluster IKS source],$F433,TblApplications[Action],"À décommissionner",TblApplications[Mois lib (calc)],"&lt;="&amp;$E433)))))</f>
        <v/>
      </c>
      <c r="Y433" s="14" t="str">
        <f aca="false">IF($D433&lt;&gt;1,"",IF($G433="ROKS",$S433,IF($AI433=1,0,MAX($O433,$M433-SUMIFS(TblApplications[RAM IKS libérable (Go)],TblApplications[Cluster IKS source],$F433,TblApplications[Action],"À migrer",TblApplications[Mois prov (calc)],"&lt;="&amp;$E433)-SUMIFS(TblApplications[RAM IKS libérable (Go)],TblApplications[Cluster IKS source],$F433,TblApplications[Action],"À décommissionner",TblApplications[Mois lib (calc)],"&lt;="&amp;$E433)))))</f>
        <v/>
      </c>
      <c r="Z433" s="14" t="str">
        <f aca="false">IF($D433&lt;&gt;1,"",IF($AI433=1,0,MAX($J433,ROUNDUP(MAX($X433/$H433,$Y433/$I433),0))))</f>
        <v/>
      </c>
      <c r="AA433" s="84" t="str">
        <f aca="false">IF($D433&lt;&gt;1,"",IF(p_mode="Nœud",$Z433*$K433,$X433*IF($G433="IKS",p_iks_cpu,p_roks_cpu)+$Y433*IF($G433="IKS",p_iks_ram,p_roks_ram))*p_facteur)</f>
        <v/>
      </c>
      <c r="AB433" s="14" t="str">
        <f aca="false">IF($D433&lt;&gt;1,"",MAX($J433,ROUNDUP(MAX($L433/$H433,$M433/$I433),0)))</f>
        <v/>
      </c>
      <c r="AC433" s="84" t="str">
        <f aca="false">IF($D433&lt;&gt;1,"",IF(p_mode="Nœud",$AB433*$K433,$L433*IF($G433="IKS",p_iks_cpu,p_roks_cpu)+$M433*IF($G433="IKS",p_iks_ram,p_roks_ram))*p_facteur)</f>
        <v/>
      </c>
      <c r="AD433" s="14" t="str">
        <f aca="false">IF($D433&lt;&gt;1,"",IF(AND($G433="IKS",$AI433&lt;&gt;1,OR($L433-$P433&lt;$N433,$M433-$Q433&lt;$O433)),1,0))</f>
        <v/>
      </c>
      <c r="AE433" s="14" t="str">
        <f aca="false">IF($D433&lt;&gt;1,"",IF(AND($G433="ROKS",$T433&gt;p_maxworkers),1,0))</f>
        <v/>
      </c>
      <c r="AF433" s="14" t="str">
        <f aca="false">IF($D433&lt;&gt;1,"",IF(INDEX(TblClusters[Environnement],$B433)="","(vide)",INDEX(TblClusters[Environnement],$B433)))</f>
        <v/>
      </c>
      <c r="AG433" s="14" t="str">
        <f aca="false">IF($D433&lt;&gt;1,"",$R433+p_poidsram*$S433)</f>
        <v/>
      </c>
      <c r="AH433" s="14" t="str">
        <f aca="false">IF($D433&lt;&gt;1,"",IFERROR($W433/$AG433,0))</f>
        <v/>
      </c>
      <c r="AI433" s="14" t="str">
        <f aca="false">IF($D433&lt;&gt;1,"",IF(AND($G433="IKS",ISNUMBER(INDEX(TblClusters[Fermeture retenue],$B433))),IF($E433&gt;=INDEX(TblClusters[Fermeture retenue],$B433),1,0),0))</f>
        <v/>
      </c>
    </row>
    <row r="434" customFormat="false" ht="15" hidden="false" customHeight="false" outlineLevel="0" collapsed="false">
      <c r="A434" s="14" t="n">
        <v>429</v>
      </c>
      <c r="B434" s="14" t="n">
        <f aca="false">INT(($A434-1)/36)+1</f>
        <v>12</v>
      </c>
      <c r="C434" s="14" t="n">
        <f aca="false">MOD($A434-1,36)+1</f>
        <v>33</v>
      </c>
      <c r="D434" s="14" t="n">
        <f aca="false">IF($C434&gt;p_horizon,0,IFERROR(IF(AND(INDEX(TblClusters[Cluster],$B434)&lt;&gt;"",ISNUMBER(INDEX(TblClusters[CPU initial (vCPU)],$B434)),ISNUMBER(INDEX(TblClusters[CPU min (vCPU)],$B434)),OR(INDEX(TblClusters[Plateforme],$B434)="IKS",INDEX(TblClusters[Plateforme],$B434)="ROKS")),1,0),0))</f>
        <v>0</v>
      </c>
      <c r="E434" s="83" t="str">
        <f aca="false">IF($D434=1,EDATE(p_debut,$C434-1),"")</f>
        <v/>
      </c>
      <c r="F434" s="14" t="str">
        <f aca="false">IF($D434=1,INDEX(TblClusters[Cluster],$B434),"")</f>
        <v/>
      </c>
      <c r="G434" s="14" t="str">
        <f aca="false">IF($D434=1,INDEX(TblClusters[Plateforme],$B434),"")</f>
        <v/>
      </c>
      <c r="H434" s="14" t="str">
        <f aca="false">IF($D434=1,INDEX(TblClusters[vCPU par nœud],$B434),"")</f>
        <v/>
      </c>
      <c r="I434" s="14" t="str">
        <f aca="false">IF($D434=1,INDEX(TblClusters[RAM par nœud (Go)],$B434),"")</f>
        <v/>
      </c>
      <c r="J434" s="14" t="str">
        <f aca="false">IF($D434=1,INDEX(TblClusters[Workers min],$B434),"")</f>
        <v/>
      </c>
      <c r="K434" s="84" t="str">
        <f aca="false">IF($D434=1,INDEX(TblClusters[Tarif par nœud],$B434),"")</f>
        <v/>
      </c>
      <c r="L434" s="14" t="str">
        <f aca="false">IF($D434=1,INDEX(TblClusters[CPU initial (vCPU)],$B434),"")</f>
        <v/>
      </c>
      <c r="M434" s="14" t="str">
        <f aca="false">IF($D434=1,INDEX(TblClusters[RAM initiale (Go)],$B434),"")</f>
        <v/>
      </c>
      <c r="N434" s="14" t="str">
        <f aca="false">IF($D434=1,INDEX(TblClusters[CPU min (vCPU)],$B434),"")</f>
        <v/>
      </c>
      <c r="O434" s="14" t="str">
        <f aca="false">IF($D434=1,INDEX(TblClusters[RAM min (Go)],$B434),"")</f>
        <v/>
      </c>
      <c r="P434" s="14" t="str">
        <f aca="false">IF($D434&lt;&gt;1,"",IF($G434="ROKS",SUMIFS(TblApplications[Besoin ROKS CPU (vCPU)],TblApplications[Cluster ROKS cible],$F434,TblApplications[Action],"À migrer",TblApplications[Déjà incluse ROKS],"Non",TblApplications[Mois prov (calc)],"&lt;="&amp;$E434),SUMIFS(TblApplications[CPU IKS libérable (vCPU)],TblApplications[Cluster IKS source],$F434,TblApplications[Mois lib (calc)],"&lt;="&amp;$E434)))</f>
        <v/>
      </c>
      <c r="Q434" s="14" t="str">
        <f aca="false">IF($D434&lt;&gt;1,"",IF($G434="ROKS",SUMIFS(TblApplications[Besoin ROKS RAM (Go)],TblApplications[Cluster ROKS cible],$F434,TblApplications[Action],"À migrer",TblApplications[Déjà incluse ROKS],"Non",TblApplications[Mois prov (calc)],"&lt;="&amp;$E434),SUMIFS(TblApplications[RAM IKS libérable (Go)],TblApplications[Cluster IKS source],$F434,TblApplications[Mois lib (calc)],"&lt;="&amp;$E434)))</f>
        <v/>
      </c>
      <c r="R434" s="14" t="str">
        <f aca="false">IF($D434&lt;&gt;1,"",IF($G434="ROKS",$L434+$P434,IF($AI434=1,0,MAX($N434,$L434-$P434))))</f>
        <v/>
      </c>
      <c r="S434" s="14" t="str">
        <f aca="false">IF($D434&lt;&gt;1,"",IF($G434="ROKS",$M434+$Q434,IF($AI434=1,0,MAX($O434,$M434-$Q434))))</f>
        <v/>
      </c>
      <c r="T434" s="14" t="str">
        <f aca="false">IF($D434&lt;&gt;1,"",IF($AI434=1,0,MAX($J434,ROUNDUP(MAX($R434/$H434,$S434/$I434),0))))</f>
        <v/>
      </c>
      <c r="U434" s="14" t="str">
        <f aca="false">IF($D434&lt;&gt;1,"",IF(p_mode="Nœud",$T434*$H434,$R434))</f>
        <v/>
      </c>
      <c r="V434" s="14" t="str">
        <f aca="false">IF($D434&lt;&gt;1,"",IF(p_mode="Nœud",$T434*$I434,$S434))</f>
        <v/>
      </c>
      <c r="W434" s="84" t="str">
        <f aca="false">IF($D434&lt;&gt;1,"",IF(p_mode="Nœud",$T434*$K434,$R434*IF($G434="IKS",p_iks_cpu,p_roks_cpu)+$S434*IF($G434="IKS",p_iks_ram,p_roks_ram))*p_facteur)</f>
        <v/>
      </c>
      <c r="X434" s="14" t="str">
        <f aca="false">IF($D434&lt;&gt;1,"",IF($G434="ROKS",$R434,IF($AI434=1,0,MAX($N434,$L434-SUMIFS(TblApplications[CPU IKS libérable (vCPU)],TblApplications[Cluster IKS source],$F434,TblApplications[Action],"À migrer",TblApplications[Mois prov (calc)],"&lt;="&amp;$E434)-SUMIFS(TblApplications[CPU IKS libérable (vCPU)],TblApplications[Cluster IKS source],$F434,TblApplications[Action],"À décommissionner",TblApplications[Mois lib (calc)],"&lt;="&amp;$E434)))))</f>
        <v/>
      </c>
      <c r="Y434" s="14" t="str">
        <f aca="false">IF($D434&lt;&gt;1,"",IF($G434="ROKS",$S434,IF($AI434=1,0,MAX($O434,$M434-SUMIFS(TblApplications[RAM IKS libérable (Go)],TblApplications[Cluster IKS source],$F434,TblApplications[Action],"À migrer",TblApplications[Mois prov (calc)],"&lt;="&amp;$E434)-SUMIFS(TblApplications[RAM IKS libérable (Go)],TblApplications[Cluster IKS source],$F434,TblApplications[Action],"À décommissionner",TblApplications[Mois lib (calc)],"&lt;="&amp;$E434)))))</f>
        <v/>
      </c>
      <c r="Z434" s="14" t="str">
        <f aca="false">IF($D434&lt;&gt;1,"",IF($AI434=1,0,MAX($J434,ROUNDUP(MAX($X434/$H434,$Y434/$I434),0))))</f>
        <v/>
      </c>
      <c r="AA434" s="84" t="str">
        <f aca="false">IF($D434&lt;&gt;1,"",IF(p_mode="Nœud",$Z434*$K434,$X434*IF($G434="IKS",p_iks_cpu,p_roks_cpu)+$Y434*IF($G434="IKS",p_iks_ram,p_roks_ram))*p_facteur)</f>
        <v/>
      </c>
      <c r="AB434" s="14" t="str">
        <f aca="false">IF($D434&lt;&gt;1,"",MAX($J434,ROUNDUP(MAX($L434/$H434,$M434/$I434),0)))</f>
        <v/>
      </c>
      <c r="AC434" s="84" t="str">
        <f aca="false">IF($D434&lt;&gt;1,"",IF(p_mode="Nœud",$AB434*$K434,$L434*IF($G434="IKS",p_iks_cpu,p_roks_cpu)+$M434*IF($G434="IKS",p_iks_ram,p_roks_ram))*p_facteur)</f>
        <v/>
      </c>
      <c r="AD434" s="14" t="str">
        <f aca="false">IF($D434&lt;&gt;1,"",IF(AND($G434="IKS",$AI434&lt;&gt;1,OR($L434-$P434&lt;$N434,$M434-$Q434&lt;$O434)),1,0))</f>
        <v/>
      </c>
      <c r="AE434" s="14" t="str">
        <f aca="false">IF($D434&lt;&gt;1,"",IF(AND($G434="ROKS",$T434&gt;p_maxworkers),1,0))</f>
        <v/>
      </c>
      <c r="AF434" s="14" t="str">
        <f aca="false">IF($D434&lt;&gt;1,"",IF(INDEX(TblClusters[Environnement],$B434)="","(vide)",INDEX(TblClusters[Environnement],$B434)))</f>
        <v/>
      </c>
      <c r="AG434" s="14" t="str">
        <f aca="false">IF($D434&lt;&gt;1,"",$R434+p_poidsram*$S434)</f>
        <v/>
      </c>
      <c r="AH434" s="14" t="str">
        <f aca="false">IF($D434&lt;&gt;1,"",IFERROR($W434/$AG434,0))</f>
        <v/>
      </c>
      <c r="AI434" s="14" t="str">
        <f aca="false">IF($D434&lt;&gt;1,"",IF(AND($G434="IKS",ISNUMBER(INDEX(TblClusters[Fermeture retenue],$B434))),IF($E434&gt;=INDEX(TblClusters[Fermeture retenue],$B434),1,0),0))</f>
        <v/>
      </c>
    </row>
    <row r="435" customFormat="false" ht="15" hidden="false" customHeight="false" outlineLevel="0" collapsed="false">
      <c r="A435" s="14" t="n">
        <v>430</v>
      </c>
      <c r="B435" s="14" t="n">
        <f aca="false">INT(($A435-1)/36)+1</f>
        <v>12</v>
      </c>
      <c r="C435" s="14" t="n">
        <f aca="false">MOD($A435-1,36)+1</f>
        <v>34</v>
      </c>
      <c r="D435" s="14" t="n">
        <f aca="false">IF($C435&gt;p_horizon,0,IFERROR(IF(AND(INDEX(TblClusters[Cluster],$B435)&lt;&gt;"",ISNUMBER(INDEX(TblClusters[CPU initial (vCPU)],$B435)),ISNUMBER(INDEX(TblClusters[CPU min (vCPU)],$B435)),OR(INDEX(TblClusters[Plateforme],$B435)="IKS",INDEX(TblClusters[Plateforme],$B435)="ROKS")),1,0),0))</f>
        <v>0</v>
      </c>
      <c r="E435" s="83" t="str">
        <f aca="false">IF($D435=1,EDATE(p_debut,$C435-1),"")</f>
        <v/>
      </c>
      <c r="F435" s="14" t="str">
        <f aca="false">IF($D435=1,INDEX(TblClusters[Cluster],$B435),"")</f>
        <v/>
      </c>
      <c r="G435" s="14" t="str">
        <f aca="false">IF($D435=1,INDEX(TblClusters[Plateforme],$B435),"")</f>
        <v/>
      </c>
      <c r="H435" s="14" t="str">
        <f aca="false">IF($D435=1,INDEX(TblClusters[vCPU par nœud],$B435),"")</f>
        <v/>
      </c>
      <c r="I435" s="14" t="str">
        <f aca="false">IF($D435=1,INDEX(TblClusters[RAM par nœud (Go)],$B435),"")</f>
        <v/>
      </c>
      <c r="J435" s="14" t="str">
        <f aca="false">IF($D435=1,INDEX(TblClusters[Workers min],$B435),"")</f>
        <v/>
      </c>
      <c r="K435" s="84" t="str">
        <f aca="false">IF($D435=1,INDEX(TblClusters[Tarif par nœud],$B435),"")</f>
        <v/>
      </c>
      <c r="L435" s="14" t="str">
        <f aca="false">IF($D435=1,INDEX(TblClusters[CPU initial (vCPU)],$B435),"")</f>
        <v/>
      </c>
      <c r="M435" s="14" t="str">
        <f aca="false">IF($D435=1,INDEX(TblClusters[RAM initiale (Go)],$B435),"")</f>
        <v/>
      </c>
      <c r="N435" s="14" t="str">
        <f aca="false">IF($D435=1,INDEX(TblClusters[CPU min (vCPU)],$B435),"")</f>
        <v/>
      </c>
      <c r="O435" s="14" t="str">
        <f aca="false">IF($D435=1,INDEX(TblClusters[RAM min (Go)],$B435),"")</f>
        <v/>
      </c>
      <c r="P435" s="14" t="str">
        <f aca="false">IF($D435&lt;&gt;1,"",IF($G435="ROKS",SUMIFS(TblApplications[Besoin ROKS CPU (vCPU)],TblApplications[Cluster ROKS cible],$F435,TblApplications[Action],"À migrer",TblApplications[Déjà incluse ROKS],"Non",TblApplications[Mois prov (calc)],"&lt;="&amp;$E435),SUMIFS(TblApplications[CPU IKS libérable (vCPU)],TblApplications[Cluster IKS source],$F435,TblApplications[Mois lib (calc)],"&lt;="&amp;$E435)))</f>
        <v/>
      </c>
      <c r="Q435" s="14" t="str">
        <f aca="false">IF($D435&lt;&gt;1,"",IF($G435="ROKS",SUMIFS(TblApplications[Besoin ROKS RAM (Go)],TblApplications[Cluster ROKS cible],$F435,TblApplications[Action],"À migrer",TblApplications[Déjà incluse ROKS],"Non",TblApplications[Mois prov (calc)],"&lt;="&amp;$E435),SUMIFS(TblApplications[RAM IKS libérable (Go)],TblApplications[Cluster IKS source],$F435,TblApplications[Mois lib (calc)],"&lt;="&amp;$E435)))</f>
        <v/>
      </c>
      <c r="R435" s="14" t="str">
        <f aca="false">IF($D435&lt;&gt;1,"",IF($G435="ROKS",$L435+$P435,IF($AI435=1,0,MAX($N435,$L435-$P435))))</f>
        <v/>
      </c>
      <c r="S435" s="14" t="str">
        <f aca="false">IF($D435&lt;&gt;1,"",IF($G435="ROKS",$M435+$Q435,IF($AI435=1,0,MAX($O435,$M435-$Q435))))</f>
        <v/>
      </c>
      <c r="T435" s="14" t="str">
        <f aca="false">IF($D435&lt;&gt;1,"",IF($AI435=1,0,MAX($J435,ROUNDUP(MAX($R435/$H435,$S435/$I435),0))))</f>
        <v/>
      </c>
      <c r="U435" s="14" t="str">
        <f aca="false">IF($D435&lt;&gt;1,"",IF(p_mode="Nœud",$T435*$H435,$R435))</f>
        <v/>
      </c>
      <c r="V435" s="14" t="str">
        <f aca="false">IF($D435&lt;&gt;1,"",IF(p_mode="Nœud",$T435*$I435,$S435))</f>
        <v/>
      </c>
      <c r="W435" s="84" t="str">
        <f aca="false">IF($D435&lt;&gt;1,"",IF(p_mode="Nœud",$T435*$K435,$R435*IF($G435="IKS",p_iks_cpu,p_roks_cpu)+$S435*IF($G435="IKS",p_iks_ram,p_roks_ram))*p_facteur)</f>
        <v/>
      </c>
      <c r="X435" s="14" t="str">
        <f aca="false">IF($D435&lt;&gt;1,"",IF($G435="ROKS",$R435,IF($AI435=1,0,MAX($N435,$L435-SUMIFS(TblApplications[CPU IKS libérable (vCPU)],TblApplications[Cluster IKS source],$F435,TblApplications[Action],"À migrer",TblApplications[Mois prov (calc)],"&lt;="&amp;$E435)-SUMIFS(TblApplications[CPU IKS libérable (vCPU)],TblApplications[Cluster IKS source],$F435,TblApplications[Action],"À décommissionner",TblApplications[Mois lib (calc)],"&lt;="&amp;$E435)))))</f>
        <v/>
      </c>
      <c r="Y435" s="14" t="str">
        <f aca="false">IF($D435&lt;&gt;1,"",IF($G435="ROKS",$S435,IF($AI435=1,0,MAX($O435,$M435-SUMIFS(TblApplications[RAM IKS libérable (Go)],TblApplications[Cluster IKS source],$F435,TblApplications[Action],"À migrer",TblApplications[Mois prov (calc)],"&lt;="&amp;$E435)-SUMIFS(TblApplications[RAM IKS libérable (Go)],TblApplications[Cluster IKS source],$F435,TblApplications[Action],"À décommissionner",TblApplications[Mois lib (calc)],"&lt;="&amp;$E435)))))</f>
        <v/>
      </c>
      <c r="Z435" s="14" t="str">
        <f aca="false">IF($D435&lt;&gt;1,"",IF($AI435=1,0,MAX($J435,ROUNDUP(MAX($X435/$H435,$Y435/$I435),0))))</f>
        <v/>
      </c>
      <c r="AA435" s="84" t="str">
        <f aca="false">IF($D435&lt;&gt;1,"",IF(p_mode="Nœud",$Z435*$K435,$X435*IF($G435="IKS",p_iks_cpu,p_roks_cpu)+$Y435*IF($G435="IKS",p_iks_ram,p_roks_ram))*p_facteur)</f>
        <v/>
      </c>
      <c r="AB435" s="14" t="str">
        <f aca="false">IF($D435&lt;&gt;1,"",MAX($J435,ROUNDUP(MAX($L435/$H435,$M435/$I435),0)))</f>
        <v/>
      </c>
      <c r="AC435" s="84" t="str">
        <f aca="false">IF($D435&lt;&gt;1,"",IF(p_mode="Nœud",$AB435*$K435,$L435*IF($G435="IKS",p_iks_cpu,p_roks_cpu)+$M435*IF($G435="IKS",p_iks_ram,p_roks_ram))*p_facteur)</f>
        <v/>
      </c>
      <c r="AD435" s="14" t="str">
        <f aca="false">IF($D435&lt;&gt;1,"",IF(AND($G435="IKS",$AI435&lt;&gt;1,OR($L435-$P435&lt;$N435,$M435-$Q435&lt;$O435)),1,0))</f>
        <v/>
      </c>
      <c r="AE435" s="14" t="str">
        <f aca="false">IF($D435&lt;&gt;1,"",IF(AND($G435="ROKS",$T435&gt;p_maxworkers),1,0))</f>
        <v/>
      </c>
      <c r="AF435" s="14" t="str">
        <f aca="false">IF($D435&lt;&gt;1,"",IF(INDEX(TblClusters[Environnement],$B435)="","(vide)",INDEX(TblClusters[Environnement],$B435)))</f>
        <v/>
      </c>
      <c r="AG435" s="14" t="str">
        <f aca="false">IF($D435&lt;&gt;1,"",$R435+p_poidsram*$S435)</f>
        <v/>
      </c>
      <c r="AH435" s="14" t="str">
        <f aca="false">IF($D435&lt;&gt;1,"",IFERROR($W435/$AG435,0))</f>
        <v/>
      </c>
      <c r="AI435" s="14" t="str">
        <f aca="false">IF($D435&lt;&gt;1,"",IF(AND($G435="IKS",ISNUMBER(INDEX(TblClusters[Fermeture retenue],$B435))),IF($E435&gt;=INDEX(TblClusters[Fermeture retenue],$B435),1,0),0))</f>
        <v/>
      </c>
    </row>
    <row r="436" customFormat="false" ht="15" hidden="false" customHeight="false" outlineLevel="0" collapsed="false">
      <c r="A436" s="14" t="n">
        <v>431</v>
      </c>
      <c r="B436" s="14" t="n">
        <f aca="false">INT(($A436-1)/36)+1</f>
        <v>12</v>
      </c>
      <c r="C436" s="14" t="n">
        <f aca="false">MOD($A436-1,36)+1</f>
        <v>35</v>
      </c>
      <c r="D436" s="14" t="n">
        <f aca="false">IF($C436&gt;p_horizon,0,IFERROR(IF(AND(INDEX(TblClusters[Cluster],$B436)&lt;&gt;"",ISNUMBER(INDEX(TblClusters[CPU initial (vCPU)],$B436)),ISNUMBER(INDEX(TblClusters[CPU min (vCPU)],$B436)),OR(INDEX(TblClusters[Plateforme],$B436)="IKS",INDEX(TblClusters[Plateforme],$B436)="ROKS")),1,0),0))</f>
        <v>0</v>
      </c>
      <c r="E436" s="83" t="str">
        <f aca="false">IF($D436=1,EDATE(p_debut,$C436-1),"")</f>
        <v/>
      </c>
      <c r="F436" s="14" t="str">
        <f aca="false">IF($D436=1,INDEX(TblClusters[Cluster],$B436),"")</f>
        <v/>
      </c>
      <c r="G436" s="14" t="str">
        <f aca="false">IF($D436=1,INDEX(TblClusters[Plateforme],$B436),"")</f>
        <v/>
      </c>
      <c r="H436" s="14" t="str">
        <f aca="false">IF($D436=1,INDEX(TblClusters[vCPU par nœud],$B436),"")</f>
        <v/>
      </c>
      <c r="I436" s="14" t="str">
        <f aca="false">IF($D436=1,INDEX(TblClusters[RAM par nœud (Go)],$B436),"")</f>
        <v/>
      </c>
      <c r="J436" s="14" t="str">
        <f aca="false">IF($D436=1,INDEX(TblClusters[Workers min],$B436),"")</f>
        <v/>
      </c>
      <c r="K436" s="84" t="str">
        <f aca="false">IF($D436=1,INDEX(TblClusters[Tarif par nœud],$B436),"")</f>
        <v/>
      </c>
      <c r="L436" s="14" t="str">
        <f aca="false">IF($D436=1,INDEX(TblClusters[CPU initial (vCPU)],$B436),"")</f>
        <v/>
      </c>
      <c r="M436" s="14" t="str">
        <f aca="false">IF($D436=1,INDEX(TblClusters[RAM initiale (Go)],$B436),"")</f>
        <v/>
      </c>
      <c r="N436" s="14" t="str">
        <f aca="false">IF($D436=1,INDEX(TblClusters[CPU min (vCPU)],$B436),"")</f>
        <v/>
      </c>
      <c r="O436" s="14" t="str">
        <f aca="false">IF($D436=1,INDEX(TblClusters[RAM min (Go)],$B436),"")</f>
        <v/>
      </c>
      <c r="P436" s="14" t="str">
        <f aca="false">IF($D436&lt;&gt;1,"",IF($G436="ROKS",SUMIFS(TblApplications[Besoin ROKS CPU (vCPU)],TblApplications[Cluster ROKS cible],$F436,TblApplications[Action],"À migrer",TblApplications[Déjà incluse ROKS],"Non",TblApplications[Mois prov (calc)],"&lt;="&amp;$E436),SUMIFS(TblApplications[CPU IKS libérable (vCPU)],TblApplications[Cluster IKS source],$F436,TblApplications[Mois lib (calc)],"&lt;="&amp;$E436)))</f>
        <v/>
      </c>
      <c r="Q436" s="14" t="str">
        <f aca="false">IF($D436&lt;&gt;1,"",IF($G436="ROKS",SUMIFS(TblApplications[Besoin ROKS RAM (Go)],TblApplications[Cluster ROKS cible],$F436,TblApplications[Action],"À migrer",TblApplications[Déjà incluse ROKS],"Non",TblApplications[Mois prov (calc)],"&lt;="&amp;$E436),SUMIFS(TblApplications[RAM IKS libérable (Go)],TblApplications[Cluster IKS source],$F436,TblApplications[Mois lib (calc)],"&lt;="&amp;$E436)))</f>
        <v/>
      </c>
      <c r="R436" s="14" t="str">
        <f aca="false">IF($D436&lt;&gt;1,"",IF($G436="ROKS",$L436+$P436,IF($AI436=1,0,MAX($N436,$L436-$P436))))</f>
        <v/>
      </c>
      <c r="S436" s="14" t="str">
        <f aca="false">IF($D436&lt;&gt;1,"",IF($G436="ROKS",$M436+$Q436,IF($AI436=1,0,MAX($O436,$M436-$Q436))))</f>
        <v/>
      </c>
      <c r="T436" s="14" t="str">
        <f aca="false">IF($D436&lt;&gt;1,"",IF($AI436=1,0,MAX($J436,ROUNDUP(MAX($R436/$H436,$S436/$I436),0))))</f>
        <v/>
      </c>
      <c r="U436" s="14" t="str">
        <f aca="false">IF($D436&lt;&gt;1,"",IF(p_mode="Nœud",$T436*$H436,$R436))</f>
        <v/>
      </c>
      <c r="V436" s="14" t="str">
        <f aca="false">IF($D436&lt;&gt;1,"",IF(p_mode="Nœud",$T436*$I436,$S436))</f>
        <v/>
      </c>
      <c r="W436" s="84" t="str">
        <f aca="false">IF($D436&lt;&gt;1,"",IF(p_mode="Nœud",$T436*$K436,$R436*IF($G436="IKS",p_iks_cpu,p_roks_cpu)+$S436*IF($G436="IKS",p_iks_ram,p_roks_ram))*p_facteur)</f>
        <v/>
      </c>
      <c r="X436" s="14" t="str">
        <f aca="false">IF($D436&lt;&gt;1,"",IF($G436="ROKS",$R436,IF($AI436=1,0,MAX($N436,$L436-SUMIFS(TblApplications[CPU IKS libérable (vCPU)],TblApplications[Cluster IKS source],$F436,TblApplications[Action],"À migrer",TblApplications[Mois prov (calc)],"&lt;="&amp;$E436)-SUMIFS(TblApplications[CPU IKS libérable (vCPU)],TblApplications[Cluster IKS source],$F436,TblApplications[Action],"À décommissionner",TblApplications[Mois lib (calc)],"&lt;="&amp;$E436)))))</f>
        <v/>
      </c>
      <c r="Y436" s="14" t="str">
        <f aca="false">IF($D436&lt;&gt;1,"",IF($G436="ROKS",$S436,IF($AI436=1,0,MAX($O436,$M436-SUMIFS(TblApplications[RAM IKS libérable (Go)],TblApplications[Cluster IKS source],$F436,TblApplications[Action],"À migrer",TblApplications[Mois prov (calc)],"&lt;="&amp;$E436)-SUMIFS(TblApplications[RAM IKS libérable (Go)],TblApplications[Cluster IKS source],$F436,TblApplications[Action],"À décommissionner",TblApplications[Mois lib (calc)],"&lt;="&amp;$E436)))))</f>
        <v/>
      </c>
      <c r="Z436" s="14" t="str">
        <f aca="false">IF($D436&lt;&gt;1,"",IF($AI436=1,0,MAX($J436,ROUNDUP(MAX($X436/$H436,$Y436/$I436),0))))</f>
        <v/>
      </c>
      <c r="AA436" s="84" t="str">
        <f aca="false">IF($D436&lt;&gt;1,"",IF(p_mode="Nœud",$Z436*$K436,$X436*IF($G436="IKS",p_iks_cpu,p_roks_cpu)+$Y436*IF($G436="IKS",p_iks_ram,p_roks_ram))*p_facteur)</f>
        <v/>
      </c>
      <c r="AB436" s="14" t="str">
        <f aca="false">IF($D436&lt;&gt;1,"",MAX($J436,ROUNDUP(MAX($L436/$H436,$M436/$I436),0)))</f>
        <v/>
      </c>
      <c r="AC436" s="84" t="str">
        <f aca="false">IF($D436&lt;&gt;1,"",IF(p_mode="Nœud",$AB436*$K436,$L436*IF($G436="IKS",p_iks_cpu,p_roks_cpu)+$M436*IF($G436="IKS",p_iks_ram,p_roks_ram))*p_facteur)</f>
        <v/>
      </c>
      <c r="AD436" s="14" t="str">
        <f aca="false">IF($D436&lt;&gt;1,"",IF(AND($G436="IKS",$AI436&lt;&gt;1,OR($L436-$P436&lt;$N436,$M436-$Q436&lt;$O436)),1,0))</f>
        <v/>
      </c>
      <c r="AE436" s="14" t="str">
        <f aca="false">IF($D436&lt;&gt;1,"",IF(AND($G436="ROKS",$T436&gt;p_maxworkers),1,0))</f>
        <v/>
      </c>
      <c r="AF436" s="14" t="str">
        <f aca="false">IF($D436&lt;&gt;1,"",IF(INDEX(TblClusters[Environnement],$B436)="","(vide)",INDEX(TblClusters[Environnement],$B436)))</f>
        <v/>
      </c>
      <c r="AG436" s="14" t="str">
        <f aca="false">IF($D436&lt;&gt;1,"",$R436+p_poidsram*$S436)</f>
        <v/>
      </c>
      <c r="AH436" s="14" t="str">
        <f aca="false">IF($D436&lt;&gt;1,"",IFERROR($W436/$AG436,0))</f>
        <v/>
      </c>
      <c r="AI436" s="14" t="str">
        <f aca="false">IF($D436&lt;&gt;1,"",IF(AND($G436="IKS",ISNUMBER(INDEX(TblClusters[Fermeture retenue],$B436))),IF($E436&gt;=INDEX(TblClusters[Fermeture retenue],$B436),1,0),0))</f>
        <v/>
      </c>
    </row>
    <row r="437" customFormat="false" ht="15" hidden="false" customHeight="false" outlineLevel="0" collapsed="false">
      <c r="A437" s="14" t="n">
        <v>432</v>
      </c>
      <c r="B437" s="14" t="n">
        <f aca="false">INT(($A437-1)/36)+1</f>
        <v>12</v>
      </c>
      <c r="C437" s="14" t="n">
        <f aca="false">MOD($A437-1,36)+1</f>
        <v>36</v>
      </c>
      <c r="D437" s="14" t="n">
        <f aca="false">IF($C437&gt;p_horizon,0,IFERROR(IF(AND(INDEX(TblClusters[Cluster],$B437)&lt;&gt;"",ISNUMBER(INDEX(TblClusters[CPU initial (vCPU)],$B437)),ISNUMBER(INDEX(TblClusters[CPU min (vCPU)],$B437)),OR(INDEX(TblClusters[Plateforme],$B437)="IKS",INDEX(TblClusters[Plateforme],$B437)="ROKS")),1,0),0))</f>
        <v>0</v>
      </c>
      <c r="E437" s="83" t="str">
        <f aca="false">IF($D437=1,EDATE(p_debut,$C437-1),"")</f>
        <v/>
      </c>
      <c r="F437" s="14" t="str">
        <f aca="false">IF($D437=1,INDEX(TblClusters[Cluster],$B437),"")</f>
        <v/>
      </c>
      <c r="G437" s="14" t="str">
        <f aca="false">IF($D437=1,INDEX(TblClusters[Plateforme],$B437),"")</f>
        <v/>
      </c>
      <c r="H437" s="14" t="str">
        <f aca="false">IF($D437=1,INDEX(TblClusters[vCPU par nœud],$B437),"")</f>
        <v/>
      </c>
      <c r="I437" s="14" t="str">
        <f aca="false">IF($D437=1,INDEX(TblClusters[RAM par nœud (Go)],$B437),"")</f>
        <v/>
      </c>
      <c r="J437" s="14" t="str">
        <f aca="false">IF($D437=1,INDEX(TblClusters[Workers min],$B437),"")</f>
        <v/>
      </c>
      <c r="K437" s="84" t="str">
        <f aca="false">IF($D437=1,INDEX(TblClusters[Tarif par nœud],$B437),"")</f>
        <v/>
      </c>
      <c r="L437" s="14" t="str">
        <f aca="false">IF($D437=1,INDEX(TblClusters[CPU initial (vCPU)],$B437),"")</f>
        <v/>
      </c>
      <c r="M437" s="14" t="str">
        <f aca="false">IF($D437=1,INDEX(TblClusters[RAM initiale (Go)],$B437),"")</f>
        <v/>
      </c>
      <c r="N437" s="14" t="str">
        <f aca="false">IF($D437=1,INDEX(TblClusters[CPU min (vCPU)],$B437),"")</f>
        <v/>
      </c>
      <c r="O437" s="14" t="str">
        <f aca="false">IF($D437=1,INDEX(TblClusters[RAM min (Go)],$B437),"")</f>
        <v/>
      </c>
      <c r="P437" s="14" t="str">
        <f aca="false">IF($D437&lt;&gt;1,"",IF($G437="ROKS",SUMIFS(TblApplications[Besoin ROKS CPU (vCPU)],TblApplications[Cluster ROKS cible],$F437,TblApplications[Action],"À migrer",TblApplications[Déjà incluse ROKS],"Non",TblApplications[Mois prov (calc)],"&lt;="&amp;$E437),SUMIFS(TblApplications[CPU IKS libérable (vCPU)],TblApplications[Cluster IKS source],$F437,TblApplications[Mois lib (calc)],"&lt;="&amp;$E437)))</f>
        <v/>
      </c>
      <c r="Q437" s="14" t="str">
        <f aca="false">IF($D437&lt;&gt;1,"",IF($G437="ROKS",SUMIFS(TblApplications[Besoin ROKS RAM (Go)],TblApplications[Cluster ROKS cible],$F437,TblApplications[Action],"À migrer",TblApplications[Déjà incluse ROKS],"Non",TblApplications[Mois prov (calc)],"&lt;="&amp;$E437),SUMIFS(TblApplications[RAM IKS libérable (Go)],TblApplications[Cluster IKS source],$F437,TblApplications[Mois lib (calc)],"&lt;="&amp;$E437)))</f>
        <v/>
      </c>
      <c r="R437" s="14" t="str">
        <f aca="false">IF($D437&lt;&gt;1,"",IF($G437="ROKS",$L437+$P437,IF($AI437=1,0,MAX($N437,$L437-$P437))))</f>
        <v/>
      </c>
      <c r="S437" s="14" t="str">
        <f aca="false">IF($D437&lt;&gt;1,"",IF($G437="ROKS",$M437+$Q437,IF($AI437=1,0,MAX($O437,$M437-$Q437))))</f>
        <v/>
      </c>
      <c r="T437" s="14" t="str">
        <f aca="false">IF($D437&lt;&gt;1,"",IF($AI437=1,0,MAX($J437,ROUNDUP(MAX($R437/$H437,$S437/$I437),0))))</f>
        <v/>
      </c>
      <c r="U437" s="14" t="str">
        <f aca="false">IF($D437&lt;&gt;1,"",IF(p_mode="Nœud",$T437*$H437,$R437))</f>
        <v/>
      </c>
      <c r="V437" s="14" t="str">
        <f aca="false">IF($D437&lt;&gt;1,"",IF(p_mode="Nœud",$T437*$I437,$S437))</f>
        <v/>
      </c>
      <c r="W437" s="84" t="str">
        <f aca="false">IF($D437&lt;&gt;1,"",IF(p_mode="Nœud",$T437*$K437,$R437*IF($G437="IKS",p_iks_cpu,p_roks_cpu)+$S437*IF($G437="IKS",p_iks_ram,p_roks_ram))*p_facteur)</f>
        <v/>
      </c>
      <c r="X437" s="14" t="str">
        <f aca="false">IF($D437&lt;&gt;1,"",IF($G437="ROKS",$R437,IF($AI437=1,0,MAX($N437,$L437-SUMIFS(TblApplications[CPU IKS libérable (vCPU)],TblApplications[Cluster IKS source],$F437,TblApplications[Action],"À migrer",TblApplications[Mois prov (calc)],"&lt;="&amp;$E437)-SUMIFS(TblApplications[CPU IKS libérable (vCPU)],TblApplications[Cluster IKS source],$F437,TblApplications[Action],"À décommissionner",TblApplications[Mois lib (calc)],"&lt;="&amp;$E437)))))</f>
        <v/>
      </c>
      <c r="Y437" s="14" t="str">
        <f aca="false">IF($D437&lt;&gt;1,"",IF($G437="ROKS",$S437,IF($AI437=1,0,MAX($O437,$M437-SUMIFS(TblApplications[RAM IKS libérable (Go)],TblApplications[Cluster IKS source],$F437,TblApplications[Action],"À migrer",TblApplications[Mois prov (calc)],"&lt;="&amp;$E437)-SUMIFS(TblApplications[RAM IKS libérable (Go)],TblApplications[Cluster IKS source],$F437,TblApplications[Action],"À décommissionner",TblApplications[Mois lib (calc)],"&lt;="&amp;$E437)))))</f>
        <v/>
      </c>
      <c r="Z437" s="14" t="str">
        <f aca="false">IF($D437&lt;&gt;1,"",IF($AI437=1,0,MAX($J437,ROUNDUP(MAX($X437/$H437,$Y437/$I437),0))))</f>
        <v/>
      </c>
      <c r="AA437" s="84" t="str">
        <f aca="false">IF($D437&lt;&gt;1,"",IF(p_mode="Nœud",$Z437*$K437,$X437*IF($G437="IKS",p_iks_cpu,p_roks_cpu)+$Y437*IF($G437="IKS",p_iks_ram,p_roks_ram))*p_facteur)</f>
        <v/>
      </c>
      <c r="AB437" s="14" t="str">
        <f aca="false">IF($D437&lt;&gt;1,"",MAX($J437,ROUNDUP(MAX($L437/$H437,$M437/$I437),0)))</f>
        <v/>
      </c>
      <c r="AC437" s="84" t="str">
        <f aca="false">IF($D437&lt;&gt;1,"",IF(p_mode="Nœud",$AB437*$K437,$L437*IF($G437="IKS",p_iks_cpu,p_roks_cpu)+$M437*IF($G437="IKS",p_iks_ram,p_roks_ram))*p_facteur)</f>
        <v/>
      </c>
      <c r="AD437" s="14" t="str">
        <f aca="false">IF($D437&lt;&gt;1,"",IF(AND($G437="IKS",$AI437&lt;&gt;1,OR($L437-$P437&lt;$N437,$M437-$Q437&lt;$O437)),1,0))</f>
        <v/>
      </c>
      <c r="AE437" s="14" t="str">
        <f aca="false">IF($D437&lt;&gt;1,"",IF(AND($G437="ROKS",$T437&gt;p_maxworkers),1,0))</f>
        <v/>
      </c>
      <c r="AF437" s="14" t="str">
        <f aca="false">IF($D437&lt;&gt;1,"",IF(INDEX(TblClusters[Environnement],$B437)="","(vide)",INDEX(TblClusters[Environnement],$B437)))</f>
        <v/>
      </c>
      <c r="AG437" s="14" t="str">
        <f aca="false">IF($D437&lt;&gt;1,"",$R437+p_poidsram*$S437)</f>
        <v/>
      </c>
      <c r="AH437" s="14" t="str">
        <f aca="false">IF($D437&lt;&gt;1,"",IFERROR($W437/$AG437,0))</f>
        <v/>
      </c>
      <c r="AI437" s="14" t="str">
        <f aca="false">IF($D437&lt;&gt;1,"",IF(AND($G437="IKS",ISNUMBER(INDEX(TblClusters[Fermeture retenue],$B437))),IF($E437&gt;=INDEX(TblClusters[Fermeture retenue],$B437),1,0),0))</f>
        <v/>
      </c>
    </row>
    <row r="438" customFormat="false" ht="15" hidden="false" customHeight="false" outlineLevel="0" collapsed="false">
      <c r="A438" s="14" t="n">
        <v>433</v>
      </c>
      <c r="B438" s="14" t="n">
        <f aca="false">INT(($A438-1)/36)+1</f>
        <v>13</v>
      </c>
      <c r="C438" s="14" t="n">
        <f aca="false">MOD($A438-1,36)+1</f>
        <v>1</v>
      </c>
      <c r="D438" s="14" t="n">
        <f aca="false">IF($C438&gt;p_horizon,0,IFERROR(IF(AND(INDEX(TblClusters[Cluster],$B438)&lt;&gt;"",ISNUMBER(INDEX(TblClusters[CPU initial (vCPU)],$B438)),ISNUMBER(INDEX(TblClusters[CPU min (vCPU)],$B438)),OR(INDEX(TblClusters[Plateforme],$B438)="IKS",INDEX(TblClusters[Plateforme],$B438)="ROKS")),1,0),0))</f>
        <v>0</v>
      </c>
      <c r="E438" s="83" t="str">
        <f aca="false">IF($D438=1,EDATE(p_debut,$C438-1),"")</f>
        <v/>
      </c>
      <c r="F438" s="14" t="str">
        <f aca="false">IF($D438=1,INDEX(TblClusters[Cluster],$B438),"")</f>
        <v/>
      </c>
      <c r="G438" s="14" t="str">
        <f aca="false">IF($D438=1,INDEX(TblClusters[Plateforme],$B438),"")</f>
        <v/>
      </c>
      <c r="H438" s="14" t="str">
        <f aca="false">IF($D438=1,INDEX(TblClusters[vCPU par nœud],$B438),"")</f>
        <v/>
      </c>
      <c r="I438" s="14" t="str">
        <f aca="false">IF($D438=1,INDEX(TblClusters[RAM par nœud (Go)],$B438),"")</f>
        <v/>
      </c>
      <c r="J438" s="14" t="str">
        <f aca="false">IF($D438=1,INDEX(TblClusters[Workers min],$B438),"")</f>
        <v/>
      </c>
      <c r="K438" s="84" t="str">
        <f aca="false">IF($D438=1,INDEX(TblClusters[Tarif par nœud],$B438),"")</f>
        <v/>
      </c>
      <c r="L438" s="14" t="str">
        <f aca="false">IF($D438=1,INDEX(TblClusters[CPU initial (vCPU)],$B438),"")</f>
        <v/>
      </c>
      <c r="M438" s="14" t="str">
        <f aca="false">IF($D438=1,INDEX(TblClusters[RAM initiale (Go)],$B438),"")</f>
        <v/>
      </c>
      <c r="N438" s="14" t="str">
        <f aca="false">IF($D438=1,INDEX(TblClusters[CPU min (vCPU)],$B438),"")</f>
        <v/>
      </c>
      <c r="O438" s="14" t="str">
        <f aca="false">IF($D438=1,INDEX(TblClusters[RAM min (Go)],$B438),"")</f>
        <v/>
      </c>
      <c r="P438" s="14" t="str">
        <f aca="false">IF($D438&lt;&gt;1,"",IF($G438="ROKS",SUMIFS(TblApplications[Besoin ROKS CPU (vCPU)],TblApplications[Cluster ROKS cible],$F438,TblApplications[Action],"À migrer",TblApplications[Déjà incluse ROKS],"Non",TblApplications[Mois prov (calc)],"&lt;="&amp;$E438),SUMIFS(TblApplications[CPU IKS libérable (vCPU)],TblApplications[Cluster IKS source],$F438,TblApplications[Mois lib (calc)],"&lt;="&amp;$E438)))</f>
        <v/>
      </c>
      <c r="Q438" s="14" t="str">
        <f aca="false">IF($D438&lt;&gt;1,"",IF($G438="ROKS",SUMIFS(TblApplications[Besoin ROKS RAM (Go)],TblApplications[Cluster ROKS cible],$F438,TblApplications[Action],"À migrer",TblApplications[Déjà incluse ROKS],"Non",TblApplications[Mois prov (calc)],"&lt;="&amp;$E438),SUMIFS(TblApplications[RAM IKS libérable (Go)],TblApplications[Cluster IKS source],$F438,TblApplications[Mois lib (calc)],"&lt;="&amp;$E438)))</f>
        <v/>
      </c>
      <c r="R438" s="14" t="str">
        <f aca="false">IF($D438&lt;&gt;1,"",IF($G438="ROKS",$L438+$P438,IF($AI438=1,0,MAX($N438,$L438-$P438))))</f>
        <v/>
      </c>
      <c r="S438" s="14" t="str">
        <f aca="false">IF($D438&lt;&gt;1,"",IF($G438="ROKS",$M438+$Q438,IF($AI438=1,0,MAX($O438,$M438-$Q438))))</f>
        <v/>
      </c>
      <c r="T438" s="14" t="str">
        <f aca="false">IF($D438&lt;&gt;1,"",IF($AI438=1,0,MAX($J438,ROUNDUP(MAX($R438/$H438,$S438/$I438),0))))</f>
        <v/>
      </c>
      <c r="U438" s="14" t="str">
        <f aca="false">IF($D438&lt;&gt;1,"",IF(p_mode="Nœud",$T438*$H438,$R438))</f>
        <v/>
      </c>
      <c r="V438" s="14" t="str">
        <f aca="false">IF($D438&lt;&gt;1,"",IF(p_mode="Nœud",$T438*$I438,$S438))</f>
        <v/>
      </c>
      <c r="W438" s="84" t="str">
        <f aca="false">IF($D438&lt;&gt;1,"",IF(p_mode="Nœud",$T438*$K438,$R438*IF($G438="IKS",p_iks_cpu,p_roks_cpu)+$S438*IF($G438="IKS",p_iks_ram,p_roks_ram))*p_facteur)</f>
        <v/>
      </c>
      <c r="X438" s="14" t="str">
        <f aca="false">IF($D438&lt;&gt;1,"",IF($G438="ROKS",$R438,IF($AI438=1,0,MAX($N438,$L438-SUMIFS(TblApplications[CPU IKS libérable (vCPU)],TblApplications[Cluster IKS source],$F438,TblApplications[Action],"À migrer",TblApplications[Mois prov (calc)],"&lt;="&amp;$E438)-SUMIFS(TblApplications[CPU IKS libérable (vCPU)],TblApplications[Cluster IKS source],$F438,TblApplications[Action],"À décommissionner",TblApplications[Mois lib (calc)],"&lt;="&amp;$E438)))))</f>
        <v/>
      </c>
      <c r="Y438" s="14" t="str">
        <f aca="false">IF($D438&lt;&gt;1,"",IF($G438="ROKS",$S438,IF($AI438=1,0,MAX($O438,$M438-SUMIFS(TblApplications[RAM IKS libérable (Go)],TblApplications[Cluster IKS source],$F438,TblApplications[Action],"À migrer",TblApplications[Mois prov (calc)],"&lt;="&amp;$E438)-SUMIFS(TblApplications[RAM IKS libérable (Go)],TblApplications[Cluster IKS source],$F438,TblApplications[Action],"À décommissionner",TblApplications[Mois lib (calc)],"&lt;="&amp;$E438)))))</f>
        <v/>
      </c>
      <c r="Z438" s="14" t="str">
        <f aca="false">IF($D438&lt;&gt;1,"",IF($AI438=1,0,MAX($J438,ROUNDUP(MAX($X438/$H438,$Y438/$I438),0))))</f>
        <v/>
      </c>
      <c r="AA438" s="84" t="str">
        <f aca="false">IF($D438&lt;&gt;1,"",IF(p_mode="Nœud",$Z438*$K438,$X438*IF($G438="IKS",p_iks_cpu,p_roks_cpu)+$Y438*IF($G438="IKS",p_iks_ram,p_roks_ram))*p_facteur)</f>
        <v/>
      </c>
      <c r="AB438" s="14" t="str">
        <f aca="false">IF($D438&lt;&gt;1,"",MAX($J438,ROUNDUP(MAX($L438/$H438,$M438/$I438),0)))</f>
        <v/>
      </c>
      <c r="AC438" s="84" t="str">
        <f aca="false">IF($D438&lt;&gt;1,"",IF(p_mode="Nœud",$AB438*$K438,$L438*IF($G438="IKS",p_iks_cpu,p_roks_cpu)+$M438*IF($G438="IKS",p_iks_ram,p_roks_ram))*p_facteur)</f>
        <v/>
      </c>
      <c r="AD438" s="14" t="str">
        <f aca="false">IF($D438&lt;&gt;1,"",IF(AND($G438="IKS",$AI438&lt;&gt;1,OR($L438-$P438&lt;$N438,$M438-$Q438&lt;$O438)),1,0))</f>
        <v/>
      </c>
      <c r="AE438" s="14" t="str">
        <f aca="false">IF($D438&lt;&gt;1,"",IF(AND($G438="ROKS",$T438&gt;p_maxworkers),1,0))</f>
        <v/>
      </c>
      <c r="AF438" s="14" t="str">
        <f aca="false">IF($D438&lt;&gt;1,"",IF(INDEX(TblClusters[Environnement],$B438)="","(vide)",INDEX(TblClusters[Environnement],$B438)))</f>
        <v/>
      </c>
      <c r="AG438" s="14" t="str">
        <f aca="false">IF($D438&lt;&gt;1,"",$R438+p_poidsram*$S438)</f>
        <v/>
      </c>
      <c r="AH438" s="14" t="str">
        <f aca="false">IF($D438&lt;&gt;1,"",IFERROR($W438/$AG438,0))</f>
        <v/>
      </c>
      <c r="AI438" s="14" t="str">
        <f aca="false">IF($D438&lt;&gt;1,"",IF(AND($G438="IKS",ISNUMBER(INDEX(TblClusters[Fermeture retenue],$B438))),IF($E438&gt;=INDEX(TblClusters[Fermeture retenue],$B438),1,0),0))</f>
        <v/>
      </c>
    </row>
    <row r="439" customFormat="false" ht="15" hidden="false" customHeight="false" outlineLevel="0" collapsed="false">
      <c r="A439" s="14" t="n">
        <v>434</v>
      </c>
      <c r="B439" s="14" t="n">
        <f aca="false">INT(($A439-1)/36)+1</f>
        <v>13</v>
      </c>
      <c r="C439" s="14" t="n">
        <f aca="false">MOD($A439-1,36)+1</f>
        <v>2</v>
      </c>
      <c r="D439" s="14" t="n">
        <f aca="false">IF($C439&gt;p_horizon,0,IFERROR(IF(AND(INDEX(TblClusters[Cluster],$B439)&lt;&gt;"",ISNUMBER(INDEX(TblClusters[CPU initial (vCPU)],$B439)),ISNUMBER(INDEX(TblClusters[CPU min (vCPU)],$B439)),OR(INDEX(TblClusters[Plateforme],$B439)="IKS",INDEX(TblClusters[Plateforme],$B439)="ROKS")),1,0),0))</f>
        <v>0</v>
      </c>
      <c r="E439" s="83" t="str">
        <f aca="false">IF($D439=1,EDATE(p_debut,$C439-1),"")</f>
        <v/>
      </c>
      <c r="F439" s="14" t="str">
        <f aca="false">IF($D439=1,INDEX(TblClusters[Cluster],$B439),"")</f>
        <v/>
      </c>
      <c r="G439" s="14" t="str">
        <f aca="false">IF($D439=1,INDEX(TblClusters[Plateforme],$B439),"")</f>
        <v/>
      </c>
      <c r="H439" s="14" t="str">
        <f aca="false">IF($D439=1,INDEX(TblClusters[vCPU par nœud],$B439),"")</f>
        <v/>
      </c>
      <c r="I439" s="14" t="str">
        <f aca="false">IF($D439=1,INDEX(TblClusters[RAM par nœud (Go)],$B439),"")</f>
        <v/>
      </c>
      <c r="J439" s="14" t="str">
        <f aca="false">IF($D439=1,INDEX(TblClusters[Workers min],$B439),"")</f>
        <v/>
      </c>
      <c r="K439" s="84" t="str">
        <f aca="false">IF($D439=1,INDEX(TblClusters[Tarif par nœud],$B439),"")</f>
        <v/>
      </c>
      <c r="L439" s="14" t="str">
        <f aca="false">IF($D439=1,INDEX(TblClusters[CPU initial (vCPU)],$B439),"")</f>
        <v/>
      </c>
      <c r="M439" s="14" t="str">
        <f aca="false">IF($D439=1,INDEX(TblClusters[RAM initiale (Go)],$B439),"")</f>
        <v/>
      </c>
      <c r="N439" s="14" t="str">
        <f aca="false">IF($D439=1,INDEX(TblClusters[CPU min (vCPU)],$B439),"")</f>
        <v/>
      </c>
      <c r="O439" s="14" t="str">
        <f aca="false">IF($D439=1,INDEX(TblClusters[RAM min (Go)],$B439),"")</f>
        <v/>
      </c>
      <c r="P439" s="14" t="str">
        <f aca="false">IF($D439&lt;&gt;1,"",IF($G439="ROKS",SUMIFS(TblApplications[Besoin ROKS CPU (vCPU)],TblApplications[Cluster ROKS cible],$F439,TblApplications[Action],"À migrer",TblApplications[Déjà incluse ROKS],"Non",TblApplications[Mois prov (calc)],"&lt;="&amp;$E439),SUMIFS(TblApplications[CPU IKS libérable (vCPU)],TblApplications[Cluster IKS source],$F439,TblApplications[Mois lib (calc)],"&lt;="&amp;$E439)))</f>
        <v/>
      </c>
      <c r="Q439" s="14" t="str">
        <f aca="false">IF($D439&lt;&gt;1,"",IF($G439="ROKS",SUMIFS(TblApplications[Besoin ROKS RAM (Go)],TblApplications[Cluster ROKS cible],$F439,TblApplications[Action],"À migrer",TblApplications[Déjà incluse ROKS],"Non",TblApplications[Mois prov (calc)],"&lt;="&amp;$E439),SUMIFS(TblApplications[RAM IKS libérable (Go)],TblApplications[Cluster IKS source],$F439,TblApplications[Mois lib (calc)],"&lt;="&amp;$E439)))</f>
        <v/>
      </c>
      <c r="R439" s="14" t="str">
        <f aca="false">IF($D439&lt;&gt;1,"",IF($G439="ROKS",$L439+$P439,IF($AI439=1,0,MAX($N439,$L439-$P439))))</f>
        <v/>
      </c>
      <c r="S439" s="14" t="str">
        <f aca="false">IF($D439&lt;&gt;1,"",IF($G439="ROKS",$M439+$Q439,IF($AI439=1,0,MAX($O439,$M439-$Q439))))</f>
        <v/>
      </c>
      <c r="T439" s="14" t="str">
        <f aca="false">IF($D439&lt;&gt;1,"",IF($AI439=1,0,MAX($J439,ROUNDUP(MAX($R439/$H439,$S439/$I439),0))))</f>
        <v/>
      </c>
      <c r="U439" s="14" t="str">
        <f aca="false">IF($D439&lt;&gt;1,"",IF(p_mode="Nœud",$T439*$H439,$R439))</f>
        <v/>
      </c>
      <c r="V439" s="14" t="str">
        <f aca="false">IF($D439&lt;&gt;1,"",IF(p_mode="Nœud",$T439*$I439,$S439))</f>
        <v/>
      </c>
      <c r="W439" s="84" t="str">
        <f aca="false">IF($D439&lt;&gt;1,"",IF(p_mode="Nœud",$T439*$K439,$R439*IF($G439="IKS",p_iks_cpu,p_roks_cpu)+$S439*IF($G439="IKS",p_iks_ram,p_roks_ram))*p_facteur)</f>
        <v/>
      </c>
      <c r="X439" s="14" t="str">
        <f aca="false">IF($D439&lt;&gt;1,"",IF($G439="ROKS",$R439,IF($AI439=1,0,MAX($N439,$L439-SUMIFS(TblApplications[CPU IKS libérable (vCPU)],TblApplications[Cluster IKS source],$F439,TblApplications[Action],"À migrer",TblApplications[Mois prov (calc)],"&lt;="&amp;$E439)-SUMIFS(TblApplications[CPU IKS libérable (vCPU)],TblApplications[Cluster IKS source],$F439,TblApplications[Action],"À décommissionner",TblApplications[Mois lib (calc)],"&lt;="&amp;$E439)))))</f>
        <v/>
      </c>
      <c r="Y439" s="14" t="str">
        <f aca="false">IF($D439&lt;&gt;1,"",IF($G439="ROKS",$S439,IF($AI439=1,0,MAX($O439,$M439-SUMIFS(TblApplications[RAM IKS libérable (Go)],TblApplications[Cluster IKS source],$F439,TblApplications[Action],"À migrer",TblApplications[Mois prov (calc)],"&lt;="&amp;$E439)-SUMIFS(TblApplications[RAM IKS libérable (Go)],TblApplications[Cluster IKS source],$F439,TblApplications[Action],"À décommissionner",TblApplications[Mois lib (calc)],"&lt;="&amp;$E439)))))</f>
        <v/>
      </c>
      <c r="Z439" s="14" t="str">
        <f aca="false">IF($D439&lt;&gt;1,"",IF($AI439=1,0,MAX($J439,ROUNDUP(MAX($X439/$H439,$Y439/$I439),0))))</f>
        <v/>
      </c>
      <c r="AA439" s="84" t="str">
        <f aca="false">IF($D439&lt;&gt;1,"",IF(p_mode="Nœud",$Z439*$K439,$X439*IF($G439="IKS",p_iks_cpu,p_roks_cpu)+$Y439*IF($G439="IKS",p_iks_ram,p_roks_ram))*p_facteur)</f>
        <v/>
      </c>
      <c r="AB439" s="14" t="str">
        <f aca="false">IF($D439&lt;&gt;1,"",MAX($J439,ROUNDUP(MAX($L439/$H439,$M439/$I439),0)))</f>
        <v/>
      </c>
      <c r="AC439" s="84" t="str">
        <f aca="false">IF($D439&lt;&gt;1,"",IF(p_mode="Nœud",$AB439*$K439,$L439*IF($G439="IKS",p_iks_cpu,p_roks_cpu)+$M439*IF($G439="IKS",p_iks_ram,p_roks_ram))*p_facteur)</f>
        <v/>
      </c>
      <c r="AD439" s="14" t="str">
        <f aca="false">IF($D439&lt;&gt;1,"",IF(AND($G439="IKS",$AI439&lt;&gt;1,OR($L439-$P439&lt;$N439,$M439-$Q439&lt;$O439)),1,0))</f>
        <v/>
      </c>
      <c r="AE439" s="14" t="str">
        <f aca="false">IF($D439&lt;&gt;1,"",IF(AND($G439="ROKS",$T439&gt;p_maxworkers),1,0))</f>
        <v/>
      </c>
      <c r="AF439" s="14" t="str">
        <f aca="false">IF($D439&lt;&gt;1,"",IF(INDEX(TblClusters[Environnement],$B439)="","(vide)",INDEX(TblClusters[Environnement],$B439)))</f>
        <v/>
      </c>
      <c r="AG439" s="14" t="str">
        <f aca="false">IF($D439&lt;&gt;1,"",$R439+p_poidsram*$S439)</f>
        <v/>
      </c>
      <c r="AH439" s="14" t="str">
        <f aca="false">IF($D439&lt;&gt;1,"",IFERROR($W439/$AG439,0))</f>
        <v/>
      </c>
      <c r="AI439" s="14" t="str">
        <f aca="false">IF($D439&lt;&gt;1,"",IF(AND($G439="IKS",ISNUMBER(INDEX(TblClusters[Fermeture retenue],$B439))),IF($E439&gt;=INDEX(TblClusters[Fermeture retenue],$B439),1,0),0))</f>
        <v/>
      </c>
    </row>
    <row r="440" customFormat="false" ht="15" hidden="false" customHeight="false" outlineLevel="0" collapsed="false">
      <c r="A440" s="14" t="n">
        <v>435</v>
      </c>
      <c r="B440" s="14" t="n">
        <f aca="false">INT(($A440-1)/36)+1</f>
        <v>13</v>
      </c>
      <c r="C440" s="14" t="n">
        <f aca="false">MOD($A440-1,36)+1</f>
        <v>3</v>
      </c>
      <c r="D440" s="14" t="n">
        <f aca="false">IF($C440&gt;p_horizon,0,IFERROR(IF(AND(INDEX(TblClusters[Cluster],$B440)&lt;&gt;"",ISNUMBER(INDEX(TblClusters[CPU initial (vCPU)],$B440)),ISNUMBER(INDEX(TblClusters[CPU min (vCPU)],$B440)),OR(INDEX(TblClusters[Plateforme],$B440)="IKS",INDEX(TblClusters[Plateforme],$B440)="ROKS")),1,0),0))</f>
        <v>0</v>
      </c>
      <c r="E440" s="83" t="str">
        <f aca="false">IF($D440=1,EDATE(p_debut,$C440-1),"")</f>
        <v/>
      </c>
      <c r="F440" s="14" t="str">
        <f aca="false">IF($D440=1,INDEX(TblClusters[Cluster],$B440),"")</f>
        <v/>
      </c>
      <c r="G440" s="14" t="str">
        <f aca="false">IF($D440=1,INDEX(TblClusters[Plateforme],$B440),"")</f>
        <v/>
      </c>
      <c r="H440" s="14" t="str">
        <f aca="false">IF($D440=1,INDEX(TblClusters[vCPU par nœud],$B440),"")</f>
        <v/>
      </c>
      <c r="I440" s="14" t="str">
        <f aca="false">IF($D440=1,INDEX(TblClusters[RAM par nœud (Go)],$B440),"")</f>
        <v/>
      </c>
      <c r="J440" s="14" t="str">
        <f aca="false">IF($D440=1,INDEX(TblClusters[Workers min],$B440),"")</f>
        <v/>
      </c>
      <c r="K440" s="84" t="str">
        <f aca="false">IF($D440=1,INDEX(TblClusters[Tarif par nœud],$B440),"")</f>
        <v/>
      </c>
      <c r="L440" s="14" t="str">
        <f aca="false">IF($D440=1,INDEX(TblClusters[CPU initial (vCPU)],$B440),"")</f>
        <v/>
      </c>
      <c r="M440" s="14" t="str">
        <f aca="false">IF($D440=1,INDEX(TblClusters[RAM initiale (Go)],$B440),"")</f>
        <v/>
      </c>
      <c r="N440" s="14" t="str">
        <f aca="false">IF($D440=1,INDEX(TblClusters[CPU min (vCPU)],$B440),"")</f>
        <v/>
      </c>
      <c r="O440" s="14" t="str">
        <f aca="false">IF($D440=1,INDEX(TblClusters[RAM min (Go)],$B440),"")</f>
        <v/>
      </c>
      <c r="P440" s="14" t="str">
        <f aca="false">IF($D440&lt;&gt;1,"",IF($G440="ROKS",SUMIFS(TblApplications[Besoin ROKS CPU (vCPU)],TblApplications[Cluster ROKS cible],$F440,TblApplications[Action],"À migrer",TblApplications[Déjà incluse ROKS],"Non",TblApplications[Mois prov (calc)],"&lt;="&amp;$E440),SUMIFS(TblApplications[CPU IKS libérable (vCPU)],TblApplications[Cluster IKS source],$F440,TblApplications[Mois lib (calc)],"&lt;="&amp;$E440)))</f>
        <v/>
      </c>
      <c r="Q440" s="14" t="str">
        <f aca="false">IF($D440&lt;&gt;1,"",IF($G440="ROKS",SUMIFS(TblApplications[Besoin ROKS RAM (Go)],TblApplications[Cluster ROKS cible],$F440,TblApplications[Action],"À migrer",TblApplications[Déjà incluse ROKS],"Non",TblApplications[Mois prov (calc)],"&lt;="&amp;$E440),SUMIFS(TblApplications[RAM IKS libérable (Go)],TblApplications[Cluster IKS source],$F440,TblApplications[Mois lib (calc)],"&lt;="&amp;$E440)))</f>
        <v/>
      </c>
      <c r="R440" s="14" t="str">
        <f aca="false">IF($D440&lt;&gt;1,"",IF($G440="ROKS",$L440+$P440,IF($AI440=1,0,MAX($N440,$L440-$P440))))</f>
        <v/>
      </c>
      <c r="S440" s="14" t="str">
        <f aca="false">IF($D440&lt;&gt;1,"",IF($G440="ROKS",$M440+$Q440,IF($AI440=1,0,MAX($O440,$M440-$Q440))))</f>
        <v/>
      </c>
      <c r="T440" s="14" t="str">
        <f aca="false">IF($D440&lt;&gt;1,"",IF($AI440=1,0,MAX($J440,ROUNDUP(MAX($R440/$H440,$S440/$I440),0))))</f>
        <v/>
      </c>
      <c r="U440" s="14" t="str">
        <f aca="false">IF($D440&lt;&gt;1,"",IF(p_mode="Nœud",$T440*$H440,$R440))</f>
        <v/>
      </c>
      <c r="V440" s="14" t="str">
        <f aca="false">IF($D440&lt;&gt;1,"",IF(p_mode="Nœud",$T440*$I440,$S440))</f>
        <v/>
      </c>
      <c r="W440" s="84" t="str">
        <f aca="false">IF($D440&lt;&gt;1,"",IF(p_mode="Nœud",$T440*$K440,$R440*IF($G440="IKS",p_iks_cpu,p_roks_cpu)+$S440*IF($G440="IKS",p_iks_ram,p_roks_ram))*p_facteur)</f>
        <v/>
      </c>
      <c r="X440" s="14" t="str">
        <f aca="false">IF($D440&lt;&gt;1,"",IF($G440="ROKS",$R440,IF($AI440=1,0,MAX($N440,$L440-SUMIFS(TblApplications[CPU IKS libérable (vCPU)],TblApplications[Cluster IKS source],$F440,TblApplications[Action],"À migrer",TblApplications[Mois prov (calc)],"&lt;="&amp;$E440)-SUMIFS(TblApplications[CPU IKS libérable (vCPU)],TblApplications[Cluster IKS source],$F440,TblApplications[Action],"À décommissionner",TblApplications[Mois lib (calc)],"&lt;="&amp;$E440)))))</f>
        <v/>
      </c>
      <c r="Y440" s="14" t="str">
        <f aca="false">IF($D440&lt;&gt;1,"",IF($G440="ROKS",$S440,IF($AI440=1,0,MAX($O440,$M440-SUMIFS(TblApplications[RAM IKS libérable (Go)],TblApplications[Cluster IKS source],$F440,TblApplications[Action],"À migrer",TblApplications[Mois prov (calc)],"&lt;="&amp;$E440)-SUMIFS(TblApplications[RAM IKS libérable (Go)],TblApplications[Cluster IKS source],$F440,TblApplications[Action],"À décommissionner",TblApplications[Mois lib (calc)],"&lt;="&amp;$E440)))))</f>
        <v/>
      </c>
      <c r="Z440" s="14" t="str">
        <f aca="false">IF($D440&lt;&gt;1,"",IF($AI440=1,0,MAX($J440,ROUNDUP(MAX($X440/$H440,$Y440/$I440),0))))</f>
        <v/>
      </c>
      <c r="AA440" s="84" t="str">
        <f aca="false">IF($D440&lt;&gt;1,"",IF(p_mode="Nœud",$Z440*$K440,$X440*IF($G440="IKS",p_iks_cpu,p_roks_cpu)+$Y440*IF($G440="IKS",p_iks_ram,p_roks_ram))*p_facteur)</f>
        <v/>
      </c>
      <c r="AB440" s="14" t="str">
        <f aca="false">IF($D440&lt;&gt;1,"",MAX($J440,ROUNDUP(MAX($L440/$H440,$M440/$I440),0)))</f>
        <v/>
      </c>
      <c r="AC440" s="84" t="str">
        <f aca="false">IF($D440&lt;&gt;1,"",IF(p_mode="Nœud",$AB440*$K440,$L440*IF($G440="IKS",p_iks_cpu,p_roks_cpu)+$M440*IF($G440="IKS",p_iks_ram,p_roks_ram))*p_facteur)</f>
        <v/>
      </c>
      <c r="AD440" s="14" t="str">
        <f aca="false">IF($D440&lt;&gt;1,"",IF(AND($G440="IKS",$AI440&lt;&gt;1,OR($L440-$P440&lt;$N440,$M440-$Q440&lt;$O440)),1,0))</f>
        <v/>
      </c>
      <c r="AE440" s="14" t="str">
        <f aca="false">IF($D440&lt;&gt;1,"",IF(AND($G440="ROKS",$T440&gt;p_maxworkers),1,0))</f>
        <v/>
      </c>
      <c r="AF440" s="14" t="str">
        <f aca="false">IF($D440&lt;&gt;1,"",IF(INDEX(TblClusters[Environnement],$B440)="","(vide)",INDEX(TblClusters[Environnement],$B440)))</f>
        <v/>
      </c>
      <c r="AG440" s="14" t="str">
        <f aca="false">IF($D440&lt;&gt;1,"",$R440+p_poidsram*$S440)</f>
        <v/>
      </c>
      <c r="AH440" s="14" t="str">
        <f aca="false">IF($D440&lt;&gt;1,"",IFERROR($W440/$AG440,0))</f>
        <v/>
      </c>
      <c r="AI440" s="14" t="str">
        <f aca="false">IF($D440&lt;&gt;1,"",IF(AND($G440="IKS",ISNUMBER(INDEX(TblClusters[Fermeture retenue],$B440))),IF($E440&gt;=INDEX(TblClusters[Fermeture retenue],$B440),1,0),0))</f>
        <v/>
      </c>
    </row>
    <row r="441" customFormat="false" ht="15" hidden="false" customHeight="false" outlineLevel="0" collapsed="false">
      <c r="A441" s="14" t="n">
        <v>436</v>
      </c>
      <c r="B441" s="14" t="n">
        <f aca="false">INT(($A441-1)/36)+1</f>
        <v>13</v>
      </c>
      <c r="C441" s="14" t="n">
        <f aca="false">MOD($A441-1,36)+1</f>
        <v>4</v>
      </c>
      <c r="D441" s="14" t="n">
        <f aca="false">IF($C441&gt;p_horizon,0,IFERROR(IF(AND(INDEX(TblClusters[Cluster],$B441)&lt;&gt;"",ISNUMBER(INDEX(TblClusters[CPU initial (vCPU)],$B441)),ISNUMBER(INDEX(TblClusters[CPU min (vCPU)],$B441)),OR(INDEX(TblClusters[Plateforme],$B441)="IKS",INDEX(TblClusters[Plateforme],$B441)="ROKS")),1,0),0))</f>
        <v>0</v>
      </c>
      <c r="E441" s="83" t="str">
        <f aca="false">IF($D441=1,EDATE(p_debut,$C441-1),"")</f>
        <v/>
      </c>
      <c r="F441" s="14" t="str">
        <f aca="false">IF($D441=1,INDEX(TblClusters[Cluster],$B441),"")</f>
        <v/>
      </c>
      <c r="G441" s="14" t="str">
        <f aca="false">IF($D441=1,INDEX(TblClusters[Plateforme],$B441),"")</f>
        <v/>
      </c>
      <c r="H441" s="14" t="str">
        <f aca="false">IF($D441=1,INDEX(TblClusters[vCPU par nœud],$B441),"")</f>
        <v/>
      </c>
      <c r="I441" s="14" t="str">
        <f aca="false">IF($D441=1,INDEX(TblClusters[RAM par nœud (Go)],$B441),"")</f>
        <v/>
      </c>
      <c r="J441" s="14" t="str">
        <f aca="false">IF($D441=1,INDEX(TblClusters[Workers min],$B441),"")</f>
        <v/>
      </c>
      <c r="K441" s="84" t="str">
        <f aca="false">IF($D441=1,INDEX(TblClusters[Tarif par nœud],$B441),"")</f>
        <v/>
      </c>
      <c r="L441" s="14" t="str">
        <f aca="false">IF($D441=1,INDEX(TblClusters[CPU initial (vCPU)],$B441),"")</f>
        <v/>
      </c>
      <c r="M441" s="14" t="str">
        <f aca="false">IF($D441=1,INDEX(TblClusters[RAM initiale (Go)],$B441),"")</f>
        <v/>
      </c>
      <c r="N441" s="14" t="str">
        <f aca="false">IF($D441=1,INDEX(TblClusters[CPU min (vCPU)],$B441),"")</f>
        <v/>
      </c>
      <c r="O441" s="14" t="str">
        <f aca="false">IF($D441=1,INDEX(TblClusters[RAM min (Go)],$B441),"")</f>
        <v/>
      </c>
      <c r="P441" s="14" t="str">
        <f aca="false">IF($D441&lt;&gt;1,"",IF($G441="ROKS",SUMIFS(TblApplications[Besoin ROKS CPU (vCPU)],TblApplications[Cluster ROKS cible],$F441,TblApplications[Action],"À migrer",TblApplications[Déjà incluse ROKS],"Non",TblApplications[Mois prov (calc)],"&lt;="&amp;$E441),SUMIFS(TblApplications[CPU IKS libérable (vCPU)],TblApplications[Cluster IKS source],$F441,TblApplications[Mois lib (calc)],"&lt;="&amp;$E441)))</f>
        <v/>
      </c>
      <c r="Q441" s="14" t="str">
        <f aca="false">IF($D441&lt;&gt;1,"",IF($G441="ROKS",SUMIFS(TblApplications[Besoin ROKS RAM (Go)],TblApplications[Cluster ROKS cible],$F441,TblApplications[Action],"À migrer",TblApplications[Déjà incluse ROKS],"Non",TblApplications[Mois prov (calc)],"&lt;="&amp;$E441),SUMIFS(TblApplications[RAM IKS libérable (Go)],TblApplications[Cluster IKS source],$F441,TblApplications[Mois lib (calc)],"&lt;="&amp;$E441)))</f>
        <v/>
      </c>
      <c r="R441" s="14" t="str">
        <f aca="false">IF($D441&lt;&gt;1,"",IF($G441="ROKS",$L441+$P441,IF($AI441=1,0,MAX($N441,$L441-$P441))))</f>
        <v/>
      </c>
      <c r="S441" s="14" t="str">
        <f aca="false">IF($D441&lt;&gt;1,"",IF($G441="ROKS",$M441+$Q441,IF($AI441=1,0,MAX($O441,$M441-$Q441))))</f>
        <v/>
      </c>
      <c r="T441" s="14" t="str">
        <f aca="false">IF($D441&lt;&gt;1,"",IF($AI441=1,0,MAX($J441,ROUNDUP(MAX($R441/$H441,$S441/$I441),0))))</f>
        <v/>
      </c>
      <c r="U441" s="14" t="str">
        <f aca="false">IF($D441&lt;&gt;1,"",IF(p_mode="Nœud",$T441*$H441,$R441))</f>
        <v/>
      </c>
      <c r="V441" s="14" t="str">
        <f aca="false">IF($D441&lt;&gt;1,"",IF(p_mode="Nœud",$T441*$I441,$S441))</f>
        <v/>
      </c>
      <c r="W441" s="84" t="str">
        <f aca="false">IF($D441&lt;&gt;1,"",IF(p_mode="Nœud",$T441*$K441,$R441*IF($G441="IKS",p_iks_cpu,p_roks_cpu)+$S441*IF($G441="IKS",p_iks_ram,p_roks_ram))*p_facteur)</f>
        <v/>
      </c>
      <c r="X441" s="14" t="str">
        <f aca="false">IF($D441&lt;&gt;1,"",IF($G441="ROKS",$R441,IF($AI441=1,0,MAX($N441,$L441-SUMIFS(TblApplications[CPU IKS libérable (vCPU)],TblApplications[Cluster IKS source],$F441,TblApplications[Action],"À migrer",TblApplications[Mois prov (calc)],"&lt;="&amp;$E441)-SUMIFS(TblApplications[CPU IKS libérable (vCPU)],TblApplications[Cluster IKS source],$F441,TblApplications[Action],"À décommissionner",TblApplications[Mois lib (calc)],"&lt;="&amp;$E441)))))</f>
        <v/>
      </c>
      <c r="Y441" s="14" t="str">
        <f aca="false">IF($D441&lt;&gt;1,"",IF($G441="ROKS",$S441,IF($AI441=1,0,MAX($O441,$M441-SUMIFS(TblApplications[RAM IKS libérable (Go)],TblApplications[Cluster IKS source],$F441,TblApplications[Action],"À migrer",TblApplications[Mois prov (calc)],"&lt;="&amp;$E441)-SUMIFS(TblApplications[RAM IKS libérable (Go)],TblApplications[Cluster IKS source],$F441,TblApplications[Action],"À décommissionner",TblApplications[Mois lib (calc)],"&lt;="&amp;$E441)))))</f>
        <v/>
      </c>
      <c r="Z441" s="14" t="str">
        <f aca="false">IF($D441&lt;&gt;1,"",IF($AI441=1,0,MAX($J441,ROUNDUP(MAX($X441/$H441,$Y441/$I441),0))))</f>
        <v/>
      </c>
      <c r="AA441" s="84" t="str">
        <f aca="false">IF($D441&lt;&gt;1,"",IF(p_mode="Nœud",$Z441*$K441,$X441*IF($G441="IKS",p_iks_cpu,p_roks_cpu)+$Y441*IF($G441="IKS",p_iks_ram,p_roks_ram))*p_facteur)</f>
        <v/>
      </c>
      <c r="AB441" s="14" t="str">
        <f aca="false">IF($D441&lt;&gt;1,"",MAX($J441,ROUNDUP(MAX($L441/$H441,$M441/$I441),0)))</f>
        <v/>
      </c>
      <c r="AC441" s="84" t="str">
        <f aca="false">IF($D441&lt;&gt;1,"",IF(p_mode="Nœud",$AB441*$K441,$L441*IF($G441="IKS",p_iks_cpu,p_roks_cpu)+$M441*IF($G441="IKS",p_iks_ram,p_roks_ram))*p_facteur)</f>
        <v/>
      </c>
      <c r="AD441" s="14" t="str">
        <f aca="false">IF($D441&lt;&gt;1,"",IF(AND($G441="IKS",$AI441&lt;&gt;1,OR($L441-$P441&lt;$N441,$M441-$Q441&lt;$O441)),1,0))</f>
        <v/>
      </c>
      <c r="AE441" s="14" t="str">
        <f aca="false">IF($D441&lt;&gt;1,"",IF(AND($G441="ROKS",$T441&gt;p_maxworkers),1,0))</f>
        <v/>
      </c>
      <c r="AF441" s="14" t="str">
        <f aca="false">IF($D441&lt;&gt;1,"",IF(INDEX(TblClusters[Environnement],$B441)="","(vide)",INDEX(TblClusters[Environnement],$B441)))</f>
        <v/>
      </c>
      <c r="AG441" s="14" t="str">
        <f aca="false">IF($D441&lt;&gt;1,"",$R441+p_poidsram*$S441)</f>
        <v/>
      </c>
      <c r="AH441" s="14" t="str">
        <f aca="false">IF($D441&lt;&gt;1,"",IFERROR($W441/$AG441,0))</f>
        <v/>
      </c>
      <c r="AI441" s="14" t="str">
        <f aca="false">IF($D441&lt;&gt;1,"",IF(AND($G441="IKS",ISNUMBER(INDEX(TblClusters[Fermeture retenue],$B441))),IF($E441&gt;=INDEX(TblClusters[Fermeture retenue],$B441),1,0),0))</f>
        <v/>
      </c>
    </row>
    <row r="442" customFormat="false" ht="15" hidden="false" customHeight="false" outlineLevel="0" collapsed="false">
      <c r="A442" s="14" t="n">
        <v>437</v>
      </c>
      <c r="B442" s="14" t="n">
        <f aca="false">INT(($A442-1)/36)+1</f>
        <v>13</v>
      </c>
      <c r="C442" s="14" t="n">
        <f aca="false">MOD($A442-1,36)+1</f>
        <v>5</v>
      </c>
      <c r="D442" s="14" t="n">
        <f aca="false">IF($C442&gt;p_horizon,0,IFERROR(IF(AND(INDEX(TblClusters[Cluster],$B442)&lt;&gt;"",ISNUMBER(INDEX(TblClusters[CPU initial (vCPU)],$B442)),ISNUMBER(INDEX(TblClusters[CPU min (vCPU)],$B442)),OR(INDEX(TblClusters[Plateforme],$B442)="IKS",INDEX(TblClusters[Plateforme],$B442)="ROKS")),1,0),0))</f>
        <v>0</v>
      </c>
      <c r="E442" s="83" t="str">
        <f aca="false">IF($D442=1,EDATE(p_debut,$C442-1),"")</f>
        <v/>
      </c>
      <c r="F442" s="14" t="str">
        <f aca="false">IF($D442=1,INDEX(TblClusters[Cluster],$B442),"")</f>
        <v/>
      </c>
      <c r="G442" s="14" t="str">
        <f aca="false">IF($D442=1,INDEX(TblClusters[Plateforme],$B442),"")</f>
        <v/>
      </c>
      <c r="H442" s="14" t="str">
        <f aca="false">IF($D442=1,INDEX(TblClusters[vCPU par nœud],$B442),"")</f>
        <v/>
      </c>
      <c r="I442" s="14" t="str">
        <f aca="false">IF($D442=1,INDEX(TblClusters[RAM par nœud (Go)],$B442),"")</f>
        <v/>
      </c>
      <c r="J442" s="14" t="str">
        <f aca="false">IF($D442=1,INDEX(TblClusters[Workers min],$B442),"")</f>
        <v/>
      </c>
      <c r="K442" s="84" t="str">
        <f aca="false">IF($D442=1,INDEX(TblClusters[Tarif par nœud],$B442),"")</f>
        <v/>
      </c>
      <c r="L442" s="14" t="str">
        <f aca="false">IF($D442=1,INDEX(TblClusters[CPU initial (vCPU)],$B442),"")</f>
        <v/>
      </c>
      <c r="M442" s="14" t="str">
        <f aca="false">IF($D442=1,INDEX(TblClusters[RAM initiale (Go)],$B442),"")</f>
        <v/>
      </c>
      <c r="N442" s="14" t="str">
        <f aca="false">IF($D442=1,INDEX(TblClusters[CPU min (vCPU)],$B442),"")</f>
        <v/>
      </c>
      <c r="O442" s="14" t="str">
        <f aca="false">IF($D442=1,INDEX(TblClusters[RAM min (Go)],$B442),"")</f>
        <v/>
      </c>
      <c r="P442" s="14" t="str">
        <f aca="false">IF($D442&lt;&gt;1,"",IF($G442="ROKS",SUMIFS(TblApplications[Besoin ROKS CPU (vCPU)],TblApplications[Cluster ROKS cible],$F442,TblApplications[Action],"À migrer",TblApplications[Déjà incluse ROKS],"Non",TblApplications[Mois prov (calc)],"&lt;="&amp;$E442),SUMIFS(TblApplications[CPU IKS libérable (vCPU)],TblApplications[Cluster IKS source],$F442,TblApplications[Mois lib (calc)],"&lt;="&amp;$E442)))</f>
        <v/>
      </c>
      <c r="Q442" s="14" t="str">
        <f aca="false">IF($D442&lt;&gt;1,"",IF($G442="ROKS",SUMIFS(TblApplications[Besoin ROKS RAM (Go)],TblApplications[Cluster ROKS cible],$F442,TblApplications[Action],"À migrer",TblApplications[Déjà incluse ROKS],"Non",TblApplications[Mois prov (calc)],"&lt;="&amp;$E442),SUMIFS(TblApplications[RAM IKS libérable (Go)],TblApplications[Cluster IKS source],$F442,TblApplications[Mois lib (calc)],"&lt;="&amp;$E442)))</f>
        <v/>
      </c>
      <c r="R442" s="14" t="str">
        <f aca="false">IF($D442&lt;&gt;1,"",IF($G442="ROKS",$L442+$P442,IF($AI442=1,0,MAX($N442,$L442-$P442))))</f>
        <v/>
      </c>
      <c r="S442" s="14" t="str">
        <f aca="false">IF($D442&lt;&gt;1,"",IF($G442="ROKS",$M442+$Q442,IF($AI442=1,0,MAX($O442,$M442-$Q442))))</f>
        <v/>
      </c>
      <c r="T442" s="14" t="str">
        <f aca="false">IF($D442&lt;&gt;1,"",IF($AI442=1,0,MAX($J442,ROUNDUP(MAX($R442/$H442,$S442/$I442),0))))</f>
        <v/>
      </c>
      <c r="U442" s="14" t="str">
        <f aca="false">IF($D442&lt;&gt;1,"",IF(p_mode="Nœud",$T442*$H442,$R442))</f>
        <v/>
      </c>
      <c r="V442" s="14" t="str">
        <f aca="false">IF($D442&lt;&gt;1,"",IF(p_mode="Nœud",$T442*$I442,$S442))</f>
        <v/>
      </c>
      <c r="W442" s="84" t="str">
        <f aca="false">IF($D442&lt;&gt;1,"",IF(p_mode="Nœud",$T442*$K442,$R442*IF($G442="IKS",p_iks_cpu,p_roks_cpu)+$S442*IF($G442="IKS",p_iks_ram,p_roks_ram))*p_facteur)</f>
        <v/>
      </c>
      <c r="X442" s="14" t="str">
        <f aca="false">IF($D442&lt;&gt;1,"",IF($G442="ROKS",$R442,IF($AI442=1,0,MAX($N442,$L442-SUMIFS(TblApplications[CPU IKS libérable (vCPU)],TblApplications[Cluster IKS source],$F442,TblApplications[Action],"À migrer",TblApplications[Mois prov (calc)],"&lt;="&amp;$E442)-SUMIFS(TblApplications[CPU IKS libérable (vCPU)],TblApplications[Cluster IKS source],$F442,TblApplications[Action],"À décommissionner",TblApplications[Mois lib (calc)],"&lt;="&amp;$E442)))))</f>
        <v/>
      </c>
      <c r="Y442" s="14" t="str">
        <f aca="false">IF($D442&lt;&gt;1,"",IF($G442="ROKS",$S442,IF($AI442=1,0,MAX($O442,$M442-SUMIFS(TblApplications[RAM IKS libérable (Go)],TblApplications[Cluster IKS source],$F442,TblApplications[Action],"À migrer",TblApplications[Mois prov (calc)],"&lt;="&amp;$E442)-SUMIFS(TblApplications[RAM IKS libérable (Go)],TblApplications[Cluster IKS source],$F442,TblApplications[Action],"À décommissionner",TblApplications[Mois lib (calc)],"&lt;="&amp;$E442)))))</f>
        <v/>
      </c>
      <c r="Z442" s="14" t="str">
        <f aca="false">IF($D442&lt;&gt;1,"",IF($AI442=1,0,MAX($J442,ROUNDUP(MAX($X442/$H442,$Y442/$I442),0))))</f>
        <v/>
      </c>
      <c r="AA442" s="84" t="str">
        <f aca="false">IF($D442&lt;&gt;1,"",IF(p_mode="Nœud",$Z442*$K442,$X442*IF($G442="IKS",p_iks_cpu,p_roks_cpu)+$Y442*IF($G442="IKS",p_iks_ram,p_roks_ram))*p_facteur)</f>
        <v/>
      </c>
      <c r="AB442" s="14" t="str">
        <f aca="false">IF($D442&lt;&gt;1,"",MAX($J442,ROUNDUP(MAX($L442/$H442,$M442/$I442),0)))</f>
        <v/>
      </c>
      <c r="AC442" s="84" t="str">
        <f aca="false">IF($D442&lt;&gt;1,"",IF(p_mode="Nœud",$AB442*$K442,$L442*IF($G442="IKS",p_iks_cpu,p_roks_cpu)+$M442*IF($G442="IKS",p_iks_ram,p_roks_ram))*p_facteur)</f>
        <v/>
      </c>
      <c r="AD442" s="14" t="str">
        <f aca="false">IF($D442&lt;&gt;1,"",IF(AND($G442="IKS",$AI442&lt;&gt;1,OR($L442-$P442&lt;$N442,$M442-$Q442&lt;$O442)),1,0))</f>
        <v/>
      </c>
      <c r="AE442" s="14" t="str">
        <f aca="false">IF($D442&lt;&gt;1,"",IF(AND($G442="ROKS",$T442&gt;p_maxworkers),1,0))</f>
        <v/>
      </c>
      <c r="AF442" s="14" t="str">
        <f aca="false">IF($D442&lt;&gt;1,"",IF(INDEX(TblClusters[Environnement],$B442)="","(vide)",INDEX(TblClusters[Environnement],$B442)))</f>
        <v/>
      </c>
      <c r="AG442" s="14" t="str">
        <f aca="false">IF($D442&lt;&gt;1,"",$R442+p_poidsram*$S442)</f>
        <v/>
      </c>
      <c r="AH442" s="14" t="str">
        <f aca="false">IF($D442&lt;&gt;1,"",IFERROR($W442/$AG442,0))</f>
        <v/>
      </c>
      <c r="AI442" s="14" t="str">
        <f aca="false">IF($D442&lt;&gt;1,"",IF(AND($G442="IKS",ISNUMBER(INDEX(TblClusters[Fermeture retenue],$B442))),IF($E442&gt;=INDEX(TblClusters[Fermeture retenue],$B442),1,0),0))</f>
        <v/>
      </c>
    </row>
    <row r="443" customFormat="false" ht="15" hidden="false" customHeight="false" outlineLevel="0" collapsed="false">
      <c r="A443" s="14" t="n">
        <v>438</v>
      </c>
      <c r="B443" s="14" t="n">
        <f aca="false">INT(($A443-1)/36)+1</f>
        <v>13</v>
      </c>
      <c r="C443" s="14" t="n">
        <f aca="false">MOD($A443-1,36)+1</f>
        <v>6</v>
      </c>
      <c r="D443" s="14" t="n">
        <f aca="false">IF($C443&gt;p_horizon,0,IFERROR(IF(AND(INDEX(TblClusters[Cluster],$B443)&lt;&gt;"",ISNUMBER(INDEX(TblClusters[CPU initial (vCPU)],$B443)),ISNUMBER(INDEX(TblClusters[CPU min (vCPU)],$B443)),OR(INDEX(TblClusters[Plateforme],$B443)="IKS",INDEX(TblClusters[Plateforme],$B443)="ROKS")),1,0),0))</f>
        <v>0</v>
      </c>
      <c r="E443" s="83" t="str">
        <f aca="false">IF($D443=1,EDATE(p_debut,$C443-1),"")</f>
        <v/>
      </c>
      <c r="F443" s="14" t="str">
        <f aca="false">IF($D443=1,INDEX(TblClusters[Cluster],$B443),"")</f>
        <v/>
      </c>
      <c r="G443" s="14" t="str">
        <f aca="false">IF($D443=1,INDEX(TblClusters[Plateforme],$B443),"")</f>
        <v/>
      </c>
      <c r="H443" s="14" t="str">
        <f aca="false">IF($D443=1,INDEX(TblClusters[vCPU par nœud],$B443),"")</f>
        <v/>
      </c>
      <c r="I443" s="14" t="str">
        <f aca="false">IF($D443=1,INDEX(TblClusters[RAM par nœud (Go)],$B443),"")</f>
        <v/>
      </c>
      <c r="J443" s="14" t="str">
        <f aca="false">IF($D443=1,INDEX(TblClusters[Workers min],$B443),"")</f>
        <v/>
      </c>
      <c r="K443" s="84" t="str">
        <f aca="false">IF($D443=1,INDEX(TblClusters[Tarif par nœud],$B443),"")</f>
        <v/>
      </c>
      <c r="L443" s="14" t="str">
        <f aca="false">IF($D443=1,INDEX(TblClusters[CPU initial (vCPU)],$B443),"")</f>
        <v/>
      </c>
      <c r="M443" s="14" t="str">
        <f aca="false">IF($D443=1,INDEX(TblClusters[RAM initiale (Go)],$B443),"")</f>
        <v/>
      </c>
      <c r="N443" s="14" t="str">
        <f aca="false">IF($D443=1,INDEX(TblClusters[CPU min (vCPU)],$B443),"")</f>
        <v/>
      </c>
      <c r="O443" s="14" t="str">
        <f aca="false">IF($D443=1,INDEX(TblClusters[RAM min (Go)],$B443),"")</f>
        <v/>
      </c>
      <c r="P443" s="14" t="str">
        <f aca="false">IF($D443&lt;&gt;1,"",IF($G443="ROKS",SUMIFS(TblApplications[Besoin ROKS CPU (vCPU)],TblApplications[Cluster ROKS cible],$F443,TblApplications[Action],"À migrer",TblApplications[Déjà incluse ROKS],"Non",TblApplications[Mois prov (calc)],"&lt;="&amp;$E443),SUMIFS(TblApplications[CPU IKS libérable (vCPU)],TblApplications[Cluster IKS source],$F443,TblApplications[Mois lib (calc)],"&lt;="&amp;$E443)))</f>
        <v/>
      </c>
      <c r="Q443" s="14" t="str">
        <f aca="false">IF($D443&lt;&gt;1,"",IF($G443="ROKS",SUMIFS(TblApplications[Besoin ROKS RAM (Go)],TblApplications[Cluster ROKS cible],$F443,TblApplications[Action],"À migrer",TblApplications[Déjà incluse ROKS],"Non",TblApplications[Mois prov (calc)],"&lt;="&amp;$E443),SUMIFS(TblApplications[RAM IKS libérable (Go)],TblApplications[Cluster IKS source],$F443,TblApplications[Mois lib (calc)],"&lt;="&amp;$E443)))</f>
        <v/>
      </c>
      <c r="R443" s="14" t="str">
        <f aca="false">IF($D443&lt;&gt;1,"",IF($G443="ROKS",$L443+$P443,IF($AI443=1,0,MAX($N443,$L443-$P443))))</f>
        <v/>
      </c>
      <c r="S443" s="14" t="str">
        <f aca="false">IF($D443&lt;&gt;1,"",IF($G443="ROKS",$M443+$Q443,IF($AI443=1,0,MAX($O443,$M443-$Q443))))</f>
        <v/>
      </c>
      <c r="T443" s="14" t="str">
        <f aca="false">IF($D443&lt;&gt;1,"",IF($AI443=1,0,MAX($J443,ROUNDUP(MAX($R443/$H443,$S443/$I443),0))))</f>
        <v/>
      </c>
      <c r="U443" s="14" t="str">
        <f aca="false">IF($D443&lt;&gt;1,"",IF(p_mode="Nœud",$T443*$H443,$R443))</f>
        <v/>
      </c>
      <c r="V443" s="14" t="str">
        <f aca="false">IF($D443&lt;&gt;1,"",IF(p_mode="Nœud",$T443*$I443,$S443))</f>
        <v/>
      </c>
      <c r="W443" s="84" t="str">
        <f aca="false">IF($D443&lt;&gt;1,"",IF(p_mode="Nœud",$T443*$K443,$R443*IF($G443="IKS",p_iks_cpu,p_roks_cpu)+$S443*IF($G443="IKS",p_iks_ram,p_roks_ram))*p_facteur)</f>
        <v/>
      </c>
      <c r="X443" s="14" t="str">
        <f aca="false">IF($D443&lt;&gt;1,"",IF($G443="ROKS",$R443,IF($AI443=1,0,MAX($N443,$L443-SUMIFS(TblApplications[CPU IKS libérable (vCPU)],TblApplications[Cluster IKS source],$F443,TblApplications[Action],"À migrer",TblApplications[Mois prov (calc)],"&lt;="&amp;$E443)-SUMIFS(TblApplications[CPU IKS libérable (vCPU)],TblApplications[Cluster IKS source],$F443,TblApplications[Action],"À décommissionner",TblApplications[Mois lib (calc)],"&lt;="&amp;$E443)))))</f>
        <v/>
      </c>
      <c r="Y443" s="14" t="str">
        <f aca="false">IF($D443&lt;&gt;1,"",IF($G443="ROKS",$S443,IF($AI443=1,0,MAX($O443,$M443-SUMIFS(TblApplications[RAM IKS libérable (Go)],TblApplications[Cluster IKS source],$F443,TblApplications[Action],"À migrer",TblApplications[Mois prov (calc)],"&lt;="&amp;$E443)-SUMIFS(TblApplications[RAM IKS libérable (Go)],TblApplications[Cluster IKS source],$F443,TblApplications[Action],"À décommissionner",TblApplications[Mois lib (calc)],"&lt;="&amp;$E443)))))</f>
        <v/>
      </c>
      <c r="Z443" s="14" t="str">
        <f aca="false">IF($D443&lt;&gt;1,"",IF($AI443=1,0,MAX($J443,ROUNDUP(MAX($X443/$H443,$Y443/$I443),0))))</f>
        <v/>
      </c>
      <c r="AA443" s="84" t="str">
        <f aca="false">IF($D443&lt;&gt;1,"",IF(p_mode="Nœud",$Z443*$K443,$X443*IF($G443="IKS",p_iks_cpu,p_roks_cpu)+$Y443*IF($G443="IKS",p_iks_ram,p_roks_ram))*p_facteur)</f>
        <v/>
      </c>
      <c r="AB443" s="14" t="str">
        <f aca="false">IF($D443&lt;&gt;1,"",MAX($J443,ROUNDUP(MAX($L443/$H443,$M443/$I443),0)))</f>
        <v/>
      </c>
      <c r="AC443" s="84" t="str">
        <f aca="false">IF($D443&lt;&gt;1,"",IF(p_mode="Nœud",$AB443*$K443,$L443*IF($G443="IKS",p_iks_cpu,p_roks_cpu)+$M443*IF($G443="IKS",p_iks_ram,p_roks_ram))*p_facteur)</f>
        <v/>
      </c>
      <c r="AD443" s="14" t="str">
        <f aca="false">IF($D443&lt;&gt;1,"",IF(AND($G443="IKS",$AI443&lt;&gt;1,OR($L443-$P443&lt;$N443,$M443-$Q443&lt;$O443)),1,0))</f>
        <v/>
      </c>
      <c r="AE443" s="14" t="str">
        <f aca="false">IF($D443&lt;&gt;1,"",IF(AND($G443="ROKS",$T443&gt;p_maxworkers),1,0))</f>
        <v/>
      </c>
      <c r="AF443" s="14" t="str">
        <f aca="false">IF($D443&lt;&gt;1,"",IF(INDEX(TblClusters[Environnement],$B443)="","(vide)",INDEX(TblClusters[Environnement],$B443)))</f>
        <v/>
      </c>
      <c r="AG443" s="14" t="str">
        <f aca="false">IF($D443&lt;&gt;1,"",$R443+p_poidsram*$S443)</f>
        <v/>
      </c>
      <c r="AH443" s="14" t="str">
        <f aca="false">IF($D443&lt;&gt;1,"",IFERROR($W443/$AG443,0))</f>
        <v/>
      </c>
      <c r="AI443" s="14" t="str">
        <f aca="false">IF($D443&lt;&gt;1,"",IF(AND($G443="IKS",ISNUMBER(INDEX(TblClusters[Fermeture retenue],$B443))),IF($E443&gt;=INDEX(TblClusters[Fermeture retenue],$B443),1,0),0))</f>
        <v/>
      </c>
    </row>
    <row r="444" customFormat="false" ht="15" hidden="false" customHeight="false" outlineLevel="0" collapsed="false">
      <c r="A444" s="14" t="n">
        <v>439</v>
      </c>
      <c r="B444" s="14" t="n">
        <f aca="false">INT(($A444-1)/36)+1</f>
        <v>13</v>
      </c>
      <c r="C444" s="14" t="n">
        <f aca="false">MOD($A444-1,36)+1</f>
        <v>7</v>
      </c>
      <c r="D444" s="14" t="n">
        <f aca="false">IF($C444&gt;p_horizon,0,IFERROR(IF(AND(INDEX(TblClusters[Cluster],$B444)&lt;&gt;"",ISNUMBER(INDEX(TblClusters[CPU initial (vCPU)],$B444)),ISNUMBER(INDEX(TblClusters[CPU min (vCPU)],$B444)),OR(INDEX(TblClusters[Plateforme],$B444)="IKS",INDEX(TblClusters[Plateforme],$B444)="ROKS")),1,0),0))</f>
        <v>0</v>
      </c>
      <c r="E444" s="83" t="str">
        <f aca="false">IF($D444=1,EDATE(p_debut,$C444-1),"")</f>
        <v/>
      </c>
      <c r="F444" s="14" t="str">
        <f aca="false">IF($D444=1,INDEX(TblClusters[Cluster],$B444),"")</f>
        <v/>
      </c>
      <c r="G444" s="14" t="str">
        <f aca="false">IF($D444=1,INDEX(TblClusters[Plateforme],$B444),"")</f>
        <v/>
      </c>
      <c r="H444" s="14" t="str">
        <f aca="false">IF($D444=1,INDEX(TblClusters[vCPU par nœud],$B444),"")</f>
        <v/>
      </c>
      <c r="I444" s="14" t="str">
        <f aca="false">IF($D444=1,INDEX(TblClusters[RAM par nœud (Go)],$B444),"")</f>
        <v/>
      </c>
      <c r="J444" s="14" t="str">
        <f aca="false">IF($D444=1,INDEX(TblClusters[Workers min],$B444),"")</f>
        <v/>
      </c>
      <c r="K444" s="84" t="str">
        <f aca="false">IF($D444=1,INDEX(TblClusters[Tarif par nœud],$B444),"")</f>
        <v/>
      </c>
      <c r="L444" s="14" t="str">
        <f aca="false">IF($D444=1,INDEX(TblClusters[CPU initial (vCPU)],$B444),"")</f>
        <v/>
      </c>
      <c r="M444" s="14" t="str">
        <f aca="false">IF($D444=1,INDEX(TblClusters[RAM initiale (Go)],$B444),"")</f>
        <v/>
      </c>
      <c r="N444" s="14" t="str">
        <f aca="false">IF($D444=1,INDEX(TblClusters[CPU min (vCPU)],$B444),"")</f>
        <v/>
      </c>
      <c r="O444" s="14" t="str">
        <f aca="false">IF($D444=1,INDEX(TblClusters[RAM min (Go)],$B444),"")</f>
        <v/>
      </c>
      <c r="P444" s="14" t="str">
        <f aca="false">IF($D444&lt;&gt;1,"",IF($G444="ROKS",SUMIFS(TblApplications[Besoin ROKS CPU (vCPU)],TblApplications[Cluster ROKS cible],$F444,TblApplications[Action],"À migrer",TblApplications[Déjà incluse ROKS],"Non",TblApplications[Mois prov (calc)],"&lt;="&amp;$E444),SUMIFS(TblApplications[CPU IKS libérable (vCPU)],TblApplications[Cluster IKS source],$F444,TblApplications[Mois lib (calc)],"&lt;="&amp;$E444)))</f>
        <v/>
      </c>
      <c r="Q444" s="14" t="str">
        <f aca="false">IF($D444&lt;&gt;1,"",IF($G444="ROKS",SUMIFS(TblApplications[Besoin ROKS RAM (Go)],TblApplications[Cluster ROKS cible],$F444,TblApplications[Action],"À migrer",TblApplications[Déjà incluse ROKS],"Non",TblApplications[Mois prov (calc)],"&lt;="&amp;$E444),SUMIFS(TblApplications[RAM IKS libérable (Go)],TblApplications[Cluster IKS source],$F444,TblApplications[Mois lib (calc)],"&lt;="&amp;$E444)))</f>
        <v/>
      </c>
      <c r="R444" s="14" t="str">
        <f aca="false">IF($D444&lt;&gt;1,"",IF($G444="ROKS",$L444+$P444,IF($AI444=1,0,MAX($N444,$L444-$P444))))</f>
        <v/>
      </c>
      <c r="S444" s="14" t="str">
        <f aca="false">IF($D444&lt;&gt;1,"",IF($G444="ROKS",$M444+$Q444,IF($AI444=1,0,MAX($O444,$M444-$Q444))))</f>
        <v/>
      </c>
      <c r="T444" s="14" t="str">
        <f aca="false">IF($D444&lt;&gt;1,"",IF($AI444=1,0,MAX($J444,ROUNDUP(MAX($R444/$H444,$S444/$I444),0))))</f>
        <v/>
      </c>
      <c r="U444" s="14" t="str">
        <f aca="false">IF($D444&lt;&gt;1,"",IF(p_mode="Nœud",$T444*$H444,$R444))</f>
        <v/>
      </c>
      <c r="V444" s="14" t="str">
        <f aca="false">IF($D444&lt;&gt;1,"",IF(p_mode="Nœud",$T444*$I444,$S444))</f>
        <v/>
      </c>
      <c r="W444" s="84" t="str">
        <f aca="false">IF($D444&lt;&gt;1,"",IF(p_mode="Nœud",$T444*$K444,$R444*IF($G444="IKS",p_iks_cpu,p_roks_cpu)+$S444*IF($G444="IKS",p_iks_ram,p_roks_ram))*p_facteur)</f>
        <v/>
      </c>
      <c r="X444" s="14" t="str">
        <f aca="false">IF($D444&lt;&gt;1,"",IF($G444="ROKS",$R444,IF($AI444=1,0,MAX($N444,$L444-SUMIFS(TblApplications[CPU IKS libérable (vCPU)],TblApplications[Cluster IKS source],$F444,TblApplications[Action],"À migrer",TblApplications[Mois prov (calc)],"&lt;="&amp;$E444)-SUMIFS(TblApplications[CPU IKS libérable (vCPU)],TblApplications[Cluster IKS source],$F444,TblApplications[Action],"À décommissionner",TblApplications[Mois lib (calc)],"&lt;="&amp;$E444)))))</f>
        <v/>
      </c>
      <c r="Y444" s="14" t="str">
        <f aca="false">IF($D444&lt;&gt;1,"",IF($G444="ROKS",$S444,IF($AI444=1,0,MAX($O444,$M444-SUMIFS(TblApplications[RAM IKS libérable (Go)],TblApplications[Cluster IKS source],$F444,TblApplications[Action],"À migrer",TblApplications[Mois prov (calc)],"&lt;="&amp;$E444)-SUMIFS(TblApplications[RAM IKS libérable (Go)],TblApplications[Cluster IKS source],$F444,TblApplications[Action],"À décommissionner",TblApplications[Mois lib (calc)],"&lt;="&amp;$E444)))))</f>
        <v/>
      </c>
      <c r="Z444" s="14" t="str">
        <f aca="false">IF($D444&lt;&gt;1,"",IF($AI444=1,0,MAX($J444,ROUNDUP(MAX($X444/$H444,$Y444/$I444),0))))</f>
        <v/>
      </c>
      <c r="AA444" s="84" t="str">
        <f aca="false">IF($D444&lt;&gt;1,"",IF(p_mode="Nœud",$Z444*$K444,$X444*IF($G444="IKS",p_iks_cpu,p_roks_cpu)+$Y444*IF($G444="IKS",p_iks_ram,p_roks_ram))*p_facteur)</f>
        <v/>
      </c>
      <c r="AB444" s="14" t="str">
        <f aca="false">IF($D444&lt;&gt;1,"",MAX($J444,ROUNDUP(MAX($L444/$H444,$M444/$I444),0)))</f>
        <v/>
      </c>
      <c r="AC444" s="84" t="str">
        <f aca="false">IF($D444&lt;&gt;1,"",IF(p_mode="Nœud",$AB444*$K444,$L444*IF($G444="IKS",p_iks_cpu,p_roks_cpu)+$M444*IF($G444="IKS",p_iks_ram,p_roks_ram))*p_facteur)</f>
        <v/>
      </c>
      <c r="AD444" s="14" t="str">
        <f aca="false">IF($D444&lt;&gt;1,"",IF(AND($G444="IKS",$AI444&lt;&gt;1,OR($L444-$P444&lt;$N444,$M444-$Q444&lt;$O444)),1,0))</f>
        <v/>
      </c>
      <c r="AE444" s="14" t="str">
        <f aca="false">IF($D444&lt;&gt;1,"",IF(AND($G444="ROKS",$T444&gt;p_maxworkers),1,0))</f>
        <v/>
      </c>
      <c r="AF444" s="14" t="str">
        <f aca="false">IF($D444&lt;&gt;1,"",IF(INDEX(TblClusters[Environnement],$B444)="","(vide)",INDEX(TblClusters[Environnement],$B444)))</f>
        <v/>
      </c>
      <c r="AG444" s="14" t="str">
        <f aca="false">IF($D444&lt;&gt;1,"",$R444+p_poidsram*$S444)</f>
        <v/>
      </c>
      <c r="AH444" s="14" t="str">
        <f aca="false">IF($D444&lt;&gt;1,"",IFERROR($W444/$AG444,0))</f>
        <v/>
      </c>
      <c r="AI444" s="14" t="str">
        <f aca="false">IF($D444&lt;&gt;1,"",IF(AND($G444="IKS",ISNUMBER(INDEX(TblClusters[Fermeture retenue],$B444))),IF($E444&gt;=INDEX(TblClusters[Fermeture retenue],$B444),1,0),0))</f>
        <v/>
      </c>
    </row>
    <row r="445" customFormat="false" ht="15" hidden="false" customHeight="false" outlineLevel="0" collapsed="false">
      <c r="A445" s="14" t="n">
        <v>440</v>
      </c>
      <c r="B445" s="14" t="n">
        <f aca="false">INT(($A445-1)/36)+1</f>
        <v>13</v>
      </c>
      <c r="C445" s="14" t="n">
        <f aca="false">MOD($A445-1,36)+1</f>
        <v>8</v>
      </c>
      <c r="D445" s="14" t="n">
        <f aca="false">IF($C445&gt;p_horizon,0,IFERROR(IF(AND(INDEX(TblClusters[Cluster],$B445)&lt;&gt;"",ISNUMBER(INDEX(TblClusters[CPU initial (vCPU)],$B445)),ISNUMBER(INDEX(TblClusters[CPU min (vCPU)],$B445)),OR(INDEX(TblClusters[Plateforme],$B445)="IKS",INDEX(TblClusters[Plateforme],$B445)="ROKS")),1,0),0))</f>
        <v>0</v>
      </c>
      <c r="E445" s="83" t="str">
        <f aca="false">IF($D445=1,EDATE(p_debut,$C445-1),"")</f>
        <v/>
      </c>
      <c r="F445" s="14" t="str">
        <f aca="false">IF($D445=1,INDEX(TblClusters[Cluster],$B445),"")</f>
        <v/>
      </c>
      <c r="G445" s="14" t="str">
        <f aca="false">IF($D445=1,INDEX(TblClusters[Plateforme],$B445),"")</f>
        <v/>
      </c>
      <c r="H445" s="14" t="str">
        <f aca="false">IF($D445=1,INDEX(TblClusters[vCPU par nœud],$B445),"")</f>
        <v/>
      </c>
      <c r="I445" s="14" t="str">
        <f aca="false">IF($D445=1,INDEX(TblClusters[RAM par nœud (Go)],$B445),"")</f>
        <v/>
      </c>
      <c r="J445" s="14" t="str">
        <f aca="false">IF($D445=1,INDEX(TblClusters[Workers min],$B445),"")</f>
        <v/>
      </c>
      <c r="K445" s="84" t="str">
        <f aca="false">IF($D445=1,INDEX(TblClusters[Tarif par nœud],$B445),"")</f>
        <v/>
      </c>
      <c r="L445" s="14" t="str">
        <f aca="false">IF($D445=1,INDEX(TblClusters[CPU initial (vCPU)],$B445),"")</f>
        <v/>
      </c>
      <c r="M445" s="14" t="str">
        <f aca="false">IF($D445=1,INDEX(TblClusters[RAM initiale (Go)],$B445),"")</f>
        <v/>
      </c>
      <c r="N445" s="14" t="str">
        <f aca="false">IF($D445=1,INDEX(TblClusters[CPU min (vCPU)],$B445),"")</f>
        <v/>
      </c>
      <c r="O445" s="14" t="str">
        <f aca="false">IF($D445=1,INDEX(TblClusters[RAM min (Go)],$B445),"")</f>
        <v/>
      </c>
      <c r="P445" s="14" t="str">
        <f aca="false">IF($D445&lt;&gt;1,"",IF($G445="ROKS",SUMIFS(TblApplications[Besoin ROKS CPU (vCPU)],TblApplications[Cluster ROKS cible],$F445,TblApplications[Action],"À migrer",TblApplications[Déjà incluse ROKS],"Non",TblApplications[Mois prov (calc)],"&lt;="&amp;$E445),SUMIFS(TblApplications[CPU IKS libérable (vCPU)],TblApplications[Cluster IKS source],$F445,TblApplications[Mois lib (calc)],"&lt;="&amp;$E445)))</f>
        <v/>
      </c>
      <c r="Q445" s="14" t="str">
        <f aca="false">IF($D445&lt;&gt;1,"",IF($G445="ROKS",SUMIFS(TblApplications[Besoin ROKS RAM (Go)],TblApplications[Cluster ROKS cible],$F445,TblApplications[Action],"À migrer",TblApplications[Déjà incluse ROKS],"Non",TblApplications[Mois prov (calc)],"&lt;="&amp;$E445),SUMIFS(TblApplications[RAM IKS libérable (Go)],TblApplications[Cluster IKS source],$F445,TblApplications[Mois lib (calc)],"&lt;="&amp;$E445)))</f>
        <v/>
      </c>
      <c r="R445" s="14" t="str">
        <f aca="false">IF($D445&lt;&gt;1,"",IF($G445="ROKS",$L445+$P445,IF($AI445=1,0,MAX($N445,$L445-$P445))))</f>
        <v/>
      </c>
      <c r="S445" s="14" t="str">
        <f aca="false">IF($D445&lt;&gt;1,"",IF($G445="ROKS",$M445+$Q445,IF($AI445=1,0,MAX($O445,$M445-$Q445))))</f>
        <v/>
      </c>
      <c r="T445" s="14" t="str">
        <f aca="false">IF($D445&lt;&gt;1,"",IF($AI445=1,0,MAX($J445,ROUNDUP(MAX($R445/$H445,$S445/$I445),0))))</f>
        <v/>
      </c>
      <c r="U445" s="14" t="str">
        <f aca="false">IF($D445&lt;&gt;1,"",IF(p_mode="Nœud",$T445*$H445,$R445))</f>
        <v/>
      </c>
      <c r="V445" s="14" t="str">
        <f aca="false">IF($D445&lt;&gt;1,"",IF(p_mode="Nœud",$T445*$I445,$S445))</f>
        <v/>
      </c>
      <c r="W445" s="84" t="str">
        <f aca="false">IF($D445&lt;&gt;1,"",IF(p_mode="Nœud",$T445*$K445,$R445*IF($G445="IKS",p_iks_cpu,p_roks_cpu)+$S445*IF($G445="IKS",p_iks_ram,p_roks_ram))*p_facteur)</f>
        <v/>
      </c>
      <c r="X445" s="14" t="str">
        <f aca="false">IF($D445&lt;&gt;1,"",IF($G445="ROKS",$R445,IF($AI445=1,0,MAX($N445,$L445-SUMIFS(TblApplications[CPU IKS libérable (vCPU)],TblApplications[Cluster IKS source],$F445,TblApplications[Action],"À migrer",TblApplications[Mois prov (calc)],"&lt;="&amp;$E445)-SUMIFS(TblApplications[CPU IKS libérable (vCPU)],TblApplications[Cluster IKS source],$F445,TblApplications[Action],"À décommissionner",TblApplications[Mois lib (calc)],"&lt;="&amp;$E445)))))</f>
        <v/>
      </c>
      <c r="Y445" s="14" t="str">
        <f aca="false">IF($D445&lt;&gt;1,"",IF($G445="ROKS",$S445,IF($AI445=1,0,MAX($O445,$M445-SUMIFS(TblApplications[RAM IKS libérable (Go)],TblApplications[Cluster IKS source],$F445,TblApplications[Action],"À migrer",TblApplications[Mois prov (calc)],"&lt;="&amp;$E445)-SUMIFS(TblApplications[RAM IKS libérable (Go)],TblApplications[Cluster IKS source],$F445,TblApplications[Action],"À décommissionner",TblApplications[Mois lib (calc)],"&lt;="&amp;$E445)))))</f>
        <v/>
      </c>
      <c r="Z445" s="14" t="str">
        <f aca="false">IF($D445&lt;&gt;1,"",IF($AI445=1,0,MAX($J445,ROUNDUP(MAX($X445/$H445,$Y445/$I445),0))))</f>
        <v/>
      </c>
      <c r="AA445" s="84" t="str">
        <f aca="false">IF($D445&lt;&gt;1,"",IF(p_mode="Nœud",$Z445*$K445,$X445*IF($G445="IKS",p_iks_cpu,p_roks_cpu)+$Y445*IF($G445="IKS",p_iks_ram,p_roks_ram))*p_facteur)</f>
        <v/>
      </c>
      <c r="AB445" s="14" t="str">
        <f aca="false">IF($D445&lt;&gt;1,"",MAX($J445,ROUNDUP(MAX($L445/$H445,$M445/$I445),0)))</f>
        <v/>
      </c>
      <c r="AC445" s="84" t="str">
        <f aca="false">IF($D445&lt;&gt;1,"",IF(p_mode="Nœud",$AB445*$K445,$L445*IF($G445="IKS",p_iks_cpu,p_roks_cpu)+$M445*IF($G445="IKS",p_iks_ram,p_roks_ram))*p_facteur)</f>
        <v/>
      </c>
      <c r="AD445" s="14" t="str">
        <f aca="false">IF($D445&lt;&gt;1,"",IF(AND($G445="IKS",$AI445&lt;&gt;1,OR($L445-$P445&lt;$N445,$M445-$Q445&lt;$O445)),1,0))</f>
        <v/>
      </c>
      <c r="AE445" s="14" t="str">
        <f aca="false">IF($D445&lt;&gt;1,"",IF(AND($G445="ROKS",$T445&gt;p_maxworkers),1,0))</f>
        <v/>
      </c>
      <c r="AF445" s="14" t="str">
        <f aca="false">IF($D445&lt;&gt;1,"",IF(INDEX(TblClusters[Environnement],$B445)="","(vide)",INDEX(TblClusters[Environnement],$B445)))</f>
        <v/>
      </c>
      <c r="AG445" s="14" t="str">
        <f aca="false">IF($D445&lt;&gt;1,"",$R445+p_poidsram*$S445)</f>
        <v/>
      </c>
      <c r="AH445" s="14" t="str">
        <f aca="false">IF($D445&lt;&gt;1,"",IFERROR($W445/$AG445,0))</f>
        <v/>
      </c>
      <c r="AI445" s="14" t="str">
        <f aca="false">IF($D445&lt;&gt;1,"",IF(AND($G445="IKS",ISNUMBER(INDEX(TblClusters[Fermeture retenue],$B445))),IF($E445&gt;=INDEX(TblClusters[Fermeture retenue],$B445),1,0),0))</f>
        <v/>
      </c>
    </row>
    <row r="446" customFormat="false" ht="15" hidden="false" customHeight="false" outlineLevel="0" collapsed="false">
      <c r="A446" s="14" t="n">
        <v>441</v>
      </c>
      <c r="B446" s="14" t="n">
        <f aca="false">INT(($A446-1)/36)+1</f>
        <v>13</v>
      </c>
      <c r="C446" s="14" t="n">
        <f aca="false">MOD($A446-1,36)+1</f>
        <v>9</v>
      </c>
      <c r="D446" s="14" t="n">
        <f aca="false">IF($C446&gt;p_horizon,0,IFERROR(IF(AND(INDEX(TblClusters[Cluster],$B446)&lt;&gt;"",ISNUMBER(INDEX(TblClusters[CPU initial (vCPU)],$B446)),ISNUMBER(INDEX(TblClusters[CPU min (vCPU)],$B446)),OR(INDEX(TblClusters[Plateforme],$B446)="IKS",INDEX(TblClusters[Plateforme],$B446)="ROKS")),1,0),0))</f>
        <v>0</v>
      </c>
      <c r="E446" s="83" t="str">
        <f aca="false">IF($D446=1,EDATE(p_debut,$C446-1),"")</f>
        <v/>
      </c>
      <c r="F446" s="14" t="str">
        <f aca="false">IF($D446=1,INDEX(TblClusters[Cluster],$B446),"")</f>
        <v/>
      </c>
      <c r="G446" s="14" t="str">
        <f aca="false">IF($D446=1,INDEX(TblClusters[Plateforme],$B446),"")</f>
        <v/>
      </c>
      <c r="H446" s="14" t="str">
        <f aca="false">IF($D446=1,INDEX(TblClusters[vCPU par nœud],$B446),"")</f>
        <v/>
      </c>
      <c r="I446" s="14" t="str">
        <f aca="false">IF($D446=1,INDEX(TblClusters[RAM par nœud (Go)],$B446),"")</f>
        <v/>
      </c>
      <c r="J446" s="14" t="str">
        <f aca="false">IF($D446=1,INDEX(TblClusters[Workers min],$B446),"")</f>
        <v/>
      </c>
      <c r="K446" s="84" t="str">
        <f aca="false">IF($D446=1,INDEX(TblClusters[Tarif par nœud],$B446),"")</f>
        <v/>
      </c>
      <c r="L446" s="14" t="str">
        <f aca="false">IF($D446=1,INDEX(TblClusters[CPU initial (vCPU)],$B446),"")</f>
        <v/>
      </c>
      <c r="M446" s="14" t="str">
        <f aca="false">IF($D446=1,INDEX(TblClusters[RAM initiale (Go)],$B446),"")</f>
        <v/>
      </c>
      <c r="N446" s="14" t="str">
        <f aca="false">IF($D446=1,INDEX(TblClusters[CPU min (vCPU)],$B446),"")</f>
        <v/>
      </c>
      <c r="O446" s="14" t="str">
        <f aca="false">IF($D446=1,INDEX(TblClusters[RAM min (Go)],$B446),"")</f>
        <v/>
      </c>
      <c r="P446" s="14" t="str">
        <f aca="false">IF($D446&lt;&gt;1,"",IF($G446="ROKS",SUMIFS(TblApplications[Besoin ROKS CPU (vCPU)],TblApplications[Cluster ROKS cible],$F446,TblApplications[Action],"À migrer",TblApplications[Déjà incluse ROKS],"Non",TblApplications[Mois prov (calc)],"&lt;="&amp;$E446),SUMIFS(TblApplications[CPU IKS libérable (vCPU)],TblApplications[Cluster IKS source],$F446,TblApplications[Mois lib (calc)],"&lt;="&amp;$E446)))</f>
        <v/>
      </c>
      <c r="Q446" s="14" t="str">
        <f aca="false">IF($D446&lt;&gt;1,"",IF($G446="ROKS",SUMIFS(TblApplications[Besoin ROKS RAM (Go)],TblApplications[Cluster ROKS cible],$F446,TblApplications[Action],"À migrer",TblApplications[Déjà incluse ROKS],"Non",TblApplications[Mois prov (calc)],"&lt;="&amp;$E446),SUMIFS(TblApplications[RAM IKS libérable (Go)],TblApplications[Cluster IKS source],$F446,TblApplications[Mois lib (calc)],"&lt;="&amp;$E446)))</f>
        <v/>
      </c>
      <c r="R446" s="14" t="str">
        <f aca="false">IF($D446&lt;&gt;1,"",IF($G446="ROKS",$L446+$P446,IF($AI446=1,0,MAX($N446,$L446-$P446))))</f>
        <v/>
      </c>
      <c r="S446" s="14" t="str">
        <f aca="false">IF($D446&lt;&gt;1,"",IF($G446="ROKS",$M446+$Q446,IF($AI446=1,0,MAX($O446,$M446-$Q446))))</f>
        <v/>
      </c>
      <c r="T446" s="14" t="str">
        <f aca="false">IF($D446&lt;&gt;1,"",IF($AI446=1,0,MAX($J446,ROUNDUP(MAX($R446/$H446,$S446/$I446),0))))</f>
        <v/>
      </c>
      <c r="U446" s="14" t="str">
        <f aca="false">IF($D446&lt;&gt;1,"",IF(p_mode="Nœud",$T446*$H446,$R446))</f>
        <v/>
      </c>
      <c r="V446" s="14" t="str">
        <f aca="false">IF($D446&lt;&gt;1,"",IF(p_mode="Nœud",$T446*$I446,$S446))</f>
        <v/>
      </c>
      <c r="W446" s="84" t="str">
        <f aca="false">IF($D446&lt;&gt;1,"",IF(p_mode="Nœud",$T446*$K446,$R446*IF($G446="IKS",p_iks_cpu,p_roks_cpu)+$S446*IF($G446="IKS",p_iks_ram,p_roks_ram))*p_facteur)</f>
        <v/>
      </c>
      <c r="X446" s="14" t="str">
        <f aca="false">IF($D446&lt;&gt;1,"",IF($G446="ROKS",$R446,IF($AI446=1,0,MAX($N446,$L446-SUMIFS(TblApplications[CPU IKS libérable (vCPU)],TblApplications[Cluster IKS source],$F446,TblApplications[Action],"À migrer",TblApplications[Mois prov (calc)],"&lt;="&amp;$E446)-SUMIFS(TblApplications[CPU IKS libérable (vCPU)],TblApplications[Cluster IKS source],$F446,TblApplications[Action],"À décommissionner",TblApplications[Mois lib (calc)],"&lt;="&amp;$E446)))))</f>
        <v/>
      </c>
      <c r="Y446" s="14" t="str">
        <f aca="false">IF($D446&lt;&gt;1,"",IF($G446="ROKS",$S446,IF($AI446=1,0,MAX($O446,$M446-SUMIFS(TblApplications[RAM IKS libérable (Go)],TblApplications[Cluster IKS source],$F446,TblApplications[Action],"À migrer",TblApplications[Mois prov (calc)],"&lt;="&amp;$E446)-SUMIFS(TblApplications[RAM IKS libérable (Go)],TblApplications[Cluster IKS source],$F446,TblApplications[Action],"À décommissionner",TblApplications[Mois lib (calc)],"&lt;="&amp;$E446)))))</f>
        <v/>
      </c>
      <c r="Z446" s="14" t="str">
        <f aca="false">IF($D446&lt;&gt;1,"",IF($AI446=1,0,MAX($J446,ROUNDUP(MAX($X446/$H446,$Y446/$I446),0))))</f>
        <v/>
      </c>
      <c r="AA446" s="84" t="str">
        <f aca="false">IF($D446&lt;&gt;1,"",IF(p_mode="Nœud",$Z446*$K446,$X446*IF($G446="IKS",p_iks_cpu,p_roks_cpu)+$Y446*IF($G446="IKS",p_iks_ram,p_roks_ram))*p_facteur)</f>
        <v/>
      </c>
      <c r="AB446" s="14" t="str">
        <f aca="false">IF($D446&lt;&gt;1,"",MAX($J446,ROUNDUP(MAX($L446/$H446,$M446/$I446),0)))</f>
        <v/>
      </c>
      <c r="AC446" s="84" t="str">
        <f aca="false">IF($D446&lt;&gt;1,"",IF(p_mode="Nœud",$AB446*$K446,$L446*IF($G446="IKS",p_iks_cpu,p_roks_cpu)+$M446*IF($G446="IKS",p_iks_ram,p_roks_ram))*p_facteur)</f>
        <v/>
      </c>
      <c r="AD446" s="14" t="str">
        <f aca="false">IF($D446&lt;&gt;1,"",IF(AND($G446="IKS",$AI446&lt;&gt;1,OR($L446-$P446&lt;$N446,$M446-$Q446&lt;$O446)),1,0))</f>
        <v/>
      </c>
      <c r="AE446" s="14" t="str">
        <f aca="false">IF($D446&lt;&gt;1,"",IF(AND($G446="ROKS",$T446&gt;p_maxworkers),1,0))</f>
        <v/>
      </c>
      <c r="AF446" s="14" t="str">
        <f aca="false">IF($D446&lt;&gt;1,"",IF(INDEX(TblClusters[Environnement],$B446)="","(vide)",INDEX(TblClusters[Environnement],$B446)))</f>
        <v/>
      </c>
      <c r="AG446" s="14" t="str">
        <f aca="false">IF($D446&lt;&gt;1,"",$R446+p_poidsram*$S446)</f>
        <v/>
      </c>
      <c r="AH446" s="14" t="str">
        <f aca="false">IF($D446&lt;&gt;1,"",IFERROR($W446/$AG446,0))</f>
        <v/>
      </c>
      <c r="AI446" s="14" t="str">
        <f aca="false">IF($D446&lt;&gt;1,"",IF(AND($G446="IKS",ISNUMBER(INDEX(TblClusters[Fermeture retenue],$B446))),IF($E446&gt;=INDEX(TblClusters[Fermeture retenue],$B446),1,0),0))</f>
        <v/>
      </c>
    </row>
    <row r="447" customFormat="false" ht="15" hidden="false" customHeight="false" outlineLevel="0" collapsed="false">
      <c r="A447" s="14" t="n">
        <v>442</v>
      </c>
      <c r="B447" s="14" t="n">
        <f aca="false">INT(($A447-1)/36)+1</f>
        <v>13</v>
      </c>
      <c r="C447" s="14" t="n">
        <f aca="false">MOD($A447-1,36)+1</f>
        <v>10</v>
      </c>
      <c r="D447" s="14" t="n">
        <f aca="false">IF($C447&gt;p_horizon,0,IFERROR(IF(AND(INDEX(TblClusters[Cluster],$B447)&lt;&gt;"",ISNUMBER(INDEX(TblClusters[CPU initial (vCPU)],$B447)),ISNUMBER(INDEX(TblClusters[CPU min (vCPU)],$B447)),OR(INDEX(TblClusters[Plateforme],$B447)="IKS",INDEX(TblClusters[Plateforme],$B447)="ROKS")),1,0),0))</f>
        <v>0</v>
      </c>
      <c r="E447" s="83" t="str">
        <f aca="false">IF($D447=1,EDATE(p_debut,$C447-1),"")</f>
        <v/>
      </c>
      <c r="F447" s="14" t="str">
        <f aca="false">IF($D447=1,INDEX(TblClusters[Cluster],$B447),"")</f>
        <v/>
      </c>
      <c r="G447" s="14" t="str">
        <f aca="false">IF($D447=1,INDEX(TblClusters[Plateforme],$B447),"")</f>
        <v/>
      </c>
      <c r="H447" s="14" t="str">
        <f aca="false">IF($D447=1,INDEX(TblClusters[vCPU par nœud],$B447),"")</f>
        <v/>
      </c>
      <c r="I447" s="14" t="str">
        <f aca="false">IF($D447=1,INDEX(TblClusters[RAM par nœud (Go)],$B447),"")</f>
        <v/>
      </c>
      <c r="J447" s="14" t="str">
        <f aca="false">IF($D447=1,INDEX(TblClusters[Workers min],$B447),"")</f>
        <v/>
      </c>
      <c r="K447" s="84" t="str">
        <f aca="false">IF($D447=1,INDEX(TblClusters[Tarif par nœud],$B447),"")</f>
        <v/>
      </c>
      <c r="L447" s="14" t="str">
        <f aca="false">IF($D447=1,INDEX(TblClusters[CPU initial (vCPU)],$B447),"")</f>
        <v/>
      </c>
      <c r="M447" s="14" t="str">
        <f aca="false">IF($D447=1,INDEX(TblClusters[RAM initiale (Go)],$B447),"")</f>
        <v/>
      </c>
      <c r="N447" s="14" t="str">
        <f aca="false">IF($D447=1,INDEX(TblClusters[CPU min (vCPU)],$B447),"")</f>
        <v/>
      </c>
      <c r="O447" s="14" t="str">
        <f aca="false">IF($D447=1,INDEX(TblClusters[RAM min (Go)],$B447),"")</f>
        <v/>
      </c>
      <c r="P447" s="14" t="str">
        <f aca="false">IF($D447&lt;&gt;1,"",IF($G447="ROKS",SUMIFS(TblApplications[Besoin ROKS CPU (vCPU)],TblApplications[Cluster ROKS cible],$F447,TblApplications[Action],"À migrer",TblApplications[Déjà incluse ROKS],"Non",TblApplications[Mois prov (calc)],"&lt;="&amp;$E447),SUMIFS(TblApplications[CPU IKS libérable (vCPU)],TblApplications[Cluster IKS source],$F447,TblApplications[Mois lib (calc)],"&lt;="&amp;$E447)))</f>
        <v/>
      </c>
      <c r="Q447" s="14" t="str">
        <f aca="false">IF($D447&lt;&gt;1,"",IF($G447="ROKS",SUMIFS(TblApplications[Besoin ROKS RAM (Go)],TblApplications[Cluster ROKS cible],$F447,TblApplications[Action],"À migrer",TblApplications[Déjà incluse ROKS],"Non",TblApplications[Mois prov (calc)],"&lt;="&amp;$E447),SUMIFS(TblApplications[RAM IKS libérable (Go)],TblApplications[Cluster IKS source],$F447,TblApplications[Mois lib (calc)],"&lt;="&amp;$E447)))</f>
        <v/>
      </c>
      <c r="R447" s="14" t="str">
        <f aca="false">IF($D447&lt;&gt;1,"",IF($G447="ROKS",$L447+$P447,IF($AI447=1,0,MAX($N447,$L447-$P447))))</f>
        <v/>
      </c>
      <c r="S447" s="14" t="str">
        <f aca="false">IF($D447&lt;&gt;1,"",IF($G447="ROKS",$M447+$Q447,IF($AI447=1,0,MAX($O447,$M447-$Q447))))</f>
        <v/>
      </c>
      <c r="T447" s="14" t="str">
        <f aca="false">IF($D447&lt;&gt;1,"",IF($AI447=1,0,MAX($J447,ROUNDUP(MAX($R447/$H447,$S447/$I447),0))))</f>
        <v/>
      </c>
      <c r="U447" s="14" t="str">
        <f aca="false">IF($D447&lt;&gt;1,"",IF(p_mode="Nœud",$T447*$H447,$R447))</f>
        <v/>
      </c>
      <c r="V447" s="14" t="str">
        <f aca="false">IF($D447&lt;&gt;1,"",IF(p_mode="Nœud",$T447*$I447,$S447))</f>
        <v/>
      </c>
      <c r="W447" s="84" t="str">
        <f aca="false">IF($D447&lt;&gt;1,"",IF(p_mode="Nœud",$T447*$K447,$R447*IF($G447="IKS",p_iks_cpu,p_roks_cpu)+$S447*IF($G447="IKS",p_iks_ram,p_roks_ram))*p_facteur)</f>
        <v/>
      </c>
      <c r="X447" s="14" t="str">
        <f aca="false">IF($D447&lt;&gt;1,"",IF($G447="ROKS",$R447,IF($AI447=1,0,MAX($N447,$L447-SUMIFS(TblApplications[CPU IKS libérable (vCPU)],TblApplications[Cluster IKS source],$F447,TblApplications[Action],"À migrer",TblApplications[Mois prov (calc)],"&lt;="&amp;$E447)-SUMIFS(TblApplications[CPU IKS libérable (vCPU)],TblApplications[Cluster IKS source],$F447,TblApplications[Action],"À décommissionner",TblApplications[Mois lib (calc)],"&lt;="&amp;$E447)))))</f>
        <v/>
      </c>
      <c r="Y447" s="14" t="str">
        <f aca="false">IF($D447&lt;&gt;1,"",IF($G447="ROKS",$S447,IF($AI447=1,0,MAX($O447,$M447-SUMIFS(TblApplications[RAM IKS libérable (Go)],TblApplications[Cluster IKS source],$F447,TblApplications[Action],"À migrer",TblApplications[Mois prov (calc)],"&lt;="&amp;$E447)-SUMIFS(TblApplications[RAM IKS libérable (Go)],TblApplications[Cluster IKS source],$F447,TblApplications[Action],"À décommissionner",TblApplications[Mois lib (calc)],"&lt;="&amp;$E447)))))</f>
        <v/>
      </c>
      <c r="Z447" s="14" t="str">
        <f aca="false">IF($D447&lt;&gt;1,"",IF($AI447=1,0,MAX($J447,ROUNDUP(MAX($X447/$H447,$Y447/$I447),0))))</f>
        <v/>
      </c>
      <c r="AA447" s="84" t="str">
        <f aca="false">IF($D447&lt;&gt;1,"",IF(p_mode="Nœud",$Z447*$K447,$X447*IF($G447="IKS",p_iks_cpu,p_roks_cpu)+$Y447*IF($G447="IKS",p_iks_ram,p_roks_ram))*p_facteur)</f>
        <v/>
      </c>
      <c r="AB447" s="14" t="str">
        <f aca="false">IF($D447&lt;&gt;1,"",MAX($J447,ROUNDUP(MAX($L447/$H447,$M447/$I447),0)))</f>
        <v/>
      </c>
      <c r="AC447" s="84" t="str">
        <f aca="false">IF($D447&lt;&gt;1,"",IF(p_mode="Nœud",$AB447*$K447,$L447*IF($G447="IKS",p_iks_cpu,p_roks_cpu)+$M447*IF($G447="IKS",p_iks_ram,p_roks_ram))*p_facteur)</f>
        <v/>
      </c>
      <c r="AD447" s="14" t="str">
        <f aca="false">IF($D447&lt;&gt;1,"",IF(AND($G447="IKS",$AI447&lt;&gt;1,OR($L447-$P447&lt;$N447,$M447-$Q447&lt;$O447)),1,0))</f>
        <v/>
      </c>
      <c r="AE447" s="14" t="str">
        <f aca="false">IF($D447&lt;&gt;1,"",IF(AND($G447="ROKS",$T447&gt;p_maxworkers),1,0))</f>
        <v/>
      </c>
      <c r="AF447" s="14" t="str">
        <f aca="false">IF($D447&lt;&gt;1,"",IF(INDEX(TblClusters[Environnement],$B447)="","(vide)",INDEX(TblClusters[Environnement],$B447)))</f>
        <v/>
      </c>
      <c r="AG447" s="14" t="str">
        <f aca="false">IF($D447&lt;&gt;1,"",$R447+p_poidsram*$S447)</f>
        <v/>
      </c>
      <c r="AH447" s="14" t="str">
        <f aca="false">IF($D447&lt;&gt;1,"",IFERROR($W447/$AG447,0))</f>
        <v/>
      </c>
      <c r="AI447" s="14" t="str">
        <f aca="false">IF($D447&lt;&gt;1,"",IF(AND($G447="IKS",ISNUMBER(INDEX(TblClusters[Fermeture retenue],$B447))),IF($E447&gt;=INDEX(TblClusters[Fermeture retenue],$B447),1,0),0))</f>
        <v/>
      </c>
    </row>
    <row r="448" customFormat="false" ht="15" hidden="false" customHeight="false" outlineLevel="0" collapsed="false">
      <c r="A448" s="14" t="n">
        <v>443</v>
      </c>
      <c r="B448" s="14" t="n">
        <f aca="false">INT(($A448-1)/36)+1</f>
        <v>13</v>
      </c>
      <c r="C448" s="14" t="n">
        <f aca="false">MOD($A448-1,36)+1</f>
        <v>11</v>
      </c>
      <c r="D448" s="14" t="n">
        <f aca="false">IF($C448&gt;p_horizon,0,IFERROR(IF(AND(INDEX(TblClusters[Cluster],$B448)&lt;&gt;"",ISNUMBER(INDEX(TblClusters[CPU initial (vCPU)],$B448)),ISNUMBER(INDEX(TblClusters[CPU min (vCPU)],$B448)),OR(INDEX(TblClusters[Plateforme],$B448)="IKS",INDEX(TblClusters[Plateforme],$B448)="ROKS")),1,0),0))</f>
        <v>0</v>
      </c>
      <c r="E448" s="83" t="str">
        <f aca="false">IF($D448=1,EDATE(p_debut,$C448-1),"")</f>
        <v/>
      </c>
      <c r="F448" s="14" t="str">
        <f aca="false">IF($D448=1,INDEX(TblClusters[Cluster],$B448),"")</f>
        <v/>
      </c>
      <c r="G448" s="14" t="str">
        <f aca="false">IF($D448=1,INDEX(TblClusters[Plateforme],$B448),"")</f>
        <v/>
      </c>
      <c r="H448" s="14" t="str">
        <f aca="false">IF($D448=1,INDEX(TblClusters[vCPU par nœud],$B448),"")</f>
        <v/>
      </c>
      <c r="I448" s="14" t="str">
        <f aca="false">IF($D448=1,INDEX(TblClusters[RAM par nœud (Go)],$B448),"")</f>
        <v/>
      </c>
      <c r="J448" s="14" t="str">
        <f aca="false">IF($D448=1,INDEX(TblClusters[Workers min],$B448),"")</f>
        <v/>
      </c>
      <c r="K448" s="84" t="str">
        <f aca="false">IF($D448=1,INDEX(TblClusters[Tarif par nœud],$B448),"")</f>
        <v/>
      </c>
      <c r="L448" s="14" t="str">
        <f aca="false">IF($D448=1,INDEX(TblClusters[CPU initial (vCPU)],$B448),"")</f>
        <v/>
      </c>
      <c r="M448" s="14" t="str">
        <f aca="false">IF($D448=1,INDEX(TblClusters[RAM initiale (Go)],$B448),"")</f>
        <v/>
      </c>
      <c r="N448" s="14" t="str">
        <f aca="false">IF($D448=1,INDEX(TblClusters[CPU min (vCPU)],$B448),"")</f>
        <v/>
      </c>
      <c r="O448" s="14" t="str">
        <f aca="false">IF($D448=1,INDEX(TblClusters[RAM min (Go)],$B448),"")</f>
        <v/>
      </c>
      <c r="P448" s="14" t="str">
        <f aca="false">IF($D448&lt;&gt;1,"",IF($G448="ROKS",SUMIFS(TblApplications[Besoin ROKS CPU (vCPU)],TblApplications[Cluster ROKS cible],$F448,TblApplications[Action],"À migrer",TblApplications[Déjà incluse ROKS],"Non",TblApplications[Mois prov (calc)],"&lt;="&amp;$E448),SUMIFS(TblApplications[CPU IKS libérable (vCPU)],TblApplications[Cluster IKS source],$F448,TblApplications[Mois lib (calc)],"&lt;="&amp;$E448)))</f>
        <v/>
      </c>
      <c r="Q448" s="14" t="str">
        <f aca="false">IF($D448&lt;&gt;1,"",IF($G448="ROKS",SUMIFS(TblApplications[Besoin ROKS RAM (Go)],TblApplications[Cluster ROKS cible],$F448,TblApplications[Action],"À migrer",TblApplications[Déjà incluse ROKS],"Non",TblApplications[Mois prov (calc)],"&lt;="&amp;$E448),SUMIFS(TblApplications[RAM IKS libérable (Go)],TblApplications[Cluster IKS source],$F448,TblApplications[Mois lib (calc)],"&lt;="&amp;$E448)))</f>
        <v/>
      </c>
      <c r="R448" s="14" t="str">
        <f aca="false">IF($D448&lt;&gt;1,"",IF($G448="ROKS",$L448+$P448,IF($AI448=1,0,MAX($N448,$L448-$P448))))</f>
        <v/>
      </c>
      <c r="S448" s="14" t="str">
        <f aca="false">IF($D448&lt;&gt;1,"",IF($G448="ROKS",$M448+$Q448,IF($AI448=1,0,MAX($O448,$M448-$Q448))))</f>
        <v/>
      </c>
      <c r="T448" s="14" t="str">
        <f aca="false">IF($D448&lt;&gt;1,"",IF($AI448=1,0,MAX($J448,ROUNDUP(MAX($R448/$H448,$S448/$I448),0))))</f>
        <v/>
      </c>
      <c r="U448" s="14" t="str">
        <f aca="false">IF($D448&lt;&gt;1,"",IF(p_mode="Nœud",$T448*$H448,$R448))</f>
        <v/>
      </c>
      <c r="V448" s="14" t="str">
        <f aca="false">IF($D448&lt;&gt;1,"",IF(p_mode="Nœud",$T448*$I448,$S448))</f>
        <v/>
      </c>
      <c r="W448" s="84" t="str">
        <f aca="false">IF($D448&lt;&gt;1,"",IF(p_mode="Nœud",$T448*$K448,$R448*IF($G448="IKS",p_iks_cpu,p_roks_cpu)+$S448*IF($G448="IKS",p_iks_ram,p_roks_ram))*p_facteur)</f>
        <v/>
      </c>
      <c r="X448" s="14" t="str">
        <f aca="false">IF($D448&lt;&gt;1,"",IF($G448="ROKS",$R448,IF($AI448=1,0,MAX($N448,$L448-SUMIFS(TblApplications[CPU IKS libérable (vCPU)],TblApplications[Cluster IKS source],$F448,TblApplications[Action],"À migrer",TblApplications[Mois prov (calc)],"&lt;="&amp;$E448)-SUMIFS(TblApplications[CPU IKS libérable (vCPU)],TblApplications[Cluster IKS source],$F448,TblApplications[Action],"À décommissionner",TblApplications[Mois lib (calc)],"&lt;="&amp;$E448)))))</f>
        <v/>
      </c>
      <c r="Y448" s="14" t="str">
        <f aca="false">IF($D448&lt;&gt;1,"",IF($G448="ROKS",$S448,IF($AI448=1,0,MAX($O448,$M448-SUMIFS(TblApplications[RAM IKS libérable (Go)],TblApplications[Cluster IKS source],$F448,TblApplications[Action],"À migrer",TblApplications[Mois prov (calc)],"&lt;="&amp;$E448)-SUMIFS(TblApplications[RAM IKS libérable (Go)],TblApplications[Cluster IKS source],$F448,TblApplications[Action],"À décommissionner",TblApplications[Mois lib (calc)],"&lt;="&amp;$E448)))))</f>
        <v/>
      </c>
      <c r="Z448" s="14" t="str">
        <f aca="false">IF($D448&lt;&gt;1,"",IF($AI448=1,0,MAX($J448,ROUNDUP(MAX($X448/$H448,$Y448/$I448),0))))</f>
        <v/>
      </c>
      <c r="AA448" s="84" t="str">
        <f aca="false">IF($D448&lt;&gt;1,"",IF(p_mode="Nœud",$Z448*$K448,$X448*IF($G448="IKS",p_iks_cpu,p_roks_cpu)+$Y448*IF($G448="IKS",p_iks_ram,p_roks_ram))*p_facteur)</f>
        <v/>
      </c>
      <c r="AB448" s="14" t="str">
        <f aca="false">IF($D448&lt;&gt;1,"",MAX($J448,ROUNDUP(MAX($L448/$H448,$M448/$I448),0)))</f>
        <v/>
      </c>
      <c r="AC448" s="84" t="str">
        <f aca="false">IF($D448&lt;&gt;1,"",IF(p_mode="Nœud",$AB448*$K448,$L448*IF($G448="IKS",p_iks_cpu,p_roks_cpu)+$M448*IF($G448="IKS",p_iks_ram,p_roks_ram))*p_facteur)</f>
        <v/>
      </c>
      <c r="AD448" s="14" t="str">
        <f aca="false">IF($D448&lt;&gt;1,"",IF(AND($G448="IKS",$AI448&lt;&gt;1,OR($L448-$P448&lt;$N448,$M448-$Q448&lt;$O448)),1,0))</f>
        <v/>
      </c>
      <c r="AE448" s="14" t="str">
        <f aca="false">IF($D448&lt;&gt;1,"",IF(AND($G448="ROKS",$T448&gt;p_maxworkers),1,0))</f>
        <v/>
      </c>
      <c r="AF448" s="14" t="str">
        <f aca="false">IF($D448&lt;&gt;1,"",IF(INDEX(TblClusters[Environnement],$B448)="","(vide)",INDEX(TblClusters[Environnement],$B448)))</f>
        <v/>
      </c>
      <c r="AG448" s="14" t="str">
        <f aca="false">IF($D448&lt;&gt;1,"",$R448+p_poidsram*$S448)</f>
        <v/>
      </c>
      <c r="AH448" s="14" t="str">
        <f aca="false">IF($D448&lt;&gt;1,"",IFERROR($W448/$AG448,0))</f>
        <v/>
      </c>
      <c r="AI448" s="14" t="str">
        <f aca="false">IF($D448&lt;&gt;1,"",IF(AND($G448="IKS",ISNUMBER(INDEX(TblClusters[Fermeture retenue],$B448))),IF($E448&gt;=INDEX(TblClusters[Fermeture retenue],$B448),1,0),0))</f>
        <v/>
      </c>
    </row>
    <row r="449" customFormat="false" ht="15" hidden="false" customHeight="false" outlineLevel="0" collapsed="false">
      <c r="A449" s="14" t="n">
        <v>444</v>
      </c>
      <c r="B449" s="14" t="n">
        <f aca="false">INT(($A449-1)/36)+1</f>
        <v>13</v>
      </c>
      <c r="C449" s="14" t="n">
        <f aca="false">MOD($A449-1,36)+1</f>
        <v>12</v>
      </c>
      <c r="D449" s="14" t="n">
        <f aca="false">IF($C449&gt;p_horizon,0,IFERROR(IF(AND(INDEX(TblClusters[Cluster],$B449)&lt;&gt;"",ISNUMBER(INDEX(TblClusters[CPU initial (vCPU)],$B449)),ISNUMBER(INDEX(TblClusters[CPU min (vCPU)],$B449)),OR(INDEX(TblClusters[Plateforme],$B449)="IKS",INDEX(TblClusters[Plateforme],$B449)="ROKS")),1,0),0))</f>
        <v>0</v>
      </c>
      <c r="E449" s="83" t="str">
        <f aca="false">IF($D449=1,EDATE(p_debut,$C449-1),"")</f>
        <v/>
      </c>
      <c r="F449" s="14" t="str">
        <f aca="false">IF($D449=1,INDEX(TblClusters[Cluster],$B449),"")</f>
        <v/>
      </c>
      <c r="G449" s="14" t="str">
        <f aca="false">IF($D449=1,INDEX(TblClusters[Plateforme],$B449),"")</f>
        <v/>
      </c>
      <c r="H449" s="14" t="str">
        <f aca="false">IF($D449=1,INDEX(TblClusters[vCPU par nœud],$B449),"")</f>
        <v/>
      </c>
      <c r="I449" s="14" t="str">
        <f aca="false">IF($D449=1,INDEX(TblClusters[RAM par nœud (Go)],$B449),"")</f>
        <v/>
      </c>
      <c r="J449" s="14" t="str">
        <f aca="false">IF($D449=1,INDEX(TblClusters[Workers min],$B449),"")</f>
        <v/>
      </c>
      <c r="K449" s="84" t="str">
        <f aca="false">IF($D449=1,INDEX(TblClusters[Tarif par nœud],$B449),"")</f>
        <v/>
      </c>
      <c r="L449" s="14" t="str">
        <f aca="false">IF($D449=1,INDEX(TblClusters[CPU initial (vCPU)],$B449),"")</f>
        <v/>
      </c>
      <c r="M449" s="14" t="str">
        <f aca="false">IF($D449=1,INDEX(TblClusters[RAM initiale (Go)],$B449),"")</f>
        <v/>
      </c>
      <c r="N449" s="14" t="str">
        <f aca="false">IF($D449=1,INDEX(TblClusters[CPU min (vCPU)],$B449),"")</f>
        <v/>
      </c>
      <c r="O449" s="14" t="str">
        <f aca="false">IF($D449=1,INDEX(TblClusters[RAM min (Go)],$B449),"")</f>
        <v/>
      </c>
      <c r="P449" s="14" t="str">
        <f aca="false">IF($D449&lt;&gt;1,"",IF($G449="ROKS",SUMIFS(TblApplications[Besoin ROKS CPU (vCPU)],TblApplications[Cluster ROKS cible],$F449,TblApplications[Action],"À migrer",TblApplications[Déjà incluse ROKS],"Non",TblApplications[Mois prov (calc)],"&lt;="&amp;$E449),SUMIFS(TblApplications[CPU IKS libérable (vCPU)],TblApplications[Cluster IKS source],$F449,TblApplications[Mois lib (calc)],"&lt;="&amp;$E449)))</f>
        <v/>
      </c>
      <c r="Q449" s="14" t="str">
        <f aca="false">IF($D449&lt;&gt;1,"",IF($G449="ROKS",SUMIFS(TblApplications[Besoin ROKS RAM (Go)],TblApplications[Cluster ROKS cible],$F449,TblApplications[Action],"À migrer",TblApplications[Déjà incluse ROKS],"Non",TblApplications[Mois prov (calc)],"&lt;="&amp;$E449),SUMIFS(TblApplications[RAM IKS libérable (Go)],TblApplications[Cluster IKS source],$F449,TblApplications[Mois lib (calc)],"&lt;="&amp;$E449)))</f>
        <v/>
      </c>
      <c r="R449" s="14" t="str">
        <f aca="false">IF($D449&lt;&gt;1,"",IF($G449="ROKS",$L449+$P449,IF($AI449=1,0,MAX($N449,$L449-$P449))))</f>
        <v/>
      </c>
      <c r="S449" s="14" t="str">
        <f aca="false">IF($D449&lt;&gt;1,"",IF($G449="ROKS",$M449+$Q449,IF($AI449=1,0,MAX($O449,$M449-$Q449))))</f>
        <v/>
      </c>
      <c r="T449" s="14" t="str">
        <f aca="false">IF($D449&lt;&gt;1,"",IF($AI449=1,0,MAX($J449,ROUNDUP(MAX($R449/$H449,$S449/$I449),0))))</f>
        <v/>
      </c>
      <c r="U449" s="14" t="str">
        <f aca="false">IF($D449&lt;&gt;1,"",IF(p_mode="Nœud",$T449*$H449,$R449))</f>
        <v/>
      </c>
      <c r="V449" s="14" t="str">
        <f aca="false">IF($D449&lt;&gt;1,"",IF(p_mode="Nœud",$T449*$I449,$S449))</f>
        <v/>
      </c>
      <c r="W449" s="84" t="str">
        <f aca="false">IF($D449&lt;&gt;1,"",IF(p_mode="Nœud",$T449*$K449,$R449*IF($G449="IKS",p_iks_cpu,p_roks_cpu)+$S449*IF($G449="IKS",p_iks_ram,p_roks_ram))*p_facteur)</f>
        <v/>
      </c>
      <c r="X449" s="14" t="str">
        <f aca="false">IF($D449&lt;&gt;1,"",IF($G449="ROKS",$R449,IF($AI449=1,0,MAX($N449,$L449-SUMIFS(TblApplications[CPU IKS libérable (vCPU)],TblApplications[Cluster IKS source],$F449,TblApplications[Action],"À migrer",TblApplications[Mois prov (calc)],"&lt;="&amp;$E449)-SUMIFS(TblApplications[CPU IKS libérable (vCPU)],TblApplications[Cluster IKS source],$F449,TblApplications[Action],"À décommissionner",TblApplications[Mois lib (calc)],"&lt;="&amp;$E449)))))</f>
        <v/>
      </c>
      <c r="Y449" s="14" t="str">
        <f aca="false">IF($D449&lt;&gt;1,"",IF($G449="ROKS",$S449,IF($AI449=1,0,MAX($O449,$M449-SUMIFS(TblApplications[RAM IKS libérable (Go)],TblApplications[Cluster IKS source],$F449,TblApplications[Action],"À migrer",TblApplications[Mois prov (calc)],"&lt;="&amp;$E449)-SUMIFS(TblApplications[RAM IKS libérable (Go)],TblApplications[Cluster IKS source],$F449,TblApplications[Action],"À décommissionner",TblApplications[Mois lib (calc)],"&lt;="&amp;$E449)))))</f>
        <v/>
      </c>
      <c r="Z449" s="14" t="str">
        <f aca="false">IF($D449&lt;&gt;1,"",IF($AI449=1,0,MAX($J449,ROUNDUP(MAX($X449/$H449,$Y449/$I449),0))))</f>
        <v/>
      </c>
      <c r="AA449" s="84" t="str">
        <f aca="false">IF($D449&lt;&gt;1,"",IF(p_mode="Nœud",$Z449*$K449,$X449*IF($G449="IKS",p_iks_cpu,p_roks_cpu)+$Y449*IF($G449="IKS",p_iks_ram,p_roks_ram))*p_facteur)</f>
        <v/>
      </c>
      <c r="AB449" s="14" t="str">
        <f aca="false">IF($D449&lt;&gt;1,"",MAX($J449,ROUNDUP(MAX($L449/$H449,$M449/$I449),0)))</f>
        <v/>
      </c>
      <c r="AC449" s="84" t="str">
        <f aca="false">IF($D449&lt;&gt;1,"",IF(p_mode="Nœud",$AB449*$K449,$L449*IF($G449="IKS",p_iks_cpu,p_roks_cpu)+$M449*IF($G449="IKS",p_iks_ram,p_roks_ram))*p_facteur)</f>
        <v/>
      </c>
      <c r="AD449" s="14" t="str">
        <f aca="false">IF($D449&lt;&gt;1,"",IF(AND($G449="IKS",$AI449&lt;&gt;1,OR($L449-$P449&lt;$N449,$M449-$Q449&lt;$O449)),1,0))</f>
        <v/>
      </c>
      <c r="AE449" s="14" t="str">
        <f aca="false">IF($D449&lt;&gt;1,"",IF(AND($G449="ROKS",$T449&gt;p_maxworkers),1,0))</f>
        <v/>
      </c>
      <c r="AF449" s="14" t="str">
        <f aca="false">IF($D449&lt;&gt;1,"",IF(INDEX(TblClusters[Environnement],$B449)="","(vide)",INDEX(TblClusters[Environnement],$B449)))</f>
        <v/>
      </c>
      <c r="AG449" s="14" t="str">
        <f aca="false">IF($D449&lt;&gt;1,"",$R449+p_poidsram*$S449)</f>
        <v/>
      </c>
      <c r="AH449" s="14" t="str">
        <f aca="false">IF($D449&lt;&gt;1,"",IFERROR($W449/$AG449,0))</f>
        <v/>
      </c>
      <c r="AI449" s="14" t="str">
        <f aca="false">IF($D449&lt;&gt;1,"",IF(AND($G449="IKS",ISNUMBER(INDEX(TblClusters[Fermeture retenue],$B449))),IF($E449&gt;=INDEX(TblClusters[Fermeture retenue],$B449),1,0),0))</f>
        <v/>
      </c>
    </row>
    <row r="450" customFormat="false" ht="15" hidden="false" customHeight="false" outlineLevel="0" collapsed="false">
      <c r="A450" s="14" t="n">
        <v>445</v>
      </c>
      <c r="B450" s="14" t="n">
        <f aca="false">INT(($A450-1)/36)+1</f>
        <v>13</v>
      </c>
      <c r="C450" s="14" t="n">
        <f aca="false">MOD($A450-1,36)+1</f>
        <v>13</v>
      </c>
      <c r="D450" s="14" t="n">
        <f aca="false">IF($C450&gt;p_horizon,0,IFERROR(IF(AND(INDEX(TblClusters[Cluster],$B450)&lt;&gt;"",ISNUMBER(INDEX(TblClusters[CPU initial (vCPU)],$B450)),ISNUMBER(INDEX(TblClusters[CPU min (vCPU)],$B450)),OR(INDEX(TblClusters[Plateforme],$B450)="IKS",INDEX(TblClusters[Plateforme],$B450)="ROKS")),1,0),0))</f>
        <v>0</v>
      </c>
      <c r="E450" s="83" t="str">
        <f aca="false">IF($D450=1,EDATE(p_debut,$C450-1),"")</f>
        <v/>
      </c>
      <c r="F450" s="14" t="str">
        <f aca="false">IF($D450=1,INDEX(TblClusters[Cluster],$B450),"")</f>
        <v/>
      </c>
      <c r="G450" s="14" t="str">
        <f aca="false">IF($D450=1,INDEX(TblClusters[Plateforme],$B450),"")</f>
        <v/>
      </c>
      <c r="H450" s="14" t="str">
        <f aca="false">IF($D450=1,INDEX(TblClusters[vCPU par nœud],$B450),"")</f>
        <v/>
      </c>
      <c r="I450" s="14" t="str">
        <f aca="false">IF($D450=1,INDEX(TblClusters[RAM par nœud (Go)],$B450),"")</f>
        <v/>
      </c>
      <c r="J450" s="14" t="str">
        <f aca="false">IF($D450=1,INDEX(TblClusters[Workers min],$B450),"")</f>
        <v/>
      </c>
      <c r="K450" s="84" t="str">
        <f aca="false">IF($D450=1,INDEX(TblClusters[Tarif par nœud],$B450),"")</f>
        <v/>
      </c>
      <c r="L450" s="14" t="str">
        <f aca="false">IF($D450=1,INDEX(TblClusters[CPU initial (vCPU)],$B450),"")</f>
        <v/>
      </c>
      <c r="M450" s="14" t="str">
        <f aca="false">IF($D450=1,INDEX(TblClusters[RAM initiale (Go)],$B450),"")</f>
        <v/>
      </c>
      <c r="N450" s="14" t="str">
        <f aca="false">IF($D450=1,INDEX(TblClusters[CPU min (vCPU)],$B450),"")</f>
        <v/>
      </c>
      <c r="O450" s="14" t="str">
        <f aca="false">IF($D450=1,INDEX(TblClusters[RAM min (Go)],$B450),"")</f>
        <v/>
      </c>
      <c r="P450" s="14" t="str">
        <f aca="false">IF($D450&lt;&gt;1,"",IF($G450="ROKS",SUMIFS(TblApplications[Besoin ROKS CPU (vCPU)],TblApplications[Cluster ROKS cible],$F450,TblApplications[Action],"À migrer",TblApplications[Déjà incluse ROKS],"Non",TblApplications[Mois prov (calc)],"&lt;="&amp;$E450),SUMIFS(TblApplications[CPU IKS libérable (vCPU)],TblApplications[Cluster IKS source],$F450,TblApplications[Mois lib (calc)],"&lt;="&amp;$E450)))</f>
        <v/>
      </c>
      <c r="Q450" s="14" t="str">
        <f aca="false">IF($D450&lt;&gt;1,"",IF($G450="ROKS",SUMIFS(TblApplications[Besoin ROKS RAM (Go)],TblApplications[Cluster ROKS cible],$F450,TblApplications[Action],"À migrer",TblApplications[Déjà incluse ROKS],"Non",TblApplications[Mois prov (calc)],"&lt;="&amp;$E450),SUMIFS(TblApplications[RAM IKS libérable (Go)],TblApplications[Cluster IKS source],$F450,TblApplications[Mois lib (calc)],"&lt;="&amp;$E450)))</f>
        <v/>
      </c>
      <c r="R450" s="14" t="str">
        <f aca="false">IF($D450&lt;&gt;1,"",IF($G450="ROKS",$L450+$P450,IF($AI450=1,0,MAX($N450,$L450-$P450))))</f>
        <v/>
      </c>
      <c r="S450" s="14" t="str">
        <f aca="false">IF($D450&lt;&gt;1,"",IF($G450="ROKS",$M450+$Q450,IF($AI450=1,0,MAX($O450,$M450-$Q450))))</f>
        <v/>
      </c>
      <c r="T450" s="14" t="str">
        <f aca="false">IF($D450&lt;&gt;1,"",IF($AI450=1,0,MAX($J450,ROUNDUP(MAX($R450/$H450,$S450/$I450),0))))</f>
        <v/>
      </c>
      <c r="U450" s="14" t="str">
        <f aca="false">IF($D450&lt;&gt;1,"",IF(p_mode="Nœud",$T450*$H450,$R450))</f>
        <v/>
      </c>
      <c r="V450" s="14" t="str">
        <f aca="false">IF($D450&lt;&gt;1,"",IF(p_mode="Nœud",$T450*$I450,$S450))</f>
        <v/>
      </c>
      <c r="W450" s="84" t="str">
        <f aca="false">IF($D450&lt;&gt;1,"",IF(p_mode="Nœud",$T450*$K450,$R450*IF($G450="IKS",p_iks_cpu,p_roks_cpu)+$S450*IF($G450="IKS",p_iks_ram,p_roks_ram))*p_facteur)</f>
        <v/>
      </c>
      <c r="X450" s="14" t="str">
        <f aca="false">IF($D450&lt;&gt;1,"",IF($G450="ROKS",$R450,IF($AI450=1,0,MAX($N450,$L450-SUMIFS(TblApplications[CPU IKS libérable (vCPU)],TblApplications[Cluster IKS source],$F450,TblApplications[Action],"À migrer",TblApplications[Mois prov (calc)],"&lt;="&amp;$E450)-SUMIFS(TblApplications[CPU IKS libérable (vCPU)],TblApplications[Cluster IKS source],$F450,TblApplications[Action],"À décommissionner",TblApplications[Mois lib (calc)],"&lt;="&amp;$E450)))))</f>
        <v/>
      </c>
      <c r="Y450" s="14" t="str">
        <f aca="false">IF($D450&lt;&gt;1,"",IF($G450="ROKS",$S450,IF($AI450=1,0,MAX($O450,$M450-SUMIFS(TblApplications[RAM IKS libérable (Go)],TblApplications[Cluster IKS source],$F450,TblApplications[Action],"À migrer",TblApplications[Mois prov (calc)],"&lt;="&amp;$E450)-SUMIFS(TblApplications[RAM IKS libérable (Go)],TblApplications[Cluster IKS source],$F450,TblApplications[Action],"À décommissionner",TblApplications[Mois lib (calc)],"&lt;="&amp;$E450)))))</f>
        <v/>
      </c>
      <c r="Z450" s="14" t="str">
        <f aca="false">IF($D450&lt;&gt;1,"",IF($AI450=1,0,MAX($J450,ROUNDUP(MAX($X450/$H450,$Y450/$I450),0))))</f>
        <v/>
      </c>
      <c r="AA450" s="84" t="str">
        <f aca="false">IF($D450&lt;&gt;1,"",IF(p_mode="Nœud",$Z450*$K450,$X450*IF($G450="IKS",p_iks_cpu,p_roks_cpu)+$Y450*IF($G450="IKS",p_iks_ram,p_roks_ram))*p_facteur)</f>
        <v/>
      </c>
      <c r="AB450" s="14" t="str">
        <f aca="false">IF($D450&lt;&gt;1,"",MAX($J450,ROUNDUP(MAX($L450/$H450,$M450/$I450),0)))</f>
        <v/>
      </c>
      <c r="AC450" s="84" t="str">
        <f aca="false">IF($D450&lt;&gt;1,"",IF(p_mode="Nœud",$AB450*$K450,$L450*IF($G450="IKS",p_iks_cpu,p_roks_cpu)+$M450*IF($G450="IKS",p_iks_ram,p_roks_ram))*p_facteur)</f>
        <v/>
      </c>
      <c r="AD450" s="14" t="str">
        <f aca="false">IF($D450&lt;&gt;1,"",IF(AND($G450="IKS",$AI450&lt;&gt;1,OR($L450-$P450&lt;$N450,$M450-$Q450&lt;$O450)),1,0))</f>
        <v/>
      </c>
      <c r="AE450" s="14" t="str">
        <f aca="false">IF($D450&lt;&gt;1,"",IF(AND($G450="ROKS",$T450&gt;p_maxworkers),1,0))</f>
        <v/>
      </c>
      <c r="AF450" s="14" t="str">
        <f aca="false">IF($D450&lt;&gt;1,"",IF(INDEX(TblClusters[Environnement],$B450)="","(vide)",INDEX(TblClusters[Environnement],$B450)))</f>
        <v/>
      </c>
      <c r="AG450" s="14" t="str">
        <f aca="false">IF($D450&lt;&gt;1,"",$R450+p_poidsram*$S450)</f>
        <v/>
      </c>
      <c r="AH450" s="14" t="str">
        <f aca="false">IF($D450&lt;&gt;1,"",IFERROR($W450/$AG450,0))</f>
        <v/>
      </c>
      <c r="AI450" s="14" t="str">
        <f aca="false">IF($D450&lt;&gt;1,"",IF(AND($G450="IKS",ISNUMBER(INDEX(TblClusters[Fermeture retenue],$B450))),IF($E450&gt;=INDEX(TblClusters[Fermeture retenue],$B450),1,0),0))</f>
        <v/>
      </c>
    </row>
    <row r="451" customFormat="false" ht="15" hidden="false" customHeight="false" outlineLevel="0" collapsed="false">
      <c r="A451" s="14" t="n">
        <v>446</v>
      </c>
      <c r="B451" s="14" t="n">
        <f aca="false">INT(($A451-1)/36)+1</f>
        <v>13</v>
      </c>
      <c r="C451" s="14" t="n">
        <f aca="false">MOD($A451-1,36)+1</f>
        <v>14</v>
      </c>
      <c r="D451" s="14" t="n">
        <f aca="false">IF($C451&gt;p_horizon,0,IFERROR(IF(AND(INDEX(TblClusters[Cluster],$B451)&lt;&gt;"",ISNUMBER(INDEX(TblClusters[CPU initial (vCPU)],$B451)),ISNUMBER(INDEX(TblClusters[CPU min (vCPU)],$B451)),OR(INDEX(TblClusters[Plateforme],$B451)="IKS",INDEX(TblClusters[Plateforme],$B451)="ROKS")),1,0),0))</f>
        <v>0</v>
      </c>
      <c r="E451" s="83" t="str">
        <f aca="false">IF($D451=1,EDATE(p_debut,$C451-1),"")</f>
        <v/>
      </c>
      <c r="F451" s="14" t="str">
        <f aca="false">IF($D451=1,INDEX(TblClusters[Cluster],$B451),"")</f>
        <v/>
      </c>
      <c r="G451" s="14" t="str">
        <f aca="false">IF($D451=1,INDEX(TblClusters[Plateforme],$B451),"")</f>
        <v/>
      </c>
      <c r="H451" s="14" t="str">
        <f aca="false">IF($D451=1,INDEX(TblClusters[vCPU par nœud],$B451),"")</f>
        <v/>
      </c>
      <c r="I451" s="14" t="str">
        <f aca="false">IF($D451=1,INDEX(TblClusters[RAM par nœud (Go)],$B451),"")</f>
        <v/>
      </c>
      <c r="J451" s="14" t="str">
        <f aca="false">IF($D451=1,INDEX(TblClusters[Workers min],$B451),"")</f>
        <v/>
      </c>
      <c r="K451" s="84" t="str">
        <f aca="false">IF($D451=1,INDEX(TblClusters[Tarif par nœud],$B451),"")</f>
        <v/>
      </c>
      <c r="L451" s="14" t="str">
        <f aca="false">IF($D451=1,INDEX(TblClusters[CPU initial (vCPU)],$B451),"")</f>
        <v/>
      </c>
      <c r="M451" s="14" t="str">
        <f aca="false">IF($D451=1,INDEX(TblClusters[RAM initiale (Go)],$B451),"")</f>
        <v/>
      </c>
      <c r="N451" s="14" t="str">
        <f aca="false">IF($D451=1,INDEX(TblClusters[CPU min (vCPU)],$B451),"")</f>
        <v/>
      </c>
      <c r="O451" s="14" t="str">
        <f aca="false">IF($D451=1,INDEX(TblClusters[RAM min (Go)],$B451),"")</f>
        <v/>
      </c>
      <c r="P451" s="14" t="str">
        <f aca="false">IF($D451&lt;&gt;1,"",IF($G451="ROKS",SUMIFS(TblApplications[Besoin ROKS CPU (vCPU)],TblApplications[Cluster ROKS cible],$F451,TblApplications[Action],"À migrer",TblApplications[Déjà incluse ROKS],"Non",TblApplications[Mois prov (calc)],"&lt;="&amp;$E451),SUMIFS(TblApplications[CPU IKS libérable (vCPU)],TblApplications[Cluster IKS source],$F451,TblApplications[Mois lib (calc)],"&lt;="&amp;$E451)))</f>
        <v/>
      </c>
      <c r="Q451" s="14" t="str">
        <f aca="false">IF($D451&lt;&gt;1,"",IF($G451="ROKS",SUMIFS(TblApplications[Besoin ROKS RAM (Go)],TblApplications[Cluster ROKS cible],$F451,TblApplications[Action],"À migrer",TblApplications[Déjà incluse ROKS],"Non",TblApplications[Mois prov (calc)],"&lt;="&amp;$E451),SUMIFS(TblApplications[RAM IKS libérable (Go)],TblApplications[Cluster IKS source],$F451,TblApplications[Mois lib (calc)],"&lt;="&amp;$E451)))</f>
        <v/>
      </c>
      <c r="R451" s="14" t="str">
        <f aca="false">IF($D451&lt;&gt;1,"",IF($G451="ROKS",$L451+$P451,IF($AI451=1,0,MAX($N451,$L451-$P451))))</f>
        <v/>
      </c>
      <c r="S451" s="14" t="str">
        <f aca="false">IF($D451&lt;&gt;1,"",IF($G451="ROKS",$M451+$Q451,IF($AI451=1,0,MAX($O451,$M451-$Q451))))</f>
        <v/>
      </c>
      <c r="T451" s="14" t="str">
        <f aca="false">IF($D451&lt;&gt;1,"",IF($AI451=1,0,MAX($J451,ROUNDUP(MAX($R451/$H451,$S451/$I451),0))))</f>
        <v/>
      </c>
      <c r="U451" s="14" t="str">
        <f aca="false">IF($D451&lt;&gt;1,"",IF(p_mode="Nœud",$T451*$H451,$R451))</f>
        <v/>
      </c>
      <c r="V451" s="14" t="str">
        <f aca="false">IF($D451&lt;&gt;1,"",IF(p_mode="Nœud",$T451*$I451,$S451))</f>
        <v/>
      </c>
      <c r="W451" s="84" t="str">
        <f aca="false">IF($D451&lt;&gt;1,"",IF(p_mode="Nœud",$T451*$K451,$R451*IF($G451="IKS",p_iks_cpu,p_roks_cpu)+$S451*IF($G451="IKS",p_iks_ram,p_roks_ram))*p_facteur)</f>
        <v/>
      </c>
      <c r="X451" s="14" t="str">
        <f aca="false">IF($D451&lt;&gt;1,"",IF($G451="ROKS",$R451,IF($AI451=1,0,MAX($N451,$L451-SUMIFS(TblApplications[CPU IKS libérable (vCPU)],TblApplications[Cluster IKS source],$F451,TblApplications[Action],"À migrer",TblApplications[Mois prov (calc)],"&lt;="&amp;$E451)-SUMIFS(TblApplications[CPU IKS libérable (vCPU)],TblApplications[Cluster IKS source],$F451,TblApplications[Action],"À décommissionner",TblApplications[Mois lib (calc)],"&lt;="&amp;$E451)))))</f>
        <v/>
      </c>
      <c r="Y451" s="14" t="str">
        <f aca="false">IF($D451&lt;&gt;1,"",IF($G451="ROKS",$S451,IF($AI451=1,0,MAX($O451,$M451-SUMIFS(TblApplications[RAM IKS libérable (Go)],TblApplications[Cluster IKS source],$F451,TblApplications[Action],"À migrer",TblApplications[Mois prov (calc)],"&lt;="&amp;$E451)-SUMIFS(TblApplications[RAM IKS libérable (Go)],TblApplications[Cluster IKS source],$F451,TblApplications[Action],"À décommissionner",TblApplications[Mois lib (calc)],"&lt;="&amp;$E451)))))</f>
        <v/>
      </c>
      <c r="Z451" s="14" t="str">
        <f aca="false">IF($D451&lt;&gt;1,"",IF($AI451=1,0,MAX($J451,ROUNDUP(MAX($X451/$H451,$Y451/$I451),0))))</f>
        <v/>
      </c>
      <c r="AA451" s="84" t="str">
        <f aca="false">IF($D451&lt;&gt;1,"",IF(p_mode="Nœud",$Z451*$K451,$X451*IF($G451="IKS",p_iks_cpu,p_roks_cpu)+$Y451*IF($G451="IKS",p_iks_ram,p_roks_ram))*p_facteur)</f>
        <v/>
      </c>
      <c r="AB451" s="14" t="str">
        <f aca="false">IF($D451&lt;&gt;1,"",MAX($J451,ROUNDUP(MAX($L451/$H451,$M451/$I451),0)))</f>
        <v/>
      </c>
      <c r="AC451" s="84" t="str">
        <f aca="false">IF($D451&lt;&gt;1,"",IF(p_mode="Nœud",$AB451*$K451,$L451*IF($G451="IKS",p_iks_cpu,p_roks_cpu)+$M451*IF($G451="IKS",p_iks_ram,p_roks_ram))*p_facteur)</f>
        <v/>
      </c>
      <c r="AD451" s="14" t="str">
        <f aca="false">IF($D451&lt;&gt;1,"",IF(AND($G451="IKS",$AI451&lt;&gt;1,OR($L451-$P451&lt;$N451,$M451-$Q451&lt;$O451)),1,0))</f>
        <v/>
      </c>
      <c r="AE451" s="14" t="str">
        <f aca="false">IF($D451&lt;&gt;1,"",IF(AND($G451="ROKS",$T451&gt;p_maxworkers),1,0))</f>
        <v/>
      </c>
      <c r="AF451" s="14" t="str">
        <f aca="false">IF($D451&lt;&gt;1,"",IF(INDEX(TblClusters[Environnement],$B451)="","(vide)",INDEX(TblClusters[Environnement],$B451)))</f>
        <v/>
      </c>
      <c r="AG451" s="14" t="str">
        <f aca="false">IF($D451&lt;&gt;1,"",$R451+p_poidsram*$S451)</f>
        <v/>
      </c>
      <c r="AH451" s="14" t="str">
        <f aca="false">IF($D451&lt;&gt;1,"",IFERROR($W451/$AG451,0))</f>
        <v/>
      </c>
      <c r="AI451" s="14" t="str">
        <f aca="false">IF($D451&lt;&gt;1,"",IF(AND($G451="IKS",ISNUMBER(INDEX(TblClusters[Fermeture retenue],$B451))),IF($E451&gt;=INDEX(TblClusters[Fermeture retenue],$B451),1,0),0))</f>
        <v/>
      </c>
    </row>
    <row r="452" customFormat="false" ht="15" hidden="false" customHeight="false" outlineLevel="0" collapsed="false">
      <c r="A452" s="14" t="n">
        <v>447</v>
      </c>
      <c r="B452" s="14" t="n">
        <f aca="false">INT(($A452-1)/36)+1</f>
        <v>13</v>
      </c>
      <c r="C452" s="14" t="n">
        <f aca="false">MOD($A452-1,36)+1</f>
        <v>15</v>
      </c>
      <c r="D452" s="14" t="n">
        <f aca="false">IF($C452&gt;p_horizon,0,IFERROR(IF(AND(INDEX(TblClusters[Cluster],$B452)&lt;&gt;"",ISNUMBER(INDEX(TblClusters[CPU initial (vCPU)],$B452)),ISNUMBER(INDEX(TblClusters[CPU min (vCPU)],$B452)),OR(INDEX(TblClusters[Plateforme],$B452)="IKS",INDEX(TblClusters[Plateforme],$B452)="ROKS")),1,0),0))</f>
        <v>0</v>
      </c>
      <c r="E452" s="83" t="str">
        <f aca="false">IF($D452=1,EDATE(p_debut,$C452-1),"")</f>
        <v/>
      </c>
      <c r="F452" s="14" t="str">
        <f aca="false">IF($D452=1,INDEX(TblClusters[Cluster],$B452),"")</f>
        <v/>
      </c>
      <c r="G452" s="14" t="str">
        <f aca="false">IF($D452=1,INDEX(TblClusters[Plateforme],$B452),"")</f>
        <v/>
      </c>
      <c r="H452" s="14" t="str">
        <f aca="false">IF($D452=1,INDEX(TblClusters[vCPU par nœud],$B452),"")</f>
        <v/>
      </c>
      <c r="I452" s="14" t="str">
        <f aca="false">IF($D452=1,INDEX(TblClusters[RAM par nœud (Go)],$B452),"")</f>
        <v/>
      </c>
      <c r="J452" s="14" t="str">
        <f aca="false">IF($D452=1,INDEX(TblClusters[Workers min],$B452),"")</f>
        <v/>
      </c>
      <c r="K452" s="84" t="str">
        <f aca="false">IF($D452=1,INDEX(TblClusters[Tarif par nœud],$B452),"")</f>
        <v/>
      </c>
      <c r="L452" s="14" t="str">
        <f aca="false">IF($D452=1,INDEX(TblClusters[CPU initial (vCPU)],$B452),"")</f>
        <v/>
      </c>
      <c r="M452" s="14" t="str">
        <f aca="false">IF($D452=1,INDEX(TblClusters[RAM initiale (Go)],$B452),"")</f>
        <v/>
      </c>
      <c r="N452" s="14" t="str">
        <f aca="false">IF($D452=1,INDEX(TblClusters[CPU min (vCPU)],$B452),"")</f>
        <v/>
      </c>
      <c r="O452" s="14" t="str">
        <f aca="false">IF($D452=1,INDEX(TblClusters[RAM min (Go)],$B452),"")</f>
        <v/>
      </c>
      <c r="P452" s="14" t="str">
        <f aca="false">IF($D452&lt;&gt;1,"",IF($G452="ROKS",SUMIFS(TblApplications[Besoin ROKS CPU (vCPU)],TblApplications[Cluster ROKS cible],$F452,TblApplications[Action],"À migrer",TblApplications[Déjà incluse ROKS],"Non",TblApplications[Mois prov (calc)],"&lt;="&amp;$E452),SUMIFS(TblApplications[CPU IKS libérable (vCPU)],TblApplications[Cluster IKS source],$F452,TblApplications[Mois lib (calc)],"&lt;="&amp;$E452)))</f>
        <v/>
      </c>
      <c r="Q452" s="14" t="str">
        <f aca="false">IF($D452&lt;&gt;1,"",IF($G452="ROKS",SUMIFS(TblApplications[Besoin ROKS RAM (Go)],TblApplications[Cluster ROKS cible],$F452,TblApplications[Action],"À migrer",TblApplications[Déjà incluse ROKS],"Non",TblApplications[Mois prov (calc)],"&lt;="&amp;$E452),SUMIFS(TblApplications[RAM IKS libérable (Go)],TblApplications[Cluster IKS source],$F452,TblApplications[Mois lib (calc)],"&lt;="&amp;$E452)))</f>
        <v/>
      </c>
      <c r="R452" s="14" t="str">
        <f aca="false">IF($D452&lt;&gt;1,"",IF($G452="ROKS",$L452+$P452,IF($AI452=1,0,MAX($N452,$L452-$P452))))</f>
        <v/>
      </c>
      <c r="S452" s="14" t="str">
        <f aca="false">IF($D452&lt;&gt;1,"",IF($G452="ROKS",$M452+$Q452,IF($AI452=1,0,MAX($O452,$M452-$Q452))))</f>
        <v/>
      </c>
      <c r="T452" s="14" t="str">
        <f aca="false">IF($D452&lt;&gt;1,"",IF($AI452=1,0,MAX($J452,ROUNDUP(MAX($R452/$H452,$S452/$I452),0))))</f>
        <v/>
      </c>
      <c r="U452" s="14" t="str">
        <f aca="false">IF($D452&lt;&gt;1,"",IF(p_mode="Nœud",$T452*$H452,$R452))</f>
        <v/>
      </c>
      <c r="V452" s="14" t="str">
        <f aca="false">IF($D452&lt;&gt;1,"",IF(p_mode="Nœud",$T452*$I452,$S452))</f>
        <v/>
      </c>
      <c r="W452" s="84" t="str">
        <f aca="false">IF($D452&lt;&gt;1,"",IF(p_mode="Nœud",$T452*$K452,$R452*IF($G452="IKS",p_iks_cpu,p_roks_cpu)+$S452*IF($G452="IKS",p_iks_ram,p_roks_ram))*p_facteur)</f>
        <v/>
      </c>
      <c r="X452" s="14" t="str">
        <f aca="false">IF($D452&lt;&gt;1,"",IF($G452="ROKS",$R452,IF($AI452=1,0,MAX($N452,$L452-SUMIFS(TblApplications[CPU IKS libérable (vCPU)],TblApplications[Cluster IKS source],$F452,TblApplications[Action],"À migrer",TblApplications[Mois prov (calc)],"&lt;="&amp;$E452)-SUMIFS(TblApplications[CPU IKS libérable (vCPU)],TblApplications[Cluster IKS source],$F452,TblApplications[Action],"À décommissionner",TblApplications[Mois lib (calc)],"&lt;="&amp;$E452)))))</f>
        <v/>
      </c>
      <c r="Y452" s="14" t="str">
        <f aca="false">IF($D452&lt;&gt;1,"",IF($G452="ROKS",$S452,IF($AI452=1,0,MAX($O452,$M452-SUMIFS(TblApplications[RAM IKS libérable (Go)],TblApplications[Cluster IKS source],$F452,TblApplications[Action],"À migrer",TblApplications[Mois prov (calc)],"&lt;="&amp;$E452)-SUMIFS(TblApplications[RAM IKS libérable (Go)],TblApplications[Cluster IKS source],$F452,TblApplications[Action],"À décommissionner",TblApplications[Mois lib (calc)],"&lt;="&amp;$E452)))))</f>
        <v/>
      </c>
      <c r="Z452" s="14" t="str">
        <f aca="false">IF($D452&lt;&gt;1,"",IF($AI452=1,0,MAX($J452,ROUNDUP(MAX($X452/$H452,$Y452/$I452),0))))</f>
        <v/>
      </c>
      <c r="AA452" s="84" t="str">
        <f aca="false">IF($D452&lt;&gt;1,"",IF(p_mode="Nœud",$Z452*$K452,$X452*IF($G452="IKS",p_iks_cpu,p_roks_cpu)+$Y452*IF($G452="IKS",p_iks_ram,p_roks_ram))*p_facteur)</f>
        <v/>
      </c>
      <c r="AB452" s="14" t="str">
        <f aca="false">IF($D452&lt;&gt;1,"",MAX($J452,ROUNDUP(MAX($L452/$H452,$M452/$I452),0)))</f>
        <v/>
      </c>
      <c r="AC452" s="84" t="str">
        <f aca="false">IF($D452&lt;&gt;1,"",IF(p_mode="Nœud",$AB452*$K452,$L452*IF($G452="IKS",p_iks_cpu,p_roks_cpu)+$M452*IF($G452="IKS",p_iks_ram,p_roks_ram))*p_facteur)</f>
        <v/>
      </c>
      <c r="AD452" s="14" t="str">
        <f aca="false">IF($D452&lt;&gt;1,"",IF(AND($G452="IKS",$AI452&lt;&gt;1,OR($L452-$P452&lt;$N452,$M452-$Q452&lt;$O452)),1,0))</f>
        <v/>
      </c>
      <c r="AE452" s="14" t="str">
        <f aca="false">IF($D452&lt;&gt;1,"",IF(AND($G452="ROKS",$T452&gt;p_maxworkers),1,0))</f>
        <v/>
      </c>
      <c r="AF452" s="14" t="str">
        <f aca="false">IF($D452&lt;&gt;1,"",IF(INDEX(TblClusters[Environnement],$B452)="","(vide)",INDEX(TblClusters[Environnement],$B452)))</f>
        <v/>
      </c>
      <c r="AG452" s="14" t="str">
        <f aca="false">IF($D452&lt;&gt;1,"",$R452+p_poidsram*$S452)</f>
        <v/>
      </c>
      <c r="AH452" s="14" t="str">
        <f aca="false">IF($D452&lt;&gt;1,"",IFERROR($W452/$AG452,0))</f>
        <v/>
      </c>
      <c r="AI452" s="14" t="str">
        <f aca="false">IF($D452&lt;&gt;1,"",IF(AND($G452="IKS",ISNUMBER(INDEX(TblClusters[Fermeture retenue],$B452))),IF($E452&gt;=INDEX(TblClusters[Fermeture retenue],$B452),1,0),0))</f>
        <v/>
      </c>
    </row>
    <row r="453" customFormat="false" ht="15" hidden="false" customHeight="false" outlineLevel="0" collapsed="false">
      <c r="A453" s="14" t="n">
        <v>448</v>
      </c>
      <c r="B453" s="14" t="n">
        <f aca="false">INT(($A453-1)/36)+1</f>
        <v>13</v>
      </c>
      <c r="C453" s="14" t="n">
        <f aca="false">MOD($A453-1,36)+1</f>
        <v>16</v>
      </c>
      <c r="D453" s="14" t="n">
        <f aca="false">IF($C453&gt;p_horizon,0,IFERROR(IF(AND(INDEX(TblClusters[Cluster],$B453)&lt;&gt;"",ISNUMBER(INDEX(TblClusters[CPU initial (vCPU)],$B453)),ISNUMBER(INDEX(TblClusters[CPU min (vCPU)],$B453)),OR(INDEX(TblClusters[Plateforme],$B453)="IKS",INDEX(TblClusters[Plateforme],$B453)="ROKS")),1,0),0))</f>
        <v>0</v>
      </c>
      <c r="E453" s="83" t="str">
        <f aca="false">IF($D453=1,EDATE(p_debut,$C453-1),"")</f>
        <v/>
      </c>
      <c r="F453" s="14" t="str">
        <f aca="false">IF($D453=1,INDEX(TblClusters[Cluster],$B453),"")</f>
        <v/>
      </c>
      <c r="G453" s="14" t="str">
        <f aca="false">IF($D453=1,INDEX(TblClusters[Plateforme],$B453),"")</f>
        <v/>
      </c>
      <c r="H453" s="14" t="str">
        <f aca="false">IF($D453=1,INDEX(TblClusters[vCPU par nœud],$B453),"")</f>
        <v/>
      </c>
      <c r="I453" s="14" t="str">
        <f aca="false">IF($D453=1,INDEX(TblClusters[RAM par nœud (Go)],$B453),"")</f>
        <v/>
      </c>
      <c r="J453" s="14" t="str">
        <f aca="false">IF($D453=1,INDEX(TblClusters[Workers min],$B453),"")</f>
        <v/>
      </c>
      <c r="K453" s="84" t="str">
        <f aca="false">IF($D453=1,INDEX(TblClusters[Tarif par nœud],$B453),"")</f>
        <v/>
      </c>
      <c r="L453" s="14" t="str">
        <f aca="false">IF($D453=1,INDEX(TblClusters[CPU initial (vCPU)],$B453),"")</f>
        <v/>
      </c>
      <c r="M453" s="14" t="str">
        <f aca="false">IF($D453=1,INDEX(TblClusters[RAM initiale (Go)],$B453),"")</f>
        <v/>
      </c>
      <c r="N453" s="14" t="str">
        <f aca="false">IF($D453=1,INDEX(TblClusters[CPU min (vCPU)],$B453),"")</f>
        <v/>
      </c>
      <c r="O453" s="14" t="str">
        <f aca="false">IF($D453=1,INDEX(TblClusters[RAM min (Go)],$B453),"")</f>
        <v/>
      </c>
      <c r="P453" s="14" t="str">
        <f aca="false">IF($D453&lt;&gt;1,"",IF($G453="ROKS",SUMIFS(TblApplications[Besoin ROKS CPU (vCPU)],TblApplications[Cluster ROKS cible],$F453,TblApplications[Action],"À migrer",TblApplications[Déjà incluse ROKS],"Non",TblApplications[Mois prov (calc)],"&lt;="&amp;$E453),SUMIFS(TblApplications[CPU IKS libérable (vCPU)],TblApplications[Cluster IKS source],$F453,TblApplications[Mois lib (calc)],"&lt;="&amp;$E453)))</f>
        <v/>
      </c>
      <c r="Q453" s="14" t="str">
        <f aca="false">IF($D453&lt;&gt;1,"",IF($G453="ROKS",SUMIFS(TblApplications[Besoin ROKS RAM (Go)],TblApplications[Cluster ROKS cible],$F453,TblApplications[Action],"À migrer",TblApplications[Déjà incluse ROKS],"Non",TblApplications[Mois prov (calc)],"&lt;="&amp;$E453),SUMIFS(TblApplications[RAM IKS libérable (Go)],TblApplications[Cluster IKS source],$F453,TblApplications[Mois lib (calc)],"&lt;="&amp;$E453)))</f>
        <v/>
      </c>
      <c r="R453" s="14" t="str">
        <f aca="false">IF($D453&lt;&gt;1,"",IF($G453="ROKS",$L453+$P453,IF($AI453=1,0,MAX($N453,$L453-$P453))))</f>
        <v/>
      </c>
      <c r="S453" s="14" t="str">
        <f aca="false">IF($D453&lt;&gt;1,"",IF($G453="ROKS",$M453+$Q453,IF($AI453=1,0,MAX($O453,$M453-$Q453))))</f>
        <v/>
      </c>
      <c r="T453" s="14" t="str">
        <f aca="false">IF($D453&lt;&gt;1,"",IF($AI453=1,0,MAX($J453,ROUNDUP(MAX($R453/$H453,$S453/$I453),0))))</f>
        <v/>
      </c>
      <c r="U453" s="14" t="str">
        <f aca="false">IF($D453&lt;&gt;1,"",IF(p_mode="Nœud",$T453*$H453,$R453))</f>
        <v/>
      </c>
      <c r="V453" s="14" t="str">
        <f aca="false">IF($D453&lt;&gt;1,"",IF(p_mode="Nœud",$T453*$I453,$S453))</f>
        <v/>
      </c>
      <c r="W453" s="84" t="str">
        <f aca="false">IF($D453&lt;&gt;1,"",IF(p_mode="Nœud",$T453*$K453,$R453*IF($G453="IKS",p_iks_cpu,p_roks_cpu)+$S453*IF($G453="IKS",p_iks_ram,p_roks_ram))*p_facteur)</f>
        <v/>
      </c>
      <c r="X453" s="14" t="str">
        <f aca="false">IF($D453&lt;&gt;1,"",IF($G453="ROKS",$R453,IF($AI453=1,0,MAX($N453,$L453-SUMIFS(TblApplications[CPU IKS libérable (vCPU)],TblApplications[Cluster IKS source],$F453,TblApplications[Action],"À migrer",TblApplications[Mois prov (calc)],"&lt;="&amp;$E453)-SUMIFS(TblApplications[CPU IKS libérable (vCPU)],TblApplications[Cluster IKS source],$F453,TblApplications[Action],"À décommissionner",TblApplications[Mois lib (calc)],"&lt;="&amp;$E453)))))</f>
        <v/>
      </c>
      <c r="Y453" s="14" t="str">
        <f aca="false">IF($D453&lt;&gt;1,"",IF($G453="ROKS",$S453,IF($AI453=1,0,MAX($O453,$M453-SUMIFS(TblApplications[RAM IKS libérable (Go)],TblApplications[Cluster IKS source],$F453,TblApplications[Action],"À migrer",TblApplications[Mois prov (calc)],"&lt;="&amp;$E453)-SUMIFS(TblApplications[RAM IKS libérable (Go)],TblApplications[Cluster IKS source],$F453,TblApplications[Action],"À décommissionner",TblApplications[Mois lib (calc)],"&lt;="&amp;$E453)))))</f>
        <v/>
      </c>
      <c r="Z453" s="14" t="str">
        <f aca="false">IF($D453&lt;&gt;1,"",IF($AI453=1,0,MAX($J453,ROUNDUP(MAX($X453/$H453,$Y453/$I453),0))))</f>
        <v/>
      </c>
      <c r="AA453" s="84" t="str">
        <f aca="false">IF($D453&lt;&gt;1,"",IF(p_mode="Nœud",$Z453*$K453,$X453*IF($G453="IKS",p_iks_cpu,p_roks_cpu)+$Y453*IF($G453="IKS",p_iks_ram,p_roks_ram))*p_facteur)</f>
        <v/>
      </c>
      <c r="AB453" s="14" t="str">
        <f aca="false">IF($D453&lt;&gt;1,"",MAX($J453,ROUNDUP(MAX($L453/$H453,$M453/$I453),0)))</f>
        <v/>
      </c>
      <c r="AC453" s="84" t="str">
        <f aca="false">IF($D453&lt;&gt;1,"",IF(p_mode="Nœud",$AB453*$K453,$L453*IF($G453="IKS",p_iks_cpu,p_roks_cpu)+$M453*IF($G453="IKS",p_iks_ram,p_roks_ram))*p_facteur)</f>
        <v/>
      </c>
      <c r="AD453" s="14" t="str">
        <f aca="false">IF($D453&lt;&gt;1,"",IF(AND($G453="IKS",$AI453&lt;&gt;1,OR($L453-$P453&lt;$N453,$M453-$Q453&lt;$O453)),1,0))</f>
        <v/>
      </c>
      <c r="AE453" s="14" t="str">
        <f aca="false">IF($D453&lt;&gt;1,"",IF(AND($G453="ROKS",$T453&gt;p_maxworkers),1,0))</f>
        <v/>
      </c>
      <c r="AF453" s="14" t="str">
        <f aca="false">IF($D453&lt;&gt;1,"",IF(INDEX(TblClusters[Environnement],$B453)="","(vide)",INDEX(TblClusters[Environnement],$B453)))</f>
        <v/>
      </c>
      <c r="AG453" s="14" t="str">
        <f aca="false">IF($D453&lt;&gt;1,"",$R453+p_poidsram*$S453)</f>
        <v/>
      </c>
      <c r="AH453" s="14" t="str">
        <f aca="false">IF($D453&lt;&gt;1,"",IFERROR($W453/$AG453,0))</f>
        <v/>
      </c>
      <c r="AI453" s="14" t="str">
        <f aca="false">IF($D453&lt;&gt;1,"",IF(AND($G453="IKS",ISNUMBER(INDEX(TblClusters[Fermeture retenue],$B453))),IF($E453&gt;=INDEX(TblClusters[Fermeture retenue],$B453),1,0),0))</f>
        <v/>
      </c>
    </row>
    <row r="454" customFormat="false" ht="15" hidden="false" customHeight="false" outlineLevel="0" collapsed="false">
      <c r="A454" s="14" t="n">
        <v>449</v>
      </c>
      <c r="B454" s="14" t="n">
        <f aca="false">INT(($A454-1)/36)+1</f>
        <v>13</v>
      </c>
      <c r="C454" s="14" t="n">
        <f aca="false">MOD($A454-1,36)+1</f>
        <v>17</v>
      </c>
      <c r="D454" s="14" t="n">
        <f aca="false">IF($C454&gt;p_horizon,0,IFERROR(IF(AND(INDEX(TblClusters[Cluster],$B454)&lt;&gt;"",ISNUMBER(INDEX(TblClusters[CPU initial (vCPU)],$B454)),ISNUMBER(INDEX(TblClusters[CPU min (vCPU)],$B454)),OR(INDEX(TblClusters[Plateforme],$B454)="IKS",INDEX(TblClusters[Plateforme],$B454)="ROKS")),1,0),0))</f>
        <v>0</v>
      </c>
      <c r="E454" s="83" t="str">
        <f aca="false">IF($D454=1,EDATE(p_debut,$C454-1),"")</f>
        <v/>
      </c>
      <c r="F454" s="14" t="str">
        <f aca="false">IF($D454=1,INDEX(TblClusters[Cluster],$B454),"")</f>
        <v/>
      </c>
      <c r="G454" s="14" t="str">
        <f aca="false">IF($D454=1,INDEX(TblClusters[Plateforme],$B454),"")</f>
        <v/>
      </c>
      <c r="H454" s="14" t="str">
        <f aca="false">IF($D454=1,INDEX(TblClusters[vCPU par nœud],$B454),"")</f>
        <v/>
      </c>
      <c r="I454" s="14" t="str">
        <f aca="false">IF($D454=1,INDEX(TblClusters[RAM par nœud (Go)],$B454),"")</f>
        <v/>
      </c>
      <c r="J454" s="14" t="str">
        <f aca="false">IF($D454=1,INDEX(TblClusters[Workers min],$B454),"")</f>
        <v/>
      </c>
      <c r="K454" s="84" t="str">
        <f aca="false">IF($D454=1,INDEX(TblClusters[Tarif par nœud],$B454),"")</f>
        <v/>
      </c>
      <c r="L454" s="14" t="str">
        <f aca="false">IF($D454=1,INDEX(TblClusters[CPU initial (vCPU)],$B454),"")</f>
        <v/>
      </c>
      <c r="M454" s="14" t="str">
        <f aca="false">IF($D454=1,INDEX(TblClusters[RAM initiale (Go)],$B454),"")</f>
        <v/>
      </c>
      <c r="N454" s="14" t="str">
        <f aca="false">IF($D454=1,INDEX(TblClusters[CPU min (vCPU)],$B454),"")</f>
        <v/>
      </c>
      <c r="O454" s="14" t="str">
        <f aca="false">IF($D454=1,INDEX(TblClusters[RAM min (Go)],$B454),"")</f>
        <v/>
      </c>
      <c r="P454" s="14" t="str">
        <f aca="false">IF($D454&lt;&gt;1,"",IF($G454="ROKS",SUMIFS(TblApplications[Besoin ROKS CPU (vCPU)],TblApplications[Cluster ROKS cible],$F454,TblApplications[Action],"À migrer",TblApplications[Déjà incluse ROKS],"Non",TblApplications[Mois prov (calc)],"&lt;="&amp;$E454),SUMIFS(TblApplications[CPU IKS libérable (vCPU)],TblApplications[Cluster IKS source],$F454,TblApplications[Mois lib (calc)],"&lt;="&amp;$E454)))</f>
        <v/>
      </c>
      <c r="Q454" s="14" t="str">
        <f aca="false">IF($D454&lt;&gt;1,"",IF($G454="ROKS",SUMIFS(TblApplications[Besoin ROKS RAM (Go)],TblApplications[Cluster ROKS cible],$F454,TblApplications[Action],"À migrer",TblApplications[Déjà incluse ROKS],"Non",TblApplications[Mois prov (calc)],"&lt;="&amp;$E454),SUMIFS(TblApplications[RAM IKS libérable (Go)],TblApplications[Cluster IKS source],$F454,TblApplications[Mois lib (calc)],"&lt;="&amp;$E454)))</f>
        <v/>
      </c>
      <c r="R454" s="14" t="str">
        <f aca="false">IF($D454&lt;&gt;1,"",IF($G454="ROKS",$L454+$P454,IF($AI454=1,0,MAX($N454,$L454-$P454))))</f>
        <v/>
      </c>
      <c r="S454" s="14" t="str">
        <f aca="false">IF($D454&lt;&gt;1,"",IF($G454="ROKS",$M454+$Q454,IF($AI454=1,0,MAX($O454,$M454-$Q454))))</f>
        <v/>
      </c>
      <c r="T454" s="14" t="str">
        <f aca="false">IF($D454&lt;&gt;1,"",IF($AI454=1,0,MAX($J454,ROUNDUP(MAX($R454/$H454,$S454/$I454),0))))</f>
        <v/>
      </c>
      <c r="U454" s="14" t="str">
        <f aca="false">IF($D454&lt;&gt;1,"",IF(p_mode="Nœud",$T454*$H454,$R454))</f>
        <v/>
      </c>
      <c r="V454" s="14" t="str">
        <f aca="false">IF($D454&lt;&gt;1,"",IF(p_mode="Nœud",$T454*$I454,$S454))</f>
        <v/>
      </c>
      <c r="W454" s="84" t="str">
        <f aca="false">IF($D454&lt;&gt;1,"",IF(p_mode="Nœud",$T454*$K454,$R454*IF($G454="IKS",p_iks_cpu,p_roks_cpu)+$S454*IF($G454="IKS",p_iks_ram,p_roks_ram))*p_facteur)</f>
        <v/>
      </c>
      <c r="X454" s="14" t="str">
        <f aca="false">IF($D454&lt;&gt;1,"",IF($G454="ROKS",$R454,IF($AI454=1,0,MAX($N454,$L454-SUMIFS(TblApplications[CPU IKS libérable (vCPU)],TblApplications[Cluster IKS source],$F454,TblApplications[Action],"À migrer",TblApplications[Mois prov (calc)],"&lt;="&amp;$E454)-SUMIFS(TblApplications[CPU IKS libérable (vCPU)],TblApplications[Cluster IKS source],$F454,TblApplications[Action],"À décommissionner",TblApplications[Mois lib (calc)],"&lt;="&amp;$E454)))))</f>
        <v/>
      </c>
      <c r="Y454" s="14" t="str">
        <f aca="false">IF($D454&lt;&gt;1,"",IF($G454="ROKS",$S454,IF($AI454=1,0,MAX($O454,$M454-SUMIFS(TblApplications[RAM IKS libérable (Go)],TblApplications[Cluster IKS source],$F454,TblApplications[Action],"À migrer",TblApplications[Mois prov (calc)],"&lt;="&amp;$E454)-SUMIFS(TblApplications[RAM IKS libérable (Go)],TblApplications[Cluster IKS source],$F454,TblApplications[Action],"À décommissionner",TblApplications[Mois lib (calc)],"&lt;="&amp;$E454)))))</f>
        <v/>
      </c>
      <c r="Z454" s="14" t="str">
        <f aca="false">IF($D454&lt;&gt;1,"",IF($AI454=1,0,MAX($J454,ROUNDUP(MAX($X454/$H454,$Y454/$I454),0))))</f>
        <v/>
      </c>
      <c r="AA454" s="84" t="str">
        <f aca="false">IF($D454&lt;&gt;1,"",IF(p_mode="Nœud",$Z454*$K454,$X454*IF($G454="IKS",p_iks_cpu,p_roks_cpu)+$Y454*IF($G454="IKS",p_iks_ram,p_roks_ram))*p_facteur)</f>
        <v/>
      </c>
      <c r="AB454" s="14" t="str">
        <f aca="false">IF($D454&lt;&gt;1,"",MAX($J454,ROUNDUP(MAX($L454/$H454,$M454/$I454),0)))</f>
        <v/>
      </c>
      <c r="AC454" s="84" t="str">
        <f aca="false">IF($D454&lt;&gt;1,"",IF(p_mode="Nœud",$AB454*$K454,$L454*IF($G454="IKS",p_iks_cpu,p_roks_cpu)+$M454*IF($G454="IKS",p_iks_ram,p_roks_ram))*p_facteur)</f>
        <v/>
      </c>
      <c r="AD454" s="14" t="str">
        <f aca="false">IF($D454&lt;&gt;1,"",IF(AND($G454="IKS",$AI454&lt;&gt;1,OR($L454-$P454&lt;$N454,$M454-$Q454&lt;$O454)),1,0))</f>
        <v/>
      </c>
      <c r="AE454" s="14" t="str">
        <f aca="false">IF($D454&lt;&gt;1,"",IF(AND($G454="ROKS",$T454&gt;p_maxworkers),1,0))</f>
        <v/>
      </c>
      <c r="AF454" s="14" t="str">
        <f aca="false">IF($D454&lt;&gt;1,"",IF(INDEX(TblClusters[Environnement],$B454)="","(vide)",INDEX(TblClusters[Environnement],$B454)))</f>
        <v/>
      </c>
      <c r="AG454" s="14" t="str">
        <f aca="false">IF($D454&lt;&gt;1,"",$R454+p_poidsram*$S454)</f>
        <v/>
      </c>
      <c r="AH454" s="14" t="str">
        <f aca="false">IF($D454&lt;&gt;1,"",IFERROR($W454/$AG454,0))</f>
        <v/>
      </c>
      <c r="AI454" s="14" t="str">
        <f aca="false">IF($D454&lt;&gt;1,"",IF(AND($G454="IKS",ISNUMBER(INDEX(TblClusters[Fermeture retenue],$B454))),IF($E454&gt;=INDEX(TblClusters[Fermeture retenue],$B454),1,0),0))</f>
        <v/>
      </c>
    </row>
    <row r="455" customFormat="false" ht="15" hidden="false" customHeight="false" outlineLevel="0" collapsed="false">
      <c r="A455" s="14" t="n">
        <v>450</v>
      </c>
      <c r="B455" s="14" t="n">
        <f aca="false">INT(($A455-1)/36)+1</f>
        <v>13</v>
      </c>
      <c r="C455" s="14" t="n">
        <f aca="false">MOD($A455-1,36)+1</f>
        <v>18</v>
      </c>
      <c r="D455" s="14" t="n">
        <f aca="false">IF($C455&gt;p_horizon,0,IFERROR(IF(AND(INDEX(TblClusters[Cluster],$B455)&lt;&gt;"",ISNUMBER(INDEX(TblClusters[CPU initial (vCPU)],$B455)),ISNUMBER(INDEX(TblClusters[CPU min (vCPU)],$B455)),OR(INDEX(TblClusters[Plateforme],$B455)="IKS",INDEX(TblClusters[Plateforme],$B455)="ROKS")),1,0),0))</f>
        <v>0</v>
      </c>
      <c r="E455" s="83" t="str">
        <f aca="false">IF($D455=1,EDATE(p_debut,$C455-1),"")</f>
        <v/>
      </c>
      <c r="F455" s="14" t="str">
        <f aca="false">IF($D455=1,INDEX(TblClusters[Cluster],$B455),"")</f>
        <v/>
      </c>
      <c r="G455" s="14" t="str">
        <f aca="false">IF($D455=1,INDEX(TblClusters[Plateforme],$B455),"")</f>
        <v/>
      </c>
      <c r="H455" s="14" t="str">
        <f aca="false">IF($D455=1,INDEX(TblClusters[vCPU par nœud],$B455),"")</f>
        <v/>
      </c>
      <c r="I455" s="14" t="str">
        <f aca="false">IF($D455=1,INDEX(TblClusters[RAM par nœud (Go)],$B455),"")</f>
        <v/>
      </c>
      <c r="J455" s="14" t="str">
        <f aca="false">IF($D455=1,INDEX(TblClusters[Workers min],$B455),"")</f>
        <v/>
      </c>
      <c r="K455" s="84" t="str">
        <f aca="false">IF($D455=1,INDEX(TblClusters[Tarif par nœud],$B455),"")</f>
        <v/>
      </c>
      <c r="L455" s="14" t="str">
        <f aca="false">IF($D455=1,INDEX(TblClusters[CPU initial (vCPU)],$B455),"")</f>
        <v/>
      </c>
      <c r="M455" s="14" t="str">
        <f aca="false">IF($D455=1,INDEX(TblClusters[RAM initiale (Go)],$B455),"")</f>
        <v/>
      </c>
      <c r="N455" s="14" t="str">
        <f aca="false">IF($D455=1,INDEX(TblClusters[CPU min (vCPU)],$B455),"")</f>
        <v/>
      </c>
      <c r="O455" s="14" t="str">
        <f aca="false">IF($D455=1,INDEX(TblClusters[RAM min (Go)],$B455),"")</f>
        <v/>
      </c>
      <c r="P455" s="14" t="str">
        <f aca="false">IF($D455&lt;&gt;1,"",IF($G455="ROKS",SUMIFS(TblApplications[Besoin ROKS CPU (vCPU)],TblApplications[Cluster ROKS cible],$F455,TblApplications[Action],"À migrer",TblApplications[Déjà incluse ROKS],"Non",TblApplications[Mois prov (calc)],"&lt;="&amp;$E455),SUMIFS(TblApplications[CPU IKS libérable (vCPU)],TblApplications[Cluster IKS source],$F455,TblApplications[Mois lib (calc)],"&lt;="&amp;$E455)))</f>
        <v/>
      </c>
      <c r="Q455" s="14" t="str">
        <f aca="false">IF($D455&lt;&gt;1,"",IF($G455="ROKS",SUMIFS(TblApplications[Besoin ROKS RAM (Go)],TblApplications[Cluster ROKS cible],$F455,TblApplications[Action],"À migrer",TblApplications[Déjà incluse ROKS],"Non",TblApplications[Mois prov (calc)],"&lt;="&amp;$E455),SUMIFS(TblApplications[RAM IKS libérable (Go)],TblApplications[Cluster IKS source],$F455,TblApplications[Mois lib (calc)],"&lt;="&amp;$E455)))</f>
        <v/>
      </c>
      <c r="R455" s="14" t="str">
        <f aca="false">IF($D455&lt;&gt;1,"",IF($G455="ROKS",$L455+$P455,IF($AI455=1,0,MAX($N455,$L455-$P455))))</f>
        <v/>
      </c>
      <c r="S455" s="14" t="str">
        <f aca="false">IF($D455&lt;&gt;1,"",IF($G455="ROKS",$M455+$Q455,IF($AI455=1,0,MAX($O455,$M455-$Q455))))</f>
        <v/>
      </c>
      <c r="T455" s="14" t="str">
        <f aca="false">IF($D455&lt;&gt;1,"",IF($AI455=1,0,MAX($J455,ROUNDUP(MAX($R455/$H455,$S455/$I455),0))))</f>
        <v/>
      </c>
      <c r="U455" s="14" t="str">
        <f aca="false">IF($D455&lt;&gt;1,"",IF(p_mode="Nœud",$T455*$H455,$R455))</f>
        <v/>
      </c>
      <c r="V455" s="14" t="str">
        <f aca="false">IF($D455&lt;&gt;1,"",IF(p_mode="Nœud",$T455*$I455,$S455))</f>
        <v/>
      </c>
      <c r="W455" s="84" t="str">
        <f aca="false">IF($D455&lt;&gt;1,"",IF(p_mode="Nœud",$T455*$K455,$R455*IF($G455="IKS",p_iks_cpu,p_roks_cpu)+$S455*IF($G455="IKS",p_iks_ram,p_roks_ram))*p_facteur)</f>
        <v/>
      </c>
      <c r="X455" s="14" t="str">
        <f aca="false">IF($D455&lt;&gt;1,"",IF($G455="ROKS",$R455,IF($AI455=1,0,MAX($N455,$L455-SUMIFS(TblApplications[CPU IKS libérable (vCPU)],TblApplications[Cluster IKS source],$F455,TblApplications[Action],"À migrer",TblApplications[Mois prov (calc)],"&lt;="&amp;$E455)-SUMIFS(TblApplications[CPU IKS libérable (vCPU)],TblApplications[Cluster IKS source],$F455,TblApplications[Action],"À décommissionner",TblApplications[Mois lib (calc)],"&lt;="&amp;$E455)))))</f>
        <v/>
      </c>
      <c r="Y455" s="14" t="str">
        <f aca="false">IF($D455&lt;&gt;1,"",IF($G455="ROKS",$S455,IF($AI455=1,0,MAX($O455,$M455-SUMIFS(TblApplications[RAM IKS libérable (Go)],TblApplications[Cluster IKS source],$F455,TblApplications[Action],"À migrer",TblApplications[Mois prov (calc)],"&lt;="&amp;$E455)-SUMIFS(TblApplications[RAM IKS libérable (Go)],TblApplications[Cluster IKS source],$F455,TblApplications[Action],"À décommissionner",TblApplications[Mois lib (calc)],"&lt;="&amp;$E455)))))</f>
        <v/>
      </c>
      <c r="Z455" s="14" t="str">
        <f aca="false">IF($D455&lt;&gt;1,"",IF($AI455=1,0,MAX($J455,ROUNDUP(MAX($X455/$H455,$Y455/$I455),0))))</f>
        <v/>
      </c>
      <c r="AA455" s="84" t="str">
        <f aca="false">IF($D455&lt;&gt;1,"",IF(p_mode="Nœud",$Z455*$K455,$X455*IF($G455="IKS",p_iks_cpu,p_roks_cpu)+$Y455*IF($G455="IKS",p_iks_ram,p_roks_ram))*p_facteur)</f>
        <v/>
      </c>
      <c r="AB455" s="14" t="str">
        <f aca="false">IF($D455&lt;&gt;1,"",MAX($J455,ROUNDUP(MAX($L455/$H455,$M455/$I455),0)))</f>
        <v/>
      </c>
      <c r="AC455" s="84" t="str">
        <f aca="false">IF($D455&lt;&gt;1,"",IF(p_mode="Nœud",$AB455*$K455,$L455*IF($G455="IKS",p_iks_cpu,p_roks_cpu)+$M455*IF($G455="IKS",p_iks_ram,p_roks_ram))*p_facteur)</f>
        <v/>
      </c>
      <c r="AD455" s="14" t="str">
        <f aca="false">IF($D455&lt;&gt;1,"",IF(AND($G455="IKS",$AI455&lt;&gt;1,OR($L455-$P455&lt;$N455,$M455-$Q455&lt;$O455)),1,0))</f>
        <v/>
      </c>
      <c r="AE455" s="14" t="str">
        <f aca="false">IF($D455&lt;&gt;1,"",IF(AND($G455="ROKS",$T455&gt;p_maxworkers),1,0))</f>
        <v/>
      </c>
      <c r="AF455" s="14" t="str">
        <f aca="false">IF($D455&lt;&gt;1,"",IF(INDEX(TblClusters[Environnement],$B455)="","(vide)",INDEX(TblClusters[Environnement],$B455)))</f>
        <v/>
      </c>
      <c r="AG455" s="14" t="str">
        <f aca="false">IF($D455&lt;&gt;1,"",$R455+p_poidsram*$S455)</f>
        <v/>
      </c>
      <c r="AH455" s="14" t="str">
        <f aca="false">IF($D455&lt;&gt;1,"",IFERROR($W455/$AG455,0))</f>
        <v/>
      </c>
      <c r="AI455" s="14" t="str">
        <f aca="false">IF($D455&lt;&gt;1,"",IF(AND($G455="IKS",ISNUMBER(INDEX(TblClusters[Fermeture retenue],$B455))),IF($E455&gt;=INDEX(TblClusters[Fermeture retenue],$B455),1,0),0))</f>
        <v/>
      </c>
    </row>
    <row r="456" customFormat="false" ht="15" hidden="false" customHeight="false" outlineLevel="0" collapsed="false">
      <c r="A456" s="14" t="n">
        <v>451</v>
      </c>
      <c r="B456" s="14" t="n">
        <f aca="false">INT(($A456-1)/36)+1</f>
        <v>13</v>
      </c>
      <c r="C456" s="14" t="n">
        <f aca="false">MOD($A456-1,36)+1</f>
        <v>19</v>
      </c>
      <c r="D456" s="14" t="n">
        <f aca="false">IF($C456&gt;p_horizon,0,IFERROR(IF(AND(INDEX(TblClusters[Cluster],$B456)&lt;&gt;"",ISNUMBER(INDEX(TblClusters[CPU initial (vCPU)],$B456)),ISNUMBER(INDEX(TblClusters[CPU min (vCPU)],$B456)),OR(INDEX(TblClusters[Plateforme],$B456)="IKS",INDEX(TblClusters[Plateforme],$B456)="ROKS")),1,0),0))</f>
        <v>0</v>
      </c>
      <c r="E456" s="83" t="str">
        <f aca="false">IF($D456=1,EDATE(p_debut,$C456-1),"")</f>
        <v/>
      </c>
      <c r="F456" s="14" t="str">
        <f aca="false">IF($D456=1,INDEX(TblClusters[Cluster],$B456),"")</f>
        <v/>
      </c>
      <c r="G456" s="14" t="str">
        <f aca="false">IF($D456=1,INDEX(TblClusters[Plateforme],$B456),"")</f>
        <v/>
      </c>
      <c r="H456" s="14" t="str">
        <f aca="false">IF($D456=1,INDEX(TblClusters[vCPU par nœud],$B456),"")</f>
        <v/>
      </c>
      <c r="I456" s="14" t="str">
        <f aca="false">IF($D456=1,INDEX(TblClusters[RAM par nœud (Go)],$B456),"")</f>
        <v/>
      </c>
      <c r="J456" s="14" t="str">
        <f aca="false">IF($D456=1,INDEX(TblClusters[Workers min],$B456),"")</f>
        <v/>
      </c>
      <c r="K456" s="84" t="str">
        <f aca="false">IF($D456=1,INDEX(TblClusters[Tarif par nœud],$B456),"")</f>
        <v/>
      </c>
      <c r="L456" s="14" t="str">
        <f aca="false">IF($D456=1,INDEX(TblClusters[CPU initial (vCPU)],$B456),"")</f>
        <v/>
      </c>
      <c r="M456" s="14" t="str">
        <f aca="false">IF($D456=1,INDEX(TblClusters[RAM initiale (Go)],$B456),"")</f>
        <v/>
      </c>
      <c r="N456" s="14" t="str">
        <f aca="false">IF($D456=1,INDEX(TblClusters[CPU min (vCPU)],$B456),"")</f>
        <v/>
      </c>
      <c r="O456" s="14" t="str">
        <f aca="false">IF($D456=1,INDEX(TblClusters[RAM min (Go)],$B456),"")</f>
        <v/>
      </c>
      <c r="P456" s="14" t="str">
        <f aca="false">IF($D456&lt;&gt;1,"",IF($G456="ROKS",SUMIFS(TblApplications[Besoin ROKS CPU (vCPU)],TblApplications[Cluster ROKS cible],$F456,TblApplications[Action],"À migrer",TblApplications[Déjà incluse ROKS],"Non",TblApplications[Mois prov (calc)],"&lt;="&amp;$E456),SUMIFS(TblApplications[CPU IKS libérable (vCPU)],TblApplications[Cluster IKS source],$F456,TblApplications[Mois lib (calc)],"&lt;="&amp;$E456)))</f>
        <v/>
      </c>
      <c r="Q456" s="14" t="str">
        <f aca="false">IF($D456&lt;&gt;1,"",IF($G456="ROKS",SUMIFS(TblApplications[Besoin ROKS RAM (Go)],TblApplications[Cluster ROKS cible],$F456,TblApplications[Action],"À migrer",TblApplications[Déjà incluse ROKS],"Non",TblApplications[Mois prov (calc)],"&lt;="&amp;$E456),SUMIFS(TblApplications[RAM IKS libérable (Go)],TblApplications[Cluster IKS source],$F456,TblApplications[Mois lib (calc)],"&lt;="&amp;$E456)))</f>
        <v/>
      </c>
      <c r="R456" s="14" t="str">
        <f aca="false">IF($D456&lt;&gt;1,"",IF($G456="ROKS",$L456+$P456,IF($AI456=1,0,MAX($N456,$L456-$P456))))</f>
        <v/>
      </c>
      <c r="S456" s="14" t="str">
        <f aca="false">IF($D456&lt;&gt;1,"",IF($G456="ROKS",$M456+$Q456,IF($AI456=1,0,MAX($O456,$M456-$Q456))))</f>
        <v/>
      </c>
      <c r="T456" s="14" t="str">
        <f aca="false">IF($D456&lt;&gt;1,"",IF($AI456=1,0,MAX($J456,ROUNDUP(MAX($R456/$H456,$S456/$I456),0))))</f>
        <v/>
      </c>
      <c r="U456" s="14" t="str">
        <f aca="false">IF($D456&lt;&gt;1,"",IF(p_mode="Nœud",$T456*$H456,$R456))</f>
        <v/>
      </c>
      <c r="V456" s="14" t="str">
        <f aca="false">IF($D456&lt;&gt;1,"",IF(p_mode="Nœud",$T456*$I456,$S456))</f>
        <v/>
      </c>
      <c r="W456" s="84" t="str">
        <f aca="false">IF($D456&lt;&gt;1,"",IF(p_mode="Nœud",$T456*$K456,$R456*IF($G456="IKS",p_iks_cpu,p_roks_cpu)+$S456*IF($G456="IKS",p_iks_ram,p_roks_ram))*p_facteur)</f>
        <v/>
      </c>
      <c r="X456" s="14" t="str">
        <f aca="false">IF($D456&lt;&gt;1,"",IF($G456="ROKS",$R456,IF($AI456=1,0,MAX($N456,$L456-SUMIFS(TblApplications[CPU IKS libérable (vCPU)],TblApplications[Cluster IKS source],$F456,TblApplications[Action],"À migrer",TblApplications[Mois prov (calc)],"&lt;="&amp;$E456)-SUMIFS(TblApplications[CPU IKS libérable (vCPU)],TblApplications[Cluster IKS source],$F456,TblApplications[Action],"À décommissionner",TblApplications[Mois lib (calc)],"&lt;="&amp;$E456)))))</f>
        <v/>
      </c>
      <c r="Y456" s="14" t="str">
        <f aca="false">IF($D456&lt;&gt;1,"",IF($G456="ROKS",$S456,IF($AI456=1,0,MAX($O456,$M456-SUMIFS(TblApplications[RAM IKS libérable (Go)],TblApplications[Cluster IKS source],$F456,TblApplications[Action],"À migrer",TblApplications[Mois prov (calc)],"&lt;="&amp;$E456)-SUMIFS(TblApplications[RAM IKS libérable (Go)],TblApplications[Cluster IKS source],$F456,TblApplications[Action],"À décommissionner",TblApplications[Mois lib (calc)],"&lt;="&amp;$E456)))))</f>
        <v/>
      </c>
      <c r="Z456" s="14" t="str">
        <f aca="false">IF($D456&lt;&gt;1,"",IF($AI456=1,0,MAX($J456,ROUNDUP(MAX($X456/$H456,$Y456/$I456),0))))</f>
        <v/>
      </c>
      <c r="AA456" s="84" t="str">
        <f aca="false">IF($D456&lt;&gt;1,"",IF(p_mode="Nœud",$Z456*$K456,$X456*IF($G456="IKS",p_iks_cpu,p_roks_cpu)+$Y456*IF($G456="IKS",p_iks_ram,p_roks_ram))*p_facteur)</f>
        <v/>
      </c>
      <c r="AB456" s="14" t="str">
        <f aca="false">IF($D456&lt;&gt;1,"",MAX($J456,ROUNDUP(MAX($L456/$H456,$M456/$I456),0)))</f>
        <v/>
      </c>
      <c r="AC456" s="84" t="str">
        <f aca="false">IF($D456&lt;&gt;1,"",IF(p_mode="Nœud",$AB456*$K456,$L456*IF($G456="IKS",p_iks_cpu,p_roks_cpu)+$M456*IF($G456="IKS",p_iks_ram,p_roks_ram))*p_facteur)</f>
        <v/>
      </c>
      <c r="AD456" s="14" t="str">
        <f aca="false">IF($D456&lt;&gt;1,"",IF(AND($G456="IKS",$AI456&lt;&gt;1,OR($L456-$P456&lt;$N456,$M456-$Q456&lt;$O456)),1,0))</f>
        <v/>
      </c>
      <c r="AE456" s="14" t="str">
        <f aca="false">IF($D456&lt;&gt;1,"",IF(AND($G456="ROKS",$T456&gt;p_maxworkers),1,0))</f>
        <v/>
      </c>
      <c r="AF456" s="14" t="str">
        <f aca="false">IF($D456&lt;&gt;1,"",IF(INDEX(TblClusters[Environnement],$B456)="","(vide)",INDEX(TblClusters[Environnement],$B456)))</f>
        <v/>
      </c>
      <c r="AG456" s="14" t="str">
        <f aca="false">IF($D456&lt;&gt;1,"",$R456+p_poidsram*$S456)</f>
        <v/>
      </c>
      <c r="AH456" s="14" t="str">
        <f aca="false">IF($D456&lt;&gt;1,"",IFERROR($W456/$AG456,0))</f>
        <v/>
      </c>
      <c r="AI456" s="14" t="str">
        <f aca="false">IF($D456&lt;&gt;1,"",IF(AND($G456="IKS",ISNUMBER(INDEX(TblClusters[Fermeture retenue],$B456))),IF($E456&gt;=INDEX(TblClusters[Fermeture retenue],$B456),1,0),0))</f>
        <v/>
      </c>
    </row>
    <row r="457" customFormat="false" ht="15" hidden="false" customHeight="false" outlineLevel="0" collapsed="false">
      <c r="A457" s="14" t="n">
        <v>452</v>
      </c>
      <c r="B457" s="14" t="n">
        <f aca="false">INT(($A457-1)/36)+1</f>
        <v>13</v>
      </c>
      <c r="C457" s="14" t="n">
        <f aca="false">MOD($A457-1,36)+1</f>
        <v>20</v>
      </c>
      <c r="D457" s="14" t="n">
        <f aca="false">IF($C457&gt;p_horizon,0,IFERROR(IF(AND(INDEX(TblClusters[Cluster],$B457)&lt;&gt;"",ISNUMBER(INDEX(TblClusters[CPU initial (vCPU)],$B457)),ISNUMBER(INDEX(TblClusters[CPU min (vCPU)],$B457)),OR(INDEX(TblClusters[Plateforme],$B457)="IKS",INDEX(TblClusters[Plateforme],$B457)="ROKS")),1,0),0))</f>
        <v>0</v>
      </c>
      <c r="E457" s="83" t="str">
        <f aca="false">IF($D457=1,EDATE(p_debut,$C457-1),"")</f>
        <v/>
      </c>
      <c r="F457" s="14" t="str">
        <f aca="false">IF($D457=1,INDEX(TblClusters[Cluster],$B457),"")</f>
        <v/>
      </c>
      <c r="G457" s="14" t="str">
        <f aca="false">IF($D457=1,INDEX(TblClusters[Plateforme],$B457),"")</f>
        <v/>
      </c>
      <c r="H457" s="14" t="str">
        <f aca="false">IF($D457=1,INDEX(TblClusters[vCPU par nœud],$B457),"")</f>
        <v/>
      </c>
      <c r="I457" s="14" t="str">
        <f aca="false">IF($D457=1,INDEX(TblClusters[RAM par nœud (Go)],$B457),"")</f>
        <v/>
      </c>
      <c r="J457" s="14" t="str">
        <f aca="false">IF($D457=1,INDEX(TblClusters[Workers min],$B457),"")</f>
        <v/>
      </c>
      <c r="K457" s="84" t="str">
        <f aca="false">IF($D457=1,INDEX(TblClusters[Tarif par nœud],$B457),"")</f>
        <v/>
      </c>
      <c r="L457" s="14" t="str">
        <f aca="false">IF($D457=1,INDEX(TblClusters[CPU initial (vCPU)],$B457),"")</f>
        <v/>
      </c>
      <c r="M457" s="14" t="str">
        <f aca="false">IF($D457=1,INDEX(TblClusters[RAM initiale (Go)],$B457),"")</f>
        <v/>
      </c>
      <c r="N457" s="14" t="str">
        <f aca="false">IF($D457=1,INDEX(TblClusters[CPU min (vCPU)],$B457),"")</f>
        <v/>
      </c>
      <c r="O457" s="14" t="str">
        <f aca="false">IF($D457=1,INDEX(TblClusters[RAM min (Go)],$B457),"")</f>
        <v/>
      </c>
      <c r="P457" s="14" t="str">
        <f aca="false">IF($D457&lt;&gt;1,"",IF($G457="ROKS",SUMIFS(TblApplications[Besoin ROKS CPU (vCPU)],TblApplications[Cluster ROKS cible],$F457,TblApplications[Action],"À migrer",TblApplications[Déjà incluse ROKS],"Non",TblApplications[Mois prov (calc)],"&lt;="&amp;$E457),SUMIFS(TblApplications[CPU IKS libérable (vCPU)],TblApplications[Cluster IKS source],$F457,TblApplications[Mois lib (calc)],"&lt;="&amp;$E457)))</f>
        <v/>
      </c>
      <c r="Q457" s="14" t="str">
        <f aca="false">IF($D457&lt;&gt;1,"",IF($G457="ROKS",SUMIFS(TblApplications[Besoin ROKS RAM (Go)],TblApplications[Cluster ROKS cible],$F457,TblApplications[Action],"À migrer",TblApplications[Déjà incluse ROKS],"Non",TblApplications[Mois prov (calc)],"&lt;="&amp;$E457),SUMIFS(TblApplications[RAM IKS libérable (Go)],TblApplications[Cluster IKS source],$F457,TblApplications[Mois lib (calc)],"&lt;="&amp;$E457)))</f>
        <v/>
      </c>
      <c r="R457" s="14" t="str">
        <f aca="false">IF($D457&lt;&gt;1,"",IF($G457="ROKS",$L457+$P457,IF($AI457=1,0,MAX($N457,$L457-$P457))))</f>
        <v/>
      </c>
      <c r="S457" s="14" t="str">
        <f aca="false">IF($D457&lt;&gt;1,"",IF($G457="ROKS",$M457+$Q457,IF($AI457=1,0,MAX($O457,$M457-$Q457))))</f>
        <v/>
      </c>
      <c r="T457" s="14" t="str">
        <f aca="false">IF($D457&lt;&gt;1,"",IF($AI457=1,0,MAX($J457,ROUNDUP(MAX($R457/$H457,$S457/$I457),0))))</f>
        <v/>
      </c>
      <c r="U457" s="14" t="str">
        <f aca="false">IF($D457&lt;&gt;1,"",IF(p_mode="Nœud",$T457*$H457,$R457))</f>
        <v/>
      </c>
      <c r="V457" s="14" t="str">
        <f aca="false">IF($D457&lt;&gt;1,"",IF(p_mode="Nœud",$T457*$I457,$S457))</f>
        <v/>
      </c>
      <c r="W457" s="84" t="str">
        <f aca="false">IF($D457&lt;&gt;1,"",IF(p_mode="Nœud",$T457*$K457,$R457*IF($G457="IKS",p_iks_cpu,p_roks_cpu)+$S457*IF($G457="IKS",p_iks_ram,p_roks_ram))*p_facteur)</f>
        <v/>
      </c>
      <c r="X457" s="14" t="str">
        <f aca="false">IF($D457&lt;&gt;1,"",IF($G457="ROKS",$R457,IF($AI457=1,0,MAX($N457,$L457-SUMIFS(TblApplications[CPU IKS libérable (vCPU)],TblApplications[Cluster IKS source],$F457,TblApplications[Action],"À migrer",TblApplications[Mois prov (calc)],"&lt;="&amp;$E457)-SUMIFS(TblApplications[CPU IKS libérable (vCPU)],TblApplications[Cluster IKS source],$F457,TblApplications[Action],"À décommissionner",TblApplications[Mois lib (calc)],"&lt;="&amp;$E457)))))</f>
        <v/>
      </c>
      <c r="Y457" s="14" t="str">
        <f aca="false">IF($D457&lt;&gt;1,"",IF($G457="ROKS",$S457,IF($AI457=1,0,MAX($O457,$M457-SUMIFS(TblApplications[RAM IKS libérable (Go)],TblApplications[Cluster IKS source],$F457,TblApplications[Action],"À migrer",TblApplications[Mois prov (calc)],"&lt;="&amp;$E457)-SUMIFS(TblApplications[RAM IKS libérable (Go)],TblApplications[Cluster IKS source],$F457,TblApplications[Action],"À décommissionner",TblApplications[Mois lib (calc)],"&lt;="&amp;$E457)))))</f>
        <v/>
      </c>
      <c r="Z457" s="14" t="str">
        <f aca="false">IF($D457&lt;&gt;1,"",IF($AI457=1,0,MAX($J457,ROUNDUP(MAX($X457/$H457,$Y457/$I457),0))))</f>
        <v/>
      </c>
      <c r="AA457" s="84" t="str">
        <f aca="false">IF($D457&lt;&gt;1,"",IF(p_mode="Nœud",$Z457*$K457,$X457*IF($G457="IKS",p_iks_cpu,p_roks_cpu)+$Y457*IF($G457="IKS",p_iks_ram,p_roks_ram))*p_facteur)</f>
        <v/>
      </c>
      <c r="AB457" s="14" t="str">
        <f aca="false">IF($D457&lt;&gt;1,"",MAX($J457,ROUNDUP(MAX($L457/$H457,$M457/$I457),0)))</f>
        <v/>
      </c>
      <c r="AC457" s="84" t="str">
        <f aca="false">IF($D457&lt;&gt;1,"",IF(p_mode="Nœud",$AB457*$K457,$L457*IF($G457="IKS",p_iks_cpu,p_roks_cpu)+$M457*IF($G457="IKS",p_iks_ram,p_roks_ram))*p_facteur)</f>
        <v/>
      </c>
      <c r="AD457" s="14" t="str">
        <f aca="false">IF($D457&lt;&gt;1,"",IF(AND($G457="IKS",$AI457&lt;&gt;1,OR($L457-$P457&lt;$N457,$M457-$Q457&lt;$O457)),1,0))</f>
        <v/>
      </c>
      <c r="AE457" s="14" t="str">
        <f aca="false">IF($D457&lt;&gt;1,"",IF(AND($G457="ROKS",$T457&gt;p_maxworkers),1,0))</f>
        <v/>
      </c>
      <c r="AF457" s="14" t="str">
        <f aca="false">IF($D457&lt;&gt;1,"",IF(INDEX(TblClusters[Environnement],$B457)="","(vide)",INDEX(TblClusters[Environnement],$B457)))</f>
        <v/>
      </c>
      <c r="AG457" s="14" t="str">
        <f aca="false">IF($D457&lt;&gt;1,"",$R457+p_poidsram*$S457)</f>
        <v/>
      </c>
      <c r="AH457" s="14" t="str">
        <f aca="false">IF($D457&lt;&gt;1,"",IFERROR($W457/$AG457,0))</f>
        <v/>
      </c>
      <c r="AI457" s="14" t="str">
        <f aca="false">IF($D457&lt;&gt;1,"",IF(AND($G457="IKS",ISNUMBER(INDEX(TblClusters[Fermeture retenue],$B457))),IF($E457&gt;=INDEX(TblClusters[Fermeture retenue],$B457),1,0),0))</f>
        <v/>
      </c>
    </row>
    <row r="458" customFormat="false" ht="15" hidden="false" customHeight="false" outlineLevel="0" collapsed="false">
      <c r="A458" s="14" t="n">
        <v>453</v>
      </c>
      <c r="B458" s="14" t="n">
        <f aca="false">INT(($A458-1)/36)+1</f>
        <v>13</v>
      </c>
      <c r="C458" s="14" t="n">
        <f aca="false">MOD($A458-1,36)+1</f>
        <v>21</v>
      </c>
      <c r="D458" s="14" t="n">
        <f aca="false">IF($C458&gt;p_horizon,0,IFERROR(IF(AND(INDEX(TblClusters[Cluster],$B458)&lt;&gt;"",ISNUMBER(INDEX(TblClusters[CPU initial (vCPU)],$B458)),ISNUMBER(INDEX(TblClusters[CPU min (vCPU)],$B458)),OR(INDEX(TblClusters[Plateforme],$B458)="IKS",INDEX(TblClusters[Plateforme],$B458)="ROKS")),1,0),0))</f>
        <v>0</v>
      </c>
      <c r="E458" s="83" t="str">
        <f aca="false">IF($D458=1,EDATE(p_debut,$C458-1),"")</f>
        <v/>
      </c>
      <c r="F458" s="14" t="str">
        <f aca="false">IF($D458=1,INDEX(TblClusters[Cluster],$B458),"")</f>
        <v/>
      </c>
      <c r="G458" s="14" t="str">
        <f aca="false">IF($D458=1,INDEX(TblClusters[Plateforme],$B458),"")</f>
        <v/>
      </c>
      <c r="H458" s="14" t="str">
        <f aca="false">IF($D458=1,INDEX(TblClusters[vCPU par nœud],$B458),"")</f>
        <v/>
      </c>
      <c r="I458" s="14" t="str">
        <f aca="false">IF($D458=1,INDEX(TblClusters[RAM par nœud (Go)],$B458),"")</f>
        <v/>
      </c>
      <c r="J458" s="14" t="str">
        <f aca="false">IF($D458=1,INDEX(TblClusters[Workers min],$B458),"")</f>
        <v/>
      </c>
      <c r="K458" s="84" t="str">
        <f aca="false">IF($D458=1,INDEX(TblClusters[Tarif par nœud],$B458),"")</f>
        <v/>
      </c>
      <c r="L458" s="14" t="str">
        <f aca="false">IF($D458=1,INDEX(TblClusters[CPU initial (vCPU)],$B458),"")</f>
        <v/>
      </c>
      <c r="M458" s="14" t="str">
        <f aca="false">IF($D458=1,INDEX(TblClusters[RAM initiale (Go)],$B458),"")</f>
        <v/>
      </c>
      <c r="N458" s="14" t="str">
        <f aca="false">IF($D458=1,INDEX(TblClusters[CPU min (vCPU)],$B458),"")</f>
        <v/>
      </c>
      <c r="O458" s="14" t="str">
        <f aca="false">IF($D458=1,INDEX(TblClusters[RAM min (Go)],$B458),"")</f>
        <v/>
      </c>
      <c r="P458" s="14" t="str">
        <f aca="false">IF($D458&lt;&gt;1,"",IF($G458="ROKS",SUMIFS(TblApplications[Besoin ROKS CPU (vCPU)],TblApplications[Cluster ROKS cible],$F458,TblApplications[Action],"À migrer",TblApplications[Déjà incluse ROKS],"Non",TblApplications[Mois prov (calc)],"&lt;="&amp;$E458),SUMIFS(TblApplications[CPU IKS libérable (vCPU)],TblApplications[Cluster IKS source],$F458,TblApplications[Mois lib (calc)],"&lt;="&amp;$E458)))</f>
        <v/>
      </c>
      <c r="Q458" s="14" t="str">
        <f aca="false">IF($D458&lt;&gt;1,"",IF($G458="ROKS",SUMIFS(TblApplications[Besoin ROKS RAM (Go)],TblApplications[Cluster ROKS cible],$F458,TblApplications[Action],"À migrer",TblApplications[Déjà incluse ROKS],"Non",TblApplications[Mois prov (calc)],"&lt;="&amp;$E458),SUMIFS(TblApplications[RAM IKS libérable (Go)],TblApplications[Cluster IKS source],$F458,TblApplications[Mois lib (calc)],"&lt;="&amp;$E458)))</f>
        <v/>
      </c>
      <c r="R458" s="14" t="str">
        <f aca="false">IF($D458&lt;&gt;1,"",IF($G458="ROKS",$L458+$P458,IF($AI458=1,0,MAX($N458,$L458-$P458))))</f>
        <v/>
      </c>
      <c r="S458" s="14" t="str">
        <f aca="false">IF($D458&lt;&gt;1,"",IF($G458="ROKS",$M458+$Q458,IF($AI458=1,0,MAX($O458,$M458-$Q458))))</f>
        <v/>
      </c>
      <c r="T458" s="14" t="str">
        <f aca="false">IF($D458&lt;&gt;1,"",IF($AI458=1,0,MAX($J458,ROUNDUP(MAX($R458/$H458,$S458/$I458),0))))</f>
        <v/>
      </c>
      <c r="U458" s="14" t="str">
        <f aca="false">IF($D458&lt;&gt;1,"",IF(p_mode="Nœud",$T458*$H458,$R458))</f>
        <v/>
      </c>
      <c r="V458" s="14" t="str">
        <f aca="false">IF($D458&lt;&gt;1,"",IF(p_mode="Nœud",$T458*$I458,$S458))</f>
        <v/>
      </c>
      <c r="W458" s="84" t="str">
        <f aca="false">IF($D458&lt;&gt;1,"",IF(p_mode="Nœud",$T458*$K458,$R458*IF($G458="IKS",p_iks_cpu,p_roks_cpu)+$S458*IF($G458="IKS",p_iks_ram,p_roks_ram))*p_facteur)</f>
        <v/>
      </c>
      <c r="X458" s="14" t="str">
        <f aca="false">IF($D458&lt;&gt;1,"",IF($G458="ROKS",$R458,IF($AI458=1,0,MAX($N458,$L458-SUMIFS(TblApplications[CPU IKS libérable (vCPU)],TblApplications[Cluster IKS source],$F458,TblApplications[Action],"À migrer",TblApplications[Mois prov (calc)],"&lt;="&amp;$E458)-SUMIFS(TblApplications[CPU IKS libérable (vCPU)],TblApplications[Cluster IKS source],$F458,TblApplications[Action],"À décommissionner",TblApplications[Mois lib (calc)],"&lt;="&amp;$E458)))))</f>
        <v/>
      </c>
      <c r="Y458" s="14" t="str">
        <f aca="false">IF($D458&lt;&gt;1,"",IF($G458="ROKS",$S458,IF($AI458=1,0,MAX($O458,$M458-SUMIFS(TblApplications[RAM IKS libérable (Go)],TblApplications[Cluster IKS source],$F458,TblApplications[Action],"À migrer",TblApplications[Mois prov (calc)],"&lt;="&amp;$E458)-SUMIFS(TblApplications[RAM IKS libérable (Go)],TblApplications[Cluster IKS source],$F458,TblApplications[Action],"À décommissionner",TblApplications[Mois lib (calc)],"&lt;="&amp;$E458)))))</f>
        <v/>
      </c>
      <c r="Z458" s="14" t="str">
        <f aca="false">IF($D458&lt;&gt;1,"",IF($AI458=1,0,MAX($J458,ROUNDUP(MAX($X458/$H458,$Y458/$I458),0))))</f>
        <v/>
      </c>
      <c r="AA458" s="84" t="str">
        <f aca="false">IF($D458&lt;&gt;1,"",IF(p_mode="Nœud",$Z458*$K458,$X458*IF($G458="IKS",p_iks_cpu,p_roks_cpu)+$Y458*IF($G458="IKS",p_iks_ram,p_roks_ram))*p_facteur)</f>
        <v/>
      </c>
      <c r="AB458" s="14" t="str">
        <f aca="false">IF($D458&lt;&gt;1,"",MAX($J458,ROUNDUP(MAX($L458/$H458,$M458/$I458),0)))</f>
        <v/>
      </c>
      <c r="AC458" s="84" t="str">
        <f aca="false">IF($D458&lt;&gt;1,"",IF(p_mode="Nœud",$AB458*$K458,$L458*IF($G458="IKS",p_iks_cpu,p_roks_cpu)+$M458*IF($G458="IKS",p_iks_ram,p_roks_ram))*p_facteur)</f>
        <v/>
      </c>
      <c r="AD458" s="14" t="str">
        <f aca="false">IF($D458&lt;&gt;1,"",IF(AND($G458="IKS",$AI458&lt;&gt;1,OR($L458-$P458&lt;$N458,$M458-$Q458&lt;$O458)),1,0))</f>
        <v/>
      </c>
      <c r="AE458" s="14" t="str">
        <f aca="false">IF($D458&lt;&gt;1,"",IF(AND($G458="ROKS",$T458&gt;p_maxworkers),1,0))</f>
        <v/>
      </c>
      <c r="AF458" s="14" t="str">
        <f aca="false">IF($D458&lt;&gt;1,"",IF(INDEX(TblClusters[Environnement],$B458)="","(vide)",INDEX(TblClusters[Environnement],$B458)))</f>
        <v/>
      </c>
      <c r="AG458" s="14" t="str">
        <f aca="false">IF($D458&lt;&gt;1,"",$R458+p_poidsram*$S458)</f>
        <v/>
      </c>
      <c r="AH458" s="14" t="str">
        <f aca="false">IF($D458&lt;&gt;1,"",IFERROR($W458/$AG458,0))</f>
        <v/>
      </c>
      <c r="AI458" s="14" t="str">
        <f aca="false">IF($D458&lt;&gt;1,"",IF(AND($G458="IKS",ISNUMBER(INDEX(TblClusters[Fermeture retenue],$B458))),IF($E458&gt;=INDEX(TblClusters[Fermeture retenue],$B458),1,0),0))</f>
        <v/>
      </c>
    </row>
    <row r="459" customFormat="false" ht="15" hidden="false" customHeight="false" outlineLevel="0" collapsed="false">
      <c r="A459" s="14" t="n">
        <v>454</v>
      </c>
      <c r="B459" s="14" t="n">
        <f aca="false">INT(($A459-1)/36)+1</f>
        <v>13</v>
      </c>
      <c r="C459" s="14" t="n">
        <f aca="false">MOD($A459-1,36)+1</f>
        <v>22</v>
      </c>
      <c r="D459" s="14" t="n">
        <f aca="false">IF($C459&gt;p_horizon,0,IFERROR(IF(AND(INDEX(TblClusters[Cluster],$B459)&lt;&gt;"",ISNUMBER(INDEX(TblClusters[CPU initial (vCPU)],$B459)),ISNUMBER(INDEX(TblClusters[CPU min (vCPU)],$B459)),OR(INDEX(TblClusters[Plateforme],$B459)="IKS",INDEX(TblClusters[Plateforme],$B459)="ROKS")),1,0),0))</f>
        <v>0</v>
      </c>
      <c r="E459" s="83" t="str">
        <f aca="false">IF($D459=1,EDATE(p_debut,$C459-1),"")</f>
        <v/>
      </c>
      <c r="F459" s="14" t="str">
        <f aca="false">IF($D459=1,INDEX(TblClusters[Cluster],$B459),"")</f>
        <v/>
      </c>
      <c r="G459" s="14" t="str">
        <f aca="false">IF($D459=1,INDEX(TblClusters[Plateforme],$B459),"")</f>
        <v/>
      </c>
      <c r="H459" s="14" t="str">
        <f aca="false">IF($D459=1,INDEX(TblClusters[vCPU par nœud],$B459),"")</f>
        <v/>
      </c>
      <c r="I459" s="14" t="str">
        <f aca="false">IF($D459=1,INDEX(TblClusters[RAM par nœud (Go)],$B459),"")</f>
        <v/>
      </c>
      <c r="J459" s="14" t="str">
        <f aca="false">IF($D459=1,INDEX(TblClusters[Workers min],$B459),"")</f>
        <v/>
      </c>
      <c r="K459" s="84" t="str">
        <f aca="false">IF($D459=1,INDEX(TblClusters[Tarif par nœud],$B459),"")</f>
        <v/>
      </c>
      <c r="L459" s="14" t="str">
        <f aca="false">IF($D459=1,INDEX(TblClusters[CPU initial (vCPU)],$B459),"")</f>
        <v/>
      </c>
      <c r="M459" s="14" t="str">
        <f aca="false">IF($D459=1,INDEX(TblClusters[RAM initiale (Go)],$B459),"")</f>
        <v/>
      </c>
      <c r="N459" s="14" t="str">
        <f aca="false">IF($D459=1,INDEX(TblClusters[CPU min (vCPU)],$B459),"")</f>
        <v/>
      </c>
      <c r="O459" s="14" t="str">
        <f aca="false">IF($D459=1,INDEX(TblClusters[RAM min (Go)],$B459),"")</f>
        <v/>
      </c>
      <c r="P459" s="14" t="str">
        <f aca="false">IF($D459&lt;&gt;1,"",IF($G459="ROKS",SUMIFS(TblApplications[Besoin ROKS CPU (vCPU)],TblApplications[Cluster ROKS cible],$F459,TblApplications[Action],"À migrer",TblApplications[Déjà incluse ROKS],"Non",TblApplications[Mois prov (calc)],"&lt;="&amp;$E459),SUMIFS(TblApplications[CPU IKS libérable (vCPU)],TblApplications[Cluster IKS source],$F459,TblApplications[Mois lib (calc)],"&lt;="&amp;$E459)))</f>
        <v/>
      </c>
      <c r="Q459" s="14" t="str">
        <f aca="false">IF($D459&lt;&gt;1,"",IF($G459="ROKS",SUMIFS(TblApplications[Besoin ROKS RAM (Go)],TblApplications[Cluster ROKS cible],$F459,TblApplications[Action],"À migrer",TblApplications[Déjà incluse ROKS],"Non",TblApplications[Mois prov (calc)],"&lt;="&amp;$E459),SUMIFS(TblApplications[RAM IKS libérable (Go)],TblApplications[Cluster IKS source],$F459,TblApplications[Mois lib (calc)],"&lt;="&amp;$E459)))</f>
        <v/>
      </c>
      <c r="R459" s="14" t="str">
        <f aca="false">IF($D459&lt;&gt;1,"",IF($G459="ROKS",$L459+$P459,IF($AI459=1,0,MAX($N459,$L459-$P459))))</f>
        <v/>
      </c>
      <c r="S459" s="14" t="str">
        <f aca="false">IF($D459&lt;&gt;1,"",IF($G459="ROKS",$M459+$Q459,IF($AI459=1,0,MAX($O459,$M459-$Q459))))</f>
        <v/>
      </c>
      <c r="T459" s="14" t="str">
        <f aca="false">IF($D459&lt;&gt;1,"",IF($AI459=1,0,MAX($J459,ROUNDUP(MAX($R459/$H459,$S459/$I459),0))))</f>
        <v/>
      </c>
      <c r="U459" s="14" t="str">
        <f aca="false">IF($D459&lt;&gt;1,"",IF(p_mode="Nœud",$T459*$H459,$R459))</f>
        <v/>
      </c>
      <c r="V459" s="14" t="str">
        <f aca="false">IF($D459&lt;&gt;1,"",IF(p_mode="Nœud",$T459*$I459,$S459))</f>
        <v/>
      </c>
      <c r="W459" s="84" t="str">
        <f aca="false">IF($D459&lt;&gt;1,"",IF(p_mode="Nœud",$T459*$K459,$R459*IF($G459="IKS",p_iks_cpu,p_roks_cpu)+$S459*IF($G459="IKS",p_iks_ram,p_roks_ram))*p_facteur)</f>
        <v/>
      </c>
      <c r="X459" s="14" t="str">
        <f aca="false">IF($D459&lt;&gt;1,"",IF($G459="ROKS",$R459,IF($AI459=1,0,MAX($N459,$L459-SUMIFS(TblApplications[CPU IKS libérable (vCPU)],TblApplications[Cluster IKS source],$F459,TblApplications[Action],"À migrer",TblApplications[Mois prov (calc)],"&lt;="&amp;$E459)-SUMIFS(TblApplications[CPU IKS libérable (vCPU)],TblApplications[Cluster IKS source],$F459,TblApplications[Action],"À décommissionner",TblApplications[Mois lib (calc)],"&lt;="&amp;$E459)))))</f>
        <v/>
      </c>
      <c r="Y459" s="14" t="str">
        <f aca="false">IF($D459&lt;&gt;1,"",IF($G459="ROKS",$S459,IF($AI459=1,0,MAX($O459,$M459-SUMIFS(TblApplications[RAM IKS libérable (Go)],TblApplications[Cluster IKS source],$F459,TblApplications[Action],"À migrer",TblApplications[Mois prov (calc)],"&lt;="&amp;$E459)-SUMIFS(TblApplications[RAM IKS libérable (Go)],TblApplications[Cluster IKS source],$F459,TblApplications[Action],"À décommissionner",TblApplications[Mois lib (calc)],"&lt;="&amp;$E459)))))</f>
        <v/>
      </c>
      <c r="Z459" s="14" t="str">
        <f aca="false">IF($D459&lt;&gt;1,"",IF($AI459=1,0,MAX($J459,ROUNDUP(MAX($X459/$H459,$Y459/$I459),0))))</f>
        <v/>
      </c>
      <c r="AA459" s="84" t="str">
        <f aca="false">IF($D459&lt;&gt;1,"",IF(p_mode="Nœud",$Z459*$K459,$X459*IF($G459="IKS",p_iks_cpu,p_roks_cpu)+$Y459*IF($G459="IKS",p_iks_ram,p_roks_ram))*p_facteur)</f>
        <v/>
      </c>
      <c r="AB459" s="14" t="str">
        <f aca="false">IF($D459&lt;&gt;1,"",MAX($J459,ROUNDUP(MAX($L459/$H459,$M459/$I459),0)))</f>
        <v/>
      </c>
      <c r="AC459" s="84" t="str">
        <f aca="false">IF($D459&lt;&gt;1,"",IF(p_mode="Nœud",$AB459*$K459,$L459*IF($G459="IKS",p_iks_cpu,p_roks_cpu)+$M459*IF($G459="IKS",p_iks_ram,p_roks_ram))*p_facteur)</f>
        <v/>
      </c>
      <c r="AD459" s="14" t="str">
        <f aca="false">IF($D459&lt;&gt;1,"",IF(AND($G459="IKS",$AI459&lt;&gt;1,OR($L459-$P459&lt;$N459,$M459-$Q459&lt;$O459)),1,0))</f>
        <v/>
      </c>
      <c r="AE459" s="14" t="str">
        <f aca="false">IF($D459&lt;&gt;1,"",IF(AND($G459="ROKS",$T459&gt;p_maxworkers),1,0))</f>
        <v/>
      </c>
      <c r="AF459" s="14" t="str">
        <f aca="false">IF($D459&lt;&gt;1,"",IF(INDEX(TblClusters[Environnement],$B459)="","(vide)",INDEX(TblClusters[Environnement],$B459)))</f>
        <v/>
      </c>
      <c r="AG459" s="14" t="str">
        <f aca="false">IF($D459&lt;&gt;1,"",$R459+p_poidsram*$S459)</f>
        <v/>
      </c>
      <c r="AH459" s="14" t="str">
        <f aca="false">IF($D459&lt;&gt;1,"",IFERROR($W459/$AG459,0))</f>
        <v/>
      </c>
      <c r="AI459" s="14" t="str">
        <f aca="false">IF($D459&lt;&gt;1,"",IF(AND($G459="IKS",ISNUMBER(INDEX(TblClusters[Fermeture retenue],$B459))),IF($E459&gt;=INDEX(TblClusters[Fermeture retenue],$B459),1,0),0))</f>
        <v/>
      </c>
    </row>
    <row r="460" customFormat="false" ht="15" hidden="false" customHeight="false" outlineLevel="0" collapsed="false">
      <c r="A460" s="14" t="n">
        <v>455</v>
      </c>
      <c r="B460" s="14" t="n">
        <f aca="false">INT(($A460-1)/36)+1</f>
        <v>13</v>
      </c>
      <c r="C460" s="14" t="n">
        <f aca="false">MOD($A460-1,36)+1</f>
        <v>23</v>
      </c>
      <c r="D460" s="14" t="n">
        <f aca="false">IF($C460&gt;p_horizon,0,IFERROR(IF(AND(INDEX(TblClusters[Cluster],$B460)&lt;&gt;"",ISNUMBER(INDEX(TblClusters[CPU initial (vCPU)],$B460)),ISNUMBER(INDEX(TblClusters[CPU min (vCPU)],$B460)),OR(INDEX(TblClusters[Plateforme],$B460)="IKS",INDEX(TblClusters[Plateforme],$B460)="ROKS")),1,0),0))</f>
        <v>0</v>
      </c>
      <c r="E460" s="83" t="str">
        <f aca="false">IF($D460=1,EDATE(p_debut,$C460-1),"")</f>
        <v/>
      </c>
      <c r="F460" s="14" t="str">
        <f aca="false">IF($D460=1,INDEX(TblClusters[Cluster],$B460),"")</f>
        <v/>
      </c>
      <c r="G460" s="14" t="str">
        <f aca="false">IF($D460=1,INDEX(TblClusters[Plateforme],$B460),"")</f>
        <v/>
      </c>
      <c r="H460" s="14" t="str">
        <f aca="false">IF($D460=1,INDEX(TblClusters[vCPU par nœud],$B460),"")</f>
        <v/>
      </c>
      <c r="I460" s="14" t="str">
        <f aca="false">IF($D460=1,INDEX(TblClusters[RAM par nœud (Go)],$B460),"")</f>
        <v/>
      </c>
      <c r="J460" s="14" t="str">
        <f aca="false">IF($D460=1,INDEX(TblClusters[Workers min],$B460),"")</f>
        <v/>
      </c>
      <c r="K460" s="84" t="str">
        <f aca="false">IF($D460=1,INDEX(TblClusters[Tarif par nœud],$B460),"")</f>
        <v/>
      </c>
      <c r="L460" s="14" t="str">
        <f aca="false">IF($D460=1,INDEX(TblClusters[CPU initial (vCPU)],$B460),"")</f>
        <v/>
      </c>
      <c r="M460" s="14" t="str">
        <f aca="false">IF($D460=1,INDEX(TblClusters[RAM initiale (Go)],$B460),"")</f>
        <v/>
      </c>
      <c r="N460" s="14" t="str">
        <f aca="false">IF($D460=1,INDEX(TblClusters[CPU min (vCPU)],$B460),"")</f>
        <v/>
      </c>
      <c r="O460" s="14" t="str">
        <f aca="false">IF($D460=1,INDEX(TblClusters[RAM min (Go)],$B460),"")</f>
        <v/>
      </c>
      <c r="P460" s="14" t="str">
        <f aca="false">IF($D460&lt;&gt;1,"",IF($G460="ROKS",SUMIFS(TblApplications[Besoin ROKS CPU (vCPU)],TblApplications[Cluster ROKS cible],$F460,TblApplications[Action],"À migrer",TblApplications[Déjà incluse ROKS],"Non",TblApplications[Mois prov (calc)],"&lt;="&amp;$E460),SUMIFS(TblApplications[CPU IKS libérable (vCPU)],TblApplications[Cluster IKS source],$F460,TblApplications[Mois lib (calc)],"&lt;="&amp;$E460)))</f>
        <v/>
      </c>
      <c r="Q460" s="14" t="str">
        <f aca="false">IF($D460&lt;&gt;1,"",IF($G460="ROKS",SUMIFS(TblApplications[Besoin ROKS RAM (Go)],TblApplications[Cluster ROKS cible],$F460,TblApplications[Action],"À migrer",TblApplications[Déjà incluse ROKS],"Non",TblApplications[Mois prov (calc)],"&lt;="&amp;$E460),SUMIFS(TblApplications[RAM IKS libérable (Go)],TblApplications[Cluster IKS source],$F460,TblApplications[Mois lib (calc)],"&lt;="&amp;$E460)))</f>
        <v/>
      </c>
      <c r="R460" s="14" t="str">
        <f aca="false">IF($D460&lt;&gt;1,"",IF($G460="ROKS",$L460+$P460,IF($AI460=1,0,MAX($N460,$L460-$P460))))</f>
        <v/>
      </c>
      <c r="S460" s="14" t="str">
        <f aca="false">IF($D460&lt;&gt;1,"",IF($G460="ROKS",$M460+$Q460,IF($AI460=1,0,MAX($O460,$M460-$Q460))))</f>
        <v/>
      </c>
      <c r="T460" s="14" t="str">
        <f aca="false">IF($D460&lt;&gt;1,"",IF($AI460=1,0,MAX($J460,ROUNDUP(MAX($R460/$H460,$S460/$I460),0))))</f>
        <v/>
      </c>
      <c r="U460" s="14" t="str">
        <f aca="false">IF($D460&lt;&gt;1,"",IF(p_mode="Nœud",$T460*$H460,$R460))</f>
        <v/>
      </c>
      <c r="V460" s="14" t="str">
        <f aca="false">IF($D460&lt;&gt;1,"",IF(p_mode="Nœud",$T460*$I460,$S460))</f>
        <v/>
      </c>
      <c r="W460" s="84" t="str">
        <f aca="false">IF($D460&lt;&gt;1,"",IF(p_mode="Nœud",$T460*$K460,$R460*IF($G460="IKS",p_iks_cpu,p_roks_cpu)+$S460*IF($G460="IKS",p_iks_ram,p_roks_ram))*p_facteur)</f>
        <v/>
      </c>
      <c r="X460" s="14" t="str">
        <f aca="false">IF($D460&lt;&gt;1,"",IF($G460="ROKS",$R460,IF($AI460=1,0,MAX($N460,$L460-SUMIFS(TblApplications[CPU IKS libérable (vCPU)],TblApplications[Cluster IKS source],$F460,TblApplications[Action],"À migrer",TblApplications[Mois prov (calc)],"&lt;="&amp;$E460)-SUMIFS(TblApplications[CPU IKS libérable (vCPU)],TblApplications[Cluster IKS source],$F460,TblApplications[Action],"À décommissionner",TblApplications[Mois lib (calc)],"&lt;="&amp;$E460)))))</f>
        <v/>
      </c>
      <c r="Y460" s="14" t="str">
        <f aca="false">IF($D460&lt;&gt;1,"",IF($G460="ROKS",$S460,IF($AI460=1,0,MAX($O460,$M460-SUMIFS(TblApplications[RAM IKS libérable (Go)],TblApplications[Cluster IKS source],$F460,TblApplications[Action],"À migrer",TblApplications[Mois prov (calc)],"&lt;="&amp;$E460)-SUMIFS(TblApplications[RAM IKS libérable (Go)],TblApplications[Cluster IKS source],$F460,TblApplications[Action],"À décommissionner",TblApplications[Mois lib (calc)],"&lt;="&amp;$E460)))))</f>
        <v/>
      </c>
      <c r="Z460" s="14" t="str">
        <f aca="false">IF($D460&lt;&gt;1,"",IF($AI460=1,0,MAX($J460,ROUNDUP(MAX($X460/$H460,$Y460/$I460),0))))</f>
        <v/>
      </c>
      <c r="AA460" s="84" t="str">
        <f aca="false">IF($D460&lt;&gt;1,"",IF(p_mode="Nœud",$Z460*$K460,$X460*IF($G460="IKS",p_iks_cpu,p_roks_cpu)+$Y460*IF($G460="IKS",p_iks_ram,p_roks_ram))*p_facteur)</f>
        <v/>
      </c>
      <c r="AB460" s="14" t="str">
        <f aca="false">IF($D460&lt;&gt;1,"",MAX($J460,ROUNDUP(MAX($L460/$H460,$M460/$I460),0)))</f>
        <v/>
      </c>
      <c r="AC460" s="84" t="str">
        <f aca="false">IF($D460&lt;&gt;1,"",IF(p_mode="Nœud",$AB460*$K460,$L460*IF($G460="IKS",p_iks_cpu,p_roks_cpu)+$M460*IF($G460="IKS",p_iks_ram,p_roks_ram))*p_facteur)</f>
        <v/>
      </c>
      <c r="AD460" s="14" t="str">
        <f aca="false">IF($D460&lt;&gt;1,"",IF(AND($G460="IKS",$AI460&lt;&gt;1,OR($L460-$P460&lt;$N460,$M460-$Q460&lt;$O460)),1,0))</f>
        <v/>
      </c>
      <c r="AE460" s="14" t="str">
        <f aca="false">IF($D460&lt;&gt;1,"",IF(AND($G460="ROKS",$T460&gt;p_maxworkers),1,0))</f>
        <v/>
      </c>
      <c r="AF460" s="14" t="str">
        <f aca="false">IF($D460&lt;&gt;1,"",IF(INDEX(TblClusters[Environnement],$B460)="","(vide)",INDEX(TblClusters[Environnement],$B460)))</f>
        <v/>
      </c>
      <c r="AG460" s="14" t="str">
        <f aca="false">IF($D460&lt;&gt;1,"",$R460+p_poidsram*$S460)</f>
        <v/>
      </c>
      <c r="AH460" s="14" t="str">
        <f aca="false">IF($D460&lt;&gt;1,"",IFERROR($W460/$AG460,0))</f>
        <v/>
      </c>
      <c r="AI460" s="14" t="str">
        <f aca="false">IF($D460&lt;&gt;1,"",IF(AND($G460="IKS",ISNUMBER(INDEX(TblClusters[Fermeture retenue],$B460))),IF($E460&gt;=INDEX(TblClusters[Fermeture retenue],$B460),1,0),0))</f>
        <v/>
      </c>
    </row>
    <row r="461" customFormat="false" ht="15" hidden="false" customHeight="false" outlineLevel="0" collapsed="false">
      <c r="A461" s="14" t="n">
        <v>456</v>
      </c>
      <c r="B461" s="14" t="n">
        <f aca="false">INT(($A461-1)/36)+1</f>
        <v>13</v>
      </c>
      <c r="C461" s="14" t="n">
        <f aca="false">MOD($A461-1,36)+1</f>
        <v>24</v>
      </c>
      <c r="D461" s="14" t="n">
        <f aca="false">IF($C461&gt;p_horizon,0,IFERROR(IF(AND(INDEX(TblClusters[Cluster],$B461)&lt;&gt;"",ISNUMBER(INDEX(TblClusters[CPU initial (vCPU)],$B461)),ISNUMBER(INDEX(TblClusters[CPU min (vCPU)],$B461)),OR(INDEX(TblClusters[Plateforme],$B461)="IKS",INDEX(TblClusters[Plateforme],$B461)="ROKS")),1,0),0))</f>
        <v>0</v>
      </c>
      <c r="E461" s="83" t="str">
        <f aca="false">IF($D461=1,EDATE(p_debut,$C461-1),"")</f>
        <v/>
      </c>
      <c r="F461" s="14" t="str">
        <f aca="false">IF($D461=1,INDEX(TblClusters[Cluster],$B461),"")</f>
        <v/>
      </c>
      <c r="G461" s="14" t="str">
        <f aca="false">IF($D461=1,INDEX(TblClusters[Plateforme],$B461),"")</f>
        <v/>
      </c>
      <c r="H461" s="14" t="str">
        <f aca="false">IF($D461=1,INDEX(TblClusters[vCPU par nœud],$B461),"")</f>
        <v/>
      </c>
      <c r="I461" s="14" t="str">
        <f aca="false">IF($D461=1,INDEX(TblClusters[RAM par nœud (Go)],$B461),"")</f>
        <v/>
      </c>
      <c r="J461" s="14" t="str">
        <f aca="false">IF($D461=1,INDEX(TblClusters[Workers min],$B461),"")</f>
        <v/>
      </c>
      <c r="K461" s="84" t="str">
        <f aca="false">IF($D461=1,INDEX(TblClusters[Tarif par nœud],$B461),"")</f>
        <v/>
      </c>
      <c r="L461" s="14" t="str">
        <f aca="false">IF($D461=1,INDEX(TblClusters[CPU initial (vCPU)],$B461),"")</f>
        <v/>
      </c>
      <c r="M461" s="14" t="str">
        <f aca="false">IF($D461=1,INDEX(TblClusters[RAM initiale (Go)],$B461),"")</f>
        <v/>
      </c>
      <c r="N461" s="14" t="str">
        <f aca="false">IF($D461=1,INDEX(TblClusters[CPU min (vCPU)],$B461),"")</f>
        <v/>
      </c>
      <c r="O461" s="14" t="str">
        <f aca="false">IF($D461=1,INDEX(TblClusters[RAM min (Go)],$B461),"")</f>
        <v/>
      </c>
      <c r="P461" s="14" t="str">
        <f aca="false">IF($D461&lt;&gt;1,"",IF($G461="ROKS",SUMIFS(TblApplications[Besoin ROKS CPU (vCPU)],TblApplications[Cluster ROKS cible],$F461,TblApplications[Action],"À migrer",TblApplications[Déjà incluse ROKS],"Non",TblApplications[Mois prov (calc)],"&lt;="&amp;$E461),SUMIFS(TblApplications[CPU IKS libérable (vCPU)],TblApplications[Cluster IKS source],$F461,TblApplications[Mois lib (calc)],"&lt;="&amp;$E461)))</f>
        <v/>
      </c>
      <c r="Q461" s="14" t="str">
        <f aca="false">IF($D461&lt;&gt;1,"",IF($G461="ROKS",SUMIFS(TblApplications[Besoin ROKS RAM (Go)],TblApplications[Cluster ROKS cible],$F461,TblApplications[Action],"À migrer",TblApplications[Déjà incluse ROKS],"Non",TblApplications[Mois prov (calc)],"&lt;="&amp;$E461),SUMIFS(TblApplications[RAM IKS libérable (Go)],TblApplications[Cluster IKS source],$F461,TblApplications[Mois lib (calc)],"&lt;="&amp;$E461)))</f>
        <v/>
      </c>
      <c r="R461" s="14" t="str">
        <f aca="false">IF($D461&lt;&gt;1,"",IF($G461="ROKS",$L461+$P461,IF($AI461=1,0,MAX($N461,$L461-$P461))))</f>
        <v/>
      </c>
      <c r="S461" s="14" t="str">
        <f aca="false">IF($D461&lt;&gt;1,"",IF($G461="ROKS",$M461+$Q461,IF($AI461=1,0,MAX($O461,$M461-$Q461))))</f>
        <v/>
      </c>
      <c r="T461" s="14" t="str">
        <f aca="false">IF($D461&lt;&gt;1,"",IF($AI461=1,0,MAX($J461,ROUNDUP(MAX($R461/$H461,$S461/$I461),0))))</f>
        <v/>
      </c>
      <c r="U461" s="14" t="str">
        <f aca="false">IF($D461&lt;&gt;1,"",IF(p_mode="Nœud",$T461*$H461,$R461))</f>
        <v/>
      </c>
      <c r="V461" s="14" t="str">
        <f aca="false">IF($D461&lt;&gt;1,"",IF(p_mode="Nœud",$T461*$I461,$S461))</f>
        <v/>
      </c>
      <c r="W461" s="84" t="str">
        <f aca="false">IF($D461&lt;&gt;1,"",IF(p_mode="Nœud",$T461*$K461,$R461*IF($G461="IKS",p_iks_cpu,p_roks_cpu)+$S461*IF($G461="IKS",p_iks_ram,p_roks_ram))*p_facteur)</f>
        <v/>
      </c>
      <c r="X461" s="14" t="str">
        <f aca="false">IF($D461&lt;&gt;1,"",IF($G461="ROKS",$R461,IF($AI461=1,0,MAX($N461,$L461-SUMIFS(TblApplications[CPU IKS libérable (vCPU)],TblApplications[Cluster IKS source],$F461,TblApplications[Action],"À migrer",TblApplications[Mois prov (calc)],"&lt;="&amp;$E461)-SUMIFS(TblApplications[CPU IKS libérable (vCPU)],TblApplications[Cluster IKS source],$F461,TblApplications[Action],"À décommissionner",TblApplications[Mois lib (calc)],"&lt;="&amp;$E461)))))</f>
        <v/>
      </c>
      <c r="Y461" s="14" t="str">
        <f aca="false">IF($D461&lt;&gt;1,"",IF($G461="ROKS",$S461,IF($AI461=1,0,MAX($O461,$M461-SUMIFS(TblApplications[RAM IKS libérable (Go)],TblApplications[Cluster IKS source],$F461,TblApplications[Action],"À migrer",TblApplications[Mois prov (calc)],"&lt;="&amp;$E461)-SUMIFS(TblApplications[RAM IKS libérable (Go)],TblApplications[Cluster IKS source],$F461,TblApplications[Action],"À décommissionner",TblApplications[Mois lib (calc)],"&lt;="&amp;$E461)))))</f>
        <v/>
      </c>
      <c r="Z461" s="14" t="str">
        <f aca="false">IF($D461&lt;&gt;1,"",IF($AI461=1,0,MAX($J461,ROUNDUP(MAX($X461/$H461,$Y461/$I461),0))))</f>
        <v/>
      </c>
      <c r="AA461" s="84" t="str">
        <f aca="false">IF($D461&lt;&gt;1,"",IF(p_mode="Nœud",$Z461*$K461,$X461*IF($G461="IKS",p_iks_cpu,p_roks_cpu)+$Y461*IF($G461="IKS",p_iks_ram,p_roks_ram))*p_facteur)</f>
        <v/>
      </c>
      <c r="AB461" s="14" t="str">
        <f aca="false">IF($D461&lt;&gt;1,"",MAX($J461,ROUNDUP(MAX($L461/$H461,$M461/$I461),0)))</f>
        <v/>
      </c>
      <c r="AC461" s="84" t="str">
        <f aca="false">IF($D461&lt;&gt;1,"",IF(p_mode="Nœud",$AB461*$K461,$L461*IF($G461="IKS",p_iks_cpu,p_roks_cpu)+$M461*IF($G461="IKS",p_iks_ram,p_roks_ram))*p_facteur)</f>
        <v/>
      </c>
      <c r="AD461" s="14" t="str">
        <f aca="false">IF($D461&lt;&gt;1,"",IF(AND($G461="IKS",$AI461&lt;&gt;1,OR($L461-$P461&lt;$N461,$M461-$Q461&lt;$O461)),1,0))</f>
        <v/>
      </c>
      <c r="AE461" s="14" t="str">
        <f aca="false">IF($D461&lt;&gt;1,"",IF(AND($G461="ROKS",$T461&gt;p_maxworkers),1,0))</f>
        <v/>
      </c>
      <c r="AF461" s="14" t="str">
        <f aca="false">IF($D461&lt;&gt;1,"",IF(INDEX(TblClusters[Environnement],$B461)="","(vide)",INDEX(TblClusters[Environnement],$B461)))</f>
        <v/>
      </c>
      <c r="AG461" s="14" t="str">
        <f aca="false">IF($D461&lt;&gt;1,"",$R461+p_poidsram*$S461)</f>
        <v/>
      </c>
      <c r="AH461" s="14" t="str">
        <f aca="false">IF($D461&lt;&gt;1,"",IFERROR($W461/$AG461,0))</f>
        <v/>
      </c>
      <c r="AI461" s="14" t="str">
        <f aca="false">IF($D461&lt;&gt;1,"",IF(AND($G461="IKS",ISNUMBER(INDEX(TblClusters[Fermeture retenue],$B461))),IF($E461&gt;=INDEX(TblClusters[Fermeture retenue],$B461),1,0),0))</f>
        <v/>
      </c>
    </row>
    <row r="462" customFormat="false" ht="15" hidden="false" customHeight="false" outlineLevel="0" collapsed="false">
      <c r="A462" s="14" t="n">
        <v>457</v>
      </c>
      <c r="B462" s="14" t="n">
        <f aca="false">INT(($A462-1)/36)+1</f>
        <v>13</v>
      </c>
      <c r="C462" s="14" t="n">
        <f aca="false">MOD($A462-1,36)+1</f>
        <v>25</v>
      </c>
      <c r="D462" s="14" t="n">
        <f aca="false">IF($C462&gt;p_horizon,0,IFERROR(IF(AND(INDEX(TblClusters[Cluster],$B462)&lt;&gt;"",ISNUMBER(INDEX(TblClusters[CPU initial (vCPU)],$B462)),ISNUMBER(INDEX(TblClusters[CPU min (vCPU)],$B462)),OR(INDEX(TblClusters[Plateforme],$B462)="IKS",INDEX(TblClusters[Plateforme],$B462)="ROKS")),1,0),0))</f>
        <v>0</v>
      </c>
      <c r="E462" s="83" t="str">
        <f aca="false">IF($D462=1,EDATE(p_debut,$C462-1),"")</f>
        <v/>
      </c>
      <c r="F462" s="14" t="str">
        <f aca="false">IF($D462=1,INDEX(TblClusters[Cluster],$B462),"")</f>
        <v/>
      </c>
      <c r="G462" s="14" t="str">
        <f aca="false">IF($D462=1,INDEX(TblClusters[Plateforme],$B462),"")</f>
        <v/>
      </c>
      <c r="H462" s="14" t="str">
        <f aca="false">IF($D462=1,INDEX(TblClusters[vCPU par nœud],$B462),"")</f>
        <v/>
      </c>
      <c r="I462" s="14" t="str">
        <f aca="false">IF($D462=1,INDEX(TblClusters[RAM par nœud (Go)],$B462),"")</f>
        <v/>
      </c>
      <c r="J462" s="14" t="str">
        <f aca="false">IF($D462=1,INDEX(TblClusters[Workers min],$B462),"")</f>
        <v/>
      </c>
      <c r="K462" s="84" t="str">
        <f aca="false">IF($D462=1,INDEX(TblClusters[Tarif par nœud],$B462),"")</f>
        <v/>
      </c>
      <c r="L462" s="14" t="str">
        <f aca="false">IF($D462=1,INDEX(TblClusters[CPU initial (vCPU)],$B462),"")</f>
        <v/>
      </c>
      <c r="M462" s="14" t="str">
        <f aca="false">IF($D462=1,INDEX(TblClusters[RAM initiale (Go)],$B462),"")</f>
        <v/>
      </c>
      <c r="N462" s="14" t="str">
        <f aca="false">IF($D462=1,INDEX(TblClusters[CPU min (vCPU)],$B462),"")</f>
        <v/>
      </c>
      <c r="O462" s="14" t="str">
        <f aca="false">IF($D462=1,INDEX(TblClusters[RAM min (Go)],$B462),"")</f>
        <v/>
      </c>
      <c r="P462" s="14" t="str">
        <f aca="false">IF($D462&lt;&gt;1,"",IF($G462="ROKS",SUMIFS(TblApplications[Besoin ROKS CPU (vCPU)],TblApplications[Cluster ROKS cible],$F462,TblApplications[Action],"À migrer",TblApplications[Déjà incluse ROKS],"Non",TblApplications[Mois prov (calc)],"&lt;="&amp;$E462),SUMIFS(TblApplications[CPU IKS libérable (vCPU)],TblApplications[Cluster IKS source],$F462,TblApplications[Mois lib (calc)],"&lt;="&amp;$E462)))</f>
        <v/>
      </c>
      <c r="Q462" s="14" t="str">
        <f aca="false">IF($D462&lt;&gt;1,"",IF($G462="ROKS",SUMIFS(TblApplications[Besoin ROKS RAM (Go)],TblApplications[Cluster ROKS cible],$F462,TblApplications[Action],"À migrer",TblApplications[Déjà incluse ROKS],"Non",TblApplications[Mois prov (calc)],"&lt;="&amp;$E462),SUMIFS(TblApplications[RAM IKS libérable (Go)],TblApplications[Cluster IKS source],$F462,TblApplications[Mois lib (calc)],"&lt;="&amp;$E462)))</f>
        <v/>
      </c>
      <c r="R462" s="14" t="str">
        <f aca="false">IF($D462&lt;&gt;1,"",IF($G462="ROKS",$L462+$P462,IF($AI462=1,0,MAX($N462,$L462-$P462))))</f>
        <v/>
      </c>
      <c r="S462" s="14" t="str">
        <f aca="false">IF($D462&lt;&gt;1,"",IF($G462="ROKS",$M462+$Q462,IF($AI462=1,0,MAX($O462,$M462-$Q462))))</f>
        <v/>
      </c>
      <c r="T462" s="14" t="str">
        <f aca="false">IF($D462&lt;&gt;1,"",IF($AI462=1,0,MAX($J462,ROUNDUP(MAX($R462/$H462,$S462/$I462),0))))</f>
        <v/>
      </c>
      <c r="U462" s="14" t="str">
        <f aca="false">IF($D462&lt;&gt;1,"",IF(p_mode="Nœud",$T462*$H462,$R462))</f>
        <v/>
      </c>
      <c r="V462" s="14" t="str">
        <f aca="false">IF($D462&lt;&gt;1,"",IF(p_mode="Nœud",$T462*$I462,$S462))</f>
        <v/>
      </c>
      <c r="W462" s="84" t="str">
        <f aca="false">IF($D462&lt;&gt;1,"",IF(p_mode="Nœud",$T462*$K462,$R462*IF($G462="IKS",p_iks_cpu,p_roks_cpu)+$S462*IF($G462="IKS",p_iks_ram,p_roks_ram))*p_facteur)</f>
        <v/>
      </c>
      <c r="X462" s="14" t="str">
        <f aca="false">IF($D462&lt;&gt;1,"",IF($G462="ROKS",$R462,IF($AI462=1,0,MAX($N462,$L462-SUMIFS(TblApplications[CPU IKS libérable (vCPU)],TblApplications[Cluster IKS source],$F462,TblApplications[Action],"À migrer",TblApplications[Mois prov (calc)],"&lt;="&amp;$E462)-SUMIFS(TblApplications[CPU IKS libérable (vCPU)],TblApplications[Cluster IKS source],$F462,TblApplications[Action],"À décommissionner",TblApplications[Mois lib (calc)],"&lt;="&amp;$E462)))))</f>
        <v/>
      </c>
      <c r="Y462" s="14" t="str">
        <f aca="false">IF($D462&lt;&gt;1,"",IF($G462="ROKS",$S462,IF($AI462=1,0,MAX($O462,$M462-SUMIFS(TblApplications[RAM IKS libérable (Go)],TblApplications[Cluster IKS source],$F462,TblApplications[Action],"À migrer",TblApplications[Mois prov (calc)],"&lt;="&amp;$E462)-SUMIFS(TblApplications[RAM IKS libérable (Go)],TblApplications[Cluster IKS source],$F462,TblApplications[Action],"À décommissionner",TblApplications[Mois lib (calc)],"&lt;="&amp;$E462)))))</f>
        <v/>
      </c>
      <c r="Z462" s="14" t="str">
        <f aca="false">IF($D462&lt;&gt;1,"",IF($AI462=1,0,MAX($J462,ROUNDUP(MAX($X462/$H462,$Y462/$I462),0))))</f>
        <v/>
      </c>
      <c r="AA462" s="84" t="str">
        <f aca="false">IF($D462&lt;&gt;1,"",IF(p_mode="Nœud",$Z462*$K462,$X462*IF($G462="IKS",p_iks_cpu,p_roks_cpu)+$Y462*IF($G462="IKS",p_iks_ram,p_roks_ram))*p_facteur)</f>
        <v/>
      </c>
      <c r="AB462" s="14" t="str">
        <f aca="false">IF($D462&lt;&gt;1,"",MAX($J462,ROUNDUP(MAX($L462/$H462,$M462/$I462),0)))</f>
        <v/>
      </c>
      <c r="AC462" s="84" t="str">
        <f aca="false">IF($D462&lt;&gt;1,"",IF(p_mode="Nœud",$AB462*$K462,$L462*IF($G462="IKS",p_iks_cpu,p_roks_cpu)+$M462*IF($G462="IKS",p_iks_ram,p_roks_ram))*p_facteur)</f>
        <v/>
      </c>
      <c r="AD462" s="14" t="str">
        <f aca="false">IF($D462&lt;&gt;1,"",IF(AND($G462="IKS",$AI462&lt;&gt;1,OR($L462-$P462&lt;$N462,$M462-$Q462&lt;$O462)),1,0))</f>
        <v/>
      </c>
      <c r="AE462" s="14" t="str">
        <f aca="false">IF($D462&lt;&gt;1,"",IF(AND($G462="ROKS",$T462&gt;p_maxworkers),1,0))</f>
        <v/>
      </c>
      <c r="AF462" s="14" t="str">
        <f aca="false">IF($D462&lt;&gt;1,"",IF(INDEX(TblClusters[Environnement],$B462)="","(vide)",INDEX(TblClusters[Environnement],$B462)))</f>
        <v/>
      </c>
      <c r="AG462" s="14" t="str">
        <f aca="false">IF($D462&lt;&gt;1,"",$R462+p_poidsram*$S462)</f>
        <v/>
      </c>
      <c r="AH462" s="14" t="str">
        <f aca="false">IF($D462&lt;&gt;1,"",IFERROR($W462/$AG462,0))</f>
        <v/>
      </c>
      <c r="AI462" s="14" t="str">
        <f aca="false">IF($D462&lt;&gt;1,"",IF(AND($G462="IKS",ISNUMBER(INDEX(TblClusters[Fermeture retenue],$B462))),IF($E462&gt;=INDEX(TblClusters[Fermeture retenue],$B462),1,0),0))</f>
        <v/>
      </c>
    </row>
    <row r="463" customFormat="false" ht="15" hidden="false" customHeight="false" outlineLevel="0" collapsed="false">
      <c r="A463" s="14" t="n">
        <v>458</v>
      </c>
      <c r="B463" s="14" t="n">
        <f aca="false">INT(($A463-1)/36)+1</f>
        <v>13</v>
      </c>
      <c r="C463" s="14" t="n">
        <f aca="false">MOD($A463-1,36)+1</f>
        <v>26</v>
      </c>
      <c r="D463" s="14" t="n">
        <f aca="false">IF($C463&gt;p_horizon,0,IFERROR(IF(AND(INDEX(TblClusters[Cluster],$B463)&lt;&gt;"",ISNUMBER(INDEX(TblClusters[CPU initial (vCPU)],$B463)),ISNUMBER(INDEX(TblClusters[CPU min (vCPU)],$B463)),OR(INDEX(TblClusters[Plateforme],$B463)="IKS",INDEX(TblClusters[Plateforme],$B463)="ROKS")),1,0),0))</f>
        <v>0</v>
      </c>
      <c r="E463" s="83" t="str">
        <f aca="false">IF($D463=1,EDATE(p_debut,$C463-1),"")</f>
        <v/>
      </c>
      <c r="F463" s="14" t="str">
        <f aca="false">IF($D463=1,INDEX(TblClusters[Cluster],$B463),"")</f>
        <v/>
      </c>
      <c r="G463" s="14" t="str">
        <f aca="false">IF($D463=1,INDEX(TblClusters[Plateforme],$B463),"")</f>
        <v/>
      </c>
      <c r="H463" s="14" t="str">
        <f aca="false">IF($D463=1,INDEX(TblClusters[vCPU par nœud],$B463),"")</f>
        <v/>
      </c>
      <c r="I463" s="14" t="str">
        <f aca="false">IF($D463=1,INDEX(TblClusters[RAM par nœud (Go)],$B463),"")</f>
        <v/>
      </c>
      <c r="J463" s="14" t="str">
        <f aca="false">IF($D463=1,INDEX(TblClusters[Workers min],$B463),"")</f>
        <v/>
      </c>
      <c r="K463" s="84" t="str">
        <f aca="false">IF($D463=1,INDEX(TblClusters[Tarif par nœud],$B463),"")</f>
        <v/>
      </c>
      <c r="L463" s="14" t="str">
        <f aca="false">IF($D463=1,INDEX(TblClusters[CPU initial (vCPU)],$B463),"")</f>
        <v/>
      </c>
      <c r="M463" s="14" t="str">
        <f aca="false">IF($D463=1,INDEX(TblClusters[RAM initiale (Go)],$B463),"")</f>
        <v/>
      </c>
      <c r="N463" s="14" t="str">
        <f aca="false">IF($D463=1,INDEX(TblClusters[CPU min (vCPU)],$B463),"")</f>
        <v/>
      </c>
      <c r="O463" s="14" t="str">
        <f aca="false">IF($D463=1,INDEX(TblClusters[RAM min (Go)],$B463),"")</f>
        <v/>
      </c>
      <c r="P463" s="14" t="str">
        <f aca="false">IF($D463&lt;&gt;1,"",IF($G463="ROKS",SUMIFS(TblApplications[Besoin ROKS CPU (vCPU)],TblApplications[Cluster ROKS cible],$F463,TblApplications[Action],"À migrer",TblApplications[Déjà incluse ROKS],"Non",TblApplications[Mois prov (calc)],"&lt;="&amp;$E463),SUMIFS(TblApplications[CPU IKS libérable (vCPU)],TblApplications[Cluster IKS source],$F463,TblApplications[Mois lib (calc)],"&lt;="&amp;$E463)))</f>
        <v/>
      </c>
      <c r="Q463" s="14" t="str">
        <f aca="false">IF($D463&lt;&gt;1,"",IF($G463="ROKS",SUMIFS(TblApplications[Besoin ROKS RAM (Go)],TblApplications[Cluster ROKS cible],$F463,TblApplications[Action],"À migrer",TblApplications[Déjà incluse ROKS],"Non",TblApplications[Mois prov (calc)],"&lt;="&amp;$E463),SUMIFS(TblApplications[RAM IKS libérable (Go)],TblApplications[Cluster IKS source],$F463,TblApplications[Mois lib (calc)],"&lt;="&amp;$E463)))</f>
        <v/>
      </c>
      <c r="R463" s="14" t="str">
        <f aca="false">IF($D463&lt;&gt;1,"",IF($G463="ROKS",$L463+$P463,IF($AI463=1,0,MAX($N463,$L463-$P463))))</f>
        <v/>
      </c>
      <c r="S463" s="14" t="str">
        <f aca="false">IF($D463&lt;&gt;1,"",IF($G463="ROKS",$M463+$Q463,IF($AI463=1,0,MAX($O463,$M463-$Q463))))</f>
        <v/>
      </c>
      <c r="T463" s="14" t="str">
        <f aca="false">IF($D463&lt;&gt;1,"",IF($AI463=1,0,MAX($J463,ROUNDUP(MAX($R463/$H463,$S463/$I463),0))))</f>
        <v/>
      </c>
      <c r="U463" s="14" t="str">
        <f aca="false">IF($D463&lt;&gt;1,"",IF(p_mode="Nœud",$T463*$H463,$R463))</f>
        <v/>
      </c>
      <c r="V463" s="14" t="str">
        <f aca="false">IF($D463&lt;&gt;1,"",IF(p_mode="Nœud",$T463*$I463,$S463))</f>
        <v/>
      </c>
      <c r="W463" s="84" t="str">
        <f aca="false">IF($D463&lt;&gt;1,"",IF(p_mode="Nœud",$T463*$K463,$R463*IF($G463="IKS",p_iks_cpu,p_roks_cpu)+$S463*IF($G463="IKS",p_iks_ram,p_roks_ram))*p_facteur)</f>
        <v/>
      </c>
      <c r="X463" s="14" t="str">
        <f aca="false">IF($D463&lt;&gt;1,"",IF($G463="ROKS",$R463,IF($AI463=1,0,MAX($N463,$L463-SUMIFS(TblApplications[CPU IKS libérable (vCPU)],TblApplications[Cluster IKS source],$F463,TblApplications[Action],"À migrer",TblApplications[Mois prov (calc)],"&lt;="&amp;$E463)-SUMIFS(TblApplications[CPU IKS libérable (vCPU)],TblApplications[Cluster IKS source],$F463,TblApplications[Action],"À décommissionner",TblApplications[Mois lib (calc)],"&lt;="&amp;$E463)))))</f>
        <v/>
      </c>
      <c r="Y463" s="14" t="str">
        <f aca="false">IF($D463&lt;&gt;1,"",IF($G463="ROKS",$S463,IF($AI463=1,0,MAX($O463,$M463-SUMIFS(TblApplications[RAM IKS libérable (Go)],TblApplications[Cluster IKS source],$F463,TblApplications[Action],"À migrer",TblApplications[Mois prov (calc)],"&lt;="&amp;$E463)-SUMIFS(TblApplications[RAM IKS libérable (Go)],TblApplications[Cluster IKS source],$F463,TblApplications[Action],"À décommissionner",TblApplications[Mois lib (calc)],"&lt;="&amp;$E463)))))</f>
        <v/>
      </c>
      <c r="Z463" s="14" t="str">
        <f aca="false">IF($D463&lt;&gt;1,"",IF($AI463=1,0,MAX($J463,ROUNDUP(MAX($X463/$H463,$Y463/$I463),0))))</f>
        <v/>
      </c>
      <c r="AA463" s="84" t="str">
        <f aca="false">IF($D463&lt;&gt;1,"",IF(p_mode="Nœud",$Z463*$K463,$X463*IF($G463="IKS",p_iks_cpu,p_roks_cpu)+$Y463*IF($G463="IKS",p_iks_ram,p_roks_ram))*p_facteur)</f>
        <v/>
      </c>
      <c r="AB463" s="14" t="str">
        <f aca="false">IF($D463&lt;&gt;1,"",MAX($J463,ROUNDUP(MAX($L463/$H463,$M463/$I463),0)))</f>
        <v/>
      </c>
      <c r="AC463" s="84" t="str">
        <f aca="false">IF($D463&lt;&gt;1,"",IF(p_mode="Nœud",$AB463*$K463,$L463*IF($G463="IKS",p_iks_cpu,p_roks_cpu)+$M463*IF($G463="IKS",p_iks_ram,p_roks_ram))*p_facteur)</f>
        <v/>
      </c>
      <c r="AD463" s="14" t="str">
        <f aca="false">IF($D463&lt;&gt;1,"",IF(AND($G463="IKS",$AI463&lt;&gt;1,OR($L463-$P463&lt;$N463,$M463-$Q463&lt;$O463)),1,0))</f>
        <v/>
      </c>
      <c r="AE463" s="14" t="str">
        <f aca="false">IF($D463&lt;&gt;1,"",IF(AND($G463="ROKS",$T463&gt;p_maxworkers),1,0))</f>
        <v/>
      </c>
      <c r="AF463" s="14" t="str">
        <f aca="false">IF($D463&lt;&gt;1,"",IF(INDEX(TblClusters[Environnement],$B463)="","(vide)",INDEX(TblClusters[Environnement],$B463)))</f>
        <v/>
      </c>
      <c r="AG463" s="14" t="str">
        <f aca="false">IF($D463&lt;&gt;1,"",$R463+p_poidsram*$S463)</f>
        <v/>
      </c>
      <c r="AH463" s="14" t="str">
        <f aca="false">IF($D463&lt;&gt;1,"",IFERROR($W463/$AG463,0))</f>
        <v/>
      </c>
      <c r="AI463" s="14" t="str">
        <f aca="false">IF($D463&lt;&gt;1,"",IF(AND($G463="IKS",ISNUMBER(INDEX(TblClusters[Fermeture retenue],$B463))),IF($E463&gt;=INDEX(TblClusters[Fermeture retenue],$B463),1,0),0))</f>
        <v/>
      </c>
    </row>
    <row r="464" customFormat="false" ht="15" hidden="false" customHeight="false" outlineLevel="0" collapsed="false">
      <c r="A464" s="14" t="n">
        <v>459</v>
      </c>
      <c r="B464" s="14" t="n">
        <f aca="false">INT(($A464-1)/36)+1</f>
        <v>13</v>
      </c>
      <c r="C464" s="14" t="n">
        <f aca="false">MOD($A464-1,36)+1</f>
        <v>27</v>
      </c>
      <c r="D464" s="14" t="n">
        <f aca="false">IF($C464&gt;p_horizon,0,IFERROR(IF(AND(INDEX(TblClusters[Cluster],$B464)&lt;&gt;"",ISNUMBER(INDEX(TblClusters[CPU initial (vCPU)],$B464)),ISNUMBER(INDEX(TblClusters[CPU min (vCPU)],$B464)),OR(INDEX(TblClusters[Plateforme],$B464)="IKS",INDEX(TblClusters[Plateforme],$B464)="ROKS")),1,0),0))</f>
        <v>0</v>
      </c>
      <c r="E464" s="83" t="str">
        <f aca="false">IF($D464=1,EDATE(p_debut,$C464-1),"")</f>
        <v/>
      </c>
      <c r="F464" s="14" t="str">
        <f aca="false">IF($D464=1,INDEX(TblClusters[Cluster],$B464),"")</f>
        <v/>
      </c>
      <c r="G464" s="14" t="str">
        <f aca="false">IF($D464=1,INDEX(TblClusters[Plateforme],$B464),"")</f>
        <v/>
      </c>
      <c r="H464" s="14" t="str">
        <f aca="false">IF($D464=1,INDEX(TblClusters[vCPU par nœud],$B464),"")</f>
        <v/>
      </c>
      <c r="I464" s="14" t="str">
        <f aca="false">IF($D464=1,INDEX(TblClusters[RAM par nœud (Go)],$B464),"")</f>
        <v/>
      </c>
      <c r="J464" s="14" t="str">
        <f aca="false">IF($D464=1,INDEX(TblClusters[Workers min],$B464),"")</f>
        <v/>
      </c>
      <c r="K464" s="84" t="str">
        <f aca="false">IF($D464=1,INDEX(TblClusters[Tarif par nœud],$B464),"")</f>
        <v/>
      </c>
      <c r="L464" s="14" t="str">
        <f aca="false">IF($D464=1,INDEX(TblClusters[CPU initial (vCPU)],$B464),"")</f>
        <v/>
      </c>
      <c r="M464" s="14" t="str">
        <f aca="false">IF($D464=1,INDEX(TblClusters[RAM initiale (Go)],$B464),"")</f>
        <v/>
      </c>
      <c r="N464" s="14" t="str">
        <f aca="false">IF($D464=1,INDEX(TblClusters[CPU min (vCPU)],$B464),"")</f>
        <v/>
      </c>
      <c r="O464" s="14" t="str">
        <f aca="false">IF($D464=1,INDEX(TblClusters[RAM min (Go)],$B464),"")</f>
        <v/>
      </c>
      <c r="P464" s="14" t="str">
        <f aca="false">IF($D464&lt;&gt;1,"",IF($G464="ROKS",SUMIFS(TblApplications[Besoin ROKS CPU (vCPU)],TblApplications[Cluster ROKS cible],$F464,TblApplications[Action],"À migrer",TblApplications[Déjà incluse ROKS],"Non",TblApplications[Mois prov (calc)],"&lt;="&amp;$E464),SUMIFS(TblApplications[CPU IKS libérable (vCPU)],TblApplications[Cluster IKS source],$F464,TblApplications[Mois lib (calc)],"&lt;="&amp;$E464)))</f>
        <v/>
      </c>
      <c r="Q464" s="14" t="str">
        <f aca="false">IF($D464&lt;&gt;1,"",IF($G464="ROKS",SUMIFS(TblApplications[Besoin ROKS RAM (Go)],TblApplications[Cluster ROKS cible],$F464,TblApplications[Action],"À migrer",TblApplications[Déjà incluse ROKS],"Non",TblApplications[Mois prov (calc)],"&lt;="&amp;$E464),SUMIFS(TblApplications[RAM IKS libérable (Go)],TblApplications[Cluster IKS source],$F464,TblApplications[Mois lib (calc)],"&lt;="&amp;$E464)))</f>
        <v/>
      </c>
      <c r="R464" s="14" t="str">
        <f aca="false">IF($D464&lt;&gt;1,"",IF($G464="ROKS",$L464+$P464,IF($AI464=1,0,MAX($N464,$L464-$P464))))</f>
        <v/>
      </c>
      <c r="S464" s="14" t="str">
        <f aca="false">IF($D464&lt;&gt;1,"",IF($G464="ROKS",$M464+$Q464,IF($AI464=1,0,MAX($O464,$M464-$Q464))))</f>
        <v/>
      </c>
      <c r="T464" s="14" t="str">
        <f aca="false">IF($D464&lt;&gt;1,"",IF($AI464=1,0,MAX($J464,ROUNDUP(MAX($R464/$H464,$S464/$I464),0))))</f>
        <v/>
      </c>
      <c r="U464" s="14" t="str">
        <f aca="false">IF($D464&lt;&gt;1,"",IF(p_mode="Nœud",$T464*$H464,$R464))</f>
        <v/>
      </c>
      <c r="V464" s="14" t="str">
        <f aca="false">IF($D464&lt;&gt;1,"",IF(p_mode="Nœud",$T464*$I464,$S464))</f>
        <v/>
      </c>
      <c r="W464" s="84" t="str">
        <f aca="false">IF($D464&lt;&gt;1,"",IF(p_mode="Nœud",$T464*$K464,$R464*IF($G464="IKS",p_iks_cpu,p_roks_cpu)+$S464*IF($G464="IKS",p_iks_ram,p_roks_ram))*p_facteur)</f>
        <v/>
      </c>
      <c r="X464" s="14" t="str">
        <f aca="false">IF($D464&lt;&gt;1,"",IF($G464="ROKS",$R464,IF($AI464=1,0,MAX($N464,$L464-SUMIFS(TblApplications[CPU IKS libérable (vCPU)],TblApplications[Cluster IKS source],$F464,TblApplications[Action],"À migrer",TblApplications[Mois prov (calc)],"&lt;="&amp;$E464)-SUMIFS(TblApplications[CPU IKS libérable (vCPU)],TblApplications[Cluster IKS source],$F464,TblApplications[Action],"À décommissionner",TblApplications[Mois lib (calc)],"&lt;="&amp;$E464)))))</f>
        <v/>
      </c>
      <c r="Y464" s="14" t="str">
        <f aca="false">IF($D464&lt;&gt;1,"",IF($G464="ROKS",$S464,IF($AI464=1,0,MAX($O464,$M464-SUMIFS(TblApplications[RAM IKS libérable (Go)],TblApplications[Cluster IKS source],$F464,TblApplications[Action],"À migrer",TblApplications[Mois prov (calc)],"&lt;="&amp;$E464)-SUMIFS(TblApplications[RAM IKS libérable (Go)],TblApplications[Cluster IKS source],$F464,TblApplications[Action],"À décommissionner",TblApplications[Mois lib (calc)],"&lt;="&amp;$E464)))))</f>
        <v/>
      </c>
      <c r="Z464" s="14" t="str">
        <f aca="false">IF($D464&lt;&gt;1,"",IF($AI464=1,0,MAX($J464,ROUNDUP(MAX($X464/$H464,$Y464/$I464),0))))</f>
        <v/>
      </c>
      <c r="AA464" s="84" t="str">
        <f aca="false">IF($D464&lt;&gt;1,"",IF(p_mode="Nœud",$Z464*$K464,$X464*IF($G464="IKS",p_iks_cpu,p_roks_cpu)+$Y464*IF($G464="IKS",p_iks_ram,p_roks_ram))*p_facteur)</f>
        <v/>
      </c>
      <c r="AB464" s="14" t="str">
        <f aca="false">IF($D464&lt;&gt;1,"",MAX($J464,ROUNDUP(MAX($L464/$H464,$M464/$I464),0)))</f>
        <v/>
      </c>
      <c r="AC464" s="84" t="str">
        <f aca="false">IF($D464&lt;&gt;1,"",IF(p_mode="Nœud",$AB464*$K464,$L464*IF($G464="IKS",p_iks_cpu,p_roks_cpu)+$M464*IF($G464="IKS",p_iks_ram,p_roks_ram))*p_facteur)</f>
        <v/>
      </c>
      <c r="AD464" s="14" t="str">
        <f aca="false">IF($D464&lt;&gt;1,"",IF(AND($G464="IKS",$AI464&lt;&gt;1,OR($L464-$P464&lt;$N464,$M464-$Q464&lt;$O464)),1,0))</f>
        <v/>
      </c>
      <c r="AE464" s="14" t="str">
        <f aca="false">IF($D464&lt;&gt;1,"",IF(AND($G464="ROKS",$T464&gt;p_maxworkers),1,0))</f>
        <v/>
      </c>
      <c r="AF464" s="14" t="str">
        <f aca="false">IF($D464&lt;&gt;1,"",IF(INDEX(TblClusters[Environnement],$B464)="","(vide)",INDEX(TblClusters[Environnement],$B464)))</f>
        <v/>
      </c>
      <c r="AG464" s="14" t="str">
        <f aca="false">IF($D464&lt;&gt;1,"",$R464+p_poidsram*$S464)</f>
        <v/>
      </c>
      <c r="AH464" s="14" t="str">
        <f aca="false">IF($D464&lt;&gt;1,"",IFERROR($W464/$AG464,0))</f>
        <v/>
      </c>
      <c r="AI464" s="14" t="str">
        <f aca="false">IF($D464&lt;&gt;1,"",IF(AND($G464="IKS",ISNUMBER(INDEX(TblClusters[Fermeture retenue],$B464))),IF($E464&gt;=INDEX(TblClusters[Fermeture retenue],$B464),1,0),0))</f>
        <v/>
      </c>
    </row>
    <row r="465" customFormat="false" ht="15" hidden="false" customHeight="false" outlineLevel="0" collapsed="false">
      <c r="A465" s="14" t="n">
        <v>460</v>
      </c>
      <c r="B465" s="14" t="n">
        <f aca="false">INT(($A465-1)/36)+1</f>
        <v>13</v>
      </c>
      <c r="C465" s="14" t="n">
        <f aca="false">MOD($A465-1,36)+1</f>
        <v>28</v>
      </c>
      <c r="D465" s="14" t="n">
        <f aca="false">IF($C465&gt;p_horizon,0,IFERROR(IF(AND(INDEX(TblClusters[Cluster],$B465)&lt;&gt;"",ISNUMBER(INDEX(TblClusters[CPU initial (vCPU)],$B465)),ISNUMBER(INDEX(TblClusters[CPU min (vCPU)],$B465)),OR(INDEX(TblClusters[Plateforme],$B465)="IKS",INDEX(TblClusters[Plateforme],$B465)="ROKS")),1,0),0))</f>
        <v>0</v>
      </c>
      <c r="E465" s="83" t="str">
        <f aca="false">IF($D465=1,EDATE(p_debut,$C465-1),"")</f>
        <v/>
      </c>
      <c r="F465" s="14" t="str">
        <f aca="false">IF($D465=1,INDEX(TblClusters[Cluster],$B465),"")</f>
        <v/>
      </c>
      <c r="G465" s="14" t="str">
        <f aca="false">IF($D465=1,INDEX(TblClusters[Plateforme],$B465),"")</f>
        <v/>
      </c>
      <c r="H465" s="14" t="str">
        <f aca="false">IF($D465=1,INDEX(TblClusters[vCPU par nœud],$B465),"")</f>
        <v/>
      </c>
      <c r="I465" s="14" t="str">
        <f aca="false">IF($D465=1,INDEX(TblClusters[RAM par nœud (Go)],$B465),"")</f>
        <v/>
      </c>
      <c r="J465" s="14" t="str">
        <f aca="false">IF($D465=1,INDEX(TblClusters[Workers min],$B465),"")</f>
        <v/>
      </c>
      <c r="K465" s="84" t="str">
        <f aca="false">IF($D465=1,INDEX(TblClusters[Tarif par nœud],$B465),"")</f>
        <v/>
      </c>
      <c r="L465" s="14" t="str">
        <f aca="false">IF($D465=1,INDEX(TblClusters[CPU initial (vCPU)],$B465),"")</f>
        <v/>
      </c>
      <c r="M465" s="14" t="str">
        <f aca="false">IF($D465=1,INDEX(TblClusters[RAM initiale (Go)],$B465),"")</f>
        <v/>
      </c>
      <c r="N465" s="14" t="str">
        <f aca="false">IF($D465=1,INDEX(TblClusters[CPU min (vCPU)],$B465),"")</f>
        <v/>
      </c>
      <c r="O465" s="14" t="str">
        <f aca="false">IF($D465=1,INDEX(TblClusters[RAM min (Go)],$B465),"")</f>
        <v/>
      </c>
      <c r="P465" s="14" t="str">
        <f aca="false">IF($D465&lt;&gt;1,"",IF($G465="ROKS",SUMIFS(TblApplications[Besoin ROKS CPU (vCPU)],TblApplications[Cluster ROKS cible],$F465,TblApplications[Action],"À migrer",TblApplications[Déjà incluse ROKS],"Non",TblApplications[Mois prov (calc)],"&lt;="&amp;$E465),SUMIFS(TblApplications[CPU IKS libérable (vCPU)],TblApplications[Cluster IKS source],$F465,TblApplications[Mois lib (calc)],"&lt;="&amp;$E465)))</f>
        <v/>
      </c>
      <c r="Q465" s="14" t="str">
        <f aca="false">IF($D465&lt;&gt;1,"",IF($G465="ROKS",SUMIFS(TblApplications[Besoin ROKS RAM (Go)],TblApplications[Cluster ROKS cible],$F465,TblApplications[Action],"À migrer",TblApplications[Déjà incluse ROKS],"Non",TblApplications[Mois prov (calc)],"&lt;="&amp;$E465),SUMIFS(TblApplications[RAM IKS libérable (Go)],TblApplications[Cluster IKS source],$F465,TblApplications[Mois lib (calc)],"&lt;="&amp;$E465)))</f>
        <v/>
      </c>
      <c r="R465" s="14" t="str">
        <f aca="false">IF($D465&lt;&gt;1,"",IF($G465="ROKS",$L465+$P465,IF($AI465=1,0,MAX($N465,$L465-$P465))))</f>
        <v/>
      </c>
      <c r="S465" s="14" t="str">
        <f aca="false">IF($D465&lt;&gt;1,"",IF($G465="ROKS",$M465+$Q465,IF($AI465=1,0,MAX($O465,$M465-$Q465))))</f>
        <v/>
      </c>
      <c r="T465" s="14" t="str">
        <f aca="false">IF($D465&lt;&gt;1,"",IF($AI465=1,0,MAX($J465,ROUNDUP(MAX($R465/$H465,$S465/$I465),0))))</f>
        <v/>
      </c>
      <c r="U465" s="14" t="str">
        <f aca="false">IF($D465&lt;&gt;1,"",IF(p_mode="Nœud",$T465*$H465,$R465))</f>
        <v/>
      </c>
      <c r="V465" s="14" t="str">
        <f aca="false">IF($D465&lt;&gt;1,"",IF(p_mode="Nœud",$T465*$I465,$S465))</f>
        <v/>
      </c>
      <c r="W465" s="84" t="str">
        <f aca="false">IF($D465&lt;&gt;1,"",IF(p_mode="Nœud",$T465*$K465,$R465*IF($G465="IKS",p_iks_cpu,p_roks_cpu)+$S465*IF($G465="IKS",p_iks_ram,p_roks_ram))*p_facteur)</f>
        <v/>
      </c>
      <c r="X465" s="14" t="str">
        <f aca="false">IF($D465&lt;&gt;1,"",IF($G465="ROKS",$R465,IF($AI465=1,0,MAX($N465,$L465-SUMIFS(TblApplications[CPU IKS libérable (vCPU)],TblApplications[Cluster IKS source],$F465,TblApplications[Action],"À migrer",TblApplications[Mois prov (calc)],"&lt;="&amp;$E465)-SUMIFS(TblApplications[CPU IKS libérable (vCPU)],TblApplications[Cluster IKS source],$F465,TblApplications[Action],"À décommissionner",TblApplications[Mois lib (calc)],"&lt;="&amp;$E465)))))</f>
        <v/>
      </c>
      <c r="Y465" s="14" t="str">
        <f aca="false">IF($D465&lt;&gt;1,"",IF($G465="ROKS",$S465,IF($AI465=1,0,MAX($O465,$M465-SUMIFS(TblApplications[RAM IKS libérable (Go)],TblApplications[Cluster IKS source],$F465,TblApplications[Action],"À migrer",TblApplications[Mois prov (calc)],"&lt;="&amp;$E465)-SUMIFS(TblApplications[RAM IKS libérable (Go)],TblApplications[Cluster IKS source],$F465,TblApplications[Action],"À décommissionner",TblApplications[Mois lib (calc)],"&lt;="&amp;$E465)))))</f>
        <v/>
      </c>
      <c r="Z465" s="14" t="str">
        <f aca="false">IF($D465&lt;&gt;1,"",IF($AI465=1,0,MAX($J465,ROUNDUP(MAX($X465/$H465,$Y465/$I465),0))))</f>
        <v/>
      </c>
      <c r="AA465" s="84" t="str">
        <f aca="false">IF($D465&lt;&gt;1,"",IF(p_mode="Nœud",$Z465*$K465,$X465*IF($G465="IKS",p_iks_cpu,p_roks_cpu)+$Y465*IF($G465="IKS",p_iks_ram,p_roks_ram))*p_facteur)</f>
        <v/>
      </c>
      <c r="AB465" s="14" t="str">
        <f aca="false">IF($D465&lt;&gt;1,"",MAX($J465,ROUNDUP(MAX($L465/$H465,$M465/$I465),0)))</f>
        <v/>
      </c>
      <c r="AC465" s="84" t="str">
        <f aca="false">IF($D465&lt;&gt;1,"",IF(p_mode="Nœud",$AB465*$K465,$L465*IF($G465="IKS",p_iks_cpu,p_roks_cpu)+$M465*IF($G465="IKS",p_iks_ram,p_roks_ram))*p_facteur)</f>
        <v/>
      </c>
      <c r="AD465" s="14" t="str">
        <f aca="false">IF($D465&lt;&gt;1,"",IF(AND($G465="IKS",$AI465&lt;&gt;1,OR($L465-$P465&lt;$N465,$M465-$Q465&lt;$O465)),1,0))</f>
        <v/>
      </c>
      <c r="AE465" s="14" t="str">
        <f aca="false">IF($D465&lt;&gt;1,"",IF(AND($G465="ROKS",$T465&gt;p_maxworkers),1,0))</f>
        <v/>
      </c>
      <c r="AF465" s="14" t="str">
        <f aca="false">IF($D465&lt;&gt;1,"",IF(INDEX(TblClusters[Environnement],$B465)="","(vide)",INDEX(TblClusters[Environnement],$B465)))</f>
        <v/>
      </c>
      <c r="AG465" s="14" t="str">
        <f aca="false">IF($D465&lt;&gt;1,"",$R465+p_poidsram*$S465)</f>
        <v/>
      </c>
      <c r="AH465" s="14" t="str">
        <f aca="false">IF($D465&lt;&gt;1,"",IFERROR($W465/$AG465,0))</f>
        <v/>
      </c>
      <c r="AI465" s="14" t="str">
        <f aca="false">IF($D465&lt;&gt;1,"",IF(AND($G465="IKS",ISNUMBER(INDEX(TblClusters[Fermeture retenue],$B465))),IF($E465&gt;=INDEX(TblClusters[Fermeture retenue],$B465),1,0),0))</f>
        <v/>
      </c>
    </row>
    <row r="466" customFormat="false" ht="15" hidden="false" customHeight="false" outlineLevel="0" collapsed="false">
      <c r="A466" s="14" t="n">
        <v>461</v>
      </c>
      <c r="B466" s="14" t="n">
        <f aca="false">INT(($A466-1)/36)+1</f>
        <v>13</v>
      </c>
      <c r="C466" s="14" t="n">
        <f aca="false">MOD($A466-1,36)+1</f>
        <v>29</v>
      </c>
      <c r="D466" s="14" t="n">
        <f aca="false">IF($C466&gt;p_horizon,0,IFERROR(IF(AND(INDEX(TblClusters[Cluster],$B466)&lt;&gt;"",ISNUMBER(INDEX(TblClusters[CPU initial (vCPU)],$B466)),ISNUMBER(INDEX(TblClusters[CPU min (vCPU)],$B466)),OR(INDEX(TblClusters[Plateforme],$B466)="IKS",INDEX(TblClusters[Plateforme],$B466)="ROKS")),1,0),0))</f>
        <v>0</v>
      </c>
      <c r="E466" s="83" t="str">
        <f aca="false">IF($D466=1,EDATE(p_debut,$C466-1),"")</f>
        <v/>
      </c>
      <c r="F466" s="14" t="str">
        <f aca="false">IF($D466=1,INDEX(TblClusters[Cluster],$B466),"")</f>
        <v/>
      </c>
      <c r="G466" s="14" t="str">
        <f aca="false">IF($D466=1,INDEX(TblClusters[Plateforme],$B466),"")</f>
        <v/>
      </c>
      <c r="H466" s="14" t="str">
        <f aca="false">IF($D466=1,INDEX(TblClusters[vCPU par nœud],$B466),"")</f>
        <v/>
      </c>
      <c r="I466" s="14" t="str">
        <f aca="false">IF($D466=1,INDEX(TblClusters[RAM par nœud (Go)],$B466),"")</f>
        <v/>
      </c>
      <c r="J466" s="14" t="str">
        <f aca="false">IF($D466=1,INDEX(TblClusters[Workers min],$B466),"")</f>
        <v/>
      </c>
      <c r="K466" s="84" t="str">
        <f aca="false">IF($D466=1,INDEX(TblClusters[Tarif par nœud],$B466),"")</f>
        <v/>
      </c>
      <c r="L466" s="14" t="str">
        <f aca="false">IF($D466=1,INDEX(TblClusters[CPU initial (vCPU)],$B466),"")</f>
        <v/>
      </c>
      <c r="M466" s="14" t="str">
        <f aca="false">IF($D466=1,INDEX(TblClusters[RAM initiale (Go)],$B466),"")</f>
        <v/>
      </c>
      <c r="N466" s="14" t="str">
        <f aca="false">IF($D466=1,INDEX(TblClusters[CPU min (vCPU)],$B466),"")</f>
        <v/>
      </c>
      <c r="O466" s="14" t="str">
        <f aca="false">IF($D466=1,INDEX(TblClusters[RAM min (Go)],$B466),"")</f>
        <v/>
      </c>
      <c r="P466" s="14" t="str">
        <f aca="false">IF($D466&lt;&gt;1,"",IF($G466="ROKS",SUMIFS(TblApplications[Besoin ROKS CPU (vCPU)],TblApplications[Cluster ROKS cible],$F466,TblApplications[Action],"À migrer",TblApplications[Déjà incluse ROKS],"Non",TblApplications[Mois prov (calc)],"&lt;="&amp;$E466),SUMIFS(TblApplications[CPU IKS libérable (vCPU)],TblApplications[Cluster IKS source],$F466,TblApplications[Mois lib (calc)],"&lt;="&amp;$E466)))</f>
        <v/>
      </c>
      <c r="Q466" s="14" t="str">
        <f aca="false">IF($D466&lt;&gt;1,"",IF($G466="ROKS",SUMIFS(TblApplications[Besoin ROKS RAM (Go)],TblApplications[Cluster ROKS cible],$F466,TblApplications[Action],"À migrer",TblApplications[Déjà incluse ROKS],"Non",TblApplications[Mois prov (calc)],"&lt;="&amp;$E466),SUMIFS(TblApplications[RAM IKS libérable (Go)],TblApplications[Cluster IKS source],$F466,TblApplications[Mois lib (calc)],"&lt;="&amp;$E466)))</f>
        <v/>
      </c>
      <c r="R466" s="14" t="str">
        <f aca="false">IF($D466&lt;&gt;1,"",IF($G466="ROKS",$L466+$P466,IF($AI466=1,0,MAX($N466,$L466-$P466))))</f>
        <v/>
      </c>
      <c r="S466" s="14" t="str">
        <f aca="false">IF($D466&lt;&gt;1,"",IF($G466="ROKS",$M466+$Q466,IF($AI466=1,0,MAX($O466,$M466-$Q466))))</f>
        <v/>
      </c>
      <c r="T466" s="14" t="str">
        <f aca="false">IF($D466&lt;&gt;1,"",IF($AI466=1,0,MAX($J466,ROUNDUP(MAX($R466/$H466,$S466/$I466),0))))</f>
        <v/>
      </c>
      <c r="U466" s="14" t="str">
        <f aca="false">IF($D466&lt;&gt;1,"",IF(p_mode="Nœud",$T466*$H466,$R466))</f>
        <v/>
      </c>
      <c r="V466" s="14" t="str">
        <f aca="false">IF($D466&lt;&gt;1,"",IF(p_mode="Nœud",$T466*$I466,$S466))</f>
        <v/>
      </c>
      <c r="W466" s="84" t="str">
        <f aca="false">IF($D466&lt;&gt;1,"",IF(p_mode="Nœud",$T466*$K466,$R466*IF($G466="IKS",p_iks_cpu,p_roks_cpu)+$S466*IF($G466="IKS",p_iks_ram,p_roks_ram))*p_facteur)</f>
        <v/>
      </c>
      <c r="X466" s="14" t="str">
        <f aca="false">IF($D466&lt;&gt;1,"",IF($G466="ROKS",$R466,IF($AI466=1,0,MAX($N466,$L466-SUMIFS(TblApplications[CPU IKS libérable (vCPU)],TblApplications[Cluster IKS source],$F466,TblApplications[Action],"À migrer",TblApplications[Mois prov (calc)],"&lt;="&amp;$E466)-SUMIFS(TblApplications[CPU IKS libérable (vCPU)],TblApplications[Cluster IKS source],$F466,TblApplications[Action],"À décommissionner",TblApplications[Mois lib (calc)],"&lt;="&amp;$E466)))))</f>
        <v/>
      </c>
      <c r="Y466" s="14" t="str">
        <f aca="false">IF($D466&lt;&gt;1,"",IF($G466="ROKS",$S466,IF($AI466=1,0,MAX($O466,$M466-SUMIFS(TblApplications[RAM IKS libérable (Go)],TblApplications[Cluster IKS source],$F466,TblApplications[Action],"À migrer",TblApplications[Mois prov (calc)],"&lt;="&amp;$E466)-SUMIFS(TblApplications[RAM IKS libérable (Go)],TblApplications[Cluster IKS source],$F466,TblApplications[Action],"À décommissionner",TblApplications[Mois lib (calc)],"&lt;="&amp;$E466)))))</f>
        <v/>
      </c>
      <c r="Z466" s="14" t="str">
        <f aca="false">IF($D466&lt;&gt;1,"",IF($AI466=1,0,MAX($J466,ROUNDUP(MAX($X466/$H466,$Y466/$I466),0))))</f>
        <v/>
      </c>
      <c r="AA466" s="84" t="str">
        <f aca="false">IF($D466&lt;&gt;1,"",IF(p_mode="Nœud",$Z466*$K466,$X466*IF($G466="IKS",p_iks_cpu,p_roks_cpu)+$Y466*IF($G466="IKS",p_iks_ram,p_roks_ram))*p_facteur)</f>
        <v/>
      </c>
      <c r="AB466" s="14" t="str">
        <f aca="false">IF($D466&lt;&gt;1,"",MAX($J466,ROUNDUP(MAX($L466/$H466,$M466/$I466),0)))</f>
        <v/>
      </c>
      <c r="AC466" s="84" t="str">
        <f aca="false">IF($D466&lt;&gt;1,"",IF(p_mode="Nœud",$AB466*$K466,$L466*IF($G466="IKS",p_iks_cpu,p_roks_cpu)+$M466*IF($G466="IKS",p_iks_ram,p_roks_ram))*p_facteur)</f>
        <v/>
      </c>
      <c r="AD466" s="14" t="str">
        <f aca="false">IF($D466&lt;&gt;1,"",IF(AND($G466="IKS",$AI466&lt;&gt;1,OR($L466-$P466&lt;$N466,$M466-$Q466&lt;$O466)),1,0))</f>
        <v/>
      </c>
      <c r="AE466" s="14" t="str">
        <f aca="false">IF($D466&lt;&gt;1,"",IF(AND($G466="ROKS",$T466&gt;p_maxworkers),1,0))</f>
        <v/>
      </c>
      <c r="AF466" s="14" t="str">
        <f aca="false">IF($D466&lt;&gt;1,"",IF(INDEX(TblClusters[Environnement],$B466)="","(vide)",INDEX(TblClusters[Environnement],$B466)))</f>
        <v/>
      </c>
      <c r="AG466" s="14" t="str">
        <f aca="false">IF($D466&lt;&gt;1,"",$R466+p_poidsram*$S466)</f>
        <v/>
      </c>
      <c r="AH466" s="14" t="str">
        <f aca="false">IF($D466&lt;&gt;1,"",IFERROR($W466/$AG466,0))</f>
        <v/>
      </c>
      <c r="AI466" s="14" t="str">
        <f aca="false">IF($D466&lt;&gt;1,"",IF(AND($G466="IKS",ISNUMBER(INDEX(TblClusters[Fermeture retenue],$B466))),IF($E466&gt;=INDEX(TblClusters[Fermeture retenue],$B466),1,0),0))</f>
        <v/>
      </c>
    </row>
    <row r="467" customFormat="false" ht="15" hidden="false" customHeight="false" outlineLevel="0" collapsed="false">
      <c r="A467" s="14" t="n">
        <v>462</v>
      </c>
      <c r="B467" s="14" t="n">
        <f aca="false">INT(($A467-1)/36)+1</f>
        <v>13</v>
      </c>
      <c r="C467" s="14" t="n">
        <f aca="false">MOD($A467-1,36)+1</f>
        <v>30</v>
      </c>
      <c r="D467" s="14" t="n">
        <f aca="false">IF($C467&gt;p_horizon,0,IFERROR(IF(AND(INDEX(TblClusters[Cluster],$B467)&lt;&gt;"",ISNUMBER(INDEX(TblClusters[CPU initial (vCPU)],$B467)),ISNUMBER(INDEX(TblClusters[CPU min (vCPU)],$B467)),OR(INDEX(TblClusters[Plateforme],$B467)="IKS",INDEX(TblClusters[Plateforme],$B467)="ROKS")),1,0),0))</f>
        <v>0</v>
      </c>
      <c r="E467" s="83" t="str">
        <f aca="false">IF($D467=1,EDATE(p_debut,$C467-1),"")</f>
        <v/>
      </c>
      <c r="F467" s="14" t="str">
        <f aca="false">IF($D467=1,INDEX(TblClusters[Cluster],$B467),"")</f>
        <v/>
      </c>
      <c r="G467" s="14" t="str">
        <f aca="false">IF($D467=1,INDEX(TblClusters[Plateforme],$B467),"")</f>
        <v/>
      </c>
      <c r="H467" s="14" t="str">
        <f aca="false">IF($D467=1,INDEX(TblClusters[vCPU par nœud],$B467),"")</f>
        <v/>
      </c>
      <c r="I467" s="14" t="str">
        <f aca="false">IF($D467=1,INDEX(TblClusters[RAM par nœud (Go)],$B467),"")</f>
        <v/>
      </c>
      <c r="J467" s="14" t="str">
        <f aca="false">IF($D467=1,INDEX(TblClusters[Workers min],$B467),"")</f>
        <v/>
      </c>
      <c r="K467" s="84" t="str">
        <f aca="false">IF($D467=1,INDEX(TblClusters[Tarif par nœud],$B467),"")</f>
        <v/>
      </c>
      <c r="L467" s="14" t="str">
        <f aca="false">IF($D467=1,INDEX(TblClusters[CPU initial (vCPU)],$B467),"")</f>
        <v/>
      </c>
      <c r="M467" s="14" t="str">
        <f aca="false">IF($D467=1,INDEX(TblClusters[RAM initiale (Go)],$B467),"")</f>
        <v/>
      </c>
      <c r="N467" s="14" t="str">
        <f aca="false">IF($D467=1,INDEX(TblClusters[CPU min (vCPU)],$B467),"")</f>
        <v/>
      </c>
      <c r="O467" s="14" t="str">
        <f aca="false">IF($D467=1,INDEX(TblClusters[RAM min (Go)],$B467),"")</f>
        <v/>
      </c>
      <c r="P467" s="14" t="str">
        <f aca="false">IF($D467&lt;&gt;1,"",IF($G467="ROKS",SUMIFS(TblApplications[Besoin ROKS CPU (vCPU)],TblApplications[Cluster ROKS cible],$F467,TblApplications[Action],"À migrer",TblApplications[Déjà incluse ROKS],"Non",TblApplications[Mois prov (calc)],"&lt;="&amp;$E467),SUMIFS(TblApplications[CPU IKS libérable (vCPU)],TblApplications[Cluster IKS source],$F467,TblApplications[Mois lib (calc)],"&lt;="&amp;$E467)))</f>
        <v/>
      </c>
      <c r="Q467" s="14" t="str">
        <f aca="false">IF($D467&lt;&gt;1,"",IF($G467="ROKS",SUMIFS(TblApplications[Besoin ROKS RAM (Go)],TblApplications[Cluster ROKS cible],$F467,TblApplications[Action],"À migrer",TblApplications[Déjà incluse ROKS],"Non",TblApplications[Mois prov (calc)],"&lt;="&amp;$E467),SUMIFS(TblApplications[RAM IKS libérable (Go)],TblApplications[Cluster IKS source],$F467,TblApplications[Mois lib (calc)],"&lt;="&amp;$E467)))</f>
        <v/>
      </c>
      <c r="R467" s="14" t="str">
        <f aca="false">IF($D467&lt;&gt;1,"",IF($G467="ROKS",$L467+$P467,IF($AI467=1,0,MAX($N467,$L467-$P467))))</f>
        <v/>
      </c>
      <c r="S467" s="14" t="str">
        <f aca="false">IF($D467&lt;&gt;1,"",IF($G467="ROKS",$M467+$Q467,IF($AI467=1,0,MAX($O467,$M467-$Q467))))</f>
        <v/>
      </c>
      <c r="T467" s="14" t="str">
        <f aca="false">IF($D467&lt;&gt;1,"",IF($AI467=1,0,MAX($J467,ROUNDUP(MAX($R467/$H467,$S467/$I467),0))))</f>
        <v/>
      </c>
      <c r="U467" s="14" t="str">
        <f aca="false">IF($D467&lt;&gt;1,"",IF(p_mode="Nœud",$T467*$H467,$R467))</f>
        <v/>
      </c>
      <c r="V467" s="14" t="str">
        <f aca="false">IF($D467&lt;&gt;1,"",IF(p_mode="Nœud",$T467*$I467,$S467))</f>
        <v/>
      </c>
      <c r="W467" s="84" t="str">
        <f aca="false">IF($D467&lt;&gt;1,"",IF(p_mode="Nœud",$T467*$K467,$R467*IF($G467="IKS",p_iks_cpu,p_roks_cpu)+$S467*IF($G467="IKS",p_iks_ram,p_roks_ram))*p_facteur)</f>
        <v/>
      </c>
      <c r="X467" s="14" t="str">
        <f aca="false">IF($D467&lt;&gt;1,"",IF($G467="ROKS",$R467,IF($AI467=1,0,MAX($N467,$L467-SUMIFS(TblApplications[CPU IKS libérable (vCPU)],TblApplications[Cluster IKS source],$F467,TblApplications[Action],"À migrer",TblApplications[Mois prov (calc)],"&lt;="&amp;$E467)-SUMIFS(TblApplications[CPU IKS libérable (vCPU)],TblApplications[Cluster IKS source],$F467,TblApplications[Action],"À décommissionner",TblApplications[Mois lib (calc)],"&lt;="&amp;$E467)))))</f>
        <v/>
      </c>
      <c r="Y467" s="14" t="str">
        <f aca="false">IF($D467&lt;&gt;1,"",IF($G467="ROKS",$S467,IF($AI467=1,0,MAX($O467,$M467-SUMIFS(TblApplications[RAM IKS libérable (Go)],TblApplications[Cluster IKS source],$F467,TblApplications[Action],"À migrer",TblApplications[Mois prov (calc)],"&lt;="&amp;$E467)-SUMIFS(TblApplications[RAM IKS libérable (Go)],TblApplications[Cluster IKS source],$F467,TblApplications[Action],"À décommissionner",TblApplications[Mois lib (calc)],"&lt;="&amp;$E467)))))</f>
        <v/>
      </c>
      <c r="Z467" s="14" t="str">
        <f aca="false">IF($D467&lt;&gt;1,"",IF($AI467=1,0,MAX($J467,ROUNDUP(MAX($X467/$H467,$Y467/$I467),0))))</f>
        <v/>
      </c>
      <c r="AA467" s="84" t="str">
        <f aca="false">IF($D467&lt;&gt;1,"",IF(p_mode="Nœud",$Z467*$K467,$X467*IF($G467="IKS",p_iks_cpu,p_roks_cpu)+$Y467*IF($G467="IKS",p_iks_ram,p_roks_ram))*p_facteur)</f>
        <v/>
      </c>
      <c r="AB467" s="14" t="str">
        <f aca="false">IF($D467&lt;&gt;1,"",MAX($J467,ROUNDUP(MAX($L467/$H467,$M467/$I467),0)))</f>
        <v/>
      </c>
      <c r="AC467" s="84" t="str">
        <f aca="false">IF($D467&lt;&gt;1,"",IF(p_mode="Nœud",$AB467*$K467,$L467*IF($G467="IKS",p_iks_cpu,p_roks_cpu)+$M467*IF($G467="IKS",p_iks_ram,p_roks_ram))*p_facteur)</f>
        <v/>
      </c>
      <c r="AD467" s="14" t="str">
        <f aca="false">IF($D467&lt;&gt;1,"",IF(AND($G467="IKS",$AI467&lt;&gt;1,OR($L467-$P467&lt;$N467,$M467-$Q467&lt;$O467)),1,0))</f>
        <v/>
      </c>
      <c r="AE467" s="14" t="str">
        <f aca="false">IF($D467&lt;&gt;1,"",IF(AND($G467="ROKS",$T467&gt;p_maxworkers),1,0))</f>
        <v/>
      </c>
      <c r="AF467" s="14" t="str">
        <f aca="false">IF($D467&lt;&gt;1,"",IF(INDEX(TblClusters[Environnement],$B467)="","(vide)",INDEX(TblClusters[Environnement],$B467)))</f>
        <v/>
      </c>
      <c r="AG467" s="14" t="str">
        <f aca="false">IF($D467&lt;&gt;1,"",$R467+p_poidsram*$S467)</f>
        <v/>
      </c>
      <c r="AH467" s="14" t="str">
        <f aca="false">IF($D467&lt;&gt;1,"",IFERROR($W467/$AG467,0))</f>
        <v/>
      </c>
      <c r="AI467" s="14" t="str">
        <f aca="false">IF($D467&lt;&gt;1,"",IF(AND($G467="IKS",ISNUMBER(INDEX(TblClusters[Fermeture retenue],$B467))),IF($E467&gt;=INDEX(TblClusters[Fermeture retenue],$B467),1,0),0))</f>
        <v/>
      </c>
    </row>
    <row r="468" customFormat="false" ht="15" hidden="false" customHeight="false" outlineLevel="0" collapsed="false">
      <c r="A468" s="14" t="n">
        <v>463</v>
      </c>
      <c r="B468" s="14" t="n">
        <f aca="false">INT(($A468-1)/36)+1</f>
        <v>13</v>
      </c>
      <c r="C468" s="14" t="n">
        <f aca="false">MOD($A468-1,36)+1</f>
        <v>31</v>
      </c>
      <c r="D468" s="14" t="n">
        <f aca="false">IF($C468&gt;p_horizon,0,IFERROR(IF(AND(INDEX(TblClusters[Cluster],$B468)&lt;&gt;"",ISNUMBER(INDEX(TblClusters[CPU initial (vCPU)],$B468)),ISNUMBER(INDEX(TblClusters[CPU min (vCPU)],$B468)),OR(INDEX(TblClusters[Plateforme],$B468)="IKS",INDEX(TblClusters[Plateforme],$B468)="ROKS")),1,0),0))</f>
        <v>0</v>
      </c>
      <c r="E468" s="83" t="str">
        <f aca="false">IF($D468=1,EDATE(p_debut,$C468-1),"")</f>
        <v/>
      </c>
      <c r="F468" s="14" t="str">
        <f aca="false">IF($D468=1,INDEX(TblClusters[Cluster],$B468),"")</f>
        <v/>
      </c>
      <c r="G468" s="14" t="str">
        <f aca="false">IF($D468=1,INDEX(TblClusters[Plateforme],$B468),"")</f>
        <v/>
      </c>
      <c r="H468" s="14" t="str">
        <f aca="false">IF($D468=1,INDEX(TblClusters[vCPU par nœud],$B468),"")</f>
        <v/>
      </c>
      <c r="I468" s="14" t="str">
        <f aca="false">IF($D468=1,INDEX(TblClusters[RAM par nœud (Go)],$B468),"")</f>
        <v/>
      </c>
      <c r="J468" s="14" t="str">
        <f aca="false">IF($D468=1,INDEX(TblClusters[Workers min],$B468),"")</f>
        <v/>
      </c>
      <c r="K468" s="84" t="str">
        <f aca="false">IF($D468=1,INDEX(TblClusters[Tarif par nœud],$B468),"")</f>
        <v/>
      </c>
      <c r="L468" s="14" t="str">
        <f aca="false">IF($D468=1,INDEX(TblClusters[CPU initial (vCPU)],$B468),"")</f>
        <v/>
      </c>
      <c r="M468" s="14" t="str">
        <f aca="false">IF($D468=1,INDEX(TblClusters[RAM initiale (Go)],$B468),"")</f>
        <v/>
      </c>
      <c r="N468" s="14" t="str">
        <f aca="false">IF($D468=1,INDEX(TblClusters[CPU min (vCPU)],$B468),"")</f>
        <v/>
      </c>
      <c r="O468" s="14" t="str">
        <f aca="false">IF($D468=1,INDEX(TblClusters[RAM min (Go)],$B468),"")</f>
        <v/>
      </c>
      <c r="P468" s="14" t="str">
        <f aca="false">IF($D468&lt;&gt;1,"",IF($G468="ROKS",SUMIFS(TblApplications[Besoin ROKS CPU (vCPU)],TblApplications[Cluster ROKS cible],$F468,TblApplications[Action],"À migrer",TblApplications[Déjà incluse ROKS],"Non",TblApplications[Mois prov (calc)],"&lt;="&amp;$E468),SUMIFS(TblApplications[CPU IKS libérable (vCPU)],TblApplications[Cluster IKS source],$F468,TblApplications[Mois lib (calc)],"&lt;="&amp;$E468)))</f>
        <v/>
      </c>
      <c r="Q468" s="14" t="str">
        <f aca="false">IF($D468&lt;&gt;1,"",IF($G468="ROKS",SUMIFS(TblApplications[Besoin ROKS RAM (Go)],TblApplications[Cluster ROKS cible],$F468,TblApplications[Action],"À migrer",TblApplications[Déjà incluse ROKS],"Non",TblApplications[Mois prov (calc)],"&lt;="&amp;$E468),SUMIFS(TblApplications[RAM IKS libérable (Go)],TblApplications[Cluster IKS source],$F468,TblApplications[Mois lib (calc)],"&lt;="&amp;$E468)))</f>
        <v/>
      </c>
      <c r="R468" s="14" t="str">
        <f aca="false">IF($D468&lt;&gt;1,"",IF($G468="ROKS",$L468+$P468,IF($AI468=1,0,MAX($N468,$L468-$P468))))</f>
        <v/>
      </c>
      <c r="S468" s="14" t="str">
        <f aca="false">IF($D468&lt;&gt;1,"",IF($G468="ROKS",$M468+$Q468,IF($AI468=1,0,MAX($O468,$M468-$Q468))))</f>
        <v/>
      </c>
      <c r="T468" s="14" t="str">
        <f aca="false">IF($D468&lt;&gt;1,"",IF($AI468=1,0,MAX($J468,ROUNDUP(MAX($R468/$H468,$S468/$I468),0))))</f>
        <v/>
      </c>
      <c r="U468" s="14" t="str">
        <f aca="false">IF($D468&lt;&gt;1,"",IF(p_mode="Nœud",$T468*$H468,$R468))</f>
        <v/>
      </c>
      <c r="V468" s="14" t="str">
        <f aca="false">IF($D468&lt;&gt;1,"",IF(p_mode="Nœud",$T468*$I468,$S468))</f>
        <v/>
      </c>
      <c r="W468" s="84" t="str">
        <f aca="false">IF($D468&lt;&gt;1,"",IF(p_mode="Nœud",$T468*$K468,$R468*IF($G468="IKS",p_iks_cpu,p_roks_cpu)+$S468*IF($G468="IKS",p_iks_ram,p_roks_ram))*p_facteur)</f>
        <v/>
      </c>
      <c r="X468" s="14" t="str">
        <f aca="false">IF($D468&lt;&gt;1,"",IF($G468="ROKS",$R468,IF($AI468=1,0,MAX($N468,$L468-SUMIFS(TblApplications[CPU IKS libérable (vCPU)],TblApplications[Cluster IKS source],$F468,TblApplications[Action],"À migrer",TblApplications[Mois prov (calc)],"&lt;="&amp;$E468)-SUMIFS(TblApplications[CPU IKS libérable (vCPU)],TblApplications[Cluster IKS source],$F468,TblApplications[Action],"À décommissionner",TblApplications[Mois lib (calc)],"&lt;="&amp;$E468)))))</f>
        <v/>
      </c>
      <c r="Y468" s="14" t="str">
        <f aca="false">IF($D468&lt;&gt;1,"",IF($G468="ROKS",$S468,IF($AI468=1,0,MAX($O468,$M468-SUMIFS(TblApplications[RAM IKS libérable (Go)],TblApplications[Cluster IKS source],$F468,TblApplications[Action],"À migrer",TblApplications[Mois prov (calc)],"&lt;="&amp;$E468)-SUMIFS(TblApplications[RAM IKS libérable (Go)],TblApplications[Cluster IKS source],$F468,TblApplications[Action],"À décommissionner",TblApplications[Mois lib (calc)],"&lt;="&amp;$E468)))))</f>
        <v/>
      </c>
      <c r="Z468" s="14" t="str">
        <f aca="false">IF($D468&lt;&gt;1,"",IF($AI468=1,0,MAX($J468,ROUNDUP(MAX($X468/$H468,$Y468/$I468),0))))</f>
        <v/>
      </c>
      <c r="AA468" s="84" t="str">
        <f aca="false">IF($D468&lt;&gt;1,"",IF(p_mode="Nœud",$Z468*$K468,$X468*IF($G468="IKS",p_iks_cpu,p_roks_cpu)+$Y468*IF($G468="IKS",p_iks_ram,p_roks_ram))*p_facteur)</f>
        <v/>
      </c>
      <c r="AB468" s="14" t="str">
        <f aca="false">IF($D468&lt;&gt;1,"",MAX($J468,ROUNDUP(MAX($L468/$H468,$M468/$I468),0)))</f>
        <v/>
      </c>
      <c r="AC468" s="84" t="str">
        <f aca="false">IF($D468&lt;&gt;1,"",IF(p_mode="Nœud",$AB468*$K468,$L468*IF($G468="IKS",p_iks_cpu,p_roks_cpu)+$M468*IF($G468="IKS",p_iks_ram,p_roks_ram))*p_facteur)</f>
        <v/>
      </c>
      <c r="AD468" s="14" t="str">
        <f aca="false">IF($D468&lt;&gt;1,"",IF(AND($G468="IKS",$AI468&lt;&gt;1,OR($L468-$P468&lt;$N468,$M468-$Q468&lt;$O468)),1,0))</f>
        <v/>
      </c>
      <c r="AE468" s="14" t="str">
        <f aca="false">IF($D468&lt;&gt;1,"",IF(AND($G468="ROKS",$T468&gt;p_maxworkers),1,0))</f>
        <v/>
      </c>
      <c r="AF468" s="14" t="str">
        <f aca="false">IF($D468&lt;&gt;1,"",IF(INDEX(TblClusters[Environnement],$B468)="","(vide)",INDEX(TblClusters[Environnement],$B468)))</f>
        <v/>
      </c>
      <c r="AG468" s="14" t="str">
        <f aca="false">IF($D468&lt;&gt;1,"",$R468+p_poidsram*$S468)</f>
        <v/>
      </c>
      <c r="AH468" s="14" t="str">
        <f aca="false">IF($D468&lt;&gt;1,"",IFERROR($W468/$AG468,0))</f>
        <v/>
      </c>
      <c r="AI468" s="14" t="str">
        <f aca="false">IF($D468&lt;&gt;1,"",IF(AND($G468="IKS",ISNUMBER(INDEX(TblClusters[Fermeture retenue],$B468))),IF($E468&gt;=INDEX(TblClusters[Fermeture retenue],$B468),1,0),0))</f>
        <v/>
      </c>
    </row>
    <row r="469" customFormat="false" ht="15" hidden="false" customHeight="false" outlineLevel="0" collapsed="false">
      <c r="A469" s="14" t="n">
        <v>464</v>
      </c>
      <c r="B469" s="14" t="n">
        <f aca="false">INT(($A469-1)/36)+1</f>
        <v>13</v>
      </c>
      <c r="C469" s="14" t="n">
        <f aca="false">MOD($A469-1,36)+1</f>
        <v>32</v>
      </c>
      <c r="D469" s="14" t="n">
        <f aca="false">IF($C469&gt;p_horizon,0,IFERROR(IF(AND(INDEX(TblClusters[Cluster],$B469)&lt;&gt;"",ISNUMBER(INDEX(TblClusters[CPU initial (vCPU)],$B469)),ISNUMBER(INDEX(TblClusters[CPU min (vCPU)],$B469)),OR(INDEX(TblClusters[Plateforme],$B469)="IKS",INDEX(TblClusters[Plateforme],$B469)="ROKS")),1,0),0))</f>
        <v>0</v>
      </c>
      <c r="E469" s="83" t="str">
        <f aca="false">IF($D469=1,EDATE(p_debut,$C469-1),"")</f>
        <v/>
      </c>
      <c r="F469" s="14" t="str">
        <f aca="false">IF($D469=1,INDEX(TblClusters[Cluster],$B469),"")</f>
        <v/>
      </c>
      <c r="G469" s="14" t="str">
        <f aca="false">IF($D469=1,INDEX(TblClusters[Plateforme],$B469),"")</f>
        <v/>
      </c>
      <c r="H469" s="14" t="str">
        <f aca="false">IF($D469=1,INDEX(TblClusters[vCPU par nœud],$B469),"")</f>
        <v/>
      </c>
      <c r="I469" s="14" t="str">
        <f aca="false">IF($D469=1,INDEX(TblClusters[RAM par nœud (Go)],$B469),"")</f>
        <v/>
      </c>
      <c r="J469" s="14" t="str">
        <f aca="false">IF($D469=1,INDEX(TblClusters[Workers min],$B469),"")</f>
        <v/>
      </c>
      <c r="K469" s="84" t="str">
        <f aca="false">IF($D469=1,INDEX(TblClusters[Tarif par nœud],$B469),"")</f>
        <v/>
      </c>
      <c r="L469" s="14" t="str">
        <f aca="false">IF($D469=1,INDEX(TblClusters[CPU initial (vCPU)],$B469),"")</f>
        <v/>
      </c>
      <c r="M469" s="14" t="str">
        <f aca="false">IF($D469=1,INDEX(TblClusters[RAM initiale (Go)],$B469),"")</f>
        <v/>
      </c>
      <c r="N469" s="14" t="str">
        <f aca="false">IF($D469=1,INDEX(TblClusters[CPU min (vCPU)],$B469),"")</f>
        <v/>
      </c>
      <c r="O469" s="14" t="str">
        <f aca="false">IF($D469=1,INDEX(TblClusters[RAM min (Go)],$B469),"")</f>
        <v/>
      </c>
      <c r="P469" s="14" t="str">
        <f aca="false">IF($D469&lt;&gt;1,"",IF($G469="ROKS",SUMIFS(TblApplications[Besoin ROKS CPU (vCPU)],TblApplications[Cluster ROKS cible],$F469,TblApplications[Action],"À migrer",TblApplications[Déjà incluse ROKS],"Non",TblApplications[Mois prov (calc)],"&lt;="&amp;$E469),SUMIFS(TblApplications[CPU IKS libérable (vCPU)],TblApplications[Cluster IKS source],$F469,TblApplications[Mois lib (calc)],"&lt;="&amp;$E469)))</f>
        <v/>
      </c>
      <c r="Q469" s="14" t="str">
        <f aca="false">IF($D469&lt;&gt;1,"",IF($G469="ROKS",SUMIFS(TblApplications[Besoin ROKS RAM (Go)],TblApplications[Cluster ROKS cible],$F469,TblApplications[Action],"À migrer",TblApplications[Déjà incluse ROKS],"Non",TblApplications[Mois prov (calc)],"&lt;="&amp;$E469),SUMIFS(TblApplications[RAM IKS libérable (Go)],TblApplications[Cluster IKS source],$F469,TblApplications[Mois lib (calc)],"&lt;="&amp;$E469)))</f>
        <v/>
      </c>
      <c r="R469" s="14" t="str">
        <f aca="false">IF($D469&lt;&gt;1,"",IF($G469="ROKS",$L469+$P469,IF($AI469=1,0,MAX($N469,$L469-$P469))))</f>
        <v/>
      </c>
      <c r="S469" s="14" t="str">
        <f aca="false">IF($D469&lt;&gt;1,"",IF($G469="ROKS",$M469+$Q469,IF($AI469=1,0,MAX($O469,$M469-$Q469))))</f>
        <v/>
      </c>
      <c r="T469" s="14" t="str">
        <f aca="false">IF($D469&lt;&gt;1,"",IF($AI469=1,0,MAX($J469,ROUNDUP(MAX($R469/$H469,$S469/$I469),0))))</f>
        <v/>
      </c>
      <c r="U469" s="14" t="str">
        <f aca="false">IF($D469&lt;&gt;1,"",IF(p_mode="Nœud",$T469*$H469,$R469))</f>
        <v/>
      </c>
      <c r="V469" s="14" t="str">
        <f aca="false">IF($D469&lt;&gt;1,"",IF(p_mode="Nœud",$T469*$I469,$S469))</f>
        <v/>
      </c>
      <c r="W469" s="84" t="str">
        <f aca="false">IF($D469&lt;&gt;1,"",IF(p_mode="Nœud",$T469*$K469,$R469*IF($G469="IKS",p_iks_cpu,p_roks_cpu)+$S469*IF($G469="IKS",p_iks_ram,p_roks_ram))*p_facteur)</f>
        <v/>
      </c>
      <c r="X469" s="14" t="str">
        <f aca="false">IF($D469&lt;&gt;1,"",IF($G469="ROKS",$R469,IF($AI469=1,0,MAX($N469,$L469-SUMIFS(TblApplications[CPU IKS libérable (vCPU)],TblApplications[Cluster IKS source],$F469,TblApplications[Action],"À migrer",TblApplications[Mois prov (calc)],"&lt;="&amp;$E469)-SUMIFS(TblApplications[CPU IKS libérable (vCPU)],TblApplications[Cluster IKS source],$F469,TblApplications[Action],"À décommissionner",TblApplications[Mois lib (calc)],"&lt;="&amp;$E469)))))</f>
        <v/>
      </c>
      <c r="Y469" s="14" t="str">
        <f aca="false">IF($D469&lt;&gt;1,"",IF($G469="ROKS",$S469,IF($AI469=1,0,MAX($O469,$M469-SUMIFS(TblApplications[RAM IKS libérable (Go)],TblApplications[Cluster IKS source],$F469,TblApplications[Action],"À migrer",TblApplications[Mois prov (calc)],"&lt;="&amp;$E469)-SUMIFS(TblApplications[RAM IKS libérable (Go)],TblApplications[Cluster IKS source],$F469,TblApplications[Action],"À décommissionner",TblApplications[Mois lib (calc)],"&lt;="&amp;$E469)))))</f>
        <v/>
      </c>
      <c r="Z469" s="14" t="str">
        <f aca="false">IF($D469&lt;&gt;1,"",IF($AI469=1,0,MAX($J469,ROUNDUP(MAX($X469/$H469,$Y469/$I469),0))))</f>
        <v/>
      </c>
      <c r="AA469" s="84" t="str">
        <f aca="false">IF($D469&lt;&gt;1,"",IF(p_mode="Nœud",$Z469*$K469,$X469*IF($G469="IKS",p_iks_cpu,p_roks_cpu)+$Y469*IF($G469="IKS",p_iks_ram,p_roks_ram))*p_facteur)</f>
        <v/>
      </c>
      <c r="AB469" s="14" t="str">
        <f aca="false">IF($D469&lt;&gt;1,"",MAX($J469,ROUNDUP(MAX($L469/$H469,$M469/$I469),0)))</f>
        <v/>
      </c>
      <c r="AC469" s="84" t="str">
        <f aca="false">IF($D469&lt;&gt;1,"",IF(p_mode="Nœud",$AB469*$K469,$L469*IF($G469="IKS",p_iks_cpu,p_roks_cpu)+$M469*IF($G469="IKS",p_iks_ram,p_roks_ram))*p_facteur)</f>
        <v/>
      </c>
      <c r="AD469" s="14" t="str">
        <f aca="false">IF($D469&lt;&gt;1,"",IF(AND($G469="IKS",$AI469&lt;&gt;1,OR($L469-$P469&lt;$N469,$M469-$Q469&lt;$O469)),1,0))</f>
        <v/>
      </c>
      <c r="AE469" s="14" t="str">
        <f aca="false">IF($D469&lt;&gt;1,"",IF(AND($G469="ROKS",$T469&gt;p_maxworkers),1,0))</f>
        <v/>
      </c>
      <c r="AF469" s="14" t="str">
        <f aca="false">IF($D469&lt;&gt;1,"",IF(INDEX(TblClusters[Environnement],$B469)="","(vide)",INDEX(TblClusters[Environnement],$B469)))</f>
        <v/>
      </c>
      <c r="AG469" s="14" t="str">
        <f aca="false">IF($D469&lt;&gt;1,"",$R469+p_poidsram*$S469)</f>
        <v/>
      </c>
      <c r="AH469" s="14" t="str">
        <f aca="false">IF($D469&lt;&gt;1,"",IFERROR($W469/$AG469,0))</f>
        <v/>
      </c>
      <c r="AI469" s="14" t="str">
        <f aca="false">IF($D469&lt;&gt;1,"",IF(AND($G469="IKS",ISNUMBER(INDEX(TblClusters[Fermeture retenue],$B469))),IF($E469&gt;=INDEX(TblClusters[Fermeture retenue],$B469),1,0),0))</f>
        <v/>
      </c>
    </row>
    <row r="470" customFormat="false" ht="15" hidden="false" customHeight="false" outlineLevel="0" collapsed="false">
      <c r="A470" s="14" t="n">
        <v>465</v>
      </c>
      <c r="B470" s="14" t="n">
        <f aca="false">INT(($A470-1)/36)+1</f>
        <v>13</v>
      </c>
      <c r="C470" s="14" t="n">
        <f aca="false">MOD($A470-1,36)+1</f>
        <v>33</v>
      </c>
      <c r="D470" s="14" t="n">
        <f aca="false">IF($C470&gt;p_horizon,0,IFERROR(IF(AND(INDEX(TblClusters[Cluster],$B470)&lt;&gt;"",ISNUMBER(INDEX(TblClusters[CPU initial (vCPU)],$B470)),ISNUMBER(INDEX(TblClusters[CPU min (vCPU)],$B470)),OR(INDEX(TblClusters[Plateforme],$B470)="IKS",INDEX(TblClusters[Plateforme],$B470)="ROKS")),1,0),0))</f>
        <v>0</v>
      </c>
      <c r="E470" s="83" t="str">
        <f aca="false">IF($D470=1,EDATE(p_debut,$C470-1),"")</f>
        <v/>
      </c>
      <c r="F470" s="14" t="str">
        <f aca="false">IF($D470=1,INDEX(TblClusters[Cluster],$B470),"")</f>
        <v/>
      </c>
      <c r="G470" s="14" t="str">
        <f aca="false">IF($D470=1,INDEX(TblClusters[Plateforme],$B470),"")</f>
        <v/>
      </c>
      <c r="H470" s="14" t="str">
        <f aca="false">IF($D470=1,INDEX(TblClusters[vCPU par nœud],$B470),"")</f>
        <v/>
      </c>
      <c r="I470" s="14" t="str">
        <f aca="false">IF($D470=1,INDEX(TblClusters[RAM par nœud (Go)],$B470),"")</f>
        <v/>
      </c>
      <c r="J470" s="14" t="str">
        <f aca="false">IF($D470=1,INDEX(TblClusters[Workers min],$B470),"")</f>
        <v/>
      </c>
      <c r="K470" s="84" t="str">
        <f aca="false">IF($D470=1,INDEX(TblClusters[Tarif par nœud],$B470),"")</f>
        <v/>
      </c>
      <c r="L470" s="14" t="str">
        <f aca="false">IF($D470=1,INDEX(TblClusters[CPU initial (vCPU)],$B470),"")</f>
        <v/>
      </c>
      <c r="M470" s="14" t="str">
        <f aca="false">IF($D470=1,INDEX(TblClusters[RAM initiale (Go)],$B470),"")</f>
        <v/>
      </c>
      <c r="N470" s="14" t="str">
        <f aca="false">IF($D470=1,INDEX(TblClusters[CPU min (vCPU)],$B470),"")</f>
        <v/>
      </c>
      <c r="O470" s="14" t="str">
        <f aca="false">IF($D470=1,INDEX(TblClusters[RAM min (Go)],$B470),"")</f>
        <v/>
      </c>
      <c r="P470" s="14" t="str">
        <f aca="false">IF($D470&lt;&gt;1,"",IF($G470="ROKS",SUMIFS(TblApplications[Besoin ROKS CPU (vCPU)],TblApplications[Cluster ROKS cible],$F470,TblApplications[Action],"À migrer",TblApplications[Déjà incluse ROKS],"Non",TblApplications[Mois prov (calc)],"&lt;="&amp;$E470),SUMIFS(TblApplications[CPU IKS libérable (vCPU)],TblApplications[Cluster IKS source],$F470,TblApplications[Mois lib (calc)],"&lt;="&amp;$E470)))</f>
        <v/>
      </c>
      <c r="Q470" s="14" t="str">
        <f aca="false">IF($D470&lt;&gt;1,"",IF($G470="ROKS",SUMIFS(TblApplications[Besoin ROKS RAM (Go)],TblApplications[Cluster ROKS cible],$F470,TblApplications[Action],"À migrer",TblApplications[Déjà incluse ROKS],"Non",TblApplications[Mois prov (calc)],"&lt;="&amp;$E470),SUMIFS(TblApplications[RAM IKS libérable (Go)],TblApplications[Cluster IKS source],$F470,TblApplications[Mois lib (calc)],"&lt;="&amp;$E470)))</f>
        <v/>
      </c>
      <c r="R470" s="14" t="str">
        <f aca="false">IF($D470&lt;&gt;1,"",IF($G470="ROKS",$L470+$P470,IF($AI470=1,0,MAX($N470,$L470-$P470))))</f>
        <v/>
      </c>
      <c r="S470" s="14" t="str">
        <f aca="false">IF($D470&lt;&gt;1,"",IF($G470="ROKS",$M470+$Q470,IF($AI470=1,0,MAX($O470,$M470-$Q470))))</f>
        <v/>
      </c>
      <c r="T470" s="14" t="str">
        <f aca="false">IF($D470&lt;&gt;1,"",IF($AI470=1,0,MAX($J470,ROUNDUP(MAX($R470/$H470,$S470/$I470),0))))</f>
        <v/>
      </c>
      <c r="U470" s="14" t="str">
        <f aca="false">IF($D470&lt;&gt;1,"",IF(p_mode="Nœud",$T470*$H470,$R470))</f>
        <v/>
      </c>
      <c r="V470" s="14" t="str">
        <f aca="false">IF($D470&lt;&gt;1,"",IF(p_mode="Nœud",$T470*$I470,$S470))</f>
        <v/>
      </c>
      <c r="W470" s="84" t="str">
        <f aca="false">IF($D470&lt;&gt;1,"",IF(p_mode="Nœud",$T470*$K470,$R470*IF($G470="IKS",p_iks_cpu,p_roks_cpu)+$S470*IF($G470="IKS",p_iks_ram,p_roks_ram))*p_facteur)</f>
        <v/>
      </c>
      <c r="X470" s="14" t="str">
        <f aca="false">IF($D470&lt;&gt;1,"",IF($G470="ROKS",$R470,IF($AI470=1,0,MAX($N470,$L470-SUMIFS(TblApplications[CPU IKS libérable (vCPU)],TblApplications[Cluster IKS source],$F470,TblApplications[Action],"À migrer",TblApplications[Mois prov (calc)],"&lt;="&amp;$E470)-SUMIFS(TblApplications[CPU IKS libérable (vCPU)],TblApplications[Cluster IKS source],$F470,TblApplications[Action],"À décommissionner",TblApplications[Mois lib (calc)],"&lt;="&amp;$E470)))))</f>
        <v/>
      </c>
      <c r="Y470" s="14" t="str">
        <f aca="false">IF($D470&lt;&gt;1,"",IF($G470="ROKS",$S470,IF($AI470=1,0,MAX($O470,$M470-SUMIFS(TblApplications[RAM IKS libérable (Go)],TblApplications[Cluster IKS source],$F470,TblApplications[Action],"À migrer",TblApplications[Mois prov (calc)],"&lt;="&amp;$E470)-SUMIFS(TblApplications[RAM IKS libérable (Go)],TblApplications[Cluster IKS source],$F470,TblApplications[Action],"À décommissionner",TblApplications[Mois lib (calc)],"&lt;="&amp;$E470)))))</f>
        <v/>
      </c>
      <c r="Z470" s="14" t="str">
        <f aca="false">IF($D470&lt;&gt;1,"",IF($AI470=1,0,MAX($J470,ROUNDUP(MAX($X470/$H470,$Y470/$I470),0))))</f>
        <v/>
      </c>
      <c r="AA470" s="84" t="str">
        <f aca="false">IF($D470&lt;&gt;1,"",IF(p_mode="Nœud",$Z470*$K470,$X470*IF($G470="IKS",p_iks_cpu,p_roks_cpu)+$Y470*IF($G470="IKS",p_iks_ram,p_roks_ram))*p_facteur)</f>
        <v/>
      </c>
      <c r="AB470" s="14" t="str">
        <f aca="false">IF($D470&lt;&gt;1,"",MAX($J470,ROUNDUP(MAX($L470/$H470,$M470/$I470),0)))</f>
        <v/>
      </c>
      <c r="AC470" s="84" t="str">
        <f aca="false">IF($D470&lt;&gt;1,"",IF(p_mode="Nœud",$AB470*$K470,$L470*IF($G470="IKS",p_iks_cpu,p_roks_cpu)+$M470*IF($G470="IKS",p_iks_ram,p_roks_ram))*p_facteur)</f>
        <v/>
      </c>
      <c r="AD470" s="14" t="str">
        <f aca="false">IF($D470&lt;&gt;1,"",IF(AND($G470="IKS",$AI470&lt;&gt;1,OR($L470-$P470&lt;$N470,$M470-$Q470&lt;$O470)),1,0))</f>
        <v/>
      </c>
      <c r="AE470" s="14" t="str">
        <f aca="false">IF($D470&lt;&gt;1,"",IF(AND($G470="ROKS",$T470&gt;p_maxworkers),1,0))</f>
        <v/>
      </c>
      <c r="AF470" s="14" t="str">
        <f aca="false">IF($D470&lt;&gt;1,"",IF(INDEX(TblClusters[Environnement],$B470)="","(vide)",INDEX(TblClusters[Environnement],$B470)))</f>
        <v/>
      </c>
      <c r="AG470" s="14" t="str">
        <f aca="false">IF($D470&lt;&gt;1,"",$R470+p_poidsram*$S470)</f>
        <v/>
      </c>
      <c r="AH470" s="14" t="str">
        <f aca="false">IF($D470&lt;&gt;1,"",IFERROR($W470/$AG470,0))</f>
        <v/>
      </c>
      <c r="AI470" s="14" t="str">
        <f aca="false">IF($D470&lt;&gt;1,"",IF(AND($G470="IKS",ISNUMBER(INDEX(TblClusters[Fermeture retenue],$B470))),IF($E470&gt;=INDEX(TblClusters[Fermeture retenue],$B470),1,0),0))</f>
        <v/>
      </c>
    </row>
    <row r="471" customFormat="false" ht="15" hidden="false" customHeight="false" outlineLevel="0" collapsed="false">
      <c r="A471" s="14" t="n">
        <v>466</v>
      </c>
      <c r="B471" s="14" t="n">
        <f aca="false">INT(($A471-1)/36)+1</f>
        <v>13</v>
      </c>
      <c r="C471" s="14" t="n">
        <f aca="false">MOD($A471-1,36)+1</f>
        <v>34</v>
      </c>
      <c r="D471" s="14" t="n">
        <f aca="false">IF($C471&gt;p_horizon,0,IFERROR(IF(AND(INDEX(TblClusters[Cluster],$B471)&lt;&gt;"",ISNUMBER(INDEX(TblClusters[CPU initial (vCPU)],$B471)),ISNUMBER(INDEX(TblClusters[CPU min (vCPU)],$B471)),OR(INDEX(TblClusters[Plateforme],$B471)="IKS",INDEX(TblClusters[Plateforme],$B471)="ROKS")),1,0),0))</f>
        <v>0</v>
      </c>
      <c r="E471" s="83" t="str">
        <f aca="false">IF($D471=1,EDATE(p_debut,$C471-1),"")</f>
        <v/>
      </c>
      <c r="F471" s="14" t="str">
        <f aca="false">IF($D471=1,INDEX(TblClusters[Cluster],$B471),"")</f>
        <v/>
      </c>
      <c r="G471" s="14" t="str">
        <f aca="false">IF($D471=1,INDEX(TblClusters[Plateforme],$B471),"")</f>
        <v/>
      </c>
      <c r="H471" s="14" t="str">
        <f aca="false">IF($D471=1,INDEX(TblClusters[vCPU par nœud],$B471),"")</f>
        <v/>
      </c>
      <c r="I471" s="14" t="str">
        <f aca="false">IF($D471=1,INDEX(TblClusters[RAM par nœud (Go)],$B471),"")</f>
        <v/>
      </c>
      <c r="J471" s="14" t="str">
        <f aca="false">IF($D471=1,INDEX(TblClusters[Workers min],$B471),"")</f>
        <v/>
      </c>
      <c r="K471" s="84" t="str">
        <f aca="false">IF($D471=1,INDEX(TblClusters[Tarif par nœud],$B471),"")</f>
        <v/>
      </c>
      <c r="L471" s="14" t="str">
        <f aca="false">IF($D471=1,INDEX(TblClusters[CPU initial (vCPU)],$B471),"")</f>
        <v/>
      </c>
      <c r="M471" s="14" t="str">
        <f aca="false">IF($D471=1,INDEX(TblClusters[RAM initiale (Go)],$B471),"")</f>
        <v/>
      </c>
      <c r="N471" s="14" t="str">
        <f aca="false">IF($D471=1,INDEX(TblClusters[CPU min (vCPU)],$B471),"")</f>
        <v/>
      </c>
      <c r="O471" s="14" t="str">
        <f aca="false">IF($D471=1,INDEX(TblClusters[RAM min (Go)],$B471),"")</f>
        <v/>
      </c>
      <c r="P471" s="14" t="str">
        <f aca="false">IF($D471&lt;&gt;1,"",IF($G471="ROKS",SUMIFS(TblApplications[Besoin ROKS CPU (vCPU)],TblApplications[Cluster ROKS cible],$F471,TblApplications[Action],"À migrer",TblApplications[Déjà incluse ROKS],"Non",TblApplications[Mois prov (calc)],"&lt;="&amp;$E471),SUMIFS(TblApplications[CPU IKS libérable (vCPU)],TblApplications[Cluster IKS source],$F471,TblApplications[Mois lib (calc)],"&lt;="&amp;$E471)))</f>
        <v/>
      </c>
      <c r="Q471" s="14" t="str">
        <f aca="false">IF($D471&lt;&gt;1,"",IF($G471="ROKS",SUMIFS(TblApplications[Besoin ROKS RAM (Go)],TblApplications[Cluster ROKS cible],$F471,TblApplications[Action],"À migrer",TblApplications[Déjà incluse ROKS],"Non",TblApplications[Mois prov (calc)],"&lt;="&amp;$E471),SUMIFS(TblApplications[RAM IKS libérable (Go)],TblApplications[Cluster IKS source],$F471,TblApplications[Mois lib (calc)],"&lt;="&amp;$E471)))</f>
        <v/>
      </c>
      <c r="R471" s="14" t="str">
        <f aca="false">IF($D471&lt;&gt;1,"",IF($G471="ROKS",$L471+$P471,IF($AI471=1,0,MAX($N471,$L471-$P471))))</f>
        <v/>
      </c>
      <c r="S471" s="14" t="str">
        <f aca="false">IF($D471&lt;&gt;1,"",IF($G471="ROKS",$M471+$Q471,IF($AI471=1,0,MAX($O471,$M471-$Q471))))</f>
        <v/>
      </c>
      <c r="T471" s="14" t="str">
        <f aca="false">IF($D471&lt;&gt;1,"",IF($AI471=1,0,MAX($J471,ROUNDUP(MAX($R471/$H471,$S471/$I471),0))))</f>
        <v/>
      </c>
      <c r="U471" s="14" t="str">
        <f aca="false">IF($D471&lt;&gt;1,"",IF(p_mode="Nœud",$T471*$H471,$R471))</f>
        <v/>
      </c>
      <c r="V471" s="14" t="str">
        <f aca="false">IF($D471&lt;&gt;1,"",IF(p_mode="Nœud",$T471*$I471,$S471))</f>
        <v/>
      </c>
      <c r="W471" s="84" t="str">
        <f aca="false">IF($D471&lt;&gt;1,"",IF(p_mode="Nœud",$T471*$K471,$R471*IF($G471="IKS",p_iks_cpu,p_roks_cpu)+$S471*IF($G471="IKS",p_iks_ram,p_roks_ram))*p_facteur)</f>
        <v/>
      </c>
      <c r="X471" s="14" t="str">
        <f aca="false">IF($D471&lt;&gt;1,"",IF($G471="ROKS",$R471,IF($AI471=1,0,MAX($N471,$L471-SUMIFS(TblApplications[CPU IKS libérable (vCPU)],TblApplications[Cluster IKS source],$F471,TblApplications[Action],"À migrer",TblApplications[Mois prov (calc)],"&lt;="&amp;$E471)-SUMIFS(TblApplications[CPU IKS libérable (vCPU)],TblApplications[Cluster IKS source],$F471,TblApplications[Action],"À décommissionner",TblApplications[Mois lib (calc)],"&lt;="&amp;$E471)))))</f>
        <v/>
      </c>
      <c r="Y471" s="14" t="str">
        <f aca="false">IF($D471&lt;&gt;1,"",IF($G471="ROKS",$S471,IF($AI471=1,0,MAX($O471,$M471-SUMIFS(TblApplications[RAM IKS libérable (Go)],TblApplications[Cluster IKS source],$F471,TblApplications[Action],"À migrer",TblApplications[Mois prov (calc)],"&lt;="&amp;$E471)-SUMIFS(TblApplications[RAM IKS libérable (Go)],TblApplications[Cluster IKS source],$F471,TblApplications[Action],"À décommissionner",TblApplications[Mois lib (calc)],"&lt;="&amp;$E471)))))</f>
        <v/>
      </c>
      <c r="Z471" s="14" t="str">
        <f aca="false">IF($D471&lt;&gt;1,"",IF($AI471=1,0,MAX($J471,ROUNDUP(MAX($X471/$H471,$Y471/$I471),0))))</f>
        <v/>
      </c>
      <c r="AA471" s="84" t="str">
        <f aca="false">IF($D471&lt;&gt;1,"",IF(p_mode="Nœud",$Z471*$K471,$X471*IF($G471="IKS",p_iks_cpu,p_roks_cpu)+$Y471*IF($G471="IKS",p_iks_ram,p_roks_ram))*p_facteur)</f>
        <v/>
      </c>
      <c r="AB471" s="14" t="str">
        <f aca="false">IF($D471&lt;&gt;1,"",MAX($J471,ROUNDUP(MAX($L471/$H471,$M471/$I471),0)))</f>
        <v/>
      </c>
      <c r="AC471" s="84" t="str">
        <f aca="false">IF($D471&lt;&gt;1,"",IF(p_mode="Nœud",$AB471*$K471,$L471*IF($G471="IKS",p_iks_cpu,p_roks_cpu)+$M471*IF($G471="IKS",p_iks_ram,p_roks_ram))*p_facteur)</f>
        <v/>
      </c>
      <c r="AD471" s="14" t="str">
        <f aca="false">IF($D471&lt;&gt;1,"",IF(AND($G471="IKS",$AI471&lt;&gt;1,OR($L471-$P471&lt;$N471,$M471-$Q471&lt;$O471)),1,0))</f>
        <v/>
      </c>
      <c r="AE471" s="14" t="str">
        <f aca="false">IF($D471&lt;&gt;1,"",IF(AND($G471="ROKS",$T471&gt;p_maxworkers),1,0))</f>
        <v/>
      </c>
      <c r="AF471" s="14" t="str">
        <f aca="false">IF($D471&lt;&gt;1,"",IF(INDEX(TblClusters[Environnement],$B471)="","(vide)",INDEX(TblClusters[Environnement],$B471)))</f>
        <v/>
      </c>
      <c r="AG471" s="14" t="str">
        <f aca="false">IF($D471&lt;&gt;1,"",$R471+p_poidsram*$S471)</f>
        <v/>
      </c>
      <c r="AH471" s="14" t="str">
        <f aca="false">IF($D471&lt;&gt;1,"",IFERROR($W471/$AG471,0))</f>
        <v/>
      </c>
      <c r="AI471" s="14" t="str">
        <f aca="false">IF($D471&lt;&gt;1,"",IF(AND($G471="IKS",ISNUMBER(INDEX(TblClusters[Fermeture retenue],$B471))),IF($E471&gt;=INDEX(TblClusters[Fermeture retenue],$B471),1,0),0))</f>
        <v/>
      </c>
    </row>
    <row r="472" customFormat="false" ht="15" hidden="false" customHeight="false" outlineLevel="0" collapsed="false">
      <c r="A472" s="14" t="n">
        <v>467</v>
      </c>
      <c r="B472" s="14" t="n">
        <f aca="false">INT(($A472-1)/36)+1</f>
        <v>13</v>
      </c>
      <c r="C472" s="14" t="n">
        <f aca="false">MOD($A472-1,36)+1</f>
        <v>35</v>
      </c>
      <c r="D472" s="14" t="n">
        <f aca="false">IF($C472&gt;p_horizon,0,IFERROR(IF(AND(INDEX(TblClusters[Cluster],$B472)&lt;&gt;"",ISNUMBER(INDEX(TblClusters[CPU initial (vCPU)],$B472)),ISNUMBER(INDEX(TblClusters[CPU min (vCPU)],$B472)),OR(INDEX(TblClusters[Plateforme],$B472)="IKS",INDEX(TblClusters[Plateforme],$B472)="ROKS")),1,0),0))</f>
        <v>0</v>
      </c>
      <c r="E472" s="83" t="str">
        <f aca="false">IF($D472=1,EDATE(p_debut,$C472-1),"")</f>
        <v/>
      </c>
      <c r="F472" s="14" t="str">
        <f aca="false">IF($D472=1,INDEX(TblClusters[Cluster],$B472),"")</f>
        <v/>
      </c>
      <c r="G472" s="14" t="str">
        <f aca="false">IF($D472=1,INDEX(TblClusters[Plateforme],$B472),"")</f>
        <v/>
      </c>
      <c r="H472" s="14" t="str">
        <f aca="false">IF($D472=1,INDEX(TblClusters[vCPU par nœud],$B472),"")</f>
        <v/>
      </c>
      <c r="I472" s="14" t="str">
        <f aca="false">IF($D472=1,INDEX(TblClusters[RAM par nœud (Go)],$B472),"")</f>
        <v/>
      </c>
      <c r="J472" s="14" t="str">
        <f aca="false">IF($D472=1,INDEX(TblClusters[Workers min],$B472),"")</f>
        <v/>
      </c>
      <c r="K472" s="84" t="str">
        <f aca="false">IF($D472=1,INDEX(TblClusters[Tarif par nœud],$B472),"")</f>
        <v/>
      </c>
      <c r="L472" s="14" t="str">
        <f aca="false">IF($D472=1,INDEX(TblClusters[CPU initial (vCPU)],$B472),"")</f>
        <v/>
      </c>
      <c r="M472" s="14" t="str">
        <f aca="false">IF($D472=1,INDEX(TblClusters[RAM initiale (Go)],$B472),"")</f>
        <v/>
      </c>
      <c r="N472" s="14" t="str">
        <f aca="false">IF($D472=1,INDEX(TblClusters[CPU min (vCPU)],$B472),"")</f>
        <v/>
      </c>
      <c r="O472" s="14" t="str">
        <f aca="false">IF($D472=1,INDEX(TblClusters[RAM min (Go)],$B472),"")</f>
        <v/>
      </c>
      <c r="P472" s="14" t="str">
        <f aca="false">IF($D472&lt;&gt;1,"",IF($G472="ROKS",SUMIFS(TblApplications[Besoin ROKS CPU (vCPU)],TblApplications[Cluster ROKS cible],$F472,TblApplications[Action],"À migrer",TblApplications[Déjà incluse ROKS],"Non",TblApplications[Mois prov (calc)],"&lt;="&amp;$E472),SUMIFS(TblApplications[CPU IKS libérable (vCPU)],TblApplications[Cluster IKS source],$F472,TblApplications[Mois lib (calc)],"&lt;="&amp;$E472)))</f>
        <v/>
      </c>
      <c r="Q472" s="14" t="str">
        <f aca="false">IF($D472&lt;&gt;1,"",IF($G472="ROKS",SUMIFS(TblApplications[Besoin ROKS RAM (Go)],TblApplications[Cluster ROKS cible],$F472,TblApplications[Action],"À migrer",TblApplications[Déjà incluse ROKS],"Non",TblApplications[Mois prov (calc)],"&lt;="&amp;$E472),SUMIFS(TblApplications[RAM IKS libérable (Go)],TblApplications[Cluster IKS source],$F472,TblApplications[Mois lib (calc)],"&lt;="&amp;$E472)))</f>
        <v/>
      </c>
      <c r="R472" s="14" t="str">
        <f aca="false">IF($D472&lt;&gt;1,"",IF($G472="ROKS",$L472+$P472,IF($AI472=1,0,MAX($N472,$L472-$P472))))</f>
        <v/>
      </c>
      <c r="S472" s="14" t="str">
        <f aca="false">IF($D472&lt;&gt;1,"",IF($G472="ROKS",$M472+$Q472,IF($AI472=1,0,MAX($O472,$M472-$Q472))))</f>
        <v/>
      </c>
      <c r="T472" s="14" t="str">
        <f aca="false">IF($D472&lt;&gt;1,"",IF($AI472=1,0,MAX($J472,ROUNDUP(MAX($R472/$H472,$S472/$I472),0))))</f>
        <v/>
      </c>
      <c r="U472" s="14" t="str">
        <f aca="false">IF($D472&lt;&gt;1,"",IF(p_mode="Nœud",$T472*$H472,$R472))</f>
        <v/>
      </c>
      <c r="V472" s="14" t="str">
        <f aca="false">IF($D472&lt;&gt;1,"",IF(p_mode="Nœud",$T472*$I472,$S472))</f>
        <v/>
      </c>
      <c r="W472" s="84" t="str">
        <f aca="false">IF($D472&lt;&gt;1,"",IF(p_mode="Nœud",$T472*$K472,$R472*IF($G472="IKS",p_iks_cpu,p_roks_cpu)+$S472*IF($G472="IKS",p_iks_ram,p_roks_ram))*p_facteur)</f>
        <v/>
      </c>
      <c r="X472" s="14" t="str">
        <f aca="false">IF($D472&lt;&gt;1,"",IF($G472="ROKS",$R472,IF($AI472=1,0,MAX($N472,$L472-SUMIFS(TblApplications[CPU IKS libérable (vCPU)],TblApplications[Cluster IKS source],$F472,TblApplications[Action],"À migrer",TblApplications[Mois prov (calc)],"&lt;="&amp;$E472)-SUMIFS(TblApplications[CPU IKS libérable (vCPU)],TblApplications[Cluster IKS source],$F472,TblApplications[Action],"À décommissionner",TblApplications[Mois lib (calc)],"&lt;="&amp;$E472)))))</f>
        <v/>
      </c>
      <c r="Y472" s="14" t="str">
        <f aca="false">IF($D472&lt;&gt;1,"",IF($G472="ROKS",$S472,IF($AI472=1,0,MAX($O472,$M472-SUMIFS(TblApplications[RAM IKS libérable (Go)],TblApplications[Cluster IKS source],$F472,TblApplications[Action],"À migrer",TblApplications[Mois prov (calc)],"&lt;="&amp;$E472)-SUMIFS(TblApplications[RAM IKS libérable (Go)],TblApplications[Cluster IKS source],$F472,TblApplications[Action],"À décommissionner",TblApplications[Mois lib (calc)],"&lt;="&amp;$E472)))))</f>
        <v/>
      </c>
      <c r="Z472" s="14" t="str">
        <f aca="false">IF($D472&lt;&gt;1,"",IF($AI472=1,0,MAX($J472,ROUNDUP(MAX($X472/$H472,$Y472/$I472),0))))</f>
        <v/>
      </c>
      <c r="AA472" s="84" t="str">
        <f aca="false">IF($D472&lt;&gt;1,"",IF(p_mode="Nœud",$Z472*$K472,$X472*IF($G472="IKS",p_iks_cpu,p_roks_cpu)+$Y472*IF($G472="IKS",p_iks_ram,p_roks_ram))*p_facteur)</f>
        <v/>
      </c>
      <c r="AB472" s="14" t="str">
        <f aca="false">IF($D472&lt;&gt;1,"",MAX($J472,ROUNDUP(MAX($L472/$H472,$M472/$I472),0)))</f>
        <v/>
      </c>
      <c r="AC472" s="84" t="str">
        <f aca="false">IF($D472&lt;&gt;1,"",IF(p_mode="Nœud",$AB472*$K472,$L472*IF($G472="IKS",p_iks_cpu,p_roks_cpu)+$M472*IF($G472="IKS",p_iks_ram,p_roks_ram))*p_facteur)</f>
        <v/>
      </c>
      <c r="AD472" s="14" t="str">
        <f aca="false">IF($D472&lt;&gt;1,"",IF(AND($G472="IKS",$AI472&lt;&gt;1,OR($L472-$P472&lt;$N472,$M472-$Q472&lt;$O472)),1,0))</f>
        <v/>
      </c>
      <c r="AE472" s="14" t="str">
        <f aca="false">IF($D472&lt;&gt;1,"",IF(AND($G472="ROKS",$T472&gt;p_maxworkers),1,0))</f>
        <v/>
      </c>
      <c r="AF472" s="14" t="str">
        <f aca="false">IF($D472&lt;&gt;1,"",IF(INDEX(TblClusters[Environnement],$B472)="","(vide)",INDEX(TblClusters[Environnement],$B472)))</f>
        <v/>
      </c>
      <c r="AG472" s="14" t="str">
        <f aca="false">IF($D472&lt;&gt;1,"",$R472+p_poidsram*$S472)</f>
        <v/>
      </c>
      <c r="AH472" s="14" t="str">
        <f aca="false">IF($D472&lt;&gt;1,"",IFERROR($W472/$AG472,0))</f>
        <v/>
      </c>
      <c r="AI472" s="14" t="str">
        <f aca="false">IF($D472&lt;&gt;1,"",IF(AND($G472="IKS",ISNUMBER(INDEX(TblClusters[Fermeture retenue],$B472))),IF($E472&gt;=INDEX(TblClusters[Fermeture retenue],$B472),1,0),0))</f>
        <v/>
      </c>
    </row>
    <row r="473" customFormat="false" ht="15" hidden="false" customHeight="false" outlineLevel="0" collapsed="false">
      <c r="A473" s="14" t="n">
        <v>468</v>
      </c>
      <c r="B473" s="14" t="n">
        <f aca="false">INT(($A473-1)/36)+1</f>
        <v>13</v>
      </c>
      <c r="C473" s="14" t="n">
        <f aca="false">MOD($A473-1,36)+1</f>
        <v>36</v>
      </c>
      <c r="D473" s="14" t="n">
        <f aca="false">IF($C473&gt;p_horizon,0,IFERROR(IF(AND(INDEX(TblClusters[Cluster],$B473)&lt;&gt;"",ISNUMBER(INDEX(TblClusters[CPU initial (vCPU)],$B473)),ISNUMBER(INDEX(TblClusters[CPU min (vCPU)],$B473)),OR(INDEX(TblClusters[Plateforme],$B473)="IKS",INDEX(TblClusters[Plateforme],$B473)="ROKS")),1,0),0))</f>
        <v>0</v>
      </c>
      <c r="E473" s="83" t="str">
        <f aca="false">IF($D473=1,EDATE(p_debut,$C473-1),"")</f>
        <v/>
      </c>
      <c r="F473" s="14" t="str">
        <f aca="false">IF($D473=1,INDEX(TblClusters[Cluster],$B473),"")</f>
        <v/>
      </c>
      <c r="G473" s="14" t="str">
        <f aca="false">IF($D473=1,INDEX(TblClusters[Plateforme],$B473),"")</f>
        <v/>
      </c>
      <c r="H473" s="14" t="str">
        <f aca="false">IF($D473=1,INDEX(TblClusters[vCPU par nœud],$B473),"")</f>
        <v/>
      </c>
      <c r="I473" s="14" t="str">
        <f aca="false">IF($D473=1,INDEX(TblClusters[RAM par nœud (Go)],$B473),"")</f>
        <v/>
      </c>
      <c r="J473" s="14" t="str">
        <f aca="false">IF($D473=1,INDEX(TblClusters[Workers min],$B473),"")</f>
        <v/>
      </c>
      <c r="K473" s="84" t="str">
        <f aca="false">IF($D473=1,INDEX(TblClusters[Tarif par nœud],$B473),"")</f>
        <v/>
      </c>
      <c r="L473" s="14" t="str">
        <f aca="false">IF($D473=1,INDEX(TblClusters[CPU initial (vCPU)],$B473),"")</f>
        <v/>
      </c>
      <c r="M473" s="14" t="str">
        <f aca="false">IF($D473=1,INDEX(TblClusters[RAM initiale (Go)],$B473),"")</f>
        <v/>
      </c>
      <c r="N473" s="14" t="str">
        <f aca="false">IF($D473=1,INDEX(TblClusters[CPU min (vCPU)],$B473),"")</f>
        <v/>
      </c>
      <c r="O473" s="14" t="str">
        <f aca="false">IF($D473=1,INDEX(TblClusters[RAM min (Go)],$B473),"")</f>
        <v/>
      </c>
      <c r="P473" s="14" t="str">
        <f aca="false">IF($D473&lt;&gt;1,"",IF($G473="ROKS",SUMIFS(TblApplications[Besoin ROKS CPU (vCPU)],TblApplications[Cluster ROKS cible],$F473,TblApplications[Action],"À migrer",TblApplications[Déjà incluse ROKS],"Non",TblApplications[Mois prov (calc)],"&lt;="&amp;$E473),SUMIFS(TblApplications[CPU IKS libérable (vCPU)],TblApplications[Cluster IKS source],$F473,TblApplications[Mois lib (calc)],"&lt;="&amp;$E473)))</f>
        <v/>
      </c>
      <c r="Q473" s="14" t="str">
        <f aca="false">IF($D473&lt;&gt;1,"",IF($G473="ROKS",SUMIFS(TblApplications[Besoin ROKS RAM (Go)],TblApplications[Cluster ROKS cible],$F473,TblApplications[Action],"À migrer",TblApplications[Déjà incluse ROKS],"Non",TblApplications[Mois prov (calc)],"&lt;="&amp;$E473),SUMIFS(TblApplications[RAM IKS libérable (Go)],TblApplications[Cluster IKS source],$F473,TblApplications[Mois lib (calc)],"&lt;="&amp;$E473)))</f>
        <v/>
      </c>
      <c r="R473" s="14" t="str">
        <f aca="false">IF($D473&lt;&gt;1,"",IF($G473="ROKS",$L473+$P473,IF($AI473=1,0,MAX($N473,$L473-$P473))))</f>
        <v/>
      </c>
      <c r="S473" s="14" t="str">
        <f aca="false">IF($D473&lt;&gt;1,"",IF($G473="ROKS",$M473+$Q473,IF($AI473=1,0,MAX($O473,$M473-$Q473))))</f>
        <v/>
      </c>
      <c r="T473" s="14" t="str">
        <f aca="false">IF($D473&lt;&gt;1,"",IF($AI473=1,0,MAX($J473,ROUNDUP(MAX($R473/$H473,$S473/$I473),0))))</f>
        <v/>
      </c>
      <c r="U473" s="14" t="str">
        <f aca="false">IF($D473&lt;&gt;1,"",IF(p_mode="Nœud",$T473*$H473,$R473))</f>
        <v/>
      </c>
      <c r="V473" s="14" t="str">
        <f aca="false">IF($D473&lt;&gt;1,"",IF(p_mode="Nœud",$T473*$I473,$S473))</f>
        <v/>
      </c>
      <c r="W473" s="84" t="str">
        <f aca="false">IF($D473&lt;&gt;1,"",IF(p_mode="Nœud",$T473*$K473,$R473*IF($G473="IKS",p_iks_cpu,p_roks_cpu)+$S473*IF($G473="IKS",p_iks_ram,p_roks_ram))*p_facteur)</f>
        <v/>
      </c>
      <c r="X473" s="14" t="str">
        <f aca="false">IF($D473&lt;&gt;1,"",IF($G473="ROKS",$R473,IF($AI473=1,0,MAX($N473,$L473-SUMIFS(TblApplications[CPU IKS libérable (vCPU)],TblApplications[Cluster IKS source],$F473,TblApplications[Action],"À migrer",TblApplications[Mois prov (calc)],"&lt;="&amp;$E473)-SUMIFS(TblApplications[CPU IKS libérable (vCPU)],TblApplications[Cluster IKS source],$F473,TblApplications[Action],"À décommissionner",TblApplications[Mois lib (calc)],"&lt;="&amp;$E473)))))</f>
        <v/>
      </c>
      <c r="Y473" s="14" t="str">
        <f aca="false">IF($D473&lt;&gt;1,"",IF($G473="ROKS",$S473,IF($AI473=1,0,MAX($O473,$M473-SUMIFS(TblApplications[RAM IKS libérable (Go)],TblApplications[Cluster IKS source],$F473,TblApplications[Action],"À migrer",TblApplications[Mois prov (calc)],"&lt;="&amp;$E473)-SUMIFS(TblApplications[RAM IKS libérable (Go)],TblApplications[Cluster IKS source],$F473,TblApplications[Action],"À décommissionner",TblApplications[Mois lib (calc)],"&lt;="&amp;$E473)))))</f>
        <v/>
      </c>
      <c r="Z473" s="14" t="str">
        <f aca="false">IF($D473&lt;&gt;1,"",IF($AI473=1,0,MAX($J473,ROUNDUP(MAX($X473/$H473,$Y473/$I473),0))))</f>
        <v/>
      </c>
      <c r="AA473" s="84" t="str">
        <f aca="false">IF($D473&lt;&gt;1,"",IF(p_mode="Nœud",$Z473*$K473,$X473*IF($G473="IKS",p_iks_cpu,p_roks_cpu)+$Y473*IF($G473="IKS",p_iks_ram,p_roks_ram))*p_facteur)</f>
        <v/>
      </c>
      <c r="AB473" s="14" t="str">
        <f aca="false">IF($D473&lt;&gt;1,"",MAX($J473,ROUNDUP(MAX($L473/$H473,$M473/$I473),0)))</f>
        <v/>
      </c>
      <c r="AC473" s="84" t="str">
        <f aca="false">IF($D473&lt;&gt;1,"",IF(p_mode="Nœud",$AB473*$K473,$L473*IF($G473="IKS",p_iks_cpu,p_roks_cpu)+$M473*IF($G473="IKS",p_iks_ram,p_roks_ram))*p_facteur)</f>
        <v/>
      </c>
      <c r="AD473" s="14" t="str">
        <f aca="false">IF($D473&lt;&gt;1,"",IF(AND($G473="IKS",$AI473&lt;&gt;1,OR($L473-$P473&lt;$N473,$M473-$Q473&lt;$O473)),1,0))</f>
        <v/>
      </c>
      <c r="AE473" s="14" t="str">
        <f aca="false">IF($D473&lt;&gt;1,"",IF(AND($G473="ROKS",$T473&gt;p_maxworkers),1,0))</f>
        <v/>
      </c>
      <c r="AF473" s="14" t="str">
        <f aca="false">IF($D473&lt;&gt;1,"",IF(INDEX(TblClusters[Environnement],$B473)="","(vide)",INDEX(TblClusters[Environnement],$B473)))</f>
        <v/>
      </c>
      <c r="AG473" s="14" t="str">
        <f aca="false">IF($D473&lt;&gt;1,"",$R473+p_poidsram*$S473)</f>
        <v/>
      </c>
      <c r="AH473" s="14" t="str">
        <f aca="false">IF($D473&lt;&gt;1,"",IFERROR($W473/$AG473,0))</f>
        <v/>
      </c>
      <c r="AI473" s="14" t="str">
        <f aca="false">IF($D473&lt;&gt;1,"",IF(AND($G473="IKS",ISNUMBER(INDEX(TblClusters[Fermeture retenue],$B473))),IF($E473&gt;=INDEX(TblClusters[Fermeture retenue],$B473),1,0),0))</f>
        <v/>
      </c>
    </row>
    <row r="474" customFormat="false" ht="15" hidden="false" customHeight="false" outlineLevel="0" collapsed="false">
      <c r="A474" s="14" t="n">
        <v>469</v>
      </c>
      <c r="B474" s="14" t="n">
        <f aca="false">INT(($A474-1)/36)+1</f>
        <v>14</v>
      </c>
      <c r="C474" s="14" t="n">
        <f aca="false">MOD($A474-1,36)+1</f>
        <v>1</v>
      </c>
      <c r="D474" s="14" t="n">
        <f aca="false">IF($C474&gt;p_horizon,0,IFERROR(IF(AND(INDEX(TblClusters[Cluster],$B474)&lt;&gt;"",ISNUMBER(INDEX(TblClusters[CPU initial (vCPU)],$B474)),ISNUMBER(INDEX(TblClusters[CPU min (vCPU)],$B474)),OR(INDEX(TblClusters[Plateforme],$B474)="IKS",INDEX(TblClusters[Plateforme],$B474)="ROKS")),1,0),0))</f>
        <v>0</v>
      </c>
      <c r="E474" s="83" t="str">
        <f aca="false">IF($D474=1,EDATE(p_debut,$C474-1),"")</f>
        <v/>
      </c>
      <c r="F474" s="14" t="str">
        <f aca="false">IF($D474=1,INDEX(TblClusters[Cluster],$B474),"")</f>
        <v/>
      </c>
      <c r="G474" s="14" t="str">
        <f aca="false">IF($D474=1,INDEX(TblClusters[Plateforme],$B474),"")</f>
        <v/>
      </c>
      <c r="H474" s="14" t="str">
        <f aca="false">IF($D474=1,INDEX(TblClusters[vCPU par nœud],$B474),"")</f>
        <v/>
      </c>
      <c r="I474" s="14" t="str">
        <f aca="false">IF($D474=1,INDEX(TblClusters[RAM par nœud (Go)],$B474),"")</f>
        <v/>
      </c>
      <c r="J474" s="14" t="str">
        <f aca="false">IF($D474=1,INDEX(TblClusters[Workers min],$B474),"")</f>
        <v/>
      </c>
      <c r="K474" s="84" t="str">
        <f aca="false">IF($D474=1,INDEX(TblClusters[Tarif par nœud],$B474),"")</f>
        <v/>
      </c>
      <c r="L474" s="14" t="str">
        <f aca="false">IF($D474=1,INDEX(TblClusters[CPU initial (vCPU)],$B474),"")</f>
        <v/>
      </c>
      <c r="M474" s="14" t="str">
        <f aca="false">IF($D474=1,INDEX(TblClusters[RAM initiale (Go)],$B474),"")</f>
        <v/>
      </c>
      <c r="N474" s="14" t="str">
        <f aca="false">IF($D474=1,INDEX(TblClusters[CPU min (vCPU)],$B474),"")</f>
        <v/>
      </c>
      <c r="O474" s="14" t="str">
        <f aca="false">IF($D474=1,INDEX(TblClusters[RAM min (Go)],$B474),"")</f>
        <v/>
      </c>
      <c r="P474" s="14" t="str">
        <f aca="false">IF($D474&lt;&gt;1,"",IF($G474="ROKS",SUMIFS(TblApplications[Besoin ROKS CPU (vCPU)],TblApplications[Cluster ROKS cible],$F474,TblApplications[Action],"À migrer",TblApplications[Déjà incluse ROKS],"Non",TblApplications[Mois prov (calc)],"&lt;="&amp;$E474),SUMIFS(TblApplications[CPU IKS libérable (vCPU)],TblApplications[Cluster IKS source],$F474,TblApplications[Mois lib (calc)],"&lt;="&amp;$E474)))</f>
        <v/>
      </c>
      <c r="Q474" s="14" t="str">
        <f aca="false">IF($D474&lt;&gt;1,"",IF($G474="ROKS",SUMIFS(TblApplications[Besoin ROKS RAM (Go)],TblApplications[Cluster ROKS cible],$F474,TblApplications[Action],"À migrer",TblApplications[Déjà incluse ROKS],"Non",TblApplications[Mois prov (calc)],"&lt;="&amp;$E474),SUMIFS(TblApplications[RAM IKS libérable (Go)],TblApplications[Cluster IKS source],$F474,TblApplications[Mois lib (calc)],"&lt;="&amp;$E474)))</f>
        <v/>
      </c>
      <c r="R474" s="14" t="str">
        <f aca="false">IF($D474&lt;&gt;1,"",IF($G474="ROKS",$L474+$P474,IF($AI474=1,0,MAX($N474,$L474-$P474))))</f>
        <v/>
      </c>
      <c r="S474" s="14" t="str">
        <f aca="false">IF($D474&lt;&gt;1,"",IF($G474="ROKS",$M474+$Q474,IF($AI474=1,0,MAX($O474,$M474-$Q474))))</f>
        <v/>
      </c>
      <c r="T474" s="14" t="str">
        <f aca="false">IF($D474&lt;&gt;1,"",IF($AI474=1,0,MAX($J474,ROUNDUP(MAX($R474/$H474,$S474/$I474),0))))</f>
        <v/>
      </c>
      <c r="U474" s="14" t="str">
        <f aca="false">IF($D474&lt;&gt;1,"",IF(p_mode="Nœud",$T474*$H474,$R474))</f>
        <v/>
      </c>
      <c r="V474" s="14" t="str">
        <f aca="false">IF($D474&lt;&gt;1,"",IF(p_mode="Nœud",$T474*$I474,$S474))</f>
        <v/>
      </c>
      <c r="W474" s="84" t="str">
        <f aca="false">IF($D474&lt;&gt;1,"",IF(p_mode="Nœud",$T474*$K474,$R474*IF($G474="IKS",p_iks_cpu,p_roks_cpu)+$S474*IF($G474="IKS",p_iks_ram,p_roks_ram))*p_facteur)</f>
        <v/>
      </c>
      <c r="X474" s="14" t="str">
        <f aca="false">IF($D474&lt;&gt;1,"",IF($G474="ROKS",$R474,IF($AI474=1,0,MAX($N474,$L474-SUMIFS(TblApplications[CPU IKS libérable (vCPU)],TblApplications[Cluster IKS source],$F474,TblApplications[Action],"À migrer",TblApplications[Mois prov (calc)],"&lt;="&amp;$E474)-SUMIFS(TblApplications[CPU IKS libérable (vCPU)],TblApplications[Cluster IKS source],$F474,TblApplications[Action],"À décommissionner",TblApplications[Mois lib (calc)],"&lt;="&amp;$E474)))))</f>
        <v/>
      </c>
      <c r="Y474" s="14" t="str">
        <f aca="false">IF($D474&lt;&gt;1,"",IF($G474="ROKS",$S474,IF($AI474=1,0,MAX($O474,$M474-SUMIFS(TblApplications[RAM IKS libérable (Go)],TblApplications[Cluster IKS source],$F474,TblApplications[Action],"À migrer",TblApplications[Mois prov (calc)],"&lt;="&amp;$E474)-SUMIFS(TblApplications[RAM IKS libérable (Go)],TblApplications[Cluster IKS source],$F474,TblApplications[Action],"À décommissionner",TblApplications[Mois lib (calc)],"&lt;="&amp;$E474)))))</f>
        <v/>
      </c>
      <c r="Z474" s="14" t="str">
        <f aca="false">IF($D474&lt;&gt;1,"",IF($AI474=1,0,MAX($J474,ROUNDUP(MAX($X474/$H474,$Y474/$I474),0))))</f>
        <v/>
      </c>
      <c r="AA474" s="84" t="str">
        <f aca="false">IF($D474&lt;&gt;1,"",IF(p_mode="Nœud",$Z474*$K474,$X474*IF($G474="IKS",p_iks_cpu,p_roks_cpu)+$Y474*IF($G474="IKS",p_iks_ram,p_roks_ram))*p_facteur)</f>
        <v/>
      </c>
      <c r="AB474" s="14" t="str">
        <f aca="false">IF($D474&lt;&gt;1,"",MAX($J474,ROUNDUP(MAX($L474/$H474,$M474/$I474),0)))</f>
        <v/>
      </c>
      <c r="AC474" s="84" t="str">
        <f aca="false">IF($D474&lt;&gt;1,"",IF(p_mode="Nœud",$AB474*$K474,$L474*IF($G474="IKS",p_iks_cpu,p_roks_cpu)+$M474*IF($G474="IKS",p_iks_ram,p_roks_ram))*p_facteur)</f>
        <v/>
      </c>
      <c r="AD474" s="14" t="str">
        <f aca="false">IF($D474&lt;&gt;1,"",IF(AND($G474="IKS",$AI474&lt;&gt;1,OR($L474-$P474&lt;$N474,$M474-$Q474&lt;$O474)),1,0))</f>
        <v/>
      </c>
      <c r="AE474" s="14" t="str">
        <f aca="false">IF($D474&lt;&gt;1,"",IF(AND($G474="ROKS",$T474&gt;p_maxworkers),1,0))</f>
        <v/>
      </c>
      <c r="AF474" s="14" t="str">
        <f aca="false">IF($D474&lt;&gt;1,"",IF(INDEX(TblClusters[Environnement],$B474)="","(vide)",INDEX(TblClusters[Environnement],$B474)))</f>
        <v/>
      </c>
      <c r="AG474" s="14" t="str">
        <f aca="false">IF($D474&lt;&gt;1,"",$R474+p_poidsram*$S474)</f>
        <v/>
      </c>
      <c r="AH474" s="14" t="str">
        <f aca="false">IF($D474&lt;&gt;1,"",IFERROR($W474/$AG474,0))</f>
        <v/>
      </c>
      <c r="AI474" s="14" t="str">
        <f aca="false">IF($D474&lt;&gt;1,"",IF(AND($G474="IKS",ISNUMBER(INDEX(TblClusters[Fermeture retenue],$B474))),IF($E474&gt;=INDEX(TblClusters[Fermeture retenue],$B474),1,0),0))</f>
        <v/>
      </c>
    </row>
    <row r="475" customFormat="false" ht="15" hidden="false" customHeight="false" outlineLevel="0" collapsed="false">
      <c r="A475" s="14" t="n">
        <v>470</v>
      </c>
      <c r="B475" s="14" t="n">
        <f aca="false">INT(($A475-1)/36)+1</f>
        <v>14</v>
      </c>
      <c r="C475" s="14" t="n">
        <f aca="false">MOD($A475-1,36)+1</f>
        <v>2</v>
      </c>
      <c r="D475" s="14" t="n">
        <f aca="false">IF($C475&gt;p_horizon,0,IFERROR(IF(AND(INDEX(TblClusters[Cluster],$B475)&lt;&gt;"",ISNUMBER(INDEX(TblClusters[CPU initial (vCPU)],$B475)),ISNUMBER(INDEX(TblClusters[CPU min (vCPU)],$B475)),OR(INDEX(TblClusters[Plateforme],$B475)="IKS",INDEX(TblClusters[Plateforme],$B475)="ROKS")),1,0),0))</f>
        <v>0</v>
      </c>
      <c r="E475" s="83" t="str">
        <f aca="false">IF($D475=1,EDATE(p_debut,$C475-1),"")</f>
        <v/>
      </c>
      <c r="F475" s="14" t="str">
        <f aca="false">IF($D475=1,INDEX(TblClusters[Cluster],$B475),"")</f>
        <v/>
      </c>
      <c r="G475" s="14" t="str">
        <f aca="false">IF($D475=1,INDEX(TblClusters[Plateforme],$B475),"")</f>
        <v/>
      </c>
      <c r="H475" s="14" t="str">
        <f aca="false">IF($D475=1,INDEX(TblClusters[vCPU par nœud],$B475),"")</f>
        <v/>
      </c>
      <c r="I475" s="14" t="str">
        <f aca="false">IF($D475=1,INDEX(TblClusters[RAM par nœud (Go)],$B475),"")</f>
        <v/>
      </c>
      <c r="J475" s="14" t="str">
        <f aca="false">IF($D475=1,INDEX(TblClusters[Workers min],$B475),"")</f>
        <v/>
      </c>
      <c r="K475" s="84" t="str">
        <f aca="false">IF($D475=1,INDEX(TblClusters[Tarif par nœud],$B475),"")</f>
        <v/>
      </c>
      <c r="L475" s="14" t="str">
        <f aca="false">IF($D475=1,INDEX(TblClusters[CPU initial (vCPU)],$B475),"")</f>
        <v/>
      </c>
      <c r="M475" s="14" t="str">
        <f aca="false">IF($D475=1,INDEX(TblClusters[RAM initiale (Go)],$B475),"")</f>
        <v/>
      </c>
      <c r="N475" s="14" t="str">
        <f aca="false">IF($D475=1,INDEX(TblClusters[CPU min (vCPU)],$B475),"")</f>
        <v/>
      </c>
      <c r="O475" s="14" t="str">
        <f aca="false">IF($D475=1,INDEX(TblClusters[RAM min (Go)],$B475),"")</f>
        <v/>
      </c>
      <c r="P475" s="14" t="str">
        <f aca="false">IF($D475&lt;&gt;1,"",IF($G475="ROKS",SUMIFS(TblApplications[Besoin ROKS CPU (vCPU)],TblApplications[Cluster ROKS cible],$F475,TblApplications[Action],"À migrer",TblApplications[Déjà incluse ROKS],"Non",TblApplications[Mois prov (calc)],"&lt;="&amp;$E475),SUMIFS(TblApplications[CPU IKS libérable (vCPU)],TblApplications[Cluster IKS source],$F475,TblApplications[Mois lib (calc)],"&lt;="&amp;$E475)))</f>
        <v/>
      </c>
      <c r="Q475" s="14" t="str">
        <f aca="false">IF($D475&lt;&gt;1,"",IF($G475="ROKS",SUMIFS(TblApplications[Besoin ROKS RAM (Go)],TblApplications[Cluster ROKS cible],$F475,TblApplications[Action],"À migrer",TblApplications[Déjà incluse ROKS],"Non",TblApplications[Mois prov (calc)],"&lt;="&amp;$E475),SUMIFS(TblApplications[RAM IKS libérable (Go)],TblApplications[Cluster IKS source],$F475,TblApplications[Mois lib (calc)],"&lt;="&amp;$E475)))</f>
        <v/>
      </c>
      <c r="R475" s="14" t="str">
        <f aca="false">IF($D475&lt;&gt;1,"",IF($G475="ROKS",$L475+$P475,IF($AI475=1,0,MAX($N475,$L475-$P475))))</f>
        <v/>
      </c>
      <c r="S475" s="14" t="str">
        <f aca="false">IF($D475&lt;&gt;1,"",IF($G475="ROKS",$M475+$Q475,IF($AI475=1,0,MAX($O475,$M475-$Q475))))</f>
        <v/>
      </c>
      <c r="T475" s="14" t="str">
        <f aca="false">IF($D475&lt;&gt;1,"",IF($AI475=1,0,MAX($J475,ROUNDUP(MAX($R475/$H475,$S475/$I475),0))))</f>
        <v/>
      </c>
      <c r="U475" s="14" t="str">
        <f aca="false">IF($D475&lt;&gt;1,"",IF(p_mode="Nœud",$T475*$H475,$R475))</f>
        <v/>
      </c>
      <c r="V475" s="14" t="str">
        <f aca="false">IF($D475&lt;&gt;1,"",IF(p_mode="Nœud",$T475*$I475,$S475))</f>
        <v/>
      </c>
      <c r="W475" s="84" t="str">
        <f aca="false">IF($D475&lt;&gt;1,"",IF(p_mode="Nœud",$T475*$K475,$R475*IF($G475="IKS",p_iks_cpu,p_roks_cpu)+$S475*IF($G475="IKS",p_iks_ram,p_roks_ram))*p_facteur)</f>
        <v/>
      </c>
      <c r="X475" s="14" t="str">
        <f aca="false">IF($D475&lt;&gt;1,"",IF($G475="ROKS",$R475,IF($AI475=1,0,MAX($N475,$L475-SUMIFS(TblApplications[CPU IKS libérable (vCPU)],TblApplications[Cluster IKS source],$F475,TblApplications[Action],"À migrer",TblApplications[Mois prov (calc)],"&lt;="&amp;$E475)-SUMIFS(TblApplications[CPU IKS libérable (vCPU)],TblApplications[Cluster IKS source],$F475,TblApplications[Action],"À décommissionner",TblApplications[Mois lib (calc)],"&lt;="&amp;$E475)))))</f>
        <v/>
      </c>
      <c r="Y475" s="14" t="str">
        <f aca="false">IF($D475&lt;&gt;1,"",IF($G475="ROKS",$S475,IF($AI475=1,0,MAX($O475,$M475-SUMIFS(TblApplications[RAM IKS libérable (Go)],TblApplications[Cluster IKS source],$F475,TblApplications[Action],"À migrer",TblApplications[Mois prov (calc)],"&lt;="&amp;$E475)-SUMIFS(TblApplications[RAM IKS libérable (Go)],TblApplications[Cluster IKS source],$F475,TblApplications[Action],"À décommissionner",TblApplications[Mois lib (calc)],"&lt;="&amp;$E475)))))</f>
        <v/>
      </c>
      <c r="Z475" s="14" t="str">
        <f aca="false">IF($D475&lt;&gt;1,"",IF($AI475=1,0,MAX($J475,ROUNDUP(MAX($X475/$H475,$Y475/$I475),0))))</f>
        <v/>
      </c>
      <c r="AA475" s="84" t="str">
        <f aca="false">IF($D475&lt;&gt;1,"",IF(p_mode="Nœud",$Z475*$K475,$X475*IF($G475="IKS",p_iks_cpu,p_roks_cpu)+$Y475*IF($G475="IKS",p_iks_ram,p_roks_ram))*p_facteur)</f>
        <v/>
      </c>
      <c r="AB475" s="14" t="str">
        <f aca="false">IF($D475&lt;&gt;1,"",MAX($J475,ROUNDUP(MAX($L475/$H475,$M475/$I475),0)))</f>
        <v/>
      </c>
      <c r="AC475" s="84" t="str">
        <f aca="false">IF($D475&lt;&gt;1,"",IF(p_mode="Nœud",$AB475*$K475,$L475*IF($G475="IKS",p_iks_cpu,p_roks_cpu)+$M475*IF($G475="IKS",p_iks_ram,p_roks_ram))*p_facteur)</f>
        <v/>
      </c>
      <c r="AD475" s="14" t="str">
        <f aca="false">IF($D475&lt;&gt;1,"",IF(AND($G475="IKS",$AI475&lt;&gt;1,OR($L475-$P475&lt;$N475,$M475-$Q475&lt;$O475)),1,0))</f>
        <v/>
      </c>
      <c r="AE475" s="14" t="str">
        <f aca="false">IF($D475&lt;&gt;1,"",IF(AND($G475="ROKS",$T475&gt;p_maxworkers),1,0))</f>
        <v/>
      </c>
      <c r="AF475" s="14" t="str">
        <f aca="false">IF($D475&lt;&gt;1,"",IF(INDEX(TblClusters[Environnement],$B475)="","(vide)",INDEX(TblClusters[Environnement],$B475)))</f>
        <v/>
      </c>
      <c r="AG475" s="14" t="str">
        <f aca="false">IF($D475&lt;&gt;1,"",$R475+p_poidsram*$S475)</f>
        <v/>
      </c>
      <c r="AH475" s="14" t="str">
        <f aca="false">IF($D475&lt;&gt;1,"",IFERROR($W475/$AG475,0))</f>
        <v/>
      </c>
      <c r="AI475" s="14" t="str">
        <f aca="false">IF($D475&lt;&gt;1,"",IF(AND($G475="IKS",ISNUMBER(INDEX(TblClusters[Fermeture retenue],$B475))),IF($E475&gt;=INDEX(TblClusters[Fermeture retenue],$B475),1,0),0))</f>
        <v/>
      </c>
    </row>
    <row r="476" customFormat="false" ht="15" hidden="false" customHeight="false" outlineLevel="0" collapsed="false">
      <c r="A476" s="14" t="n">
        <v>471</v>
      </c>
      <c r="B476" s="14" t="n">
        <f aca="false">INT(($A476-1)/36)+1</f>
        <v>14</v>
      </c>
      <c r="C476" s="14" t="n">
        <f aca="false">MOD($A476-1,36)+1</f>
        <v>3</v>
      </c>
      <c r="D476" s="14" t="n">
        <f aca="false">IF($C476&gt;p_horizon,0,IFERROR(IF(AND(INDEX(TblClusters[Cluster],$B476)&lt;&gt;"",ISNUMBER(INDEX(TblClusters[CPU initial (vCPU)],$B476)),ISNUMBER(INDEX(TblClusters[CPU min (vCPU)],$B476)),OR(INDEX(TblClusters[Plateforme],$B476)="IKS",INDEX(TblClusters[Plateforme],$B476)="ROKS")),1,0),0))</f>
        <v>0</v>
      </c>
      <c r="E476" s="83" t="str">
        <f aca="false">IF($D476=1,EDATE(p_debut,$C476-1),"")</f>
        <v/>
      </c>
      <c r="F476" s="14" t="str">
        <f aca="false">IF($D476=1,INDEX(TblClusters[Cluster],$B476),"")</f>
        <v/>
      </c>
      <c r="G476" s="14" t="str">
        <f aca="false">IF($D476=1,INDEX(TblClusters[Plateforme],$B476),"")</f>
        <v/>
      </c>
      <c r="H476" s="14" t="str">
        <f aca="false">IF($D476=1,INDEX(TblClusters[vCPU par nœud],$B476),"")</f>
        <v/>
      </c>
      <c r="I476" s="14" t="str">
        <f aca="false">IF($D476=1,INDEX(TblClusters[RAM par nœud (Go)],$B476),"")</f>
        <v/>
      </c>
      <c r="J476" s="14" t="str">
        <f aca="false">IF($D476=1,INDEX(TblClusters[Workers min],$B476),"")</f>
        <v/>
      </c>
      <c r="K476" s="84" t="str">
        <f aca="false">IF($D476=1,INDEX(TblClusters[Tarif par nœud],$B476),"")</f>
        <v/>
      </c>
      <c r="L476" s="14" t="str">
        <f aca="false">IF($D476=1,INDEX(TblClusters[CPU initial (vCPU)],$B476),"")</f>
        <v/>
      </c>
      <c r="M476" s="14" t="str">
        <f aca="false">IF($D476=1,INDEX(TblClusters[RAM initiale (Go)],$B476),"")</f>
        <v/>
      </c>
      <c r="N476" s="14" t="str">
        <f aca="false">IF($D476=1,INDEX(TblClusters[CPU min (vCPU)],$B476),"")</f>
        <v/>
      </c>
      <c r="O476" s="14" t="str">
        <f aca="false">IF($D476=1,INDEX(TblClusters[RAM min (Go)],$B476),"")</f>
        <v/>
      </c>
      <c r="P476" s="14" t="str">
        <f aca="false">IF($D476&lt;&gt;1,"",IF($G476="ROKS",SUMIFS(TblApplications[Besoin ROKS CPU (vCPU)],TblApplications[Cluster ROKS cible],$F476,TblApplications[Action],"À migrer",TblApplications[Déjà incluse ROKS],"Non",TblApplications[Mois prov (calc)],"&lt;="&amp;$E476),SUMIFS(TblApplications[CPU IKS libérable (vCPU)],TblApplications[Cluster IKS source],$F476,TblApplications[Mois lib (calc)],"&lt;="&amp;$E476)))</f>
        <v/>
      </c>
      <c r="Q476" s="14" t="str">
        <f aca="false">IF($D476&lt;&gt;1,"",IF($G476="ROKS",SUMIFS(TblApplications[Besoin ROKS RAM (Go)],TblApplications[Cluster ROKS cible],$F476,TblApplications[Action],"À migrer",TblApplications[Déjà incluse ROKS],"Non",TblApplications[Mois prov (calc)],"&lt;="&amp;$E476),SUMIFS(TblApplications[RAM IKS libérable (Go)],TblApplications[Cluster IKS source],$F476,TblApplications[Mois lib (calc)],"&lt;="&amp;$E476)))</f>
        <v/>
      </c>
      <c r="R476" s="14" t="str">
        <f aca="false">IF($D476&lt;&gt;1,"",IF($G476="ROKS",$L476+$P476,IF($AI476=1,0,MAX($N476,$L476-$P476))))</f>
        <v/>
      </c>
      <c r="S476" s="14" t="str">
        <f aca="false">IF($D476&lt;&gt;1,"",IF($G476="ROKS",$M476+$Q476,IF($AI476=1,0,MAX($O476,$M476-$Q476))))</f>
        <v/>
      </c>
      <c r="T476" s="14" t="str">
        <f aca="false">IF($D476&lt;&gt;1,"",IF($AI476=1,0,MAX($J476,ROUNDUP(MAX($R476/$H476,$S476/$I476),0))))</f>
        <v/>
      </c>
      <c r="U476" s="14" t="str">
        <f aca="false">IF($D476&lt;&gt;1,"",IF(p_mode="Nœud",$T476*$H476,$R476))</f>
        <v/>
      </c>
      <c r="V476" s="14" t="str">
        <f aca="false">IF($D476&lt;&gt;1,"",IF(p_mode="Nœud",$T476*$I476,$S476))</f>
        <v/>
      </c>
      <c r="W476" s="84" t="str">
        <f aca="false">IF($D476&lt;&gt;1,"",IF(p_mode="Nœud",$T476*$K476,$R476*IF($G476="IKS",p_iks_cpu,p_roks_cpu)+$S476*IF($G476="IKS",p_iks_ram,p_roks_ram))*p_facteur)</f>
        <v/>
      </c>
      <c r="X476" s="14" t="str">
        <f aca="false">IF($D476&lt;&gt;1,"",IF($G476="ROKS",$R476,IF($AI476=1,0,MAX($N476,$L476-SUMIFS(TblApplications[CPU IKS libérable (vCPU)],TblApplications[Cluster IKS source],$F476,TblApplications[Action],"À migrer",TblApplications[Mois prov (calc)],"&lt;="&amp;$E476)-SUMIFS(TblApplications[CPU IKS libérable (vCPU)],TblApplications[Cluster IKS source],$F476,TblApplications[Action],"À décommissionner",TblApplications[Mois lib (calc)],"&lt;="&amp;$E476)))))</f>
        <v/>
      </c>
      <c r="Y476" s="14" t="str">
        <f aca="false">IF($D476&lt;&gt;1,"",IF($G476="ROKS",$S476,IF($AI476=1,0,MAX($O476,$M476-SUMIFS(TblApplications[RAM IKS libérable (Go)],TblApplications[Cluster IKS source],$F476,TblApplications[Action],"À migrer",TblApplications[Mois prov (calc)],"&lt;="&amp;$E476)-SUMIFS(TblApplications[RAM IKS libérable (Go)],TblApplications[Cluster IKS source],$F476,TblApplications[Action],"À décommissionner",TblApplications[Mois lib (calc)],"&lt;="&amp;$E476)))))</f>
        <v/>
      </c>
      <c r="Z476" s="14" t="str">
        <f aca="false">IF($D476&lt;&gt;1,"",IF($AI476=1,0,MAX($J476,ROUNDUP(MAX($X476/$H476,$Y476/$I476),0))))</f>
        <v/>
      </c>
      <c r="AA476" s="84" t="str">
        <f aca="false">IF($D476&lt;&gt;1,"",IF(p_mode="Nœud",$Z476*$K476,$X476*IF($G476="IKS",p_iks_cpu,p_roks_cpu)+$Y476*IF($G476="IKS",p_iks_ram,p_roks_ram))*p_facteur)</f>
        <v/>
      </c>
      <c r="AB476" s="14" t="str">
        <f aca="false">IF($D476&lt;&gt;1,"",MAX($J476,ROUNDUP(MAX($L476/$H476,$M476/$I476),0)))</f>
        <v/>
      </c>
      <c r="AC476" s="84" t="str">
        <f aca="false">IF($D476&lt;&gt;1,"",IF(p_mode="Nœud",$AB476*$K476,$L476*IF($G476="IKS",p_iks_cpu,p_roks_cpu)+$M476*IF($G476="IKS",p_iks_ram,p_roks_ram))*p_facteur)</f>
        <v/>
      </c>
      <c r="AD476" s="14" t="str">
        <f aca="false">IF($D476&lt;&gt;1,"",IF(AND($G476="IKS",$AI476&lt;&gt;1,OR($L476-$P476&lt;$N476,$M476-$Q476&lt;$O476)),1,0))</f>
        <v/>
      </c>
      <c r="AE476" s="14" t="str">
        <f aca="false">IF($D476&lt;&gt;1,"",IF(AND($G476="ROKS",$T476&gt;p_maxworkers),1,0))</f>
        <v/>
      </c>
      <c r="AF476" s="14" t="str">
        <f aca="false">IF($D476&lt;&gt;1,"",IF(INDEX(TblClusters[Environnement],$B476)="","(vide)",INDEX(TblClusters[Environnement],$B476)))</f>
        <v/>
      </c>
      <c r="AG476" s="14" t="str">
        <f aca="false">IF($D476&lt;&gt;1,"",$R476+p_poidsram*$S476)</f>
        <v/>
      </c>
      <c r="AH476" s="14" t="str">
        <f aca="false">IF($D476&lt;&gt;1,"",IFERROR($W476/$AG476,0))</f>
        <v/>
      </c>
      <c r="AI476" s="14" t="str">
        <f aca="false">IF($D476&lt;&gt;1,"",IF(AND($G476="IKS",ISNUMBER(INDEX(TblClusters[Fermeture retenue],$B476))),IF($E476&gt;=INDEX(TblClusters[Fermeture retenue],$B476),1,0),0))</f>
        <v/>
      </c>
    </row>
    <row r="477" customFormat="false" ht="15" hidden="false" customHeight="false" outlineLevel="0" collapsed="false">
      <c r="A477" s="14" t="n">
        <v>472</v>
      </c>
      <c r="B477" s="14" t="n">
        <f aca="false">INT(($A477-1)/36)+1</f>
        <v>14</v>
      </c>
      <c r="C477" s="14" t="n">
        <f aca="false">MOD($A477-1,36)+1</f>
        <v>4</v>
      </c>
      <c r="D477" s="14" t="n">
        <f aca="false">IF($C477&gt;p_horizon,0,IFERROR(IF(AND(INDEX(TblClusters[Cluster],$B477)&lt;&gt;"",ISNUMBER(INDEX(TblClusters[CPU initial (vCPU)],$B477)),ISNUMBER(INDEX(TblClusters[CPU min (vCPU)],$B477)),OR(INDEX(TblClusters[Plateforme],$B477)="IKS",INDEX(TblClusters[Plateforme],$B477)="ROKS")),1,0),0))</f>
        <v>0</v>
      </c>
      <c r="E477" s="83" t="str">
        <f aca="false">IF($D477=1,EDATE(p_debut,$C477-1),"")</f>
        <v/>
      </c>
      <c r="F477" s="14" t="str">
        <f aca="false">IF($D477=1,INDEX(TblClusters[Cluster],$B477),"")</f>
        <v/>
      </c>
      <c r="G477" s="14" t="str">
        <f aca="false">IF($D477=1,INDEX(TblClusters[Plateforme],$B477),"")</f>
        <v/>
      </c>
      <c r="H477" s="14" t="str">
        <f aca="false">IF($D477=1,INDEX(TblClusters[vCPU par nœud],$B477),"")</f>
        <v/>
      </c>
      <c r="I477" s="14" t="str">
        <f aca="false">IF($D477=1,INDEX(TblClusters[RAM par nœud (Go)],$B477),"")</f>
        <v/>
      </c>
      <c r="J477" s="14" t="str">
        <f aca="false">IF($D477=1,INDEX(TblClusters[Workers min],$B477),"")</f>
        <v/>
      </c>
      <c r="K477" s="84" t="str">
        <f aca="false">IF($D477=1,INDEX(TblClusters[Tarif par nœud],$B477),"")</f>
        <v/>
      </c>
      <c r="L477" s="14" t="str">
        <f aca="false">IF($D477=1,INDEX(TblClusters[CPU initial (vCPU)],$B477),"")</f>
        <v/>
      </c>
      <c r="M477" s="14" t="str">
        <f aca="false">IF($D477=1,INDEX(TblClusters[RAM initiale (Go)],$B477),"")</f>
        <v/>
      </c>
      <c r="N477" s="14" t="str">
        <f aca="false">IF($D477=1,INDEX(TblClusters[CPU min (vCPU)],$B477),"")</f>
        <v/>
      </c>
      <c r="O477" s="14" t="str">
        <f aca="false">IF($D477=1,INDEX(TblClusters[RAM min (Go)],$B477),"")</f>
        <v/>
      </c>
      <c r="P477" s="14" t="str">
        <f aca="false">IF($D477&lt;&gt;1,"",IF($G477="ROKS",SUMIFS(TblApplications[Besoin ROKS CPU (vCPU)],TblApplications[Cluster ROKS cible],$F477,TblApplications[Action],"À migrer",TblApplications[Déjà incluse ROKS],"Non",TblApplications[Mois prov (calc)],"&lt;="&amp;$E477),SUMIFS(TblApplications[CPU IKS libérable (vCPU)],TblApplications[Cluster IKS source],$F477,TblApplications[Mois lib (calc)],"&lt;="&amp;$E477)))</f>
        <v/>
      </c>
      <c r="Q477" s="14" t="str">
        <f aca="false">IF($D477&lt;&gt;1,"",IF($G477="ROKS",SUMIFS(TblApplications[Besoin ROKS RAM (Go)],TblApplications[Cluster ROKS cible],$F477,TblApplications[Action],"À migrer",TblApplications[Déjà incluse ROKS],"Non",TblApplications[Mois prov (calc)],"&lt;="&amp;$E477),SUMIFS(TblApplications[RAM IKS libérable (Go)],TblApplications[Cluster IKS source],$F477,TblApplications[Mois lib (calc)],"&lt;="&amp;$E477)))</f>
        <v/>
      </c>
      <c r="R477" s="14" t="str">
        <f aca="false">IF($D477&lt;&gt;1,"",IF($G477="ROKS",$L477+$P477,IF($AI477=1,0,MAX($N477,$L477-$P477))))</f>
        <v/>
      </c>
      <c r="S477" s="14" t="str">
        <f aca="false">IF($D477&lt;&gt;1,"",IF($G477="ROKS",$M477+$Q477,IF($AI477=1,0,MAX($O477,$M477-$Q477))))</f>
        <v/>
      </c>
      <c r="T477" s="14" t="str">
        <f aca="false">IF($D477&lt;&gt;1,"",IF($AI477=1,0,MAX($J477,ROUNDUP(MAX($R477/$H477,$S477/$I477),0))))</f>
        <v/>
      </c>
      <c r="U477" s="14" t="str">
        <f aca="false">IF($D477&lt;&gt;1,"",IF(p_mode="Nœud",$T477*$H477,$R477))</f>
        <v/>
      </c>
      <c r="V477" s="14" t="str">
        <f aca="false">IF($D477&lt;&gt;1,"",IF(p_mode="Nœud",$T477*$I477,$S477))</f>
        <v/>
      </c>
      <c r="W477" s="84" t="str">
        <f aca="false">IF($D477&lt;&gt;1,"",IF(p_mode="Nœud",$T477*$K477,$R477*IF($G477="IKS",p_iks_cpu,p_roks_cpu)+$S477*IF($G477="IKS",p_iks_ram,p_roks_ram))*p_facteur)</f>
        <v/>
      </c>
      <c r="X477" s="14" t="str">
        <f aca="false">IF($D477&lt;&gt;1,"",IF($G477="ROKS",$R477,IF($AI477=1,0,MAX($N477,$L477-SUMIFS(TblApplications[CPU IKS libérable (vCPU)],TblApplications[Cluster IKS source],$F477,TblApplications[Action],"À migrer",TblApplications[Mois prov (calc)],"&lt;="&amp;$E477)-SUMIFS(TblApplications[CPU IKS libérable (vCPU)],TblApplications[Cluster IKS source],$F477,TblApplications[Action],"À décommissionner",TblApplications[Mois lib (calc)],"&lt;="&amp;$E477)))))</f>
        <v/>
      </c>
      <c r="Y477" s="14" t="str">
        <f aca="false">IF($D477&lt;&gt;1,"",IF($G477="ROKS",$S477,IF($AI477=1,0,MAX($O477,$M477-SUMIFS(TblApplications[RAM IKS libérable (Go)],TblApplications[Cluster IKS source],$F477,TblApplications[Action],"À migrer",TblApplications[Mois prov (calc)],"&lt;="&amp;$E477)-SUMIFS(TblApplications[RAM IKS libérable (Go)],TblApplications[Cluster IKS source],$F477,TblApplications[Action],"À décommissionner",TblApplications[Mois lib (calc)],"&lt;="&amp;$E477)))))</f>
        <v/>
      </c>
      <c r="Z477" s="14" t="str">
        <f aca="false">IF($D477&lt;&gt;1,"",IF($AI477=1,0,MAX($J477,ROUNDUP(MAX($X477/$H477,$Y477/$I477),0))))</f>
        <v/>
      </c>
      <c r="AA477" s="84" t="str">
        <f aca="false">IF($D477&lt;&gt;1,"",IF(p_mode="Nœud",$Z477*$K477,$X477*IF($G477="IKS",p_iks_cpu,p_roks_cpu)+$Y477*IF($G477="IKS",p_iks_ram,p_roks_ram))*p_facteur)</f>
        <v/>
      </c>
      <c r="AB477" s="14" t="str">
        <f aca="false">IF($D477&lt;&gt;1,"",MAX($J477,ROUNDUP(MAX($L477/$H477,$M477/$I477),0)))</f>
        <v/>
      </c>
      <c r="AC477" s="84" t="str">
        <f aca="false">IF($D477&lt;&gt;1,"",IF(p_mode="Nœud",$AB477*$K477,$L477*IF($G477="IKS",p_iks_cpu,p_roks_cpu)+$M477*IF($G477="IKS",p_iks_ram,p_roks_ram))*p_facteur)</f>
        <v/>
      </c>
      <c r="AD477" s="14" t="str">
        <f aca="false">IF($D477&lt;&gt;1,"",IF(AND($G477="IKS",$AI477&lt;&gt;1,OR($L477-$P477&lt;$N477,$M477-$Q477&lt;$O477)),1,0))</f>
        <v/>
      </c>
      <c r="AE477" s="14" t="str">
        <f aca="false">IF($D477&lt;&gt;1,"",IF(AND($G477="ROKS",$T477&gt;p_maxworkers),1,0))</f>
        <v/>
      </c>
      <c r="AF477" s="14" t="str">
        <f aca="false">IF($D477&lt;&gt;1,"",IF(INDEX(TblClusters[Environnement],$B477)="","(vide)",INDEX(TblClusters[Environnement],$B477)))</f>
        <v/>
      </c>
      <c r="AG477" s="14" t="str">
        <f aca="false">IF($D477&lt;&gt;1,"",$R477+p_poidsram*$S477)</f>
        <v/>
      </c>
      <c r="AH477" s="14" t="str">
        <f aca="false">IF($D477&lt;&gt;1,"",IFERROR($W477/$AG477,0))</f>
        <v/>
      </c>
      <c r="AI477" s="14" t="str">
        <f aca="false">IF($D477&lt;&gt;1,"",IF(AND($G477="IKS",ISNUMBER(INDEX(TblClusters[Fermeture retenue],$B477))),IF($E477&gt;=INDEX(TblClusters[Fermeture retenue],$B477),1,0),0))</f>
        <v/>
      </c>
    </row>
    <row r="478" customFormat="false" ht="15" hidden="false" customHeight="false" outlineLevel="0" collapsed="false">
      <c r="A478" s="14" t="n">
        <v>473</v>
      </c>
      <c r="B478" s="14" t="n">
        <f aca="false">INT(($A478-1)/36)+1</f>
        <v>14</v>
      </c>
      <c r="C478" s="14" t="n">
        <f aca="false">MOD($A478-1,36)+1</f>
        <v>5</v>
      </c>
      <c r="D478" s="14" t="n">
        <f aca="false">IF($C478&gt;p_horizon,0,IFERROR(IF(AND(INDEX(TblClusters[Cluster],$B478)&lt;&gt;"",ISNUMBER(INDEX(TblClusters[CPU initial (vCPU)],$B478)),ISNUMBER(INDEX(TblClusters[CPU min (vCPU)],$B478)),OR(INDEX(TblClusters[Plateforme],$B478)="IKS",INDEX(TblClusters[Plateforme],$B478)="ROKS")),1,0),0))</f>
        <v>0</v>
      </c>
      <c r="E478" s="83" t="str">
        <f aca="false">IF($D478=1,EDATE(p_debut,$C478-1),"")</f>
        <v/>
      </c>
      <c r="F478" s="14" t="str">
        <f aca="false">IF($D478=1,INDEX(TblClusters[Cluster],$B478),"")</f>
        <v/>
      </c>
      <c r="G478" s="14" t="str">
        <f aca="false">IF($D478=1,INDEX(TblClusters[Plateforme],$B478),"")</f>
        <v/>
      </c>
      <c r="H478" s="14" t="str">
        <f aca="false">IF($D478=1,INDEX(TblClusters[vCPU par nœud],$B478),"")</f>
        <v/>
      </c>
      <c r="I478" s="14" t="str">
        <f aca="false">IF($D478=1,INDEX(TblClusters[RAM par nœud (Go)],$B478),"")</f>
        <v/>
      </c>
      <c r="J478" s="14" t="str">
        <f aca="false">IF($D478=1,INDEX(TblClusters[Workers min],$B478),"")</f>
        <v/>
      </c>
      <c r="K478" s="84" t="str">
        <f aca="false">IF($D478=1,INDEX(TblClusters[Tarif par nœud],$B478),"")</f>
        <v/>
      </c>
      <c r="L478" s="14" t="str">
        <f aca="false">IF($D478=1,INDEX(TblClusters[CPU initial (vCPU)],$B478),"")</f>
        <v/>
      </c>
      <c r="M478" s="14" t="str">
        <f aca="false">IF($D478=1,INDEX(TblClusters[RAM initiale (Go)],$B478),"")</f>
        <v/>
      </c>
      <c r="N478" s="14" t="str">
        <f aca="false">IF($D478=1,INDEX(TblClusters[CPU min (vCPU)],$B478),"")</f>
        <v/>
      </c>
      <c r="O478" s="14" t="str">
        <f aca="false">IF($D478=1,INDEX(TblClusters[RAM min (Go)],$B478),"")</f>
        <v/>
      </c>
      <c r="P478" s="14" t="str">
        <f aca="false">IF($D478&lt;&gt;1,"",IF($G478="ROKS",SUMIFS(TblApplications[Besoin ROKS CPU (vCPU)],TblApplications[Cluster ROKS cible],$F478,TblApplications[Action],"À migrer",TblApplications[Déjà incluse ROKS],"Non",TblApplications[Mois prov (calc)],"&lt;="&amp;$E478),SUMIFS(TblApplications[CPU IKS libérable (vCPU)],TblApplications[Cluster IKS source],$F478,TblApplications[Mois lib (calc)],"&lt;="&amp;$E478)))</f>
        <v/>
      </c>
      <c r="Q478" s="14" t="str">
        <f aca="false">IF($D478&lt;&gt;1,"",IF($G478="ROKS",SUMIFS(TblApplications[Besoin ROKS RAM (Go)],TblApplications[Cluster ROKS cible],$F478,TblApplications[Action],"À migrer",TblApplications[Déjà incluse ROKS],"Non",TblApplications[Mois prov (calc)],"&lt;="&amp;$E478),SUMIFS(TblApplications[RAM IKS libérable (Go)],TblApplications[Cluster IKS source],$F478,TblApplications[Mois lib (calc)],"&lt;="&amp;$E478)))</f>
        <v/>
      </c>
      <c r="R478" s="14" t="str">
        <f aca="false">IF($D478&lt;&gt;1,"",IF($G478="ROKS",$L478+$P478,IF($AI478=1,0,MAX($N478,$L478-$P478))))</f>
        <v/>
      </c>
      <c r="S478" s="14" t="str">
        <f aca="false">IF($D478&lt;&gt;1,"",IF($G478="ROKS",$M478+$Q478,IF($AI478=1,0,MAX($O478,$M478-$Q478))))</f>
        <v/>
      </c>
      <c r="T478" s="14" t="str">
        <f aca="false">IF($D478&lt;&gt;1,"",IF($AI478=1,0,MAX($J478,ROUNDUP(MAX($R478/$H478,$S478/$I478),0))))</f>
        <v/>
      </c>
      <c r="U478" s="14" t="str">
        <f aca="false">IF($D478&lt;&gt;1,"",IF(p_mode="Nœud",$T478*$H478,$R478))</f>
        <v/>
      </c>
      <c r="V478" s="14" t="str">
        <f aca="false">IF($D478&lt;&gt;1,"",IF(p_mode="Nœud",$T478*$I478,$S478))</f>
        <v/>
      </c>
      <c r="W478" s="84" t="str">
        <f aca="false">IF($D478&lt;&gt;1,"",IF(p_mode="Nœud",$T478*$K478,$R478*IF($G478="IKS",p_iks_cpu,p_roks_cpu)+$S478*IF($G478="IKS",p_iks_ram,p_roks_ram))*p_facteur)</f>
        <v/>
      </c>
      <c r="X478" s="14" t="str">
        <f aca="false">IF($D478&lt;&gt;1,"",IF($G478="ROKS",$R478,IF($AI478=1,0,MAX($N478,$L478-SUMIFS(TblApplications[CPU IKS libérable (vCPU)],TblApplications[Cluster IKS source],$F478,TblApplications[Action],"À migrer",TblApplications[Mois prov (calc)],"&lt;="&amp;$E478)-SUMIFS(TblApplications[CPU IKS libérable (vCPU)],TblApplications[Cluster IKS source],$F478,TblApplications[Action],"À décommissionner",TblApplications[Mois lib (calc)],"&lt;="&amp;$E478)))))</f>
        <v/>
      </c>
      <c r="Y478" s="14" t="str">
        <f aca="false">IF($D478&lt;&gt;1,"",IF($G478="ROKS",$S478,IF($AI478=1,0,MAX($O478,$M478-SUMIFS(TblApplications[RAM IKS libérable (Go)],TblApplications[Cluster IKS source],$F478,TblApplications[Action],"À migrer",TblApplications[Mois prov (calc)],"&lt;="&amp;$E478)-SUMIFS(TblApplications[RAM IKS libérable (Go)],TblApplications[Cluster IKS source],$F478,TblApplications[Action],"À décommissionner",TblApplications[Mois lib (calc)],"&lt;="&amp;$E478)))))</f>
        <v/>
      </c>
      <c r="Z478" s="14" t="str">
        <f aca="false">IF($D478&lt;&gt;1,"",IF($AI478=1,0,MAX($J478,ROUNDUP(MAX($X478/$H478,$Y478/$I478),0))))</f>
        <v/>
      </c>
      <c r="AA478" s="84" t="str">
        <f aca="false">IF($D478&lt;&gt;1,"",IF(p_mode="Nœud",$Z478*$K478,$X478*IF($G478="IKS",p_iks_cpu,p_roks_cpu)+$Y478*IF($G478="IKS",p_iks_ram,p_roks_ram))*p_facteur)</f>
        <v/>
      </c>
      <c r="AB478" s="14" t="str">
        <f aca="false">IF($D478&lt;&gt;1,"",MAX($J478,ROUNDUP(MAX($L478/$H478,$M478/$I478),0)))</f>
        <v/>
      </c>
      <c r="AC478" s="84" t="str">
        <f aca="false">IF($D478&lt;&gt;1,"",IF(p_mode="Nœud",$AB478*$K478,$L478*IF($G478="IKS",p_iks_cpu,p_roks_cpu)+$M478*IF($G478="IKS",p_iks_ram,p_roks_ram))*p_facteur)</f>
        <v/>
      </c>
      <c r="AD478" s="14" t="str">
        <f aca="false">IF($D478&lt;&gt;1,"",IF(AND($G478="IKS",$AI478&lt;&gt;1,OR($L478-$P478&lt;$N478,$M478-$Q478&lt;$O478)),1,0))</f>
        <v/>
      </c>
      <c r="AE478" s="14" t="str">
        <f aca="false">IF($D478&lt;&gt;1,"",IF(AND($G478="ROKS",$T478&gt;p_maxworkers),1,0))</f>
        <v/>
      </c>
      <c r="AF478" s="14" t="str">
        <f aca="false">IF($D478&lt;&gt;1,"",IF(INDEX(TblClusters[Environnement],$B478)="","(vide)",INDEX(TblClusters[Environnement],$B478)))</f>
        <v/>
      </c>
      <c r="AG478" s="14" t="str">
        <f aca="false">IF($D478&lt;&gt;1,"",$R478+p_poidsram*$S478)</f>
        <v/>
      </c>
      <c r="AH478" s="14" t="str">
        <f aca="false">IF($D478&lt;&gt;1,"",IFERROR($W478/$AG478,0))</f>
        <v/>
      </c>
      <c r="AI478" s="14" t="str">
        <f aca="false">IF($D478&lt;&gt;1,"",IF(AND($G478="IKS",ISNUMBER(INDEX(TblClusters[Fermeture retenue],$B478))),IF($E478&gt;=INDEX(TblClusters[Fermeture retenue],$B478),1,0),0))</f>
        <v/>
      </c>
    </row>
    <row r="479" customFormat="false" ht="15" hidden="false" customHeight="false" outlineLevel="0" collapsed="false">
      <c r="A479" s="14" t="n">
        <v>474</v>
      </c>
      <c r="B479" s="14" t="n">
        <f aca="false">INT(($A479-1)/36)+1</f>
        <v>14</v>
      </c>
      <c r="C479" s="14" t="n">
        <f aca="false">MOD($A479-1,36)+1</f>
        <v>6</v>
      </c>
      <c r="D479" s="14" t="n">
        <f aca="false">IF($C479&gt;p_horizon,0,IFERROR(IF(AND(INDEX(TblClusters[Cluster],$B479)&lt;&gt;"",ISNUMBER(INDEX(TblClusters[CPU initial (vCPU)],$B479)),ISNUMBER(INDEX(TblClusters[CPU min (vCPU)],$B479)),OR(INDEX(TblClusters[Plateforme],$B479)="IKS",INDEX(TblClusters[Plateforme],$B479)="ROKS")),1,0),0))</f>
        <v>0</v>
      </c>
      <c r="E479" s="83" t="str">
        <f aca="false">IF($D479=1,EDATE(p_debut,$C479-1),"")</f>
        <v/>
      </c>
      <c r="F479" s="14" t="str">
        <f aca="false">IF($D479=1,INDEX(TblClusters[Cluster],$B479),"")</f>
        <v/>
      </c>
      <c r="G479" s="14" t="str">
        <f aca="false">IF($D479=1,INDEX(TblClusters[Plateforme],$B479),"")</f>
        <v/>
      </c>
      <c r="H479" s="14" t="str">
        <f aca="false">IF($D479=1,INDEX(TblClusters[vCPU par nœud],$B479),"")</f>
        <v/>
      </c>
      <c r="I479" s="14" t="str">
        <f aca="false">IF($D479=1,INDEX(TblClusters[RAM par nœud (Go)],$B479),"")</f>
        <v/>
      </c>
      <c r="J479" s="14" t="str">
        <f aca="false">IF($D479=1,INDEX(TblClusters[Workers min],$B479),"")</f>
        <v/>
      </c>
      <c r="K479" s="84" t="str">
        <f aca="false">IF($D479=1,INDEX(TblClusters[Tarif par nœud],$B479),"")</f>
        <v/>
      </c>
      <c r="L479" s="14" t="str">
        <f aca="false">IF($D479=1,INDEX(TblClusters[CPU initial (vCPU)],$B479),"")</f>
        <v/>
      </c>
      <c r="M479" s="14" t="str">
        <f aca="false">IF($D479=1,INDEX(TblClusters[RAM initiale (Go)],$B479),"")</f>
        <v/>
      </c>
      <c r="N479" s="14" t="str">
        <f aca="false">IF($D479=1,INDEX(TblClusters[CPU min (vCPU)],$B479),"")</f>
        <v/>
      </c>
      <c r="O479" s="14" t="str">
        <f aca="false">IF($D479=1,INDEX(TblClusters[RAM min (Go)],$B479),"")</f>
        <v/>
      </c>
      <c r="P479" s="14" t="str">
        <f aca="false">IF($D479&lt;&gt;1,"",IF($G479="ROKS",SUMIFS(TblApplications[Besoin ROKS CPU (vCPU)],TblApplications[Cluster ROKS cible],$F479,TblApplications[Action],"À migrer",TblApplications[Déjà incluse ROKS],"Non",TblApplications[Mois prov (calc)],"&lt;="&amp;$E479),SUMIFS(TblApplications[CPU IKS libérable (vCPU)],TblApplications[Cluster IKS source],$F479,TblApplications[Mois lib (calc)],"&lt;="&amp;$E479)))</f>
        <v/>
      </c>
      <c r="Q479" s="14" t="str">
        <f aca="false">IF($D479&lt;&gt;1,"",IF($G479="ROKS",SUMIFS(TblApplications[Besoin ROKS RAM (Go)],TblApplications[Cluster ROKS cible],$F479,TblApplications[Action],"À migrer",TblApplications[Déjà incluse ROKS],"Non",TblApplications[Mois prov (calc)],"&lt;="&amp;$E479),SUMIFS(TblApplications[RAM IKS libérable (Go)],TblApplications[Cluster IKS source],$F479,TblApplications[Mois lib (calc)],"&lt;="&amp;$E479)))</f>
        <v/>
      </c>
      <c r="R479" s="14" t="str">
        <f aca="false">IF($D479&lt;&gt;1,"",IF($G479="ROKS",$L479+$P479,IF($AI479=1,0,MAX($N479,$L479-$P479))))</f>
        <v/>
      </c>
      <c r="S479" s="14" t="str">
        <f aca="false">IF($D479&lt;&gt;1,"",IF($G479="ROKS",$M479+$Q479,IF($AI479=1,0,MAX($O479,$M479-$Q479))))</f>
        <v/>
      </c>
      <c r="T479" s="14" t="str">
        <f aca="false">IF($D479&lt;&gt;1,"",IF($AI479=1,0,MAX($J479,ROUNDUP(MAX($R479/$H479,$S479/$I479),0))))</f>
        <v/>
      </c>
      <c r="U479" s="14" t="str">
        <f aca="false">IF($D479&lt;&gt;1,"",IF(p_mode="Nœud",$T479*$H479,$R479))</f>
        <v/>
      </c>
      <c r="V479" s="14" t="str">
        <f aca="false">IF($D479&lt;&gt;1,"",IF(p_mode="Nœud",$T479*$I479,$S479))</f>
        <v/>
      </c>
      <c r="W479" s="84" t="str">
        <f aca="false">IF($D479&lt;&gt;1,"",IF(p_mode="Nœud",$T479*$K479,$R479*IF($G479="IKS",p_iks_cpu,p_roks_cpu)+$S479*IF($G479="IKS",p_iks_ram,p_roks_ram))*p_facteur)</f>
        <v/>
      </c>
      <c r="X479" s="14" t="str">
        <f aca="false">IF($D479&lt;&gt;1,"",IF($G479="ROKS",$R479,IF($AI479=1,0,MAX($N479,$L479-SUMIFS(TblApplications[CPU IKS libérable (vCPU)],TblApplications[Cluster IKS source],$F479,TblApplications[Action],"À migrer",TblApplications[Mois prov (calc)],"&lt;="&amp;$E479)-SUMIFS(TblApplications[CPU IKS libérable (vCPU)],TblApplications[Cluster IKS source],$F479,TblApplications[Action],"À décommissionner",TblApplications[Mois lib (calc)],"&lt;="&amp;$E479)))))</f>
        <v/>
      </c>
      <c r="Y479" s="14" t="str">
        <f aca="false">IF($D479&lt;&gt;1,"",IF($G479="ROKS",$S479,IF($AI479=1,0,MAX($O479,$M479-SUMIFS(TblApplications[RAM IKS libérable (Go)],TblApplications[Cluster IKS source],$F479,TblApplications[Action],"À migrer",TblApplications[Mois prov (calc)],"&lt;="&amp;$E479)-SUMIFS(TblApplications[RAM IKS libérable (Go)],TblApplications[Cluster IKS source],$F479,TblApplications[Action],"À décommissionner",TblApplications[Mois lib (calc)],"&lt;="&amp;$E479)))))</f>
        <v/>
      </c>
      <c r="Z479" s="14" t="str">
        <f aca="false">IF($D479&lt;&gt;1,"",IF($AI479=1,0,MAX($J479,ROUNDUP(MAX($X479/$H479,$Y479/$I479),0))))</f>
        <v/>
      </c>
      <c r="AA479" s="84" t="str">
        <f aca="false">IF($D479&lt;&gt;1,"",IF(p_mode="Nœud",$Z479*$K479,$X479*IF($G479="IKS",p_iks_cpu,p_roks_cpu)+$Y479*IF($G479="IKS",p_iks_ram,p_roks_ram))*p_facteur)</f>
        <v/>
      </c>
      <c r="AB479" s="14" t="str">
        <f aca="false">IF($D479&lt;&gt;1,"",MAX($J479,ROUNDUP(MAX($L479/$H479,$M479/$I479),0)))</f>
        <v/>
      </c>
      <c r="AC479" s="84" t="str">
        <f aca="false">IF($D479&lt;&gt;1,"",IF(p_mode="Nœud",$AB479*$K479,$L479*IF($G479="IKS",p_iks_cpu,p_roks_cpu)+$M479*IF($G479="IKS",p_iks_ram,p_roks_ram))*p_facteur)</f>
        <v/>
      </c>
      <c r="AD479" s="14" t="str">
        <f aca="false">IF($D479&lt;&gt;1,"",IF(AND($G479="IKS",$AI479&lt;&gt;1,OR($L479-$P479&lt;$N479,$M479-$Q479&lt;$O479)),1,0))</f>
        <v/>
      </c>
      <c r="AE479" s="14" t="str">
        <f aca="false">IF($D479&lt;&gt;1,"",IF(AND($G479="ROKS",$T479&gt;p_maxworkers),1,0))</f>
        <v/>
      </c>
      <c r="AF479" s="14" t="str">
        <f aca="false">IF($D479&lt;&gt;1,"",IF(INDEX(TblClusters[Environnement],$B479)="","(vide)",INDEX(TblClusters[Environnement],$B479)))</f>
        <v/>
      </c>
      <c r="AG479" s="14" t="str">
        <f aca="false">IF($D479&lt;&gt;1,"",$R479+p_poidsram*$S479)</f>
        <v/>
      </c>
      <c r="AH479" s="14" t="str">
        <f aca="false">IF($D479&lt;&gt;1,"",IFERROR($W479/$AG479,0))</f>
        <v/>
      </c>
      <c r="AI479" s="14" t="str">
        <f aca="false">IF($D479&lt;&gt;1,"",IF(AND($G479="IKS",ISNUMBER(INDEX(TblClusters[Fermeture retenue],$B479))),IF($E479&gt;=INDEX(TblClusters[Fermeture retenue],$B479),1,0),0))</f>
        <v/>
      </c>
    </row>
    <row r="480" customFormat="false" ht="15" hidden="false" customHeight="false" outlineLevel="0" collapsed="false">
      <c r="A480" s="14" t="n">
        <v>475</v>
      </c>
      <c r="B480" s="14" t="n">
        <f aca="false">INT(($A480-1)/36)+1</f>
        <v>14</v>
      </c>
      <c r="C480" s="14" t="n">
        <f aca="false">MOD($A480-1,36)+1</f>
        <v>7</v>
      </c>
      <c r="D480" s="14" t="n">
        <f aca="false">IF($C480&gt;p_horizon,0,IFERROR(IF(AND(INDEX(TblClusters[Cluster],$B480)&lt;&gt;"",ISNUMBER(INDEX(TblClusters[CPU initial (vCPU)],$B480)),ISNUMBER(INDEX(TblClusters[CPU min (vCPU)],$B480)),OR(INDEX(TblClusters[Plateforme],$B480)="IKS",INDEX(TblClusters[Plateforme],$B480)="ROKS")),1,0),0))</f>
        <v>0</v>
      </c>
      <c r="E480" s="83" t="str">
        <f aca="false">IF($D480=1,EDATE(p_debut,$C480-1),"")</f>
        <v/>
      </c>
      <c r="F480" s="14" t="str">
        <f aca="false">IF($D480=1,INDEX(TblClusters[Cluster],$B480),"")</f>
        <v/>
      </c>
      <c r="G480" s="14" t="str">
        <f aca="false">IF($D480=1,INDEX(TblClusters[Plateforme],$B480),"")</f>
        <v/>
      </c>
      <c r="H480" s="14" t="str">
        <f aca="false">IF($D480=1,INDEX(TblClusters[vCPU par nœud],$B480),"")</f>
        <v/>
      </c>
      <c r="I480" s="14" t="str">
        <f aca="false">IF($D480=1,INDEX(TblClusters[RAM par nœud (Go)],$B480),"")</f>
        <v/>
      </c>
      <c r="J480" s="14" t="str">
        <f aca="false">IF($D480=1,INDEX(TblClusters[Workers min],$B480),"")</f>
        <v/>
      </c>
      <c r="K480" s="84" t="str">
        <f aca="false">IF($D480=1,INDEX(TblClusters[Tarif par nœud],$B480),"")</f>
        <v/>
      </c>
      <c r="L480" s="14" t="str">
        <f aca="false">IF($D480=1,INDEX(TblClusters[CPU initial (vCPU)],$B480),"")</f>
        <v/>
      </c>
      <c r="M480" s="14" t="str">
        <f aca="false">IF($D480=1,INDEX(TblClusters[RAM initiale (Go)],$B480),"")</f>
        <v/>
      </c>
      <c r="N480" s="14" t="str">
        <f aca="false">IF($D480=1,INDEX(TblClusters[CPU min (vCPU)],$B480),"")</f>
        <v/>
      </c>
      <c r="O480" s="14" t="str">
        <f aca="false">IF($D480=1,INDEX(TblClusters[RAM min (Go)],$B480),"")</f>
        <v/>
      </c>
      <c r="P480" s="14" t="str">
        <f aca="false">IF($D480&lt;&gt;1,"",IF($G480="ROKS",SUMIFS(TblApplications[Besoin ROKS CPU (vCPU)],TblApplications[Cluster ROKS cible],$F480,TblApplications[Action],"À migrer",TblApplications[Déjà incluse ROKS],"Non",TblApplications[Mois prov (calc)],"&lt;="&amp;$E480),SUMIFS(TblApplications[CPU IKS libérable (vCPU)],TblApplications[Cluster IKS source],$F480,TblApplications[Mois lib (calc)],"&lt;="&amp;$E480)))</f>
        <v/>
      </c>
      <c r="Q480" s="14" t="str">
        <f aca="false">IF($D480&lt;&gt;1,"",IF($G480="ROKS",SUMIFS(TblApplications[Besoin ROKS RAM (Go)],TblApplications[Cluster ROKS cible],$F480,TblApplications[Action],"À migrer",TblApplications[Déjà incluse ROKS],"Non",TblApplications[Mois prov (calc)],"&lt;="&amp;$E480),SUMIFS(TblApplications[RAM IKS libérable (Go)],TblApplications[Cluster IKS source],$F480,TblApplications[Mois lib (calc)],"&lt;="&amp;$E480)))</f>
        <v/>
      </c>
      <c r="R480" s="14" t="str">
        <f aca="false">IF($D480&lt;&gt;1,"",IF($G480="ROKS",$L480+$P480,IF($AI480=1,0,MAX($N480,$L480-$P480))))</f>
        <v/>
      </c>
      <c r="S480" s="14" t="str">
        <f aca="false">IF($D480&lt;&gt;1,"",IF($G480="ROKS",$M480+$Q480,IF($AI480=1,0,MAX($O480,$M480-$Q480))))</f>
        <v/>
      </c>
      <c r="T480" s="14" t="str">
        <f aca="false">IF($D480&lt;&gt;1,"",IF($AI480=1,0,MAX($J480,ROUNDUP(MAX($R480/$H480,$S480/$I480),0))))</f>
        <v/>
      </c>
      <c r="U480" s="14" t="str">
        <f aca="false">IF($D480&lt;&gt;1,"",IF(p_mode="Nœud",$T480*$H480,$R480))</f>
        <v/>
      </c>
      <c r="V480" s="14" t="str">
        <f aca="false">IF($D480&lt;&gt;1,"",IF(p_mode="Nœud",$T480*$I480,$S480))</f>
        <v/>
      </c>
      <c r="W480" s="84" t="str">
        <f aca="false">IF($D480&lt;&gt;1,"",IF(p_mode="Nœud",$T480*$K480,$R480*IF($G480="IKS",p_iks_cpu,p_roks_cpu)+$S480*IF($G480="IKS",p_iks_ram,p_roks_ram))*p_facteur)</f>
        <v/>
      </c>
      <c r="X480" s="14" t="str">
        <f aca="false">IF($D480&lt;&gt;1,"",IF($G480="ROKS",$R480,IF($AI480=1,0,MAX($N480,$L480-SUMIFS(TblApplications[CPU IKS libérable (vCPU)],TblApplications[Cluster IKS source],$F480,TblApplications[Action],"À migrer",TblApplications[Mois prov (calc)],"&lt;="&amp;$E480)-SUMIFS(TblApplications[CPU IKS libérable (vCPU)],TblApplications[Cluster IKS source],$F480,TblApplications[Action],"À décommissionner",TblApplications[Mois lib (calc)],"&lt;="&amp;$E480)))))</f>
        <v/>
      </c>
      <c r="Y480" s="14" t="str">
        <f aca="false">IF($D480&lt;&gt;1,"",IF($G480="ROKS",$S480,IF($AI480=1,0,MAX($O480,$M480-SUMIFS(TblApplications[RAM IKS libérable (Go)],TblApplications[Cluster IKS source],$F480,TblApplications[Action],"À migrer",TblApplications[Mois prov (calc)],"&lt;="&amp;$E480)-SUMIFS(TblApplications[RAM IKS libérable (Go)],TblApplications[Cluster IKS source],$F480,TblApplications[Action],"À décommissionner",TblApplications[Mois lib (calc)],"&lt;="&amp;$E480)))))</f>
        <v/>
      </c>
      <c r="Z480" s="14" t="str">
        <f aca="false">IF($D480&lt;&gt;1,"",IF($AI480=1,0,MAX($J480,ROUNDUP(MAX($X480/$H480,$Y480/$I480),0))))</f>
        <v/>
      </c>
      <c r="AA480" s="84" t="str">
        <f aca="false">IF($D480&lt;&gt;1,"",IF(p_mode="Nœud",$Z480*$K480,$X480*IF($G480="IKS",p_iks_cpu,p_roks_cpu)+$Y480*IF($G480="IKS",p_iks_ram,p_roks_ram))*p_facteur)</f>
        <v/>
      </c>
      <c r="AB480" s="14" t="str">
        <f aca="false">IF($D480&lt;&gt;1,"",MAX($J480,ROUNDUP(MAX($L480/$H480,$M480/$I480),0)))</f>
        <v/>
      </c>
      <c r="AC480" s="84" t="str">
        <f aca="false">IF($D480&lt;&gt;1,"",IF(p_mode="Nœud",$AB480*$K480,$L480*IF($G480="IKS",p_iks_cpu,p_roks_cpu)+$M480*IF($G480="IKS",p_iks_ram,p_roks_ram))*p_facteur)</f>
        <v/>
      </c>
      <c r="AD480" s="14" t="str">
        <f aca="false">IF($D480&lt;&gt;1,"",IF(AND($G480="IKS",$AI480&lt;&gt;1,OR($L480-$P480&lt;$N480,$M480-$Q480&lt;$O480)),1,0))</f>
        <v/>
      </c>
      <c r="AE480" s="14" t="str">
        <f aca="false">IF($D480&lt;&gt;1,"",IF(AND($G480="ROKS",$T480&gt;p_maxworkers),1,0))</f>
        <v/>
      </c>
      <c r="AF480" s="14" t="str">
        <f aca="false">IF($D480&lt;&gt;1,"",IF(INDEX(TblClusters[Environnement],$B480)="","(vide)",INDEX(TblClusters[Environnement],$B480)))</f>
        <v/>
      </c>
      <c r="AG480" s="14" t="str">
        <f aca="false">IF($D480&lt;&gt;1,"",$R480+p_poidsram*$S480)</f>
        <v/>
      </c>
      <c r="AH480" s="14" t="str">
        <f aca="false">IF($D480&lt;&gt;1,"",IFERROR($W480/$AG480,0))</f>
        <v/>
      </c>
      <c r="AI480" s="14" t="str">
        <f aca="false">IF($D480&lt;&gt;1,"",IF(AND($G480="IKS",ISNUMBER(INDEX(TblClusters[Fermeture retenue],$B480))),IF($E480&gt;=INDEX(TblClusters[Fermeture retenue],$B480),1,0),0))</f>
        <v/>
      </c>
    </row>
    <row r="481" customFormat="false" ht="15" hidden="false" customHeight="false" outlineLevel="0" collapsed="false">
      <c r="A481" s="14" t="n">
        <v>476</v>
      </c>
      <c r="B481" s="14" t="n">
        <f aca="false">INT(($A481-1)/36)+1</f>
        <v>14</v>
      </c>
      <c r="C481" s="14" t="n">
        <f aca="false">MOD($A481-1,36)+1</f>
        <v>8</v>
      </c>
      <c r="D481" s="14" t="n">
        <f aca="false">IF($C481&gt;p_horizon,0,IFERROR(IF(AND(INDEX(TblClusters[Cluster],$B481)&lt;&gt;"",ISNUMBER(INDEX(TblClusters[CPU initial (vCPU)],$B481)),ISNUMBER(INDEX(TblClusters[CPU min (vCPU)],$B481)),OR(INDEX(TblClusters[Plateforme],$B481)="IKS",INDEX(TblClusters[Plateforme],$B481)="ROKS")),1,0),0))</f>
        <v>0</v>
      </c>
      <c r="E481" s="83" t="str">
        <f aca="false">IF($D481=1,EDATE(p_debut,$C481-1),"")</f>
        <v/>
      </c>
      <c r="F481" s="14" t="str">
        <f aca="false">IF($D481=1,INDEX(TblClusters[Cluster],$B481),"")</f>
        <v/>
      </c>
      <c r="G481" s="14" t="str">
        <f aca="false">IF($D481=1,INDEX(TblClusters[Plateforme],$B481),"")</f>
        <v/>
      </c>
      <c r="H481" s="14" t="str">
        <f aca="false">IF($D481=1,INDEX(TblClusters[vCPU par nœud],$B481),"")</f>
        <v/>
      </c>
      <c r="I481" s="14" t="str">
        <f aca="false">IF($D481=1,INDEX(TblClusters[RAM par nœud (Go)],$B481),"")</f>
        <v/>
      </c>
      <c r="J481" s="14" t="str">
        <f aca="false">IF($D481=1,INDEX(TblClusters[Workers min],$B481),"")</f>
        <v/>
      </c>
      <c r="K481" s="84" t="str">
        <f aca="false">IF($D481=1,INDEX(TblClusters[Tarif par nœud],$B481),"")</f>
        <v/>
      </c>
      <c r="L481" s="14" t="str">
        <f aca="false">IF($D481=1,INDEX(TblClusters[CPU initial (vCPU)],$B481),"")</f>
        <v/>
      </c>
      <c r="M481" s="14" t="str">
        <f aca="false">IF($D481=1,INDEX(TblClusters[RAM initiale (Go)],$B481),"")</f>
        <v/>
      </c>
      <c r="N481" s="14" t="str">
        <f aca="false">IF($D481=1,INDEX(TblClusters[CPU min (vCPU)],$B481),"")</f>
        <v/>
      </c>
      <c r="O481" s="14" t="str">
        <f aca="false">IF($D481=1,INDEX(TblClusters[RAM min (Go)],$B481),"")</f>
        <v/>
      </c>
      <c r="P481" s="14" t="str">
        <f aca="false">IF($D481&lt;&gt;1,"",IF($G481="ROKS",SUMIFS(TblApplications[Besoin ROKS CPU (vCPU)],TblApplications[Cluster ROKS cible],$F481,TblApplications[Action],"À migrer",TblApplications[Déjà incluse ROKS],"Non",TblApplications[Mois prov (calc)],"&lt;="&amp;$E481),SUMIFS(TblApplications[CPU IKS libérable (vCPU)],TblApplications[Cluster IKS source],$F481,TblApplications[Mois lib (calc)],"&lt;="&amp;$E481)))</f>
        <v/>
      </c>
      <c r="Q481" s="14" t="str">
        <f aca="false">IF($D481&lt;&gt;1,"",IF($G481="ROKS",SUMIFS(TblApplications[Besoin ROKS RAM (Go)],TblApplications[Cluster ROKS cible],$F481,TblApplications[Action],"À migrer",TblApplications[Déjà incluse ROKS],"Non",TblApplications[Mois prov (calc)],"&lt;="&amp;$E481),SUMIFS(TblApplications[RAM IKS libérable (Go)],TblApplications[Cluster IKS source],$F481,TblApplications[Mois lib (calc)],"&lt;="&amp;$E481)))</f>
        <v/>
      </c>
      <c r="R481" s="14" t="str">
        <f aca="false">IF($D481&lt;&gt;1,"",IF($G481="ROKS",$L481+$P481,IF($AI481=1,0,MAX($N481,$L481-$P481))))</f>
        <v/>
      </c>
      <c r="S481" s="14" t="str">
        <f aca="false">IF($D481&lt;&gt;1,"",IF($G481="ROKS",$M481+$Q481,IF($AI481=1,0,MAX($O481,$M481-$Q481))))</f>
        <v/>
      </c>
      <c r="T481" s="14" t="str">
        <f aca="false">IF($D481&lt;&gt;1,"",IF($AI481=1,0,MAX($J481,ROUNDUP(MAX($R481/$H481,$S481/$I481),0))))</f>
        <v/>
      </c>
      <c r="U481" s="14" t="str">
        <f aca="false">IF($D481&lt;&gt;1,"",IF(p_mode="Nœud",$T481*$H481,$R481))</f>
        <v/>
      </c>
      <c r="V481" s="14" t="str">
        <f aca="false">IF($D481&lt;&gt;1,"",IF(p_mode="Nœud",$T481*$I481,$S481))</f>
        <v/>
      </c>
      <c r="W481" s="84" t="str">
        <f aca="false">IF($D481&lt;&gt;1,"",IF(p_mode="Nœud",$T481*$K481,$R481*IF($G481="IKS",p_iks_cpu,p_roks_cpu)+$S481*IF($G481="IKS",p_iks_ram,p_roks_ram))*p_facteur)</f>
        <v/>
      </c>
      <c r="X481" s="14" t="str">
        <f aca="false">IF($D481&lt;&gt;1,"",IF($G481="ROKS",$R481,IF($AI481=1,0,MAX($N481,$L481-SUMIFS(TblApplications[CPU IKS libérable (vCPU)],TblApplications[Cluster IKS source],$F481,TblApplications[Action],"À migrer",TblApplications[Mois prov (calc)],"&lt;="&amp;$E481)-SUMIFS(TblApplications[CPU IKS libérable (vCPU)],TblApplications[Cluster IKS source],$F481,TblApplications[Action],"À décommissionner",TblApplications[Mois lib (calc)],"&lt;="&amp;$E481)))))</f>
        <v/>
      </c>
      <c r="Y481" s="14" t="str">
        <f aca="false">IF($D481&lt;&gt;1,"",IF($G481="ROKS",$S481,IF($AI481=1,0,MAX($O481,$M481-SUMIFS(TblApplications[RAM IKS libérable (Go)],TblApplications[Cluster IKS source],$F481,TblApplications[Action],"À migrer",TblApplications[Mois prov (calc)],"&lt;="&amp;$E481)-SUMIFS(TblApplications[RAM IKS libérable (Go)],TblApplications[Cluster IKS source],$F481,TblApplications[Action],"À décommissionner",TblApplications[Mois lib (calc)],"&lt;="&amp;$E481)))))</f>
        <v/>
      </c>
      <c r="Z481" s="14" t="str">
        <f aca="false">IF($D481&lt;&gt;1,"",IF($AI481=1,0,MAX($J481,ROUNDUP(MAX($X481/$H481,$Y481/$I481),0))))</f>
        <v/>
      </c>
      <c r="AA481" s="84" t="str">
        <f aca="false">IF($D481&lt;&gt;1,"",IF(p_mode="Nœud",$Z481*$K481,$X481*IF($G481="IKS",p_iks_cpu,p_roks_cpu)+$Y481*IF($G481="IKS",p_iks_ram,p_roks_ram))*p_facteur)</f>
        <v/>
      </c>
      <c r="AB481" s="14" t="str">
        <f aca="false">IF($D481&lt;&gt;1,"",MAX($J481,ROUNDUP(MAX($L481/$H481,$M481/$I481),0)))</f>
        <v/>
      </c>
      <c r="AC481" s="84" t="str">
        <f aca="false">IF($D481&lt;&gt;1,"",IF(p_mode="Nœud",$AB481*$K481,$L481*IF($G481="IKS",p_iks_cpu,p_roks_cpu)+$M481*IF($G481="IKS",p_iks_ram,p_roks_ram))*p_facteur)</f>
        <v/>
      </c>
      <c r="AD481" s="14" t="str">
        <f aca="false">IF($D481&lt;&gt;1,"",IF(AND($G481="IKS",$AI481&lt;&gt;1,OR($L481-$P481&lt;$N481,$M481-$Q481&lt;$O481)),1,0))</f>
        <v/>
      </c>
      <c r="AE481" s="14" t="str">
        <f aca="false">IF($D481&lt;&gt;1,"",IF(AND($G481="ROKS",$T481&gt;p_maxworkers),1,0))</f>
        <v/>
      </c>
      <c r="AF481" s="14" t="str">
        <f aca="false">IF($D481&lt;&gt;1,"",IF(INDEX(TblClusters[Environnement],$B481)="","(vide)",INDEX(TblClusters[Environnement],$B481)))</f>
        <v/>
      </c>
      <c r="AG481" s="14" t="str">
        <f aca="false">IF($D481&lt;&gt;1,"",$R481+p_poidsram*$S481)</f>
        <v/>
      </c>
      <c r="AH481" s="14" t="str">
        <f aca="false">IF($D481&lt;&gt;1,"",IFERROR($W481/$AG481,0))</f>
        <v/>
      </c>
      <c r="AI481" s="14" t="str">
        <f aca="false">IF($D481&lt;&gt;1,"",IF(AND($G481="IKS",ISNUMBER(INDEX(TblClusters[Fermeture retenue],$B481))),IF($E481&gt;=INDEX(TblClusters[Fermeture retenue],$B481),1,0),0))</f>
        <v/>
      </c>
    </row>
    <row r="482" customFormat="false" ht="15" hidden="false" customHeight="false" outlineLevel="0" collapsed="false">
      <c r="A482" s="14" t="n">
        <v>477</v>
      </c>
      <c r="B482" s="14" t="n">
        <f aca="false">INT(($A482-1)/36)+1</f>
        <v>14</v>
      </c>
      <c r="C482" s="14" t="n">
        <f aca="false">MOD($A482-1,36)+1</f>
        <v>9</v>
      </c>
      <c r="D482" s="14" t="n">
        <f aca="false">IF($C482&gt;p_horizon,0,IFERROR(IF(AND(INDEX(TblClusters[Cluster],$B482)&lt;&gt;"",ISNUMBER(INDEX(TblClusters[CPU initial (vCPU)],$B482)),ISNUMBER(INDEX(TblClusters[CPU min (vCPU)],$B482)),OR(INDEX(TblClusters[Plateforme],$B482)="IKS",INDEX(TblClusters[Plateforme],$B482)="ROKS")),1,0),0))</f>
        <v>0</v>
      </c>
      <c r="E482" s="83" t="str">
        <f aca="false">IF($D482=1,EDATE(p_debut,$C482-1),"")</f>
        <v/>
      </c>
      <c r="F482" s="14" t="str">
        <f aca="false">IF($D482=1,INDEX(TblClusters[Cluster],$B482),"")</f>
        <v/>
      </c>
      <c r="G482" s="14" t="str">
        <f aca="false">IF($D482=1,INDEX(TblClusters[Plateforme],$B482),"")</f>
        <v/>
      </c>
      <c r="H482" s="14" t="str">
        <f aca="false">IF($D482=1,INDEX(TblClusters[vCPU par nœud],$B482),"")</f>
        <v/>
      </c>
      <c r="I482" s="14" t="str">
        <f aca="false">IF($D482=1,INDEX(TblClusters[RAM par nœud (Go)],$B482),"")</f>
        <v/>
      </c>
      <c r="J482" s="14" t="str">
        <f aca="false">IF($D482=1,INDEX(TblClusters[Workers min],$B482),"")</f>
        <v/>
      </c>
      <c r="K482" s="84" t="str">
        <f aca="false">IF($D482=1,INDEX(TblClusters[Tarif par nœud],$B482),"")</f>
        <v/>
      </c>
      <c r="L482" s="14" t="str">
        <f aca="false">IF($D482=1,INDEX(TblClusters[CPU initial (vCPU)],$B482),"")</f>
        <v/>
      </c>
      <c r="M482" s="14" t="str">
        <f aca="false">IF($D482=1,INDEX(TblClusters[RAM initiale (Go)],$B482),"")</f>
        <v/>
      </c>
      <c r="N482" s="14" t="str">
        <f aca="false">IF($D482=1,INDEX(TblClusters[CPU min (vCPU)],$B482),"")</f>
        <v/>
      </c>
      <c r="O482" s="14" t="str">
        <f aca="false">IF($D482=1,INDEX(TblClusters[RAM min (Go)],$B482),"")</f>
        <v/>
      </c>
      <c r="P482" s="14" t="str">
        <f aca="false">IF($D482&lt;&gt;1,"",IF($G482="ROKS",SUMIFS(TblApplications[Besoin ROKS CPU (vCPU)],TblApplications[Cluster ROKS cible],$F482,TblApplications[Action],"À migrer",TblApplications[Déjà incluse ROKS],"Non",TblApplications[Mois prov (calc)],"&lt;="&amp;$E482),SUMIFS(TblApplications[CPU IKS libérable (vCPU)],TblApplications[Cluster IKS source],$F482,TblApplications[Mois lib (calc)],"&lt;="&amp;$E482)))</f>
        <v/>
      </c>
      <c r="Q482" s="14" t="str">
        <f aca="false">IF($D482&lt;&gt;1,"",IF($G482="ROKS",SUMIFS(TblApplications[Besoin ROKS RAM (Go)],TblApplications[Cluster ROKS cible],$F482,TblApplications[Action],"À migrer",TblApplications[Déjà incluse ROKS],"Non",TblApplications[Mois prov (calc)],"&lt;="&amp;$E482),SUMIFS(TblApplications[RAM IKS libérable (Go)],TblApplications[Cluster IKS source],$F482,TblApplications[Mois lib (calc)],"&lt;="&amp;$E482)))</f>
        <v/>
      </c>
      <c r="R482" s="14" t="str">
        <f aca="false">IF($D482&lt;&gt;1,"",IF($G482="ROKS",$L482+$P482,IF($AI482=1,0,MAX($N482,$L482-$P482))))</f>
        <v/>
      </c>
      <c r="S482" s="14" t="str">
        <f aca="false">IF($D482&lt;&gt;1,"",IF($G482="ROKS",$M482+$Q482,IF($AI482=1,0,MAX($O482,$M482-$Q482))))</f>
        <v/>
      </c>
      <c r="T482" s="14" t="str">
        <f aca="false">IF($D482&lt;&gt;1,"",IF($AI482=1,0,MAX($J482,ROUNDUP(MAX($R482/$H482,$S482/$I482),0))))</f>
        <v/>
      </c>
      <c r="U482" s="14" t="str">
        <f aca="false">IF($D482&lt;&gt;1,"",IF(p_mode="Nœud",$T482*$H482,$R482))</f>
        <v/>
      </c>
      <c r="V482" s="14" t="str">
        <f aca="false">IF($D482&lt;&gt;1,"",IF(p_mode="Nœud",$T482*$I482,$S482))</f>
        <v/>
      </c>
      <c r="W482" s="84" t="str">
        <f aca="false">IF($D482&lt;&gt;1,"",IF(p_mode="Nœud",$T482*$K482,$R482*IF($G482="IKS",p_iks_cpu,p_roks_cpu)+$S482*IF($G482="IKS",p_iks_ram,p_roks_ram))*p_facteur)</f>
        <v/>
      </c>
      <c r="X482" s="14" t="str">
        <f aca="false">IF($D482&lt;&gt;1,"",IF($G482="ROKS",$R482,IF($AI482=1,0,MAX($N482,$L482-SUMIFS(TblApplications[CPU IKS libérable (vCPU)],TblApplications[Cluster IKS source],$F482,TblApplications[Action],"À migrer",TblApplications[Mois prov (calc)],"&lt;="&amp;$E482)-SUMIFS(TblApplications[CPU IKS libérable (vCPU)],TblApplications[Cluster IKS source],$F482,TblApplications[Action],"À décommissionner",TblApplications[Mois lib (calc)],"&lt;="&amp;$E482)))))</f>
        <v/>
      </c>
      <c r="Y482" s="14" t="str">
        <f aca="false">IF($D482&lt;&gt;1,"",IF($G482="ROKS",$S482,IF($AI482=1,0,MAX($O482,$M482-SUMIFS(TblApplications[RAM IKS libérable (Go)],TblApplications[Cluster IKS source],$F482,TblApplications[Action],"À migrer",TblApplications[Mois prov (calc)],"&lt;="&amp;$E482)-SUMIFS(TblApplications[RAM IKS libérable (Go)],TblApplications[Cluster IKS source],$F482,TblApplications[Action],"À décommissionner",TblApplications[Mois lib (calc)],"&lt;="&amp;$E482)))))</f>
        <v/>
      </c>
      <c r="Z482" s="14" t="str">
        <f aca="false">IF($D482&lt;&gt;1,"",IF($AI482=1,0,MAX($J482,ROUNDUP(MAX($X482/$H482,$Y482/$I482),0))))</f>
        <v/>
      </c>
      <c r="AA482" s="84" t="str">
        <f aca="false">IF($D482&lt;&gt;1,"",IF(p_mode="Nœud",$Z482*$K482,$X482*IF($G482="IKS",p_iks_cpu,p_roks_cpu)+$Y482*IF($G482="IKS",p_iks_ram,p_roks_ram))*p_facteur)</f>
        <v/>
      </c>
      <c r="AB482" s="14" t="str">
        <f aca="false">IF($D482&lt;&gt;1,"",MAX($J482,ROUNDUP(MAX($L482/$H482,$M482/$I482),0)))</f>
        <v/>
      </c>
      <c r="AC482" s="84" t="str">
        <f aca="false">IF($D482&lt;&gt;1,"",IF(p_mode="Nœud",$AB482*$K482,$L482*IF($G482="IKS",p_iks_cpu,p_roks_cpu)+$M482*IF($G482="IKS",p_iks_ram,p_roks_ram))*p_facteur)</f>
        <v/>
      </c>
      <c r="AD482" s="14" t="str">
        <f aca="false">IF($D482&lt;&gt;1,"",IF(AND($G482="IKS",$AI482&lt;&gt;1,OR($L482-$P482&lt;$N482,$M482-$Q482&lt;$O482)),1,0))</f>
        <v/>
      </c>
      <c r="AE482" s="14" t="str">
        <f aca="false">IF($D482&lt;&gt;1,"",IF(AND($G482="ROKS",$T482&gt;p_maxworkers),1,0))</f>
        <v/>
      </c>
      <c r="AF482" s="14" t="str">
        <f aca="false">IF($D482&lt;&gt;1,"",IF(INDEX(TblClusters[Environnement],$B482)="","(vide)",INDEX(TblClusters[Environnement],$B482)))</f>
        <v/>
      </c>
      <c r="AG482" s="14" t="str">
        <f aca="false">IF($D482&lt;&gt;1,"",$R482+p_poidsram*$S482)</f>
        <v/>
      </c>
      <c r="AH482" s="14" t="str">
        <f aca="false">IF($D482&lt;&gt;1,"",IFERROR($W482/$AG482,0))</f>
        <v/>
      </c>
      <c r="AI482" s="14" t="str">
        <f aca="false">IF($D482&lt;&gt;1,"",IF(AND($G482="IKS",ISNUMBER(INDEX(TblClusters[Fermeture retenue],$B482))),IF($E482&gt;=INDEX(TblClusters[Fermeture retenue],$B482),1,0),0))</f>
        <v/>
      </c>
    </row>
    <row r="483" customFormat="false" ht="15" hidden="false" customHeight="false" outlineLevel="0" collapsed="false">
      <c r="A483" s="14" t="n">
        <v>478</v>
      </c>
      <c r="B483" s="14" t="n">
        <f aca="false">INT(($A483-1)/36)+1</f>
        <v>14</v>
      </c>
      <c r="C483" s="14" t="n">
        <f aca="false">MOD($A483-1,36)+1</f>
        <v>10</v>
      </c>
      <c r="D483" s="14" t="n">
        <f aca="false">IF($C483&gt;p_horizon,0,IFERROR(IF(AND(INDEX(TblClusters[Cluster],$B483)&lt;&gt;"",ISNUMBER(INDEX(TblClusters[CPU initial (vCPU)],$B483)),ISNUMBER(INDEX(TblClusters[CPU min (vCPU)],$B483)),OR(INDEX(TblClusters[Plateforme],$B483)="IKS",INDEX(TblClusters[Plateforme],$B483)="ROKS")),1,0),0))</f>
        <v>0</v>
      </c>
      <c r="E483" s="83" t="str">
        <f aca="false">IF($D483=1,EDATE(p_debut,$C483-1),"")</f>
        <v/>
      </c>
      <c r="F483" s="14" t="str">
        <f aca="false">IF($D483=1,INDEX(TblClusters[Cluster],$B483),"")</f>
        <v/>
      </c>
      <c r="G483" s="14" t="str">
        <f aca="false">IF($D483=1,INDEX(TblClusters[Plateforme],$B483),"")</f>
        <v/>
      </c>
      <c r="H483" s="14" t="str">
        <f aca="false">IF($D483=1,INDEX(TblClusters[vCPU par nœud],$B483),"")</f>
        <v/>
      </c>
      <c r="I483" s="14" t="str">
        <f aca="false">IF($D483=1,INDEX(TblClusters[RAM par nœud (Go)],$B483),"")</f>
        <v/>
      </c>
      <c r="J483" s="14" t="str">
        <f aca="false">IF($D483=1,INDEX(TblClusters[Workers min],$B483),"")</f>
        <v/>
      </c>
      <c r="K483" s="84" t="str">
        <f aca="false">IF($D483=1,INDEX(TblClusters[Tarif par nœud],$B483),"")</f>
        <v/>
      </c>
      <c r="L483" s="14" t="str">
        <f aca="false">IF($D483=1,INDEX(TblClusters[CPU initial (vCPU)],$B483),"")</f>
        <v/>
      </c>
      <c r="M483" s="14" t="str">
        <f aca="false">IF($D483=1,INDEX(TblClusters[RAM initiale (Go)],$B483),"")</f>
        <v/>
      </c>
      <c r="N483" s="14" t="str">
        <f aca="false">IF($D483=1,INDEX(TblClusters[CPU min (vCPU)],$B483),"")</f>
        <v/>
      </c>
      <c r="O483" s="14" t="str">
        <f aca="false">IF($D483=1,INDEX(TblClusters[RAM min (Go)],$B483),"")</f>
        <v/>
      </c>
      <c r="P483" s="14" t="str">
        <f aca="false">IF($D483&lt;&gt;1,"",IF($G483="ROKS",SUMIFS(TblApplications[Besoin ROKS CPU (vCPU)],TblApplications[Cluster ROKS cible],$F483,TblApplications[Action],"À migrer",TblApplications[Déjà incluse ROKS],"Non",TblApplications[Mois prov (calc)],"&lt;="&amp;$E483),SUMIFS(TblApplications[CPU IKS libérable (vCPU)],TblApplications[Cluster IKS source],$F483,TblApplications[Mois lib (calc)],"&lt;="&amp;$E483)))</f>
        <v/>
      </c>
      <c r="Q483" s="14" t="str">
        <f aca="false">IF($D483&lt;&gt;1,"",IF($G483="ROKS",SUMIFS(TblApplications[Besoin ROKS RAM (Go)],TblApplications[Cluster ROKS cible],$F483,TblApplications[Action],"À migrer",TblApplications[Déjà incluse ROKS],"Non",TblApplications[Mois prov (calc)],"&lt;="&amp;$E483),SUMIFS(TblApplications[RAM IKS libérable (Go)],TblApplications[Cluster IKS source],$F483,TblApplications[Mois lib (calc)],"&lt;="&amp;$E483)))</f>
        <v/>
      </c>
      <c r="R483" s="14" t="str">
        <f aca="false">IF($D483&lt;&gt;1,"",IF($G483="ROKS",$L483+$P483,IF($AI483=1,0,MAX($N483,$L483-$P483))))</f>
        <v/>
      </c>
      <c r="S483" s="14" t="str">
        <f aca="false">IF($D483&lt;&gt;1,"",IF($G483="ROKS",$M483+$Q483,IF($AI483=1,0,MAX($O483,$M483-$Q483))))</f>
        <v/>
      </c>
      <c r="T483" s="14" t="str">
        <f aca="false">IF($D483&lt;&gt;1,"",IF($AI483=1,0,MAX($J483,ROUNDUP(MAX($R483/$H483,$S483/$I483),0))))</f>
        <v/>
      </c>
      <c r="U483" s="14" t="str">
        <f aca="false">IF($D483&lt;&gt;1,"",IF(p_mode="Nœud",$T483*$H483,$R483))</f>
        <v/>
      </c>
      <c r="V483" s="14" t="str">
        <f aca="false">IF($D483&lt;&gt;1,"",IF(p_mode="Nœud",$T483*$I483,$S483))</f>
        <v/>
      </c>
      <c r="W483" s="84" t="str">
        <f aca="false">IF($D483&lt;&gt;1,"",IF(p_mode="Nœud",$T483*$K483,$R483*IF($G483="IKS",p_iks_cpu,p_roks_cpu)+$S483*IF($G483="IKS",p_iks_ram,p_roks_ram))*p_facteur)</f>
        <v/>
      </c>
      <c r="X483" s="14" t="str">
        <f aca="false">IF($D483&lt;&gt;1,"",IF($G483="ROKS",$R483,IF($AI483=1,0,MAX($N483,$L483-SUMIFS(TblApplications[CPU IKS libérable (vCPU)],TblApplications[Cluster IKS source],$F483,TblApplications[Action],"À migrer",TblApplications[Mois prov (calc)],"&lt;="&amp;$E483)-SUMIFS(TblApplications[CPU IKS libérable (vCPU)],TblApplications[Cluster IKS source],$F483,TblApplications[Action],"À décommissionner",TblApplications[Mois lib (calc)],"&lt;="&amp;$E483)))))</f>
        <v/>
      </c>
      <c r="Y483" s="14" t="str">
        <f aca="false">IF($D483&lt;&gt;1,"",IF($G483="ROKS",$S483,IF($AI483=1,0,MAX($O483,$M483-SUMIFS(TblApplications[RAM IKS libérable (Go)],TblApplications[Cluster IKS source],$F483,TblApplications[Action],"À migrer",TblApplications[Mois prov (calc)],"&lt;="&amp;$E483)-SUMIFS(TblApplications[RAM IKS libérable (Go)],TblApplications[Cluster IKS source],$F483,TblApplications[Action],"À décommissionner",TblApplications[Mois lib (calc)],"&lt;="&amp;$E483)))))</f>
        <v/>
      </c>
      <c r="Z483" s="14" t="str">
        <f aca="false">IF($D483&lt;&gt;1,"",IF($AI483=1,0,MAX($J483,ROUNDUP(MAX($X483/$H483,$Y483/$I483),0))))</f>
        <v/>
      </c>
      <c r="AA483" s="84" t="str">
        <f aca="false">IF($D483&lt;&gt;1,"",IF(p_mode="Nœud",$Z483*$K483,$X483*IF($G483="IKS",p_iks_cpu,p_roks_cpu)+$Y483*IF($G483="IKS",p_iks_ram,p_roks_ram))*p_facteur)</f>
        <v/>
      </c>
      <c r="AB483" s="14" t="str">
        <f aca="false">IF($D483&lt;&gt;1,"",MAX($J483,ROUNDUP(MAX($L483/$H483,$M483/$I483),0)))</f>
        <v/>
      </c>
      <c r="AC483" s="84" t="str">
        <f aca="false">IF($D483&lt;&gt;1,"",IF(p_mode="Nœud",$AB483*$K483,$L483*IF($G483="IKS",p_iks_cpu,p_roks_cpu)+$M483*IF($G483="IKS",p_iks_ram,p_roks_ram))*p_facteur)</f>
        <v/>
      </c>
      <c r="AD483" s="14" t="str">
        <f aca="false">IF($D483&lt;&gt;1,"",IF(AND($G483="IKS",$AI483&lt;&gt;1,OR($L483-$P483&lt;$N483,$M483-$Q483&lt;$O483)),1,0))</f>
        <v/>
      </c>
      <c r="AE483" s="14" t="str">
        <f aca="false">IF($D483&lt;&gt;1,"",IF(AND($G483="ROKS",$T483&gt;p_maxworkers),1,0))</f>
        <v/>
      </c>
      <c r="AF483" s="14" t="str">
        <f aca="false">IF($D483&lt;&gt;1,"",IF(INDEX(TblClusters[Environnement],$B483)="","(vide)",INDEX(TblClusters[Environnement],$B483)))</f>
        <v/>
      </c>
      <c r="AG483" s="14" t="str">
        <f aca="false">IF($D483&lt;&gt;1,"",$R483+p_poidsram*$S483)</f>
        <v/>
      </c>
      <c r="AH483" s="14" t="str">
        <f aca="false">IF($D483&lt;&gt;1,"",IFERROR($W483/$AG483,0))</f>
        <v/>
      </c>
      <c r="AI483" s="14" t="str">
        <f aca="false">IF($D483&lt;&gt;1,"",IF(AND($G483="IKS",ISNUMBER(INDEX(TblClusters[Fermeture retenue],$B483))),IF($E483&gt;=INDEX(TblClusters[Fermeture retenue],$B483),1,0),0))</f>
        <v/>
      </c>
    </row>
    <row r="484" customFormat="false" ht="15" hidden="false" customHeight="false" outlineLevel="0" collapsed="false">
      <c r="A484" s="14" t="n">
        <v>479</v>
      </c>
      <c r="B484" s="14" t="n">
        <f aca="false">INT(($A484-1)/36)+1</f>
        <v>14</v>
      </c>
      <c r="C484" s="14" t="n">
        <f aca="false">MOD($A484-1,36)+1</f>
        <v>11</v>
      </c>
      <c r="D484" s="14" t="n">
        <f aca="false">IF($C484&gt;p_horizon,0,IFERROR(IF(AND(INDEX(TblClusters[Cluster],$B484)&lt;&gt;"",ISNUMBER(INDEX(TblClusters[CPU initial (vCPU)],$B484)),ISNUMBER(INDEX(TblClusters[CPU min (vCPU)],$B484)),OR(INDEX(TblClusters[Plateforme],$B484)="IKS",INDEX(TblClusters[Plateforme],$B484)="ROKS")),1,0),0))</f>
        <v>0</v>
      </c>
      <c r="E484" s="83" t="str">
        <f aca="false">IF($D484=1,EDATE(p_debut,$C484-1),"")</f>
        <v/>
      </c>
      <c r="F484" s="14" t="str">
        <f aca="false">IF($D484=1,INDEX(TblClusters[Cluster],$B484),"")</f>
        <v/>
      </c>
      <c r="G484" s="14" t="str">
        <f aca="false">IF($D484=1,INDEX(TblClusters[Plateforme],$B484),"")</f>
        <v/>
      </c>
      <c r="H484" s="14" t="str">
        <f aca="false">IF($D484=1,INDEX(TblClusters[vCPU par nœud],$B484),"")</f>
        <v/>
      </c>
      <c r="I484" s="14" t="str">
        <f aca="false">IF($D484=1,INDEX(TblClusters[RAM par nœud (Go)],$B484),"")</f>
        <v/>
      </c>
      <c r="J484" s="14" t="str">
        <f aca="false">IF($D484=1,INDEX(TblClusters[Workers min],$B484),"")</f>
        <v/>
      </c>
      <c r="K484" s="84" t="str">
        <f aca="false">IF($D484=1,INDEX(TblClusters[Tarif par nœud],$B484),"")</f>
        <v/>
      </c>
      <c r="L484" s="14" t="str">
        <f aca="false">IF($D484=1,INDEX(TblClusters[CPU initial (vCPU)],$B484),"")</f>
        <v/>
      </c>
      <c r="M484" s="14" t="str">
        <f aca="false">IF($D484=1,INDEX(TblClusters[RAM initiale (Go)],$B484),"")</f>
        <v/>
      </c>
      <c r="N484" s="14" t="str">
        <f aca="false">IF($D484=1,INDEX(TblClusters[CPU min (vCPU)],$B484),"")</f>
        <v/>
      </c>
      <c r="O484" s="14" t="str">
        <f aca="false">IF($D484=1,INDEX(TblClusters[RAM min (Go)],$B484),"")</f>
        <v/>
      </c>
      <c r="P484" s="14" t="str">
        <f aca="false">IF($D484&lt;&gt;1,"",IF($G484="ROKS",SUMIFS(TblApplications[Besoin ROKS CPU (vCPU)],TblApplications[Cluster ROKS cible],$F484,TblApplications[Action],"À migrer",TblApplications[Déjà incluse ROKS],"Non",TblApplications[Mois prov (calc)],"&lt;="&amp;$E484),SUMIFS(TblApplications[CPU IKS libérable (vCPU)],TblApplications[Cluster IKS source],$F484,TblApplications[Mois lib (calc)],"&lt;="&amp;$E484)))</f>
        <v/>
      </c>
      <c r="Q484" s="14" t="str">
        <f aca="false">IF($D484&lt;&gt;1,"",IF($G484="ROKS",SUMIFS(TblApplications[Besoin ROKS RAM (Go)],TblApplications[Cluster ROKS cible],$F484,TblApplications[Action],"À migrer",TblApplications[Déjà incluse ROKS],"Non",TblApplications[Mois prov (calc)],"&lt;="&amp;$E484),SUMIFS(TblApplications[RAM IKS libérable (Go)],TblApplications[Cluster IKS source],$F484,TblApplications[Mois lib (calc)],"&lt;="&amp;$E484)))</f>
        <v/>
      </c>
      <c r="R484" s="14" t="str">
        <f aca="false">IF($D484&lt;&gt;1,"",IF($G484="ROKS",$L484+$P484,IF($AI484=1,0,MAX($N484,$L484-$P484))))</f>
        <v/>
      </c>
      <c r="S484" s="14" t="str">
        <f aca="false">IF($D484&lt;&gt;1,"",IF($G484="ROKS",$M484+$Q484,IF($AI484=1,0,MAX($O484,$M484-$Q484))))</f>
        <v/>
      </c>
      <c r="T484" s="14" t="str">
        <f aca="false">IF($D484&lt;&gt;1,"",IF($AI484=1,0,MAX($J484,ROUNDUP(MAX($R484/$H484,$S484/$I484),0))))</f>
        <v/>
      </c>
      <c r="U484" s="14" t="str">
        <f aca="false">IF($D484&lt;&gt;1,"",IF(p_mode="Nœud",$T484*$H484,$R484))</f>
        <v/>
      </c>
      <c r="V484" s="14" t="str">
        <f aca="false">IF($D484&lt;&gt;1,"",IF(p_mode="Nœud",$T484*$I484,$S484))</f>
        <v/>
      </c>
      <c r="W484" s="84" t="str">
        <f aca="false">IF($D484&lt;&gt;1,"",IF(p_mode="Nœud",$T484*$K484,$R484*IF($G484="IKS",p_iks_cpu,p_roks_cpu)+$S484*IF($G484="IKS",p_iks_ram,p_roks_ram))*p_facteur)</f>
        <v/>
      </c>
      <c r="X484" s="14" t="str">
        <f aca="false">IF($D484&lt;&gt;1,"",IF($G484="ROKS",$R484,IF($AI484=1,0,MAX($N484,$L484-SUMIFS(TblApplications[CPU IKS libérable (vCPU)],TblApplications[Cluster IKS source],$F484,TblApplications[Action],"À migrer",TblApplications[Mois prov (calc)],"&lt;="&amp;$E484)-SUMIFS(TblApplications[CPU IKS libérable (vCPU)],TblApplications[Cluster IKS source],$F484,TblApplications[Action],"À décommissionner",TblApplications[Mois lib (calc)],"&lt;="&amp;$E484)))))</f>
        <v/>
      </c>
      <c r="Y484" s="14" t="str">
        <f aca="false">IF($D484&lt;&gt;1,"",IF($G484="ROKS",$S484,IF($AI484=1,0,MAX($O484,$M484-SUMIFS(TblApplications[RAM IKS libérable (Go)],TblApplications[Cluster IKS source],$F484,TblApplications[Action],"À migrer",TblApplications[Mois prov (calc)],"&lt;="&amp;$E484)-SUMIFS(TblApplications[RAM IKS libérable (Go)],TblApplications[Cluster IKS source],$F484,TblApplications[Action],"À décommissionner",TblApplications[Mois lib (calc)],"&lt;="&amp;$E484)))))</f>
        <v/>
      </c>
      <c r="Z484" s="14" t="str">
        <f aca="false">IF($D484&lt;&gt;1,"",IF($AI484=1,0,MAX($J484,ROUNDUP(MAX($X484/$H484,$Y484/$I484),0))))</f>
        <v/>
      </c>
      <c r="AA484" s="84" t="str">
        <f aca="false">IF($D484&lt;&gt;1,"",IF(p_mode="Nœud",$Z484*$K484,$X484*IF($G484="IKS",p_iks_cpu,p_roks_cpu)+$Y484*IF($G484="IKS",p_iks_ram,p_roks_ram))*p_facteur)</f>
        <v/>
      </c>
      <c r="AB484" s="14" t="str">
        <f aca="false">IF($D484&lt;&gt;1,"",MAX($J484,ROUNDUP(MAX($L484/$H484,$M484/$I484),0)))</f>
        <v/>
      </c>
      <c r="AC484" s="84" t="str">
        <f aca="false">IF($D484&lt;&gt;1,"",IF(p_mode="Nœud",$AB484*$K484,$L484*IF($G484="IKS",p_iks_cpu,p_roks_cpu)+$M484*IF($G484="IKS",p_iks_ram,p_roks_ram))*p_facteur)</f>
        <v/>
      </c>
      <c r="AD484" s="14" t="str">
        <f aca="false">IF($D484&lt;&gt;1,"",IF(AND($G484="IKS",$AI484&lt;&gt;1,OR($L484-$P484&lt;$N484,$M484-$Q484&lt;$O484)),1,0))</f>
        <v/>
      </c>
      <c r="AE484" s="14" t="str">
        <f aca="false">IF($D484&lt;&gt;1,"",IF(AND($G484="ROKS",$T484&gt;p_maxworkers),1,0))</f>
        <v/>
      </c>
      <c r="AF484" s="14" t="str">
        <f aca="false">IF($D484&lt;&gt;1,"",IF(INDEX(TblClusters[Environnement],$B484)="","(vide)",INDEX(TblClusters[Environnement],$B484)))</f>
        <v/>
      </c>
      <c r="AG484" s="14" t="str">
        <f aca="false">IF($D484&lt;&gt;1,"",$R484+p_poidsram*$S484)</f>
        <v/>
      </c>
      <c r="AH484" s="14" t="str">
        <f aca="false">IF($D484&lt;&gt;1,"",IFERROR($W484/$AG484,0))</f>
        <v/>
      </c>
      <c r="AI484" s="14" t="str">
        <f aca="false">IF($D484&lt;&gt;1,"",IF(AND($G484="IKS",ISNUMBER(INDEX(TblClusters[Fermeture retenue],$B484))),IF($E484&gt;=INDEX(TblClusters[Fermeture retenue],$B484),1,0),0))</f>
        <v/>
      </c>
    </row>
    <row r="485" customFormat="false" ht="15" hidden="false" customHeight="false" outlineLevel="0" collapsed="false">
      <c r="A485" s="14" t="n">
        <v>480</v>
      </c>
      <c r="B485" s="14" t="n">
        <f aca="false">INT(($A485-1)/36)+1</f>
        <v>14</v>
      </c>
      <c r="C485" s="14" t="n">
        <f aca="false">MOD($A485-1,36)+1</f>
        <v>12</v>
      </c>
      <c r="D485" s="14" t="n">
        <f aca="false">IF($C485&gt;p_horizon,0,IFERROR(IF(AND(INDEX(TblClusters[Cluster],$B485)&lt;&gt;"",ISNUMBER(INDEX(TblClusters[CPU initial (vCPU)],$B485)),ISNUMBER(INDEX(TblClusters[CPU min (vCPU)],$B485)),OR(INDEX(TblClusters[Plateforme],$B485)="IKS",INDEX(TblClusters[Plateforme],$B485)="ROKS")),1,0),0))</f>
        <v>0</v>
      </c>
      <c r="E485" s="83" t="str">
        <f aca="false">IF($D485=1,EDATE(p_debut,$C485-1),"")</f>
        <v/>
      </c>
      <c r="F485" s="14" t="str">
        <f aca="false">IF($D485=1,INDEX(TblClusters[Cluster],$B485),"")</f>
        <v/>
      </c>
      <c r="G485" s="14" t="str">
        <f aca="false">IF($D485=1,INDEX(TblClusters[Plateforme],$B485),"")</f>
        <v/>
      </c>
      <c r="H485" s="14" t="str">
        <f aca="false">IF($D485=1,INDEX(TblClusters[vCPU par nœud],$B485),"")</f>
        <v/>
      </c>
      <c r="I485" s="14" t="str">
        <f aca="false">IF($D485=1,INDEX(TblClusters[RAM par nœud (Go)],$B485),"")</f>
        <v/>
      </c>
      <c r="J485" s="14" t="str">
        <f aca="false">IF($D485=1,INDEX(TblClusters[Workers min],$B485),"")</f>
        <v/>
      </c>
      <c r="K485" s="84" t="str">
        <f aca="false">IF($D485=1,INDEX(TblClusters[Tarif par nœud],$B485),"")</f>
        <v/>
      </c>
      <c r="L485" s="14" t="str">
        <f aca="false">IF($D485=1,INDEX(TblClusters[CPU initial (vCPU)],$B485),"")</f>
        <v/>
      </c>
      <c r="M485" s="14" t="str">
        <f aca="false">IF($D485=1,INDEX(TblClusters[RAM initiale (Go)],$B485),"")</f>
        <v/>
      </c>
      <c r="N485" s="14" t="str">
        <f aca="false">IF($D485=1,INDEX(TblClusters[CPU min (vCPU)],$B485),"")</f>
        <v/>
      </c>
      <c r="O485" s="14" t="str">
        <f aca="false">IF($D485=1,INDEX(TblClusters[RAM min (Go)],$B485),"")</f>
        <v/>
      </c>
      <c r="P485" s="14" t="str">
        <f aca="false">IF($D485&lt;&gt;1,"",IF($G485="ROKS",SUMIFS(TblApplications[Besoin ROKS CPU (vCPU)],TblApplications[Cluster ROKS cible],$F485,TblApplications[Action],"À migrer",TblApplications[Déjà incluse ROKS],"Non",TblApplications[Mois prov (calc)],"&lt;="&amp;$E485),SUMIFS(TblApplications[CPU IKS libérable (vCPU)],TblApplications[Cluster IKS source],$F485,TblApplications[Mois lib (calc)],"&lt;="&amp;$E485)))</f>
        <v/>
      </c>
      <c r="Q485" s="14" t="str">
        <f aca="false">IF($D485&lt;&gt;1,"",IF($G485="ROKS",SUMIFS(TblApplications[Besoin ROKS RAM (Go)],TblApplications[Cluster ROKS cible],$F485,TblApplications[Action],"À migrer",TblApplications[Déjà incluse ROKS],"Non",TblApplications[Mois prov (calc)],"&lt;="&amp;$E485),SUMIFS(TblApplications[RAM IKS libérable (Go)],TblApplications[Cluster IKS source],$F485,TblApplications[Mois lib (calc)],"&lt;="&amp;$E485)))</f>
        <v/>
      </c>
      <c r="R485" s="14" t="str">
        <f aca="false">IF($D485&lt;&gt;1,"",IF($G485="ROKS",$L485+$P485,IF($AI485=1,0,MAX($N485,$L485-$P485))))</f>
        <v/>
      </c>
      <c r="S485" s="14" t="str">
        <f aca="false">IF($D485&lt;&gt;1,"",IF($G485="ROKS",$M485+$Q485,IF($AI485=1,0,MAX($O485,$M485-$Q485))))</f>
        <v/>
      </c>
      <c r="T485" s="14" t="str">
        <f aca="false">IF($D485&lt;&gt;1,"",IF($AI485=1,0,MAX($J485,ROUNDUP(MAX($R485/$H485,$S485/$I485),0))))</f>
        <v/>
      </c>
      <c r="U485" s="14" t="str">
        <f aca="false">IF($D485&lt;&gt;1,"",IF(p_mode="Nœud",$T485*$H485,$R485))</f>
        <v/>
      </c>
      <c r="V485" s="14" t="str">
        <f aca="false">IF($D485&lt;&gt;1,"",IF(p_mode="Nœud",$T485*$I485,$S485))</f>
        <v/>
      </c>
      <c r="W485" s="84" t="str">
        <f aca="false">IF($D485&lt;&gt;1,"",IF(p_mode="Nœud",$T485*$K485,$R485*IF($G485="IKS",p_iks_cpu,p_roks_cpu)+$S485*IF($G485="IKS",p_iks_ram,p_roks_ram))*p_facteur)</f>
        <v/>
      </c>
      <c r="X485" s="14" t="str">
        <f aca="false">IF($D485&lt;&gt;1,"",IF($G485="ROKS",$R485,IF($AI485=1,0,MAX($N485,$L485-SUMIFS(TblApplications[CPU IKS libérable (vCPU)],TblApplications[Cluster IKS source],$F485,TblApplications[Action],"À migrer",TblApplications[Mois prov (calc)],"&lt;="&amp;$E485)-SUMIFS(TblApplications[CPU IKS libérable (vCPU)],TblApplications[Cluster IKS source],$F485,TblApplications[Action],"À décommissionner",TblApplications[Mois lib (calc)],"&lt;="&amp;$E485)))))</f>
        <v/>
      </c>
      <c r="Y485" s="14" t="str">
        <f aca="false">IF($D485&lt;&gt;1,"",IF($G485="ROKS",$S485,IF($AI485=1,0,MAX($O485,$M485-SUMIFS(TblApplications[RAM IKS libérable (Go)],TblApplications[Cluster IKS source],$F485,TblApplications[Action],"À migrer",TblApplications[Mois prov (calc)],"&lt;="&amp;$E485)-SUMIFS(TblApplications[RAM IKS libérable (Go)],TblApplications[Cluster IKS source],$F485,TblApplications[Action],"À décommissionner",TblApplications[Mois lib (calc)],"&lt;="&amp;$E485)))))</f>
        <v/>
      </c>
      <c r="Z485" s="14" t="str">
        <f aca="false">IF($D485&lt;&gt;1,"",IF($AI485=1,0,MAX($J485,ROUNDUP(MAX($X485/$H485,$Y485/$I485),0))))</f>
        <v/>
      </c>
      <c r="AA485" s="84" t="str">
        <f aca="false">IF($D485&lt;&gt;1,"",IF(p_mode="Nœud",$Z485*$K485,$X485*IF($G485="IKS",p_iks_cpu,p_roks_cpu)+$Y485*IF($G485="IKS",p_iks_ram,p_roks_ram))*p_facteur)</f>
        <v/>
      </c>
      <c r="AB485" s="14" t="str">
        <f aca="false">IF($D485&lt;&gt;1,"",MAX($J485,ROUNDUP(MAX($L485/$H485,$M485/$I485),0)))</f>
        <v/>
      </c>
      <c r="AC485" s="84" t="str">
        <f aca="false">IF($D485&lt;&gt;1,"",IF(p_mode="Nœud",$AB485*$K485,$L485*IF($G485="IKS",p_iks_cpu,p_roks_cpu)+$M485*IF($G485="IKS",p_iks_ram,p_roks_ram))*p_facteur)</f>
        <v/>
      </c>
      <c r="AD485" s="14" t="str">
        <f aca="false">IF($D485&lt;&gt;1,"",IF(AND($G485="IKS",$AI485&lt;&gt;1,OR($L485-$P485&lt;$N485,$M485-$Q485&lt;$O485)),1,0))</f>
        <v/>
      </c>
      <c r="AE485" s="14" t="str">
        <f aca="false">IF($D485&lt;&gt;1,"",IF(AND($G485="ROKS",$T485&gt;p_maxworkers),1,0))</f>
        <v/>
      </c>
      <c r="AF485" s="14" t="str">
        <f aca="false">IF($D485&lt;&gt;1,"",IF(INDEX(TblClusters[Environnement],$B485)="","(vide)",INDEX(TblClusters[Environnement],$B485)))</f>
        <v/>
      </c>
      <c r="AG485" s="14" t="str">
        <f aca="false">IF($D485&lt;&gt;1,"",$R485+p_poidsram*$S485)</f>
        <v/>
      </c>
      <c r="AH485" s="14" t="str">
        <f aca="false">IF($D485&lt;&gt;1,"",IFERROR($W485/$AG485,0))</f>
        <v/>
      </c>
      <c r="AI485" s="14" t="str">
        <f aca="false">IF($D485&lt;&gt;1,"",IF(AND($G485="IKS",ISNUMBER(INDEX(TblClusters[Fermeture retenue],$B485))),IF($E485&gt;=INDEX(TblClusters[Fermeture retenue],$B485),1,0),0))</f>
        <v/>
      </c>
    </row>
    <row r="486" customFormat="false" ht="15" hidden="false" customHeight="false" outlineLevel="0" collapsed="false">
      <c r="A486" s="14" t="n">
        <v>481</v>
      </c>
      <c r="B486" s="14" t="n">
        <f aca="false">INT(($A486-1)/36)+1</f>
        <v>14</v>
      </c>
      <c r="C486" s="14" t="n">
        <f aca="false">MOD($A486-1,36)+1</f>
        <v>13</v>
      </c>
      <c r="D486" s="14" t="n">
        <f aca="false">IF($C486&gt;p_horizon,0,IFERROR(IF(AND(INDEX(TblClusters[Cluster],$B486)&lt;&gt;"",ISNUMBER(INDEX(TblClusters[CPU initial (vCPU)],$B486)),ISNUMBER(INDEX(TblClusters[CPU min (vCPU)],$B486)),OR(INDEX(TblClusters[Plateforme],$B486)="IKS",INDEX(TblClusters[Plateforme],$B486)="ROKS")),1,0),0))</f>
        <v>0</v>
      </c>
      <c r="E486" s="83" t="str">
        <f aca="false">IF($D486=1,EDATE(p_debut,$C486-1),"")</f>
        <v/>
      </c>
      <c r="F486" s="14" t="str">
        <f aca="false">IF($D486=1,INDEX(TblClusters[Cluster],$B486),"")</f>
        <v/>
      </c>
      <c r="G486" s="14" t="str">
        <f aca="false">IF($D486=1,INDEX(TblClusters[Plateforme],$B486),"")</f>
        <v/>
      </c>
      <c r="H486" s="14" t="str">
        <f aca="false">IF($D486=1,INDEX(TblClusters[vCPU par nœud],$B486),"")</f>
        <v/>
      </c>
      <c r="I486" s="14" t="str">
        <f aca="false">IF($D486=1,INDEX(TblClusters[RAM par nœud (Go)],$B486),"")</f>
        <v/>
      </c>
      <c r="J486" s="14" t="str">
        <f aca="false">IF($D486=1,INDEX(TblClusters[Workers min],$B486),"")</f>
        <v/>
      </c>
      <c r="K486" s="84" t="str">
        <f aca="false">IF($D486=1,INDEX(TblClusters[Tarif par nœud],$B486),"")</f>
        <v/>
      </c>
      <c r="L486" s="14" t="str">
        <f aca="false">IF($D486=1,INDEX(TblClusters[CPU initial (vCPU)],$B486),"")</f>
        <v/>
      </c>
      <c r="M486" s="14" t="str">
        <f aca="false">IF($D486=1,INDEX(TblClusters[RAM initiale (Go)],$B486),"")</f>
        <v/>
      </c>
      <c r="N486" s="14" t="str">
        <f aca="false">IF($D486=1,INDEX(TblClusters[CPU min (vCPU)],$B486),"")</f>
        <v/>
      </c>
      <c r="O486" s="14" t="str">
        <f aca="false">IF($D486=1,INDEX(TblClusters[RAM min (Go)],$B486),"")</f>
        <v/>
      </c>
      <c r="P486" s="14" t="str">
        <f aca="false">IF($D486&lt;&gt;1,"",IF($G486="ROKS",SUMIFS(TblApplications[Besoin ROKS CPU (vCPU)],TblApplications[Cluster ROKS cible],$F486,TblApplications[Action],"À migrer",TblApplications[Déjà incluse ROKS],"Non",TblApplications[Mois prov (calc)],"&lt;="&amp;$E486),SUMIFS(TblApplications[CPU IKS libérable (vCPU)],TblApplications[Cluster IKS source],$F486,TblApplications[Mois lib (calc)],"&lt;="&amp;$E486)))</f>
        <v/>
      </c>
      <c r="Q486" s="14" t="str">
        <f aca="false">IF($D486&lt;&gt;1,"",IF($G486="ROKS",SUMIFS(TblApplications[Besoin ROKS RAM (Go)],TblApplications[Cluster ROKS cible],$F486,TblApplications[Action],"À migrer",TblApplications[Déjà incluse ROKS],"Non",TblApplications[Mois prov (calc)],"&lt;="&amp;$E486),SUMIFS(TblApplications[RAM IKS libérable (Go)],TblApplications[Cluster IKS source],$F486,TblApplications[Mois lib (calc)],"&lt;="&amp;$E486)))</f>
        <v/>
      </c>
      <c r="R486" s="14" t="str">
        <f aca="false">IF($D486&lt;&gt;1,"",IF($G486="ROKS",$L486+$P486,IF($AI486=1,0,MAX($N486,$L486-$P486))))</f>
        <v/>
      </c>
      <c r="S486" s="14" t="str">
        <f aca="false">IF($D486&lt;&gt;1,"",IF($G486="ROKS",$M486+$Q486,IF($AI486=1,0,MAX($O486,$M486-$Q486))))</f>
        <v/>
      </c>
      <c r="T486" s="14" t="str">
        <f aca="false">IF($D486&lt;&gt;1,"",IF($AI486=1,0,MAX($J486,ROUNDUP(MAX($R486/$H486,$S486/$I486),0))))</f>
        <v/>
      </c>
      <c r="U486" s="14" t="str">
        <f aca="false">IF($D486&lt;&gt;1,"",IF(p_mode="Nœud",$T486*$H486,$R486))</f>
        <v/>
      </c>
      <c r="V486" s="14" t="str">
        <f aca="false">IF($D486&lt;&gt;1,"",IF(p_mode="Nœud",$T486*$I486,$S486))</f>
        <v/>
      </c>
      <c r="W486" s="84" t="str">
        <f aca="false">IF($D486&lt;&gt;1,"",IF(p_mode="Nœud",$T486*$K486,$R486*IF($G486="IKS",p_iks_cpu,p_roks_cpu)+$S486*IF($G486="IKS",p_iks_ram,p_roks_ram))*p_facteur)</f>
        <v/>
      </c>
      <c r="X486" s="14" t="str">
        <f aca="false">IF($D486&lt;&gt;1,"",IF($G486="ROKS",$R486,IF($AI486=1,0,MAX($N486,$L486-SUMIFS(TblApplications[CPU IKS libérable (vCPU)],TblApplications[Cluster IKS source],$F486,TblApplications[Action],"À migrer",TblApplications[Mois prov (calc)],"&lt;="&amp;$E486)-SUMIFS(TblApplications[CPU IKS libérable (vCPU)],TblApplications[Cluster IKS source],$F486,TblApplications[Action],"À décommissionner",TblApplications[Mois lib (calc)],"&lt;="&amp;$E486)))))</f>
        <v/>
      </c>
      <c r="Y486" s="14" t="str">
        <f aca="false">IF($D486&lt;&gt;1,"",IF($G486="ROKS",$S486,IF($AI486=1,0,MAX($O486,$M486-SUMIFS(TblApplications[RAM IKS libérable (Go)],TblApplications[Cluster IKS source],$F486,TblApplications[Action],"À migrer",TblApplications[Mois prov (calc)],"&lt;="&amp;$E486)-SUMIFS(TblApplications[RAM IKS libérable (Go)],TblApplications[Cluster IKS source],$F486,TblApplications[Action],"À décommissionner",TblApplications[Mois lib (calc)],"&lt;="&amp;$E486)))))</f>
        <v/>
      </c>
      <c r="Z486" s="14" t="str">
        <f aca="false">IF($D486&lt;&gt;1,"",IF($AI486=1,0,MAX($J486,ROUNDUP(MAX($X486/$H486,$Y486/$I486),0))))</f>
        <v/>
      </c>
      <c r="AA486" s="84" t="str">
        <f aca="false">IF($D486&lt;&gt;1,"",IF(p_mode="Nœud",$Z486*$K486,$X486*IF($G486="IKS",p_iks_cpu,p_roks_cpu)+$Y486*IF($G486="IKS",p_iks_ram,p_roks_ram))*p_facteur)</f>
        <v/>
      </c>
      <c r="AB486" s="14" t="str">
        <f aca="false">IF($D486&lt;&gt;1,"",MAX($J486,ROUNDUP(MAX($L486/$H486,$M486/$I486),0)))</f>
        <v/>
      </c>
      <c r="AC486" s="84" t="str">
        <f aca="false">IF($D486&lt;&gt;1,"",IF(p_mode="Nœud",$AB486*$K486,$L486*IF($G486="IKS",p_iks_cpu,p_roks_cpu)+$M486*IF($G486="IKS",p_iks_ram,p_roks_ram))*p_facteur)</f>
        <v/>
      </c>
      <c r="AD486" s="14" t="str">
        <f aca="false">IF($D486&lt;&gt;1,"",IF(AND($G486="IKS",$AI486&lt;&gt;1,OR($L486-$P486&lt;$N486,$M486-$Q486&lt;$O486)),1,0))</f>
        <v/>
      </c>
      <c r="AE486" s="14" t="str">
        <f aca="false">IF($D486&lt;&gt;1,"",IF(AND($G486="ROKS",$T486&gt;p_maxworkers),1,0))</f>
        <v/>
      </c>
      <c r="AF486" s="14" t="str">
        <f aca="false">IF($D486&lt;&gt;1,"",IF(INDEX(TblClusters[Environnement],$B486)="","(vide)",INDEX(TblClusters[Environnement],$B486)))</f>
        <v/>
      </c>
      <c r="AG486" s="14" t="str">
        <f aca="false">IF($D486&lt;&gt;1,"",$R486+p_poidsram*$S486)</f>
        <v/>
      </c>
      <c r="AH486" s="14" t="str">
        <f aca="false">IF($D486&lt;&gt;1,"",IFERROR($W486/$AG486,0))</f>
        <v/>
      </c>
      <c r="AI486" s="14" t="str">
        <f aca="false">IF($D486&lt;&gt;1,"",IF(AND($G486="IKS",ISNUMBER(INDEX(TblClusters[Fermeture retenue],$B486))),IF($E486&gt;=INDEX(TblClusters[Fermeture retenue],$B486),1,0),0))</f>
        <v/>
      </c>
    </row>
    <row r="487" customFormat="false" ht="15" hidden="false" customHeight="false" outlineLevel="0" collapsed="false">
      <c r="A487" s="14" t="n">
        <v>482</v>
      </c>
      <c r="B487" s="14" t="n">
        <f aca="false">INT(($A487-1)/36)+1</f>
        <v>14</v>
      </c>
      <c r="C487" s="14" t="n">
        <f aca="false">MOD($A487-1,36)+1</f>
        <v>14</v>
      </c>
      <c r="D487" s="14" t="n">
        <f aca="false">IF($C487&gt;p_horizon,0,IFERROR(IF(AND(INDEX(TblClusters[Cluster],$B487)&lt;&gt;"",ISNUMBER(INDEX(TblClusters[CPU initial (vCPU)],$B487)),ISNUMBER(INDEX(TblClusters[CPU min (vCPU)],$B487)),OR(INDEX(TblClusters[Plateforme],$B487)="IKS",INDEX(TblClusters[Plateforme],$B487)="ROKS")),1,0),0))</f>
        <v>0</v>
      </c>
      <c r="E487" s="83" t="str">
        <f aca="false">IF($D487=1,EDATE(p_debut,$C487-1),"")</f>
        <v/>
      </c>
      <c r="F487" s="14" t="str">
        <f aca="false">IF($D487=1,INDEX(TblClusters[Cluster],$B487),"")</f>
        <v/>
      </c>
      <c r="G487" s="14" t="str">
        <f aca="false">IF($D487=1,INDEX(TblClusters[Plateforme],$B487),"")</f>
        <v/>
      </c>
      <c r="H487" s="14" t="str">
        <f aca="false">IF($D487=1,INDEX(TblClusters[vCPU par nœud],$B487),"")</f>
        <v/>
      </c>
      <c r="I487" s="14" t="str">
        <f aca="false">IF($D487=1,INDEX(TblClusters[RAM par nœud (Go)],$B487),"")</f>
        <v/>
      </c>
      <c r="J487" s="14" t="str">
        <f aca="false">IF($D487=1,INDEX(TblClusters[Workers min],$B487),"")</f>
        <v/>
      </c>
      <c r="K487" s="84" t="str">
        <f aca="false">IF($D487=1,INDEX(TblClusters[Tarif par nœud],$B487),"")</f>
        <v/>
      </c>
      <c r="L487" s="14" t="str">
        <f aca="false">IF($D487=1,INDEX(TblClusters[CPU initial (vCPU)],$B487),"")</f>
        <v/>
      </c>
      <c r="M487" s="14" t="str">
        <f aca="false">IF($D487=1,INDEX(TblClusters[RAM initiale (Go)],$B487),"")</f>
        <v/>
      </c>
      <c r="N487" s="14" t="str">
        <f aca="false">IF($D487=1,INDEX(TblClusters[CPU min (vCPU)],$B487),"")</f>
        <v/>
      </c>
      <c r="O487" s="14" t="str">
        <f aca="false">IF($D487=1,INDEX(TblClusters[RAM min (Go)],$B487),"")</f>
        <v/>
      </c>
      <c r="P487" s="14" t="str">
        <f aca="false">IF($D487&lt;&gt;1,"",IF($G487="ROKS",SUMIFS(TblApplications[Besoin ROKS CPU (vCPU)],TblApplications[Cluster ROKS cible],$F487,TblApplications[Action],"À migrer",TblApplications[Déjà incluse ROKS],"Non",TblApplications[Mois prov (calc)],"&lt;="&amp;$E487),SUMIFS(TblApplications[CPU IKS libérable (vCPU)],TblApplications[Cluster IKS source],$F487,TblApplications[Mois lib (calc)],"&lt;="&amp;$E487)))</f>
        <v/>
      </c>
      <c r="Q487" s="14" t="str">
        <f aca="false">IF($D487&lt;&gt;1,"",IF($G487="ROKS",SUMIFS(TblApplications[Besoin ROKS RAM (Go)],TblApplications[Cluster ROKS cible],$F487,TblApplications[Action],"À migrer",TblApplications[Déjà incluse ROKS],"Non",TblApplications[Mois prov (calc)],"&lt;="&amp;$E487),SUMIFS(TblApplications[RAM IKS libérable (Go)],TblApplications[Cluster IKS source],$F487,TblApplications[Mois lib (calc)],"&lt;="&amp;$E487)))</f>
        <v/>
      </c>
      <c r="R487" s="14" t="str">
        <f aca="false">IF($D487&lt;&gt;1,"",IF($G487="ROKS",$L487+$P487,IF($AI487=1,0,MAX($N487,$L487-$P487))))</f>
        <v/>
      </c>
      <c r="S487" s="14" t="str">
        <f aca="false">IF($D487&lt;&gt;1,"",IF($G487="ROKS",$M487+$Q487,IF($AI487=1,0,MAX($O487,$M487-$Q487))))</f>
        <v/>
      </c>
      <c r="T487" s="14" t="str">
        <f aca="false">IF($D487&lt;&gt;1,"",IF($AI487=1,0,MAX($J487,ROUNDUP(MAX($R487/$H487,$S487/$I487),0))))</f>
        <v/>
      </c>
      <c r="U487" s="14" t="str">
        <f aca="false">IF($D487&lt;&gt;1,"",IF(p_mode="Nœud",$T487*$H487,$R487))</f>
        <v/>
      </c>
      <c r="V487" s="14" t="str">
        <f aca="false">IF($D487&lt;&gt;1,"",IF(p_mode="Nœud",$T487*$I487,$S487))</f>
        <v/>
      </c>
      <c r="W487" s="84" t="str">
        <f aca="false">IF($D487&lt;&gt;1,"",IF(p_mode="Nœud",$T487*$K487,$R487*IF($G487="IKS",p_iks_cpu,p_roks_cpu)+$S487*IF($G487="IKS",p_iks_ram,p_roks_ram))*p_facteur)</f>
        <v/>
      </c>
      <c r="X487" s="14" t="str">
        <f aca="false">IF($D487&lt;&gt;1,"",IF($G487="ROKS",$R487,IF($AI487=1,0,MAX($N487,$L487-SUMIFS(TblApplications[CPU IKS libérable (vCPU)],TblApplications[Cluster IKS source],$F487,TblApplications[Action],"À migrer",TblApplications[Mois prov (calc)],"&lt;="&amp;$E487)-SUMIFS(TblApplications[CPU IKS libérable (vCPU)],TblApplications[Cluster IKS source],$F487,TblApplications[Action],"À décommissionner",TblApplications[Mois lib (calc)],"&lt;="&amp;$E487)))))</f>
        <v/>
      </c>
      <c r="Y487" s="14" t="str">
        <f aca="false">IF($D487&lt;&gt;1,"",IF($G487="ROKS",$S487,IF($AI487=1,0,MAX($O487,$M487-SUMIFS(TblApplications[RAM IKS libérable (Go)],TblApplications[Cluster IKS source],$F487,TblApplications[Action],"À migrer",TblApplications[Mois prov (calc)],"&lt;="&amp;$E487)-SUMIFS(TblApplications[RAM IKS libérable (Go)],TblApplications[Cluster IKS source],$F487,TblApplications[Action],"À décommissionner",TblApplications[Mois lib (calc)],"&lt;="&amp;$E487)))))</f>
        <v/>
      </c>
      <c r="Z487" s="14" t="str">
        <f aca="false">IF($D487&lt;&gt;1,"",IF($AI487=1,0,MAX($J487,ROUNDUP(MAX($X487/$H487,$Y487/$I487),0))))</f>
        <v/>
      </c>
      <c r="AA487" s="84" t="str">
        <f aca="false">IF($D487&lt;&gt;1,"",IF(p_mode="Nœud",$Z487*$K487,$X487*IF($G487="IKS",p_iks_cpu,p_roks_cpu)+$Y487*IF($G487="IKS",p_iks_ram,p_roks_ram))*p_facteur)</f>
        <v/>
      </c>
      <c r="AB487" s="14" t="str">
        <f aca="false">IF($D487&lt;&gt;1,"",MAX($J487,ROUNDUP(MAX($L487/$H487,$M487/$I487),0)))</f>
        <v/>
      </c>
      <c r="AC487" s="84" t="str">
        <f aca="false">IF($D487&lt;&gt;1,"",IF(p_mode="Nœud",$AB487*$K487,$L487*IF($G487="IKS",p_iks_cpu,p_roks_cpu)+$M487*IF($G487="IKS",p_iks_ram,p_roks_ram))*p_facteur)</f>
        <v/>
      </c>
      <c r="AD487" s="14" t="str">
        <f aca="false">IF($D487&lt;&gt;1,"",IF(AND($G487="IKS",$AI487&lt;&gt;1,OR($L487-$P487&lt;$N487,$M487-$Q487&lt;$O487)),1,0))</f>
        <v/>
      </c>
      <c r="AE487" s="14" t="str">
        <f aca="false">IF($D487&lt;&gt;1,"",IF(AND($G487="ROKS",$T487&gt;p_maxworkers),1,0))</f>
        <v/>
      </c>
      <c r="AF487" s="14" t="str">
        <f aca="false">IF($D487&lt;&gt;1,"",IF(INDEX(TblClusters[Environnement],$B487)="","(vide)",INDEX(TblClusters[Environnement],$B487)))</f>
        <v/>
      </c>
      <c r="AG487" s="14" t="str">
        <f aca="false">IF($D487&lt;&gt;1,"",$R487+p_poidsram*$S487)</f>
        <v/>
      </c>
      <c r="AH487" s="14" t="str">
        <f aca="false">IF($D487&lt;&gt;1,"",IFERROR($W487/$AG487,0))</f>
        <v/>
      </c>
      <c r="AI487" s="14" t="str">
        <f aca="false">IF($D487&lt;&gt;1,"",IF(AND($G487="IKS",ISNUMBER(INDEX(TblClusters[Fermeture retenue],$B487))),IF($E487&gt;=INDEX(TblClusters[Fermeture retenue],$B487),1,0),0))</f>
        <v/>
      </c>
    </row>
    <row r="488" customFormat="false" ht="15" hidden="false" customHeight="false" outlineLevel="0" collapsed="false">
      <c r="A488" s="14" t="n">
        <v>483</v>
      </c>
      <c r="B488" s="14" t="n">
        <f aca="false">INT(($A488-1)/36)+1</f>
        <v>14</v>
      </c>
      <c r="C488" s="14" t="n">
        <f aca="false">MOD($A488-1,36)+1</f>
        <v>15</v>
      </c>
      <c r="D488" s="14" t="n">
        <f aca="false">IF($C488&gt;p_horizon,0,IFERROR(IF(AND(INDEX(TblClusters[Cluster],$B488)&lt;&gt;"",ISNUMBER(INDEX(TblClusters[CPU initial (vCPU)],$B488)),ISNUMBER(INDEX(TblClusters[CPU min (vCPU)],$B488)),OR(INDEX(TblClusters[Plateforme],$B488)="IKS",INDEX(TblClusters[Plateforme],$B488)="ROKS")),1,0),0))</f>
        <v>0</v>
      </c>
      <c r="E488" s="83" t="str">
        <f aca="false">IF($D488=1,EDATE(p_debut,$C488-1),"")</f>
        <v/>
      </c>
      <c r="F488" s="14" t="str">
        <f aca="false">IF($D488=1,INDEX(TblClusters[Cluster],$B488),"")</f>
        <v/>
      </c>
      <c r="G488" s="14" t="str">
        <f aca="false">IF($D488=1,INDEX(TblClusters[Plateforme],$B488),"")</f>
        <v/>
      </c>
      <c r="H488" s="14" t="str">
        <f aca="false">IF($D488=1,INDEX(TblClusters[vCPU par nœud],$B488),"")</f>
        <v/>
      </c>
      <c r="I488" s="14" t="str">
        <f aca="false">IF($D488=1,INDEX(TblClusters[RAM par nœud (Go)],$B488),"")</f>
        <v/>
      </c>
      <c r="J488" s="14" t="str">
        <f aca="false">IF($D488=1,INDEX(TblClusters[Workers min],$B488),"")</f>
        <v/>
      </c>
      <c r="K488" s="84" t="str">
        <f aca="false">IF($D488=1,INDEX(TblClusters[Tarif par nœud],$B488),"")</f>
        <v/>
      </c>
      <c r="L488" s="14" t="str">
        <f aca="false">IF($D488=1,INDEX(TblClusters[CPU initial (vCPU)],$B488),"")</f>
        <v/>
      </c>
      <c r="M488" s="14" t="str">
        <f aca="false">IF($D488=1,INDEX(TblClusters[RAM initiale (Go)],$B488),"")</f>
        <v/>
      </c>
      <c r="N488" s="14" t="str">
        <f aca="false">IF($D488=1,INDEX(TblClusters[CPU min (vCPU)],$B488),"")</f>
        <v/>
      </c>
      <c r="O488" s="14" t="str">
        <f aca="false">IF($D488=1,INDEX(TblClusters[RAM min (Go)],$B488),"")</f>
        <v/>
      </c>
      <c r="P488" s="14" t="str">
        <f aca="false">IF($D488&lt;&gt;1,"",IF($G488="ROKS",SUMIFS(TblApplications[Besoin ROKS CPU (vCPU)],TblApplications[Cluster ROKS cible],$F488,TblApplications[Action],"À migrer",TblApplications[Déjà incluse ROKS],"Non",TblApplications[Mois prov (calc)],"&lt;="&amp;$E488),SUMIFS(TblApplications[CPU IKS libérable (vCPU)],TblApplications[Cluster IKS source],$F488,TblApplications[Mois lib (calc)],"&lt;="&amp;$E488)))</f>
        <v/>
      </c>
      <c r="Q488" s="14" t="str">
        <f aca="false">IF($D488&lt;&gt;1,"",IF($G488="ROKS",SUMIFS(TblApplications[Besoin ROKS RAM (Go)],TblApplications[Cluster ROKS cible],$F488,TblApplications[Action],"À migrer",TblApplications[Déjà incluse ROKS],"Non",TblApplications[Mois prov (calc)],"&lt;="&amp;$E488),SUMIFS(TblApplications[RAM IKS libérable (Go)],TblApplications[Cluster IKS source],$F488,TblApplications[Mois lib (calc)],"&lt;="&amp;$E488)))</f>
        <v/>
      </c>
      <c r="R488" s="14" t="str">
        <f aca="false">IF($D488&lt;&gt;1,"",IF($G488="ROKS",$L488+$P488,IF($AI488=1,0,MAX($N488,$L488-$P488))))</f>
        <v/>
      </c>
      <c r="S488" s="14" t="str">
        <f aca="false">IF($D488&lt;&gt;1,"",IF($G488="ROKS",$M488+$Q488,IF($AI488=1,0,MAX($O488,$M488-$Q488))))</f>
        <v/>
      </c>
      <c r="T488" s="14" t="str">
        <f aca="false">IF($D488&lt;&gt;1,"",IF($AI488=1,0,MAX($J488,ROUNDUP(MAX($R488/$H488,$S488/$I488),0))))</f>
        <v/>
      </c>
      <c r="U488" s="14" t="str">
        <f aca="false">IF($D488&lt;&gt;1,"",IF(p_mode="Nœud",$T488*$H488,$R488))</f>
        <v/>
      </c>
      <c r="V488" s="14" t="str">
        <f aca="false">IF($D488&lt;&gt;1,"",IF(p_mode="Nœud",$T488*$I488,$S488))</f>
        <v/>
      </c>
      <c r="W488" s="84" t="str">
        <f aca="false">IF($D488&lt;&gt;1,"",IF(p_mode="Nœud",$T488*$K488,$R488*IF($G488="IKS",p_iks_cpu,p_roks_cpu)+$S488*IF($G488="IKS",p_iks_ram,p_roks_ram))*p_facteur)</f>
        <v/>
      </c>
      <c r="X488" s="14" t="str">
        <f aca="false">IF($D488&lt;&gt;1,"",IF($G488="ROKS",$R488,IF($AI488=1,0,MAX($N488,$L488-SUMIFS(TblApplications[CPU IKS libérable (vCPU)],TblApplications[Cluster IKS source],$F488,TblApplications[Action],"À migrer",TblApplications[Mois prov (calc)],"&lt;="&amp;$E488)-SUMIFS(TblApplications[CPU IKS libérable (vCPU)],TblApplications[Cluster IKS source],$F488,TblApplications[Action],"À décommissionner",TblApplications[Mois lib (calc)],"&lt;="&amp;$E488)))))</f>
        <v/>
      </c>
      <c r="Y488" s="14" t="str">
        <f aca="false">IF($D488&lt;&gt;1,"",IF($G488="ROKS",$S488,IF($AI488=1,0,MAX($O488,$M488-SUMIFS(TblApplications[RAM IKS libérable (Go)],TblApplications[Cluster IKS source],$F488,TblApplications[Action],"À migrer",TblApplications[Mois prov (calc)],"&lt;="&amp;$E488)-SUMIFS(TblApplications[RAM IKS libérable (Go)],TblApplications[Cluster IKS source],$F488,TblApplications[Action],"À décommissionner",TblApplications[Mois lib (calc)],"&lt;="&amp;$E488)))))</f>
        <v/>
      </c>
      <c r="Z488" s="14" t="str">
        <f aca="false">IF($D488&lt;&gt;1,"",IF($AI488=1,0,MAX($J488,ROUNDUP(MAX($X488/$H488,$Y488/$I488),0))))</f>
        <v/>
      </c>
      <c r="AA488" s="84" t="str">
        <f aca="false">IF($D488&lt;&gt;1,"",IF(p_mode="Nœud",$Z488*$K488,$X488*IF($G488="IKS",p_iks_cpu,p_roks_cpu)+$Y488*IF($G488="IKS",p_iks_ram,p_roks_ram))*p_facteur)</f>
        <v/>
      </c>
      <c r="AB488" s="14" t="str">
        <f aca="false">IF($D488&lt;&gt;1,"",MAX($J488,ROUNDUP(MAX($L488/$H488,$M488/$I488),0)))</f>
        <v/>
      </c>
      <c r="AC488" s="84" t="str">
        <f aca="false">IF($D488&lt;&gt;1,"",IF(p_mode="Nœud",$AB488*$K488,$L488*IF($G488="IKS",p_iks_cpu,p_roks_cpu)+$M488*IF($G488="IKS",p_iks_ram,p_roks_ram))*p_facteur)</f>
        <v/>
      </c>
      <c r="AD488" s="14" t="str">
        <f aca="false">IF($D488&lt;&gt;1,"",IF(AND($G488="IKS",$AI488&lt;&gt;1,OR($L488-$P488&lt;$N488,$M488-$Q488&lt;$O488)),1,0))</f>
        <v/>
      </c>
      <c r="AE488" s="14" t="str">
        <f aca="false">IF($D488&lt;&gt;1,"",IF(AND($G488="ROKS",$T488&gt;p_maxworkers),1,0))</f>
        <v/>
      </c>
      <c r="AF488" s="14" t="str">
        <f aca="false">IF($D488&lt;&gt;1,"",IF(INDEX(TblClusters[Environnement],$B488)="","(vide)",INDEX(TblClusters[Environnement],$B488)))</f>
        <v/>
      </c>
      <c r="AG488" s="14" t="str">
        <f aca="false">IF($D488&lt;&gt;1,"",$R488+p_poidsram*$S488)</f>
        <v/>
      </c>
      <c r="AH488" s="14" t="str">
        <f aca="false">IF($D488&lt;&gt;1,"",IFERROR($W488/$AG488,0))</f>
        <v/>
      </c>
      <c r="AI488" s="14" t="str">
        <f aca="false">IF($D488&lt;&gt;1,"",IF(AND($G488="IKS",ISNUMBER(INDEX(TblClusters[Fermeture retenue],$B488))),IF($E488&gt;=INDEX(TblClusters[Fermeture retenue],$B488),1,0),0))</f>
        <v/>
      </c>
    </row>
    <row r="489" customFormat="false" ht="15" hidden="false" customHeight="false" outlineLevel="0" collapsed="false">
      <c r="A489" s="14" t="n">
        <v>484</v>
      </c>
      <c r="B489" s="14" t="n">
        <f aca="false">INT(($A489-1)/36)+1</f>
        <v>14</v>
      </c>
      <c r="C489" s="14" t="n">
        <f aca="false">MOD($A489-1,36)+1</f>
        <v>16</v>
      </c>
      <c r="D489" s="14" t="n">
        <f aca="false">IF($C489&gt;p_horizon,0,IFERROR(IF(AND(INDEX(TblClusters[Cluster],$B489)&lt;&gt;"",ISNUMBER(INDEX(TblClusters[CPU initial (vCPU)],$B489)),ISNUMBER(INDEX(TblClusters[CPU min (vCPU)],$B489)),OR(INDEX(TblClusters[Plateforme],$B489)="IKS",INDEX(TblClusters[Plateforme],$B489)="ROKS")),1,0),0))</f>
        <v>0</v>
      </c>
      <c r="E489" s="83" t="str">
        <f aca="false">IF($D489=1,EDATE(p_debut,$C489-1),"")</f>
        <v/>
      </c>
      <c r="F489" s="14" t="str">
        <f aca="false">IF($D489=1,INDEX(TblClusters[Cluster],$B489),"")</f>
        <v/>
      </c>
      <c r="G489" s="14" t="str">
        <f aca="false">IF($D489=1,INDEX(TblClusters[Plateforme],$B489),"")</f>
        <v/>
      </c>
      <c r="H489" s="14" t="str">
        <f aca="false">IF($D489=1,INDEX(TblClusters[vCPU par nœud],$B489),"")</f>
        <v/>
      </c>
      <c r="I489" s="14" t="str">
        <f aca="false">IF($D489=1,INDEX(TblClusters[RAM par nœud (Go)],$B489),"")</f>
        <v/>
      </c>
      <c r="J489" s="14" t="str">
        <f aca="false">IF($D489=1,INDEX(TblClusters[Workers min],$B489),"")</f>
        <v/>
      </c>
      <c r="K489" s="84" t="str">
        <f aca="false">IF($D489=1,INDEX(TblClusters[Tarif par nœud],$B489),"")</f>
        <v/>
      </c>
      <c r="L489" s="14" t="str">
        <f aca="false">IF($D489=1,INDEX(TblClusters[CPU initial (vCPU)],$B489),"")</f>
        <v/>
      </c>
      <c r="M489" s="14" t="str">
        <f aca="false">IF($D489=1,INDEX(TblClusters[RAM initiale (Go)],$B489),"")</f>
        <v/>
      </c>
      <c r="N489" s="14" t="str">
        <f aca="false">IF($D489=1,INDEX(TblClusters[CPU min (vCPU)],$B489),"")</f>
        <v/>
      </c>
      <c r="O489" s="14" t="str">
        <f aca="false">IF($D489=1,INDEX(TblClusters[RAM min (Go)],$B489),"")</f>
        <v/>
      </c>
      <c r="P489" s="14" t="str">
        <f aca="false">IF($D489&lt;&gt;1,"",IF($G489="ROKS",SUMIFS(TblApplications[Besoin ROKS CPU (vCPU)],TblApplications[Cluster ROKS cible],$F489,TblApplications[Action],"À migrer",TblApplications[Déjà incluse ROKS],"Non",TblApplications[Mois prov (calc)],"&lt;="&amp;$E489),SUMIFS(TblApplications[CPU IKS libérable (vCPU)],TblApplications[Cluster IKS source],$F489,TblApplications[Mois lib (calc)],"&lt;="&amp;$E489)))</f>
        <v/>
      </c>
      <c r="Q489" s="14" t="str">
        <f aca="false">IF($D489&lt;&gt;1,"",IF($G489="ROKS",SUMIFS(TblApplications[Besoin ROKS RAM (Go)],TblApplications[Cluster ROKS cible],$F489,TblApplications[Action],"À migrer",TblApplications[Déjà incluse ROKS],"Non",TblApplications[Mois prov (calc)],"&lt;="&amp;$E489),SUMIFS(TblApplications[RAM IKS libérable (Go)],TblApplications[Cluster IKS source],$F489,TblApplications[Mois lib (calc)],"&lt;="&amp;$E489)))</f>
        <v/>
      </c>
      <c r="R489" s="14" t="str">
        <f aca="false">IF($D489&lt;&gt;1,"",IF($G489="ROKS",$L489+$P489,IF($AI489=1,0,MAX($N489,$L489-$P489))))</f>
        <v/>
      </c>
      <c r="S489" s="14" t="str">
        <f aca="false">IF($D489&lt;&gt;1,"",IF($G489="ROKS",$M489+$Q489,IF($AI489=1,0,MAX($O489,$M489-$Q489))))</f>
        <v/>
      </c>
      <c r="T489" s="14" t="str">
        <f aca="false">IF($D489&lt;&gt;1,"",IF($AI489=1,0,MAX($J489,ROUNDUP(MAX($R489/$H489,$S489/$I489),0))))</f>
        <v/>
      </c>
      <c r="U489" s="14" t="str">
        <f aca="false">IF($D489&lt;&gt;1,"",IF(p_mode="Nœud",$T489*$H489,$R489))</f>
        <v/>
      </c>
      <c r="V489" s="14" t="str">
        <f aca="false">IF($D489&lt;&gt;1,"",IF(p_mode="Nœud",$T489*$I489,$S489))</f>
        <v/>
      </c>
      <c r="W489" s="84" t="str">
        <f aca="false">IF($D489&lt;&gt;1,"",IF(p_mode="Nœud",$T489*$K489,$R489*IF($G489="IKS",p_iks_cpu,p_roks_cpu)+$S489*IF($G489="IKS",p_iks_ram,p_roks_ram))*p_facteur)</f>
        <v/>
      </c>
      <c r="X489" s="14" t="str">
        <f aca="false">IF($D489&lt;&gt;1,"",IF($G489="ROKS",$R489,IF($AI489=1,0,MAX($N489,$L489-SUMIFS(TblApplications[CPU IKS libérable (vCPU)],TblApplications[Cluster IKS source],$F489,TblApplications[Action],"À migrer",TblApplications[Mois prov (calc)],"&lt;="&amp;$E489)-SUMIFS(TblApplications[CPU IKS libérable (vCPU)],TblApplications[Cluster IKS source],$F489,TblApplications[Action],"À décommissionner",TblApplications[Mois lib (calc)],"&lt;="&amp;$E489)))))</f>
        <v/>
      </c>
      <c r="Y489" s="14" t="str">
        <f aca="false">IF($D489&lt;&gt;1,"",IF($G489="ROKS",$S489,IF($AI489=1,0,MAX($O489,$M489-SUMIFS(TblApplications[RAM IKS libérable (Go)],TblApplications[Cluster IKS source],$F489,TblApplications[Action],"À migrer",TblApplications[Mois prov (calc)],"&lt;="&amp;$E489)-SUMIFS(TblApplications[RAM IKS libérable (Go)],TblApplications[Cluster IKS source],$F489,TblApplications[Action],"À décommissionner",TblApplications[Mois lib (calc)],"&lt;="&amp;$E489)))))</f>
        <v/>
      </c>
      <c r="Z489" s="14" t="str">
        <f aca="false">IF($D489&lt;&gt;1,"",IF($AI489=1,0,MAX($J489,ROUNDUP(MAX($X489/$H489,$Y489/$I489),0))))</f>
        <v/>
      </c>
      <c r="AA489" s="84" t="str">
        <f aca="false">IF($D489&lt;&gt;1,"",IF(p_mode="Nœud",$Z489*$K489,$X489*IF($G489="IKS",p_iks_cpu,p_roks_cpu)+$Y489*IF($G489="IKS",p_iks_ram,p_roks_ram))*p_facteur)</f>
        <v/>
      </c>
      <c r="AB489" s="14" t="str">
        <f aca="false">IF($D489&lt;&gt;1,"",MAX($J489,ROUNDUP(MAX($L489/$H489,$M489/$I489),0)))</f>
        <v/>
      </c>
      <c r="AC489" s="84" t="str">
        <f aca="false">IF($D489&lt;&gt;1,"",IF(p_mode="Nœud",$AB489*$K489,$L489*IF($G489="IKS",p_iks_cpu,p_roks_cpu)+$M489*IF($G489="IKS",p_iks_ram,p_roks_ram))*p_facteur)</f>
        <v/>
      </c>
      <c r="AD489" s="14" t="str">
        <f aca="false">IF($D489&lt;&gt;1,"",IF(AND($G489="IKS",$AI489&lt;&gt;1,OR($L489-$P489&lt;$N489,$M489-$Q489&lt;$O489)),1,0))</f>
        <v/>
      </c>
      <c r="AE489" s="14" t="str">
        <f aca="false">IF($D489&lt;&gt;1,"",IF(AND($G489="ROKS",$T489&gt;p_maxworkers),1,0))</f>
        <v/>
      </c>
      <c r="AF489" s="14" t="str">
        <f aca="false">IF($D489&lt;&gt;1,"",IF(INDEX(TblClusters[Environnement],$B489)="","(vide)",INDEX(TblClusters[Environnement],$B489)))</f>
        <v/>
      </c>
      <c r="AG489" s="14" t="str">
        <f aca="false">IF($D489&lt;&gt;1,"",$R489+p_poidsram*$S489)</f>
        <v/>
      </c>
      <c r="AH489" s="14" t="str">
        <f aca="false">IF($D489&lt;&gt;1,"",IFERROR($W489/$AG489,0))</f>
        <v/>
      </c>
      <c r="AI489" s="14" t="str">
        <f aca="false">IF($D489&lt;&gt;1,"",IF(AND($G489="IKS",ISNUMBER(INDEX(TblClusters[Fermeture retenue],$B489))),IF($E489&gt;=INDEX(TblClusters[Fermeture retenue],$B489),1,0),0))</f>
        <v/>
      </c>
    </row>
    <row r="490" customFormat="false" ht="15" hidden="false" customHeight="false" outlineLevel="0" collapsed="false">
      <c r="A490" s="14" t="n">
        <v>485</v>
      </c>
      <c r="B490" s="14" t="n">
        <f aca="false">INT(($A490-1)/36)+1</f>
        <v>14</v>
      </c>
      <c r="C490" s="14" t="n">
        <f aca="false">MOD($A490-1,36)+1</f>
        <v>17</v>
      </c>
      <c r="D490" s="14" t="n">
        <f aca="false">IF($C490&gt;p_horizon,0,IFERROR(IF(AND(INDEX(TblClusters[Cluster],$B490)&lt;&gt;"",ISNUMBER(INDEX(TblClusters[CPU initial (vCPU)],$B490)),ISNUMBER(INDEX(TblClusters[CPU min (vCPU)],$B490)),OR(INDEX(TblClusters[Plateforme],$B490)="IKS",INDEX(TblClusters[Plateforme],$B490)="ROKS")),1,0),0))</f>
        <v>0</v>
      </c>
      <c r="E490" s="83" t="str">
        <f aca="false">IF($D490=1,EDATE(p_debut,$C490-1),"")</f>
        <v/>
      </c>
      <c r="F490" s="14" t="str">
        <f aca="false">IF($D490=1,INDEX(TblClusters[Cluster],$B490),"")</f>
        <v/>
      </c>
      <c r="G490" s="14" t="str">
        <f aca="false">IF($D490=1,INDEX(TblClusters[Plateforme],$B490),"")</f>
        <v/>
      </c>
      <c r="H490" s="14" t="str">
        <f aca="false">IF($D490=1,INDEX(TblClusters[vCPU par nœud],$B490),"")</f>
        <v/>
      </c>
      <c r="I490" s="14" t="str">
        <f aca="false">IF($D490=1,INDEX(TblClusters[RAM par nœud (Go)],$B490),"")</f>
        <v/>
      </c>
      <c r="J490" s="14" t="str">
        <f aca="false">IF($D490=1,INDEX(TblClusters[Workers min],$B490),"")</f>
        <v/>
      </c>
      <c r="K490" s="84" t="str">
        <f aca="false">IF($D490=1,INDEX(TblClusters[Tarif par nœud],$B490),"")</f>
        <v/>
      </c>
      <c r="L490" s="14" t="str">
        <f aca="false">IF($D490=1,INDEX(TblClusters[CPU initial (vCPU)],$B490),"")</f>
        <v/>
      </c>
      <c r="M490" s="14" t="str">
        <f aca="false">IF($D490=1,INDEX(TblClusters[RAM initiale (Go)],$B490),"")</f>
        <v/>
      </c>
      <c r="N490" s="14" t="str">
        <f aca="false">IF($D490=1,INDEX(TblClusters[CPU min (vCPU)],$B490),"")</f>
        <v/>
      </c>
      <c r="O490" s="14" t="str">
        <f aca="false">IF($D490=1,INDEX(TblClusters[RAM min (Go)],$B490),"")</f>
        <v/>
      </c>
      <c r="P490" s="14" t="str">
        <f aca="false">IF($D490&lt;&gt;1,"",IF($G490="ROKS",SUMIFS(TblApplications[Besoin ROKS CPU (vCPU)],TblApplications[Cluster ROKS cible],$F490,TblApplications[Action],"À migrer",TblApplications[Déjà incluse ROKS],"Non",TblApplications[Mois prov (calc)],"&lt;="&amp;$E490),SUMIFS(TblApplications[CPU IKS libérable (vCPU)],TblApplications[Cluster IKS source],$F490,TblApplications[Mois lib (calc)],"&lt;="&amp;$E490)))</f>
        <v/>
      </c>
      <c r="Q490" s="14" t="str">
        <f aca="false">IF($D490&lt;&gt;1,"",IF($G490="ROKS",SUMIFS(TblApplications[Besoin ROKS RAM (Go)],TblApplications[Cluster ROKS cible],$F490,TblApplications[Action],"À migrer",TblApplications[Déjà incluse ROKS],"Non",TblApplications[Mois prov (calc)],"&lt;="&amp;$E490),SUMIFS(TblApplications[RAM IKS libérable (Go)],TblApplications[Cluster IKS source],$F490,TblApplications[Mois lib (calc)],"&lt;="&amp;$E490)))</f>
        <v/>
      </c>
      <c r="R490" s="14" t="str">
        <f aca="false">IF($D490&lt;&gt;1,"",IF($G490="ROKS",$L490+$P490,IF($AI490=1,0,MAX($N490,$L490-$P490))))</f>
        <v/>
      </c>
      <c r="S490" s="14" t="str">
        <f aca="false">IF($D490&lt;&gt;1,"",IF($G490="ROKS",$M490+$Q490,IF($AI490=1,0,MAX($O490,$M490-$Q490))))</f>
        <v/>
      </c>
      <c r="T490" s="14" t="str">
        <f aca="false">IF($D490&lt;&gt;1,"",IF($AI490=1,0,MAX($J490,ROUNDUP(MAX($R490/$H490,$S490/$I490),0))))</f>
        <v/>
      </c>
      <c r="U490" s="14" t="str">
        <f aca="false">IF($D490&lt;&gt;1,"",IF(p_mode="Nœud",$T490*$H490,$R490))</f>
        <v/>
      </c>
      <c r="V490" s="14" t="str">
        <f aca="false">IF($D490&lt;&gt;1,"",IF(p_mode="Nœud",$T490*$I490,$S490))</f>
        <v/>
      </c>
      <c r="W490" s="84" t="str">
        <f aca="false">IF($D490&lt;&gt;1,"",IF(p_mode="Nœud",$T490*$K490,$R490*IF($G490="IKS",p_iks_cpu,p_roks_cpu)+$S490*IF($G490="IKS",p_iks_ram,p_roks_ram))*p_facteur)</f>
        <v/>
      </c>
      <c r="X490" s="14" t="str">
        <f aca="false">IF($D490&lt;&gt;1,"",IF($G490="ROKS",$R490,IF($AI490=1,0,MAX($N490,$L490-SUMIFS(TblApplications[CPU IKS libérable (vCPU)],TblApplications[Cluster IKS source],$F490,TblApplications[Action],"À migrer",TblApplications[Mois prov (calc)],"&lt;="&amp;$E490)-SUMIFS(TblApplications[CPU IKS libérable (vCPU)],TblApplications[Cluster IKS source],$F490,TblApplications[Action],"À décommissionner",TblApplications[Mois lib (calc)],"&lt;="&amp;$E490)))))</f>
        <v/>
      </c>
      <c r="Y490" s="14" t="str">
        <f aca="false">IF($D490&lt;&gt;1,"",IF($G490="ROKS",$S490,IF($AI490=1,0,MAX($O490,$M490-SUMIFS(TblApplications[RAM IKS libérable (Go)],TblApplications[Cluster IKS source],$F490,TblApplications[Action],"À migrer",TblApplications[Mois prov (calc)],"&lt;="&amp;$E490)-SUMIFS(TblApplications[RAM IKS libérable (Go)],TblApplications[Cluster IKS source],$F490,TblApplications[Action],"À décommissionner",TblApplications[Mois lib (calc)],"&lt;="&amp;$E490)))))</f>
        <v/>
      </c>
      <c r="Z490" s="14" t="str">
        <f aca="false">IF($D490&lt;&gt;1,"",IF($AI490=1,0,MAX($J490,ROUNDUP(MAX($X490/$H490,$Y490/$I490),0))))</f>
        <v/>
      </c>
      <c r="AA490" s="84" t="str">
        <f aca="false">IF($D490&lt;&gt;1,"",IF(p_mode="Nœud",$Z490*$K490,$X490*IF($G490="IKS",p_iks_cpu,p_roks_cpu)+$Y490*IF($G490="IKS",p_iks_ram,p_roks_ram))*p_facteur)</f>
        <v/>
      </c>
      <c r="AB490" s="14" t="str">
        <f aca="false">IF($D490&lt;&gt;1,"",MAX($J490,ROUNDUP(MAX($L490/$H490,$M490/$I490),0)))</f>
        <v/>
      </c>
      <c r="AC490" s="84" t="str">
        <f aca="false">IF($D490&lt;&gt;1,"",IF(p_mode="Nœud",$AB490*$K490,$L490*IF($G490="IKS",p_iks_cpu,p_roks_cpu)+$M490*IF($G490="IKS",p_iks_ram,p_roks_ram))*p_facteur)</f>
        <v/>
      </c>
      <c r="AD490" s="14" t="str">
        <f aca="false">IF($D490&lt;&gt;1,"",IF(AND($G490="IKS",$AI490&lt;&gt;1,OR($L490-$P490&lt;$N490,$M490-$Q490&lt;$O490)),1,0))</f>
        <v/>
      </c>
      <c r="AE490" s="14" t="str">
        <f aca="false">IF($D490&lt;&gt;1,"",IF(AND($G490="ROKS",$T490&gt;p_maxworkers),1,0))</f>
        <v/>
      </c>
      <c r="AF490" s="14" t="str">
        <f aca="false">IF($D490&lt;&gt;1,"",IF(INDEX(TblClusters[Environnement],$B490)="","(vide)",INDEX(TblClusters[Environnement],$B490)))</f>
        <v/>
      </c>
      <c r="AG490" s="14" t="str">
        <f aca="false">IF($D490&lt;&gt;1,"",$R490+p_poidsram*$S490)</f>
        <v/>
      </c>
      <c r="AH490" s="14" t="str">
        <f aca="false">IF($D490&lt;&gt;1,"",IFERROR($W490/$AG490,0))</f>
        <v/>
      </c>
      <c r="AI490" s="14" t="str">
        <f aca="false">IF($D490&lt;&gt;1,"",IF(AND($G490="IKS",ISNUMBER(INDEX(TblClusters[Fermeture retenue],$B490))),IF($E490&gt;=INDEX(TblClusters[Fermeture retenue],$B490),1,0),0))</f>
        <v/>
      </c>
    </row>
    <row r="491" customFormat="false" ht="15" hidden="false" customHeight="false" outlineLevel="0" collapsed="false">
      <c r="A491" s="14" t="n">
        <v>486</v>
      </c>
      <c r="B491" s="14" t="n">
        <f aca="false">INT(($A491-1)/36)+1</f>
        <v>14</v>
      </c>
      <c r="C491" s="14" t="n">
        <f aca="false">MOD($A491-1,36)+1</f>
        <v>18</v>
      </c>
      <c r="D491" s="14" t="n">
        <f aca="false">IF($C491&gt;p_horizon,0,IFERROR(IF(AND(INDEX(TblClusters[Cluster],$B491)&lt;&gt;"",ISNUMBER(INDEX(TblClusters[CPU initial (vCPU)],$B491)),ISNUMBER(INDEX(TblClusters[CPU min (vCPU)],$B491)),OR(INDEX(TblClusters[Plateforme],$B491)="IKS",INDEX(TblClusters[Plateforme],$B491)="ROKS")),1,0),0))</f>
        <v>0</v>
      </c>
      <c r="E491" s="83" t="str">
        <f aca="false">IF($D491=1,EDATE(p_debut,$C491-1),"")</f>
        <v/>
      </c>
      <c r="F491" s="14" t="str">
        <f aca="false">IF($D491=1,INDEX(TblClusters[Cluster],$B491),"")</f>
        <v/>
      </c>
      <c r="G491" s="14" t="str">
        <f aca="false">IF($D491=1,INDEX(TblClusters[Plateforme],$B491),"")</f>
        <v/>
      </c>
      <c r="H491" s="14" t="str">
        <f aca="false">IF($D491=1,INDEX(TblClusters[vCPU par nœud],$B491),"")</f>
        <v/>
      </c>
      <c r="I491" s="14" t="str">
        <f aca="false">IF($D491=1,INDEX(TblClusters[RAM par nœud (Go)],$B491),"")</f>
        <v/>
      </c>
      <c r="J491" s="14" t="str">
        <f aca="false">IF($D491=1,INDEX(TblClusters[Workers min],$B491),"")</f>
        <v/>
      </c>
      <c r="K491" s="84" t="str">
        <f aca="false">IF($D491=1,INDEX(TblClusters[Tarif par nœud],$B491),"")</f>
        <v/>
      </c>
      <c r="L491" s="14" t="str">
        <f aca="false">IF($D491=1,INDEX(TblClusters[CPU initial (vCPU)],$B491),"")</f>
        <v/>
      </c>
      <c r="M491" s="14" t="str">
        <f aca="false">IF($D491=1,INDEX(TblClusters[RAM initiale (Go)],$B491),"")</f>
        <v/>
      </c>
      <c r="N491" s="14" t="str">
        <f aca="false">IF($D491=1,INDEX(TblClusters[CPU min (vCPU)],$B491),"")</f>
        <v/>
      </c>
      <c r="O491" s="14" t="str">
        <f aca="false">IF($D491=1,INDEX(TblClusters[RAM min (Go)],$B491),"")</f>
        <v/>
      </c>
      <c r="P491" s="14" t="str">
        <f aca="false">IF($D491&lt;&gt;1,"",IF($G491="ROKS",SUMIFS(TblApplications[Besoin ROKS CPU (vCPU)],TblApplications[Cluster ROKS cible],$F491,TblApplications[Action],"À migrer",TblApplications[Déjà incluse ROKS],"Non",TblApplications[Mois prov (calc)],"&lt;="&amp;$E491),SUMIFS(TblApplications[CPU IKS libérable (vCPU)],TblApplications[Cluster IKS source],$F491,TblApplications[Mois lib (calc)],"&lt;="&amp;$E491)))</f>
        <v/>
      </c>
      <c r="Q491" s="14" t="str">
        <f aca="false">IF($D491&lt;&gt;1,"",IF($G491="ROKS",SUMIFS(TblApplications[Besoin ROKS RAM (Go)],TblApplications[Cluster ROKS cible],$F491,TblApplications[Action],"À migrer",TblApplications[Déjà incluse ROKS],"Non",TblApplications[Mois prov (calc)],"&lt;="&amp;$E491),SUMIFS(TblApplications[RAM IKS libérable (Go)],TblApplications[Cluster IKS source],$F491,TblApplications[Mois lib (calc)],"&lt;="&amp;$E491)))</f>
        <v/>
      </c>
      <c r="R491" s="14" t="str">
        <f aca="false">IF($D491&lt;&gt;1,"",IF($G491="ROKS",$L491+$P491,IF($AI491=1,0,MAX($N491,$L491-$P491))))</f>
        <v/>
      </c>
      <c r="S491" s="14" t="str">
        <f aca="false">IF($D491&lt;&gt;1,"",IF($G491="ROKS",$M491+$Q491,IF($AI491=1,0,MAX($O491,$M491-$Q491))))</f>
        <v/>
      </c>
      <c r="T491" s="14" t="str">
        <f aca="false">IF($D491&lt;&gt;1,"",IF($AI491=1,0,MAX($J491,ROUNDUP(MAX($R491/$H491,$S491/$I491),0))))</f>
        <v/>
      </c>
      <c r="U491" s="14" t="str">
        <f aca="false">IF($D491&lt;&gt;1,"",IF(p_mode="Nœud",$T491*$H491,$R491))</f>
        <v/>
      </c>
      <c r="V491" s="14" t="str">
        <f aca="false">IF($D491&lt;&gt;1,"",IF(p_mode="Nœud",$T491*$I491,$S491))</f>
        <v/>
      </c>
      <c r="W491" s="84" t="str">
        <f aca="false">IF($D491&lt;&gt;1,"",IF(p_mode="Nœud",$T491*$K491,$R491*IF($G491="IKS",p_iks_cpu,p_roks_cpu)+$S491*IF($G491="IKS",p_iks_ram,p_roks_ram))*p_facteur)</f>
        <v/>
      </c>
      <c r="X491" s="14" t="str">
        <f aca="false">IF($D491&lt;&gt;1,"",IF($G491="ROKS",$R491,IF($AI491=1,0,MAX($N491,$L491-SUMIFS(TblApplications[CPU IKS libérable (vCPU)],TblApplications[Cluster IKS source],$F491,TblApplications[Action],"À migrer",TblApplications[Mois prov (calc)],"&lt;="&amp;$E491)-SUMIFS(TblApplications[CPU IKS libérable (vCPU)],TblApplications[Cluster IKS source],$F491,TblApplications[Action],"À décommissionner",TblApplications[Mois lib (calc)],"&lt;="&amp;$E491)))))</f>
        <v/>
      </c>
      <c r="Y491" s="14" t="str">
        <f aca="false">IF($D491&lt;&gt;1,"",IF($G491="ROKS",$S491,IF($AI491=1,0,MAX($O491,$M491-SUMIFS(TblApplications[RAM IKS libérable (Go)],TblApplications[Cluster IKS source],$F491,TblApplications[Action],"À migrer",TblApplications[Mois prov (calc)],"&lt;="&amp;$E491)-SUMIFS(TblApplications[RAM IKS libérable (Go)],TblApplications[Cluster IKS source],$F491,TblApplications[Action],"À décommissionner",TblApplications[Mois lib (calc)],"&lt;="&amp;$E491)))))</f>
        <v/>
      </c>
      <c r="Z491" s="14" t="str">
        <f aca="false">IF($D491&lt;&gt;1,"",IF($AI491=1,0,MAX($J491,ROUNDUP(MAX($X491/$H491,$Y491/$I491),0))))</f>
        <v/>
      </c>
      <c r="AA491" s="84" t="str">
        <f aca="false">IF($D491&lt;&gt;1,"",IF(p_mode="Nœud",$Z491*$K491,$X491*IF($G491="IKS",p_iks_cpu,p_roks_cpu)+$Y491*IF($G491="IKS",p_iks_ram,p_roks_ram))*p_facteur)</f>
        <v/>
      </c>
      <c r="AB491" s="14" t="str">
        <f aca="false">IF($D491&lt;&gt;1,"",MAX($J491,ROUNDUP(MAX($L491/$H491,$M491/$I491),0)))</f>
        <v/>
      </c>
      <c r="AC491" s="84" t="str">
        <f aca="false">IF($D491&lt;&gt;1,"",IF(p_mode="Nœud",$AB491*$K491,$L491*IF($G491="IKS",p_iks_cpu,p_roks_cpu)+$M491*IF($G491="IKS",p_iks_ram,p_roks_ram))*p_facteur)</f>
        <v/>
      </c>
      <c r="AD491" s="14" t="str">
        <f aca="false">IF($D491&lt;&gt;1,"",IF(AND($G491="IKS",$AI491&lt;&gt;1,OR($L491-$P491&lt;$N491,$M491-$Q491&lt;$O491)),1,0))</f>
        <v/>
      </c>
      <c r="AE491" s="14" t="str">
        <f aca="false">IF($D491&lt;&gt;1,"",IF(AND($G491="ROKS",$T491&gt;p_maxworkers),1,0))</f>
        <v/>
      </c>
      <c r="AF491" s="14" t="str">
        <f aca="false">IF($D491&lt;&gt;1,"",IF(INDEX(TblClusters[Environnement],$B491)="","(vide)",INDEX(TblClusters[Environnement],$B491)))</f>
        <v/>
      </c>
      <c r="AG491" s="14" t="str">
        <f aca="false">IF($D491&lt;&gt;1,"",$R491+p_poidsram*$S491)</f>
        <v/>
      </c>
      <c r="AH491" s="14" t="str">
        <f aca="false">IF($D491&lt;&gt;1,"",IFERROR($W491/$AG491,0))</f>
        <v/>
      </c>
      <c r="AI491" s="14" t="str">
        <f aca="false">IF($D491&lt;&gt;1,"",IF(AND($G491="IKS",ISNUMBER(INDEX(TblClusters[Fermeture retenue],$B491))),IF($E491&gt;=INDEX(TblClusters[Fermeture retenue],$B491),1,0),0))</f>
        <v/>
      </c>
    </row>
    <row r="492" customFormat="false" ht="15" hidden="false" customHeight="false" outlineLevel="0" collapsed="false">
      <c r="A492" s="14" t="n">
        <v>487</v>
      </c>
      <c r="B492" s="14" t="n">
        <f aca="false">INT(($A492-1)/36)+1</f>
        <v>14</v>
      </c>
      <c r="C492" s="14" t="n">
        <f aca="false">MOD($A492-1,36)+1</f>
        <v>19</v>
      </c>
      <c r="D492" s="14" t="n">
        <f aca="false">IF($C492&gt;p_horizon,0,IFERROR(IF(AND(INDEX(TblClusters[Cluster],$B492)&lt;&gt;"",ISNUMBER(INDEX(TblClusters[CPU initial (vCPU)],$B492)),ISNUMBER(INDEX(TblClusters[CPU min (vCPU)],$B492)),OR(INDEX(TblClusters[Plateforme],$B492)="IKS",INDEX(TblClusters[Plateforme],$B492)="ROKS")),1,0),0))</f>
        <v>0</v>
      </c>
      <c r="E492" s="83" t="str">
        <f aca="false">IF($D492=1,EDATE(p_debut,$C492-1),"")</f>
        <v/>
      </c>
      <c r="F492" s="14" t="str">
        <f aca="false">IF($D492=1,INDEX(TblClusters[Cluster],$B492),"")</f>
        <v/>
      </c>
      <c r="G492" s="14" t="str">
        <f aca="false">IF($D492=1,INDEX(TblClusters[Plateforme],$B492),"")</f>
        <v/>
      </c>
      <c r="H492" s="14" t="str">
        <f aca="false">IF($D492=1,INDEX(TblClusters[vCPU par nœud],$B492),"")</f>
        <v/>
      </c>
      <c r="I492" s="14" t="str">
        <f aca="false">IF($D492=1,INDEX(TblClusters[RAM par nœud (Go)],$B492),"")</f>
        <v/>
      </c>
      <c r="J492" s="14" t="str">
        <f aca="false">IF($D492=1,INDEX(TblClusters[Workers min],$B492),"")</f>
        <v/>
      </c>
      <c r="K492" s="84" t="str">
        <f aca="false">IF($D492=1,INDEX(TblClusters[Tarif par nœud],$B492),"")</f>
        <v/>
      </c>
      <c r="L492" s="14" t="str">
        <f aca="false">IF($D492=1,INDEX(TblClusters[CPU initial (vCPU)],$B492),"")</f>
        <v/>
      </c>
      <c r="M492" s="14" t="str">
        <f aca="false">IF($D492=1,INDEX(TblClusters[RAM initiale (Go)],$B492),"")</f>
        <v/>
      </c>
      <c r="N492" s="14" t="str">
        <f aca="false">IF($D492=1,INDEX(TblClusters[CPU min (vCPU)],$B492),"")</f>
        <v/>
      </c>
      <c r="O492" s="14" t="str">
        <f aca="false">IF($D492=1,INDEX(TblClusters[RAM min (Go)],$B492),"")</f>
        <v/>
      </c>
      <c r="P492" s="14" t="str">
        <f aca="false">IF($D492&lt;&gt;1,"",IF($G492="ROKS",SUMIFS(TblApplications[Besoin ROKS CPU (vCPU)],TblApplications[Cluster ROKS cible],$F492,TblApplications[Action],"À migrer",TblApplications[Déjà incluse ROKS],"Non",TblApplications[Mois prov (calc)],"&lt;="&amp;$E492),SUMIFS(TblApplications[CPU IKS libérable (vCPU)],TblApplications[Cluster IKS source],$F492,TblApplications[Mois lib (calc)],"&lt;="&amp;$E492)))</f>
        <v/>
      </c>
      <c r="Q492" s="14" t="str">
        <f aca="false">IF($D492&lt;&gt;1,"",IF($G492="ROKS",SUMIFS(TblApplications[Besoin ROKS RAM (Go)],TblApplications[Cluster ROKS cible],$F492,TblApplications[Action],"À migrer",TblApplications[Déjà incluse ROKS],"Non",TblApplications[Mois prov (calc)],"&lt;="&amp;$E492),SUMIFS(TblApplications[RAM IKS libérable (Go)],TblApplications[Cluster IKS source],$F492,TblApplications[Mois lib (calc)],"&lt;="&amp;$E492)))</f>
        <v/>
      </c>
      <c r="R492" s="14" t="str">
        <f aca="false">IF($D492&lt;&gt;1,"",IF($G492="ROKS",$L492+$P492,IF($AI492=1,0,MAX($N492,$L492-$P492))))</f>
        <v/>
      </c>
      <c r="S492" s="14" t="str">
        <f aca="false">IF($D492&lt;&gt;1,"",IF($G492="ROKS",$M492+$Q492,IF($AI492=1,0,MAX($O492,$M492-$Q492))))</f>
        <v/>
      </c>
      <c r="T492" s="14" t="str">
        <f aca="false">IF($D492&lt;&gt;1,"",IF($AI492=1,0,MAX($J492,ROUNDUP(MAX($R492/$H492,$S492/$I492),0))))</f>
        <v/>
      </c>
      <c r="U492" s="14" t="str">
        <f aca="false">IF($D492&lt;&gt;1,"",IF(p_mode="Nœud",$T492*$H492,$R492))</f>
        <v/>
      </c>
      <c r="V492" s="14" t="str">
        <f aca="false">IF($D492&lt;&gt;1,"",IF(p_mode="Nœud",$T492*$I492,$S492))</f>
        <v/>
      </c>
      <c r="W492" s="84" t="str">
        <f aca="false">IF($D492&lt;&gt;1,"",IF(p_mode="Nœud",$T492*$K492,$R492*IF($G492="IKS",p_iks_cpu,p_roks_cpu)+$S492*IF($G492="IKS",p_iks_ram,p_roks_ram))*p_facteur)</f>
        <v/>
      </c>
      <c r="X492" s="14" t="str">
        <f aca="false">IF($D492&lt;&gt;1,"",IF($G492="ROKS",$R492,IF($AI492=1,0,MAX($N492,$L492-SUMIFS(TblApplications[CPU IKS libérable (vCPU)],TblApplications[Cluster IKS source],$F492,TblApplications[Action],"À migrer",TblApplications[Mois prov (calc)],"&lt;="&amp;$E492)-SUMIFS(TblApplications[CPU IKS libérable (vCPU)],TblApplications[Cluster IKS source],$F492,TblApplications[Action],"À décommissionner",TblApplications[Mois lib (calc)],"&lt;="&amp;$E492)))))</f>
        <v/>
      </c>
      <c r="Y492" s="14" t="str">
        <f aca="false">IF($D492&lt;&gt;1,"",IF($G492="ROKS",$S492,IF($AI492=1,0,MAX($O492,$M492-SUMIFS(TblApplications[RAM IKS libérable (Go)],TblApplications[Cluster IKS source],$F492,TblApplications[Action],"À migrer",TblApplications[Mois prov (calc)],"&lt;="&amp;$E492)-SUMIFS(TblApplications[RAM IKS libérable (Go)],TblApplications[Cluster IKS source],$F492,TblApplications[Action],"À décommissionner",TblApplications[Mois lib (calc)],"&lt;="&amp;$E492)))))</f>
        <v/>
      </c>
      <c r="Z492" s="14" t="str">
        <f aca="false">IF($D492&lt;&gt;1,"",IF($AI492=1,0,MAX($J492,ROUNDUP(MAX($X492/$H492,$Y492/$I492),0))))</f>
        <v/>
      </c>
      <c r="AA492" s="84" t="str">
        <f aca="false">IF($D492&lt;&gt;1,"",IF(p_mode="Nœud",$Z492*$K492,$X492*IF($G492="IKS",p_iks_cpu,p_roks_cpu)+$Y492*IF($G492="IKS",p_iks_ram,p_roks_ram))*p_facteur)</f>
        <v/>
      </c>
      <c r="AB492" s="14" t="str">
        <f aca="false">IF($D492&lt;&gt;1,"",MAX($J492,ROUNDUP(MAX($L492/$H492,$M492/$I492),0)))</f>
        <v/>
      </c>
      <c r="AC492" s="84" t="str">
        <f aca="false">IF($D492&lt;&gt;1,"",IF(p_mode="Nœud",$AB492*$K492,$L492*IF($G492="IKS",p_iks_cpu,p_roks_cpu)+$M492*IF($G492="IKS",p_iks_ram,p_roks_ram))*p_facteur)</f>
        <v/>
      </c>
      <c r="AD492" s="14" t="str">
        <f aca="false">IF($D492&lt;&gt;1,"",IF(AND($G492="IKS",$AI492&lt;&gt;1,OR($L492-$P492&lt;$N492,$M492-$Q492&lt;$O492)),1,0))</f>
        <v/>
      </c>
      <c r="AE492" s="14" t="str">
        <f aca="false">IF($D492&lt;&gt;1,"",IF(AND($G492="ROKS",$T492&gt;p_maxworkers),1,0))</f>
        <v/>
      </c>
      <c r="AF492" s="14" t="str">
        <f aca="false">IF($D492&lt;&gt;1,"",IF(INDEX(TblClusters[Environnement],$B492)="","(vide)",INDEX(TblClusters[Environnement],$B492)))</f>
        <v/>
      </c>
      <c r="AG492" s="14" t="str">
        <f aca="false">IF($D492&lt;&gt;1,"",$R492+p_poidsram*$S492)</f>
        <v/>
      </c>
      <c r="AH492" s="14" t="str">
        <f aca="false">IF($D492&lt;&gt;1,"",IFERROR($W492/$AG492,0))</f>
        <v/>
      </c>
      <c r="AI492" s="14" t="str">
        <f aca="false">IF($D492&lt;&gt;1,"",IF(AND($G492="IKS",ISNUMBER(INDEX(TblClusters[Fermeture retenue],$B492))),IF($E492&gt;=INDEX(TblClusters[Fermeture retenue],$B492),1,0),0))</f>
        <v/>
      </c>
    </row>
    <row r="493" customFormat="false" ht="15" hidden="false" customHeight="false" outlineLevel="0" collapsed="false">
      <c r="A493" s="14" t="n">
        <v>488</v>
      </c>
      <c r="B493" s="14" t="n">
        <f aca="false">INT(($A493-1)/36)+1</f>
        <v>14</v>
      </c>
      <c r="C493" s="14" t="n">
        <f aca="false">MOD($A493-1,36)+1</f>
        <v>20</v>
      </c>
      <c r="D493" s="14" t="n">
        <f aca="false">IF($C493&gt;p_horizon,0,IFERROR(IF(AND(INDEX(TblClusters[Cluster],$B493)&lt;&gt;"",ISNUMBER(INDEX(TblClusters[CPU initial (vCPU)],$B493)),ISNUMBER(INDEX(TblClusters[CPU min (vCPU)],$B493)),OR(INDEX(TblClusters[Plateforme],$B493)="IKS",INDEX(TblClusters[Plateforme],$B493)="ROKS")),1,0),0))</f>
        <v>0</v>
      </c>
      <c r="E493" s="83" t="str">
        <f aca="false">IF($D493=1,EDATE(p_debut,$C493-1),"")</f>
        <v/>
      </c>
      <c r="F493" s="14" t="str">
        <f aca="false">IF($D493=1,INDEX(TblClusters[Cluster],$B493),"")</f>
        <v/>
      </c>
      <c r="G493" s="14" t="str">
        <f aca="false">IF($D493=1,INDEX(TblClusters[Plateforme],$B493),"")</f>
        <v/>
      </c>
      <c r="H493" s="14" t="str">
        <f aca="false">IF($D493=1,INDEX(TblClusters[vCPU par nœud],$B493),"")</f>
        <v/>
      </c>
      <c r="I493" s="14" t="str">
        <f aca="false">IF($D493=1,INDEX(TblClusters[RAM par nœud (Go)],$B493),"")</f>
        <v/>
      </c>
      <c r="J493" s="14" t="str">
        <f aca="false">IF($D493=1,INDEX(TblClusters[Workers min],$B493),"")</f>
        <v/>
      </c>
      <c r="K493" s="84" t="str">
        <f aca="false">IF($D493=1,INDEX(TblClusters[Tarif par nœud],$B493),"")</f>
        <v/>
      </c>
      <c r="L493" s="14" t="str">
        <f aca="false">IF($D493=1,INDEX(TblClusters[CPU initial (vCPU)],$B493),"")</f>
        <v/>
      </c>
      <c r="M493" s="14" t="str">
        <f aca="false">IF($D493=1,INDEX(TblClusters[RAM initiale (Go)],$B493),"")</f>
        <v/>
      </c>
      <c r="N493" s="14" t="str">
        <f aca="false">IF($D493=1,INDEX(TblClusters[CPU min (vCPU)],$B493),"")</f>
        <v/>
      </c>
      <c r="O493" s="14" t="str">
        <f aca="false">IF($D493=1,INDEX(TblClusters[RAM min (Go)],$B493),"")</f>
        <v/>
      </c>
      <c r="P493" s="14" t="str">
        <f aca="false">IF($D493&lt;&gt;1,"",IF($G493="ROKS",SUMIFS(TblApplications[Besoin ROKS CPU (vCPU)],TblApplications[Cluster ROKS cible],$F493,TblApplications[Action],"À migrer",TblApplications[Déjà incluse ROKS],"Non",TblApplications[Mois prov (calc)],"&lt;="&amp;$E493),SUMIFS(TblApplications[CPU IKS libérable (vCPU)],TblApplications[Cluster IKS source],$F493,TblApplications[Mois lib (calc)],"&lt;="&amp;$E493)))</f>
        <v/>
      </c>
      <c r="Q493" s="14" t="str">
        <f aca="false">IF($D493&lt;&gt;1,"",IF($G493="ROKS",SUMIFS(TblApplications[Besoin ROKS RAM (Go)],TblApplications[Cluster ROKS cible],$F493,TblApplications[Action],"À migrer",TblApplications[Déjà incluse ROKS],"Non",TblApplications[Mois prov (calc)],"&lt;="&amp;$E493),SUMIFS(TblApplications[RAM IKS libérable (Go)],TblApplications[Cluster IKS source],$F493,TblApplications[Mois lib (calc)],"&lt;="&amp;$E493)))</f>
        <v/>
      </c>
      <c r="R493" s="14" t="str">
        <f aca="false">IF($D493&lt;&gt;1,"",IF($G493="ROKS",$L493+$P493,IF($AI493=1,0,MAX($N493,$L493-$P493))))</f>
        <v/>
      </c>
      <c r="S493" s="14" t="str">
        <f aca="false">IF($D493&lt;&gt;1,"",IF($G493="ROKS",$M493+$Q493,IF($AI493=1,0,MAX($O493,$M493-$Q493))))</f>
        <v/>
      </c>
      <c r="T493" s="14" t="str">
        <f aca="false">IF($D493&lt;&gt;1,"",IF($AI493=1,0,MAX($J493,ROUNDUP(MAX($R493/$H493,$S493/$I493),0))))</f>
        <v/>
      </c>
      <c r="U493" s="14" t="str">
        <f aca="false">IF($D493&lt;&gt;1,"",IF(p_mode="Nœud",$T493*$H493,$R493))</f>
        <v/>
      </c>
      <c r="V493" s="14" t="str">
        <f aca="false">IF($D493&lt;&gt;1,"",IF(p_mode="Nœud",$T493*$I493,$S493))</f>
        <v/>
      </c>
      <c r="W493" s="84" t="str">
        <f aca="false">IF($D493&lt;&gt;1,"",IF(p_mode="Nœud",$T493*$K493,$R493*IF($G493="IKS",p_iks_cpu,p_roks_cpu)+$S493*IF($G493="IKS",p_iks_ram,p_roks_ram))*p_facteur)</f>
        <v/>
      </c>
      <c r="X493" s="14" t="str">
        <f aca="false">IF($D493&lt;&gt;1,"",IF($G493="ROKS",$R493,IF($AI493=1,0,MAX($N493,$L493-SUMIFS(TblApplications[CPU IKS libérable (vCPU)],TblApplications[Cluster IKS source],$F493,TblApplications[Action],"À migrer",TblApplications[Mois prov (calc)],"&lt;="&amp;$E493)-SUMIFS(TblApplications[CPU IKS libérable (vCPU)],TblApplications[Cluster IKS source],$F493,TblApplications[Action],"À décommissionner",TblApplications[Mois lib (calc)],"&lt;="&amp;$E493)))))</f>
        <v/>
      </c>
      <c r="Y493" s="14" t="str">
        <f aca="false">IF($D493&lt;&gt;1,"",IF($G493="ROKS",$S493,IF($AI493=1,0,MAX($O493,$M493-SUMIFS(TblApplications[RAM IKS libérable (Go)],TblApplications[Cluster IKS source],$F493,TblApplications[Action],"À migrer",TblApplications[Mois prov (calc)],"&lt;="&amp;$E493)-SUMIFS(TblApplications[RAM IKS libérable (Go)],TblApplications[Cluster IKS source],$F493,TblApplications[Action],"À décommissionner",TblApplications[Mois lib (calc)],"&lt;="&amp;$E493)))))</f>
        <v/>
      </c>
      <c r="Z493" s="14" t="str">
        <f aca="false">IF($D493&lt;&gt;1,"",IF($AI493=1,0,MAX($J493,ROUNDUP(MAX($X493/$H493,$Y493/$I493),0))))</f>
        <v/>
      </c>
      <c r="AA493" s="84" t="str">
        <f aca="false">IF($D493&lt;&gt;1,"",IF(p_mode="Nœud",$Z493*$K493,$X493*IF($G493="IKS",p_iks_cpu,p_roks_cpu)+$Y493*IF($G493="IKS",p_iks_ram,p_roks_ram))*p_facteur)</f>
        <v/>
      </c>
      <c r="AB493" s="14" t="str">
        <f aca="false">IF($D493&lt;&gt;1,"",MAX($J493,ROUNDUP(MAX($L493/$H493,$M493/$I493),0)))</f>
        <v/>
      </c>
      <c r="AC493" s="84" t="str">
        <f aca="false">IF($D493&lt;&gt;1,"",IF(p_mode="Nœud",$AB493*$K493,$L493*IF($G493="IKS",p_iks_cpu,p_roks_cpu)+$M493*IF($G493="IKS",p_iks_ram,p_roks_ram))*p_facteur)</f>
        <v/>
      </c>
      <c r="AD493" s="14" t="str">
        <f aca="false">IF($D493&lt;&gt;1,"",IF(AND($G493="IKS",$AI493&lt;&gt;1,OR($L493-$P493&lt;$N493,$M493-$Q493&lt;$O493)),1,0))</f>
        <v/>
      </c>
      <c r="AE493" s="14" t="str">
        <f aca="false">IF($D493&lt;&gt;1,"",IF(AND($G493="ROKS",$T493&gt;p_maxworkers),1,0))</f>
        <v/>
      </c>
      <c r="AF493" s="14" t="str">
        <f aca="false">IF($D493&lt;&gt;1,"",IF(INDEX(TblClusters[Environnement],$B493)="","(vide)",INDEX(TblClusters[Environnement],$B493)))</f>
        <v/>
      </c>
      <c r="AG493" s="14" t="str">
        <f aca="false">IF($D493&lt;&gt;1,"",$R493+p_poidsram*$S493)</f>
        <v/>
      </c>
      <c r="AH493" s="14" t="str">
        <f aca="false">IF($D493&lt;&gt;1,"",IFERROR($W493/$AG493,0))</f>
        <v/>
      </c>
      <c r="AI493" s="14" t="str">
        <f aca="false">IF($D493&lt;&gt;1,"",IF(AND($G493="IKS",ISNUMBER(INDEX(TblClusters[Fermeture retenue],$B493))),IF($E493&gt;=INDEX(TblClusters[Fermeture retenue],$B493),1,0),0))</f>
        <v/>
      </c>
    </row>
    <row r="494" customFormat="false" ht="15" hidden="false" customHeight="false" outlineLevel="0" collapsed="false">
      <c r="A494" s="14" t="n">
        <v>489</v>
      </c>
      <c r="B494" s="14" t="n">
        <f aca="false">INT(($A494-1)/36)+1</f>
        <v>14</v>
      </c>
      <c r="C494" s="14" t="n">
        <f aca="false">MOD($A494-1,36)+1</f>
        <v>21</v>
      </c>
      <c r="D494" s="14" t="n">
        <f aca="false">IF($C494&gt;p_horizon,0,IFERROR(IF(AND(INDEX(TblClusters[Cluster],$B494)&lt;&gt;"",ISNUMBER(INDEX(TblClusters[CPU initial (vCPU)],$B494)),ISNUMBER(INDEX(TblClusters[CPU min (vCPU)],$B494)),OR(INDEX(TblClusters[Plateforme],$B494)="IKS",INDEX(TblClusters[Plateforme],$B494)="ROKS")),1,0),0))</f>
        <v>0</v>
      </c>
      <c r="E494" s="83" t="str">
        <f aca="false">IF($D494=1,EDATE(p_debut,$C494-1),"")</f>
        <v/>
      </c>
      <c r="F494" s="14" t="str">
        <f aca="false">IF($D494=1,INDEX(TblClusters[Cluster],$B494),"")</f>
        <v/>
      </c>
      <c r="G494" s="14" t="str">
        <f aca="false">IF($D494=1,INDEX(TblClusters[Plateforme],$B494),"")</f>
        <v/>
      </c>
      <c r="H494" s="14" t="str">
        <f aca="false">IF($D494=1,INDEX(TblClusters[vCPU par nœud],$B494),"")</f>
        <v/>
      </c>
      <c r="I494" s="14" t="str">
        <f aca="false">IF($D494=1,INDEX(TblClusters[RAM par nœud (Go)],$B494),"")</f>
        <v/>
      </c>
      <c r="J494" s="14" t="str">
        <f aca="false">IF($D494=1,INDEX(TblClusters[Workers min],$B494),"")</f>
        <v/>
      </c>
      <c r="K494" s="84" t="str">
        <f aca="false">IF($D494=1,INDEX(TblClusters[Tarif par nœud],$B494),"")</f>
        <v/>
      </c>
      <c r="L494" s="14" t="str">
        <f aca="false">IF($D494=1,INDEX(TblClusters[CPU initial (vCPU)],$B494),"")</f>
        <v/>
      </c>
      <c r="M494" s="14" t="str">
        <f aca="false">IF($D494=1,INDEX(TblClusters[RAM initiale (Go)],$B494),"")</f>
        <v/>
      </c>
      <c r="N494" s="14" t="str">
        <f aca="false">IF($D494=1,INDEX(TblClusters[CPU min (vCPU)],$B494),"")</f>
        <v/>
      </c>
      <c r="O494" s="14" t="str">
        <f aca="false">IF($D494=1,INDEX(TblClusters[RAM min (Go)],$B494),"")</f>
        <v/>
      </c>
      <c r="P494" s="14" t="str">
        <f aca="false">IF($D494&lt;&gt;1,"",IF($G494="ROKS",SUMIFS(TblApplications[Besoin ROKS CPU (vCPU)],TblApplications[Cluster ROKS cible],$F494,TblApplications[Action],"À migrer",TblApplications[Déjà incluse ROKS],"Non",TblApplications[Mois prov (calc)],"&lt;="&amp;$E494),SUMIFS(TblApplications[CPU IKS libérable (vCPU)],TblApplications[Cluster IKS source],$F494,TblApplications[Mois lib (calc)],"&lt;="&amp;$E494)))</f>
        <v/>
      </c>
      <c r="Q494" s="14" t="str">
        <f aca="false">IF($D494&lt;&gt;1,"",IF($G494="ROKS",SUMIFS(TblApplications[Besoin ROKS RAM (Go)],TblApplications[Cluster ROKS cible],$F494,TblApplications[Action],"À migrer",TblApplications[Déjà incluse ROKS],"Non",TblApplications[Mois prov (calc)],"&lt;="&amp;$E494),SUMIFS(TblApplications[RAM IKS libérable (Go)],TblApplications[Cluster IKS source],$F494,TblApplications[Mois lib (calc)],"&lt;="&amp;$E494)))</f>
        <v/>
      </c>
      <c r="R494" s="14" t="str">
        <f aca="false">IF($D494&lt;&gt;1,"",IF($G494="ROKS",$L494+$P494,IF($AI494=1,0,MAX($N494,$L494-$P494))))</f>
        <v/>
      </c>
      <c r="S494" s="14" t="str">
        <f aca="false">IF($D494&lt;&gt;1,"",IF($G494="ROKS",$M494+$Q494,IF($AI494=1,0,MAX($O494,$M494-$Q494))))</f>
        <v/>
      </c>
      <c r="T494" s="14" t="str">
        <f aca="false">IF($D494&lt;&gt;1,"",IF($AI494=1,0,MAX($J494,ROUNDUP(MAX($R494/$H494,$S494/$I494),0))))</f>
        <v/>
      </c>
      <c r="U494" s="14" t="str">
        <f aca="false">IF($D494&lt;&gt;1,"",IF(p_mode="Nœud",$T494*$H494,$R494))</f>
        <v/>
      </c>
      <c r="V494" s="14" t="str">
        <f aca="false">IF($D494&lt;&gt;1,"",IF(p_mode="Nœud",$T494*$I494,$S494))</f>
        <v/>
      </c>
      <c r="W494" s="84" t="str">
        <f aca="false">IF($D494&lt;&gt;1,"",IF(p_mode="Nœud",$T494*$K494,$R494*IF($G494="IKS",p_iks_cpu,p_roks_cpu)+$S494*IF($G494="IKS",p_iks_ram,p_roks_ram))*p_facteur)</f>
        <v/>
      </c>
      <c r="X494" s="14" t="str">
        <f aca="false">IF($D494&lt;&gt;1,"",IF($G494="ROKS",$R494,IF($AI494=1,0,MAX($N494,$L494-SUMIFS(TblApplications[CPU IKS libérable (vCPU)],TblApplications[Cluster IKS source],$F494,TblApplications[Action],"À migrer",TblApplications[Mois prov (calc)],"&lt;="&amp;$E494)-SUMIFS(TblApplications[CPU IKS libérable (vCPU)],TblApplications[Cluster IKS source],$F494,TblApplications[Action],"À décommissionner",TblApplications[Mois lib (calc)],"&lt;="&amp;$E494)))))</f>
        <v/>
      </c>
      <c r="Y494" s="14" t="str">
        <f aca="false">IF($D494&lt;&gt;1,"",IF($G494="ROKS",$S494,IF($AI494=1,0,MAX($O494,$M494-SUMIFS(TblApplications[RAM IKS libérable (Go)],TblApplications[Cluster IKS source],$F494,TblApplications[Action],"À migrer",TblApplications[Mois prov (calc)],"&lt;="&amp;$E494)-SUMIFS(TblApplications[RAM IKS libérable (Go)],TblApplications[Cluster IKS source],$F494,TblApplications[Action],"À décommissionner",TblApplications[Mois lib (calc)],"&lt;="&amp;$E494)))))</f>
        <v/>
      </c>
      <c r="Z494" s="14" t="str">
        <f aca="false">IF($D494&lt;&gt;1,"",IF($AI494=1,0,MAX($J494,ROUNDUP(MAX($X494/$H494,$Y494/$I494),0))))</f>
        <v/>
      </c>
      <c r="AA494" s="84" t="str">
        <f aca="false">IF($D494&lt;&gt;1,"",IF(p_mode="Nœud",$Z494*$K494,$X494*IF($G494="IKS",p_iks_cpu,p_roks_cpu)+$Y494*IF($G494="IKS",p_iks_ram,p_roks_ram))*p_facteur)</f>
        <v/>
      </c>
      <c r="AB494" s="14" t="str">
        <f aca="false">IF($D494&lt;&gt;1,"",MAX($J494,ROUNDUP(MAX($L494/$H494,$M494/$I494),0)))</f>
        <v/>
      </c>
      <c r="AC494" s="84" t="str">
        <f aca="false">IF($D494&lt;&gt;1,"",IF(p_mode="Nœud",$AB494*$K494,$L494*IF($G494="IKS",p_iks_cpu,p_roks_cpu)+$M494*IF($G494="IKS",p_iks_ram,p_roks_ram))*p_facteur)</f>
        <v/>
      </c>
      <c r="AD494" s="14" t="str">
        <f aca="false">IF($D494&lt;&gt;1,"",IF(AND($G494="IKS",$AI494&lt;&gt;1,OR($L494-$P494&lt;$N494,$M494-$Q494&lt;$O494)),1,0))</f>
        <v/>
      </c>
      <c r="AE494" s="14" t="str">
        <f aca="false">IF($D494&lt;&gt;1,"",IF(AND($G494="ROKS",$T494&gt;p_maxworkers),1,0))</f>
        <v/>
      </c>
      <c r="AF494" s="14" t="str">
        <f aca="false">IF($D494&lt;&gt;1,"",IF(INDEX(TblClusters[Environnement],$B494)="","(vide)",INDEX(TblClusters[Environnement],$B494)))</f>
        <v/>
      </c>
      <c r="AG494" s="14" t="str">
        <f aca="false">IF($D494&lt;&gt;1,"",$R494+p_poidsram*$S494)</f>
        <v/>
      </c>
      <c r="AH494" s="14" t="str">
        <f aca="false">IF($D494&lt;&gt;1,"",IFERROR($W494/$AG494,0))</f>
        <v/>
      </c>
      <c r="AI494" s="14" t="str">
        <f aca="false">IF($D494&lt;&gt;1,"",IF(AND($G494="IKS",ISNUMBER(INDEX(TblClusters[Fermeture retenue],$B494))),IF($E494&gt;=INDEX(TblClusters[Fermeture retenue],$B494),1,0),0))</f>
        <v/>
      </c>
    </row>
    <row r="495" customFormat="false" ht="15" hidden="false" customHeight="false" outlineLevel="0" collapsed="false">
      <c r="A495" s="14" t="n">
        <v>490</v>
      </c>
      <c r="B495" s="14" t="n">
        <f aca="false">INT(($A495-1)/36)+1</f>
        <v>14</v>
      </c>
      <c r="C495" s="14" t="n">
        <f aca="false">MOD($A495-1,36)+1</f>
        <v>22</v>
      </c>
      <c r="D495" s="14" t="n">
        <f aca="false">IF($C495&gt;p_horizon,0,IFERROR(IF(AND(INDEX(TblClusters[Cluster],$B495)&lt;&gt;"",ISNUMBER(INDEX(TblClusters[CPU initial (vCPU)],$B495)),ISNUMBER(INDEX(TblClusters[CPU min (vCPU)],$B495)),OR(INDEX(TblClusters[Plateforme],$B495)="IKS",INDEX(TblClusters[Plateforme],$B495)="ROKS")),1,0),0))</f>
        <v>0</v>
      </c>
      <c r="E495" s="83" t="str">
        <f aca="false">IF($D495=1,EDATE(p_debut,$C495-1),"")</f>
        <v/>
      </c>
      <c r="F495" s="14" t="str">
        <f aca="false">IF($D495=1,INDEX(TblClusters[Cluster],$B495),"")</f>
        <v/>
      </c>
      <c r="G495" s="14" t="str">
        <f aca="false">IF($D495=1,INDEX(TblClusters[Plateforme],$B495),"")</f>
        <v/>
      </c>
      <c r="H495" s="14" t="str">
        <f aca="false">IF($D495=1,INDEX(TblClusters[vCPU par nœud],$B495),"")</f>
        <v/>
      </c>
      <c r="I495" s="14" t="str">
        <f aca="false">IF($D495=1,INDEX(TblClusters[RAM par nœud (Go)],$B495),"")</f>
        <v/>
      </c>
      <c r="J495" s="14" t="str">
        <f aca="false">IF($D495=1,INDEX(TblClusters[Workers min],$B495),"")</f>
        <v/>
      </c>
      <c r="K495" s="84" t="str">
        <f aca="false">IF($D495=1,INDEX(TblClusters[Tarif par nœud],$B495),"")</f>
        <v/>
      </c>
      <c r="L495" s="14" t="str">
        <f aca="false">IF($D495=1,INDEX(TblClusters[CPU initial (vCPU)],$B495),"")</f>
        <v/>
      </c>
      <c r="M495" s="14" t="str">
        <f aca="false">IF($D495=1,INDEX(TblClusters[RAM initiale (Go)],$B495),"")</f>
        <v/>
      </c>
      <c r="N495" s="14" t="str">
        <f aca="false">IF($D495=1,INDEX(TblClusters[CPU min (vCPU)],$B495),"")</f>
        <v/>
      </c>
      <c r="O495" s="14" t="str">
        <f aca="false">IF($D495=1,INDEX(TblClusters[RAM min (Go)],$B495),"")</f>
        <v/>
      </c>
      <c r="P495" s="14" t="str">
        <f aca="false">IF($D495&lt;&gt;1,"",IF($G495="ROKS",SUMIFS(TblApplications[Besoin ROKS CPU (vCPU)],TblApplications[Cluster ROKS cible],$F495,TblApplications[Action],"À migrer",TblApplications[Déjà incluse ROKS],"Non",TblApplications[Mois prov (calc)],"&lt;="&amp;$E495),SUMIFS(TblApplications[CPU IKS libérable (vCPU)],TblApplications[Cluster IKS source],$F495,TblApplications[Mois lib (calc)],"&lt;="&amp;$E495)))</f>
        <v/>
      </c>
      <c r="Q495" s="14" t="str">
        <f aca="false">IF($D495&lt;&gt;1,"",IF($G495="ROKS",SUMIFS(TblApplications[Besoin ROKS RAM (Go)],TblApplications[Cluster ROKS cible],$F495,TblApplications[Action],"À migrer",TblApplications[Déjà incluse ROKS],"Non",TblApplications[Mois prov (calc)],"&lt;="&amp;$E495),SUMIFS(TblApplications[RAM IKS libérable (Go)],TblApplications[Cluster IKS source],$F495,TblApplications[Mois lib (calc)],"&lt;="&amp;$E495)))</f>
        <v/>
      </c>
      <c r="R495" s="14" t="str">
        <f aca="false">IF($D495&lt;&gt;1,"",IF($G495="ROKS",$L495+$P495,IF($AI495=1,0,MAX($N495,$L495-$P495))))</f>
        <v/>
      </c>
      <c r="S495" s="14" t="str">
        <f aca="false">IF($D495&lt;&gt;1,"",IF($G495="ROKS",$M495+$Q495,IF($AI495=1,0,MAX($O495,$M495-$Q495))))</f>
        <v/>
      </c>
      <c r="T495" s="14" t="str">
        <f aca="false">IF($D495&lt;&gt;1,"",IF($AI495=1,0,MAX($J495,ROUNDUP(MAX($R495/$H495,$S495/$I495),0))))</f>
        <v/>
      </c>
      <c r="U495" s="14" t="str">
        <f aca="false">IF($D495&lt;&gt;1,"",IF(p_mode="Nœud",$T495*$H495,$R495))</f>
        <v/>
      </c>
      <c r="V495" s="14" t="str">
        <f aca="false">IF($D495&lt;&gt;1,"",IF(p_mode="Nœud",$T495*$I495,$S495))</f>
        <v/>
      </c>
      <c r="W495" s="84" t="str">
        <f aca="false">IF($D495&lt;&gt;1,"",IF(p_mode="Nœud",$T495*$K495,$R495*IF($G495="IKS",p_iks_cpu,p_roks_cpu)+$S495*IF($G495="IKS",p_iks_ram,p_roks_ram))*p_facteur)</f>
        <v/>
      </c>
      <c r="X495" s="14" t="str">
        <f aca="false">IF($D495&lt;&gt;1,"",IF($G495="ROKS",$R495,IF($AI495=1,0,MAX($N495,$L495-SUMIFS(TblApplications[CPU IKS libérable (vCPU)],TblApplications[Cluster IKS source],$F495,TblApplications[Action],"À migrer",TblApplications[Mois prov (calc)],"&lt;="&amp;$E495)-SUMIFS(TblApplications[CPU IKS libérable (vCPU)],TblApplications[Cluster IKS source],$F495,TblApplications[Action],"À décommissionner",TblApplications[Mois lib (calc)],"&lt;="&amp;$E495)))))</f>
        <v/>
      </c>
      <c r="Y495" s="14" t="str">
        <f aca="false">IF($D495&lt;&gt;1,"",IF($G495="ROKS",$S495,IF($AI495=1,0,MAX($O495,$M495-SUMIFS(TblApplications[RAM IKS libérable (Go)],TblApplications[Cluster IKS source],$F495,TblApplications[Action],"À migrer",TblApplications[Mois prov (calc)],"&lt;="&amp;$E495)-SUMIFS(TblApplications[RAM IKS libérable (Go)],TblApplications[Cluster IKS source],$F495,TblApplications[Action],"À décommissionner",TblApplications[Mois lib (calc)],"&lt;="&amp;$E495)))))</f>
        <v/>
      </c>
      <c r="Z495" s="14" t="str">
        <f aca="false">IF($D495&lt;&gt;1,"",IF($AI495=1,0,MAX($J495,ROUNDUP(MAX($X495/$H495,$Y495/$I495),0))))</f>
        <v/>
      </c>
      <c r="AA495" s="84" t="str">
        <f aca="false">IF($D495&lt;&gt;1,"",IF(p_mode="Nœud",$Z495*$K495,$X495*IF($G495="IKS",p_iks_cpu,p_roks_cpu)+$Y495*IF($G495="IKS",p_iks_ram,p_roks_ram))*p_facteur)</f>
        <v/>
      </c>
      <c r="AB495" s="14" t="str">
        <f aca="false">IF($D495&lt;&gt;1,"",MAX($J495,ROUNDUP(MAX($L495/$H495,$M495/$I495),0)))</f>
        <v/>
      </c>
      <c r="AC495" s="84" t="str">
        <f aca="false">IF($D495&lt;&gt;1,"",IF(p_mode="Nœud",$AB495*$K495,$L495*IF($G495="IKS",p_iks_cpu,p_roks_cpu)+$M495*IF($G495="IKS",p_iks_ram,p_roks_ram))*p_facteur)</f>
        <v/>
      </c>
      <c r="AD495" s="14" t="str">
        <f aca="false">IF($D495&lt;&gt;1,"",IF(AND($G495="IKS",$AI495&lt;&gt;1,OR($L495-$P495&lt;$N495,$M495-$Q495&lt;$O495)),1,0))</f>
        <v/>
      </c>
      <c r="AE495" s="14" t="str">
        <f aca="false">IF($D495&lt;&gt;1,"",IF(AND($G495="ROKS",$T495&gt;p_maxworkers),1,0))</f>
        <v/>
      </c>
      <c r="AF495" s="14" t="str">
        <f aca="false">IF($D495&lt;&gt;1,"",IF(INDEX(TblClusters[Environnement],$B495)="","(vide)",INDEX(TblClusters[Environnement],$B495)))</f>
        <v/>
      </c>
      <c r="AG495" s="14" t="str">
        <f aca="false">IF($D495&lt;&gt;1,"",$R495+p_poidsram*$S495)</f>
        <v/>
      </c>
      <c r="AH495" s="14" t="str">
        <f aca="false">IF($D495&lt;&gt;1,"",IFERROR($W495/$AG495,0))</f>
        <v/>
      </c>
      <c r="AI495" s="14" t="str">
        <f aca="false">IF($D495&lt;&gt;1,"",IF(AND($G495="IKS",ISNUMBER(INDEX(TblClusters[Fermeture retenue],$B495))),IF($E495&gt;=INDEX(TblClusters[Fermeture retenue],$B495),1,0),0))</f>
        <v/>
      </c>
    </row>
    <row r="496" customFormat="false" ht="15" hidden="false" customHeight="false" outlineLevel="0" collapsed="false">
      <c r="A496" s="14" t="n">
        <v>491</v>
      </c>
      <c r="B496" s="14" t="n">
        <f aca="false">INT(($A496-1)/36)+1</f>
        <v>14</v>
      </c>
      <c r="C496" s="14" t="n">
        <f aca="false">MOD($A496-1,36)+1</f>
        <v>23</v>
      </c>
      <c r="D496" s="14" t="n">
        <f aca="false">IF($C496&gt;p_horizon,0,IFERROR(IF(AND(INDEX(TblClusters[Cluster],$B496)&lt;&gt;"",ISNUMBER(INDEX(TblClusters[CPU initial (vCPU)],$B496)),ISNUMBER(INDEX(TblClusters[CPU min (vCPU)],$B496)),OR(INDEX(TblClusters[Plateforme],$B496)="IKS",INDEX(TblClusters[Plateforme],$B496)="ROKS")),1,0),0))</f>
        <v>0</v>
      </c>
      <c r="E496" s="83" t="str">
        <f aca="false">IF($D496=1,EDATE(p_debut,$C496-1),"")</f>
        <v/>
      </c>
      <c r="F496" s="14" t="str">
        <f aca="false">IF($D496=1,INDEX(TblClusters[Cluster],$B496),"")</f>
        <v/>
      </c>
      <c r="G496" s="14" t="str">
        <f aca="false">IF($D496=1,INDEX(TblClusters[Plateforme],$B496),"")</f>
        <v/>
      </c>
      <c r="H496" s="14" t="str">
        <f aca="false">IF($D496=1,INDEX(TblClusters[vCPU par nœud],$B496),"")</f>
        <v/>
      </c>
      <c r="I496" s="14" t="str">
        <f aca="false">IF($D496=1,INDEX(TblClusters[RAM par nœud (Go)],$B496),"")</f>
        <v/>
      </c>
      <c r="J496" s="14" t="str">
        <f aca="false">IF($D496=1,INDEX(TblClusters[Workers min],$B496),"")</f>
        <v/>
      </c>
      <c r="K496" s="84" t="str">
        <f aca="false">IF($D496=1,INDEX(TblClusters[Tarif par nœud],$B496),"")</f>
        <v/>
      </c>
      <c r="L496" s="14" t="str">
        <f aca="false">IF($D496=1,INDEX(TblClusters[CPU initial (vCPU)],$B496),"")</f>
        <v/>
      </c>
      <c r="M496" s="14" t="str">
        <f aca="false">IF($D496=1,INDEX(TblClusters[RAM initiale (Go)],$B496),"")</f>
        <v/>
      </c>
      <c r="N496" s="14" t="str">
        <f aca="false">IF($D496=1,INDEX(TblClusters[CPU min (vCPU)],$B496),"")</f>
        <v/>
      </c>
      <c r="O496" s="14" t="str">
        <f aca="false">IF($D496=1,INDEX(TblClusters[RAM min (Go)],$B496),"")</f>
        <v/>
      </c>
      <c r="P496" s="14" t="str">
        <f aca="false">IF($D496&lt;&gt;1,"",IF($G496="ROKS",SUMIFS(TblApplications[Besoin ROKS CPU (vCPU)],TblApplications[Cluster ROKS cible],$F496,TblApplications[Action],"À migrer",TblApplications[Déjà incluse ROKS],"Non",TblApplications[Mois prov (calc)],"&lt;="&amp;$E496),SUMIFS(TblApplications[CPU IKS libérable (vCPU)],TblApplications[Cluster IKS source],$F496,TblApplications[Mois lib (calc)],"&lt;="&amp;$E496)))</f>
        <v/>
      </c>
      <c r="Q496" s="14" t="str">
        <f aca="false">IF($D496&lt;&gt;1,"",IF($G496="ROKS",SUMIFS(TblApplications[Besoin ROKS RAM (Go)],TblApplications[Cluster ROKS cible],$F496,TblApplications[Action],"À migrer",TblApplications[Déjà incluse ROKS],"Non",TblApplications[Mois prov (calc)],"&lt;="&amp;$E496),SUMIFS(TblApplications[RAM IKS libérable (Go)],TblApplications[Cluster IKS source],$F496,TblApplications[Mois lib (calc)],"&lt;="&amp;$E496)))</f>
        <v/>
      </c>
      <c r="R496" s="14" t="str">
        <f aca="false">IF($D496&lt;&gt;1,"",IF($G496="ROKS",$L496+$P496,IF($AI496=1,0,MAX($N496,$L496-$P496))))</f>
        <v/>
      </c>
      <c r="S496" s="14" t="str">
        <f aca="false">IF($D496&lt;&gt;1,"",IF($G496="ROKS",$M496+$Q496,IF($AI496=1,0,MAX($O496,$M496-$Q496))))</f>
        <v/>
      </c>
      <c r="T496" s="14" t="str">
        <f aca="false">IF($D496&lt;&gt;1,"",IF($AI496=1,0,MAX($J496,ROUNDUP(MAX($R496/$H496,$S496/$I496),0))))</f>
        <v/>
      </c>
      <c r="U496" s="14" t="str">
        <f aca="false">IF($D496&lt;&gt;1,"",IF(p_mode="Nœud",$T496*$H496,$R496))</f>
        <v/>
      </c>
      <c r="V496" s="14" t="str">
        <f aca="false">IF($D496&lt;&gt;1,"",IF(p_mode="Nœud",$T496*$I496,$S496))</f>
        <v/>
      </c>
      <c r="W496" s="84" t="str">
        <f aca="false">IF($D496&lt;&gt;1,"",IF(p_mode="Nœud",$T496*$K496,$R496*IF($G496="IKS",p_iks_cpu,p_roks_cpu)+$S496*IF($G496="IKS",p_iks_ram,p_roks_ram))*p_facteur)</f>
        <v/>
      </c>
      <c r="X496" s="14" t="str">
        <f aca="false">IF($D496&lt;&gt;1,"",IF($G496="ROKS",$R496,IF($AI496=1,0,MAX($N496,$L496-SUMIFS(TblApplications[CPU IKS libérable (vCPU)],TblApplications[Cluster IKS source],$F496,TblApplications[Action],"À migrer",TblApplications[Mois prov (calc)],"&lt;="&amp;$E496)-SUMIFS(TblApplications[CPU IKS libérable (vCPU)],TblApplications[Cluster IKS source],$F496,TblApplications[Action],"À décommissionner",TblApplications[Mois lib (calc)],"&lt;="&amp;$E496)))))</f>
        <v/>
      </c>
      <c r="Y496" s="14" t="str">
        <f aca="false">IF($D496&lt;&gt;1,"",IF($G496="ROKS",$S496,IF($AI496=1,0,MAX($O496,$M496-SUMIFS(TblApplications[RAM IKS libérable (Go)],TblApplications[Cluster IKS source],$F496,TblApplications[Action],"À migrer",TblApplications[Mois prov (calc)],"&lt;="&amp;$E496)-SUMIFS(TblApplications[RAM IKS libérable (Go)],TblApplications[Cluster IKS source],$F496,TblApplications[Action],"À décommissionner",TblApplications[Mois lib (calc)],"&lt;="&amp;$E496)))))</f>
        <v/>
      </c>
      <c r="Z496" s="14" t="str">
        <f aca="false">IF($D496&lt;&gt;1,"",IF($AI496=1,0,MAX($J496,ROUNDUP(MAX($X496/$H496,$Y496/$I496),0))))</f>
        <v/>
      </c>
      <c r="AA496" s="84" t="str">
        <f aca="false">IF($D496&lt;&gt;1,"",IF(p_mode="Nœud",$Z496*$K496,$X496*IF($G496="IKS",p_iks_cpu,p_roks_cpu)+$Y496*IF($G496="IKS",p_iks_ram,p_roks_ram))*p_facteur)</f>
        <v/>
      </c>
      <c r="AB496" s="14" t="str">
        <f aca="false">IF($D496&lt;&gt;1,"",MAX($J496,ROUNDUP(MAX($L496/$H496,$M496/$I496),0)))</f>
        <v/>
      </c>
      <c r="AC496" s="84" t="str">
        <f aca="false">IF($D496&lt;&gt;1,"",IF(p_mode="Nœud",$AB496*$K496,$L496*IF($G496="IKS",p_iks_cpu,p_roks_cpu)+$M496*IF($G496="IKS",p_iks_ram,p_roks_ram))*p_facteur)</f>
        <v/>
      </c>
      <c r="AD496" s="14" t="str">
        <f aca="false">IF($D496&lt;&gt;1,"",IF(AND($G496="IKS",$AI496&lt;&gt;1,OR($L496-$P496&lt;$N496,$M496-$Q496&lt;$O496)),1,0))</f>
        <v/>
      </c>
      <c r="AE496" s="14" t="str">
        <f aca="false">IF($D496&lt;&gt;1,"",IF(AND($G496="ROKS",$T496&gt;p_maxworkers),1,0))</f>
        <v/>
      </c>
      <c r="AF496" s="14" t="str">
        <f aca="false">IF($D496&lt;&gt;1,"",IF(INDEX(TblClusters[Environnement],$B496)="","(vide)",INDEX(TblClusters[Environnement],$B496)))</f>
        <v/>
      </c>
      <c r="AG496" s="14" t="str">
        <f aca="false">IF($D496&lt;&gt;1,"",$R496+p_poidsram*$S496)</f>
        <v/>
      </c>
      <c r="AH496" s="14" t="str">
        <f aca="false">IF($D496&lt;&gt;1,"",IFERROR($W496/$AG496,0))</f>
        <v/>
      </c>
      <c r="AI496" s="14" t="str">
        <f aca="false">IF($D496&lt;&gt;1,"",IF(AND($G496="IKS",ISNUMBER(INDEX(TblClusters[Fermeture retenue],$B496))),IF($E496&gt;=INDEX(TblClusters[Fermeture retenue],$B496),1,0),0))</f>
        <v/>
      </c>
    </row>
    <row r="497" customFormat="false" ht="15" hidden="false" customHeight="false" outlineLevel="0" collapsed="false">
      <c r="A497" s="14" t="n">
        <v>492</v>
      </c>
      <c r="B497" s="14" t="n">
        <f aca="false">INT(($A497-1)/36)+1</f>
        <v>14</v>
      </c>
      <c r="C497" s="14" t="n">
        <f aca="false">MOD($A497-1,36)+1</f>
        <v>24</v>
      </c>
      <c r="D497" s="14" t="n">
        <f aca="false">IF($C497&gt;p_horizon,0,IFERROR(IF(AND(INDEX(TblClusters[Cluster],$B497)&lt;&gt;"",ISNUMBER(INDEX(TblClusters[CPU initial (vCPU)],$B497)),ISNUMBER(INDEX(TblClusters[CPU min (vCPU)],$B497)),OR(INDEX(TblClusters[Plateforme],$B497)="IKS",INDEX(TblClusters[Plateforme],$B497)="ROKS")),1,0),0))</f>
        <v>0</v>
      </c>
      <c r="E497" s="83" t="str">
        <f aca="false">IF($D497=1,EDATE(p_debut,$C497-1),"")</f>
        <v/>
      </c>
      <c r="F497" s="14" t="str">
        <f aca="false">IF($D497=1,INDEX(TblClusters[Cluster],$B497),"")</f>
        <v/>
      </c>
      <c r="G497" s="14" t="str">
        <f aca="false">IF($D497=1,INDEX(TblClusters[Plateforme],$B497),"")</f>
        <v/>
      </c>
      <c r="H497" s="14" t="str">
        <f aca="false">IF($D497=1,INDEX(TblClusters[vCPU par nœud],$B497),"")</f>
        <v/>
      </c>
      <c r="I497" s="14" t="str">
        <f aca="false">IF($D497=1,INDEX(TblClusters[RAM par nœud (Go)],$B497),"")</f>
        <v/>
      </c>
      <c r="J497" s="14" t="str">
        <f aca="false">IF($D497=1,INDEX(TblClusters[Workers min],$B497),"")</f>
        <v/>
      </c>
      <c r="K497" s="84" t="str">
        <f aca="false">IF($D497=1,INDEX(TblClusters[Tarif par nœud],$B497),"")</f>
        <v/>
      </c>
      <c r="L497" s="14" t="str">
        <f aca="false">IF($D497=1,INDEX(TblClusters[CPU initial (vCPU)],$B497),"")</f>
        <v/>
      </c>
      <c r="M497" s="14" t="str">
        <f aca="false">IF($D497=1,INDEX(TblClusters[RAM initiale (Go)],$B497),"")</f>
        <v/>
      </c>
      <c r="N497" s="14" t="str">
        <f aca="false">IF($D497=1,INDEX(TblClusters[CPU min (vCPU)],$B497),"")</f>
        <v/>
      </c>
      <c r="O497" s="14" t="str">
        <f aca="false">IF($D497=1,INDEX(TblClusters[RAM min (Go)],$B497),"")</f>
        <v/>
      </c>
      <c r="P497" s="14" t="str">
        <f aca="false">IF($D497&lt;&gt;1,"",IF($G497="ROKS",SUMIFS(TblApplications[Besoin ROKS CPU (vCPU)],TblApplications[Cluster ROKS cible],$F497,TblApplications[Action],"À migrer",TblApplications[Déjà incluse ROKS],"Non",TblApplications[Mois prov (calc)],"&lt;="&amp;$E497),SUMIFS(TblApplications[CPU IKS libérable (vCPU)],TblApplications[Cluster IKS source],$F497,TblApplications[Mois lib (calc)],"&lt;="&amp;$E497)))</f>
        <v/>
      </c>
      <c r="Q497" s="14" t="str">
        <f aca="false">IF($D497&lt;&gt;1,"",IF($G497="ROKS",SUMIFS(TblApplications[Besoin ROKS RAM (Go)],TblApplications[Cluster ROKS cible],$F497,TblApplications[Action],"À migrer",TblApplications[Déjà incluse ROKS],"Non",TblApplications[Mois prov (calc)],"&lt;="&amp;$E497),SUMIFS(TblApplications[RAM IKS libérable (Go)],TblApplications[Cluster IKS source],$F497,TblApplications[Mois lib (calc)],"&lt;="&amp;$E497)))</f>
        <v/>
      </c>
      <c r="R497" s="14" t="str">
        <f aca="false">IF($D497&lt;&gt;1,"",IF($G497="ROKS",$L497+$P497,IF($AI497=1,0,MAX($N497,$L497-$P497))))</f>
        <v/>
      </c>
      <c r="S497" s="14" t="str">
        <f aca="false">IF($D497&lt;&gt;1,"",IF($G497="ROKS",$M497+$Q497,IF($AI497=1,0,MAX($O497,$M497-$Q497))))</f>
        <v/>
      </c>
      <c r="T497" s="14" t="str">
        <f aca="false">IF($D497&lt;&gt;1,"",IF($AI497=1,0,MAX($J497,ROUNDUP(MAX($R497/$H497,$S497/$I497),0))))</f>
        <v/>
      </c>
      <c r="U497" s="14" t="str">
        <f aca="false">IF($D497&lt;&gt;1,"",IF(p_mode="Nœud",$T497*$H497,$R497))</f>
        <v/>
      </c>
      <c r="V497" s="14" t="str">
        <f aca="false">IF($D497&lt;&gt;1,"",IF(p_mode="Nœud",$T497*$I497,$S497))</f>
        <v/>
      </c>
      <c r="W497" s="84" t="str">
        <f aca="false">IF($D497&lt;&gt;1,"",IF(p_mode="Nœud",$T497*$K497,$R497*IF($G497="IKS",p_iks_cpu,p_roks_cpu)+$S497*IF($G497="IKS",p_iks_ram,p_roks_ram))*p_facteur)</f>
        <v/>
      </c>
      <c r="X497" s="14" t="str">
        <f aca="false">IF($D497&lt;&gt;1,"",IF($G497="ROKS",$R497,IF($AI497=1,0,MAX($N497,$L497-SUMIFS(TblApplications[CPU IKS libérable (vCPU)],TblApplications[Cluster IKS source],$F497,TblApplications[Action],"À migrer",TblApplications[Mois prov (calc)],"&lt;="&amp;$E497)-SUMIFS(TblApplications[CPU IKS libérable (vCPU)],TblApplications[Cluster IKS source],$F497,TblApplications[Action],"À décommissionner",TblApplications[Mois lib (calc)],"&lt;="&amp;$E497)))))</f>
        <v/>
      </c>
      <c r="Y497" s="14" t="str">
        <f aca="false">IF($D497&lt;&gt;1,"",IF($G497="ROKS",$S497,IF($AI497=1,0,MAX($O497,$M497-SUMIFS(TblApplications[RAM IKS libérable (Go)],TblApplications[Cluster IKS source],$F497,TblApplications[Action],"À migrer",TblApplications[Mois prov (calc)],"&lt;="&amp;$E497)-SUMIFS(TblApplications[RAM IKS libérable (Go)],TblApplications[Cluster IKS source],$F497,TblApplications[Action],"À décommissionner",TblApplications[Mois lib (calc)],"&lt;="&amp;$E497)))))</f>
        <v/>
      </c>
      <c r="Z497" s="14" t="str">
        <f aca="false">IF($D497&lt;&gt;1,"",IF($AI497=1,0,MAX($J497,ROUNDUP(MAX($X497/$H497,$Y497/$I497),0))))</f>
        <v/>
      </c>
      <c r="AA497" s="84" t="str">
        <f aca="false">IF($D497&lt;&gt;1,"",IF(p_mode="Nœud",$Z497*$K497,$X497*IF($G497="IKS",p_iks_cpu,p_roks_cpu)+$Y497*IF($G497="IKS",p_iks_ram,p_roks_ram))*p_facteur)</f>
        <v/>
      </c>
      <c r="AB497" s="14" t="str">
        <f aca="false">IF($D497&lt;&gt;1,"",MAX($J497,ROUNDUP(MAX($L497/$H497,$M497/$I497),0)))</f>
        <v/>
      </c>
      <c r="AC497" s="84" t="str">
        <f aca="false">IF($D497&lt;&gt;1,"",IF(p_mode="Nœud",$AB497*$K497,$L497*IF($G497="IKS",p_iks_cpu,p_roks_cpu)+$M497*IF($G497="IKS",p_iks_ram,p_roks_ram))*p_facteur)</f>
        <v/>
      </c>
      <c r="AD497" s="14" t="str">
        <f aca="false">IF($D497&lt;&gt;1,"",IF(AND($G497="IKS",$AI497&lt;&gt;1,OR($L497-$P497&lt;$N497,$M497-$Q497&lt;$O497)),1,0))</f>
        <v/>
      </c>
      <c r="AE497" s="14" t="str">
        <f aca="false">IF($D497&lt;&gt;1,"",IF(AND($G497="ROKS",$T497&gt;p_maxworkers),1,0))</f>
        <v/>
      </c>
      <c r="AF497" s="14" t="str">
        <f aca="false">IF($D497&lt;&gt;1,"",IF(INDEX(TblClusters[Environnement],$B497)="","(vide)",INDEX(TblClusters[Environnement],$B497)))</f>
        <v/>
      </c>
      <c r="AG497" s="14" t="str">
        <f aca="false">IF($D497&lt;&gt;1,"",$R497+p_poidsram*$S497)</f>
        <v/>
      </c>
      <c r="AH497" s="14" t="str">
        <f aca="false">IF($D497&lt;&gt;1,"",IFERROR($W497/$AG497,0))</f>
        <v/>
      </c>
      <c r="AI497" s="14" t="str">
        <f aca="false">IF($D497&lt;&gt;1,"",IF(AND($G497="IKS",ISNUMBER(INDEX(TblClusters[Fermeture retenue],$B497))),IF($E497&gt;=INDEX(TblClusters[Fermeture retenue],$B497),1,0),0))</f>
        <v/>
      </c>
    </row>
    <row r="498" customFormat="false" ht="15" hidden="false" customHeight="false" outlineLevel="0" collapsed="false">
      <c r="A498" s="14" t="n">
        <v>493</v>
      </c>
      <c r="B498" s="14" t="n">
        <f aca="false">INT(($A498-1)/36)+1</f>
        <v>14</v>
      </c>
      <c r="C498" s="14" t="n">
        <f aca="false">MOD($A498-1,36)+1</f>
        <v>25</v>
      </c>
      <c r="D498" s="14" t="n">
        <f aca="false">IF($C498&gt;p_horizon,0,IFERROR(IF(AND(INDEX(TblClusters[Cluster],$B498)&lt;&gt;"",ISNUMBER(INDEX(TblClusters[CPU initial (vCPU)],$B498)),ISNUMBER(INDEX(TblClusters[CPU min (vCPU)],$B498)),OR(INDEX(TblClusters[Plateforme],$B498)="IKS",INDEX(TblClusters[Plateforme],$B498)="ROKS")),1,0),0))</f>
        <v>0</v>
      </c>
      <c r="E498" s="83" t="str">
        <f aca="false">IF($D498=1,EDATE(p_debut,$C498-1),"")</f>
        <v/>
      </c>
      <c r="F498" s="14" t="str">
        <f aca="false">IF($D498=1,INDEX(TblClusters[Cluster],$B498),"")</f>
        <v/>
      </c>
      <c r="G498" s="14" t="str">
        <f aca="false">IF($D498=1,INDEX(TblClusters[Plateforme],$B498),"")</f>
        <v/>
      </c>
      <c r="H498" s="14" t="str">
        <f aca="false">IF($D498=1,INDEX(TblClusters[vCPU par nœud],$B498),"")</f>
        <v/>
      </c>
      <c r="I498" s="14" t="str">
        <f aca="false">IF($D498=1,INDEX(TblClusters[RAM par nœud (Go)],$B498),"")</f>
        <v/>
      </c>
      <c r="J498" s="14" t="str">
        <f aca="false">IF($D498=1,INDEX(TblClusters[Workers min],$B498),"")</f>
        <v/>
      </c>
      <c r="K498" s="84" t="str">
        <f aca="false">IF($D498=1,INDEX(TblClusters[Tarif par nœud],$B498),"")</f>
        <v/>
      </c>
      <c r="L498" s="14" t="str">
        <f aca="false">IF($D498=1,INDEX(TblClusters[CPU initial (vCPU)],$B498),"")</f>
        <v/>
      </c>
      <c r="M498" s="14" t="str">
        <f aca="false">IF($D498=1,INDEX(TblClusters[RAM initiale (Go)],$B498),"")</f>
        <v/>
      </c>
      <c r="N498" s="14" t="str">
        <f aca="false">IF($D498=1,INDEX(TblClusters[CPU min (vCPU)],$B498),"")</f>
        <v/>
      </c>
      <c r="O498" s="14" t="str">
        <f aca="false">IF($D498=1,INDEX(TblClusters[RAM min (Go)],$B498),"")</f>
        <v/>
      </c>
      <c r="P498" s="14" t="str">
        <f aca="false">IF($D498&lt;&gt;1,"",IF($G498="ROKS",SUMIFS(TblApplications[Besoin ROKS CPU (vCPU)],TblApplications[Cluster ROKS cible],$F498,TblApplications[Action],"À migrer",TblApplications[Déjà incluse ROKS],"Non",TblApplications[Mois prov (calc)],"&lt;="&amp;$E498),SUMIFS(TblApplications[CPU IKS libérable (vCPU)],TblApplications[Cluster IKS source],$F498,TblApplications[Mois lib (calc)],"&lt;="&amp;$E498)))</f>
        <v/>
      </c>
      <c r="Q498" s="14" t="str">
        <f aca="false">IF($D498&lt;&gt;1,"",IF($G498="ROKS",SUMIFS(TblApplications[Besoin ROKS RAM (Go)],TblApplications[Cluster ROKS cible],$F498,TblApplications[Action],"À migrer",TblApplications[Déjà incluse ROKS],"Non",TblApplications[Mois prov (calc)],"&lt;="&amp;$E498),SUMIFS(TblApplications[RAM IKS libérable (Go)],TblApplications[Cluster IKS source],$F498,TblApplications[Mois lib (calc)],"&lt;="&amp;$E498)))</f>
        <v/>
      </c>
      <c r="R498" s="14" t="str">
        <f aca="false">IF($D498&lt;&gt;1,"",IF($G498="ROKS",$L498+$P498,IF($AI498=1,0,MAX($N498,$L498-$P498))))</f>
        <v/>
      </c>
      <c r="S498" s="14" t="str">
        <f aca="false">IF($D498&lt;&gt;1,"",IF($G498="ROKS",$M498+$Q498,IF($AI498=1,0,MAX($O498,$M498-$Q498))))</f>
        <v/>
      </c>
      <c r="T498" s="14" t="str">
        <f aca="false">IF($D498&lt;&gt;1,"",IF($AI498=1,0,MAX($J498,ROUNDUP(MAX($R498/$H498,$S498/$I498),0))))</f>
        <v/>
      </c>
      <c r="U498" s="14" t="str">
        <f aca="false">IF($D498&lt;&gt;1,"",IF(p_mode="Nœud",$T498*$H498,$R498))</f>
        <v/>
      </c>
      <c r="V498" s="14" t="str">
        <f aca="false">IF($D498&lt;&gt;1,"",IF(p_mode="Nœud",$T498*$I498,$S498))</f>
        <v/>
      </c>
      <c r="W498" s="84" t="str">
        <f aca="false">IF($D498&lt;&gt;1,"",IF(p_mode="Nœud",$T498*$K498,$R498*IF($G498="IKS",p_iks_cpu,p_roks_cpu)+$S498*IF($G498="IKS",p_iks_ram,p_roks_ram))*p_facteur)</f>
        <v/>
      </c>
      <c r="X498" s="14" t="str">
        <f aca="false">IF($D498&lt;&gt;1,"",IF($G498="ROKS",$R498,IF($AI498=1,0,MAX($N498,$L498-SUMIFS(TblApplications[CPU IKS libérable (vCPU)],TblApplications[Cluster IKS source],$F498,TblApplications[Action],"À migrer",TblApplications[Mois prov (calc)],"&lt;="&amp;$E498)-SUMIFS(TblApplications[CPU IKS libérable (vCPU)],TblApplications[Cluster IKS source],$F498,TblApplications[Action],"À décommissionner",TblApplications[Mois lib (calc)],"&lt;="&amp;$E498)))))</f>
        <v/>
      </c>
      <c r="Y498" s="14" t="str">
        <f aca="false">IF($D498&lt;&gt;1,"",IF($G498="ROKS",$S498,IF($AI498=1,0,MAX($O498,$M498-SUMIFS(TblApplications[RAM IKS libérable (Go)],TblApplications[Cluster IKS source],$F498,TblApplications[Action],"À migrer",TblApplications[Mois prov (calc)],"&lt;="&amp;$E498)-SUMIFS(TblApplications[RAM IKS libérable (Go)],TblApplications[Cluster IKS source],$F498,TblApplications[Action],"À décommissionner",TblApplications[Mois lib (calc)],"&lt;="&amp;$E498)))))</f>
        <v/>
      </c>
      <c r="Z498" s="14" t="str">
        <f aca="false">IF($D498&lt;&gt;1,"",IF($AI498=1,0,MAX($J498,ROUNDUP(MAX($X498/$H498,$Y498/$I498),0))))</f>
        <v/>
      </c>
      <c r="AA498" s="84" t="str">
        <f aca="false">IF($D498&lt;&gt;1,"",IF(p_mode="Nœud",$Z498*$K498,$X498*IF($G498="IKS",p_iks_cpu,p_roks_cpu)+$Y498*IF($G498="IKS",p_iks_ram,p_roks_ram))*p_facteur)</f>
        <v/>
      </c>
      <c r="AB498" s="14" t="str">
        <f aca="false">IF($D498&lt;&gt;1,"",MAX($J498,ROUNDUP(MAX($L498/$H498,$M498/$I498),0)))</f>
        <v/>
      </c>
      <c r="AC498" s="84" t="str">
        <f aca="false">IF($D498&lt;&gt;1,"",IF(p_mode="Nœud",$AB498*$K498,$L498*IF($G498="IKS",p_iks_cpu,p_roks_cpu)+$M498*IF($G498="IKS",p_iks_ram,p_roks_ram))*p_facteur)</f>
        <v/>
      </c>
      <c r="AD498" s="14" t="str">
        <f aca="false">IF($D498&lt;&gt;1,"",IF(AND($G498="IKS",$AI498&lt;&gt;1,OR($L498-$P498&lt;$N498,$M498-$Q498&lt;$O498)),1,0))</f>
        <v/>
      </c>
      <c r="AE498" s="14" t="str">
        <f aca="false">IF($D498&lt;&gt;1,"",IF(AND($G498="ROKS",$T498&gt;p_maxworkers),1,0))</f>
        <v/>
      </c>
      <c r="AF498" s="14" t="str">
        <f aca="false">IF($D498&lt;&gt;1,"",IF(INDEX(TblClusters[Environnement],$B498)="","(vide)",INDEX(TblClusters[Environnement],$B498)))</f>
        <v/>
      </c>
      <c r="AG498" s="14" t="str">
        <f aca="false">IF($D498&lt;&gt;1,"",$R498+p_poidsram*$S498)</f>
        <v/>
      </c>
      <c r="AH498" s="14" t="str">
        <f aca="false">IF($D498&lt;&gt;1,"",IFERROR($W498/$AG498,0))</f>
        <v/>
      </c>
      <c r="AI498" s="14" t="str">
        <f aca="false">IF($D498&lt;&gt;1,"",IF(AND($G498="IKS",ISNUMBER(INDEX(TblClusters[Fermeture retenue],$B498))),IF($E498&gt;=INDEX(TblClusters[Fermeture retenue],$B498),1,0),0))</f>
        <v/>
      </c>
    </row>
    <row r="499" customFormat="false" ht="15" hidden="false" customHeight="false" outlineLevel="0" collapsed="false">
      <c r="A499" s="14" t="n">
        <v>494</v>
      </c>
      <c r="B499" s="14" t="n">
        <f aca="false">INT(($A499-1)/36)+1</f>
        <v>14</v>
      </c>
      <c r="C499" s="14" t="n">
        <f aca="false">MOD($A499-1,36)+1</f>
        <v>26</v>
      </c>
      <c r="D499" s="14" t="n">
        <f aca="false">IF($C499&gt;p_horizon,0,IFERROR(IF(AND(INDEX(TblClusters[Cluster],$B499)&lt;&gt;"",ISNUMBER(INDEX(TblClusters[CPU initial (vCPU)],$B499)),ISNUMBER(INDEX(TblClusters[CPU min (vCPU)],$B499)),OR(INDEX(TblClusters[Plateforme],$B499)="IKS",INDEX(TblClusters[Plateforme],$B499)="ROKS")),1,0),0))</f>
        <v>0</v>
      </c>
      <c r="E499" s="83" t="str">
        <f aca="false">IF($D499=1,EDATE(p_debut,$C499-1),"")</f>
        <v/>
      </c>
      <c r="F499" s="14" t="str">
        <f aca="false">IF($D499=1,INDEX(TblClusters[Cluster],$B499),"")</f>
        <v/>
      </c>
      <c r="G499" s="14" t="str">
        <f aca="false">IF($D499=1,INDEX(TblClusters[Plateforme],$B499),"")</f>
        <v/>
      </c>
      <c r="H499" s="14" t="str">
        <f aca="false">IF($D499=1,INDEX(TblClusters[vCPU par nœud],$B499),"")</f>
        <v/>
      </c>
      <c r="I499" s="14" t="str">
        <f aca="false">IF($D499=1,INDEX(TblClusters[RAM par nœud (Go)],$B499),"")</f>
        <v/>
      </c>
      <c r="J499" s="14" t="str">
        <f aca="false">IF($D499=1,INDEX(TblClusters[Workers min],$B499),"")</f>
        <v/>
      </c>
      <c r="K499" s="84" t="str">
        <f aca="false">IF($D499=1,INDEX(TblClusters[Tarif par nœud],$B499),"")</f>
        <v/>
      </c>
      <c r="L499" s="14" t="str">
        <f aca="false">IF($D499=1,INDEX(TblClusters[CPU initial (vCPU)],$B499),"")</f>
        <v/>
      </c>
      <c r="M499" s="14" t="str">
        <f aca="false">IF($D499=1,INDEX(TblClusters[RAM initiale (Go)],$B499),"")</f>
        <v/>
      </c>
      <c r="N499" s="14" t="str">
        <f aca="false">IF($D499=1,INDEX(TblClusters[CPU min (vCPU)],$B499),"")</f>
        <v/>
      </c>
      <c r="O499" s="14" t="str">
        <f aca="false">IF($D499=1,INDEX(TblClusters[RAM min (Go)],$B499),"")</f>
        <v/>
      </c>
      <c r="P499" s="14" t="str">
        <f aca="false">IF($D499&lt;&gt;1,"",IF($G499="ROKS",SUMIFS(TblApplications[Besoin ROKS CPU (vCPU)],TblApplications[Cluster ROKS cible],$F499,TblApplications[Action],"À migrer",TblApplications[Déjà incluse ROKS],"Non",TblApplications[Mois prov (calc)],"&lt;="&amp;$E499),SUMIFS(TblApplications[CPU IKS libérable (vCPU)],TblApplications[Cluster IKS source],$F499,TblApplications[Mois lib (calc)],"&lt;="&amp;$E499)))</f>
        <v/>
      </c>
      <c r="Q499" s="14" t="str">
        <f aca="false">IF($D499&lt;&gt;1,"",IF($G499="ROKS",SUMIFS(TblApplications[Besoin ROKS RAM (Go)],TblApplications[Cluster ROKS cible],$F499,TblApplications[Action],"À migrer",TblApplications[Déjà incluse ROKS],"Non",TblApplications[Mois prov (calc)],"&lt;="&amp;$E499),SUMIFS(TblApplications[RAM IKS libérable (Go)],TblApplications[Cluster IKS source],$F499,TblApplications[Mois lib (calc)],"&lt;="&amp;$E499)))</f>
        <v/>
      </c>
      <c r="R499" s="14" t="str">
        <f aca="false">IF($D499&lt;&gt;1,"",IF($G499="ROKS",$L499+$P499,IF($AI499=1,0,MAX($N499,$L499-$P499))))</f>
        <v/>
      </c>
      <c r="S499" s="14" t="str">
        <f aca="false">IF($D499&lt;&gt;1,"",IF($G499="ROKS",$M499+$Q499,IF($AI499=1,0,MAX($O499,$M499-$Q499))))</f>
        <v/>
      </c>
      <c r="T499" s="14" t="str">
        <f aca="false">IF($D499&lt;&gt;1,"",IF($AI499=1,0,MAX($J499,ROUNDUP(MAX($R499/$H499,$S499/$I499),0))))</f>
        <v/>
      </c>
      <c r="U499" s="14" t="str">
        <f aca="false">IF($D499&lt;&gt;1,"",IF(p_mode="Nœud",$T499*$H499,$R499))</f>
        <v/>
      </c>
      <c r="V499" s="14" t="str">
        <f aca="false">IF($D499&lt;&gt;1,"",IF(p_mode="Nœud",$T499*$I499,$S499))</f>
        <v/>
      </c>
      <c r="W499" s="84" t="str">
        <f aca="false">IF($D499&lt;&gt;1,"",IF(p_mode="Nœud",$T499*$K499,$R499*IF($G499="IKS",p_iks_cpu,p_roks_cpu)+$S499*IF($G499="IKS",p_iks_ram,p_roks_ram))*p_facteur)</f>
        <v/>
      </c>
      <c r="X499" s="14" t="str">
        <f aca="false">IF($D499&lt;&gt;1,"",IF($G499="ROKS",$R499,IF($AI499=1,0,MAX($N499,$L499-SUMIFS(TblApplications[CPU IKS libérable (vCPU)],TblApplications[Cluster IKS source],$F499,TblApplications[Action],"À migrer",TblApplications[Mois prov (calc)],"&lt;="&amp;$E499)-SUMIFS(TblApplications[CPU IKS libérable (vCPU)],TblApplications[Cluster IKS source],$F499,TblApplications[Action],"À décommissionner",TblApplications[Mois lib (calc)],"&lt;="&amp;$E499)))))</f>
        <v/>
      </c>
      <c r="Y499" s="14" t="str">
        <f aca="false">IF($D499&lt;&gt;1,"",IF($G499="ROKS",$S499,IF($AI499=1,0,MAX($O499,$M499-SUMIFS(TblApplications[RAM IKS libérable (Go)],TblApplications[Cluster IKS source],$F499,TblApplications[Action],"À migrer",TblApplications[Mois prov (calc)],"&lt;="&amp;$E499)-SUMIFS(TblApplications[RAM IKS libérable (Go)],TblApplications[Cluster IKS source],$F499,TblApplications[Action],"À décommissionner",TblApplications[Mois lib (calc)],"&lt;="&amp;$E499)))))</f>
        <v/>
      </c>
      <c r="Z499" s="14" t="str">
        <f aca="false">IF($D499&lt;&gt;1,"",IF($AI499=1,0,MAX($J499,ROUNDUP(MAX($X499/$H499,$Y499/$I499),0))))</f>
        <v/>
      </c>
      <c r="AA499" s="84" t="str">
        <f aca="false">IF($D499&lt;&gt;1,"",IF(p_mode="Nœud",$Z499*$K499,$X499*IF($G499="IKS",p_iks_cpu,p_roks_cpu)+$Y499*IF($G499="IKS",p_iks_ram,p_roks_ram))*p_facteur)</f>
        <v/>
      </c>
      <c r="AB499" s="14" t="str">
        <f aca="false">IF($D499&lt;&gt;1,"",MAX($J499,ROUNDUP(MAX($L499/$H499,$M499/$I499),0)))</f>
        <v/>
      </c>
      <c r="AC499" s="84" t="str">
        <f aca="false">IF($D499&lt;&gt;1,"",IF(p_mode="Nœud",$AB499*$K499,$L499*IF($G499="IKS",p_iks_cpu,p_roks_cpu)+$M499*IF($G499="IKS",p_iks_ram,p_roks_ram))*p_facteur)</f>
        <v/>
      </c>
      <c r="AD499" s="14" t="str">
        <f aca="false">IF($D499&lt;&gt;1,"",IF(AND($G499="IKS",$AI499&lt;&gt;1,OR($L499-$P499&lt;$N499,$M499-$Q499&lt;$O499)),1,0))</f>
        <v/>
      </c>
      <c r="AE499" s="14" t="str">
        <f aca="false">IF($D499&lt;&gt;1,"",IF(AND($G499="ROKS",$T499&gt;p_maxworkers),1,0))</f>
        <v/>
      </c>
      <c r="AF499" s="14" t="str">
        <f aca="false">IF($D499&lt;&gt;1,"",IF(INDEX(TblClusters[Environnement],$B499)="","(vide)",INDEX(TblClusters[Environnement],$B499)))</f>
        <v/>
      </c>
      <c r="AG499" s="14" t="str">
        <f aca="false">IF($D499&lt;&gt;1,"",$R499+p_poidsram*$S499)</f>
        <v/>
      </c>
      <c r="AH499" s="14" t="str">
        <f aca="false">IF($D499&lt;&gt;1,"",IFERROR($W499/$AG499,0))</f>
        <v/>
      </c>
      <c r="AI499" s="14" t="str">
        <f aca="false">IF($D499&lt;&gt;1,"",IF(AND($G499="IKS",ISNUMBER(INDEX(TblClusters[Fermeture retenue],$B499))),IF($E499&gt;=INDEX(TblClusters[Fermeture retenue],$B499),1,0),0))</f>
        <v/>
      </c>
    </row>
    <row r="500" customFormat="false" ht="15" hidden="false" customHeight="false" outlineLevel="0" collapsed="false">
      <c r="A500" s="14" t="n">
        <v>495</v>
      </c>
      <c r="B500" s="14" t="n">
        <f aca="false">INT(($A500-1)/36)+1</f>
        <v>14</v>
      </c>
      <c r="C500" s="14" t="n">
        <f aca="false">MOD($A500-1,36)+1</f>
        <v>27</v>
      </c>
      <c r="D500" s="14" t="n">
        <f aca="false">IF($C500&gt;p_horizon,0,IFERROR(IF(AND(INDEX(TblClusters[Cluster],$B500)&lt;&gt;"",ISNUMBER(INDEX(TblClusters[CPU initial (vCPU)],$B500)),ISNUMBER(INDEX(TblClusters[CPU min (vCPU)],$B500)),OR(INDEX(TblClusters[Plateforme],$B500)="IKS",INDEX(TblClusters[Plateforme],$B500)="ROKS")),1,0),0))</f>
        <v>0</v>
      </c>
      <c r="E500" s="83" t="str">
        <f aca="false">IF($D500=1,EDATE(p_debut,$C500-1),"")</f>
        <v/>
      </c>
      <c r="F500" s="14" t="str">
        <f aca="false">IF($D500=1,INDEX(TblClusters[Cluster],$B500),"")</f>
        <v/>
      </c>
      <c r="G500" s="14" t="str">
        <f aca="false">IF($D500=1,INDEX(TblClusters[Plateforme],$B500),"")</f>
        <v/>
      </c>
      <c r="H500" s="14" t="str">
        <f aca="false">IF($D500=1,INDEX(TblClusters[vCPU par nœud],$B500),"")</f>
        <v/>
      </c>
      <c r="I500" s="14" t="str">
        <f aca="false">IF($D500=1,INDEX(TblClusters[RAM par nœud (Go)],$B500),"")</f>
        <v/>
      </c>
      <c r="J500" s="14" t="str">
        <f aca="false">IF($D500=1,INDEX(TblClusters[Workers min],$B500),"")</f>
        <v/>
      </c>
      <c r="K500" s="84" t="str">
        <f aca="false">IF($D500=1,INDEX(TblClusters[Tarif par nœud],$B500),"")</f>
        <v/>
      </c>
      <c r="L500" s="14" t="str">
        <f aca="false">IF($D500=1,INDEX(TblClusters[CPU initial (vCPU)],$B500),"")</f>
        <v/>
      </c>
      <c r="M500" s="14" t="str">
        <f aca="false">IF($D500=1,INDEX(TblClusters[RAM initiale (Go)],$B500),"")</f>
        <v/>
      </c>
      <c r="N500" s="14" t="str">
        <f aca="false">IF($D500=1,INDEX(TblClusters[CPU min (vCPU)],$B500),"")</f>
        <v/>
      </c>
      <c r="O500" s="14" t="str">
        <f aca="false">IF($D500=1,INDEX(TblClusters[RAM min (Go)],$B500),"")</f>
        <v/>
      </c>
      <c r="P500" s="14" t="str">
        <f aca="false">IF($D500&lt;&gt;1,"",IF($G500="ROKS",SUMIFS(TblApplications[Besoin ROKS CPU (vCPU)],TblApplications[Cluster ROKS cible],$F500,TblApplications[Action],"À migrer",TblApplications[Déjà incluse ROKS],"Non",TblApplications[Mois prov (calc)],"&lt;="&amp;$E500),SUMIFS(TblApplications[CPU IKS libérable (vCPU)],TblApplications[Cluster IKS source],$F500,TblApplications[Mois lib (calc)],"&lt;="&amp;$E500)))</f>
        <v/>
      </c>
      <c r="Q500" s="14" t="str">
        <f aca="false">IF($D500&lt;&gt;1,"",IF($G500="ROKS",SUMIFS(TblApplications[Besoin ROKS RAM (Go)],TblApplications[Cluster ROKS cible],$F500,TblApplications[Action],"À migrer",TblApplications[Déjà incluse ROKS],"Non",TblApplications[Mois prov (calc)],"&lt;="&amp;$E500),SUMIFS(TblApplications[RAM IKS libérable (Go)],TblApplications[Cluster IKS source],$F500,TblApplications[Mois lib (calc)],"&lt;="&amp;$E500)))</f>
        <v/>
      </c>
      <c r="R500" s="14" t="str">
        <f aca="false">IF($D500&lt;&gt;1,"",IF($G500="ROKS",$L500+$P500,IF($AI500=1,0,MAX($N500,$L500-$P500))))</f>
        <v/>
      </c>
      <c r="S500" s="14" t="str">
        <f aca="false">IF($D500&lt;&gt;1,"",IF($G500="ROKS",$M500+$Q500,IF($AI500=1,0,MAX($O500,$M500-$Q500))))</f>
        <v/>
      </c>
      <c r="T500" s="14" t="str">
        <f aca="false">IF($D500&lt;&gt;1,"",IF($AI500=1,0,MAX($J500,ROUNDUP(MAX($R500/$H500,$S500/$I500),0))))</f>
        <v/>
      </c>
      <c r="U500" s="14" t="str">
        <f aca="false">IF($D500&lt;&gt;1,"",IF(p_mode="Nœud",$T500*$H500,$R500))</f>
        <v/>
      </c>
      <c r="V500" s="14" t="str">
        <f aca="false">IF($D500&lt;&gt;1,"",IF(p_mode="Nœud",$T500*$I500,$S500))</f>
        <v/>
      </c>
      <c r="W500" s="84" t="str">
        <f aca="false">IF($D500&lt;&gt;1,"",IF(p_mode="Nœud",$T500*$K500,$R500*IF($G500="IKS",p_iks_cpu,p_roks_cpu)+$S500*IF($G500="IKS",p_iks_ram,p_roks_ram))*p_facteur)</f>
        <v/>
      </c>
      <c r="X500" s="14" t="str">
        <f aca="false">IF($D500&lt;&gt;1,"",IF($G500="ROKS",$R500,IF($AI500=1,0,MAX($N500,$L500-SUMIFS(TblApplications[CPU IKS libérable (vCPU)],TblApplications[Cluster IKS source],$F500,TblApplications[Action],"À migrer",TblApplications[Mois prov (calc)],"&lt;="&amp;$E500)-SUMIFS(TblApplications[CPU IKS libérable (vCPU)],TblApplications[Cluster IKS source],$F500,TblApplications[Action],"À décommissionner",TblApplications[Mois lib (calc)],"&lt;="&amp;$E500)))))</f>
        <v/>
      </c>
      <c r="Y500" s="14" t="str">
        <f aca="false">IF($D500&lt;&gt;1,"",IF($G500="ROKS",$S500,IF($AI500=1,0,MAX($O500,$M500-SUMIFS(TblApplications[RAM IKS libérable (Go)],TblApplications[Cluster IKS source],$F500,TblApplications[Action],"À migrer",TblApplications[Mois prov (calc)],"&lt;="&amp;$E500)-SUMIFS(TblApplications[RAM IKS libérable (Go)],TblApplications[Cluster IKS source],$F500,TblApplications[Action],"À décommissionner",TblApplications[Mois lib (calc)],"&lt;="&amp;$E500)))))</f>
        <v/>
      </c>
      <c r="Z500" s="14" t="str">
        <f aca="false">IF($D500&lt;&gt;1,"",IF($AI500=1,0,MAX($J500,ROUNDUP(MAX($X500/$H500,$Y500/$I500),0))))</f>
        <v/>
      </c>
      <c r="AA500" s="84" t="str">
        <f aca="false">IF($D500&lt;&gt;1,"",IF(p_mode="Nœud",$Z500*$K500,$X500*IF($G500="IKS",p_iks_cpu,p_roks_cpu)+$Y500*IF($G500="IKS",p_iks_ram,p_roks_ram))*p_facteur)</f>
        <v/>
      </c>
      <c r="AB500" s="14" t="str">
        <f aca="false">IF($D500&lt;&gt;1,"",MAX($J500,ROUNDUP(MAX($L500/$H500,$M500/$I500),0)))</f>
        <v/>
      </c>
      <c r="AC500" s="84" t="str">
        <f aca="false">IF($D500&lt;&gt;1,"",IF(p_mode="Nœud",$AB500*$K500,$L500*IF($G500="IKS",p_iks_cpu,p_roks_cpu)+$M500*IF($G500="IKS",p_iks_ram,p_roks_ram))*p_facteur)</f>
        <v/>
      </c>
      <c r="AD500" s="14" t="str">
        <f aca="false">IF($D500&lt;&gt;1,"",IF(AND($G500="IKS",$AI500&lt;&gt;1,OR($L500-$P500&lt;$N500,$M500-$Q500&lt;$O500)),1,0))</f>
        <v/>
      </c>
      <c r="AE500" s="14" t="str">
        <f aca="false">IF($D500&lt;&gt;1,"",IF(AND($G500="ROKS",$T500&gt;p_maxworkers),1,0))</f>
        <v/>
      </c>
      <c r="AF500" s="14" t="str">
        <f aca="false">IF($D500&lt;&gt;1,"",IF(INDEX(TblClusters[Environnement],$B500)="","(vide)",INDEX(TblClusters[Environnement],$B500)))</f>
        <v/>
      </c>
      <c r="AG500" s="14" t="str">
        <f aca="false">IF($D500&lt;&gt;1,"",$R500+p_poidsram*$S500)</f>
        <v/>
      </c>
      <c r="AH500" s="14" t="str">
        <f aca="false">IF($D500&lt;&gt;1,"",IFERROR($W500/$AG500,0))</f>
        <v/>
      </c>
      <c r="AI500" s="14" t="str">
        <f aca="false">IF($D500&lt;&gt;1,"",IF(AND($G500="IKS",ISNUMBER(INDEX(TblClusters[Fermeture retenue],$B500))),IF($E500&gt;=INDEX(TblClusters[Fermeture retenue],$B500),1,0),0))</f>
        <v/>
      </c>
    </row>
    <row r="501" customFormat="false" ht="15" hidden="false" customHeight="false" outlineLevel="0" collapsed="false">
      <c r="A501" s="14" t="n">
        <v>496</v>
      </c>
      <c r="B501" s="14" t="n">
        <f aca="false">INT(($A501-1)/36)+1</f>
        <v>14</v>
      </c>
      <c r="C501" s="14" t="n">
        <f aca="false">MOD($A501-1,36)+1</f>
        <v>28</v>
      </c>
      <c r="D501" s="14" t="n">
        <f aca="false">IF($C501&gt;p_horizon,0,IFERROR(IF(AND(INDEX(TblClusters[Cluster],$B501)&lt;&gt;"",ISNUMBER(INDEX(TblClusters[CPU initial (vCPU)],$B501)),ISNUMBER(INDEX(TblClusters[CPU min (vCPU)],$B501)),OR(INDEX(TblClusters[Plateforme],$B501)="IKS",INDEX(TblClusters[Plateforme],$B501)="ROKS")),1,0),0))</f>
        <v>0</v>
      </c>
      <c r="E501" s="83" t="str">
        <f aca="false">IF($D501=1,EDATE(p_debut,$C501-1),"")</f>
        <v/>
      </c>
      <c r="F501" s="14" t="str">
        <f aca="false">IF($D501=1,INDEX(TblClusters[Cluster],$B501),"")</f>
        <v/>
      </c>
      <c r="G501" s="14" t="str">
        <f aca="false">IF($D501=1,INDEX(TblClusters[Plateforme],$B501),"")</f>
        <v/>
      </c>
      <c r="H501" s="14" t="str">
        <f aca="false">IF($D501=1,INDEX(TblClusters[vCPU par nœud],$B501),"")</f>
        <v/>
      </c>
      <c r="I501" s="14" t="str">
        <f aca="false">IF($D501=1,INDEX(TblClusters[RAM par nœud (Go)],$B501),"")</f>
        <v/>
      </c>
      <c r="J501" s="14" t="str">
        <f aca="false">IF($D501=1,INDEX(TblClusters[Workers min],$B501),"")</f>
        <v/>
      </c>
      <c r="K501" s="84" t="str">
        <f aca="false">IF($D501=1,INDEX(TblClusters[Tarif par nœud],$B501),"")</f>
        <v/>
      </c>
      <c r="L501" s="14" t="str">
        <f aca="false">IF($D501=1,INDEX(TblClusters[CPU initial (vCPU)],$B501),"")</f>
        <v/>
      </c>
      <c r="M501" s="14" t="str">
        <f aca="false">IF($D501=1,INDEX(TblClusters[RAM initiale (Go)],$B501),"")</f>
        <v/>
      </c>
      <c r="N501" s="14" t="str">
        <f aca="false">IF($D501=1,INDEX(TblClusters[CPU min (vCPU)],$B501),"")</f>
        <v/>
      </c>
      <c r="O501" s="14" t="str">
        <f aca="false">IF($D501=1,INDEX(TblClusters[RAM min (Go)],$B501),"")</f>
        <v/>
      </c>
      <c r="P501" s="14" t="str">
        <f aca="false">IF($D501&lt;&gt;1,"",IF($G501="ROKS",SUMIFS(TblApplications[Besoin ROKS CPU (vCPU)],TblApplications[Cluster ROKS cible],$F501,TblApplications[Action],"À migrer",TblApplications[Déjà incluse ROKS],"Non",TblApplications[Mois prov (calc)],"&lt;="&amp;$E501),SUMIFS(TblApplications[CPU IKS libérable (vCPU)],TblApplications[Cluster IKS source],$F501,TblApplications[Mois lib (calc)],"&lt;="&amp;$E501)))</f>
        <v/>
      </c>
      <c r="Q501" s="14" t="str">
        <f aca="false">IF($D501&lt;&gt;1,"",IF($G501="ROKS",SUMIFS(TblApplications[Besoin ROKS RAM (Go)],TblApplications[Cluster ROKS cible],$F501,TblApplications[Action],"À migrer",TblApplications[Déjà incluse ROKS],"Non",TblApplications[Mois prov (calc)],"&lt;="&amp;$E501),SUMIFS(TblApplications[RAM IKS libérable (Go)],TblApplications[Cluster IKS source],$F501,TblApplications[Mois lib (calc)],"&lt;="&amp;$E501)))</f>
        <v/>
      </c>
      <c r="R501" s="14" t="str">
        <f aca="false">IF($D501&lt;&gt;1,"",IF($G501="ROKS",$L501+$P501,IF($AI501=1,0,MAX($N501,$L501-$P501))))</f>
        <v/>
      </c>
      <c r="S501" s="14" t="str">
        <f aca="false">IF($D501&lt;&gt;1,"",IF($G501="ROKS",$M501+$Q501,IF($AI501=1,0,MAX($O501,$M501-$Q501))))</f>
        <v/>
      </c>
      <c r="T501" s="14" t="str">
        <f aca="false">IF($D501&lt;&gt;1,"",IF($AI501=1,0,MAX($J501,ROUNDUP(MAX($R501/$H501,$S501/$I501),0))))</f>
        <v/>
      </c>
      <c r="U501" s="14" t="str">
        <f aca="false">IF($D501&lt;&gt;1,"",IF(p_mode="Nœud",$T501*$H501,$R501))</f>
        <v/>
      </c>
      <c r="V501" s="14" t="str">
        <f aca="false">IF($D501&lt;&gt;1,"",IF(p_mode="Nœud",$T501*$I501,$S501))</f>
        <v/>
      </c>
      <c r="W501" s="84" t="str">
        <f aca="false">IF($D501&lt;&gt;1,"",IF(p_mode="Nœud",$T501*$K501,$R501*IF($G501="IKS",p_iks_cpu,p_roks_cpu)+$S501*IF($G501="IKS",p_iks_ram,p_roks_ram))*p_facteur)</f>
        <v/>
      </c>
      <c r="X501" s="14" t="str">
        <f aca="false">IF($D501&lt;&gt;1,"",IF($G501="ROKS",$R501,IF($AI501=1,0,MAX($N501,$L501-SUMIFS(TblApplications[CPU IKS libérable (vCPU)],TblApplications[Cluster IKS source],$F501,TblApplications[Action],"À migrer",TblApplications[Mois prov (calc)],"&lt;="&amp;$E501)-SUMIFS(TblApplications[CPU IKS libérable (vCPU)],TblApplications[Cluster IKS source],$F501,TblApplications[Action],"À décommissionner",TblApplications[Mois lib (calc)],"&lt;="&amp;$E501)))))</f>
        <v/>
      </c>
      <c r="Y501" s="14" t="str">
        <f aca="false">IF($D501&lt;&gt;1,"",IF($G501="ROKS",$S501,IF($AI501=1,0,MAX($O501,$M501-SUMIFS(TblApplications[RAM IKS libérable (Go)],TblApplications[Cluster IKS source],$F501,TblApplications[Action],"À migrer",TblApplications[Mois prov (calc)],"&lt;="&amp;$E501)-SUMIFS(TblApplications[RAM IKS libérable (Go)],TblApplications[Cluster IKS source],$F501,TblApplications[Action],"À décommissionner",TblApplications[Mois lib (calc)],"&lt;="&amp;$E501)))))</f>
        <v/>
      </c>
      <c r="Z501" s="14" t="str">
        <f aca="false">IF($D501&lt;&gt;1,"",IF($AI501=1,0,MAX($J501,ROUNDUP(MAX($X501/$H501,$Y501/$I501),0))))</f>
        <v/>
      </c>
      <c r="AA501" s="84" t="str">
        <f aca="false">IF($D501&lt;&gt;1,"",IF(p_mode="Nœud",$Z501*$K501,$X501*IF($G501="IKS",p_iks_cpu,p_roks_cpu)+$Y501*IF($G501="IKS",p_iks_ram,p_roks_ram))*p_facteur)</f>
        <v/>
      </c>
      <c r="AB501" s="14" t="str">
        <f aca="false">IF($D501&lt;&gt;1,"",MAX($J501,ROUNDUP(MAX($L501/$H501,$M501/$I501),0)))</f>
        <v/>
      </c>
      <c r="AC501" s="84" t="str">
        <f aca="false">IF($D501&lt;&gt;1,"",IF(p_mode="Nœud",$AB501*$K501,$L501*IF($G501="IKS",p_iks_cpu,p_roks_cpu)+$M501*IF($G501="IKS",p_iks_ram,p_roks_ram))*p_facteur)</f>
        <v/>
      </c>
      <c r="AD501" s="14" t="str">
        <f aca="false">IF($D501&lt;&gt;1,"",IF(AND($G501="IKS",$AI501&lt;&gt;1,OR($L501-$P501&lt;$N501,$M501-$Q501&lt;$O501)),1,0))</f>
        <v/>
      </c>
      <c r="AE501" s="14" t="str">
        <f aca="false">IF($D501&lt;&gt;1,"",IF(AND($G501="ROKS",$T501&gt;p_maxworkers),1,0))</f>
        <v/>
      </c>
      <c r="AF501" s="14" t="str">
        <f aca="false">IF($D501&lt;&gt;1,"",IF(INDEX(TblClusters[Environnement],$B501)="","(vide)",INDEX(TblClusters[Environnement],$B501)))</f>
        <v/>
      </c>
      <c r="AG501" s="14" t="str">
        <f aca="false">IF($D501&lt;&gt;1,"",$R501+p_poidsram*$S501)</f>
        <v/>
      </c>
      <c r="AH501" s="14" t="str">
        <f aca="false">IF($D501&lt;&gt;1,"",IFERROR($W501/$AG501,0))</f>
        <v/>
      </c>
      <c r="AI501" s="14" t="str">
        <f aca="false">IF($D501&lt;&gt;1,"",IF(AND($G501="IKS",ISNUMBER(INDEX(TblClusters[Fermeture retenue],$B501))),IF($E501&gt;=INDEX(TblClusters[Fermeture retenue],$B501),1,0),0))</f>
        <v/>
      </c>
    </row>
    <row r="502" customFormat="false" ht="15" hidden="false" customHeight="false" outlineLevel="0" collapsed="false">
      <c r="A502" s="14" t="n">
        <v>497</v>
      </c>
      <c r="B502" s="14" t="n">
        <f aca="false">INT(($A502-1)/36)+1</f>
        <v>14</v>
      </c>
      <c r="C502" s="14" t="n">
        <f aca="false">MOD($A502-1,36)+1</f>
        <v>29</v>
      </c>
      <c r="D502" s="14" t="n">
        <f aca="false">IF($C502&gt;p_horizon,0,IFERROR(IF(AND(INDEX(TblClusters[Cluster],$B502)&lt;&gt;"",ISNUMBER(INDEX(TblClusters[CPU initial (vCPU)],$B502)),ISNUMBER(INDEX(TblClusters[CPU min (vCPU)],$B502)),OR(INDEX(TblClusters[Plateforme],$B502)="IKS",INDEX(TblClusters[Plateforme],$B502)="ROKS")),1,0),0))</f>
        <v>0</v>
      </c>
      <c r="E502" s="83" t="str">
        <f aca="false">IF($D502=1,EDATE(p_debut,$C502-1),"")</f>
        <v/>
      </c>
      <c r="F502" s="14" t="str">
        <f aca="false">IF($D502=1,INDEX(TblClusters[Cluster],$B502),"")</f>
        <v/>
      </c>
      <c r="G502" s="14" t="str">
        <f aca="false">IF($D502=1,INDEX(TblClusters[Plateforme],$B502),"")</f>
        <v/>
      </c>
      <c r="H502" s="14" t="str">
        <f aca="false">IF($D502=1,INDEX(TblClusters[vCPU par nœud],$B502),"")</f>
        <v/>
      </c>
      <c r="I502" s="14" t="str">
        <f aca="false">IF($D502=1,INDEX(TblClusters[RAM par nœud (Go)],$B502),"")</f>
        <v/>
      </c>
      <c r="J502" s="14" t="str">
        <f aca="false">IF($D502=1,INDEX(TblClusters[Workers min],$B502),"")</f>
        <v/>
      </c>
      <c r="K502" s="84" t="str">
        <f aca="false">IF($D502=1,INDEX(TblClusters[Tarif par nœud],$B502),"")</f>
        <v/>
      </c>
      <c r="L502" s="14" t="str">
        <f aca="false">IF($D502=1,INDEX(TblClusters[CPU initial (vCPU)],$B502),"")</f>
        <v/>
      </c>
      <c r="M502" s="14" t="str">
        <f aca="false">IF($D502=1,INDEX(TblClusters[RAM initiale (Go)],$B502),"")</f>
        <v/>
      </c>
      <c r="N502" s="14" t="str">
        <f aca="false">IF($D502=1,INDEX(TblClusters[CPU min (vCPU)],$B502),"")</f>
        <v/>
      </c>
      <c r="O502" s="14" t="str">
        <f aca="false">IF($D502=1,INDEX(TblClusters[RAM min (Go)],$B502),"")</f>
        <v/>
      </c>
      <c r="P502" s="14" t="str">
        <f aca="false">IF($D502&lt;&gt;1,"",IF($G502="ROKS",SUMIFS(TblApplications[Besoin ROKS CPU (vCPU)],TblApplications[Cluster ROKS cible],$F502,TblApplications[Action],"À migrer",TblApplications[Déjà incluse ROKS],"Non",TblApplications[Mois prov (calc)],"&lt;="&amp;$E502),SUMIFS(TblApplications[CPU IKS libérable (vCPU)],TblApplications[Cluster IKS source],$F502,TblApplications[Mois lib (calc)],"&lt;="&amp;$E502)))</f>
        <v/>
      </c>
      <c r="Q502" s="14" t="str">
        <f aca="false">IF($D502&lt;&gt;1,"",IF($G502="ROKS",SUMIFS(TblApplications[Besoin ROKS RAM (Go)],TblApplications[Cluster ROKS cible],$F502,TblApplications[Action],"À migrer",TblApplications[Déjà incluse ROKS],"Non",TblApplications[Mois prov (calc)],"&lt;="&amp;$E502),SUMIFS(TblApplications[RAM IKS libérable (Go)],TblApplications[Cluster IKS source],$F502,TblApplications[Mois lib (calc)],"&lt;="&amp;$E502)))</f>
        <v/>
      </c>
      <c r="R502" s="14" t="str">
        <f aca="false">IF($D502&lt;&gt;1,"",IF($G502="ROKS",$L502+$P502,IF($AI502=1,0,MAX($N502,$L502-$P502))))</f>
        <v/>
      </c>
      <c r="S502" s="14" t="str">
        <f aca="false">IF($D502&lt;&gt;1,"",IF($G502="ROKS",$M502+$Q502,IF($AI502=1,0,MAX($O502,$M502-$Q502))))</f>
        <v/>
      </c>
      <c r="T502" s="14" t="str">
        <f aca="false">IF($D502&lt;&gt;1,"",IF($AI502=1,0,MAX($J502,ROUNDUP(MAX($R502/$H502,$S502/$I502),0))))</f>
        <v/>
      </c>
      <c r="U502" s="14" t="str">
        <f aca="false">IF($D502&lt;&gt;1,"",IF(p_mode="Nœud",$T502*$H502,$R502))</f>
        <v/>
      </c>
      <c r="V502" s="14" t="str">
        <f aca="false">IF($D502&lt;&gt;1,"",IF(p_mode="Nœud",$T502*$I502,$S502))</f>
        <v/>
      </c>
      <c r="W502" s="84" t="str">
        <f aca="false">IF($D502&lt;&gt;1,"",IF(p_mode="Nœud",$T502*$K502,$R502*IF($G502="IKS",p_iks_cpu,p_roks_cpu)+$S502*IF($G502="IKS",p_iks_ram,p_roks_ram))*p_facteur)</f>
        <v/>
      </c>
      <c r="X502" s="14" t="str">
        <f aca="false">IF($D502&lt;&gt;1,"",IF($G502="ROKS",$R502,IF($AI502=1,0,MAX($N502,$L502-SUMIFS(TblApplications[CPU IKS libérable (vCPU)],TblApplications[Cluster IKS source],$F502,TblApplications[Action],"À migrer",TblApplications[Mois prov (calc)],"&lt;="&amp;$E502)-SUMIFS(TblApplications[CPU IKS libérable (vCPU)],TblApplications[Cluster IKS source],$F502,TblApplications[Action],"À décommissionner",TblApplications[Mois lib (calc)],"&lt;="&amp;$E502)))))</f>
        <v/>
      </c>
      <c r="Y502" s="14" t="str">
        <f aca="false">IF($D502&lt;&gt;1,"",IF($G502="ROKS",$S502,IF($AI502=1,0,MAX($O502,$M502-SUMIFS(TblApplications[RAM IKS libérable (Go)],TblApplications[Cluster IKS source],$F502,TblApplications[Action],"À migrer",TblApplications[Mois prov (calc)],"&lt;="&amp;$E502)-SUMIFS(TblApplications[RAM IKS libérable (Go)],TblApplications[Cluster IKS source],$F502,TblApplications[Action],"À décommissionner",TblApplications[Mois lib (calc)],"&lt;="&amp;$E502)))))</f>
        <v/>
      </c>
      <c r="Z502" s="14" t="str">
        <f aca="false">IF($D502&lt;&gt;1,"",IF($AI502=1,0,MAX($J502,ROUNDUP(MAX($X502/$H502,$Y502/$I502),0))))</f>
        <v/>
      </c>
      <c r="AA502" s="84" t="str">
        <f aca="false">IF($D502&lt;&gt;1,"",IF(p_mode="Nœud",$Z502*$K502,$X502*IF($G502="IKS",p_iks_cpu,p_roks_cpu)+$Y502*IF($G502="IKS",p_iks_ram,p_roks_ram))*p_facteur)</f>
        <v/>
      </c>
      <c r="AB502" s="14" t="str">
        <f aca="false">IF($D502&lt;&gt;1,"",MAX($J502,ROUNDUP(MAX($L502/$H502,$M502/$I502),0)))</f>
        <v/>
      </c>
      <c r="AC502" s="84" t="str">
        <f aca="false">IF($D502&lt;&gt;1,"",IF(p_mode="Nœud",$AB502*$K502,$L502*IF($G502="IKS",p_iks_cpu,p_roks_cpu)+$M502*IF($G502="IKS",p_iks_ram,p_roks_ram))*p_facteur)</f>
        <v/>
      </c>
      <c r="AD502" s="14" t="str">
        <f aca="false">IF($D502&lt;&gt;1,"",IF(AND($G502="IKS",$AI502&lt;&gt;1,OR($L502-$P502&lt;$N502,$M502-$Q502&lt;$O502)),1,0))</f>
        <v/>
      </c>
      <c r="AE502" s="14" t="str">
        <f aca="false">IF($D502&lt;&gt;1,"",IF(AND($G502="ROKS",$T502&gt;p_maxworkers),1,0))</f>
        <v/>
      </c>
      <c r="AF502" s="14" t="str">
        <f aca="false">IF($D502&lt;&gt;1,"",IF(INDEX(TblClusters[Environnement],$B502)="","(vide)",INDEX(TblClusters[Environnement],$B502)))</f>
        <v/>
      </c>
      <c r="AG502" s="14" t="str">
        <f aca="false">IF($D502&lt;&gt;1,"",$R502+p_poidsram*$S502)</f>
        <v/>
      </c>
      <c r="AH502" s="14" t="str">
        <f aca="false">IF($D502&lt;&gt;1,"",IFERROR($W502/$AG502,0))</f>
        <v/>
      </c>
      <c r="AI502" s="14" t="str">
        <f aca="false">IF($D502&lt;&gt;1,"",IF(AND($G502="IKS",ISNUMBER(INDEX(TblClusters[Fermeture retenue],$B502))),IF($E502&gt;=INDEX(TblClusters[Fermeture retenue],$B502),1,0),0))</f>
        <v/>
      </c>
    </row>
    <row r="503" customFormat="false" ht="15" hidden="false" customHeight="false" outlineLevel="0" collapsed="false">
      <c r="A503" s="14" t="n">
        <v>498</v>
      </c>
      <c r="B503" s="14" t="n">
        <f aca="false">INT(($A503-1)/36)+1</f>
        <v>14</v>
      </c>
      <c r="C503" s="14" t="n">
        <f aca="false">MOD($A503-1,36)+1</f>
        <v>30</v>
      </c>
      <c r="D503" s="14" t="n">
        <f aca="false">IF($C503&gt;p_horizon,0,IFERROR(IF(AND(INDEX(TblClusters[Cluster],$B503)&lt;&gt;"",ISNUMBER(INDEX(TblClusters[CPU initial (vCPU)],$B503)),ISNUMBER(INDEX(TblClusters[CPU min (vCPU)],$B503)),OR(INDEX(TblClusters[Plateforme],$B503)="IKS",INDEX(TblClusters[Plateforme],$B503)="ROKS")),1,0),0))</f>
        <v>0</v>
      </c>
      <c r="E503" s="83" t="str">
        <f aca="false">IF($D503=1,EDATE(p_debut,$C503-1),"")</f>
        <v/>
      </c>
      <c r="F503" s="14" t="str">
        <f aca="false">IF($D503=1,INDEX(TblClusters[Cluster],$B503),"")</f>
        <v/>
      </c>
      <c r="G503" s="14" t="str">
        <f aca="false">IF($D503=1,INDEX(TblClusters[Plateforme],$B503),"")</f>
        <v/>
      </c>
      <c r="H503" s="14" t="str">
        <f aca="false">IF($D503=1,INDEX(TblClusters[vCPU par nœud],$B503),"")</f>
        <v/>
      </c>
      <c r="I503" s="14" t="str">
        <f aca="false">IF($D503=1,INDEX(TblClusters[RAM par nœud (Go)],$B503),"")</f>
        <v/>
      </c>
      <c r="J503" s="14" t="str">
        <f aca="false">IF($D503=1,INDEX(TblClusters[Workers min],$B503),"")</f>
        <v/>
      </c>
      <c r="K503" s="84" t="str">
        <f aca="false">IF($D503=1,INDEX(TblClusters[Tarif par nœud],$B503),"")</f>
        <v/>
      </c>
      <c r="L503" s="14" t="str">
        <f aca="false">IF($D503=1,INDEX(TblClusters[CPU initial (vCPU)],$B503),"")</f>
        <v/>
      </c>
      <c r="M503" s="14" t="str">
        <f aca="false">IF($D503=1,INDEX(TblClusters[RAM initiale (Go)],$B503),"")</f>
        <v/>
      </c>
      <c r="N503" s="14" t="str">
        <f aca="false">IF($D503=1,INDEX(TblClusters[CPU min (vCPU)],$B503),"")</f>
        <v/>
      </c>
      <c r="O503" s="14" t="str">
        <f aca="false">IF($D503=1,INDEX(TblClusters[RAM min (Go)],$B503),"")</f>
        <v/>
      </c>
      <c r="P503" s="14" t="str">
        <f aca="false">IF($D503&lt;&gt;1,"",IF($G503="ROKS",SUMIFS(TblApplications[Besoin ROKS CPU (vCPU)],TblApplications[Cluster ROKS cible],$F503,TblApplications[Action],"À migrer",TblApplications[Déjà incluse ROKS],"Non",TblApplications[Mois prov (calc)],"&lt;="&amp;$E503),SUMIFS(TblApplications[CPU IKS libérable (vCPU)],TblApplications[Cluster IKS source],$F503,TblApplications[Mois lib (calc)],"&lt;="&amp;$E503)))</f>
        <v/>
      </c>
      <c r="Q503" s="14" t="str">
        <f aca="false">IF($D503&lt;&gt;1,"",IF($G503="ROKS",SUMIFS(TblApplications[Besoin ROKS RAM (Go)],TblApplications[Cluster ROKS cible],$F503,TblApplications[Action],"À migrer",TblApplications[Déjà incluse ROKS],"Non",TblApplications[Mois prov (calc)],"&lt;="&amp;$E503),SUMIFS(TblApplications[RAM IKS libérable (Go)],TblApplications[Cluster IKS source],$F503,TblApplications[Mois lib (calc)],"&lt;="&amp;$E503)))</f>
        <v/>
      </c>
      <c r="R503" s="14" t="str">
        <f aca="false">IF($D503&lt;&gt;1,"",IF($G503="ROKS",$L503+$P503,IF($AI503=1,0,MAX($N503,$L503-$P503))))</f>
        <v/>
      </c>
      <c r="S503" s="14" t="str">
        <f aca="false">IF($D503&lt;&gt;1,"",IF($G503="ROKS",$M503+$Q503,IF($AI503=1,0,MAX($O503,$M503-$Q503))))</f>
        <v/>
      </c>
      <c r="T503" s="14" t="str">
        <f aca="false">IF($D503&lt;&gt;1,"",IF($AI503=1,0,MAX($J503,ROUNDUP(MAX($R503/$H503,$S503/$I503),0))))</f>
        <v/>
      </c>
      <c r="U503" s="14" t="str">
        <f aca="false">IF($D503&lt;&gt;1,"",IF(p_mode="Nœud",$T503*$H503,$R503))</f>
        <v/>
      </c>
      <c r="V503" s="14" t="str">
        <f aca="false">IF($D503&lt;&gt;1,"",IF(p_mode="Nœud",$T503*$I503,$S503))</f>
        <v/>
      </c>
      <c r="W503" s="84" t="str">
        <f aca="false">IF($D503&lt;&gt;1,"",IF(p_mode="Nœud",$T503*$K503,$R503*IF($G503="IKS",p_iks_cpu,p_roks_cpu)+$S503*IF($G503="IKS",p_iks_ram,p_roks_ram))*p_facteur)</f>
        <v/>
      </c>
      <c r="X503" s="14" t="str">
        <f aca="false">IF($D503&lt;&gt;1,"",IF($G503="ROKS",$R503,IF($AI503=1,0,MAX($N503,$L503-SUMIFS(TblApplications[CPU IKS libérable (vCPU)],TblApplications[Cluster IKS source],$F503,TblApplications[Action],"À migrer",TblApplications[Mois prov (calc)],"&lt;="&amp;$E503)-SUMIFS(TblApplications[CPU IKS libérable (vCPU)],TblApplications[Cluster IKS source],$F503,TblApplications[Action],"À décommissionner",TblApplications[Mois lib (calc)],"&lt;="&amp;$E503)))))</f>
        <v/>
      </c>
      <c r="Y503" s="14" t="str">
        <f aca="false">IF($D503&lt;&gt;1,"",IF($G503="ROKS",$S503,IF($AI503=1,0,MAX($O503,$M503-SUMIFS(TblApplications[RAM IKS libérable (Go)],TblApplications[Cluster IKS source],$F503,TblApplications[Action],"À migrer",TblApplications[Mois prov (calc)],"&lt;="&amp;$E503)-SUMIFS(TblApplications[RAM IKS libérable (Go)],TblApplications[Cluster IKS source],$F503,TblApplications[Action],"À décommissionner",TblApplications[Mois lib (calc)],"&lt;="&amp;$E503)))))</f>
        <v/>
      </c>
      <c r="Z503" s="14" t="str">
        <f aca="false">IF($D503&lt;&gt;1,"",IF($AI503=1,0,MAX($J503,ROUNDUP(MAX($X503/$H503,$Y503/$I503),0))))</f>
        <v/>
      </c>
      <c r="AA503" s="84" t="str">
        <f aca="false">IF($D503&lt;&gt;1,"",IF(p_mode="Nœud",$Z503*$K503,$X503*IF($G503="IKS",p_iks_cpu,p_roks_cpu)+$Y503*IF($G503="IKS",p_iks_ram,p_roks_ram))*p_facteur)</f>
        <v/>
      </c>
      <c r="AB503" s="14" t="str">
        <f aca="false">IF($D503&lt;&gt;1,"",MAX($J503,ROUNDUP(MAX($L503/$H503,$M503/$I503),0)))</f>
        <v/>
      </c>
      <c r="AC503" s="84" t="str">
        <f aca="false">IF($D503&lt;&gt;1,"",IF(p_mode="Nœud",$AB503*$K503,$L503*IF($G503="IKS",p_iks_cpu,p_roks_cpu)+$M503*IF($G503="IKS",p_iks_ram,p_roks_ram))*p_facteur)</f>
        <v/>
      </c>
      <c r="AD503" s="14" t="str">
        <f aca="false">IF($D503&lt;&gt;1,"",IF(AND($G503="IKS",$AI503&lt;&gt;1,OR($L503-$P503&lt;$N503,$M503-$Q503&lt;$O503)),1,0))</f>
        <v/>
      </c>
      <c r="AE503" s="14" t="str">
        <f aca="false">IF($D503&lt;&gt;1,"",IF(AND($G503="ROKS",$T503&gt;p_maxworkers),1,0))</f>
        <v/>
      </c>
      <c r="AF503" s="14" t="str">
        <f aca="false">IF($D503&lt;&gt;1,"",IF(INDEX(TblClusters[Environnement],$B503)="","(vide)",INDEX(TblClusters[Environnement],$B503)))</f>
        <v/>
      </c>
      <c r="AG503" s="14" t="str">
        <f aca="false">IF($D503&lt;&gt;1,"",$R503+p_poidsram*$S503)</f>
        <v/>
      </c>
      <c r="AH503" s="14" t="str">
        <f aca="false">IF($D503&lt;&gt;1,"",IFERROR($W503/$AG503,0))</f>
        <v/>
      </c>
      <c r="AI503" s="14" t="str">
        <f aca="false">IF($D503&lt;&gt;1,"",IF(AND($G503="IKS",ISNUMBER(INDEX(TblClusters[Fermeture retenue],$B503))),IF($E503&gt;=INDEX(TblClusters[Fermeture retenue],$B503),1,0),0))</f>
        <v/>
      </c>
    </row>
    <row r="504" customFormat="false" ht="15" hidden="false" customHeight="false" outlineLevel="0" collapsed="false">
      <c r="A504" s="14" t="n">
        <v>499</v>
      </c>
      <c r="B504" s="14" t="n">
        <f aca="false">INT(($A504-1)/36)+1</f>
        <v>14</v>
      </c>
      <c r="C504" s="14" t="n">
        <f aca="false">MOD($A504-1,36)+1</f>
        <v>31</v>
      </c>
      <c r="D504" s="14" t="n">
        <f aca="false">IF($C504&gt;p_horizon,0,IFERROR(IF(AND(INDEX(TblClusters[Cluster],$B504)&lt;&gt;"",ISNUMBER(INDEX(TblClusters[CPU initial (vCPU)],$B504)),ISNUMBER(INDEX(TblClusters[CPU min (vCPU)],$B504)),OR(INDEX(TblClusters[Plateforme],$B504)="IKS",INDEX(TblClusters[Plateforme],$B504)="ROKS")),1,0),0))</f>
        <v>0</v>
      </c>
      <c r="E504" s="83" t="str">
        <f aca="false">IF($D504=1,EDATE(p_debut,$C504-1),"")</f>
        <v/>
      </c>
      <c r="F504" s="14" t="str">
        <f aca="false">IF($D504=1,INDEX(TblClusters[Cluster],$B504),"")</f>
        <v/>
      </c>
      <c r="G504" s="14" t="str">
        <f aca="false">IF($D504=1,INDEX(TblClusters[Plateforme],$B504),"")</f>
        <v/>
      </c>
      <c r="H504" s="14" t="str">
        <f aca="false">IF($D504=1,INDEX(TblClusters[vCPU par nœud],$B504),"")</f>
        <v/>
      </c>
      <c r="I504" s="14" t="str">
        <f aca="false">IF($D504=1,INDEX(TblClusters[RAM par nœud (Go)],$B504),"")</f>
        <v/>
      </c>
      <c r="J504" s="14" t="str">
        <f aca="false">IF($D504=1,INDEX(TblClusters[Workers min],$B504),"")</f>
        <v/>
      </c>
      <c r="K504" s="84" t="str">
        <f aca="false">IF($D504=1,INDEX(TblClusters[Tarif par nœud],$B504),"")</f>
        <v/>
      </c>
      <c r="L504" s="14" t="str">
        <f aca="false">IF($D504=1,INDEX(TblClusters[CPU initial (vCPU)],$B504),"")</f>
        <v/>
      </c>
      <c r="M504" s="14" t="str">
        <f aca="false">IF($D504=1,INDEX(TblClusters[RAM initiale (Go)],$B504),"")</f>
        <v/>
      </c>
      <c r="N504" s="14" t="str">
        <f aca="false">IF($D504=1,INDEX(TblClusters[CPU min (vCPU)],$B504),"")</f>
        <v/>
      </c>
      <c r="O504" s="14" t="str">
        <f aca="false">IF($D504=1,INDEX(TblClusters[RAM min (Go)],$B504),"")</f>
        <v/>
      </c>
      <c r="P504" s="14" t="str">
        <f aca="false">IF($D504&lt;&gt;1,"",IF($G504="ROKS",SUMIFS(TblApplications[Besoin ROKS CPU (vCPU)],TblApplications[Cluster ROKS cible],$F504,TblApplications[Action],"À migrer",TblApplications[Déjà incluse ROKS],"Non",TblApplications[Mois prov (calc)],"&lt;="&amp;$E504),SUMIFS(TblApplications[CPU IKS libérable (vCPU)],TblApplications[Cluster IKS source],$F504,TblApplications[Mois lib (calc)],"&lt;="&amp;$E504)))</f>
        <v/>
      </c>
      <c r="Q504" s="14" t="str">
        <f aca="false">IF($D504&lt;&gt;1,"",IF($G504="ROKS",SUMIFS(TblApplications[Besoin ROKS RAM (Go)],TblApplications[Cluster ROKS cible],$F504,TblApplications[Action],"À migrer",TblApplications[Déjà incluse ROKS],"Non",TblApplications[Mois prov (calc)],"&lt;="&amp;$E504),SUMIFS(TblApplications[RAM IKS libérable (Go)],TblApplications[Cluster IKS source],$F504,TblApplications[Mois lib (calc)],"&lt;="&amp;$E504)))</f>
        <v/>
      </c>
      <c r="R504" s="14" t="str">
        <f aca="false">IF($D504&lt;&gt;1,"",IF($G504="ROKS",$L504+$P504,IF($AI504=1,0,MAX($N504,$L504-$P504))))</f>
        <v/>
      </c>
      <c r="S504" s="14" t="str">
        <f aca="false">IF($D504&lt;&gt;1,"",IF($G504="ROKS",$M504+$Q504,IF($AI504=1,0,MAX($O504,$M504-$Q504))))</f>
        <v/>
      </c>
      <c r="T504" s="14" t="str">
        <f aca="false">IF($D504&lt;&gt;1,"",IF($AI504=1,0,MAX($J504,ROUNDUP(MAX($R504/$H504,$S504/$I504),0))))</f>
        <v/>
      </c>
      <c r="U504" s="14" t="str">
        <f aca="false">IF($D504&lt;&gt;1,"",IF(p_mode="Nœud",$T504*$H504,$R504))</f>
        <v/>
      </c>
      <c r="V504" s="14" t="str">
        <f aca="false">IF($D504&lt;&gt;1,"",IF(p_mode="Nœud",$T504*$I504,$S504))</f>
        <v/>
      </c>
      <c r="W504" s="84" t="str">
        <f aca="false">IF($D504&lt;&gt;1,"",IF(p_mode="Nœud",$T504*$K504,$R504*IF($G504="IKS",p_iks_cpu,p_roks_cpu)+$S504*IF($G504="IKS",p_iks_ram,p_roks_ram))*p_facteur)</f>
        <v/>
      </c>
      <c r="X504" s="14" t="str">
        <f aca="false">IF($D504&lt;&gt;1,"",IF($G504="ROKS",$R504,IF($AI504=1,0,MAX($N504,$L504-SUMIFS(TblApplications[CPU IKS libérable (vCPU)],TblApplications[Cluster IKS source],$F504,TblApplications[Action],"À migrer",TblApplications[Mois prov (calc)],"&lt;="&amp;$E504)-SUMIFS(TblApplications[CPU IKS libérable (vCPU)],TblApplications[Cluster IKS source],$F504,TblApplications[Action],"À décommissionner",TblApplications[Mois lib (calc)],"&lt;="&amp;$E504)))))</f>
        <v/>
      </c>
      <c r="Y504" s="14" t="str">
        <f aca="false">IF($D504&lt;&gt;1,"",IF($G504="ROKS",$S504,IF($AI504=1,0,MAX($O504,$M504-SUMIFS(TblApplications[RAM IKS libérable (Go)],TblApplications[Cluster IKS source],$F504,TblApplications[Action],"À migrer",TblApplications[Mois prov (calc)],"&lt;="&amp;$E504)-SUMIFS(TblApplications[RAM IKS libérable (Go)],TblApplications[Cluster IKS source],$F504,TblApplications[Action],"À décommissionner",TblApplications[Mois lib (calc)],"&lt;="&amp;$E504)))))</f>
        <v/>
      </c>
      <c r="Z504" s="14" t="str">
        <f aca="false">IF($D504&lt;&gt;1,"",IF($AI504=1,0,MAX($J504,ROUNDUP(MAX($X504/$H504,$Y504/$I504),0))))</f>
        <v/>
      </c>
      <c r="AA504" s="84" t="str">
        <f aca="false">IF($D504&lt;&gt;1,"",IF(p_mode="Nœud",$Z504*$K504,$X504*IF($G504="IKS",p_iks_cpu,p_roks_cpu)+$Y504*IF($G504="IKS",p_iks_ram,p_roks_ram))*p_facteur)</f>
        <v/>
      </c>
      <c r="AB504" s="14" t="str">
        <f aca="false">IF($D504&lt;&gt;1,"",MAX($J504,ROUNDUP(MAX($L504/$H504,$M504/$I504),0)))</f>
        <v/>
      </c>
      <c r="AC504" s="84" t="str">
        <f aca="false">IF($D504&lt;&gt;1,"",IF(p_mode="Nœud",$AB504*$K504,$L504*IF($G504="IKS",p_iks_cpu,p_roks_cpu)+$M504*IF($G504="IKS",p_iks_ram,p_roks_ram))*p_facteur)</f>
        <v/>
      </c>
      <c r="AD504" s="14" t="str">
        <f aca="false">IF($D504&lt;&gt;1,"",IF(AND($G504="IKS",$AI504&lt;&gt;1,OR($L504-$P504&lt;$N504,$M504-$Q504&lt;$O504)),1,0))</f>
        <v/>
      </c>
      <c r="AE504" s="14" t="str">
        <f aca="false">IF($D504&lt;&gt;1,"",IF(AND($G504="ROKS",$T504&gt;p_maxworkers),1,0))</f>
        <v/>
      </c>
      <c r="AF504" s="14" t="str">
        <f aca="false">IF($D504&lt;&gt;1,"",IF(INDEX(TblClusters[Environnement],$B504)="","(vide)",INDEX(TblClusters[Environnement],$B504)))</f>
        <v/>
      </c>
      <c r="AG504" s="14" t="str">
        <f aca="false">IF($D504&lt;&gt;1,"",$R504+p_poidsram*$S504)</f>
        <v/>
      </c>
      <c r="AH504" s="14" t="str">
        <f aca="false">IF($D504&lt;&gt;1,"",IFERROR($W504/$AG504,0))</f>
        <v/>
      </c>
      <c r="AI504" s="14" t="str">
        <f aca="false">IF($D504&lt;&gt;1,"",IF(AND($G504="IKS",ISNUMBER(INDEX(TblClusters[Fermeture retenue],$B504))),IF($E504&gt;=INDEX(TblClusters[Fermeture retenue],$B504),1,0),0))</f>
        <v/>
      </c>
    </row>
    <row r="505" customFormat="false" ht="15" hidden="false" customHeight="false" outlineLevel="0" collapsed="false">
      <c r="A505" s="14" t="n">
        <v>500</v>
      </c>
      <c r="B505" s="14" t="n">
        <f aca="false">INT(($A505-1)/36)+1</f>
        <v>14</v>
      </c>
      <c r="C505" s="14" t="n">
        <f aca="false">MOD($A505-1,36)+1</f>
        <v>32</v>
      </c>
      <c r="D505" s="14" t="n">
        <f aca="false">IF($C505&gt;p_horizon,0,IFERROR(IF(AND(INDEX(TblClusters[Cluster],$B505)&lt;&gt;"",ISNUMBER(INDEX(TblClusters[CPU initial (vCPU)],$B505)),ISNUMBER(INDEX(TblClusters[CPU min (vCPU)],$B505)),OR(INDEX(TblClusters[Plateforme],$B505)="IKS",INDEX(TblClusters[Plateforme],$B505)="ROKS")),1,0),0))</f>
        <v>0</v>
      </c>
      <c r="E505" s="83" t="str">
        <f aca="false">IF($D505=1,EDATE(p_debut,$C505-1),"")</f>
        <v/>
      </c>
      <c r="F505" s="14" t="str">
        <f aca="false">IF($D505=1,INDEX(TblClusters[Cluster],$B505),"")</f>
        <v/>
      </c>
      <c r="G505" s="14" t="str">
        <f aca="false">IF($D505=1,INDEX(TblClusters[Plateforme],$B505),"")</f>
        <v/>
      </c>
      <c r="H505" s="14" t="str">
        <f aca="false">IF($D505=1,INDEX(TblClusters[vCPU par nœud],$B505),"")</f>
        <v/>
      </c>
      <c r="I505" s="14" t="str">
        <f aca="false">IF($D505=1,INDEX(TblClusters[RAM par nœud (Go)],$B505),"")</f>
        <v/>
      </c>
      <c r="J505" s="14" t="str">
        <f aca="false">IF($D505=1,INDEX(TblClusters[Workers min],$B505),"")</f>
        <v/>
      </c>
      <c r="K505" s="84" t="str">
        <f aca="false">IF($D505=1,INDEX(TblClusters[Tarif par nœud],$B505),"")</f>
        <v/>
      </c>
      <c r="L505" s="14" t="str">
        <f aca="false">IF($D505=1,INDEX(TblClusters[CPU initial (vCPU)],$B505),"")</f>
        <v/>
      </c>
      <c r="M505" s="14" t="str">
        <f aca="false">IF($D505=1,INDEX(TblClusters[RAM initiale (Go)],$B505),"")</f>
        <v/>
      </c>
      <c r="N505" s="14" t="str">
        <f aca="false">IF($D505=1,INDEX(TblClusters[CPU min (vCPU)],$B505),"")</f>
        <v/>
      </c>
      <c r="O505" s="14" t="str">
        <f aca="false">IF($D505=1,INDEX(TblClusters[RAM min (Go)],$B505),"")</f>
        <v/>
      </c>
      <c r="P505" s="14" t="str">
        <f aca="false">IF($D505&lt;&gt;1,"",IF($G505="ROKS",SUMIFS(TblApplications[Besoin ROKS CPU (vCPU)],TblApplications[Cluster ROKS cible],$F505,TblApplications[Action],"À migrer",TblApplications[Déjà incluse ROKS],"Non",TblApplications[Mois prov (calc)],"&lt;="&amp;$E505),SUMIFS(TblApplications[CPU IKS libérable (vCPU)],TblApplications[Cluster IKS source],$F505,TblApplications[Mois lib (calc)],"&lt;="&amp;$E505)))</f>
        <v/>
      </c>
      <c r="Q505" s="14" t="str">
        <f aca="false">IF($D505&lt;&gt;1,"",IF($G505="ROKS",SUMIFS(TblApplications[Besoin ROKS RAM (Go)],TblApplications[Cluster ROKS cible],$F505,TblApplications[Action],"À migrer",TblApplications[Déjà incluse ROKS],"Non",TblApplications[Mois prov (calc)],"&lt;="&amp;$E505),SUMIFS(TblApplications[RAM IKS libérable (Go)],TblApplications[Cluster IKS source],$F505,TblApplications[Mois lib (calc)],"&lt;="&amp;$E505)))</f>
        <v/>
      </c>
      <c r="R505" s="14" t="str">
        <f aca="false">IF($D505&lt;&gt;1,"",IF($G505="ROKS",$L505+$P505,IF($AI505=1,0,MAX($N505,$L505-$P505))))</f>
        <v/>
      </c>
      <c r="S505" s="14" t="str">
        <f aca="false">IF($D505&lt;&gt;1,"",IF($G505="ROKS",$M505+$Q505,IF($AI505=1,0,MAX($O505,$M505-$Q505))))</f>
        <v/>
      </c>
      <c r="T505" s="14" t="str">
        <f aca="false">IF($D505&lt;&gt;1,"",IF($AI505=1,0,MAX($J505,ROUNDUP(MAX($R505/$H505,$S505/$I505),0))))</f>
        <v/>
      </c>
      <c r="U505" s="14" t="str">
        <f aca="false">IF($D505&lt;&gt;1,"",IF(p_mode="Nœud",$T505*$H505,$R505))</f>
        <v/>
      </c>
      <c r="V505" s="14" t="str">
        <f aca="false">IF($D505&lt;&gt;1,"",IF(p_mode="Nœud",$T505*$I505,$S505))</f>
        <v/>
      </c>
      <c r="W505" s="84" t="str">
        <f aca="false">IF($D505&lt;&gt;1,"",IF(p_mode="Nœud",$T505*$K505,$R505*IF($G505="IKS",p_iks_cpu,p_roks_cpu)+$S505*IF($G505="IKS",p_iks_ram,p_roks_ram))*p_facteur)</f>
        <v/>
      </c>
      <c r="X505" s="14" t="str">
        <f aca="false">IF($D505&lt;&gt;1,"",IF($G505="ROKS",$R505,IF($AI505=1,0,MAX($N505,$L505-SUMIFS(TblApplications[CPU IKS libérable (vCPU)],TblApplications[Cluster IKS source],$F505,TblApplications[Action],"À migrer",TblApplications[Mois prov (calc)],"&lt;="&amp;$E505)-SUMIFS(TblApplications[CPU IKS libérable (vCPU)],TblApplications[Cluster IKS source],$F505,TblApplications[Action],"À décommissionner",TblApplications[Mois lib (calc)],"&lt;="&amp;$E505)))))</f>
        <v/>
      </c>
      <c r="Y505" s="14" t="str">
        <f aca="false">IF($D505&lt;&gt;1,"",IF($G505="ROKS",$S505,IF($AI505=1,0,MAX($O505,$M505-SUMIFS(TblApplications[RAM IKS libérable (Go)],TblApplications[Cluster IKS source],$F505,TblApplications[Action],"À migrer",TblApplications[Mois prov (calc)],"&lt;="&amp;$E505)-SUMIFS(TblApplications[RAM IKS libérable (Go)],TblApplications[Cluster IKS source],$F505,TblApplications[Action],"À décommissionner",TblApplications[Mois lib (calc)],"&lt;="&amp;$E505)))))</f>
        <v/>
      </c>
      <c r="Z505" s="14" t="str">
        <f aca="false">IF($D505&lt;&gt;1,"",IF($AI505=1,0,MAX($J505,ROUNDUP(MAX($X505/$H505,$Y505/$I505),0))))</f>
        <v/>
      </c>
      <c r="AA505" s="84" t="str">
        <f aca="false">IF($D505&lt;&gt;1,"",IF(p_mode="Nœud",$Z505*$K505,$X505*IF($G505="IKS",p_iks_cpu,p_roks_cpu)+$Y505*IF($G505="IKS",p_iks_ram,p_roks_ram))*p_facteur)</f>
        <v/>
      </c>
      <c r="AB505" s="14" t="str">
        <f aca="false">IF($D505&lt;&gt;1,"",MAX($J505,ROUNDUP(MAX($L505/$H505,$M505/$I505),0)))</f>
        <v/>
      </c>
      <c r="AC505" s="84" t="str">
        <f aca="false">IF($D505&lt;&gt;1,"",IF(p_mode="Nœud",$AB505*$K505,$L505*IF($G505="IKS",p_iks_cpu,p_roks_cpu)+$M505*IF($G505="IKS",p_iks_ram,p_roks_ram))*p_facteur)</f>
        <v/>
      </c>
      <c r="AD505" s="14" t="str">
        <f aca="false">IF($D505&lt;&gt;1,"",IF(AND($G505="IKS",$AI505&lt;&gt;1,OR($L505-$P505&lt;$N505,$M505-$Q505&lt;$O505)),1,0))</f>
        <v/>
      </c>
      <c r="AE505" s="14" t="str">
        <f aca="false">IF($D505&lt;&gt;1,"",IF(AND($G505="ROKS",$T505&gt;p_maxworkers),1,0))</f>
        <v/>
      </c>
      <c r="AF505" s="14" t="str">
        <f aca="false">IF($D505&lt;&gt;1,"",IF(INDEX(TblClusters[Environnement],$B505)="","(vide)",INDEX(TblClusters[Environnement],$B505)))</f>
        <v/>
      </c>
      <c r="AG505" s="14" t="str">
        <f aca="false">IF($D505&lt;&gt;1,"",$R505+p_poidsram*$S505)</f>
        <v/>
      </c>
      <c r="AH505" s="14" t="str">
        <f aca="false">IF($D505&lt;&gt;1,"",IFERROR($W505/$AG505,0))</f>
        <v/>
      </c>
      <c r="AI505" s="14" t="str">
        <f aca="false">IF($D505&lt;&gt;1,"",IF(AND($G505="IKS",ISNUMBER(INDEX(TblClusters[Fermeture retenue],$B505))),IF($E505&gt;=INDEX(TblClusters[Fermeture retenue],$B505),1,0),0))</f>
        <v/>
      </c>
    </row>
    <row r="506" customFormat="false" ht="15" hidden="false" customHeight="false" outlineLevel="0" collapsed="false">
      <c r="A506" s="14" t="n">
        <v>501</v>
      </c>
      <c r="B506" s="14" t="n">
        <f aca="false">INT(($A506-1)/36)+1</f>
        <v>14</v>
      </c>
      <c r="C506" s="14" t="n">
        <f aca="false">MOD($A506-1,36)+1</f>
        <v>33</v>
      </c>
      <c r="D506" s="14" t="n">
        <f aca="false">IF($C506&gt;p_horizon,0,IFERROR(IF(AND(INDEX(TblClusters[Cluster],$B506)&lt;&gt;"",ISNUMBER(INDEX(TblClusters[CPU initial (vCPU)],$B506)),ISNUMBER(INDEX(TblClusters[CPU min (vCPU)],$B506)),OR(INDEX(TblClusters[Plateforme],$B506)="IKS",INDEX(TblClusters[Plateforme],$B506)="ROKS")),1,0),0))</f>
        <v>0</v>
      </c>
      <c r="E506" s="83" t="str">
        <f aca="false">IF($D506=1,EDATE(p_debut,$C506-1),"")</f>
        <v/>
      </c>
      <c r="F506" s="14" t="str">
        <f aca="false">IF($D506=1,INDEX(TblClusters[Cluster],$B506),"")</f>
        <v/>
      </c>
      <c r="G506" s="14" t="str">
        <f aca="false">IF($D506=1,INDEX(TblClusters[Plateforme],$B506),"")</f>
        <v/>
      </c>
      <c r="H506" s="14" t="str">
        <f aca="false">IF($D506=1,INDEX(TblClusters[vCPU par nœud],$B506),"")</f>
        <v/>
      </c>
      <c r="I506" s="14" t="str">
        <f aca="false">IF($D506=1,INDEX(TblClusters[RAM par nœud (Go)],$B506),"")</f>
        <v/>
      </c>
      <c r="J506" s="14" t="str">
        <f aca="false">IF($D506=1,INDEX(TblClusters[Workers min],$B506),"")</f>
        <v/>
      </c>
      <c r="K506" s="84" t="str">
        <f aca="false">IF($D506=1,INDEX(TblClusters[Tarif par nœud],$B506),"")</f>
        <v/>
      </c>
      <c r="L506" s="14" t="str">
        <f aca="false">IF($D506=1,INDEX(TblClusters[CPU initial (vCPU)],$B506),"")</f>
        <v/>
      </c>
      <c r="M506" s="14" t="str">
        <f aca="false">IF($D506=1,INDEX(TblClusters[RAM initiale (Go)],$B506),"")</f>
        <v/>
      </c>
      <c r="N506" s="14" t="str">
        <f aca="false">IF($D506=1,INDEX(TblClusters[CPU min (vCPU)],$B506),"")</f>
        <v/>
      </c>
      <c r="O506" s="14" t="str">
        <f aca="false">IF($D506=1,INDEX(TblClusters[RAM min (Go)],$B506),"")</f>
        <v/>
      </c>
      <c r="P506" s="14" t="str">
        <f aca="false">IF($D506&lt;&gt;1,"",IF($G506="ROKS",SUMIFS(TblApplications[Besoin ROKS CPU (vCPU)],TblApplications[Cluster ROKS cible],$F506,TblApplications[Action],"À migrer",TblApplications[Déjà incluse ROKS],"Non",TblApplications[Mois prov (calc)],"&lt;="&amp;$E506),SUMIFS(TblApplications[CPU IKS libérable (vCPU)],TblApplications[Cluster IKS source],$F506,TblApplications[Mois lib (calc)],"&lt;="&amp;$E506)))</f>
        <v/>
      </c>
      <c r="Q506" s="14" t="str">
        <f aca="false">IF($D506&lt;&gt;1,"",IF($G506="ROKS",SUMIFS(TblApplications[Besoin ROKS RAM (Go)],TblApplications[Cluster ROKS cible],$F506,TblApplications[Action],"À migrer",TblApplications[Déjà incluse ROKS],"Non",TblApplications[Mois prov (calc)],"&lt;="&amp;$E506),SUMIFS(TblApplications[RAM IKS libérable (Go)],TblApplications[Cluster IKS source],$F506,TblApplications[Mois lib (calc)],"&lt;="&amp;$E506)))</f>
        <v/>
      </c>
      <c r="R506" s="14" t="str">
        <f aca="false">IF($D506&lt;&gt;1,"",IF($G506="ROKS",$L506+$P506,IF($AI506=1,0,MAX($N506,$L506-$P506))))</f>
        <v/>
      </c>
      <c r="S506" s="14" t="str">
        <f aca="false">IF($D506&lt;&gt;1,"",IF($G506="ROKS",$M506+$Q506,IF($AI506=1,0,MAX($O506,$M506-$Q506))))</f>
        <v/>
      </c>
      <c r="T506" s="14" t="str">
        <f aca="false">IF($D506&lt;&gt;1,"",IF($AI506=1,0,MAX($J506,ROUNDUP(MAX($R506/$H506,$S506/$I506),0))))</f>
        <v/>
      </c>
      <c r="U506" s="14" t="str">
        <f aca="false">IF($D506&lt;&gt;1,"",IF(p_mode="Nœud",$T506*$H506,$R506))</f>
        <v/>
      </c>
      <c r="V506" s="14" t="str">
        <f aca="false">IF($D506&lt;&gt;1,"",IF(p_mode="Nœud",$T506*$I506,$S506))</f>
        <v/>
      </c>
      <c r="W506" s="84" t="str">
        <f aca="false">IF($D506&lt;&gt;1,"",IF(p_mode="Nœud",$T506*$K506,$R506*IF($G506="IKS",p_iks_cpu,p_roks_cpu)+$S506*IF($G506="IKS",p_iks_ram,p_roks_ram))*p_facteur)</f>
        <v/>
      </c>
      <c r="X506" s="14" t="str">
        <f aca="false">IF($D506&lt;&gt;1,"",IF($G506="ROKS",$R506,IF($AI506=1,0,MAX($N506,$L506-SUMIFS(TblApplications[CPU IKS libérable (vCPU)],TblApplications[Cluster IKS source],$F506,TblApplications[Action],"À migrer",TblApplications[Mois prov (calc)],"&lt;="&amp;$E506)-SUMIFS(TblApplications[CPU IKS libérable (vCPU)],TblApplications[Cluster IKS source],$F506,TblApplications[Action],"À décommissionner",TblApplications[Mois lib (calc)],"&lt;="&amp;$E506)))))</f>
        <v/>
      </c>
      <c r="Y506" s="14" t="str">
        <f aca="false">IF($D506&lt;&gt;1,"",IF($G506="ROKS",$S506,IF($AI506=1,0,MAX($O506,$M506-SUMIFS(TblApplications[RAM IKS libérable (Go)],TblApplications[Cluster IKS source],$F506,TblApplications[Action],"À migrer",TblApplications[Mois prov (calc)],"&lt;="&amp;$E506)-SUMIFS(TblApplications[RAM IKS libérable (Go)],TblApplications[Cluster IKS source],$F506,TblApplications[Action],"À décommissionner",TblApplications[Mois lib (calc)],"&lt;="&amp;$E506)))))</f>
        <v/>
      </c>
      <c r="Z506" s="14" t="str">
        <f aca="false">IF($D506&lt;&gt;1,"",IF($AI506=1,0,MAX($J506,ROUNDUP(MAX($X506/$H506,$Y506/$I506),0))))</f>
        <v/>
      </c>
      <c r="AA506" s="84" t="str">
        <f aca="false">IF($D506&lt;&gt;1,"",IF(p_mode="Nœud",$Z506*$K506,$X506*IF($G506="IKS",p_iks_cpu,p_roks_cpu)+$Y506*IF($G506="IKS",p_iks_ram,p_roks_ram))*p_facteur)</f>
        <v/>
      </c>
      <c r="AB506" s="14" t="str">
        <f aca="false">IF($D506&lt;&gt;1,"",MAX($J506,ROUNDUP(MAX($L506/$H506,$M506/$I506),0)))</f>
        <v/>
      </c>
      <c r="AC506" s="84" t="str">
        <f aca="false">IF($D506&lt;&gt;1,"",IF(p_mode="Nœud",$AB506*$K506,$L506*IF($G506="IKS",p_iks_cpu,p_roks_cpu)+$M506*IF($G506="IKS",p_iks_ram,p_roks_ram))*p_facteur)</f>
        <v/>
      </c>
      <c r="AD506" s="14" t="str">
        <f aca="false">IF($D506&lt;&gt;1,"",IF(AND($G506="IKS",$AI506&lt;&gt;1,OR($L506-$P506&lt;$N506,$M506-$Q506&lt;$O506)),1,0))</f>
        <v/>
      </c>
      <c r="AE506" s="14" t="str">
        <f aca="false">IF($D506&lt;&gt;1,"",IF(AND($G506="ROKS",$T506&gt;p_maxworkers),1,0))</f>
        <v/>
      </c>
      <c r="AF506" s="14" t="str">
        <f aca="false">IF($D506&lt;&gt;1,"",IF(INDEX(TblClusters[Environnement],$B506)="","(vide)",INDEX(TblClusters[Environnement],$B506)))</f>
        <v/>
      </c>
      <c r="AG506" s="14" t="str">
        <f aca="false">IF($D506&lt;&gt;1,"",$R506+p_poidsram*$S506)</f>
        <v/>
      </c>
      <c r="AH506" s="14" t="str">
        <f aca="false">IF($D506&lt;&gt;1,"",IFERROR($W506/$AG506,0))</f>
        <v/>
      </c>
      <c r="AI506" s="14" t="str">
        <f aca="false">IF($D506&lt;&gt;1,"",IF(AND($G506="IKS",ISNUMBER(INDEX(TblClusters[Fermeture retenue],$B506))),IF($E506&gt;=INDEX(TblClusters[Fermeture retenue],$B506),1,0),0))</f>
        <v/>
      </c>
    </row>
    <row r="507" customFormat="false" ht="15" hidden="false" customHeight="false" outlineLevel="0" collapsed="false">
      <c r="A507" s="14" t="n">
        <v>502</v>
      </c>
      <c r="B507" s="14" t="n">
        <f aca="false">INT(($A507-1)/36)+1</f>
        <v>14</v>
      </c>
      <c r="C507" s="14" t="n">
        <f aca="false">MOD($A507-1,36)+1</f>
        <v>34</v>
      </c>
      <c r="D507" s="14" t="n">
        <f aca="false">IF($C507&gt;p_horizon,0,IFERROR(IF(AND(INDEX(TblClusters[Cluster],$B507)&lt;&gt;"",ISNUMBER(INDEX(TblClusters[CPU initial (vCPU)],$B507)),ISNUMBER(INDEX(TblClusters[CPU min (vCPU)],$B507)),OR(INDEX(TblClusters[Plateforme],$B507)="IKS",INDEX(TblClusters[Plateforme],$B507)="ROKS")),1,0),0))</f>
        <v>0</v>
      </c>
      <c r="E507" s="83" t="str">
        <f aca="false">IF($D507=1,EDATE(p_debut,$C507-1),"")</f>
        <v/>
      </c>
      <c r="F507" s="14" t="str">
        <f aca="false">IF($D507=1,INDEX(TblClusters[Cluster],$B507),"")</f>
        <v/>
      </c>
      <c r="G507" s="14" t="str">
        <f aca="false">IF($D507=1,INDEX(TblClusters[Plateforme],$B507),"")</f>
        <v/>
      </c>
      <c r="H507" s="14" t="str">
        <f aca="false">IF($D507=1,INDEX(TblClusters[vCPU par nœud],$B507),"")</f>
        <v/>
      </c>
      <c r="I507" s="14" t="str">
        <f aca="false">IF($D507=1,INDEX(TblClusters[RAM par nœud (Go)],$B507),"")</f>
        <v/>
      </c>
      <c r="J507" s="14" t="str">
        <f aca="false">IF($D507=1,INDEX(TblClusters[Workers min],$B507),"")</f>
        <v/>
      </c>
      <c r="K507" s="84" t="str">
        <f aca="false">IF($D507=1,INDEX(TblClusters[Tarif par nœud],$B507),"")</f>
        <v/>
      </c>
      <c r="L507" s="14" t="str">
        <f aca="false">IF($D507=1,INDEX(TblClusters[CPU initial (vCPU)],$B507),"")</f>
        <v/>
      </c>
      <c r="M507" s="14" t="str">
        <f aca="false">IF($D507=1,INDEX(TblClusters[RAM initiale (Go)],$B507),"")</f>
        <v/>
      </c>
      <c r="N507" s="14" t="str">
        <f aca="false">IF($D507=1,INDEX(TblClusters[CPU min (vCPU)],$B507),"")</f>
        <v/>
      </c>
      <c r="O507" s="14" t="str">
        <f aca="false">IF($D507=1,INDEX(TblClusters[RAM min (Go)],$B507),"")</f>
        <v/>
      </c>
      <c r="P507" s="14" t="str">
        <f aca="false">IF($D507&lt;&gt;1,"",IF($G507="ROKS",SUMIFS(TblApplications[Besoin ROKS CPU (vCPU)],TblApplications[Cluster ROKS cible],$F507,TblApplications[Action],"À migrer",TblApplications[Déjà incluse ROKS],"Non",TblApplications[Mois prov (calc)],"&lt;="&amp;$E507),SUMIFS(TblApplications[CPU IKS libérable (vCPU)],TblApplications[Cluster IKS source],$F507,TblApplications[Mois lib (calc)],"&lt;="&amp;$E507)))</f>
        <v/>
      </c>
      <c r="Q507" s="14" t="str">
        <f aca="false">IF($D507&lt;&gt;1,"",IF($G507="ROKS",SUMIFS(TblApplications[Besoin ROKS RAM (Go)],TblApplications[Cluster ROKS cible],$F507,TblApplications[Action],"À migrer",TblApplications[Déjà incluse ROKS],"Non",TblApplications[Mois prov (calc)],"&lt;="&amp;$E507),SUMIFS(TblApplications[RAM IKS libérable (Go)],TblApplications[Cluster IKS source],$F507,TblApplications[Mois lib (calc)],"&lt;="&amp;$E507)))</f>
        <v/>
      </c>
      <c r="R507" s="14" t="str">
        <f aca="false">IF($D507&lt;&gt;1,"",IF($G507="ROKS",$L507+$P507,IF($AI507=1,0,MAX($N507,$L507-$P507))))</f>
        <v/>
      </c>
      <c r="S507" s="14" t="str">
        <f aca="false">IF($D507&lt;&gt;1,"",IF($G507="ROKS",$M507+$Q507,IF($AI507=1,0,MAX($O507,$M507-$Q507))))</f>
        <v/>
      </c>
      <c r="T507" s="14" t="str">
        <f aca="false">IF($D507&lt;&gt;1,"",IF($AI507=1,0,MAX($J507,ROUNDUP(MAX($R507/$H507,$S507/$I507),0))))</f>
        <v/>
      </c>
      <c r="U507" s="14" t="str">
        <f aca="false">IF($D507&lt;&gt;1,"",IF(p_mode="Nœud",$T507*$H507,$R507))</f>
        <v/>
      </c>
      <c r="V507" s="14" t="str">
        <f aca="false">IF($D507&lt;&gt;1,"",IF(p_mode="Nœud",$T507*$I507,$S507))</f>
        <v/>
      </c>
      <c r="W507" s="84" t="str">
        <f aca="false">IF($D507&lt;&gt;1,"",IF(p_mode="Nœud",$T507*$K507,$R507*IF($G507="IKS",p_iks_cpu,p_roks_cpu)+$S507*IF($G507="IKS",p_iks_ram,p_roks_ram))*p_facteur)</f>
        <v/>
      </c>
      <c r="X507" s="14" t="str">
        <f aca="false">IF($D507&lt;&gt;1,"",IF($G507="ROKS",$R507,IF($AI507=1,0,MAX($N507,$L507-SUMIFS(TblApplications[CPU IKS libérable (vCPU)],TblApplications[Cluster IKS source],$F507,TblApplications[Action],"À migrer",TblApplications[Mois prov (calc)],"&lt;="&amp;$E507)-SUMIFS(TblApplications[CPU IKS libérable (vCPU)],TblApplications[Cluster IKS source],$F507,TblApplications[Action],"À décommissionner",TblApplications[Mois lib (calc)],"&lt;="&amp;$E507)))))</f>
        <v/>
      </c>
      <c r="Y507" s="14" t="str">
        <f aca="false">IF($D507&lt;&gt;1,"",IF($G507="ROKS",$S507,IF($AI507=1,0,MAX($O507,$M507-SUMIFS(TblApplications[RAM IKS libérable (Go)],TblApplications[Cluster IKS source],$F507,TblApplications[Action],"À migrer",TblApplications[Mois prov (calc)],"&lt;="&amp;$E507)-SUMIFS(TblApplications[RAM IKS libérable (Go)],TblApplications[Cluster IKS source],$F507,TblApplications[Action],"À décommissionner",TblApplications[Mois lib (calc)],"&lt;="&amp;$E507)))))</f>
        <v/>
      </c>
      <c r="Z507" s="14" t="str">
        <f aca="false">IF($D507&lt;&gt;1,"",IF($AI507=1,0,MAX($J507,ROUNDUP(MAX($X507/$H507,$Y507/$I507),0))))</f>
        <v/>
      </c>
      <c r="AA507" s="84" t="str">
        <f aca="false">IF($D507&lt;&gt;1,"",IF(p_mode="Nœud",$Z507*$K507,$X507*IF($G507="IKS",p_iks_cpu,p_roks_cpu)+$Y507*IF($G507="IKS",p_iks_ram,p_roks_ram))*p_facteur)</f>
        <v/>
      </c>
      <c r="AB507" s="14" t="str">
        <f aca="false">IF($D507&lt;&gt;1,"",MAX($J507,ROUNDUP(MAX($L507/$H507,$M507/$I507),0)))</f>
        <v/>
      </c>
      <c r="AC507" s="84" t="str">
        <f aca="false">IF($D507&lt;&gt;1,"",IF(p_mode="Nœud",$AB507*$K507,$L507*IF($G507="IKS",p_iks_cpu,p_roks_cpu)+$M507*IF($G507="IKS",p_iks_ram,p_roks_ram))*p_facteur)</f>
        <v/>
      </c>
      <c r="AD507" s="14" t="str">
        <f aca="false">IF($D507&lt;&gt;1,"",IF(AND($G507="IKS",$AI507&lt;&gt;1,OR($L507-$P507&lt;$N507,$M507-$Q507&lt;$O507)),1,0))</f>
        <v/>
      </c>
      <c r="AE507" s="14" t="str">
        <f aca="false">IF($D507&lt;&gt;1,"",IF(AND($G507="ROKS",$T507&gt;p_maxworkers),1,0))</f>
        <v/>
      </c>
      <c r="AF507" s="14" t="str">
        <f aca="false">IF($D507&lt;&gt;1,"",IF(INDEX(TblClusters[Environnement],$B507)="","(vide)",INDEX(TblClusters[Environnement],$B507)))</f>
        <v/>
      </c>
      <c r="AG507" s="14" t="str">
        <f aca="false">IF($D507&lt;&gt;1,"",$R507+p_poidsram*$S507)</f>
        <v/>
      </c>
      <c r="AH507" s="14" t="str">
        <f aca="false">IF($D507&lt;&gt;1,"",IFERROR($W507/$AG507,0))</f>
        <v/>
      </c>
      <c r="AI507" s="14" t="str">
        <f aca="false">IF($D507&lt;&gt;1,"",IF(AND($G507="IKS",ISNUMBER(INDEX(TblClusters[Fermeture retenue],$B507))),IF($E507&gt;=INDEX(TblClusters[Fermeture retenue],$B507),1,0),0))</f>
        <v/>
      </c>
    </row>
    <row r="508" customFormat="false" ht="15" hidden="false" customHeight="false" outlineLevel="0" collapsed="false">
      <c r="A508" s="14" t="n">
        <v>503</v>
      </c>
      <c r="B508" s="14" t="n">
        <f aca="false">INT(($A508-1)/36)+1</f>
        <v>14</v>
      </c>
      <c r="C508" s="14" t="n">
        <f aca="false">MOD($A508-1,36)+1</f>
        <v>35</v>
      </c>
      <c r="D508" s="14" t="n">
        <f aca="false">IF($C508&gt;p_horizon,0,IFERROR(IF(AND(INDEX(TblClusters[Cluster],$B508)&lt;&gt;"",ISNUMBER(INDEX(TblClusters[CPU initial (vCPU)],$B508)),ISNUMBER(INDEX(TblClusters[CPU min (vCPU)],$B508)),OR(INDEX(TblClusters[Plateforme],$B508)="IKS",INDEX(TblClusters[Plateforme],$B508)="ROKS")),1,0),0))</f>
        <v>0</v>
      </c>
      <c r="E508" s="83" t="str">
        <f aca="false">IF($D508=1,EDATE(p_debut,$C508-1),"")</f>
        <v/>
      </c>
      <c r="F508" s="14" t="str">
        <f aca="false">IF($D508=1,INDEX(TblClusters[Cluster],$B508),"")</f>
        <v/>
      </c>
      <c r="G508" s="14" t="str">
        <f aca="false">IF($D508=1,INDEX(TblClusters[Plateforme],$B508),"")</f>
        <v/>
      </c>
      <c r="H508" s="14" t="str">
        <f aca="false">IF($D508=1,INDEX(TblClusters[vCPU par nœud],$B508),"")</f>
        <v/>
      </c>
      <c r="I508" s="14" t="str">
        <f aca="false">IF($D508=1,INDEX(TblClusters[RAM par nœud (Go)],$B508),"")</f>
        <v/>
      </c>
      <c r="J508" s="14" t="str">
        <f aca="false">IF($D508=1,INDEX(TblClusters[Workers min],$B508),"")</f>
        <v/>
      </c>
      <c r="K508" s="84" t="str">
        <f aca="false">IF($D508=1,INDEX(TblClusters[Tarif par nœud],$B508),"")</f>
        <v/>
      </c>
      <c r="L508" s="14" t="str">
        <f aca="false">IF($D508=1,INDEX(TblClusters[CPU initial (vCPU)],$B508),"")</f>
        <v/>
      </c>
      <c r="M508" s="14" t="str">
        <f aca="false">IF($D508=1,INDEX(TblClusters[RAM initiale (Go)],$B508),"")</f>
        <v/>
      </c>
      <c r="N508" s="14" t="str">
        <f aca="false">IF($D508=1,INDEX(TblClusters[CPU min (vCPU)],$B508),"")</f>
        <v/>
      </c>
      <c r="O508" s="14" t="str">
        <f aca="false">IF($D508=1,INDEX(TblClusters[RAM min (Go)],$B508),"")</f>
        <v/>
      </c>
      <c r="P508" s="14" t="str">
        <f aca="false">IF($D508&lt;&gt;1,"",IF($G508="ROKS",SUMIFS(TblApplications[Besoin ROKS CPU (vCPU)],TblApplications[Cluster ROKS cible],$F508,TblApplications[Action],"À migrer",TblApplications[Déjà incluse ROKS],"Non",TblApplications[Mois prov (calc)],"&lt;="&amp;$E508),SUMIFS(TblApplications[CPU IKS libérable (vCPU)],TblApplications[Cluster IKS source],$F508,TblApplications[Mois lib (calc)],"&lt;="&amp;$E508)))</f>
        <v/>
      </c>
      <c r="Q508" s="14" t="str">
        <f aca="false">IF($D508&lt;&gt;1,"",IF($G508="ROKS",SUMIFS(TblApplications[Besoin ROKS RAM (Go)],TblApplications[Cluster ROKS cible],$F508,TblApplications[Action],"À migrer",TblApplications[Déjà incluse ROKS],"Non",TblApplications[Mois prov (calc)],"&lt;="&amp;$E508),SUMIFS(TblApplications[RAM IKS libérable (Go)],TblApplications[Cluster IKS source],$F508,TblApplications[Mois lib (calc)],"&lt;="&amp;$E508)))</f>
        <v/>
      </c>
      <c r="R508" s="14" t="str">
        <f aca="false">IF($D508&lt;&gt;1,"",IF($G508="ROKS",$L508+$P508,IF($AI508=1,0,MAX($N508,$L508-$P508))))</f>
        <v/>
      </c>
      <c r="S508" s="14" t="str">
        <f aca="false">IF($D508&lt;&gt;1,"",IF($G508="ROKS",$M508+$Q508,IF($AI508=1,0,MAX($O508,$M508-$Q508))))</f>
        <v/>
      </c>
      <c r="T508" s="14" t="str">
        <f aca="false">IF($D508&lt;&gt;1,"",IF($AI508=1,0,MAX($J508,ROUNDUP(MAX($R508/$H508,$S508/$I508),0))))</f>
        <v/>
      </c>
      <c r="U508" s="14" t="str">
        <f aca="false">IF($D508&lt;&gt;1,"",IF(p_mode="Nœud",$T508*$H508,$R508))</f>
        <v/>
      </c>
      <c r="V508" s="14" t="str">
        <f aca="false">IF($D508&lt;&gt;1,"",IF(p_mode="Nœud",$T508*$I508,$S508))</f>
        <v/>
      </c>
      <c r="W508" s="84" t="str">
        <f aca="false">IF($D508&lt;&gt;1,"",IF(p_mode="Nœud",$T508*$K508,$R508*IF($G508="IKS",p_iks_cpu,p_roks_cpu)+$S508*IF($G508="IKS",p_iks_ram,p_roks_ram))*p_facteur)</f>
        <v/>
      </c>
      <c r="X508" s="14" t="str">
        <f aca="false">IF($D508&lt;&gt;1,"",IF($G508="ROKS",$R508,IF($AI508=1,0,MAX($N508,$L508-SUMIFS(TblApplications[CPU IKS libérable (vCPU)],TblApplications[Cluster IKS source],$F508,TblApplications[Action],"À migrer",TblApplications[Mois prov (calc)],"&lt;="&amp;$E508)-SUMIFS(TblApplications[CPU IKS libérable (vCPU)],TblApplications[Cluster IKS source],$F508,TblApplications[Action],"À décommissionner",TblApplications[Mois lib (calc)],"&lt;="&amp;$E508)))))</f>
        <v/>
      </c>
      <c r="Y508" s="14" t="str">
        <f aca="false">IF($D508&lt;&gt;1,"",IF($G508="ROKS",$S508,IF($AI508=1,0,MAX($O508,$M508-SUMIFS(TblApplications[RAM IKS libérable (Go)],TblApplications[Cluster IKS source],$F508,TblApplications[Action],"À migrer",TblApplications[Mois prov (calc)],"&lt;="&amp;$E508)-SUMIFS(TblApplications[RAM IKS libérable (Go)],TblApplications[Cluster IKS source],$F508,TblApplications[Action],"À décommissionner",TblApplications[Mois lib (calc)],"&lt;="&amp;$E508)))))</f>
        <v/>
      </c>
      <c r="Z508" s="14" t="str">
        <f aca="false">IF($D508&lt;&gt;1,"",IF($AI508=1,0,MAX($J508,ROUNDUP(MAX($X508/$H508,$Y508/$I508),0))))</f>
        <v/>
      </c>
      <c r="AA508" s="84" t="str">
        <f aca="false">IF($D508&lt;&gt;1,"",IF(p_mode="Nœud",$Z508*$K508,$X508*IF($G508="IKS",p_iks_cpu,p_roks_cpu)+$Y508*IF($G508="IKS",p_iks_ram,p_roks_ram))*p_facteur)</f>
        <v/>
      </c>
      <c r="AB508" s="14" t="str">
        <f aca="false">IF($D508&lt;&gt;1,"",MAX($J508,ROUNDUP(MAX($L508/$H508,$M508/$I508),0)))</f>
        <v/>
      </c>
      <c r="AC508" s="84" t="str">
        <f aca="false">IF($D508&lt;&gt;1,"",IF(p_mode="Nœud",$AB508*$K508,$L508*IF($G508="IKS",p_iks_cpu,p_roks_cpu)+$M508*IF($G508="IKS",p_iks_ram,p_roks_ram))*p_facteur)</f>
        <v/>
      </c>
      <c r="AD508" s="14" t="str">
        <f aca="false">IF($D508&lt;&gt;1,"",IF(AND($G508="IKS",$AI508&lt;&gt;1,OR($L508-$P508&lt;$N508,$M508-$Q508&lt;$O508)),1,0))</f>
        <v/>
      </c>
      <c r="AE508" s="14" t="str">
        <f aca="false">IF($D508&lt;&gt;1,"",IF(AND($G508="ROKS",$T508&gt;p_maxworkers),1,0))</f>
        <v/>
      </c>
      <c r="AF508" s="14" t="str">
        <f aca="false">IF($D508&lt;&gt;1,"",IF(INDEX(TblClusters[Environnement],$B508)="","(vide)",INDEX(TblClusters[Environnement],$B508)))</f>
        <v/>
      </c>
      <c r="AG508" s="14" t="str">
        <f aca="false">IF($D508&lt;&gt;1,"",$R508+p_poidsram*$S508)</f>
        <v/>
      </c>
      <c r="AH508" s="14" t="str">
        <f aca="false">IF($D508&lt;&gt;1,"",IFERROR($W508/$AG508,0))</f>
        <v/>
      </c>
      <c r="AI508" s="14" t="str">
        <f aca="false">IF($D508&lt;&gt;1,"",IF(AND($G508="IKS",ISNUMBER(INDEX(TblClusters[Fermeture retenue],$B508))),IF($E508&gt;=INDEX(TblClusters[Fermeture retenue],$B508),1,0),0))</f>
        <v/>
      </c>
    </row>
    <row r="509" customFormat="false" ht="15" hidden="false" customHeight="false" outlineLevel="0" collapsed="false">
      <c r="A509" s="14" t="n">
        <v>504</v>
      </c>
      <c r="B509" s="14" t="n">
        <f aca="false">INT(($A509-1)/36)+1</f>
        <v>14</v>
      </c>
      <c r="C509" s="14" t="n">
        <f aca="false">MOD($A509-1,36)+1</f>
        <v>36</v>
      </c>
      <c r="D509" s="14" t="n">
        <f aca="false">IF($C509&gt;p_horizon,0,IFERROR(IF(AND(INDEX(TblClusters[Cluster],$B509)&lt;&gt;"",ISNUMBER(INDEX(TblClusters[CPU initial (vCPU)],$B509)),ISNUMBER(INDEX(TblClusters[CPU min (vCPU)],$B509)),OR(INDEX(TblClusters[Plateforme],$B509)="IKS",INDEX(TblClusters[Plateforme],$B509)="ROKS")),1,0),0))</f>
        <v>0</v>
      </c>
      <c r="E509" s="83" t="str">
        <f aca="false">IF($D509=1,EDATE(p_debut,$C509-1),"")</f>
        <v/>
      </c>
      <c r="F509" s="14" t="str">
        <f aca="false">IF($D509=1,INDEX(TblClusters[Cluster],$B509),"")</f>
        <v/>
      </c>
      <c r="G509" s="14" t="str">
        <f aca="false">IF($D509=1,INDEX(TblClusters[Plateforme],$B509),"")</f>
        <v/>
      </c>
      <c r="H509" s="14" t="str">
        <f aca="false">IF($D509=1,INDEX(TblClusters[vCPU par nœud],$B509),"")</f>
        <v/>
      </c>
      <c r="I509" s="14" t="str">
        <f aca="false">IF($D509=1,INDEX(TblClusters[RAM par nœud (Go)],$B509),"")</f>
        <v/>
      </c>
      <c r="J509" s="14" t="str">
        <f aca="false">IF($D509=1,INDEX(TblClusters[Workers min],$B509),"")</f>
        <v/>
      </c>
      <c r="K509" s="84" t="str">
        <f aca="false">IF($D509=1,INDEX(TblClusters[Tarif par nœud],$B509),"")</f>
        <v/>
      </c>
      <c r="L509" s="14" t="str">
        <f aca="false">IF($D509=1,INDEX(TblClusters[CPU initial (vCPU)],$B509),"")</f>
        <v/>
      </c>
      <c r="M509" s="14" t="str">
        <f aca="false">IF($D509=1,INDEX(TblClusters[RAM initiale (Go)],$B509),"")</f>
        <v/>
      </c>
      <c r="N509" s="14" t="str">
        <f aca="false">IF($D509=1,INDEX(TblClusters[CPU min (vCPU)],$B509),"")</f>
        <v/>
      </c>
      <c r="O509" s="14" t="str">
        <f aca="false">IF($D509=1,INDEX(TblClusters[RAM min (Go)],$B509),"")</f>
        <v/>
      </c>
      <c r="P509" s="14" t="str">
        <f aca="false">IF($D509&lt;&gt;1,"",IF($G509="ROKS",SUMIFS(TblApplications[Besoin ROKS CPU (vCPU)],TblApplications[Cluster ROKS cible],$F509,TblApplications[Action],"À migrer",TblApplications[Déjà incluse ROKS],"Non",TblApplications[Mois prov (calc)],"&lt;="&amp;$E509),SUMIFS(TblApplications[CPU IKS libérable (vCPU)],TblApplications[Cluster IKS source],$F509,TblApplications[Mois lib (calc)],"&lt;="&amp;$E509)))</f>
        <v/>
      </c>
      <c r="Q509" s="14" t="str">
        <f aca="false">IF($D509&lt;&gt;1,"",IF($G509="ROKS",SUMIFS(TblApplications[Besoin ROKS RAM (Go)],TblApplications[Cluster ROKS cible],$F509,TblApplications[Action],"À migrer",TblApplications[Déjà incluse ROKS],"Non",TblApplications[Mois prov (calc)],"&lt;="&amp;$E509),SUMIFS(TblApplications[RAM IKS libérable (Go)],TblApplications[Cluster IKS source],$F509,TblApplications[Mois lib (calc)],"&lt;="&amp;$E509)))</f>
        <v/>
      </c>
      <c r="R509" s="14" t="str">
        <f aca="false">IF($D509&lt;&gt;1,"",IF($G509="ROKS",$L509+$P509,IF($AI509=1,0,MAX($N509,$L509-$P509))))</f>
        <v/>
      </c>
      <c r="S509" s="14" t="str">
        <f aca="false">IF($D509&lt;&gt;1,"",IF($G509="ROKS",$M509+$Q509,IF($AI509=1,0,MAX($O509,$M509-$Q509))))</f>
        <v/>
      </c>
      <c r="T509" s="14" t="str">
        <f aca="false">IF($D509&lt;&gt;1,"",IF($AI509=1,0,MAX($J509,ROUNDUP(MAX($R509/$H509,$S509/$I509),0))))</f>
        <v/>
      </c>
      <c r="U509" s="14" t="str">
        <f aca="false">IF($D509&lt;&gt;1,"",IF(p_mode="Nœud",$T509*$H509,$R509))</f>
        <v/>
      </c>
      <c r="V509" s="14" t="str">
        <f aca="false">IF($D509&lt;&gt;1,"",IF(p_mode="Nœud",$T509*$I509,$S509))</f>
        <v/>
      </c>
      <c r="W509" s="84" t="str">
        <f aca="false">IF($D509&lt;&gt;1,"",IF(p_mode="Nœud",$T509*$K509,$R509*IF($G509="IKS",p_iks_cpu,p_roks_cpu)+$S509*IF($G509="IKS",p_iks_ram,p_roks_ram))*p_facteur)</f>
        <v/>
      </c>
      <c r="X509" s="14" t="str">
        <f aca="false">IF($D509&lt;&gt;1,"",IF($G509="ROKS",$R509,IF($AI509=1,0,MAX($N509,$L509-SUMIFS(TblApplications[CPU IKS libérable (vCPU)],TblApplications[Cluster IKS source],$F509,TblApplications[Action],"À migrer",TblApplications[Mois prov (calc)],"&lt;="&amp;$E509)-SUMIFS(TblApplications[CPU IKS libérable (vCPU)],TblApplications[Cluster IKS source],$F509,TblApplications[Action],"À décommissionner",TblApplications[Mois lib (calc)],"&lt;="&amp;$E509)))))</f>
        <v/>
      </c>
      <c r="Y509" s="14" t="str">
        <f aca="false">IF($D509&lt;&gt;1,"",IF($G509="ROKS",$S509,IF($AI509=1,0,MAX($O509,$M509-SUMIFS(TblApplications[RAM IKS libérable (Go)],TblApplications[Cluster IKS source],$F509,TblApplications[Action],"À migrer",TblApplications[Mois prov (calc)],"&lt;="&amp;$E509)-SUMIFS(TblApplications[RAM IKS libérable (Go)],TblApplications[Cluster IKS source],$F509,TblApplications[Action],"À décommissionner",TblApplications[Mois lib (calc)],"&lt;="&amp;$E509)))))</f>
        <v/>
      </c>
      <c r="Z509" s="14" t="str">
        <f aca="false">IF($D509&lt;&gt;1,"",IF($AI509=1,0,MAX($J509,ROUNDUP(MAX($X509/$H509,$Y509/$I509),0))))</f>
        <v/>
      </c>
      <c r="AA509" s="84" t="str">
        <f aca="false">IF($D509&lt;&gt;1,"",IF(p_mode="Nœud",$Z509*$K509,$X509*IF($G509="IKS",p_iks_cpu,p_roks_cpu)+$Y509*IF($G509="IKS",p_iks_ram,p_roks_ram))*p_facteur)</f>
        <v/>
      </c>
      <c r="AB509" s="14" t="str">
        <f aca="false">IF($D509&lt;&gt;1,"",MAX($J509,ROUNDUP(MAX($L509/$H509,$M509/$I509),0)))</f>
        <v/>
      </c>
      <c r="AC509" s="84" t="str">
        <f aca="false">IF($D509&lt;&gt;1,"",IF(p_mode="Nœud",$AB509*$K509,$L509*IF($G509="IKS",p_iks_cpu,p_roks_cpu)+$M509*IF($G509="IKS",p_iks_ram,p_roks_ram))*p_facteur)</f>
        <v/>
      </c>
      <c r="AD509" s="14" t="str">
        <f aca="false">IF($D509&lt;&gt;1,"",IF(AND($G509="IKS",$AI509&lt;&gt;1,OR($L509-$P509&lt;$N509,$M509-$Q509&lt;$O509)),1,0))</f>
        <v/>
      </c>
      <c r="AE509" s="14" t="str">
        <f aca="false">IF($D509&lt;&gt;1,"",IF(AND($G509="ROKS",$T509&gt;p_maxworkers),1,0))</f>
        <v/>
      </c>
      <c r="AF509" s="14" t="str">
        <f aca="false">IF($D509&lt;&gt;1,"",IF(INDEX(TblClusters[Environnement],$B509)="","(vide)",INDEX(TblClusters[Environnement],$B509)))</f>
        <v/>
      </c>
      <c r="AG509" s="14" t="str">
        <f aca="false">IF($D509&lt;&gt;1,"",$R509+p_poidsram*$S509)</f>
        <v/>
      </c>
      <c r="AH509" s="14" t="str">
        <f aca="false">IF($D509&lt;&gt;1,"",IFERROR($W509/$AG509,0))</f>
        <v/>
      </c>
      <c r="AI509" s="14" t="str">
        <f aca="false">IF($D509&lt;&gt;1,"",IF(AND($G509="IKS",ISNUMBER(INDEX(TblClusters[Fermeture retenue],$B509))),IF($E509&gt;=INDEX(TblClusters[Fermeture retenue],$B509),1,0),0))</f>
        <v/>
      </c>
    </row>
    <row r="510" customFormat="false" ht="15" hidden="false" customHeight="false" outlineLevel="0" collapsed="false">
      <c r="A510" s="14" t="n">
        <v>505</v>
      </c>
      <c r="B510" s="14" t="n">
        <f aca="false">INT(($A510-1)/36)+1</f>
        <v>15</v>
      </c>
      <c r="C510" s="14" t="n">
        <f aca="false">MOD($A510-1,36)+1</f>
        <v>1</v>
      </c>
      <c r="D510" s="14" t="n">
        <f aca="false">IF($C510&gt;p_horizon,0,IFERROR(IF(AND(INDEX(TblClusters[Cluster],$B510)&lt;&gt;"",ISNUMBER(INDEX(TblClusters[CPU initial (vCPU)],$B510)),ISNUMBER(INDEX(TblClusters[CPU min (vCPU)],$B510)),OR(INDEX(TblClusters[Plateforme],$B510)="IKS",INDEX(TblClusters[Plateforme],$B510)="ROKS")),1,0),0))</f>
        <v>0</v>
      </c>
      <c r="E510" s="83" t="str">
        <f aca="false">IF($D510=1,EDATE(p_debut,$C510-1),"")</f>
        <v/>
      </c>
      <c r="F510" s="14" t="str">
        <f aca="false">IF($D510=1,INDEX(TblClusters[Cluster],$B510),"")</f>
        <v/>
      </c>
      <c r="G510" s="14" t="str">
        <f aca="false">IF($D510=1,INDEX(TblClusters[Plateforme],$B510),"")</f>
        <v/>
      </c>
      <c r="H510" s="14" t="str">
        <f aca="false">IF($D510=1,INDEX(TblClusters[vCPU par nœud],$B510),"")</f>
        <v/>
      </c>
      <c r="I510" s="14" t="str">
        <f aca="false">IF($D510=1,INDEX(TblClusters[RAM par nœud (Go)],$B510),"")</f>
        <v/>
      </c>
      <c r="J510" s="14" t="str">
        <f aca="false">IF($D510=1,INDEX(TblClusters[Workers min],$B510),"")</f>
        <v/>
      </c>
      <c r="K510" s="84" t="str">
        <f aca="false">IF($D510=1,INDEX(TblClusters[Tarif par nœud],$B510),"")</f>
        <v/>
      </c>
      <c r="L510" s="14" t="str">
        <f aca="false">IF($D510=1,INDEX(TblClusters[CPU initial (vCPU)],$B510),"")</f>
        <v/>
      </c>
      <c r="M510" s="14" t="str">
        <f aca="false">IF($D510=1,INDEX(TblClusters[RAM initiale (Go)],$B510),"")</f>
        <v/>
      </c>
      <c r="N510" s="14" t="str">
        <f aca="false">IF($D510=1,INDEX(TblClusters[CPU min (vCPU)],$B510),"")</f>
        <v/>
      </c>
      <c r="O510" s="14" t="str">
        <f aca="false">IF($D510=1,INDEX(TblClusters[RAM min (Go)],$B510),"")</f>
        <v/>
      </c>
      <c r="P510" s="14" t="str">
        <f aca="false">IF($D510&lt;&gt;1,"",IF($G510="ROKS",SUMIFS(TblApplications[Besoin ROKS CPU (vCPU)],TblApplications[Cluster ROKS cible],$F510,TblApplications[Action],"À migrer",TblApplications[Déjà incluse ROKS],"Non",TblApplications[Mois prov (calc)],"&lt;="&amp;$E510),SUMIFS(TblApplications[CPU IKS libérable (vCPU)],TblApplications[Cluster IKS source],$F510,TblApplications[Mois lib (calc)],"&lt;="&amp;$E510)))</f>
        <v/>
      </c>
      <c r="Q510" s="14" t="str">
        <f aca="false">IF($D510&lt;&gt;1,"",IF($G510="ROKS",SUMIFS(TblApplications[Besoin ROKS RAM (Go)],TblApplications[Cluster ROKS cible],$F510,TblApplications[Action],"À migrer",TblApplications[Déjà incluse ROKS],"Non",TblApplications[Mois prov (calc)],"&lt;="&amp;$E510),SUMIFS(TblApplications[RAM IKS libérable (Go)],TblApplications[Cluster IKS source],$F510,TblApplications[Mois lib (calc)],"&lt;="&amp;$E510)))</f>
        <v/>
      </c>
      <c r="R510" s="14" t="str">
        <f aca="false">IF($D510&lt;&gt;1,"",IF($G510="ROKS",$L510+$P510,IF($AI510=1,0,MAX($N510,$L510-$P510))))</f>
        <v/>
      </c>
      <c r="S510" s="14" t="str">
        <f aca="false">IF($D510&lt;&gt;1,"",IF($G510="ROKS",$M510+$Q510,IF($AI510=1,0,MAX($O510,$M510-$Q510))))</f>
        <v/>
      </c>
      <c r="T510" s="14" t="str">
        <f aca="false">IF($D510&lt;&gt;1,"",IF($AI510=1,0,MAX($J510,ROUNDUP(MAX($R510/$H510,$S510/$I510),0))))</f>
        <v/>
      </c>
      <c r="U510" s="14" t="str">
        <f aca="false">IF($D510&lt;&gt;1,"",IF(p_mode="Nœud",$T510*$H510,$R510))</f>
        <v/>
      </c>
      <c r="V510" s="14" t="str">
        <f aca="false">IF($D510&lt;&gt;1,"",IF(p_mode="Nœud",$T510*$I510,$S510))</f>
        <v/>
      </c>
      <c r="W510" s="84" t="str">
        <f aca="false">IF($D510&lt;&gt;1,"",IF(p_mode="Nœud",$T510*$K510,$R510*IF($G510="IKS",p_iks_cpu,p_roks_cpu)+$S510*IF($G510="IKS",p_iks_ram,p_roks_ram))*p_facteur)</f>
        <v/>
      </c>
      <c r="X510" s="14" t="str">
        <f aca="false">IF($D510&lt;&gt;1,"",IF($G510="ROKS",$R510,IF($AI510=1,0,MAX($N510,$L510-SUMIFS(TblApplications[CPU IKS libérable (vCPU)],TblApplications[Cluster IKS source],$F510,TblApplications[Action],"À migrer",TblApplications[Mois prov (calc)],"&lt;="&amp;$E510)-SUMIFS(TblApplications[CPU IKS libérable (vCPU)],TblApplications[Cluster IKS source],$F510,TblApplications[Action],"À décommissionner",TblApplications[Mois lib (calc)],"&lt;="&amp;$E510)))))</f>
        <v/>
      </c>
      <c r="Y510" s="14" t="str">
        <f aca="false">IF($D510&lt;&gt;1,"",IF($G510="ROKS",$S510,IF($AI510=1,0,MAX($O510,$M510-SUMIFS(TblApplications[RAM IKS libérable (Go)],TblApplications[Cluster IKS source],$F510,TblApplications[Action],"À migrer",TblApplications[Mois prov (calc)],"&lt;="&amp;$E510)-SUMIFS(TblApplications[RAM IKS libérable (Go)],TblApplications[Cluster IKS source],$F510,TblApplications[Action],"À décommissionner",TblApplications[Mois lib (calc)],"&lt;="&amp;$E510)))))</f>
        <v/>
      </c>
      <c r="Z510" s="14" t="str">
        <f aca="false">IF($D510&lt;&gt;1,"",IF($AI510=1,0,MAX($J510,ROUNDUP(MAX($X510/$H510,$Y510/$I510),0))))</f>
        <v/>
      </c>
      <c r="AA510" s="84" t="str">
        <f aca="false">IF($D510&lt;&gt;1,"",IF(p_mode="Nœud",$Z510*$K510,$X510*IF($G510="IKS",p_iks_cpu,p_roks_cpu)+$Y510*IF($G510="IKS",p_iks_ram,p_roks_ram))*p_facteur)</f>
        <v/>
      </c>
      <c r="AB510" s="14" t="str">
        <f aca="false">IF($D510&lt;&gt;1,"",MAX($J510,ROUNDUP(MAX($L510/$H510,$M510/$I510),0)))</f>
        <v/>
      </c>
      <c r="AC510" s="84" t="str">
        <f aca="false">IF($D510&lt;&gt;1,"",IF(p_mode="Nœud",$AB510*$K510,$L510*IF($G510="IKS",p_iks_cpu,p_roks_cpu)+$M510*IF($G510="IKS",p_iks_ram,p_roks_ram))*p_facteur)</f>
        <v/>
      </c>
      <c r="AD510" s="14" t="str">
        <f aca="false">IF($D510&lt;&gt;1,"",IF(AND($G510="IKS",$AI510&lt;&gt;1,OR($L510-$P510&lt;$N510,$M510-$Q510&lt;$O510)),1,0))</f>
        <v/>
      </c>
      <c r="AE510" s="14" t="str">
        <f aca="false">IF($D510&lt;&gt;1,"",IF(AND($G510="ROKS",$T510&gt;p_maxworkers),1,0))</f>
        <v/>
      </c>
      <c r="AF510" s="14" t="str">
        <f aca="false">IF($D510&lt;&gt;1,"",IF(INDEX(TblClusters[Environnement],$B510)="","(vide)",INDEX(TblClusters[Environnement],$B510)))</f>
        <v/>
      </c>
      <c r="AG510" s="14" t="str">
        <f aca="false">IF($D510&lt;&gt;1,"",$R510+p_poidsram*$S510)</f>
        <v/>
      </c>
      <c r="AH510" s="14" t="str">
        <f aca="false">IF($D510&lt;&gt;1,"",IFERROR($W510/$AG510,0))</f>
        <v/>
      </c>
      <c r="AI510" s="14" t="str">
        <f aca="false">IF($D510&lt;&gt;1,"",IF(AND($G510="IKS",ISNUMBER(INDEX(TblClusters[Fermeture retenue],$B510))),IF($E510&gt;=INDEX(TblClusters[Fermeture retenue],$B510),1,0),0))</f>
        <v/>
      </c>
    </row>
    <row r="511" customFormat="false" ht="15" hidden="false" customHeight="false" outlineLevel="0" collapsed="false">
      <c r="A511" s="14" t="n">
        <v>506</v>
      </c>
      <c r="B511" s="14" t="n">
        <f aca="false">INT(($A511-1)/36)+1</f>
        <v>15</v>
      </c>
      <c r="C511" s="14" t="n">
        <f aca="false">MOD($A511-1,36)+1</f>
        <v>2</v>
      </c>
      <c r="D511" s="14" t="n">
        <f aca="false">IF($C511&gt;p_horizon,0,IFERROR(IF(AND(INDEX(TblClusters[Cluster],$B511)&lt;&gt;"",ISNUMBER(INDEX(TblClusters[CPU initial (vCPU)],$B511)),ISNUMBER(INDEX(TblClusters[CPU min (vCPU)],$B511)),OR(INDEX(TblClusters[Plateforme],$B511)="IKS",INDEX(TblClusters[Plateforme],$B511)="ROKS")),1,0),0))</f>
        <v>0</v>
      </c>
      <c r="E511" s="83" t="str">
        <f aca="false">IF($D511=1,EDATE(p_debut,$C511-1),"")</f>
        <v/>
      </c>
      <c r="F511" s="14" t="str">
        <f aca="false">IF($D511=1,INDEX(TblClusters[Cluster],$B511),"")</f>
        <v/>
      </c>
      <c r="G511" s="14" t="str">
        <f aca="false">IF($D511=1,INDEX(TblClusters[Plateforme],$B511),"")</f>
        <v/>
      </c>
      <c r="H511" s="14" t="str">
        <f aca="false">IF($D511=1,INDEX(TblClusters[vCPU par nœud],$B511),"")</f>
        <v/>
      </c>
      <c r="I511" s="14" t="str">
        <f aca="false">IF($D511=1,INDEX(TblClusters[RAM par nœud (Go)],$B511),"")</f>
        <v/>
      </c>
      <c r="J511" s="14" t="str">
        <f aca="false">IF($D511=1,INDEX(TblClusters[Workers min],$B511),"")</f>
        <v/>
      </c>
      <c r="K511" s="84" t="str">
        <f aca="false">IF($D511=1,INDEX(TblClusters[Tarif par nœud],$B511),"")</f>
        <v/>
      </c>
      <c r="L511" s="14" t="str">
        <f aca="false">IF($D511=1,INDEX(TblClusters[CPU initial (vCPU)],$B511),"")</f>
        <v/>
      </c>
      <c r="M511" s="14" t="str">
        <f aca="false">IF($D511=1,INDEX(TblClusters[RAM initiale (Go)],$B511),"")</f>
        <v/>
      </c>
      <c r="N511" s="14" t="str">
        <f aca="false">IF($D511=1,INDEX(TblClusters[CPU min (vCPU)],$B511),"")</f>
        <v/>
      </c>
      <c r="O511" s="14" t="str">
        <f aca="false">IF($D511=1,INDEX(TblClusters[RAM min (Go)],$B511),"")</f>
        <v/>
      </c>
      <c r="P511" s="14" t="str">
        <f aca="false">IF($D511&lt;&gt;1,"",IF($G511="ROKS",SUMIFS(TblApplications[Besoin ROKS CPU (vCPU)],TblApplications[Cluster ROKS cible],$F511,TblApplications[Action],"À migrer",TblApplications[Déjà incluse ROKS],"Non",TblApplications[Mois prov (calc)],"&lt;="&amp;$E511),SUMIFS(TblApplications[CPU IKS libérable (vCPU)],TblApplications[Cluster IKS source],$F511,TblApplications[Mois lib (calc)],"&lt;="&amp;$E511)))</f>
        <v/>
      </c>
      <c r="Q511" s="14" t="str">
        <f aca="false">IF($D511&lt;&gt;1,"",IF($G511="ROKS",SUMIFS(TblApplications[Besoin ROKS RAM (Go)],TblApplications[Cluster ROKS cible],$F511,TblApplications[Action],"À migrer",TblApplications[Déjà incluse ROKS],"Non",TblApplications[Mois prov (calc)],"&lt;="&amp;$E511),SUMIFS(TblApplications[RAM IKS libérable (Go)],TblApplications[Cluster IKS source],$F511,TblApplications[Mois lib (calc)],"&lt;="&amp;$E511)))</f>
        <v/>
      </c>
      <c r="R511" s="14" t="str">
        <f aca="false">IF($D511&lt;&gt;1,"",IF($G511="ROKS",$L511+$P511,IF($AI511=1,0,MAX($N511,$L511-$P511))))</f>
        <v/>
      </c>
      <c r="S511" s="14" t="str">
        <f aca="false">IF($D511&lt;&gt;1,"",IF($G511="ROKS",$M511+$Q511,IF($AI511=1,0,MAX($O511,$M511-$Q511))))</f>
        <v/>
      </c>
      <c r="T511" s="14" t="str">
        <f aca="false">IF($D511&lt;&gt;1,"",IF($AI511=1,0,MAX($J511,ROUNDUP(MAX($R511/$H511,$S511/$I511),0))))</f>
        <v/>
      </c>
      <c r="U511" s="14" t="str">
        <f aca="false">IF($D511&lt;&gt;1,"",IF(p_mode="Nœud",$T511*$H511,$R511))</f>
        <v/>
      </c>
      <c r="V511" s="14" t="str">
        <f aca="false">IF($D511&lt;&gt;1,"",IF(p_mode="Nœud",$T511*$I511,$S511))</f>
        <v/>
      </c>
      <c r="W511" s="84" t="str">
        <f aca="false">IF($D511&lt;&gt;1,"",IF(p_mode="Nœud",$T511*$K511,$R511*IF($G511="IKS",p_iks_cpu,p_roks_cpu)+$S511*IF($G511="IKS",p_iks_ram,p_roks_ram))*p_facteur)</f>
        <v/>
      </c>
      <c r="X511" s="14" t="str">
        <f aca="false">IF($D511&lt;&gt;1,"",IF($G511="ROKS",$R511,IF($AI511=1,0,MAX($N511,$L511-SUMIFS(TblApplications[CPU IKS libérable (vCPU)],TblApplications[Cluster IKS source],$F511,TblApplications[Action],"À migrer",TblApplications[Mois prov (calc)],"&lt;="&amp;$E511)-SUMIFS(TblApplications[CPU IKS libérable (vCPU)],TblApplications[Cluster IKS source],$F511,TblApplications[Action],"À décommissionner",TblApplications[Mois lib (calc)],"&lt;="&amp;$E511)))))</f>
        <v/>
      </c>
      <c r="Y511" s="14" t="str">
        <f aca="false">IF($D511&lt;&gt;1,"",IF($G511="ROKS",$S511,IF($AI511=1,0,MAX($O511,$M511-SUMIFS(TblApplications[RAM IKS libérable (Go)],TblApplications[Cluster IKS source],$F511,TblApplications[Action],"À migrer",TblApplications[Mois prov (calc)],"&lt;="&amp;$E511)-SUMIFS(TblApplications[RAM IKS libérable (Go)],TblApplications[Cluster IKS source],$F511,TblApplications[Action],"À décommissionner",TblApplications[Mois lib (calc)],"&lt;="&amp;$E511)))))</f>
        <v/>
      </c>
      <c r="Z511" s="14" t="str">
        <f aca="false">IF($D511&lt;&gt;1,"",IF($AI511=1,0,MAX($J511,ROUNDUP(MAX($X511/$H511,$Y511/$I511),0))))</f>
        <v/>
      </c>
      <c r="AA511" s="84" t="str">
        <f aca="false">IF($D511&lt;&gt;1,"",IF(p_mode="Nœud",$Z511*$K511,$X511*IF($G511="IKS",p_iks_cpu,p_roks_cpu)+$Y511*IF($G511="IKS",p_iks_ram,p_roks_ram))*p_facteur)</f>
        <v/>
      </c>
      <c r="AB511" s="14" t="str">
        <f aca="false">IF($D511&lt;&gt;1,"",MAX($J511,ROUNDUP(MAX($L511/$H511,$M511/$I511),0)))</f>
        <v/>
      </c>
      <c r="AC511" s="84" t="str">
        <f aca="false">IF($D511&lt;&gt;1,"",IF(p_mode="Nœud",$AB511*$K511,$L511*IF($G511="IKS",p_iks_cpu,p_roks_cpu)+$M511*IF($G511="IKS",p_iks_ram,p_roks_ram))*p_facteur)</f>
        <v/>
      </c>
      <c r="AD511" s="14" t="str">
        <f aca="false">IF($D511&lt;&gt;1,"",IF(AND($G511="IKS",$AI511&lt;&gt;1,OR($L511-$P511&lt;$N511,$M511-$Q511&lt;$O511)),1,0))</f>
        <v/>
      </c>
      <c r="AE511" s="14" t="str">
        <f aca="false">IF($D511&lt;&gt;1,"",IF(AND($G511="ROKS",$T511&gt;p_maxworkers),1,0))</f>
        <v/>
      </c>
      <c r="AF511" s="14" t="str">
        <f aca="false">IF($D511&lt;&gt;1,"",IF(INDEX(TblClusters[Environnement],$B511)="","(vide)",INDEX(TblClusters[Environnement],$B511)))</f>
        <v/>
      </c>
      <c r="AG511" s="14" t="str">
        <f aca="false">IF($D511&lt;&gt;1,"",$R511+p_poidsram*$S511)</f>
        <v/>
      </c>
      <c r="AH511" s="14" t="str">
        <f aca="false">IF($D511&lt;&gt;1,"",IFERROR($W511/$AG511,0))</f>
        <v/>
      </c>
      <c r="AI511" s="14" t="str">
        <f aca="false">IF($D511&lt;&gt;1,"",IF(AND($G511="IKS",ISNUMBER(INDEX(TblClusters[Fermeture retenue],$B511))),IF($E511&gt;=INDEX(TblClusters[Fermeture retenue],$B511),1,0),0))</f>
        <v/>
      </c>
    </row>
    <row r="512" customFormat="false" ht="15" hidden="false" customHeight="false" outlineLevel="0" collapsed="false">
      <c r="A512" s="14" t="n">
        <v>507</v>
      </c>
      <c r="B512" s="14" t="n">
        <f aca="false">INT(($A512-1)/36)+1</f>
        <v>15</v>
      </c>
      <c r="C512" s="14" t="n">
        <f aca="false">MOD($A512-1,36)+1</f>
        <v>3</v>
      </c>
      <c r="D512" s="14" t="n">
        <f aca="false">IF($C512&gt;p_horizon,0,IFERROR(IF(AND(INDEX(TblClusters[Cluster],$B512)&lt;&gt;"",ISNUMBER(INDEX(TblClusters[CPU initial (vCPU)],$B512)),ISNUMBER(INDEX(TblClusters[CPU min (vCPU)],$B512)),OR(INDEX(TblClusters[Plateforme],$B512)="IKS",INDEX(TblClusters[Plateforme],$B512)="ROKS")),1,0),0))</f>
        <v>0</v>
      </c>
      <c r="E512" s="83" t="str">
        <f aca="false">IF($D512=1,EDATE(p_debut,$C512-1),"")</f>
        <v/>
      </c>
      <c r="F512" s="14" t="str">
        <f aca="false">IF($D512=1,INDEX(TblClusters[Cluster],$B512),"")</f>
        <v/>
      </c>
      <c r="G512" s="14" t="str">
        <f aca="false">IF($D512=1,INDEX(TblClusters[Plateforme],$B512),"")</f>
        <v/>
      </c>
      <c r="H512" s="14" t="str">
        <f aca="false">IF($D512=1,INDEX(TblClusters[vCPU par nœud],$B512),"")</f>
        <v/>
      </c>
      <c r="I512" s="14" t="str">
        <f aca="false">IF($D512=1,INDEX(TblClusters[RAM par nœud (Go)],$B512),"")</f>
        <v/>
      </c>
      <c r="J512" s="14" t="str">
        <f aca="false">IF($D512=1,INDEX(TblClusters[Workers min],$B512),"")</f>
        <v/>
      </c>
      <c r="K512" s="84" t="str">
        <f aca="false">IF($D512=1,INDEX(TblClusters[Tarif par nœud],$B512),"")</f>
        <v/>
      </c>
      <c r="L512" s="14" t="str">
        <f aca="false">IF($D512=1,INDEX(TblClusters[CPU initial (vCPU)],$B512),"")</f>
        <v/>
      </c>
      <c r="M512" s="14" t="str">
        <f aca="false">IF($D512=1,INDEX(TblClusters[RAM initiale (Go)],$B512),"")</f>
        <v/>
      </c>
      <c r="N512" s="14" t="str">
        <f aca="false">IF($D512=1,INDEX(TblClusters[CPU min (vCPU)],$B512),"")</f>
        <v/>
      </c>
      <c r="O512" s="14" t="str">
        <f aca="false">IF($D512=1,INDEX(TblClusters[RAM min (Go)],$B512),"")</f>
        <v/>
      </c>
      <c r="P512" s="14" t="str">
        <f aca="false">IF($D512&lt;&gt;1,"",IF($G512="ROKS",SUMIFS(TblApplications[Besoin ROKS CPU (vCPU)],TblApplications[Cluster ROKS cible],$F512,TblApplications[Action],"À migrer",TblApplications[Déjà incluse ROKS],"Non",TblApplications[Mois prov (calc)],"&lt;="&amp;$E512),SUMIFS(TblApplications[CPU IKS libérable (vCPU)],TblApplications[Cluster IKS source],$F512,TblApplications[Mois lib (calc)],"&lt;="&amp;$E512)))</f>
        <v/>
      </c>
      <c r="Q512" s="14" t="str">
        <f aca="false">IF($D512&lt;&gt;1,"",IF($G512="ROKS",SUMIFS(TblApplications[Besoin ROKS RAM (Go)],TblApplications[Cluster ROKS cible],$F512,TblApplications[Action],"À migrer",TblApplications[Déjà incluse ROKS],"Non",TblApplications[Mois prov (calc)],"&lt;="&amp;$E512),SUMIFS(TblApplications[RAM IKS libérable (Go)],TblApplications[Cluster IKS source],$F512,TblApplications[Mois lib (calc)],"&lt;="&amp;$E512)))</f>
        <v/>
      </c>
      <c r="R512" s="14" t="str">
        <f aca="false">IF($D512&lt;&gt;1,"",IF($G512="ROKS",$L512+$P512,IF($AI512=1,0,MAX($N512,$L512-$P512))))</f>
        <v/>
      </c>
      <c r="S512" s="14" t="str">
        <f aca="false">IF($D512&lt;&gt;1,"",IF($G512="ROKS",$M512+$Q512,IF($AI512=1,0,MAX($O512,$M512-$Q512))))</f>
        <v/>
      </c>
      <c r="T512" s="14" t="str">
        <f aca="false">IF($D512&lt;&gt;1,"",IF($AI512=1,0,MAX($J512,ROUNDUP(MAX($R512/$H512,$S512/$I512),0))))</f>
        <v/>
      </c>
      <c r="U512" s="14" t="str">
        <f aca="false">IF($D512&lt;&gt;1,"",IF(p_mode="Nœud",$T512*$H512,$R512))</f>
        <v/>
      </c>
      <c r="V512" s="14" t="str">
        <f aca="false">IF($D512&lt;&gt;1,"",IF(p_mode="Nœud",$T512*$I512,$S512))</f>
        <v/>
      </c>
      <c r="W512" s="84" t="str">
        <f aca="false">IF($D512&lt;&gt;1,"",IF(p_mode="Nœud",$T512*$K512,$R512*IF($G512="IKS",p_iks_cpu,p_roks_cpu)+$S512*IF($G512="IKS",p_iks_ram,p_roks_ram))*p_facteur)</f>
        <v/>
      </c>
      <c r="X512" s="14" t="str">
        <f aca="false">IF($D512&lt;&gt;1,"",IF($G512="ROKS",$R512,IF($AI512=1,0,MAX($N512,$L512-SUMIFS(TblApplications[CPU IKS libérable (vCPU)],TblApplications[Cluster IKS source],$F512,TblApplications[Action],"À migrer",TblApplications[Mois prov (calc)],"&lt;="&amp;$E512)-SUMIFS(TblApplications[CPU IKS libérable (vCPU)],TblApplications[Cluster IKS source],$F512,TblApplications[Action],"À décommissionner",TblApplications[Mois lib (calc)],"&lt;="&amp;$E512)))))</f>
        <v/>
      </c>
      <c r="Y512" s="14" t="str">
        <f aca="false">IF($D512&lt;&gt;1,"",IF($G512="ROKS",$S512,IF($AI512=1,0,MAX($O512,$M512-SUMIFS(TblApplications[RAM IKS libérable (Go)],TblApplications[Cluster IKS source],$F512,TblApplications[Action],"À migrer",TblApplications[Mois prov (calc)],"&lt;="&amp;$E512)-SUMIFS(TblApplications[RAM IKS libérable (Go)],TblApplications[Cluster IKS source],$F512,TblApplications[Action],"À décommissionner",TblApplications[Mois lib (calc)],"&lt;="&amp;$E512)))))</f>
        <v/>
      </c>
      <c r="Z512" s="14" t="str">
        <f aca="false">IF($D512&lt;&gt;1,"",IF($AI512=1,0,MAX($J512,ROUNDUP(MAX($X512/$H512,$Y512/$I512),0))))</f>
        <v/>
      </c>
      <c r="AA512" s="84" t="str">
        <f aca="false">IF($D512&lt;&gt;1,"",IF(p_mode="Nœud",$Z512*$K512,$X512*IF($G512="IKS",p_iks_cpu,p_roks_cpu)+$Y512*IF($G512="IKS",p_iks_ram,p_roks_ram))*p_facteur)</f>
        <v/>
      </c>
      <c r="AB512" s="14" t="str">
        <f aca="false">IF($D512&lt;&gt;1,"",MAX($J512,ROUNDUP(MAX($L512/$H512,$M512/$I512),0)))</f>
        <v/>
      </c>
      <c r="AC512" s="84" t="str">
        <f aca="false">IF($D512&lt;&gt;1,"",IF(p_mode="Nœud",$AB512*$K512,$L512*IF($G512="IKS",p_iks_cpu,p_roks_cpu)+$M512*IF($G512="IKS",p_iks_ram,p_roks_ram))*p_facteur)</f>
        <v/>
      </c>
      <c r="AD512" s="14" t="str">
        <f aca="false">IF($D512&lt;&gt;1,"",IF(AND($G512="IKS",$AI512&lt;&gt;1,OR($L512-$P512&lt;$N512,$M512-$Q512&lt;$O512)),1,0))</f>
        <v/>
      </c>
      <c r="AE512" s="14" t="str">
        <f aca="false">IF($D512&lt;&gt;1,"",IF(AND($G512="ROKS",$T512&gt;p_maxworkers),1,0))</f>
        <v/>
      </c>
      <c r="AF512" s="14" t="str">
        <f aca="false">IF($D512&lt;&gt;1,"",IF(INDEX(TblClusters[Environnement],$B512)="","(vide)",INDEX(TblClusters[Environnement],$B512)))</f>
        <v/>
      </c>
      <c r="AG512" s="14" t="str">
        <f aca="false">IF($D512&lt;&gt;1,"",$R512+p_poidsram*$S512)</f>
        <v/>
      </c>
      <c r="AH512" s="14" t="str">
        <f aca="false">IF($D512&lt;&gt;1,"",IFERROR($W512/$AG512,0))</f>
        <v/>
      </c>
      <c r="AI512" s="14" t="str">
        <f aca="false">IF($D512&lt;&gt;1,"",IF(AND($G512="IKS",ISNUMBER(INDEX(TblClusters[Fermeture retenue],$B512))),IF($E512&gt;=INDEX(TblClusters[Fermeture retenue],$B512),1,0),0))</f>
        <v/>
      </c>
    </row>
    <row r="513" customFormat="false" ht="15" hidden="false" customHeight="false" outlineLevel="0" collapsed="false">
      <c r="A513" s="14" t="n">
        <v>508</v>
      </c>
      <c r="B513" s="14" t="n">
        <f aca="false">INT(($A513-1)/36)+1</f>
        <v>15</v>
      </c>
      <c r="C513" s="14" t="n">
        <f aca="false">MOD($A513-1,36)+1</f>
        <v>4</v>
      </c>
      <c r="D513" s="14" t="n">
        <f aca="false">IF($C513&gt;p_horizon,0,IFERROR(IF(AND(INDEX(TblClusters[Cluster],$B513)&lt;&gt;"",ISNUMBER(INDEX(TblClusters[CPU initial (vCPU)],$B513)),ISNUMBER(INDEX(TblClusters[CPU min (vCPU)],$B513)),OR(INDEX(TblClusters[Plateforme],$B513)="IKS",INDEX(TblClusters[Plateforme],$B513)="ROKS")),1,0),0))</f>
        <v>0</v>
      </c>
      <c r="E513" s="83" t="str">
        <f aca="false">IF($D513=1,EDATE(p_debut,$C513-1),"")</f>
        <v/>
      </c>
      <c r="F513" s="14" t="str">
        <f aca="false">IF($D513=1,INDEX(TblClusters[Cluster],$B513),"")</f>
        <v/>
      </c>
      <c r="G513" s="14" t="str">
        <f aca="false">IF($D513=1,INDEX(TblClusters[Plateforme],$B513),"")</f>
        <v/>
      </c>
      <c r="H513" s="14" t="str">
        <f aca="false">IF($D513=1,INDEX(TblClusters[vCPU par nœud],$B513),"")</f>
        <v/>
      </c>
      <c r="I513" s="14" t="str">
        <f aca="false">IF($D513=1,INDEX(TblClusters[RAM par nœud (Go)],$B513),"")</f>
        <v/>
      </c>
      <c r="J513" s="14" t="str">
        <f aca="false">IF($D513=1,INDEX(TblClusters[Workers min],$B513),"")</f>
        <v/>
      </c>
      <c r="K513" s="84" t="str">
        <f aca="false">IF($D513=1,INDEX(TblClusters[Tarif par nœud],$B513),"")</f>
        <v/>
      </c>
      <c r="L513" s="14" t="str">
        <f aca="false">IF($D513=1,INDEX(TblClusters[CPU initial (vCPU)],$B513),"")</f>
        <v/>
      </c>
      <c r="M513" s="14" t="str">
        <f aca="false">IF($D513=1,INDEX(TblClusters[RAM initiale (Go)],$B513),"")</f>
        <v/>
      </c>
      <c r="N513" s="14" t="str">
        <f aca="false">IF($D513=1,INDEX(TblClusters[CPU min (vCPU)],$B513),"")</f>
        <v/>
      </c>
      <c r="O513" s="14" t="str">
        <f aca="false">IF($D513=1,INDEX(TblClusters[RAM min (Go)],$B513),"")</f>
        <v/>
      </c>
      <c r="P513" s="14" t="str">
        <f aca="false">IF($D513&lt;&gt;1,"",IF($G513="ROKS",SUMIFS(TblApplications[Besoin ROKS CPU (vCPU)],TblApplications[Cluster ROKS cible],$F513,TblApplications[Action],"À migrer",TblApplications[Déjà incluse ROKS],"Non",TblApplications[Mois prov (calc)],"&lt;="&amp;$E513),SUMIFS(TblApplications[CPU IKS libérable (vCPU)],TblApplications[Cluster IKS source],$F513,TblApplications[Mois lib (calc)],"&lt;="&amp;$E513)))</f>
        <v/>
      </c>
      <c r="Q513" s="14" t="str">
        <f aca="false">IF($D513&lt;&gt;1,"",IF($G513="ROKS",SUMIFS(TblApplications[Besoin ROKS RAM (Go)],TblApplications[Cluster ROKS cible],$F513,TblApplications[Action],"À migrer",TblApplications[Déjà incluse ROKS],"Non",TblApplications[Mois prov (calc)],"&lt;="&amp;$E513),SUMIFS(TblApplications[RAM IKS libérable (Go)],TblApplications[Cluster IKS source],$F513,TblApplications[Mois lib (calc)],"&lt;="&amp;$E513)))</f>
        <v/>
      </c>
      <c r="R513" s="14" t="str">
        <f aca="false">IF($D513&lt;&gt;1,"",IF($G513="ROKS",$L513+$P513,IF($AI513=1,0,MAX($N513,$L513-$P513))))</f>
        <v/>
      </c>
      <c r="S513" s="14" t="str">
        <f aca="false">IF($D513&lt;&gt;1,"",IF($G513="ROKS",$M513+$Q513,IF($AI513=1,0,MAX($O513,$M513-$Q513))))</f>
        <v/>
      </c>
      <c r="T513" s="14" t="str">
        <f aca="false">IF($D513&lt;&gt;1,"",IF($AI513=1,0,MAX($J513,ROUNDUP(MAX($R513/$H513,$S513/$I513),0))))</f>
        <v/>
      </c>
      <c r="U513" s="14" t="str">
        <f aca="false">IF($D513&lt;&gt;1,"",IF(p_mode="Nœud",$T513*$H513,$R513))</f>
        <v/>
      </c>
      <c r="V513" s="14" t="str">
        <f aca="false">IF($D513&lt;&gt;1,"",IF(p_mode="Nœud",$T513*$I513,$S513))</f>
        <v/>
      </c>
      <c r="W513" s="84" t="str">
        <f aca="false">IF($D513&lt;&gt;1,"",IF(p_mode="Nœud",$T513*$K513,$R513*IF($G513="IKS",p_iks_cpu,p_roks_cpu)+$S513*IF($G513="IKS",p_iks_ram,p_roks_ram))*p_facteur)</f>
        <v/>
      </c>
      <c r="X513" s="14" t="str">
        <f aca="false">IF($D513&lt;&gt;1,"",IF($G513="ROKS",$R513,IF($AI513=1,0,MAX($N513,$L513-SUMIFS(TblApplications[CPU IKS libérable (vCPU)],TblApplications[Cluster IKS source],$F513,TblApplications[Action],"À migrer",TblApplications[Mois prov (calc)],"&lt;="&amp;$E513)-SUMIFS(TblApplications[CPU IKS libérable (vCPU)],TblApplications[Cluster IKS source],$F513,TblApplications[Action],"À décommissionner",TblApplications[Mois lib (calc)],"&lt;="&amp;$E513)))))</f>
        <v/>
      </c>
      <c r="Y513" s="14" t="str">
        <f aca="false">IF($D513&lt;&gt;1,"",IF($G513="ROKS",$S513,IF($AI513=1,0,MAX($O513,$M513-SUMIFS(TblApplications[RAM IKS libérable (Go)],TblApplications[Cluster IKS source],$F513,TblApplications[Action],"À migrer",TblApplications[Mois prov (calc)],"&lt;="&amp;$E513)-SUMIFS(TblApplications[RAM IKS libérable (Go)],TblApplications[Cluster IKS source],$F513,TblApplications[Action],"À décommissionner",TblApplications[Mois lib (calc)],"&lt;="&amp;$E513)))))</f>
        <v/>
      </c>
      <c r="Z513" s="14" t="str">
        <f aca="false">IF($D513&lt;&gt;1,"",IF($AI513=1,0,MAX($J513,ROUNDUP(MAX($X513/$H513,$Y513/$I513),0))))</f>
        <v/>
      </c>
      <c r="AA513" s="84" t="str">
        <f aca="false">IF($D513&lt;&gt;1,"",IF(p_mode="Nœud",$Z513*$K513,$X513*IF($G513="IKS",p_iks_cpu,p_roks_cpu)+$Y513*IF($G513="IKS",p_iks_ram,p_roks_ram))*p_facteur)</f>
        <v/>
      </c>
      <c r="AB513" s="14" t="str">
        <f aca="false">IF($D513&lt;&gt;1,"",MAX($J513,ROUNDUP(MAX($L513/$H513,$M513/$I513),0)))</f>
        <v/>
      </c>
      <c r="AC513" s="84" t="str">
        <f aca="false">IF($D513&lt;&gt;1,"",IF(p_mode="Nœud",$AB513*$K513,$L513*IF($G513="IKS",p_iks_cpu,p_roks_cpu)+$M513*IF($G513="IKS",p_iks_ram,p_roks_ram))*p_facteur)</f>
        <v/>
      </c>
      <c r="AD513" s="14" t="str">
        <f aca="false">IF($D513&lt;&gt;1,"",IF(AND($G513="IKS",$AI513&lt;&gt;1,OR($L513-$P513&lt;$N513,$M513-$Q513&lt;$O513)),1,0))</f>
        <v/>
      </c>
      <c r="AE513" s="14" t="str">
        <f aca="false">IF($D513&lt;&gt;1,"",IF(AND($G513="ROKS",$T513&gt;p_maxworkers),1,0))</f>
        <v/>
      </c>
      <c r="AF513" s="14" t="str">
        <f aca="false">IF($D513&lt;&gt;1,"",IF(INDEX(TblClusters[Environnement],$B513)="","(vide)",INDEX(TblClusters[Environnement],$B513)))</f>
        <v/>
      </c>
      <c r="AG513" s="14" t="str">
        <f aca="false">IF($D513&lt;&gt;1,"",$R513+p_poidsram*$S513)</f>
        <v/>
      </c>
      <c r="AH513" s="14" t="str">
        <f aca="false">IF($D513&lt;&gt;1,"",IFERROR($W513/$AG513,0))</f>
        <v/>
      </c>
      <c r="AI513" s="14" t="str">
        <f aca="false">IF($D513&lt;&gt;1,"",IF(AND($G513="IKS",ISNUMBER(INDEX(TblClusters[Fermeture retenue],$B513))),IF($E513&gt;=INDEX(TblClusters[Fermeture retenue],$B513),1,0),0))</f>
        <v/>
      </c>
    </row>
    <row r="514" customFormat="false" ht="15" hidden="false" customHeight="false" outlineLevel="0" collapsed="false">
      <c r="A514" s="14" t="n">
        <v>509</v>
      </c>
      <c r="B514" s="14" t="n">
        <f aca="false">INT(($A514-1)/36)+1</f>
        <v>15</v>
      </c>
      <c r="C514" s="14" t="n">
        <f aca="false">MOD($A514-1,36)+1</f>
        <v>5</v>
      </c>
      <c r="D514" s="14" t="n">
        <f aca="false">IF($C514&gt;p_horizon,0,IFERROR(IF(AND(INDEX(TblClusters[Cluster],$B514)&lt;&gt;"",ISNUMBER(INDEX(TblClusters[CPU initial (vCPU)],$B514)),ISNUMBER(INDEX(TblClusters[CPU min (vCPU)],$B514)),OR(INDEX(TblClusters[Plateforme],$B514)="IKS",INDEX(TblClusters[Plateforme],$B514)="ROKS")),1,0),0))</f>
        <v>0</v>
      </c>
      <c r="E514" s="83" t="str">
        <f aca="false">IF($D514=1,EDATE(p_debut,$C514-1),"")</f>
        <v/>
      </c>
      <c r="F514" s="14" t="str">
        <f aca="false">IF($D514=1,INDEX(TblClusters[Cluster],$B514),"")</f>
        <v/>
      </c>
      <c r="G514" s="14" t="str">
        <f aca="false">IF($D514=1,INDEX(TblClusters[Plateforme],$B514),"")</f>
        <v/>
      </c>
      <c r="H514" s="14" t="str">
        <f aca="false">IF($D514=1,INDEX(TblClusters[vCPU par nœud],$B514),"")</f>
        <v/>
      </c>
      <c r="I514" s="14" t="str">
        <f aca="false">IF($D514=1,INDEX(TblClusters[RAM par nœud (Go)],$B514),"")</f>
        <v/>
      </c>
      <c r="J514" s="14" t="str">
        <f aca="false">IF($D514=1,INDEX(TblClusters[Workers min],$B514),"")</f>
        <v/>
      </c>
      <c r="K514" s="84" t="str">
        <f aca="false">IF($D514=1,INDEX(TblClusters[Tarif par nœud],$B514),"")</f>
        <v/>
      </c>
      <c r="L514" s="14" t="str">
        <f aca="false">IF($D514=1,INDEX(TblClusters[CPU initial (vCPU)],$B514),"")</f>
        <v/>
      </c>
      <c r="M514" s="14" t="str">
        <f aca="false">IF($D514=1,INDEX(TblClusters[RAM initiale (Go)],$B514),"")</f>
        <v/>
      </c>
      <c r="N514" s="14" t="str">
        <f aca="false">IF($D514=1,INDEX(TblClusters[CPU min (vCPU)],$B514),"")</f>
        <v/>
      </c>
      <c r="O514" s="14" t="str">
        <f aca="false">IF($D514=1,INDEX(TblClusters[RAM min (Go)],$B514),"")</f>
        <v/>
      </c>
      <c r="P514" s="14" t="str">
        <f aca="false">IF($D514&lt;&gt;1,"",IF($G514="ROKS",SUMIFS(TblApplications[Besoin ROKS CPU (vCPU)],TblApplications[Cluster ROKS cible],$F514,TblApplications[Action],"À migrer",TblApplications[Déjà incluse ROKS],"Non",TblApplications[Mois prov (calc)],"&lt;="&amp;$E514),SUMIFS(TblApplications[CPU IKS libérable (vCPU)],TblApplications[Cluster IKS source],$F514,TblApplications[Mois lib (calc)],"&lt;="&amp;$E514)))</f>
        <v/>
      </c>
      <c r="Q514" s="14" t="str">
        <f aca="false">IF($D514&lt;&gt;1,"",IF($G514="ROKS",SUMIFS(TblApplications[Besoin ROKS RAM (Go)],TblApplications[Cluster ROKS cible],$F514,TblApplications[Action],"À migrer",TblApplications[Déjà incluse ROKS],"Non",TblApplications[Mois prov (calc)],"&lt;="&amp;$E514),SUMIFS(TblApplications[RAM IKS libérable (Go)],TblApplications[Cluster IKS source],$F514,TblApplications[Mois lib (calc)],"&lt;="&amp;$E514)))</f>
        <v/>
      </c>
      <c r="R514" s="14" t="str">
        <f aca="false">IF($D514&lt;&gt;1,"",IF($G514="ROKS",$L514+$P514,IF($AI514=1,0,MAX($N514,$L514-$P514))))</f>
        <v/>
      </c>
      <c r="S514" s="14" t="str">
        <f aca="false">IF($D514&lt;&gt;1,"",IF($G514="ROKS",$M514+$Q514,IF($AI514=1,0,MAX($O514,$M514-$Q514))))</f>
        <v/>
      </c>
      <c r="T514" s="14" t="str">
        <f aca="false">IF($D514&lt;&gt;1,"",IF($AI514=1,0,MAX($J514,ROUNDUP(MAX($R514/$H514,$S514/$I514),0))))</f>
        <v/>
      </c>
      <c r="U514" s="14" t="str">
        <f aca="false">IF($D514&lt;&gt;1,"",IF(p_mode="Nœud",$T514*$H514,$R514))</f>
        <v/>
      </c>
      <c r="V514" s="14" t="str">
        <f aca="false">IF($D514&lt;&gt;1,"",IF(p_mode="Nœud",$T514*$I514,$S514))</f>
        <v/>
      </c>
      <c r="W514" s="84" t="str">
        <f aca="false">IF($D514&lt;&gt;1,"",IF(p_mode="Nœud",$T514*$K514,$R514*IF($G514="IKS",p_iks_cpu,p_roks_cpu)+$S514*IF($G514="IKS",p_iks_ram,p_roks_ram))*p_facteur)</f>
        <v/>
      </c>
      <c r="X514" s="14" t="str">
        <f aca="false">IF($D514&lt;&gt;1,"",IF($G514="ROKS",$R514,IF($AI514=1,0,MAX($N514,$L514-SUMIFS(TblApplications[CPU IKS libérable (vCPU)],TblApplications[Cluster IKS source],$F514,TblApplications[Action],"À migrer",TblApplications[Mois prov (calc)],"&lt;="&amp;$E514)-SUMIFS(TblApplications[CPU IKS libérable (vCPU)],TblApplications[Cluster IKS source],$F514,TblApplications[Action],"À décommissionner",TblApplications[Mois lib (calc)],"&lt;="&amp;$E514)))))</f>
        <v/>
      </c>
      <c r="Y514" s="14" t="str">
        <f aca="false">IF($D514&lt;&gt;1,"",IF($G514="ROKS",$S514,IF($AI514=1,0,MAX($O514,$M514-SUMIFS(TblApplications[RAM IKS libérable (Go)],TblApplications[Cluster IKS source],$F514,TblApplications[Action],"À migrer",TblApplications[Mois prov (calc)],"&lt;="&amp;$E514)-SUMIFS(TblApplications[RAM IKS libérable (Go)],TblApplications[Cluster IKS source],$F514,TblApplications[Action],"À décommissionner",TblApplications[Mois lib (calc)],"&lt;="&amp;$E514)))))</f>
        <v/>
      </c>
      <c r="Z514" s="14" t="str">
        <f aca="false">IF($D514&lt;&gt;1,"",IF($AI514=1,0,MAX($J514,ROUNDUP(MAX($X514/$H514,$Y514/$I514),0))))</f>
        <v/>
      </c>
      <c r="AA514" s="84" t="str">
        <f aca="false">IF($D514&lt;&gt;1,"",IF(p_mode="Nœud",$Z514*$K514,$X514*IF($G514="IKS",p_iks_cpu,p_roks_cpu)+$Y514*IF($G514="IKS",p_iks_ram,p_roks_ram))*p_facteur)</f>
        <v/>
      </c>
      <c r="AB514" s="14" t="str">
        <f aca="false">IF($D514&lt;&gt;1,"",MAX($J514,ROUNDUP(MAX($L514/$H514,$M514/$I514),0)))</f>
        <v/>
      </c>
      <c r="AC514" s="84" t="str">
        <f aca="false">IF($D514&lt;&gt;1,"",IF(p_mode="Nœud",$AB514*$K514,$L514*IF($G514="IKS",p_iks_cpu,p_roks_cpu)+$M514*IF($G514="IKS",p_iks_ram,p_roks_ram))*p_facteur)</f>
        <v/>
      </c>
      <c r="AD514" s="14" t="str">
        <f aca="false">IF($D514&lt;&gt;1,"",IF(AND($G514="IKS",$AI514&lt;&gt;1,OR($L514-$P514&lt;$N514,$M514-$Q514&lt;$O514)),1,0))</f>
        <v/>
      </c>
      <c r="AE514" s="14" t="str">
        <f aca="false">IF($D514&lt;&gt;1,"",IF(AND($G514="ROKS",$T514&gt;p_maxworkers),1,0))</f>
        <v/>
      </c>
      <c r="AF514" s="14" t="str">
        <f aca="false">IF($D514&lt;&gt;1,"",IF(INDEX(TblClusters[Environnement],$B514)="","(vide)",INDEX(TblClusters[Environnement],$B514)))</f>
        <v/>
      </c>
      <c r="AG514" s="14" t="str">
        <f aca="false">IF($D514&lt;&gt;1,"",$R514+p_poidsram*$S514)</f>
        <v/>
      </c>
      <c r="AH514" s="14" t="str">
        <f aca="false">IF($D514&lt;&gt;1,"",IFERROR($W514/$AG514,0))</f>
        <v/>
      </c>
      <c r="AI514" s="14" t="str">
        <f aca="false">IF($D514&lt;&gt;1,"",IF(AND($G514="IKS",ISNUMBER(INDEX(TblClusters[Fermeture retenue],$B514))),IF($E514&gt;=INDEX(TblClusters[Fermeture retenue],$B514),1,0),0))</f>
        <v/>
      </c>
    </row>
    <row r="515" customFormat="false" ht="15" hidden="false" customHeight="false" outlineLevel="0" collapsed="false">
      <c r="A515" s="14" t="n">
        <v>510</v>
      </c>
      <c r="B515" s="14" t="n">
        <f aca="false">INT(($A515-1)/36)+1</f>
        <v>15</v>
      </c>
      <c r="C515" s="14" t="n">
        <f aca="false">MOD($A515-1,36)+1</f>
        <v>6</v>
      </c>
      <c r="D515" s="14" t="n">
        <f aca="false">IF($C515&gt;p_horizon,0,IFERROR(IF(AND(INDEX(TblClusters[Cluster],$B515)&lt;&gt;"",ISNUMBER(INDEX(TblClusters[CPU initial (vCPU)],$B515)),ISNUMBER(INDEX(TblClusters[CPU min (vCPU)],$B515)),OR(INDEX(TblClusters[Plateforme],$B515)="IKS",INDEX(TblClusters[Plateforme],$B515)="ROKS")),1,0),0))</f>
        <v>0</v>
      </c>
      <c r="E515" s="83" t="str">
        <f aca="false">IF($D515=1,EDATE(p_debut,$C515-1),"")</f>
        <v/>
      </c>
      <c r="F515" s="14" t="str">
        <f aca="false">IF($D515=1,INDEX(TblClusters[Cluster],$B515),"")</f>
        <v/>
      </c>
      <c r="G515" s="14" t="str">
        <f aca="false">IF($D515=1,INDEX(TblClusters[Plateforme],$B515),"")</f>
        <v/>
      </c>
      <c r="H515" s="14" t="str">
        <f aca="false">IF($D515=1,INDEX(TblClusters[vCPU par nœud],$B515),"")</f>
        <v/>
      </c>
      <c r="I515" s="14" t="str">
        <f aca="false">IF($D515=1,INDEX(TblClusters[RAM par nœud (Go)],$B515),"")</f>
        <v/>
      </c>
      <c r="J515" s="14" t="str">
        <f aca="false">IF($D515=1,INDEX(TblClusters[Workers min],$B515),"")</f>
        <v/>
      </c>
      <c r="K515" s="84" t="str">
        <f aca="false">IF($D515=1,INDEX(TblClusters[Tarif par nœud],$B515),"")</f>
        <v/>
      </c>
      <c r="L515" s="14" t="str">
        <f aca="false">IF($D515=1,INDEX(TblClusters[CPU initial (vCPU)],$B515),"")</f>
        <v/>
      </c>
      <c r="M515" s="14" t="str">
        <f aca="false">IF($D515=1,INDEX(TblClusters[RAM initiale (Go)],$B515),"")</f>
        <v/>
      </c>
      <c r="N515" s="14" t="str">
        <f aca="false">IF($D515=1,INDEX(TblClusters[CPU min (vCPU)],$B515),"")</f>
        <v/>
      </c>
      <c r="O515" s="14" t="str">
        <f aca="false">IF($D515=1,INDEX(TblClusters[RAM min (Go)],$B515),"")</f>
        <v/>
      </c>
      <c r="P515" s="14" t="str">
        <f aca="false">IF($D515&lt;&gt;1,"",IF($G515="ROKS",SUMIFS(TblApplications[Besoin ROKS CPU (vCPU)],TblApplications[Cluster ROKS cible],$F515,TblApplications[Action],"À migrer",TblApplications[Déjà incluse ROKS],"Non",TblApplications[Mois prov (calc)],"&lt;="&amp;$E515),SUMIFS(TblApplications[CPU IKS libérable (vCPU)],TblApplications[Cluster IKS source],$F515,TblApplications[Mois lib (calc)],"&lt;="&amp;$E515)))</f>
        <v/>
      </c>
      <c r="Q515" s="14" t="str">
        <f aca="false">IF($D515&lt;&gt;1,"",IF($G515="ROKS",SUMIFS(TblApplications[Besoin ROKS RAM (Go)],TblApplications[Cluster ROKS cible],$F515,TblApplications[Action],"À migrer",TblApplications[Déjà incluse ROKS],"Non",TblApplications[Mois prov (calc)],"&lt;="&amp;$E515),SUMIFS(TblApplications[RAM IKS libérable (Go)],TblApplications[Cluster IKS source],$F515,TblApplications[Mois lib (calc)],"&lt;="&amp;$E515)))</f>
        <v/>
      </c>
      <c r="R515" s="14" t="str">
        <f aca="false">IF($D515&lt;&gt;1,"",IF($G515="ROKS",$L515+$P515,IF($AI515=1,0,MAX($N515,$L515-$P515))))</f>
        <v/>
      </c>
      <c r="S515" s="14" t="str">
        <f aca="false">IF($D515&lt;&gt;1,"",IF($G515="ROKS",$M515+$Q515,IF($AI515=1,0,MAX($O515,$M515-$Q515))))</f>
        <v/>
      </c>
      <c r="T515" s="14" t="str">
        <f aca="false">IF($D515&lt;&gt;1,"",IF($AI515=1,0,MAX($J515,ROUNDUP(MAX($R515/$H515,$S515/$I515),0))))</f>
        <v/>
      </c>
      <c r="U515" s="14" t="str">
        <f aca="false">IF($D515&lt;&gt;1,"",IF(p_mode="Nœud",$T515*$H515,$R515))</f>
        <v/>
      </c>
      <c r="V515" s="14" t="str">
        <f aca="false">IF($D515&lt;&gt;1,"",IF(p_mode="Nœud",$T515*$I515,$S515))</f>
        <v/>
      </c>
      <c r="W515" s="84" t="str">
        <f aca="false">IF($D515&lt;&gt;1,"",IF(p_mode="Nœud",$T515*$K515,$R515*IF($G515="IKS",p_iks_cpu,p_roks_cpu)+$S515*IF($G515="IKS",p_iks_ram,p_roks_ram))*p_facteur)</f>
        <v/>
      </c>
      <c r="X515" s="14" t="str">
        <f aca="false">IF($D515&lt;&gt;1,"",IF($G515="ROKS",$R515,IF($AI515=1,0,MAX($N515,$L515-SUMIFS(TblApplications[CPU IKS libérable (vCPU)],TblApplications[Cluster IKS source],$F515,TblApplications[Action],"À migrer",TblApplications[Mois prov (calc)],"&lt;="&amp;$E515)-SUMIFS(TblApplications[CPU IKS libérable (vCPU)],TblApplications[Cluster IKS source],$F515,TblApplications[Action],"À décommissionner",TblApplications[Mois lib (calc)],"&lt;="&amp;$E515)))))</f>
        <v/>
      </c>
      <c r="Y515" s="14" t="str">
        <f aca="false">IF($D515&lt;&gt;1,"",IF($G515="ROKS",$S515,IF($AI515=1,0,MAX($O515,$M515-SUMIFS(TblApplications[RAM IKS libérable (Go)],TblApplications[Cluster IKS source],$F515,TblApplications[Action],"À migrer",TblApplications[Mois prov (calc)],"&lt;="&amp;$E515)-SUMIFS(TblApplications[RAM IKS libérable (Go)],TblApplications[Cluster IKS source],$F515,TblApplications[Action],"À décommissionner",TblApplications[Mois lib (calc)],"&lt;="&amp;$E515)))))</f>
        <v/>
      </c>
      <c r="Z515" s="14" t="str">
        <f aca="false">IF($D515&lt;&gt;1,"",IF($AI515=1,0,MAX($J515,ROUNDUP(MAX($X515/$H515,$Y515/$I515),0))))</f>
        <v/>
      </c>
      <c r="AA515" s="84" t="str">
        <f aca="false">IF($D515&lt;&gt;1,"",IF(p_mode="Nœud",$Z515*$K515,$X515*IF($G515="IKS",p_iks_cpu,p_roks_cpu)+$Y515*IF($G515="IKS",p_iks_ram,p_roks_ram))*p_facteur)</f>
        <v/>
      </c>
      <c r="AB515" s="14" t="str">
        <f aca="false">IF($D515&lt;&gt;1,"",MAX($J515,ROUNDUP(MAX($L515/$H515,$M515/$I515),0)))</f>
        <v/>
      </c>
      <c r="AC515" s="84" t="str">
        <f aca="false">IF($D515&lt;&gt;1,"",IF(p_mode="Nœud",$AB515*$K515,$L515*IF($G515="IKS",p_iks_cpu,p_roks_cpu)+$M515*IF($G515="IKS",p_iks_ram,p_roks_ram))*p_facteur)</f>
        <v/>
      </c>
      <c r="AD515" s="14" t="str">
        <f aca="false">IF($D515&lt;&gt;1,"",IF(AND($G515="IKS",$AI515&lt;&gt;1,OR($L515-$P515&lt;$N515,$M515-$Q515&lt;$O515)),1,0))</f>
        <v/>
      </c>
      <c r="AE515" s="14" t="str">
        <f aca="false">IF($D515&lt;&gt;1,"",IF(AND($G515="ROKS",$T515&gt;p_maxworkers),1,0))</f>
        <v/>
      </c>
      <c r="AF515" s="14" t="str">
        <f aca="false">IF($D515&lt;&gt;1,"",IF(INDEX(TblClusters[Environnement],$B515)="","(vide)",INDEX(TblClusters[Environnement],$B515)))</f>
        <v/>
      </c>
      <c r="AG515" s="14" t="str">
        <f aca="false">IF($D515&lt;&gt;1,"",$R515+p_poidsram*$S515)</f>
        <v/>
      </c>
      <c r="AH515" s="14" t="str">
        <f aca="false">IF($D515&lt;&gt;1,"",IFERROR($W515/$AG515,0))</f>
        <v/>
      </c>
      <c r="AI515" s="14" t="str">
        <f aca="false">IF($D515&lt;&gt;1,"",IF(AND($G515="IKS",ISNUMBER(INDEX(TblClusters[Fermeture retenue],$B515))),IF($E515&gt;=INDEX(TblClusters[Fermeture retenue],$B515),1,0),0))</f>
        <v/>
      </c>
    </row>
    <row r="516" customFormat="false" ht="15" hidden="false" customHeight="false" outlineLevel="0" collapsed="false">
      <c r="A516" s="14" t="n">
        <v>511</v>
      </c>
      <c r="B516" s="14" t="n">
        <f aca="false">INT(($A516-1)/36)+1</f>
        <v>15</v>
      </c>
      <c r="C516" s="14" t="n">
        <f aca="false">MOD($A516-1,36)+1</f>
        <v>7</v>
      </c>
      <c r="D516" s="14" t="n">
        <f aca="false">IF($C516&gt;p_horizon,0,IFERROR(IF(AND(INDEX(TblClusters[Cluster],$B516)&lt;&gt;"",ISNUMBER(INDEX(TblClusters[CPU initial (vCPU)],$B516)),ISNUMBER(INDEX(TblClusters[CPU min (vCPU)],$B516)),OR(INDEX(TblClusters[Plateforme],$B516)="IKS",INDEX(TblClusters[Plateforme],$B516)="ROKS")),1,0),0))</f>
        <v>0</v>
      </c>
      <c r="E516" s="83" t="str">
        <f aca="false">IF($D516=1,EDATE(p_debut,$C516-1),"")</f>
        <v/>
      </c>
      <c r="F516" s="14" t="str">
        <f aca="false">IF($D516=1,INDEX(TblClusters[Cluster],$B516),"")</f>
        <v/>
      </c>
      <c r="G516" s="14" t="str">
        <f aca="false">IF($D516=1,INDEX(TblClusters[Plateforme],$B516),"")</f>
        <v/>
      </c>
      <c r="H516" s="14" t="str">
        <f aca="false">IF($D516=1,INDEX(TblClusters[vCPU par nœud],$B516),"")</f>
        <v/>
      </c>
      <c r="I516" s="14" t="str">
        <f aca="false">IF($D516=1,INDEX(TblClusters[RAM par nœud (Go)],$B516),"")</f>
        <v/>
      </c>
      <c r="J516" s="14" t="str">
        <f aca="false">IF($D516=1,INDEX(TblClusters[Workers min],$B516),"")</f>
        <v/>
      </c>
      <c r="K516" s="84" t="str">
        <f aca="false">IF($D516=1,INDEX(TblClusters[Tarif par nœud],$B516),"")</f>
        <v/>
      </c>
      <c r="L516" s="14" t="str">
        <f aca="false">IF($D516=1,INDEX(TblClusters[CPU initial (vCPU)],$B516),"")</f>
        <v/>
      </c>
      <c r="M516" s="14" t="str">
        <f aca="false">IF($D516=1,INDEX(TblClusters[RAM initiale (Go)],$B516),"")</f>
        <v/>
      </c>
      <c r="N516" s="14" t="str">
        <f aca="false">IF($D516=1,INDEX(TblClusters[CPU min (vCPU)],$B516),"")</f>
        <v/>
      </c>
      <c r="O516" s="14" t="str">
        <f aca="false">IF($D516=1,INDEX(TblClusters[RAM min (Go)],$B516),"")</f>
        <v/>
      </c>
      <c r="P516" s="14" t="str">
        <f aca="false">IF($D516&lt;&gt;1,"",IF($G516="ROKS",SUMIFS(TblApplications[Besoin ROKS CPU (vCPU)],TblApplications[Cluster ROKS cible],$F516,TblApplications[Action],"À migrer",TblApplications[Déjà incluse ROKS],"Non",TblApplications[Mois prov (calc)],"&lt;="&amp;$E516),SUMIFS(TblApplications[CPU IKS libérable (vCPU)],TblApplications[Cluster IKS source],$F516,TblApplications[Mois lib (calc)],"&lt;="&amp;$E516)))</f>
        <v/>
      </c>
      <c r="Q516" s="14" t="str">
        <f aca="false">IF($D516&lt;&gt;1,"",IF($G516="ROKS",SUMIFS(TblApplications[Besoin ROKS RAM (Go)],TblApplications[Cluster ROKS cible],$F516,TblApplications[Action],"À migrer",TblApplications[Déjà incluse ROKS],"Non",TblApplications[Mois prov (calc)],"&lt;="&amp;$E516),SUMIFS(TblApplications[RAM IKS libérable (Go)],TblApplications[Cluster IKS source],$F516,TblApplications[Mois lib (calc)],"&lt;="&amp;$E516)))</f>
        <v/>
      </c>
      <c r="R516" s="14" t="str">
        <f aca="false">IF($D516&lt;&gt;1,"",IF($G516="ROKS",$L516+$P516,IF($AI516=1,0,MAX($N516,$L516-$P516))))</f>
        <v/>
      </c>
      <c r="S516" s="14" t="str">
        <f aca="false">IF($D516&lt;&gt;1,"",IF($G516="ROKS",$M516+$Q516,IF($AI516=1,0,MAX($O516,$M516-$Q516))))</f>
        <v/>
      </c>
      <c r="T516" s="14" t="str">
        <f aca="false">IF($D516&lt;&gt;1,"",IF($AI516=1,0,MAX($J516,ROUNDUP(MAX($R516/$H516,$S516/$I516),0))))</f>
        <v/>
      </c>
      <c r="U516" s="14" t="str">
        <f aca="false">IF($D516&lt;&gt;1,"",IF(p_mode="Nœud",$T516*$H516,$R516))</f>
        <v/>
      </c>
      <c r="V516" s="14" t="str">
        <f aca="false">IF($D516&lt;&gt;1,"",IF(p_mode="Nœud",$T516*$I516,$S516))</f>
        <v/>
      </c>
      <c r="W516" s="84" t="str">
        <f aca="false">IF($D516&lt;&gt;1,"",IF(p_mode="Nœud",$T516*$K516,$R516*IF($G516="IKS",p_iks_cpu,p_roks_cpu)+$S516*IF($G516="IKS",p_iks_ram,p_roks_ram))*p_facteur)</f>
        <v/>
      </c>
      <c r="X516" s="14" t="str">
        <f aca="false">IF($D516&lt;&gt;1,"",IF($G516="ROKS",$R516,IF($AI516=1,0,MAX($N516,$L516-SUMIFS(TblApplications[CPU IKS libérable (vCPU)],TblApplications[Cluster IKS source],$F516,TblApplications[Action],"À migrer",TblApplications[Mois prov (calc)],"&lt;="&amp;$E516)-SUMIFS(TblApplications[CPU IKS libérable (vCPU)],TblApplications[Cluster IKS source],$F516,TblApplications[Action],"À décommissionner",TblApplications[Mois lib (calc)],"&lt;="&amp;$E516)))))</f>
        <v/>
      </c>
      <c r="Y516" s="14" t="str">
        <f aca="false">IF($D516&lt;&gt;1,"",IF($G516="ROKS",$S516,IF($AI516=1,0,MAX($O516,$M516-SUMIFS(TblApplications[RAM IKS libérable (Go)],TblApplications[Cluster IKS source],$F516,TblApplications[Action],"À migrer",TblApplications[Mois prov (calc)],"&lt;="&amp;$E516)-SUMIFS(TblApplications[RAM IKS libérable (Go)],TblApplications[Cluster IKS source],$F516,TblApplications[Action],"À décommissionner",TblApplications[Mois lib (calc)],"&lt;="&amp;$E516)))))</f>
        <v/>
      </c>
      <c r="Z516" s="14" t="str">
        <f aca="false">IF($D516&lt;&gt;1,"",IF($AI516=1,0,MAX($J516,ROUNDUP(MAX($X516/$H516,$Y516/$I516),0))))</f>
        <v/>
      </c>
      <c r="AA516" s="84" t="str">
        <f aca="false">IF($D516&lt;&gt;1,"",IF(p_mode="Nœud",$Z516*$K516,$X516*IF($G516="IKS",p_iks_cpu,p_roks_cpu)+$Y516*IF($G516="IKS",p_iks_ram,p_roks_ram))*p_facteur)</f>
        <v/>
      </c>
      <c r="AB516" s="14" t="str">
        <f aca="false">IF($D516&lt;&gt;1,"",MAX($J516,ROUNDUP(MAX($L516/$H516,$M516/$I516),0)))</f>
        <v/>
      </c>
      <c r="AC516" s="84" t="str">
        <f aca="false">IF($D516&lt;&gt;1,"",IF(p_mode="Nœud",$AB516*$K516,$L516*IF($G516="IKS",p_iks_cpu,p_roks_cpu)+$M516*IF($G516="IKS",p_iks_ram,p_roks_ram))*p_facteur)</f>
        <v/>
      </c>
      <c r="AD516" s="14" t="str">
        <f aca="false">IF($D516&lt;&gt;1,"",IF(AND($G516="IKS",$AI516&lt;&gt;1,OR($L516-$P516&lt;$N516,$M516-$Q516&lt;$O516)),1,0))</f>
        <v/>
      </c>
      <c r="AE516" s="14" t="str">
        <f aca="false">IF($D516&lt;&gt;1,"",IF(AND($G516="ROKS",$T516&gt;p_maxworkers),1,0))</f>
        <v/>
      </c>
      <c r="AF516" s="14" t="str">
        <f aca="false">IF($D516&lt;&gt;1,"",IF(INDEX(TblClusters[Environnement],$B516)="","(vide)",INDEX(TblClusters[Environnement],$B516)))</f>
        <v/>
      </c>
      <c r="AG516" s="14" t="str">
        <f aca="false">IF($D516&lt;&gt;1,"",$R516+p_poidsram*$S516)</f>
        <v/>
      </c>
      <c r="AH516" s="14" t="str">
        <f aca="false">IF($D516&lt;&gt;1,"",IFERROR($W516/$AG516,0))</f>
        <v/>
      </c>
      <c r="AI516" s="14" t="str">
        <f aca="false">IF($D516&lt;&gt;1,"",IF(AND($G516="IKS",ISNUMBER(INDEX(TblClusters[Fermeture retenue],$B516))),IF($E516&gt;=INDEX(TblClusters[Fermeture retenue],$B516),1,0),0))</f>
        <v/>
      </c>
    </row>
    <row r="517" customFormat="false" ht="15" hidden="false" customHeight="false" outlineLevel="0" collapsed="false">
      <c r="A517" s="14" t="n">
        <v>512</v>
      </c>
      <c r="B517" s="14" t="n">
        <f aca="false">INT(($A517-1)/36)+1</f>
        <v>15</v>
      </c>
      <c r="C517" s="14" t="n">
        <f aca="false">MOD($A517-1,36)+1</f>
        <v>8</v>
      </c>
      <c r="D517" s="14" t="n">
        <f aca="false">IF($C517&gt;p_horizon,0,IFERROR(IF(AND(INDEX(TblClusters[Cluster],$B517)&lt;&gt;"",ISNUMBER(INDEX(TblClusters[CPU initial (vCPU)],$B517)),ISNUMBER(INDEX(TblClusters[CPU min (vCPU)],$B517)),OR(INDEX(TblClusters[Plateforme],$B517)="IKS",INDEX(TblClusters[Plateforme],$B517)="ROKS")),1,0),0))</f>
        <v>0</v>
      </c>
      <c r="E517" s="83" t="str">
        <f aca="false">IF($D517=1,EDATE(p_debut,$C517-1),"")</f>
        <v/>
      </c>
      <c r="F517" s="14" t="str">
        <f aca="false">IF($D517=1,INDEX(TblClusters[Cluster],$B517),"")</f>
        <v/>
      </c>
      <c r="G517" s="14" t="str">
        <f aca="false">IF($D517=1,INDEX(TblClusters[Plateforme],$B517),"")</f>
        <v/>
      </c>
      <c r="H517" s="14" t="str">
        <f aca="false">IF($D517=1,INDEX(TblClusters[vCPU par nœud],$B517),"")</f>
        <v/>
      </c>
      <c r="I517" s="14" t="str">
        <f aca="false">IF($D517=1,INDEX(TblClusters[RAM par nœud (Go)],$B517),"")</f>
        <v/>
      </c>
      <c r="J517" s="14" t="str">
        <f aca="false">IF($D517=1,INDEX(TblClusters[Workers min],$B517),"")</f>
        <v/>
      </c>
      <c r="K517" s="84" t="str">
        <f aca="false">IF($D517=1,INDEX(TblClusters[Tarif par nœud],$B517),"")</f>
        <v/>
      </c>
      <c r="L517" s="14" t="str">
        <f aca="false">IF($D517=1,INDEX(TblClusters[CPU initial (vCPU)],$B517),"")</f>
        <v/>
      </c>
      <c r="M517" s="14" t="str">
        <f aca="false">IF($D517=1,INDEX(TblClusters[RAM initiale (Go)],$B517),"")</f>
        <v/>
      </c>
      <c r="N517" s="14" t="str">
        <f aca="false">IF($D517=1,INDEX(TblClusters[CPU min (vCPU)],$B517),"")</f>
        <v/>
      </c>
      <c r="O517" s="14" t="str">
        <f aca="false">IF($D517=1,INDEX(TblClusters[RAM min (Go)],$B517),"")</f>
        <v/>
      </c>
      <c r="P517" s="14" t="str">
        <f aca="false">IF($D517&lt;&gt;1,"",IF($G517="ROKS",SUMIFS(TblApplications[Besoin ROKS CPU (vCPU)],TblApplications[Cluster ROKS cible],$F517,TblApplications[Action],"À migrer",TblApplications[Déjà incluse ROKS],"Non",TblApplications[Mois prov (calc)],"&lt;="&amp;$E517),SUMIFS(TblApplications[CPU IKS libérable (vCPU)],TblApplications[Cluster IKS source],$F517,TblApplications[Mois lib (calc)],"&lt;="&amp;$E517)))</f>
        <v/>
      </c>
      <c r="Q517" s="14" t="str">
        <f aca="false">IF($D517&lt;&gt;1,"",IF($G517="ROKS",SUMIFS(TblApplications[Besoin ROKS RAM (Go)],TblApplications[Cluster ROKS cible],$F517,TblApplications[Action],"À migrer",TblApplications[Déjà incluse ROKS],"Non",TblApplications[Mois prov (calc)],"&lt;="&amp;$E517),SUMIFS(TblApplications[RAM IKS libérable (Go)],TblApplications[Cluster IKS source],$F517,TblApplications[Mois lib (calc)],"&lt;="&amp;$E517)))</f>
        <v/>
      </c>
      <c r="R517" s="14" t="str">
        <f aca="false">IF($D517&lt;&gt;1,"",IF($G517="ROKS",$L517+$P517,IF($AI517=1,0,MAX($N517,$L517-$P517))))</f>
        <v/>
      </c>
      <c r="S517" s="14" t="str">
        <f aca="false">IF($D517&lt;&gt;1,"",IF($G517="ROKS",$M517+$Q517,IF($AI517=1,0,MAX($O517,$M517-$Q517))))</f>
        <v/>
      </c>
      <c r="T517" s="14" t="str">
        <f aca="false">IF($D517&lt;&gt;1,"",IF($AI517=1,0,MAX($J517,ROUNDUP(MAX($R517/$H517,$S517/$I517),0))))</f>
        <v/>
      </c>
      <c r="U517" s="14" t="str">
        <f aca="false">IF($D517&lt;&gt;1,"",IF(p_mode="Nœud",$T517*$H517,$R517))</f>
        <v/>
      </c>
      <c r="V517" s="14" t="str">
        <f aca="false">IF($D517&lt;&gt;1,"",IF(p_mode="Nœud",$T517*$I517,$S517))</f>
        <v/>
      </c>
      <c r="W517" s="84" t="str">
        <f aca="false">IF($D517&lt;&gt;1,"",IF(p_mode="Nœud",$T517*$K517,$R517*IF($G517="IKS",p_iks_cpu,p_roks_cpu)+$S517*IF($G517="IKS",p_iks_ram,p_roks_ram))*p_facteur)</f>
        <v/>
      </c>
      <c r="X517" s="14" t="str">
        <f aca="false">IF($D517&lt;&gt;1,"",IF($G517="ROKS",$R517,IF($AI517=1,0,MAX($N517,$L517-SUMIFS(TblApplications[CPU IKS libérable (vCPU)],TblApplications[Cluster IKS source],$F517,TblApplications[Action],"À migrer",TblApplications[Mois prov (calc)],"&lt;="&amp;$E517)-SUMIFS(TblApplications[CPU IKS libérable (vCPU)],TblApplications[Cluster IKS source],$F517,TblApplications[Action],"À décommissionner",TblApplications[Mois lib (calc)],"&lt;="&amp;$E517)))))</f>
        <v/>
      </c>
      <c r="Y517" s="14" t="str">
        <f aca="false">IF($D517&lt;&gt;1,"",IF($G517="ROKS",$S517,IF($AI517=1,0,MAX($O517,$M517-SUMIFS(TblApplications[RAM IKS libérable (Go)],TblApplications[Cluster IKS source],$F517,TblApplications[Action],"À migrer",TblApplications[Mois prov (calc)],"&lt;="&amp;$E517)-SUMIFS(TblApplications[RAM IKS libérable (Go)],TblApplications[Cluster IKS source],$F517,TblApplications[Action],"À décommissionner",TblApplications[Mois lib (calc)],"&lt;="&amp;$E517)))))</f>
        <v/>
      </c>
      <c r="Z517" s="14" t="str">
        <f aca="false">IF($D517&lt;&gt;1,"",IF($AI517=1,0,MAX($J517,ROUNDUP(MAX($X517/$H517,$Y517/$I517),0))))</f>
        <v/>
      </c>
      <c r="AA517" s="84" t="str">
        <f aca="false">IF($D517&lt;&gt;1,"",IF(p_mode="Nœud",$Z517*$K517,$X517*IF($G517="IKS",p_iks_cpu,p_roks_cpu)+$Y517*IF($G517="IKS",p_iks_ram,p_roks_ram))*p_facteur)</f>
        <v/>
      </c>
      <c r="AB517" s="14" t="str">
        <f aca="false">IF($D517&lt;&gt;1,"",MAX($J517,ROUNDUP(MAX($L517/$H517,$M517/$I517),0)))</f>
        <v/>
      </c>
      <c r="AC517" s="84" t="str">
        <f aca="false">IF($D517&lt;&gt;1,"",IF(p_mode="Nœud",$AB517*$K517,$L517*IF($G517="IKS",p_iks_cpu,p_roks_cpu)+$M517*IF($G517="IKS",p_iks_ram,p_roks_ram))*p_facteur)</f>
        <v/>
      </c>
      <c r="AD517" s="14" t="str">
        <f aca="false">IF($D517&lt;&gt;1,"",IF(AND($G517="IKS",$AI517&lt;&gt;1,OR($L517-$P517&lt;$N517,$M517-$Q517&lt;$O517)),1,0))</f>
        <v/>
      </c>
      <c r="AE517" s="14" t="str">
        <f aca="false">IF($D517&lt;&gt;1,"",IF(AND($G517="ROKS",$T517&gt;p_maxworkers),1,0))</f>
        <v/>
      </c>
      <c r="AF517" s="14" t="str">
        <f aca="false">IF($D517&lt;&gt;1,"",IF(INDEX(TblClusters[Environnement],$B517)="","(vide)",INDEX(TblClusters[Environnement],$B517)))</f>
        <v/>
      </c>
      <c r="AG517" s="14" t="str">
        <f aca="false">IF($D517&lt;&gt;1,"",$R517+p_poidsram*$S517)</f>
        <v/>
      </c>
      <c r="AH517" s="14" t="str">
        <f aca="false">IF($D517&lt;&gt;1,"",IFERROR($W517/$AG517,0))</f>
        <v/>
      </c>
      <c r="AI517" s="14" t="str">
        <f aca="false">IF($D517&lt;&gt;1,"",IF(AND($G517="IKS",ISNUMBER(INDEX(TblClusters[Fermeture retenue],$B517))),IF($E517&gt;=INDEX(TblClusters[Fermeture retenue],$B517),1,0),0))</f>
        <v/>
      </c>
    </row>
    <row r="518" customFormat="false" ht="15" hidden="false" customHeight="false" outlineLevel="0" collapsed="false">
      <c r="A518" s="14" t="n">
        <v>513</v>
      </c>
      <c r="B518" s="14" t="n">
        <f aca="false">INT(($A518-1)/36)+1</f>
        <v>15</v>
      </c>
      <c r="C518" s="14" t="n">
        <f aca="false">MOD($A518-1,36)+1</f>
        <v>9</v>
      </c>
      <c r="D518" s="14" t="n">
        <f aca="false">IF($C518&gt;p_horizon,0,IFERROR(IF(AND(INDEX(TblClusters[Cluster],$B518)&lt;&gt;"",ISNUMBER(INDEX(TblClusters[CPU initial (vCPU)],$B518)),ISNUMBER(INDEX(TblClusters[CPU min (vCPU)],$B518)),OR(INDEX(TblClusters[Plateforme],$B518)="IKS",INDEX(TblClusters[Plateforme],$B518)="ROKS")),1,0),0))</f>
        <v>0</v>
      </c>
      <c r="E518" s="83" t="str">
        <f aca="false">IF($D518=1,EDATE(p_debut,$C518-1),"")</f>
        <v/>
      </c>
      <c r="F518" s="14" t="str">
        <f aca="false">IF($D518=1,INDEX(TblClusters[Cluster],$B518),"")</f>
        <v/>
      </c>
      <c r="G518" s="14" t="str">
        <f aca="false">IF($D518=1,INDEX(TblClusters[Plateforme],$B518),"")</f>
        <v/>
      </c>
      <c r="H518" s="14" t="str">
        <f aca="false">IF($D518=1,INDEX(TblClusters[vCPU par nœud],$B518),"")</f>
        <v/>
      </c>
      <c r="I518" s="14" t="str">
        <f aca="false">IF($D518=1,INDEX(TblClusters[RAM par nœud (Go)],$B518),"")</f>
        <v/>
      </c>
      <c r="J518" s="14" t="str">
        <f aca="false">IF($D518=1,INDEX(TblClusters[Workers min],$B518),"")</f>
        <v/>
      </c>
      <c r="K518" s="84" t="str">
        <f aca="false">IF($D518=1,INDEX(TblClusters[Tarif par nœud],$B518),"")</f>
        <v/>
      </c>
      <c r="L518" s="14" t="str">
        <f aca="false">IF($D518=1,INDEX(TblClusters[CPU initial (vCPU)],$B518),"")</f>
        <v/>
      </c>
      <c r="M518" s="14" t="str">
        <f aca="false">IF($D518=1,INDEX(TblClusters[RAM initiale (Go)],$B518),"")</f>
        <v/>
      </c>
      <c r="N518" s="14" t="str">
        <f aca="false">IF($D518=1,INDEX(TblClusters[CPU min (vCPU)],$B518),"")</f>
        <v/>
      </c>
      <c r="O518" s="14" t="str">
        <f aca="false">IF($D518=1,INDEX(TblClusters[RAM min (Go)],$B518),"")</f>
        <v/>
      </c>
      <c r="P518" s="14" t="str">
        <f aca="false">IF($D518&lt;&gt;1,"",IF($G518="ROKS",SUMIFS(TblApplications[Besoin ROKS CPU (vCPU)],TblApplications[Cluster ROKS cible],$F518,TblApplications[Action],"À migrer",TblApplications[Déjà incluse ROKS],"Non",TblApplications[Mois prov (calc)],"&lt;="&amp;$E518),SUMIFS(TblApplications[CPU IKS libérable (vCPU)],TblApplications[Cluster IKS source],$F518,TblApplications[Mois lib (calc)],"&lt;="&amp;$E518)))</f>
        <v/>
      </c>
      <c r="Q518" s="14" t="str">
        <f aca="false">IF($D518&lt;&gt;1,"",IF($G518="ROKS",SUMIFS(TblApplications[Besoin ROKS RAM (Go)],TblApplications[Cluster ROKS cible],$F518,TblApplications[Action],"À migrer",TblApplications[Déjà incluse ROKS],"Non",TblApplications[Mois prov (calc)],"&lt;="&amp;$E518),SUMIFS(TblApplications[RAM IKS libérable (Go)],TblApplications[Cluster IKS source],$F518,TblApplications[Mois lib (calc)],"&lt;="&amp;$E518)))</f>
        <v/>
      </c>
      <c r="R518" s="14" t="str">
        <f aca="false">IF($D518&lt;&gt;1,"",IF($G518="ROKS",$L518+$P518,IF($AI518=1,0,MAX($N518,$L518-$P518))))</f>
        <v/>
      </c>
      <c r="S518" s="14" t="str">
        <f aca="false">IF($D518&lt;&gt;1,"",IF($G518="ROKS",$M518+$Q518,IF($AI518=1,0,MAX($O518,$M518-$Q518))))</f>
        <v/>
      </c>
      <c r="T518" s="14" t="str">
        <f aca="false">IF($D518&lt;&gt;1,"",IF($AI518=1,0,MAX($J518,ROUNDUP(MAX($R518/$H518,$S518/$I518),0))))</f>
        <v/>
      </c>
      <c r="U518" s="14" t="str">
        <f aca="false">IF($D518&lt;&gt;1,"",IF(p_mode="Nœud",$T518*$H518,$R518))</f>
        <v/>
      </c>
      <c r="V518" s="14" t="str">
        <f aca="false">IF($D518&lt;&gt;1,"",IF(p_mode="Nœud",$T518*$I518,$S518))</f>
        <v/>
      </c>
      <c r="W518" s="84" t="str">
        <f aca="false">IF($D518&lt;&gt;1,"",IF(p_mode="Nœud",$T518*$K518,$R518*IF($G518="IKS",p_iks_cpu,p_roks_cpu)+$S518*IF($G518="IKS",p_iks_ram,p_roks_ram))*p_facteur)</f>
        <v/>
      </c>
      <c r="X518" s="14" t="str">
        <f aca="false">IF($D518&lt;&gt;1,"",IF($G518="ROKS",$R518,IF($AI518=1,0,MAX($N518,$L518-SUMIFS(TblApplications[CPU IKS libérable (vCPU)],TblApplications[Cluster IKS source],$F518,TblApplications[Action],"À migrer",TblApplications[Mois prov (calc)],"&lt;="&amp;$E518)-SUMIFS(TblApplications[CPU IKS libérable (vCPU)],TblApplications[Cluster IKS source],$F518,TblApplications[Action],"À décommissionner",TblApplications[Mois lib (calc)],"&lt;="&amp;$E518)))))</f>
        <v/>
      </c>
      <c r="Y518" s="14" t="str">
        <f aca="false">IF($D518&lt;&gt;1,"",IF($G518="ROKS",$S518,IF($AI518=1,0,MAX($O518,$M518-SUMIFS(TblApplications[RAM IKS libérable (Go)],TblApplications[Cluster IKS source],$F518,TblApplications[Action],"À migrer",TblApplications[Mois prov (calc)],"&lt;="&amp;$E518)-SUMIFS(TblApplications[RAM IKS libérable (Go)],TblApplications[Cluster IKS source],$F518,TblApplications[Action],"À décommissionner",TblApplications[Mois lib (calc)],"&lt;="&amp;$E518)))))</f>
        <v/>
      </c>
      <c r="Z518" s="14" t="str">
        <f aca="false">IF($D518&lt;&gt;1,"",IF($AI518=1,0,MAX($J518,ROUNDUP(MAX($X518/$H518,$Y518/$I518),0))))</f>
        <v/>
      </c>
      <c r="AA518" s="84" t="str">
        <f aca="false">IF($D518&lt;&gt;1,"",IF(p_mode="Nœud",$Z518*$K518,$X518*IF($G518="IKS",p_iks_cpu,p_roks_cpu)+$Y518*IF($G518="IKS",p_iks_ram,p_roks_ram))*p_facteur)</f>
        <v/>
      </c>
      <c r="AB518" s="14" t="str">
        <f aca="false">IF($D518&lt;&gt;1,"",MAX($J518,ROUNDUP(MAX($L518/$H518,$M518/$I518),0)))</f>
        <v/>
      </c>
      <c r="AC518" s="84" t="str">
        <f aca="false">IF($D518&lt;&gt;1,"",IF(p_mode="Nœud",$AB518*$K518,$L518*IF($G518="IKS",p_iks_cpu,p_roks_cpu)+$M518*IF($G518="IKS",p_iks_ram,p_roks_ram))*p_facteur)</f>
        <v/>
      </c>
      <c r="AD518" s="14" t="str">
        <f aca="false">IF($D518&lt;&gt;1,"",IF(AND($G518="IKS",$AI518&lt;&gt;1,OR($L518-$P518&lt;$N518,$M518-$Q518&lt;$O518)),1,0))</f>
        <v/>
      </c>
      <c r="AE518" s="14" t="str">
        <f aca="false">IF($D518&lt;&gt;1,"",IF(AND($G518="ROKS",$T518&gt;p_maxworkers),1,0))</f>
        <v/>
      </c>
      <c r="AF518" s="14" t="str">
        <f aca="false">IF($D518&lt;&gt;1,"",IF(INDEX(TblClusters[Environnement],$B518)="","(vide)",INDEX(TblClusters[Environnement],$B518)))</f>
        <v/>
      </c>
      <c r="AG518" s="14" t="str">
        <f aca="false">IF($D518&lt;&gt;1,"",$R518+p_poidsram*$S518)</f>
        <v/>
      </c>
      <c r="AH518" s="14" t="str">
        <f aca="false">IF($D518&lt;&gt;1,"",IFERROR($W518/$AG518,0))</f>
        <v/>
      </c>
      <c r="AI518" s="14" t="str">
        <f aca="false">IF($D518&lt;&gt;1,"",IF(AND($G518="IKS",ISNUMBER(INDEX(TblClusters[Fermeture retenue],$B518))),IF($E518&gt;=INDEX(TblClusters[Fermeture retenue],$B518),1,0),0))</f>
        <v/>
      </c>
    </row>
    <row r="519" customFormat="false" ht="15" hidden="false" customHeight="false" outlineLevel="0" collapsed="false">
      <c r="A519" s="14" t="n">
        <v>514</v>
      </c>
      <c r="B519" s="14" t="n">
        <f aca="false">INT(($A519-1)/36)+1</f>
        <v>15</v>
      </c>
      <c r="C519" s="14" t="n">
        <f aca="false">MOD($A519-1,36)+1</f>
        <v>10</v>
      </c>
      <c r="D519" s="14" t="n">
        <f aca="false">IF($C519&gt;p_horizon,0,IFERROR(IF(AND(INDEX(TblClusters[Cluster],$B519)&lt;&gt;"",ISNUMBER(INDEX(TblClusters[CPU initial (vCPU)],$B519)),ISNUMBER(INDEX(TblClusters[CPU min (vCPU)],$B519)),OR(INDEX(TblClusters[Plateforme],$B519)="IKS",INDEX(TblClusters[Plateforme],$B519)="ROKS")),1,0),0))</f>
        <v>0</v>
      </c>
      <c r="E519" s="83" t="str">
        <f aca="false">IF($D519=1,EDATE(p_debut,$C519-1),"")</f>
        <v/>
      </c>
      <c r="F519" s="14" t="str">
        <f aca="false">IF($D519=1,INDEX(TblClusters[Cluster],$B519),"")</f>
        <v/>
      </c>
      <c r="G519" s="14" t="str">
        <f aca="false">IF($D519=1,INDEX(TblClusters[Plateforme],$B519),"")</f>
        <v/>
      </c>
      <c r="H519" s="14" t="str">
        <f aca="false">IF($D519=1,INDEX(TblClusters[vCPU par nœud],$B519),"")</f>
        <v/>
      </c>
      <c r="I519" s="14" t="str">
        <f aca="false">IF($D519=1,INDEX(TblClusters[RAM par nœud (Go)],$B519),"")</f>
        <v/>
      </c>
      <c r="J519" s="14" t="str">
        <f aca="false">IF($D519=1,INDEX(TblClusters[Workers min],$B519),"")</f>
        <v/>
      </c>
      <c r="K519" s="84" t="str">
        <f aca="false">IF($D519=1,INDEX(TblClusters[Tarif par nœud],$B519),"")</f>
        <v/>
      </c>
      <c r="L519" s="14" t="str">
        <f aca="false">IF($D519=1,INDEX(TblClusters[CPU initial (vCPU)],$B519),"")</f>
        <v/>
      </c>
      <c r="M519" s="14" t="str">
        <f aca="false">IF($D519=1,INDEX(TblClusters[RAM initiale (Go)],$B519),"")</f>
        <v/>
      </c>
      <c r="N519" s="14" t="str">
        <f aca="false">IF($D519=1,INDEX(TblClusters[CPU min (vCPU)],$B519),"")</f>
        <v/>
      </c>
      <c r="O519" s="14" t="str">
        <f aca="false">IF($D519=1,INDEX(TblClusters[RAM min (Go)],$B519),"")</f>
        <v/>
      </c>
      <c r="P519" s="14" t="str">
        <f aca="false">IF($D519&lt;&gt;1,"",IF($G519="ROKS",SUMIFS(TblApplications[Besoin ROKS CPU (vCPU)],TblApplications[Cluster ROKS cible],$F519,TblApplications[Action],"À migrer",TblApplications[Déjà incluse ROKS],"Non",TblApplications[Mois prov (calc)],"&lt;="&amp;$E519),SUMIFS(TblApplications[CPU IKS libérable (vCPU)],TblApplications[Cluster IKS source],$F519,TblApplications[Mois lib (calc)],"&lt;="&amp;$E519)))</f>
        <v/>
      </c>
      <c r="Q519" s="14" t="str">
        <f aca="false">IF($D519&lt;&gt;1,"",IF($G519="ROKS",SUMIFS(TblApplications[Besoin ROKS RAM (Go)],TblApplications[Cluster ROKS cible],$F519,TblApplications[Action],"À migrer",TblApplications[Déjà incluse ROKS],"Non",TblApplications[Mois prov (calc)],"&lt;="&amp;$E519),SUMIFS(TblApplications[RAM IKS libérable (Go)],TblApplications[Cluster IKS source],$F519,TblApplications[Mois lib (calc)],"&lt;="&amp;$E519)))</f>
        <v/>
      </c>
      <c r="R519" s="14" t="str">
        <f aca="false">IF($D519&lt;&gt;1,"",IF($G519="ROKS",$L519+$P519,IF($AI519=1,0,MAX($N519,$L519-$P519))))</f>
        <v/>
      </c>
      <c r="S519" s="14" t="str">
        <f aca="false">IF($D519&lt;&gt;1,"",IF($G519="ROKS",$M519+$Q519,IF($AI519=1,0,MAX($O519,$M519-$Q519))))</f>
        <v/>
      </c>
      <c r="T519" s="14" t="str">
        <f aca="false">IF($D519&lt;&gt;1,"",IF($AI519=1,0,MAX($J519,ROUNDUP(MAX($R519/$H519,$S519/$I519),0))))</f>
        <v/>
      </c>
      <c r="U519" s="14" t="str">
        <f aca="false">IF($D519&lt;&gt;1,"",IF(p_mode="Nœud",$T519*$H519,$R519))</f>
        <v/>
      </c>
      <c r="V519" s="14" t="str">
        <f aca="false">IF($D519&lt;&gt;1,"",IF(p_mode="Nœud",$T519*$I519,$S519))</f>
        <v/>
      </c>
      <c r="W519" s="84" t="str">
        <f aca="false">IF($D519&lt;&gt;1,"",IF(p_mode="Nœud",$T519*$K519,$R519*IF($G519="IKS",p_iks_cpu,p_roks_cpu)+$S519*IF($G519="IKS",p_iks_ram,p_roks_ram))*p_facteur)</f>
        <v/>
      </c>
      <c r="X519" s="14" t="str">
        <f aca="false">IF($D519&lt;&gt;1,"",IF($G519="ROKS",$R519,IF($AI519=1,0,MAX($N519,$L519-SUMIFS(TblApplications[CPU IKS libérable (vCPU)],TblApplications[Cluster IKS source],$F519,TblApplications[Action],"À migrer",TblApplications[Mois prov (calc)],"&lt;="&amp;$E519)-SUMIFS(TblApplications[CPU IKS libérable (vCPU)],TblApplications[Cluster IKS source],$F519,TblApplications[Action],"À décommissionner",TblApplications[Mois lib (calc)],"&lt;="&amp;$E519)))))</f>
        <v/>
      </c>
      <c r="Y519" s="14" t="str">
        <f aca="false">IF($D519&lt;&gt;1,"",IF($G519="ROKS",$S519,IF($AI519=1,0,MAX($O519,$M519-SUMIFS(TblApplications[RAM IKS libérable (Go)],TblApplications[Cluster IKS source],$F519,TblApplications[Action],"À migrer",TblApplications[Mois prov (calc)],"&lt;="&amp;$E519)-SUMIFS(TblApplications[RAM IKS libérable (Go)],TblApplications[Cluster IKS source],$F519,TblApplications[Action],"À décommissionner",TblApplications[Mois lib (calc)],"&lt;="&amp;$E519)))))</f>
        <v/>
      </c>
      <c r="Z519" s="14" t="str">
        <f aca="false">IF($D519&lt;&gt;1,"",IF($AI519=1,0,MAX($J519,ROUNDUP(MAX($X519/$H519,$Y519/$I519),0))))</f>
        <v/>
      </c>
      <c r="AA519" s="84" t="str">
        <f aca="false">IF($D519&lt;&gt;1,"",IF(p_mode="Nœud",$Z519*$K519,$X519*IF($G519="IKS",p_iks_cpu,p_roks_cpu)+$Y519*IF($G519="IKS",p_iks_ram,p_roks_ram))*p_facteur)</f>
        <v/>
      </c>
      <c r="AB519" s="14" t="str">
        <f aca="false">IF($D519&lt;&gt;1,"",MAX($J519,ROUNDUP(MAX($L519/$H519,$M519/$I519),0)))</f>
        <v/>
      </c>
      <c r="AC519" s="84" t="str">
        <f aca="false">IF($D519&lt;&gt;1,"",IF(p_mode="Nœud",$AB519*$K519,$L519*IF($G519="IKS",p_iks_cpu,p_roks_cpu)+$M519*IF($G519="IKS",p_iks_ram,p_roks_ram))*p_facteur)</f>
        <v/>
      </c>
      <c r="AD519" s="14" t="str">
        <f aca="false">IF($D519&lt;&gt;1,"",IF(AND($G519="IKS",$AI519&lt;&gt;1,OR($L519-$P519&lt;$N519,$M519-$Q519&lt;$O519)),1,0))</f>
        <v/>
      </c>
      <c r="AE519" s="14" t="str">
        <f aca="false">IF($D519&lt;&gt;1,"",IF(AND($G519="ROKS",$T519&gt;p_maxworkers),1,0))</f>
        <v/>
      </c>
      <c r="AF519" s="14" t="str">
        <f aca="false">IF($D519&lt;&gt;1,"",IF(INDEX(TblClusters[Environnement],$B519)="","(vide)",INDEX(TblClusters[Environnement],$B519)))</f>
        <v/>
      </c>
      <c r="AG519" s="14" t="str">
        <f aca="false">IF($D519&lt;&gt;1,"",$R519+p_poidsram*$S519)</f>
        <v/>
      </c>
      <c r="AH519" s="14" t="str">
        <f aca="false">IF($D519&lt;&gt;1,"",IFERROR($W519/$AG519,0))</f>
        <v/>
      </c>
      <c r="AI519" s="14" t="str">
        <f aca="false">IF($D519&lt;&gt;1,"",IF(AND($G519="IKS",ISNUMBER(INDEX(TblClusters[Fermeture retenue],$B519))),IF($E519&gt;=INDEX(TblClusters[Fermeture retenue],$B519),1,0),0))</f>
        <v/>
      </c>
    </row>
    <row r="520" customFormat="false" ht="15" hidden="false" customHeight="false" outlineLevel="0" collapsed="false">
      <c r="A520" s="14" t="n">
        <v>515</v>
      </c>
      <c r="B520" s="14" t="n">
        <f aca="false">INT(($A520-1)/36)+1</f>
        <v>15</v>
      </c>
      <c r="C520" s="14" t="n">
        <f aca="false">MOD($A520-1,36)+1</f>
        <v>11</v>
      </c>
      <c r="D520" s="14" t="n">
        <f aca="false">IF($C520&gt;p_horizon,0,IFERROR(IF(AND(INDEX(TblClusters[Cluster],$B520)&lt;&gt;"",ISNUMBER(INDEX(TblClusters[CPU initial (vCPU)],$B520)),ISNUMBER(INDEX(TblClusters[CPU min (vCPU)],$B520)),OR(INDEX(TblClusters[Plateforme],$B520)="IKS",INDEX(TblClusters[Plateforme],$B520)="ROKS")),1,0),0))</f>
        <v>0</v>
      </c>
      <c r="E520" s="83" t="str">
        <f aca="false">IF($D520=1,EDATE(p_debut,$C520-1),"")</f>
        <v/>
      </c>
      <c r="F520" s="14" t="str">
        <f aca="false">IF($D520=1,INDEX(TblClusters[Cluster],$B520),"")</f>
        <v/>
      </c>
      <c r="G520" s="14" t="str">
        <f aca="false">IF($D520=1,INDEX(TblClusters[Plateforme],$B520),"")</f>
        <v/>
      </c>
      <c r="H520" s="14" t="str">
        <f aca="false">IF($D520=1,INDEX(TblClusters[vCPU par nœud],$B520),"")</f>
        <v/>
      </c>
      <c r="I520" s="14" t="str">
        <f aca="false">IF($D520=1,INDEX(TblClusters[RAM par nœud (Go)],$B520),"")</f>
        <v/>
      </c>
      <c r="J520" s="14" t="str">
        <f aca="false">IF($D520=1,INDEX(TblClusters[Workers min],$B520),"")</f>
        <v/>
      </c>
      <c r="K520" s="84" t="str">
        <f aca="false">IF($D520=1,INDEX(TblClusters[Tarif par nœud],$B520),"")</f>
        <v/>
      </c>
      <c r="L520" s="14" t="str">
        <f aca="false">IF($D520=1,INDEX(TblClusters[CPU initial (vCPU)],$B520),"")</f>
        <v/>
      </c>
      <c r="M520" s="14" t="str">
        <f aca="false">IF($D520=1,INDEX(TblClusters[RAM initiale (Go)],$B520),"")</f>
        <v/>
      </c>
      <c r="N520" s="14" t="str">
        <f aca="false">IF($D520=1,INDEX(TblClusters[CPU min (vCPU)],$B520),"")</f>
        <v/>
      </c>
      <c r="O520" s="14" t="str">
        <f aca="false">IF($D520=1,INDEX(TblClusters[RAM min (Go)],$B520),"")</f>
        <v/>
      </c>
      <c r="P520" s="14" t="str">
        <f aca="false">IF($D520&lt;&gt;1,"",IF($G520="ROKS",SUMIFS(TblApplications[Besoin ROKS CPU (vCPU)],TblApplications[Cluster ROKS cible],$F520,TblApplications[Action],"À migrer",TblApplications[Déjà incluse ROKS],"Non",TblApplications[Mois prov (calc)],"&lt;="&amp;$E520),SUMIFS(TblApplications[CPU IKS libérable (vCPU)],TblApplications[Cluster IKS source],$F520,TblApplications[Mois lib (calc)],"&lt;="&amp;$E520)))</f>
        <v/>
      </c>
      <c r="Q520" s="14" t="str">
        <f aca="false">IF($D520&lt;&gt;1,"",IF($G520="ROKS",SUMIFS(TblApplications[Besoin ROKS RAM (Go)],TblApplications[Cluster ROKS cible],$F520,TblApplications[Action],"À migrer",TblApplications[Déjà incluse ROKS],"Non",TblApplications[Mois prov (calc)],"&lt;="&amp;$E520),SUMIFS(TblApplications[RAM IKS libérable (Go)],TblApplications[Cluster IKS source],$F520,TblApplications[Mois lib (calc)],"&lt;="&amp;$E520)))</f>
        <v/>
      </c>
      <c r="R520" s="14" t="str">
        <f aca="false">IF($D520&lt;&gt;1,"",IF($G520="ROKS",$L520+$P520,IF($AI520=1,0,MAX($N520,$L520-$P520))))</f>
        <v/>
      </c>
      <c r="S520" s="14" t="str">
        <f aca="false">IF($D520&lt;&gt;1,"",IF($G520="ROKS",$M520+$Q520,IF($AI520=1,0,MAX($O520,$M520-$Q520))))</f>
        <v/>
      </c>
      <c r="T520" s="14" t="str">
        <f aca="false">IF($D520&lt;&gt;1,"",IF($AI520=1,0,MAX($J520,ROUNDUP(MAX($R520/$H520,$S520/$I520),0))))</f>
        <v/>
      </c>
      <c r="U520" s="14" t="str">
        <f aca="false">IF($D520&lt;&gt;1,"",IF(p_mode="Nœud",$T520*$H520,$R520))</f>
        <v/>
      </c>
      <c r="V520" s="14" t="str">
        <f aca="false">IF($D520&lt;&gt;1,"",IF(p_mode="Nœud",$T520*$I520,$S520))</f>
        <v/>
      </c>
      <c r="W520" s="84" t="str">
        <f aca="false">IF($D520&lt;&gt;1,"",IF(p_mode="Nœud",$T520*$K520,$R520*IF($G520="IKS",p_iks_cpu,p_roks_cpu)+$S520*IF($G520="IKS",p_iks_ram,p_roks_ram))*p_facteur)</f>
        <v/>
      </c>
      <c r="X520" s="14" t="str">
        <f aca="false">IF($D520&lt;&gt;1,"",IF($G520="ROKS",$R520,IF($AI520=1,0,MAX($N520,$L520-SUMIFS(TblApplications[CPU IKS libérable (vCPU)],TblApplications[Cluster IKS source],$F520,TblApplications[Action],"À migrer",TblApplications[Mois prov (calc)],"&lt;="&amp;$E520)-SUMIFS(TblApplications[CPU IKS libérable (vCPU)],TblApplications[Cluster IKS source],$F520,TblApplications[Action],"À décommissionner",TblApplications[Mois lib (calc)],"&lt;="&amp;$E520)))))</f>
        <v/>
      </c>
      <c r="Y520" s="14" t="str">
        <f aca="false">IF($D520&lt;&gt;1,"",IF($G520="ROKS",$S520,IF($AI520=1,0,MAX($O520,$M520-SUMIFS(TblApplications[RAM IKS libérable (Go)],TblApplications[Cluster IKS source],$F520,TblApplications[Action],"À migrer",TblApplications[Mois prov (calc)],"&lt;="&amp;$E520)-SUMIFS(TblApplications[RAM IKS libérable (Go)],TblApplications[Cluster IKS source],$F520,TblApplications[Action],"À décommissionner",TblApplications[Mois lib (calc)],"&lt;="&amp;$E520)))))</f>
        <v/>
      </c>
      <c r="Z520" s="14" t="str">
        <f aca="false">IF($D520&lt;&gt;1,"",IF($AI520=1,0,MAX($J520,ROUNDUP(MAX($X520/$H520,$Y520/$I520),0))))</f>
        <v/>
      </c>
      <c r="AA520" s="84" t="str">
        <f aca="false">IF($D520&lt;&gt;1,"",IF(p_mode="Nœud",$Z520*$K520,$X520*IF($G520="IKS",p_iks_cpu,p_roks_cpu)+$Y520*IF($G520="IKS",p_iks_ram,p_roks_ram))*p_facteur)</f>
        <v/>
      </c>
      <c r="AB520" s="14" t="str">
        <f aca="false">IF($D520&lt;&gt;1,"",MAX($J520,ROUNDUP(MAX($L520/$H520,$M520/$I520),0)))</f>
        <v/>
      </c>
      <c r="AC520" s="84" t="str">
        <f aca="false">IF($D520&lt;&gt;1,"",IF(p_mode="Nœud",$AB520*$K520,$L520*IF($G520="IKS",p_iks_cpu,p_roks_cpu)+$M520*IF($G520="IKS",p_iks_ram,p_roks_ram))*p_facteur)</f>
        <v/>
      </c>
      <c r="AD520" s="14" t="str">
        <f aca="false">IF($D520&lt;&gt;1,"",IF(AND($G520="IKS",$AI520&lt;&gt;1,OR($L520-$P520&lt;$N520,$M520-$Q520&lt;$O520)),1,0))</f>
        <v/>
      </c>
      <c r="AE520" s="14" t="str">
        <f aca="false">IF($D520&lt;&gt;1,"",IF(AND($G520="ROKS",$T520&gt;p_maxworkers),1,0))</f>
        <v/>
      </c>
      <c r="AF520" s="14" t="str">
        <f aca="false">IF($D520&lt;&gt;1,"",IF(INDEX(TblClusters[Environnement],$B520)="","(vide)",INDEX(TblClusters[Environnement],$B520)))</f>
        <v/>
      </c>
      <c r="AG520" s="14" t="str">
        <f aca="false">IF($D520&lt;&gt;1,"",$R520+p_poidsram*$S520)</f>
        <v/>
      </c>
      <c r="AH520" s="14" t="str">
        <f aca="false">IF($D520&lt;&gt;1,"",IFERROR($W520/$AG520,0))</f>
        <v/>
      </c>
      <c r="AI520" s="14" t="str">
        <f aca="false">IF($D520&lt;&gt;1,"",IF(AND($G520="IKS",ISNUMBER(INDEX(TblClusters[Fermeture retenue],$B520))),IF($E520&gt;=INDEX(TblClusters[Fermeture retenue],$B520),1,0),0))</f>
        <v/>
      </c>
    </row>
    <row r="521" customFormat="false" ht="15" hidden="false" customHeight="false" outlineLevel="0" collapsed="false">
      <c r="A521" s="14" t="n">
        <v>516</v>
      </c>
      <c r="B521" s="14" t="n">
        <f aca="false">INT(($A521-1)/36)+1</f>
        <v>15</v>
      </c>
      <c r="C521" s="14" t="n">
        <f aca="false">MOD($A521-1,36)+1</f>
        <v>12</v>
      </c>
      <c r="D521" s="14" t="n">
        <f aca="false">IF($C521&gt;p_horizon,0,IFERROR(IF(AND(INDEX(TblClusters[Cluster],$B521)&lt;&gt;"",ISNUMBER(INDEX(TblClusters[CPU initial (vCPU)],$B521)),ISNUMBER(INDEX(TblClusters[CPU min (vCPU)],$B521)),OR(INDEX(TblClusters[Plateforme],$B521)="IKS",INDEX(TblClusters[Plateforme],$B521)="ROKS")),1,0),0))</f>
        <v>0</v>
      </c>
      <c r="E521" s="83" t="str">
        <f aca="false">IF($D521=1,EDATE(p_debut,$C521-1),"")</f>
        <v/>
      </c>
      <c r="F521" s="14" t="str">
        <f aca="false">IF($D521=1,INDEX(TblClusters[Cluster],$B521),"")</f>
        <v/>
      </c>
      <c r="G521" s="14" t="str">
        <f aca="false">IF($D521=1,INDEX(TblClusters[Plateforme],$B521),"")</f>
        <v/>
      </c>
      <c r="H521" s="14" t="str">
        <f aca="false">IF($D521=1,INDEX(TblClusters[vCPU par nœud],$B521),"")</f>
        <v/>
      </c>
      <c r="I521" s="14" t="str">
        <f aca="false">IF($D521=1,INDEX(TblClusters[RAM par nœud (Go)],$B521),"")</f>
        <v/>
      </c>
      <c r="J521" s="14" t="str">
        <f aca="false">IF($D521=1,INDEX(TblClusters[Workers min],$B521),"")</f>
        <v/>
      </c>
      <c r="K521" s="84" t="str">
        <f aca="false">IF($D521=1,INDEX(TblClusters[Tarif par nœud],$B521),"")</f>
        <v/>
      </c>
      <c r="L521" s="14" t="str">
        <f aca="false">IF($D521=1,INDEX(TblClusters[CPU initial (vCPU)],$B521),"")</f>
        <v/>
      </c>
      <c r="M521" s="14" t="str">
        <f aca="false">IF($D521=1,INDEX(TblClusters[RAM initiale (Go)],$B521),"")</f>
        <v/>
      </c>
      <c r="N521" s="14" t="str">
        <f aca="false">IF($D521=1,INDEX(TblClusters[CPU min (vCPU)],$B521),"")</f>
        <v/>
      </c>
      <c r="O521" s="14" t="str">
        <f aca="false">IF($D521=1,INDEX(TblClusters[RAM min (Go)],$B521),"")</f>
        <v/>
      </c>
      <c r="P521" s="14" t="str">
        <f aca="false">IF($D521&lt;&gt;1,"",IF($G521="ROKS",SUMIFS(TblApplications[Besoin ROKS CPU (vCPU)],TblApplications[Cluster ROKS cible],$F521,TblApplications[Action],"À migrer",TblApplications[Déjà incluse ROKS],"Non",TblApplications[Mois prov (calc)],"&lt;="&amp;$E521),SUMIFS(TblApplications[CPU IKS libérable (vCPU)],TblApplications[Cluster IKS source],$F521,TblApplications[Mois lib (calc)],"&lt;="&amp;$E521)))</f>
        <v/>
      </c>
      <c r="Q521" s="14" t="str">
        <f aca="false">IF($D521&lt;&gt;1,"",IF($G521="ROKS",SUMIFS(TblApplications[Besoin ROKS RAM (Go)],TblApplications[Cluster ROKS cible],$F521,TblApplications[Action],"À migrer",TblApplications[Déjà incluse ROKS],"Non",TblApplications[Mois prov (calc)],"&lt;="&amp;$E521),SUMIFS(TblApplications[RAM IKS libérable (Go)],TblApplications[Cluster IKS source],$F521,TblApplications[Mois lib (calc)],"&lt;="&amp;$E521)))</f>
        <v/>
      </c>
      <c r="R521" s="14" t="str">
        <f aca="false">IF($D521&lt;&gt;1,"",IF($G521="ROKS",$L521+$P521,IF($AI521=1,0,MAX($N521,$L521-$P521))))</f>
        <v/>
      </c>
      <c r="S521" s="14" t="str">
        <f aca="false">IF($D521&lt;&gt;1,"",IF($G521="ROKS",$M521+$Q521,IF($AI521=1,0,MAX($O521,$M521-$Q521))))</f>
        <v/>
      </c>
      <c r="T521" s="14" t="str">
        <f aca="false">IF($D521&lt;&gt;1,"",IF($AI521=1,0,MAX($J521,ROUNDUP(MAX($R521/$H521,$S521/$I521),0))))</f>
        <v/>
      </c>
      <c r="U521" s="14" t="str">
        <f aca="false">IF($D521&lt;&gt;1,"",IF(p_mode="Nœud",$T521*$H521,$R521))</f>
        <v/>
      </c>
      <c r="V521" s="14" t="str">
        <f aca="false">IF($D521&lt;&gt;1,"",IF(p_mode="Nœud",$T521*$I521,$S521))</f>
        <v/>
      </c>
      <c r="W521" s="84" t="str">
        <f aca="false">IF($D521&lt;&gt;1,"",IF(p_mode="Nœud",$T521*$K521,$R521*IF($G521="IKS",p_iks_cpu,p_roks_cpu)+$S521*IF($G521="IKS",p_iks_ram,p_roks_ram))*p_facteur)</f>
        <v/>
      </c>
      <c r="X521" s="14" t="str">
        <f aca="false">IF($D521&lt;&gt;1,"",IF($G521="ROKS",$R521,IF($AI521=1,0,MAX($N521,$L521-SUMIFS(TblApplications[CPU IKS libérable (vCPU)],TblApplications[Cluster IKS source],$F521,TblApplications[Action],"À migrer",TblApplications[Mois prov (calc)],"&lt;="&amp;$E521)-SUMIFS(TblApplications[CPU IKS libérable (vCPU)],TblApplications[Cluster IKS source],$F521,TblApplications[Action],"À décommissionner",TblApplications[Mois lib (calc)],"&lt;="&amp;$E521)))))</f>
        <v/>
      </c>
      <c r="Y521" s="14" t="str">
        <f aca="false">IF($D521&lt;&gt;1,"",IF($G521="ROKS",$S521,IF($AI521=1,0,MAX($O521,$M521-SUMIFS(TblApplications[RAM IKS libérable (Go)],TblApplications[Cluster IKS source],$F521,TblApplications[Action],"À migrer",TblApplications[Mois prov (calc)],"&lt;="&amp;$E521)-SUMIFS(TblApplications[RAM IKS libérable (Go)],TblApplications[Cluster IKS source],$F521,TblApplications[Action],"À décommissionner",TblApplications[Mois lib (calc)],"&lt;="&amp;$E521)))))</f>
        <v/>
      </c>
      <c r="Z521" s="14" t="str">
        <f aca="false">IF($D521&lt;&gt;1,"",IF($AI521=1,0,MAX($J521,ROUNDUP(MAX($X521/$H521,$Y521/$I521),0))))</f>
        <v/>
      </c>
      <c r="AA521" s="84" t="str">
        <f aca="false">IF($D521&lt;&gt;1,"",IF(p_mode="Nœud",$Z521*$K521,$X521*IF($G521="IKS",p_iks_cpu,p_roks_cpu)+$Y521*IF($G521="IKS",p_iks_ram,p_roks_ram))*p_facteur)</f>
        <v/>
      </c>
      <c r="AB521" s="14" t="str">
        <f aca="false">IF($D521&lt;&gt;1,"",MAX($J521,ROUNDUP(MAX($L521/$H521,$M521/$I521),0)))</f>
        <v/>
      </c>
      <c r="AC521" s="84" t="str">
        <f aca="false">IF($D521&lt;&gt;1,"",IF(p_mode="Nœud",$AB521*$K521,$L521*IF($G521="IKS",p_iks_cpu,p_roks_cpu)+$M521*IF($G521="IKS",p_iks_ram,p_roks_ram))*p_facteur)</f>
        <v/>
      </c>
      <c r="AD521" s="14" t="str">
        <f aca="false">IF($D521&lt;&gt;1,"",IF(AND($G521="IKS",$AI521&lt;&gt;1,OR($L521-$P521&lt;$N521,$M521-$Q521&lt;$O521)),1,0))</f>
        <v/>
      </c>
      <c r="AE521" s="14" t="str">
        <f aca="false">IF($D521&lt;&gt;1,"",IF(AND($G521="ROKS",$T521&gt;p_maxworkers),1,0))</f>
        <v/>
      </c>
      <c r="AF521" s="14" t="str">
        <f aca="false">IF($D521&lt;&gt;1,"",IF(INDEX(TblClusters[Environnement],$B521)="","(vide)",INDEX(TblClusters[Environnement],$B521)))</f>
        <v/>
      </c>
      <c r="AG521" s="14" t="str">
        <f aca="false">IF($D521&lt;&gt;1,"",$R521+p_poidsram*$S521)</f>
        <v/>
      </c>
      <c r="AH521" s="14" t="str">
        <f aca="false">IF($D521&lt;&gt;1,"",IFERROR($W521/$AG521,0))</f>
        <v/>
      </c>
      <c r="AI521" s="14" t="str">
        <f aca="false">IF($D521&lt;&gt;1,"",IF(AND($G521="IKS",ISNUMBER(INDEX(TblClusters[Fermeture retenue],$B521))),IF($E521&gt;=INDEX(TblClusters[Fermeture retenue],$B521),1,0),0))</f>
        <v/>
      </c>
    </row>
    <row r="522" customFormat="false" ht="15" hidden="false" customHeight="false" outlineLevel="0" collapsed="false">
      <c r="A522" s="14" t="n">
        <v>517</v>
      </c>
      <c r="B522" s="14" t="n">
        <f aca="false">INT(($A522-1)/36)+1</f>
        <v>15</v>
      </c>
      <c r="C522" s="14" t="n">
        <f aca="false">MOD($A522-1,36)+1</f>
        <v>13</v>
      </c>
      <c r="D522" s="14" t="n">
        <f aca="false">IF($C522&gt;p_horizon,0,IFERROR(IF(AND(INDEX(TblClusters[Cluster],$B522)&lt;&gt;"",ISNUMBER(INDEX(TblClusters[CPU initial (vCPU)],$B522)),ISNUMBER(INDEX(TblClusters[CPU min (vCPU)],$B522)),OR(INDEX(TblClusters[Plateforme],$B522)="IKS",INDEX(TblClusters[Plateforme],$B522)="ROKS")),1,0),0))</f>
        <v>0</v>
      </c>
      <c r="E522" s="83" t="str">
        <f aca="false">IF($D522=1,EDATE(p_debut,$C522-1),"")</f>
        <v/>
      </c>
      <c r="F522" s="14" t="str">
        <f aca="false">IF($D522=1,INDEX(TblClusters[Cluster],$B522),"")</f>
        <v/>
      </c>
      <c r="G522" s="14" t="str">
        <f aca="false">IF($D522=1,INDEX(TblClusters[Plateforme],$B522),"")</f>
        <v/>
      </c>
      <c r="H522" s="14" t="str">
        <f aca="false">IF($D522=1,INDEX(TblClusters[vCPU par nœud],$B522),"")</f>
        <v/>
      </c>
      <c r="I522" s="14" t="str">
        <f aca="false">IF($D522=1,INDEX(TblClusters[RAM par nœud (Go)],$B522),"")</f>
        <v/>
      </c>
      <c r="J522" s="14" t="str">
        <f aca="false">IF($D522=1,INDEX(TblClusters[Workers min],$B522),"")</f>
        <v/>
      </c>
      <c r="K522" s="84" t="str">
        <f aca="false">IF($D522=1,INDEX(TblClusters[Tarif par nœud],$B522),"")</f>
        <v/>
      </c>
      <c r="L522" s="14" t="str">
        <f aca="false">IF($D522=1,INDEX(TblClusters[CPU initial (vCPU)],$B522),"")</f>
        <v/>
      </c>
      <c r="M522" s="14" t="str">
        <f aca="false">IF($D522=1,INDEX(TblClusters[RAM initiale (Go)],$B522),"")</f>
        <v/>
      </c>
      <c r="N522" s="14" t="str">
        <f aca="false">IF($D522=1,INDEX(TblClusters[CPU min (vCPU)],$B522),"")</f>
        <v/>
      </c>
      <c r="O522" s="14" t="str">
        <f aca="false">IF($D522=1,INDEX(TblClusters[RAM min (Go)],$B522),"")</f>
        <v/>
      </c>
      <c r="P522" s="14" t="str">
        <f aca="false">IF($D522&lt;&gt;1,"",IF($G522="ROKS",SUMIFS(TblApplications[Besoin ROKS CPU (vCPU)],TblApplications[Cluster ROKS cible],$F522,TblApplications[Action],"À migrer",TblApplications[Déjà incluse ROKS],"Non",TblApplications[Mois prov (calc)],"&lt;="&amp;$E522),SUMIFS(TblApplications[CPU IKS libérable (vCPU)],TblApplications[Cluster IKS source],$F522,TblApplications[Mois lib (calc)],"&lt;="&amp;$E522)))</f>
        <v/>
      </c>
      <c r="Q522" s="14" t="str">
        <f aca="false">IF($D522&lt;&gt;1,"",IF($G522="ROKS",SUMIFS(TblApplications[Besoin ROKS RAM (Go)],TblApplications[Cluster ROKS cible],$F522,TblApplications[Action],"À migrer",TblApplications[Déjà incluse ROKS],"Non",TblApplications[Mois prov (calc)],"&lt;="&amp;$E522),SUMIFS(TblApplications[RAM IKS libérable (Go)],TblApplications[Cluster IKS source],$F522,TblApplications[Mois lib (calc)],"&lt;="&amp;$E522)))</f>
        <v/>
      </c>
      <c r="R522" s="14" t="str">
        <f aca="false">IF($D522&lt;&gt;1,"",IF($G522="ROKS",$L522+$P522,IF($AI522=1,0,MAX($N522,$L522-$P522))))</f>
        <v/>
      </c>
      <c r="S522" s="14" t="str">
        <f aca="false">IF($D522&lt;&gt;1,"",IF($G522="ROKS",$M522+$Q522,IF($AI522=1,0,MAX($O522,$M522-$Q522))))</f>
        <v/>
      </c>
      <c r="T522" s="14" t="str">
        <f aca="false">IF($D522&lt;&gt;1,"",IF($AI522=1,0,MAX($J522,ROUNDUP(MAX($R522/$H522,$S522/$I522),0))))</f>
        <v/>
      </c>
      <c r="U522" s="14" t="str">
        <f aca="false">IF($D522&lt;&gt;1,"",IF(p_mode="Nœud",$T522*$H522,$R522))</f>
        <v/>
      </c>
      <c r="V522" s="14" t="str">
        <f aca="false">IF($D522&lt;&gt;1,"",IF(p_mode="Nœud",$T522*$I522,$S522))</f>
        <v/>
      </c>
      <c r="W522" s="84" t="str">
        <f aca="false">IF($D522&lt;&gt;1,"",IF(p_mode="Nœud",$T522*$K522,$R522*IF($G522="IKS",p_iks_cpu,p_roks_cpu)+$S522*IF($G522="IKS",p_iks_ram,p_roks_ram))*p_facteur)</f>
        <v/>
      </c>
      <c r="X522" s="14" t="str">
        <f aca="false">IF($D522&lt;&gt;1,"",IF($G522="ROKS",$R522,IF($AI522=1,0,MAX($N522,$L522-SUMIFS(TblApplications[CPU IKS libérable (vCPU)],TblApplications[Cluster IKS source],$F522,TblApplications[Action],"À migrer",TblApplications[Mois prov (calc)],"&lt;="&amp;$E522)-SUMIFS(TblApplications[CPU IKS libérable (vCPU)],TblApplications[Cluster IKS source],$F522,TblApplications[Action],"À décommissionner",TblApplications[Mois lib (calc)],"&lt;="&amp;$E522)))))</f>
        <v/>
      </c>
      <c r="Y522" s="14" t="str">
        <f aca="false">IF($D522&lt;&gt;1,"",IF($G522="ROKS",$S522,IF($AI522=1,0,MAX($O522,$M522-SUMIFS(TblApplications[RAM IKS libérable (Go)],TblApplications[Cluster IKS source],$F522,TblApplications[Action],"À migrer",TblApplications[Mois prov (calc)],"&lt;="&amp;$E522)-SUMIFS(TblApplications[RAM IKS libérable (Go)],TblApplications[Cluster IKS source],$F522,TblApplications[Action],"À décommissionner",TblApplications[Mois lib (calc)],"&lt;="&amp;$E522)))))</f>
        <v/>
      </c>
      <c r="Z522" s="14" t="str">
        <f aca="false">IF($D522&lt;&gt;1,"",IF($AI522=1,0,MAX($J522,ROUNDUP(MAX($X522/$H522,$Y522/$I522),0))))</f>
        <v/>
      </c>
      <c r="AA522" s="84" t="str">
        <f aca="false">IF($D522&lt;&gt;1,"",IF(p_mode="Nœud",$Z522*$K522,$X522*IF($G522="IKS",p_iks_cpu,p_roks_cpu)+$Y522*IF($G522="IKS",p_iks_ram,p_roks_ram))*p_facteur)</f>
        <v/>
      </c>
      <c r="AB522" s="14" t="str">
        <f aca="false">IF($D522&lt;&gt;1,"",MAX($J522,ROUNDUP(MAX($L522/$H522,$M522/$I522),0)))</f>
        <v/>
      </c>
      <c r="AC522" s="84" t="str">
        <f aca="false">IF($D522&lt;&gt;1,"",IF(p_mode="Nœud",$AB522*$K522,$L522*IF($G522="IKS",p_iks_cpu,p_roks_cpu)+$M522*IF($G522="IKS",p_iks_ram,p_roks_ram))*p_facteur)</f>
        <v/>
      </c>
      <c r="AD522" s="14" t="str">
        <f aca="false">IF($D522&lt;&gt;1,"",IF(AND($G522="IKS",$AI522&lt;&gt;1,OR($L522-$P522&lt;$N522,$M522-$Q522&lt;$O522)),1,0))</f>
        <v/>
      </c>
      <c r="AE522" s="14" t="str">
        <f aca="false">IF($D522&lt;&gt;1,"",IF(AND($G522="ROKS",$T522&gt;p_maxworkers),1,0))</f>
        <v/>
      </c>
      <c r="AF522" s="14" t="str">
        <f aca="false">IF($D522&lt;&gt;1,"",IF(INDEX(TblClusters[Environnement],$B522)="","(vide)",INDEX(TblClusters[Environnement],$B522)))</f>
        <v/>
      </c>
      <c r="AG522" s="14" t="str">
        <f aca="false">IF($D522&lt;&gt;1,"",$R522+p_poidsram*$S522)</f>
        <v/>
      </c>
      <c r="AH522" s="14" t="str">
        <f aca="false">IF($D522&lt;&gt;1,"",IFERROR($W522/$AG522,0))</f>
        <v/>
      </c>
      <c r="AI522" s="14" t="str">
        <f aca="false">IF($D522&lt;&gt;1,"",IF(AND($G522="IKS",ISNUMBER(INDEX(TblClusters[Fermeture retenue],$B522))),IF($E522&gt;=INDEX(TblClusters[Fermeture retenue],$B522),1,0),0))</f>
        <v/>
      </c>
    </row>
    <row r="523" customFormat="false" ht="15" hidden="false" customHeight="false" outlineLevel="0" collapsed="false">
      <c r="A523" s="14" t="n">
        <v>518</v>
      </c>
      <c r="B523" s="14" t="n">
        <f aca="false">INT(($A523-1)/36)+1</f>
        <v>15</v>
      </c>
      <c r="C523" s="14" t="n">
        <f aca="false">MOD($A523-1,36)+1</f>
        <v>14</v>
      </c>
      <c r="D523" s="14" t="n">
        <f aca="false">IF($C523&gt;p_horizon,0,IFERROR(IF(AND(INDEX(TblClusters[Cluster],$B523)&lt;&gt;"",ISNUMBER(INDEX(TblClusters[CPU initial (vCPU)],$B523)),ISNUMBER(INDEX(TblClusters[CPU min (vCPU)],$B523)),OR(INDEX(TblClusters[Plateforme],$B523)="IKS",INDEX(TblClusters[Plateforme],$B523)="ROKS")),1,0),0))</f>
        <v>0</v>
      </c>
      <c r="E523" s="83" t="str">
        <f aca="false">IF($D523=1,EDATE(p_debut,$C523-1),"")</f>
        <v/>
      </c>
      <c r="F523" s="14" t="str">
        <f aca="false">IF($D523=1,INDEX(TblClusters[Cluster],$B523),"")</f>
        <v/>
      </c>
      <c r="G523" s="14" t="str">
        <f aca="false">IF($D523=1,INDEX(TblClusters[Plateforme],$B523),"")</f>
        <v/>
      </c>
      <c r="H523" s="14" t="str">
        <f aca="false">IF($D523=1,INDEX(TblClusters[vCPU par nœud],$B523),"")</f>
        <v/>
      </c>
      <c r="I523" s="14" t="str">
        <f aca="false">IF($D523=1,INDEX(TblClusters[RAM par nœud (Go)],$B523),"")</f>
        <v/>
      </c>
      <c r="J523" s="14" t="str">
        <f aca="false">IF($D523=1,INDEX(TblClusters[Workers min],$B523),"")</f>
        <v/>
      </c>
      <c r="K523" s="84" t="str">
        <f aca="false">IF($D523=1,INDEX(TblClusters[Tarif par nœud],$B523),"")</f>
        <v/>
      </c>
      <c r="L523" s="14" t="str">
        <f aca="false">IF($D523=1,INDEX(TblClusters[CPU initial (vCPU)],$B523),"")</f>
        <v/>
      </c>
      <c r="M523" s="14" t="str">
        <f aca="false">IF($D523=1,INDEX(TblClusters[RAM initiale (Go)],$B523),"")</f>
        <v/>
      </c>
      <c r="N523" s="14" t="str">
        <f aca="false">IF($D523=1,INDEX(TblClusters[CPU min (vCPU)],$B523),"")</f>
        <v/>
      </c>
      <c r="O523" s="14" t="str">
        <f aca="false">IF($D523=1,INDEX(TblClusters[RAM min (Go)],$B523),"")</f>
        <v/>
      </c>
      <c r="P523" s="14" t="str">
        <f aca="false">IF($D523&lt;&gt;1,"",IF($G523="ROKS",SUMIFS(TblApplications[Besoin ROKS CPU (vCPU)],TblApplications[Cluster ROKS cible],$F523,TblApplications[Action],"À migrer",TblApplications[Déjà incluse ROKS],"Non",TblApplications[Mois prov (calc)],"&lt;="&amp;$E523),SUMIFS(TblApplications[CPU IKS libérable (vCPU)],TblApplications[Cluster IKS source],$F523,TblApplications[Mois lib (calc)],"&lt;="&amp;$E523)))</f>
        <v/>
      </c>
      <c r="Q523" s="14" t="str">
        <f aca="false">IF($D523&lt;&gt;1,"",IF($G523="ROKS",SUMIFS(TblApplications[Besoin ROKS RAM (Go)],TblApplications[Cluster ROKS cible],$F523,TblApplications[Action],"À migrer",TblApplications[Déjà incluse ROKS],"Non",TblApplications[Mois prov (calc)],"&lt;="&amp;$E523),SUMIFS(TblApplications[RAM IKS libérable (Go)],TblApplications[Cluster IKS source],$F523,TblApplications[Mois lib (calc)],"&lt;="&amp;$E523)))</f>
        <v/>
      </c>
      <c r="R523" s="14" t="str">
        <f aca="false">IF($D523&lt;&gt;1,"",IF($G523="ROKS",$L523+$P523,IF($AI523=1,0,MAX($N523,$L523-$P523))))</f>
        <v/>
      </c>
      <c r="S523" s="14" t="str">
        <f aca="false">IF($D523&lt;&gt;1,"",IF($G523="ROKS",$M523+$Q523,IF($AI523=1,0,MAX($O523,$M523-$Q523))))</f>
        <v/>
      </c>
      <c r="T523" s="14" t="str">
        <f aca="false">IF($D523&lt;&gt;1,"",IF($AI523=1,0,MAX($J523,ROUNDUP(MAX($R523/$H523,$S523/$I523),0))))</f>
        <v/>
      </c>
      <c r="U523" s="14" t="str">
        <f aca="false">IF($D523&lt;&gt;1,"",IF(p_mode="Nœud",$T523*$H523,$R523))</f>
        <v/>
      </c>
      <c r="V523" s="14" t="str">
        <f aca="false">IF($D523&lt;&gt;1,"",IF(p_mode="Nœud",$T523*$I523,$S523))</f>
        <v/>
      </c>
      <c r="W523" s="84" t="str">
        <f aca="false">IF($D523&lt;&gt;1,"",IF(p_mode="Nœud",$T523*$K523,$R523*IF($G523="IKS",p_iks_cpu,p_roks_cpu)+$S523*IF($G523="IKS",p_iks_ram,p_roks_ram))*p_facteur)</f>
        <v/>
      </c>
      <c r="X523" s="14" t="str">
        <f aca="false">IF($D523&lt;&gt;1,"",IF($G523="ROKS",$R523,IF($AI523=1,0,MAX($N523,$L523-SUMIFS(TblApplications[CPU IKS libérable (vCPU)],TblApplications[Cluster IKS source],$F523,TblApplications[Action],"À migrer",TblApplications[Mois prov (calc)],"&lt;="&amp;$E523)-SUMIFS(TblApplications[CPU IKS libérable (vCPU)],TblApplications[Cluster IKS source],$F523,TblApplications[Action],"À décommissionner",TblApplications[Mois lib (calc)],"&lt;="&amp;$E523)))))</f>
        <v/>
      </c>
      <c r="Y523" s="14" t="str">
        <f aca="false">IF($D523&lt;&gt;1,"",IF($G523="ROKS",$S523,IF($AI523=1,0,MAX($O523,$M523-SUMIFS(TblApplications[RAM IKS libérable (Go)],TblApplications[Cluster IKS source],$F523,TblApplications[Action],"À migrer",TblApplications[Mois prov (calc)],"&lt;="&amp;$E523)-SUMIFS(TblApplications[RAM IKS libérable (Go)],TblApplications[Cluster IKS source],$F523,TblApplications[Action],"À décommissionner",TblApplications[Mois lib (calc)],"&lt;="&amp;$E523)))))</f>
        <v/>
      </c>
      <c r="Z523" s="14" t="str">
        <f aca="false">IF($D523&lt;&gt;1,"",IF($AI523=1,0,MAX($J523,ROUNDUP(MAX($X523/$H523,$Y523/$I523),0))))</f>
        <v/>
      </c>
      <c r="AA523" s="84" t="str">
        <f aca="false">IF($D523&lt;&gt;1,"",IF(p_mode="Nœud",$Z523*$K523,$X523*IF($G523="IKS",p_iks_cpu,p_roks_cpu)+$Y523*IF($G523="IKS",p_iks_ram,p_roks_ram))*p_facteur)</f>
        <v/>
      </c>
      <c r="AB523" s="14" t="str">
        <f aca="false">IF($D523&lt;&gt;1,"",MAX($J523,ROUNDUP(MAX($L523/$H523,$M523/$I523),0)))</f>
        <v/>
      </c>
      <c r="AC523" s="84" t="str">
        <f aca="false">IF($D523&lt;&gt;1,"",IF(p_mode="Nœud",$AB523*$K523,$L523*IF($G523="IKS",p_iks_cpu,p_roks_cpu)+$M523*IF($G523="IKS",p_iks_ram,p_roks_ram))*p_facteur)</f>
        <v/>
      </c>
      <c r="AD523" s="14" t="str">
        <f aca="false">IF($D523&lt;&gt;1,"",IF(AND($G523="IKS",$AI523&lt;&gt;1,OR($L523-$P523&lt;$N523,$M523-$Q523&lt;$O523)),1,0))</f>
        <v/>
      </c>
      <c r="AE523" s="14" t="str">
        <f aca="false">IF($D523&lt;&gt;1,"",IF(AND($G523="ROKS",$T523&gt;p_maxworkers),1,0))</f>
        <v/>
      </c>
      <c r="AF523" s="14" t="str">
        <f aca="false">IF($D523&lt;&gt;1,"",IF(INDEX(TblClusters[Environnement],$B523)="","(vide)",INDEX(TblClusters[Environnement],$B523)))</f>
        <v/>
      </c>
      <c r="AG523" s="14" t="str">
        <f aca="false">IF($D523&lt;&gt;1,"",$R523+p_poidsram*$S523)</f>
        <v/>
      </c>
      <c r="AH523" s="14" t="str">
        <f aca="false">IF($D523&lt;&gt;1,"",IFERROR($W523/$AG523,0))</f>
        <v/>
      </c>
      <c r="AI523" s="14" t="str">
        <f aca="false">IF($D523&lt;&gt;1,"",IF(AND($G523="IKS",ISNUMBER(INDEX(TblClusters[Fermeture retenue],$B523))),IF($E523&gt;=INDEX(TblClusters[Fermeture retenue],$B523),1,0),0))</f>
        <v/>
      </c>
    </row>
    <row r="524" customFormat="false" ht="15" hidden="false" customHeight="false" outlineLevel="0" collapsed="false">
      <c r="A524" s="14" t="n">
        <v>519</v>
      </c>
      <c r="B524" s="14" t="n">
        <f aca="false">INT(($A524-1)/36)+1</f>
        <v>15</v>
      </c>
      <c r="C524" s="14" t="n">
        <f aca="false">MOD($A524-1,36)+1</f>
        <v>15</v>
      </c>
      <c r="D524" s="14" t="n">
        <f aca="false">IF($C524&gt;p_horizon,0,IFERROR(IF(AND(INDEX(TblClusters[Cluster],$B524)&lt;&gt;"",ISNUMBER(INDEX(TblClusters[CPU initial (vCPU)],$B524)),ISNUMBER(INDEX(TblClusters[CPU min (vCPU)],$B524)),OR(INDEX(TblClusters[Plateforme],$B524)="IKS",INDEX(TblClusters[Plateforme],$B524)="ROKS")),1,0),0))</f>
        <v>0</v>
      </c>
      <c r="E524" s="83" t="str">
        <f aca="false">IF($D524=1,EDATE(p_debut,$C524-1),"")</f>
        <v/>
      </c>
      <c r="F524" s="14" t="str">
        <f aca="false">IF($D524=1,INDEX(TblClusters[Cluster],$B524),"")</f>
        <v/>
      </c>
      <c r="G524" s="14" t="str">
        <f aca="false">IF($D524=1,INDEX(TblClusters[Plateforme],$B524),"")</f>
        <v/>
      </c>
      <c r="H524" s="14" t="str">
        <f aca="false">IF($D524=1,INDEX(TblClusters[vCPU par nœud],$B524),"")</f>
        <v/>
      </c>
      <c r="I524" s="14" t="str">
        <f aca="false">IF($D524=1,INDEX(TblClusters[RAM par nœud (Go)],$B524),"")</f>
        <v/>
      </c>
      <c r="J524" s="14" t="str">
        <f aca="false">IF($D524=1,INDEX(TblClusters[Workers min],$B524),"")</f>
        <v/>
      </c>
      <c r="K524" s="84" t="str">
        <f aca="false">IF($D524=1,INDEX(TblClusters[Tarif par nœud],$B524),"")</f>
        <v/>
      </c>
      <c r="L524" s="14" t="str">
        <f aca="false">IF($D524=1,INDEX(TblClusters[CPU initial (vCPU)],$B524),"")</f>
        <v/>
      </c>
      <c r="M524" s="14" t="str">
        <f aca="false">IF($D524=1,INDEX(TblClusters[RAM initiale (Go)],$B524),"")</f>
        <v/>
      </c>
      <c r="N524" s="14" t="str">
        <f aca="false">IF($D524=1,INDEX(TblClusters[CPU min (vCPU)],$B524),"")</f>
        <v/>
      </c>
      <c r="O524" s="14" t="str">
        <f aca="false">IF($D524=1,INDEX(TblClusters[RAM min (Go)],$B524),"")</f>
        <v/>
      </c>
      <c r="P524" s="14" t="str">
        <f aca="false">IF($D524&lt;&gt;1,"",IF($G524="ROKS",SUMIFS(TblApplications[Besoin ROKS CPU (vCPU)],TblApplications[Cluster ROKS cible],$F524,TblApplications[Action],"À migrer",TblApplications[Déjà incluse ROKS],"Non",TblApplications[Mois prov (calc)],"&lt;="&amp;$E524),SUMIFS(TblApplications[CPU IKS libérable (vCPU)],TblApplications[Cluster IKS source],$F524,TblApplications[Mois lib (calc)],"&lt;="&amp;$E524)))</f>
        <v/>
      </c>
      <c r="Q524" s="14" t="str">
        <f aca="false">IF($D524&lt;&gt;1,"",IF($G524="ROKS",SUMIFS(TblApplications[Besoin ROKS RAM (Go)],TblApplications[Cluster ROKS cible],$F524,TblApplications[Action],"À migrer",TblApplications[Déjà incluse ROKS],"Non",TblApplications[Mois prov (calc)],"&lt;="&amp;$E524),SUMIFS(TblApplications[RAM IKS libérable (Go)],TblApplications[Cluster IKS source],$F524,TblApplications[Mois lib (calc)],"&lt;="&amp;$E524)))</f>
        <v/>
      </c>
      <c r="R524" s="14" t="str">
        <f aca="false">IF($D524&lt;&gt;1,"",IF($G524="ROKS",$L524+$P524,IF($AI524=1,0,MAX($N524,$L524-$P524))))</f>
        <v/>
      </c>
      <c r="S524" s="14" t="str">
        <f aca="false">IF($D524&lt;&gt;1,"",IF($G524="ROKS",$M524+$Q524,IF($AI524=1,0,MAX($O524,$M524-$Q524))))</f>
        <v/>
      </c>
      <c r="T524" s="14" t="str">
        <f aca="false">IF($D524&lt;&gt;1,"",IF($AI524=1,0,MAX($J524,ROUNDUP(MAX($R524/$H524,$S524/$I524),0))))</f>
        <v/>
      </c>
      <c r="U524" s="14" t="str">
        <f aca="false">IF($D524&lt;&gt;1,"",IF(p_mode="Nœud",$T524*$H524,$R524))</f>
        <v/>
      </c>
      <c r="V524" s="14" t="str">
        <f aca="false">IF($D524&lt;&gt;1,"",IF(p_mode="Nœud",$T524*$I524,$S524))</f>
        <v/>
      </c>
      <c r="W524" s="84" t="str">
        <f aca="false">IF($D524&lt;&gt;1,"",IF(p_mode="Nœud",$T524*$K524,$R524*IF($G524="IKS",p_iks_cpu,p_roks_cpu)+$S524*IF($G524="IKS",p_iks_ram,p_roks_ram))*p_facteur)</f>
        <v/>
      </c>
      <c r="X524" s="14" t="str">
        <f aca="false">IF($D524&lt;&gt;1,"",IF($G524="ROKS",$R524,IF($AI524=1,0,MAX($N524,$L524-SUMIFS(TblApplications[CPU IKS libérable (vCPU)],TblApplications[Cluster IKS source],$F524,TblApplications[Action],"À migrer",TblApplications[Mois prov (calc)],"&lt;="&amp;$E524)-SUMIFS(TblApplications[CPU IKS libérable (vCPU)],TblApplications[Cluster IKS source],$F524,TblApplications[Action],"À décommissionner",TblApplications[Mois lib (calc)],"&lt;="&amp;$E524)))))</f>
        <v/>
      </c>
      <c r="Y524" s="14" t="str">
        <f aca="false">IF($D524&lt;&gt;1,"",IF($G524="ROKS",$S524,IF($AI524=1,0,MAX($O524,$M524-SUMIFS(TblApplications[RAM IKS libérable (Go)],TblApplications[Cluster IKS source],$F524,TblApplications[Action],"À migrer",TblApplications[Mois prov (calc)],"&lt;="&amp;$E524)-SUMIFS(TblApplications[RAM IKS libérable (Go)],TblApplications[Cluster IKS source],$F524,TblApplications[Action],"À décommissionner",TblApplications[Mois lib (calc)],"&lt;="&amp;$E524)))))</f>
        <v/>
      </c>
      <c r="Z524" s="14" t="str">
        <f aca="false">IF($D524&lt;&gt;1,"",IF($AI524=1,0,MAX($J524,ROUNDUP(MAX($X524/$H524,$Y524/$I524),0))))</f>
        <v/>
      </c>
      <c r="AA524" s="84" t="str">
        <f aca="false">IF($D524&lt;&gt;1,"",IF(p_mode="Nœud",$Z524*$K524,$X524*IF($G524="IKS",p_iks_cpu,p_roks_cpu)+$Y524*IF($G524="IKS",p_iks_ram,p_roks_ram))*p_facteur)</f>
        <v/>
      </c>
      <c r="AB524" s="14" t="str">
        <f aca="false">IF($D524&lt;&gt;1,"",MAX($J524,ROUNDUP(MAX($L524/$H524,$M524/$I524),0)))</f>
        <v/>
      </c>
      <c r="AC524" s="84" t="str">
        <f aca="false">IF($D524&lt;&gt;1,"",IF(p_mode="Nœud",$AB524*$K524,$L524*IF($G524="IKS",p_iks_cpu,p_roks_cpu)+$M524*IF($G524="IKS",p_iks_ram,p_roks_ram))*p_facteur)</f>
        <v/>
      </c>
      <c r="AD524" s="14" t="str">
        <f aca="false">IF($D524&lt;&gt;1,"",IF(AND($G524="IKS",$AI524&lt;&gt;1,OR($L524-$P524&lt;$N524,$M524-$Q524&lt;$O524)),1,0))</f>
        <v/>
      </c>
      <c r="AE524" s="14" t="str">
        <f aca="false">IF($D524&lt;&gt;1,"",IF(AND($G524="ROKS",$T524&gt;p_maxworkers),1,0))</f>
        <v/>
      </c>
      <c r="AF524" s="14" t="str">
        <f aca="false">IF($D524&lt;&gt;1,"",IF(INDEX(TblClusters[Environnement],$B524)="","(vide)",INDEX(TblClusters[Environnement],$B524)))</f>
        <v/>
      </c>
      <c r="AG524" s="14" t="str">
        <f aca="false">IF($D524&lt;&gt;1,"",$R524+p_poidsram*$S524)</f>
        <v/>
      </c>
      <c r="AH524" s="14" t="str">
        <f aca="false">IF($D524&lt;&gt;1,"",IFERROR($W524/$AG524,0))</f>
        <v/>
      </c>
      <c r="AI524" s="14" t="str">
        <f aca="false">IF($D524&lt;&gt;1,"",IF(AND($G524="IKS",ISNUMBER(INDEX(TblClusters[Fermeture retenue],$B524))),IF($E524&gt;=INDEX(TblClusters[Fermeture retenue],$B524),1,0),0))</f>
        <v/>
      </c>
    </row>
    <row r="525" customFormat="false" ht="15" hidden="false" customHeight="false" outlineLevel="0" collapsed="false">
      <c r="A525" s="14" t="n">
        <v>520</v>
      </c>
      <c r="B525" s="14" t="n">
        <f aca="false">INT(($A525-1)/36)+1</f>
        <v>15</v>
      </c>
      <c r="C525" s="14" t="n">
        <f aca="false">MOD($A525-1,36)+1</f>
        <v>16</v>
      </c>
      <c r="D525" s="14" t="n">
        <f aca="false">IF($C525&gt;p_horizon,0,IFERROR(IF(AND(INDEX(TblClusters[Cluster],$B525)&lt;&gt;"",ISNUMBER(INDEX(TblClusters[CPU initial (vCPU)],$B525)),ISNUMBER(INDEX(TblClusters[CPU min (vCPU)],$B525)),OR(INDEX(TblClusters[Plateforme],$B525)="IKS",INDEX(TblClusters[Plateforme],$B525)="ROKS")),1,0),0))</f>
        <v>0</v>
      </c>
      <c r="E525" s="83" t="str">
        <f aca="false">IF($D525=1,EDATE(p_debut,$C525-1),"")</f>
        <v/>
      </c>
      <c r="F525" s="14" t="str">
        <f aca="false">IF($D525=1,INDEX(TblClusters[Cluster],$B525),"")</f>
        <v/>
      </c>
      <c r="G525" s="14" t="str">
        <f aca="false">IF($D525=1,INDEX(TblClusters[Plateforme],$B525),"")</f>
        <v/>
      </c>
      <c r="H525" s="14" t="str">
        <f aca="false">IF($D525=1,INDEX(TblClusters[vCPU par nœud],$B525),"")</f>
        <v/>
      </c>
      <c r="I525" s="14" t="str">
        <f aca="false">IF($D525=1,INDEX(TblClusters[RAM par nœud (Go)],$B525),"")</f>
        <v/>
      </c>
      <c r="J525" s="14" t="str">
        <f aca="false">IF($D525=1,INDEX(TblClusters[Workers min],$B525),"")</f>
        <v/>
      </c>
      <c r="K525" s="84" t="str">
        <f aca="false">IF($D525=1,INDEX(TblClusters[Tarif par nœud],$B525),"")</f>
        <v/>
      </c>
      <c r="L525" s="14" t="str">
        <f aca="false">IF($D525=1,INDEX(TblClusters[CPU initial (vCPU)],$B525),"")</f>
        <v/>
      </c>
      <c r="M525" s="14" t="str">
        <f aca="false">IF($D525=1,INDEX(TblClusters[RAM initiale (Go)],$B525),"")</f>
        <v/>
      </c>
      <c r="N525" s="14" t="str">
        <f aca="false">IF($D525=1,INDEX(TblClusters[CPU min (vCPU)],$B525),"")</f>
        <v/>
      </c>
      <c r="O525" s="14" t="str">
        <f aca="false">IF($D525=1,INDEX(TblClusters[RAM min (Go)],$B525),"")</f>
        <v/>
      </c>
      <c r="P525" s="14" t="str">
        <f aca="false">IF($D525&lt;&gt;1,"",IF($G525="ROKS",SUMIFS(TblApplications[Besoin ROKS CPU (vCPU)],TblApplications[Cluster ROKS cible],$F525,TblApplications[Action],"À migrer",TblApplications[Déjà incluse ROKS],"Non",TblApplications[Mois prov (calc)],"&lt;="&amp;$E525),SUMIFS(TblApplications[CPU IKS libérable (vCPU)],TblApplications[Cluster IKS source],$F525,TblApplications[Mois lib (calc)],"&lt;="&amp;$E525)))</f>
        <v/>
      </c>
      <c r="Q525" s="14" t="str">
        <f aca="false">IF($D525&lt;&gt;1,"",IF($G525="ROKS",SUMIFS(TblApplications[Besoin ROKS RAM (Go)],TblApplications[Cluster ROKS cible],$F525,TblApplications[Action],"À migrer",TblApplications[Déjà incluse ROKS],"Non",TblApplications[Mois prov (calc)],"&lt;="&amp;$E525),SUMIFS(TblApplications[RAM IKS libérable (Go)],TblApplications[Cluster IKS source],$F525,TblApplications[Mois lib (calc)],"&lt;="&amp;$E525)))</f>
        <v/>
      </c>
      <c r="R525" s="14" t="str">
        <f aca="false">IF($D525&lt;&gt;1,"",IF($G525="ROKS",$L525+$P525,IF($AI525=1,0,MAX($N525,$L525-$P525))))</f>
        <v/>
      </c>
      <c r="S525" s="14" t="str">
        <f aca="false">IF($D525&lt;&gt;1,"",IF($G525="ROKS",$M525+$Q525,IF($AI525=1,0,MAX($O525,$M525-$Q525))))</f>
        <v/>
      </c>
      <c r="T525" s="14" t="str">
        <f aca="false">IF($D525&lt;&gt;1,"",IF($AI525=1,0,MAX($J525,ROUNDUP(MAX($R525/$H525,$S525/$I525),0))))</f>
        <v/>
      </c>
      <c r="U525" s="14" t="str">
        <f aca="false">IF($D525&lt;&gt;1,"",IF(p_mode="Nœud",$T525*$H525,$R525))</f>
        <v/>
      </c>
      <c r="V525" s="14" t="str">
        <f aca="false">IF($D525&lt;&gt;1,"",IF(p_mode="Nœud",$T525*$I525,$S525))</f>
        <v/>
      </c>
      <c r="W525" s="84" t="str">
        <f aca="false">IF($D525&lt;&gt;1,"",IF(p_mode="Nœud",$T525*$K525,$R525*IF($G525="IKS",p_iks_cpu,p_roks_cpu)+$S525*IF($G525="IKS",p_iks_ram,p_roks_ram))*p_facteur)</f>
        <v/>
      </c>
      <c r="X525" s="14" t="str">
        <f aca="false">IF($D525&lt;&gt;1,"",IF($G525="ROKS",$R525,IF($AI525=1,0,MAX($N525,$L525-SUMIFS(TblApplications[CPU IKS libérable (vCPU)],TblApplications[Cluster IKS source],$F525,TblApplications[Action],"À migrer",TblApplications[Mois prov (calc)],"&lt;="&amp;$E525)-SUMIFS(TblApplications[CPU IKS libérable (vCPU)],TblApplications[Cluster IKS source],$F525,TblApplications[Action],"À décommissionner",TblApplications[Mois lib (calc)],"&lt;="&amp;$E525)))))</f>
        <v/>
      </c>
      <c r="Y525" s="14" t="str">
        <f aca="false">IF($D525&lt;&gt;1,"",IF($G525="ROKS",$S525,IF($AI525=1,0,MAX($O525,$M525-SUMIFS(TblApplications[RAM IKS libérable (Go)],TblApplications[Cluster IKS source],$F525,TblApplications[Action],"À migrer",TblApplications[Mois prov (calc)],"&lt;="&amp;$E525)-SUMIFS(TblApplications[RAM IKS libérable (Go)],TblApplications[Cluster IKS source],$F525,TblApplications[Action],"À décommissionner",TblApplications[Mois lib (calc)],"&lt;="&amp;$E525)))))</f>
        <v/>
      </c>
      <c r="Z525" s="14" t="str">
        <f aca="false">IF($D525&lt;&gt;1,"",IF($AI525=1,0,MAX($J525,ROUNDUP(MAX($X525/$H525,$Y525/$I525),0))))</f>
        <v/>
      </c>
      <c r="AA525" s="84" t="str">
        <f aca="false">IF($D525&lt;&gt;1,"",IF(p_mode="Nœud",$Z525*$K525,$X525*IF($G525="IKS",p_iks_cpu,p_roks_cpu)+$Y525*IF($G525="IKS",p_iks_ram,p_roks_ram))*p_facteur)</f>
        <v/>
      </c>
      <c r="AB525" s="14" t="str">
        <f aca="false">IF($D525&lt;&gt;1,"",MAX($J525,ROUNDUP(MAX($L525/$H525,$M525/$I525),0)))</f>
        <v/>
      </c>
      <c r="AC525" s="84" t="str">
        <f aca="false">IF($D525&lt;&gt;1,"",IF(p_mode="Nœud",$AB525*$K525,$L525*IF($G525="IKS",p_iks_cpu,p_roks_cpu)+$M525*IF($G525="IKS",p_iks_ram,p_roks_ram))*p_facteur)</f>
        <v/>
      </c>
      <c r="AD525" s="14" t="str">
        <f aca="false">IF($D525&lt;&gt;1,"",IF(AND($G525="IKS",$AI525&lt;&gt;1,OR($L525-$P525&lt;$N525,$M525-$Q525&lt;$O525)),1,0))</f>
        <v/>
      </c>
      <c r="AE525" s="14" t="str">
        <f aca="false">IF($D525&lt;&gt;1,"",IF(AND($G525="ROKS",$T525&gt;p_maxworkers),1,0))</f>
        <v/>
      </c>
      <c r="AF525" s="14" t="str">
        <f aca="false">IF($D525&lt;&gt;1,"",IF(INDEX(TblClusters[Environnement],$B525)="","(vide)",INDEX(TblClusters[Environnement],$B525)))</f>
        <v/>
      </c>
      <c r="AG525" s="14" t="str">
        <f aca="false">IF($D525&lt;&gt;1,"",$R525+p_poidsram*$S525)</f>
        <v/>
      </c>
      <c r="AH525" s="14" t="str">
        <f aca="false">IF($D525&lt;&gt;1,"",IFERROR($W525/$AG525,0))</f>
        <v/>
      </c>
      <c r="AI525" s="14" t="str">
        <f aca="false">IF($D525&lt;&gt;1,"",IF(AND($G525="IKS",ISNUMBER(INDEX(TblClusters[Fermeture retenue],$B525))),IF($E525&gt;=INDEX(TblClusters[Fermeture retenue],$B525),1,0),0))</f>
        <v/>
      </c>
    </row>
    <row r="526" customFormat="false" ht="15" hidden="false" customHeight="false" outlineLevel="0" collapsed="false">
      <c r="A526" s="14" t="n">
        <v>521</v>
      </c>
      <c r="B526" s="14" t="n">
        <f aca="false">INT(($A526-1)/36)+1</f>
        <v>15</v>
      </c>
      <c r="C526" s="14" t="n">
        <f aca="false">MOD($A526-1,36)+1</f>
        <v>17</v>
      </c>
      <c r="D526" s="14" t="n">
        <f aca="false">IF($C526&gt;p_horizon,0,IFERROR(IF(AND(INDEX(TblClusters[Cluster],$B526)&lt;&gt;"",ISNUMBER(INDEX(TblClusters[CPU initial (vCPU)],$B526)),ISNUMBER(INDEX(TblClusters[CPU min (vCPU)],$B526)),OR(INDEX(TblClusters[Plateforme],$B526)="IKS",INDEX(TblClusters[Plateforme],$B526)="ROKS")),1,0),0))</f>
        <v>0</v>
      </c>
      <c r="E526" s="83" t="str">
        <f aca="false">IF($D526=1,EDATE(p_debut,$C526-1),"")</f>
        <v/>
      </c>
      <c r="F526" s="14" t="str">
        <f aca="false">IF($D526=1,INDEX(TblClusters[Cluster],$B526),"")</f>
        <v/>
      </c>
      <c r="G526" s="14" t="str">
        <f aca="false">IF($D526=1,INDEX(TblClusters[Plateforme],$B526),"")</f>
        <v/>
      </c>
      <c r="H526" s="14" t="str">
        <f aca="false">IF($D526=1,INDEX(TblClusters[vCPU par nœud],$B526),"")</f>
        <v/>
      </c>
      <c r="I526" s="14" t="str">
        <f aca="false">IF($D526=1,INDEX(TblClusters[RAM par nœud (Go)],$B526),"")</f>
        <v/>
      </c>
      <c r="J526" s="14" t="str">
        <f aca="false">IF($D526=1,INDEX(TblClusters[Workers min],$B526),"")</f>
        <v/>
      </c>
      <c r="K526" s="84" t="str">
        <f aca="false">IF($D526=1,INDEX(TblClusters[Tarif par nœud],$B526),"")</f>
        <v/>
      </c>
      <c r="L526" s="14" t="str">
        <f aca="false">IF($D526=1,INDEX(TblClusters[CPU initial (vCPU)],$B526),"")</f>
        <v/>
      </c>
      <c r="M526" s="14" t="str">
        <f aca="false">IF($D526=1,INDEX(TblClusters[RAM initiale (Go)],$B526),"")</f>
        <v/>
      </c>
      <c r="N526" s="14" t="str">
        <f aca="false">IF($D526=1,INDEX(TblClusters[CPU min (vCPU)],$B526),"")</f>
        <v/>
      </c>
      <c r="O526" s="14" t="str">
        <f aca="false">IF($D526=1,INDEX(TblClusters[RAM min (Go)],$B526),"")</f>
        <v/>
      </c>
      <c r="P526" s="14" t="str">
        <f aca="false">IF($D526&lt;&gt;1,"",IF($G526="ROKS",SUMIFS(TblApplications[Besoin ROKS CPU (vCPU)],TblApplications[Cluster ROKS cible],$F526,TblApplications[Action],"À migrer",TblApplications[Déjà incluse ROKS],"Non",TblApplications[Mois prov (calc)],"&lt;="&amp;$E526),SUMIFS(TblApplications[CPU IKS libérable (vCPU)],TblApplications[Cluster IKS source],$F526,TblApplications[Mois lib (calc)],"&lt;="&amp;$E526)))</f>
        <v/>
      </c>
      <c r="Q526" s="14" t="str">
        <f aca="false">IF($D526&lt;&gt;1,"",IF($G526="ROKS",SUMIFS(TblApplications[Besoin ROKS RAM (Go)],TblApplications[Cluster ROKS cible],$F526,TblApplications[Action],"À migrer",TblApplications[Déjà incluse ROKS],"Non",TblApplications[Mois prov (calc)],"&lt;="&amp;$E526),SUMIFS(TblApplications[RAM IKS libérable (Go)],TblApplications[Cluster IKS source],$F526,TblApplications[Mois lib (calc)],"&lt;="&amp;$E526)))</f>
        <v/>
      </c>
      <c r="R526" s="14" t="str">
        <f aca="false">IF($D526&lt;&gt;1,"",IF($G526="ROKS",$L526+$P526,IF($AI526=1,0,MAX($N526,$L526-$P526))))</f>
        <v/>
      </c>
      <c r="S526" s="14" t="str">
        <f aca="false">IF($D526&lt;&gt;1,"",IF($G526="ROKS",$M526+$Q526,IF($AI526=1,0,MAX($O526,$M526-$Q526))))</f>
        <v/>
      </c>
      <c r="T526" s="14" t="str">
        <f aca="false">IF($D526&lt;&gt;1,"",IF($AI526=1,0,MAX($J526,ROUNDUP(MAX($R526/$H526,$S526/$I526),0))))</f>
        <v/>
      </c>
      <c r="U526" s="14" t="str">
        <f aca="false">IF($D526&lt;&gt;1,"",IF(p_mode="Nœud",$T526*$H526,$R526))</f>
        <v/>
      </c>
      <c r="V526" s="14" t="str">
        <f aca="false">IF($D526&lt;&gt;1,"",IF(p_mode="Nœud",$T526*$I526,$S526))</f>
        <v/>
      </c>
      <c r="W526" s="84" t="str">
        <f aca="false">IF($D526&lt;&gt;1,"",IF(p_mode="Nœud",$T526*$K526,$R526*IF($G526="IKS",p_iks_cpu,p_roks_cpu)+$S526*IF($G526="IKS",p_iks_ram,p_roks_ram))*p_facteur)</f>
        <v/>
      </c>
      <c r="X526" s="14" t="str">
        <f aca="false">IF($D526&lt;&gt;1,"",IF($G526="ROKS",$R526,IF($AI526=1,0,MAX($N526,$L526-SUMIFS(TblApplications[CPU IKS libérable (vCPU)],TblApplications[Cluster IKS source],$F526,TblApplications[Action],"À migrer",TblApplications[Mois prov (calc)],"&lt;="&amp;$E526)-SUMIFS(TblApplications[CPU IKS libérable (vCPU)],TblApplications[Cluster IKS source],$F526,TblApplications[Action],"À décommissionner",TblApplications[Mois lib (calc)],"&lt;="&amp;$E526)))))</f>
        <v/>
      </c>
      <c r="Y526" s="14" t="str">
        <f aca="false">IF($D526&lt;&gt;1,"",IF($G526="ROKS",$S526,IF($AI526=1,0,MAX($O526,$M526-SUMIFS(TblApplications[RAM IKS libérable (Go)],TblApplications[Cluster IKS source],$F526,TblApplications[Action],"À migrer",TblApplications[Mois prov (calc)],"&lt;="&amp;$E526)-SUMIFS(TblApplications[RAM IKS libérable (Go)],TblApplications[Cluster IKS source],$F526,TblApplications[Action],"À décommissionner",TblApplications[Mois lib (calc)],"&lt;="&amp;$E526)))))</f>
        <v/>
      </c>
      <c r="Z526" s="14" t="str">
        <f aca="false">IF($D526&lt;&gt;1,"",IF($AI526=1,0,MAX($J526,ROUNDUP(MAX($X526/$H526,$Y526/$I526),0))))</f>
        <v/>
      </c>
      <c r="AA526" s="84" t="str">
        <f aca="false">IF($D526&lt;&gt;1,"",IF(p_mode="Nœud",$Z526*$K526,$X526*IF($G526="IKS",p_iks_cpu,p_roks_cpu)+$Y526*IF($G526="IKS",p_iks_ram,p_roks_ram))*p_facteur)</f>
        <v/>
      </c>
      <c r="AB526" s="14" t="str">
        <f aca="false">IF($D526&lt;&gt;1,"",MAX($J526,ROUNDUP(MAX($L526/$H526,$M526/$I526),0)))</f>
        <v/>
      </c>
      <c r="AC526" s="84" t="str">
        <f aca="false">IF($D526&lt;&gt;1,"",IF(p_mode="Nœud",$AB526*$K526,$L526*IF($G526="IKS",p_iks_cpu,p_roks_cpu)+$M526*IF($G526="IKS",p_iks_ram,p_roks_ram))*p_facteur)</f>
        <v/>
      </c>
      <c r="AD526" s="14" t="str">
        <f aca="false">IF($D526&lt;&gt;1,"",IF(AND($G526="IKS",$AI526&lt;&gt;1,OR($L526-$P526&lt;$N526,$M526-$Q526&lt;$O526)),1,0))</f>
        <v/>
      </c>
      <c r="AE526" s="14" t="str">
        <f aca="false">IF($D526&lt;&gt;1,"",IF(AND($G526="ROKS",$T526&gt;p_maxworkers),1,0))</f>
        <v/>
      </c>
      <c r="AF526" s="14" t="str">
        <f aca="false">IF($D526&lt;&gt;1,"",IF(INDEX(TblClusters[Environnement],$B526)="","(vide)",INDEX(TblClusters[Environnement],$B526)))</f>
        <v/>
      </c>
      <c r="AG526" s="14" t="str">
        <f aca="false">IF($D526&lt;&gt;1,"",$R526+p_poidsram*$S526)</f>
        <v/>
      </c>
      <c r="AH526" s="14" t="str">
        <f aca="false">IF($D526&lt;&gt;1,"",IFERROR($W526/$AG526,0))</f>
        <v/>
      </c>
      <c r="AI526" s="14" t="str">
        <f aca="false">IF($D526&lt;&gt;1,"",IF(AND($G526="IKS",ISNUMBER(INDEX(TblClusters[Fermeture retenue],$B526))),IF($E526&gt;=INDEX(TblClusters[Fermeture retenue],$B526),1,0),0))</f>
        <v/>
      </c>
    </row>
    <row r="527" customFormat="false" ht="15" hidden="false" customHeight="false" outlineLevel="0" collapsed="false">
      <c r="A527" s="14" t="n">
        <v>522</v>
      </c>
      <c r="B527" s="14" t="n">
        <f aca="false">INT(($A527-1)/36)+1</f>
        <v>15</v>
      </c>
      <c r="C527" s="14" t="n">
        <f aca="false">MOD($A527-1,36)+1</f>
        <v>18</v>
      </c>
      <c r="D527" s="14" t="n">
        <f aca="false">IF($C527&gt;p_horizon,0,IFERROR(IF(AND(INDEX(TblClusters[Cluster],$B527)&lt;&gt;"",ISNUMBER(INDEX(TblClusters[CPU initial (vCPU)],$B527)),ISNUMBER(INDEX(TblClusters[CPU min (vCPU)],$B527)),OR(INDEX(TblClusters[Plateforme],$B527)="IKS",INDEX(TblClusters[Plateforme],$B527)="ROKS")),1,0),0))</f>
        <v>0</v>
      </c>
      <c r="E527" s="83" t="str">
        <f aca="false">IF($D527=1,EDATE(p_debut,$C527-1),"")</f>
        <v/>
      </c>
      <c r="F527" s="14" t="str">
        <f aca="false">IF($D527=1,INDEX(TblClusters[Cluster],$B527),"")</f>
        <v/>
      </c>
      <c r="G527" s="14" t="str">
        <f aca="false">IF($D527=1,INDEX(TblClusters[Plateforme],$B527),"")</f>
        <v/>
      </c>
      <c r="H527" s="14" t="str">
        <f aca="false">IF($D527=1,INDEX(TblClusters[vCPU par nœud],$B527),"")</f>
        <v/>
      </c>
      <c r="I527" s="14" t="str">
        <f aca="false">IF($D527=1,INDEX(TblClusters[RAM par nœud (Go)],$B527),"")</f>
        <v/>
      </c>
      <c r="J527" s="14" t="str">
        <f aca="false">IF($D527=1,INDEX(TblClusters[Workers min],$B527),"")</f>
        <v/>
      </c>
      <c r="K527" s="84" t="str">
        <f aca="false">IF($D527=1,INDEX(TblClusters[Tarif par nœud],$B527),"")</f>
        <v/>
      </c>
      <c r="L527" s="14" t="str">
        <f aca="false">IF($D527=1,INDEX(TblClusters[CPU initial (vCPU)],$B527),"")</f>
        <v/>
      </c>
      <c r="M527" s="14" t="str">
        <f aca="false">IF($D527=1,INDEX(TblClusters[RAM initiale (Go)],$B527),"")</f>
        <v/>
      </c>
      <c r="N527" s="14" t="str">
        <f aca="false">IF($D527=1,INDEX(TblClusters[CPU min (vCPU)],$B527),"")</f>
        <v/>
      </c>
      <c r="O527" s="14" t="str">
        <f aca="false">IF($D527=1,INDEX(TblClusters[RAM min (Go)],$B527),"")</f>
        <v/>
      </c>
      <c r="P527" s="14" t="str">
        <f aca="false">IF($D527&lt;&gt;1,"",IF($G527="ROKS",SUMIFS(TblApplications[Besoin ROKS CPU (vCPU)],TblApplications[Cluster ROKS cible],$F527,TblApplications[Action],"À migrer",TblApplications[Déjà incluse ROKS],"Non",TblApplications[Mois prov (calc)],"&lt;="&amp;$E527),SUMIFS(TblApplications[CPU IKS libérable (vCPU)],TblApplications[Cluster IKS source],$F527,TblApplications[Mois lib (calc)],"&lt;="&amp;$E527)))</f>
        <v/>
      </c>
      <c r="Q527" s="14" t="str">
        <f aca="false">IF($D527&lt;&gt;1,"",IF($G527="ROKS",SUMIFS(TblApplications[Besoin ROKS RAM (Go)],TblApplications[Cluster ROKS cible],$F527,TblApplications[Action],"À migrer",TblApplications[Déjà incluse ROKS],"Non",TblApplications[Mois prov (calc)],"&lt;="&amp;$E527),SUMIFS(TblApplications[RAM IKS libérable (Go)],TblApplications[Cluster IKS source],$F527,TblApplications[Mois lib (calc)],"&lt;="&amp;$E527)))</f>
        <v/>
      </c>
      <c r="R527" s="14" t="str">
        <f aca="false">IF($D527&lt;&gt;1,"",IF($G527="ROKS",$L527+$P527,IF($AI527=1,0,MAX($N527,$L527-$P527))))</f>
        <v/>
      </c>
      <c r="S527" s="14" t="str">
        <f aca="false">IF($D527&lt;&gt;1,"",IF($G527="ROKS",$M527+$Q527,IF($AI527=1,0,MAX($O527,$M527-$Q527))))</f>
        <v/>
      </c>
      <c r="T527" s="14" t="str">
        <f aca="false">IF($D527&lt;&gt;1,"",IF($AI527=1,0,MAX($J527,ROUNDUP(MAX($R527/$H527,$S527/$I527),0))))</f>
        <v/>
      </c>
      <c r="U527" s="14" t="str">
        <f aca="false">IF($D527&lt;&gt;1,"",IF(p_mode="Nœud",$T527*$H527,$R527))</f>
        <v/>
      </c>
      <c r="V527" s="14" t="str">
        <f aca="false">IF($D527&lt;&gt;1,"",IF(p_mode="Nœud",$T527*$I527,$S527))</f>
        <v/>
      </c>
      <c r="W527" s="84" t="str">
        <f aca="false">IF($D527&lt;&gt;1,"",IF(p_mode="Nœud",$T527*$K527,$R527*IF($G527="IKS",p_iks_cpu,p_roks_cpu)+$S527*IF($G527="IKS",p_iks_ram,p_roks_ram))*p_facteur)</f>
        <v/>
      </c>
      <c r="X527" s="14" t="str">
        <f aca="false">IF($D527&lt;&gt;1,"",IF($G527="ROKS",$R527,IF($AI527=1,0,MAX($N527,$L527-SUMIFS(TblApplications[CPU IKS libérable (vCPU)],TblApplications[Cluster IKS source],$F527,TblApplications[Action],"À migrer",TblApplications[Mois prov (calc)],"&lt;="&amp;$E527)-SUMIFS(TblApplications[CPU IKS libérable (vCPU)],TblApplications[Cluster IKS source],$F527,TblApplications[Action],"À décommissionner",TblApplications[Mois lib (calc)],"&lt;="&amp;$E527)))))</f>
        <v/>
      </c>
      <c r="Y527" s="14" t="str">
        <f aca="false">IF($D527&lt;&gt;1,"",IF($G527="ROKS",$S527,IF($AI527=1,0,MAX($O527,$M527-SUMIFS(TblApplications[RAM IKS libérable (Go)],TblApplications[Cluster IKS source],$F527,TblApplications[Action],"À migrer",TblApplications[Mois prov (calc)],"&lt;="&amp;$E527)-SUMIFS(TblApplications[RAM IKS libérable (Go)],TblApplications[Cluster IKS source],$F527,TblApplications[Action],"À décommissionner",TblApplications[Mois lib (calc)],"&lt;="&amp;$E527)))))</f>
        <v/>
      </c>
      <c r="Z527" s="14" t="str">
        <f aca="false">IF($D527&lt;&gt;1,"",IF($AI527=1,0,MAX($J527,ROUNDUP(MAX($X527/$H527,$Y527/$I527),0))))</f>
        <v/>
      </c>
      <c r="AA527" s="84" t="str">
        <f aca="false">IF($D527&lt;&gt;1,"",IF(p_mode="Nœud",$Z527*$K527,$X527*IF($G527="IKS",p_iks_cpu,p_roks_cpu)+$Y527*IF($G527="IKS",p_iks_ram,p_roks_ram))*p_facteur)</f>
        <v/>
      </c>
      <c r="AB527" s="14" t="str">
        <f aca="false">IF($D527&lt;&gt;1,"",MAX($J527,ROUNDUP(MAX($L527/$H527,$M527/$I527),0)))</f>
        <v/>
      </c>
      <c r="AC527" s="84" t="str">
        <f aca="false">IF($D527&lt;&gt;1,"",IF(p_mode="Nœud",$AB527*$K527,$L527*IF($G527="IKS",p_iks_cpu,p_roks_cpu)+$M527*IF($G527="IKS",p_iks_ram,p_roks_ram))*p_facteur)</f>
        <v/>
      </c>
      <c r="AD527" s="14" t="str">
        <f aca="false">IF($D527&lt;&gt;1,"",IF(AND($G527="IKS",$AI527&lt;&gt;1,OR($L527-$P527&lt;$N527,$M527-$Q527&lt;$O527)),1,0))</f>
        <v/>
      </c>
      <c r="AE527" s="14" t="str">
        <f aca="false">IF($D527&lt;&gt;1,"",IF(AND($G527="ROKS",$T527&gt;p_maxworkers),1,0))</f>
        <v/>
      </c>
      <c r="AF527" s="14" t="str">
        <f aca="false">IF($D527&lt;&gt;1,"",IF(INDEX(TblClusters[Environnement],$B527)="","(vide)",INDEX(TblClusters[Environnement],$B527)))</f>
        <v/>
      </c>
      <c r="AG527" s="14" t="str">
        <f aca="false">IF($D527&lt;&gt;1,"",$R527+p_poidsram*$S527)</f>
        <v/>
      </c>
      <c r="AH527" s="14" t="str">
        <f aca="false">IF($D527&lt;&gt;1,"",IFERROR($W527/$AG527,0))</f>
        <v/>
      </c>
      <c r="AI527" s="14" t="str">
        <f aca="false">IF($D527&lt;&gt;1,"",IF(AND($G527="IKS",ISNUMBER(INDEX(TblClusters[Fermeture retenue],$B527))),IF($E527&gt;=INDEX(TblClusters[Fermeture retenue],$B527),1,0),0))</f>
        <v/>
      </c>
    </row>
    <row r="528" customFormat="false" ht="15" hidden="false" customHeight="false" outlineLevel="0" collapsed="false">
      <c r="A528" s="14" t="n">
        <v>523</v>
      </c>
      <c r="B528" s="14" t="n">
        <f aca="false">INT(($A528-1)/36)+1</f>
        <v>15</v>
      </c>
      <c r="C528" s="14" t="n">
        <f aca="false">MOD($A528-1,36)+1</f>
        <v>19</v>
      </c>
      <c r="D528" s="14" t="n">
        <f aca="false">IF($C528&gt;p_horizon,0,IFERROR(IF(AND(INDEX(TblClusters[Cluster],$B528)&lt;&gt;"",ISNUMBER(INDEX(TblClusters[CPU initial (vCPU)],$B528)),ISNUMBER(INDEX(TblClusters[CPU min (vCPU)],$B528)),OR(INDEX(TblClusters[Plateforme],$B528)="IKS",INDEX(TblClusters[Plateforme],$B528)="ROKS")),1,0),0))</f>
        <v>0</v>
      </c>
      <c r="E528" s="83" t="str">
        <f aca="false">IF($D528=1,EDATE(p_debut,$C528-1),"")</f>
        <v/>
      </c>
      <c r="F528" s="14" t="str">
        <f aca="false">IF($D528=1,INDEX(TblClusters[Cluster],$B528),"")</f>
        <v/>
      </c>
      <c r="G528" s="14" t="str">
        <f aca="false">IF($D528=1,INDEX(TblClusters[Plateforme],$B528),"")</f>
        <v/>
      </c>
      <c r="H528" s="14" t="str">
        <f aca="false">IF($D528=1,INDEX(TblClusters[vCPU par nœud],$B528),"")</f>
        <v/>
      </c>
      <c r="I528" s="14" t="str">
        <f aca="false">IF($D528=1,INDEX(TblClusters[RAM par nœud (Go)],$B528),"")</f>
        <v/>
      </c>
      <c r="J528" s="14" t="str">
        <f aca="false">IF($D528=1,INDEX(TblClusters[Workers min],$B528),"")</f>
        <v/>
      </c>
      <c r="K528" s="84" t="str">
        <f aca="false">IF($D528=1,INDEX(TblClusters[Tarif par nœud],$B528),"")</f>
        <v/>
      </c>
      <c r="L528" s="14" t="str">
        <f aca="false">IF($D528=1,INDEX(TblClusters[CPU initial (vCPU)],$B528),"")</f>
        <v/>
      </c>
      <c r="M528" s="14" t="str">
        <f aca="false">IF($D528=1,INDEX(TblClusters[RAM initiale (Go)],$B528),"")</f>
        <v/>
      </c>
      <c r="N528" s="14" t="str">
        <f aca="false">IF($D528=1,INDEX(TblClusters[CPU min (vCPU)],$B528),"")</f>
        <v/>
      </c>
      <c r="O528" s="14" t="str">
        <f aca="false">IF($D528=1,INDEX(TblClusters[RAM min (Go)],$B528),"")</f>
        <v/>
      </c>
      <c r="P528" s="14" t="str">
        <f aca="false">IF($D528&lt;&gt;1,"",IF($G528="ROKS",SUMIFS(TblApplications[Besoin ROKS CPU (vCPU)],TblApplications[Cluster ROKS cible],$F528,TblApplications[Action],"À migrer",TblApplications[Déjà incluse ROKS],"Non",TblApplications[Mois prov (calc)],"&lt;="&amp;$E528),SUMIFS(TblApplications[CPU IKS libérable (vCPU)],TblApplications[Cluster IKS source],$F528,TblApplications[Mois lib (calc)],"&lt;="&amp;$E528)))</f>
        <v/>
      </c>
      <c r="Q528" s="14" t="str">
        <f aca="false">IF($D528&lt;&gt;1,"",IF($G528="ROKS",SUMIFS(TblApplications[Besoin ROKS RAM (Go)],TblApplications[Cluster ROKS cible],$F528,TblApplications[Action],"À migrer",TblApplications[Déjà incluse ROKS],"Non",TblApplications[Mois prov (calc)],"&lt;="&amp;$E528),SUMIFS(TblApplications[RAM IKS libérable (Go)],TblApplications[Cluster IKS source],$F528,TblApplications[Mois lib (calc)],"&lt;="&amp;$E528)))</f>
        <v/>
      </c>
      <c r="R528" s="14" t="str">
        <f aca="false">IF($D528&lt;&gt;1,"",IF($G528="ROKS",$L528+$P528,IF($AI528=1,0,MAX($N528,$L528-$P528))))</f>
        <v/>
      </c>
      <c r="S528" s="14" t="str">
        <f aca="false">IF($D528&lt;&gt;1,"",IF($G528="ROKS",$M528+$Q528,IF($AI528=1,0,MAX($O528,$M528-$Q528))))</f>
        <v/>
      </c>
      <c r="T528" s="14" t="str">
        <f aca="false">IF($D528&lt;&gt;1,"",IF($AI528=1,0,MAX($J528,ROUNDUP(MAX($R528/$H528,$S528/$I528),0))))</f>
        <v/>
      </c>
      <c r="U528" s="14" t="str">
        <f aca="false">IF($D528&lt;&gt;1,"",IF(p_mode="Nœud",$T528*$H528,$R528))</f>
        <v/>
      </c>
      <c r="V528" s="14" t="str">
        <f aca="false">IF($D528&lt;&gt;1,"",IF(p_mode="Nœud",$T528*$I528,$S528))</f>
        <v/>
      </c>
      <c r="W528" s="84" t="str">
        <f aca="false">IF($D528&lt;&gt;1,"",IF(p_mode="Nœud",$T528*$K528,$R528*IF($G528="IKS",p_iks_cpu,p_roks_cpu)+$S528*IF($G528="IKS",p_iks_ram,p_roks_ram))*p_facteur)</f>
        <v/>
      </c>
      <c r="X528" s="14" t="str">
        <f aca="false">IF($D528&lt;&gt;1,"",IF($G528="ROKS",$R528,IF($AI528=1,0,MAX($N528,$L528-SUMIFS(TblApplications[CPU IKS libérable (vCPU)],TblApplications[Cluster IKS source],$F528,TblApplications[Action],"À migrer",TblApplications[Mois prov (calc)],"&lt;="&amp;$E528)-SUMIFS(TblApplications[CPU IKS libérable (vCPU)],TblApplications[Cluster IKS source],$F528,TblApplications[Action],"À décommissionner",TblApplications[Mois lib (calc)],"&lt;="&amp;$E528)))))</f>
        <v/>
      </c>
      <c r="Y528" s="14" t="str">
        <f aca="false">IF($D528&lt;&gt;1,"",IF($G528="ROKS",$S528,IF($AI528=1,0,MAX($O528,$M528-SUMIFS(TblApplications[RAM IKS libérable (Go)],TblApplications[Cluster IKS source],$F528,TblApplications[Action],"À migrer",TblApplications[Mois prov (calc)],"&lt;="&amp;$E528)-SUMIFS(TblApplications[RAM IKS libérable (Go)],TblApplications[Cluster IKS source],$F528,TblApplications[Action],"À décommissionner",TblApplications[Mois lib (calc)],"&lt;="&amp;$E528)))))</f>
        <v/>
      </c>
      <c r="Z528" s="14" t="str">
        <f aca="false">IF($D528&lt;&gt;1,"",IF($AI528=1,0,MAX($J528,ROUNDUP(MAX($X528/$H528,$Y528/$I528),0))))</f>
        <v/>
      </c>
      <c r="AA528" s="84" t="str">
        <f aca="false">IF($D528&lt;&gt;1,"",IF(p_mode="Nœud",$Z528*$K528,$X528*IF($G528="IKS",p_iks_cpu,p_roks_cpu)+$Y528*IF($G528="IKS",p_iks_ram,p_roks_ram))*p_facteur)</f>
        <v/>
      </c>
      <c r="AB528" s="14" t="str">
        <f aca="false">IF($D528&lt;&gt;1,"",MAX($J528,ROUNDUP(MAX($L528/$H528,$M528/$I528),0)))</f>
        <v/>
      </c>
      <c r="AC528" s="84" t="str">
        <f aca="false">IF($D528&lt;&gt;1,"",IF(p_mode="Nœud",$AB528*$K528,$L528*IF($G528="IKS",p_iks_cpu,p_roks_cpu)+$M528*IF($G528="IKS",p_iks_ram,p_roks_ram))*p_facteur)</f>
        <v/>
      </c>
      <c r="AD528" s="14" t="str">
        <f aca="false">IF($D528&lt;&gt;1,"",IF(AND($G528="IKS",$AI528&lt;&gt;1,OR($L528-$P528&lt;$N528,$M528-$Q528&lt;$O528)),1,0))</f>
        <v/>
      </c>
      <c r="AE528" s="14" t="str">
        <f aca="false">IF($D528&lt;&gt;1,"",IF(AND($G528="ROKS",$T528&gt;p_maxworkers),1,0))</f>
        <v/>
      </c>
      <c r="AF528" s="14" t="str">
        <f aca="false">IF($D528&lt;&gt;1,"",IF(INDEX(TblClusters[Environnement],$B528)="","(vide)",INDEX(TblClusters[Environnement],$B528)))</f>
        <v/>
      </c>
      <c r="AG528" s="14" t="str">
        <f aca="false">IF($D528&lt;&gt;1,"",$R528+p_poidsram*$S528)</f>
        <v/>
      </c>
      <c r="AH528" s="14" t="str">
        <f aca="false">IF($D528&lt;&gt;1,"",IFERROR($W528/$AG528,0))</f>
        <v/>
      </c>
      <c r="AI528" s="14" t="str">
        <f aca="false">IF($D528&lt;&gt;1,"",IF(AND($G528="IKS",ISNUMBER(INDEX(TblClusters[Fermeture retenue],$B528))),IF($E528&gt;=INDEX(TblClusters[Fermeture retenue],$B528),1,0),0))</f>
        <v/>
      </c>
    </row>
    <row r="529" customFormat="false" ht="15" hidden="false" customHeight="false" outlineLevel="0" collapsed="false">
      <c r="A529" s="14" t="n">
        <v>524</v>
      </c>
      <c r="B529" s="14" t="n">
        <f aca="false">INT(($A529-1)/36)+1</f>
        <v>15</v>
      </c>
      <c r="C529" s="14" t="n">
        <f aca="false">MOD($A529-1,36)+1</f>
        <v>20</v>
      </c>
      <c r="D529" s="14" t="n">
        <f aca="false">IF($C529&gt;p_horizon,0,IFERROR(IF(AND(INDEX(TblClusters[Cluster],$B529)&lt;&gt;"",ISNUMBER(INDEX(TblClusters[CPU initial (vCPU)],$B529)),ISNUMBER(INDEX(TblClusters[CPU min (vCPU)],$B529)),OR(INDEX(TblClusters[Plateforme],$B529)="IKS",INDEX(TblClusters[Plateforme],$B529)="ROKS")),1,0),0))</f>
        <v>0</v>
      </c>
      <c r="E529" s="83" t="str">
        <f aca="false">IF($D529=1,EDATE(p_debut,$C529-1),"")</f>
        <v/>
      </c>
      <c r="F529" s="14" t="str">
        <f aca="false">IF($D529=1,INDEX(TblClusters[Cluster],$B529),"")</f>
        <v/>
      </c>
      <c r="G529" s="14" t="str">
        <f aca="false">IF($D529=1,INDEX(TblClusters[Plateforme],$B529),"")</f>
        <v/>
      </c>
      <c r="H529" s="14" t="str">
        <f aca="false">IF($D529=1,INDEX(TblClusters[vCPU par nœud],$B529),"")</f>
        <v/>
      </c>
      <c r="I529" s="14" t="str">
        <f aca="false">IF($D529=1,INDEX(TblClusters[RAM par nœud (Go)],$B529),"")</f>
        <v/>
      </c>
      <c r="J529" s="14" t="str">
        <f aca="false">IF($D529=1,INDEX(TblClusters[Workers min],$B529),"")</f>
        <v/>
      </c>
      <c r="K529" s="84" t="str">
        <f aca="false">IF($D529=1,INDEX(TblClusters[Tarif par nœud],$B529),"")</f>
        <v/>
      </c>
      <c r="L529" s="14" t="str">
        <f aca="false">IF($D529=1,INDEX(TblClusters[CPU initial (vCPU)],$B529),"")</f>
        <v/>
      </c>
      <c r="M529" s="14" t="str">
        <f aca="false">IF($D529=1,INDEX(TblClusters[RAM initiale (Go)],$B529),"")</f>
        <v/>
      </c>
      <c r="N529" s="14" t="str">
        <f aca="false">IF($D529=1,INDEX(TblClusters[CPU min (vCPU)],$B529),"")</f>
        <v/>
      </c>
      <c r="O529" s="14" t="str">
        <f aca="false">IF($D529=1,INDEX(TblClusters[RAM min (Go)],$B529),"")</f>
        <v/>
      </c>
      <c r="P529" s="14" t="str">
        <f aca="false">IF($D529&lt;&gt;1,"",IF($G529="ROKS",SUMIFS(TblApplications[Besoin ROKS CPU (vCPU)],TblApplications[Cluster ROKS cible],$F529,TblApplications[Action],"À migrer",TblApplications[Déjà incluse ROKS],"Non",TblApplications[Mois prov (calc)],"&lt;="&amp;$E529),SUMIFS(TblApplications[CPU IKS libérable (vCPU)],TblApplications[Cluster IKS source],$F529,TblApplications[Mois lib (calc)],"&lt;="&amp;$E529)))</f>
        <v/>
      </c>
      <c r="Q529" s="14" t="str">
        <f aca="false">IF($D529&lt;&gt;1,"",IF($G529="ROKS",SUMIFS(TblApplications[Besoin ROKS RAM (Go)],TblApplications[Cluster ROKS cible],$F529,TblApplications[Action],"À migrer",TblApplications[Déjà incluse ROKS],"Non",TblApplications[Mois prov (calc)],"&lt;="&amp;$E529),SUMIFS(TblApplications[RAM IKS libérable (Go)],TblApplications[Cluster IKS source],$F529,TblApplications[Mois lib (calc)],"&lt;="&amp;$E529)))</f>
        <v/>
      </c>
      <c r="R529" s="14" t="str">
        <f aca="false">IF($D529&lt;&gt;1,"",IF($G529="ROKS",$L529+$P529,IF($AI529=1,0,MAX($N529,$L529-$P529))))</f>
        <v/>
      </c>
      <c r="S529" s="14" t="str">
        <f aca="false">IF($D529&lt;&gt;1,"",IF($G529="ROKS",$M529+$Q529,IF($AI529=1,0,MAX($O529,$M529-$Q529))))</f>
        <v/>
      </c>
      <c r="T529" s="14" t="str">
        <f aca="false">IF($D529&lt;&gt;1,"",IF($AI529=1,0,MAX($J529,ROUNDUP(MAX($R529/$H529,$S529/$I529),0))))</f>
        <v/>
      </c>
      <c r="U529" s="14" t="str">
        <f aca="false">IF($D529&lt;&gt;1,"",IF(p_mode="Nœud",$T529*$H529,$R529))</f>
        <v/>
      </c>
      <c r="V529" s="14" t="str">
        <f aca="false">IF($D529&lt;&gt;1,"",IF(p_mode="Nœud",$T529*$I529,$S529))</f>
        <v/>
      </c>
      <c r="W529" s="84" t="str">
        <f aca="false">IF($D529&lt;&gt;1,"",IF(p_mode="Nœud",$T529*$K529,$R529*IF($G529="IKS",p_iks_cpu,p_roks_cpu)+$S529*IF($G529="IKS",p_iks_ram,p_roks_ram))*p_facteur)</f>
        <v/>
      </c>
      <c r="X529" s="14" t="str">
        <f aca="false">IF($D529&lt;&gt;1,"",IF($G529="ROKS",$R529,IF($AI529=1,0,MAX($N529,$L529-SUMIFS(TblApplications[CPU IKS libérable (vCPU)],TblApplications[Cluster IKS source],$F529,TblApplications[Action],"À migrer",TblApplications[Mois prov (calc)],"&lt;="&amp;$E529)-SUMIFS(TblApplications[CPU IKS libérable (vCPU)],TblApplications[Cluster IKS source],$F529,TblApplications[Action],"À décommissionner",TblApplications[Mois lib (calc)],"&lt;="&amp;$E529)))))</f>
        <v/>
      </c>
      <c r="Y529" s="14" t="str">
        <f aca="false">IF($D529&lt;&gt;1,"",IF($G529="ROKS",$S529,IF($AI529=1,0,MAX($O529,$M529-SUMIFS(TblApplications[RAM IKS libérable (Go)],TblApplications[Cluster IKS source],$F529,TblApplications[Action],"À migrer",TblApplications[Mois prov (calc)],"&lt;="&amp;$E529)-SUMIFS(TblApplications[RAM IKS libérable (Go)],TblApplications[Cluster IKS source],$F529,TblApplications[Action],"À décommissionner",TblApplications[Mois lib (calc)],"&lt;="&amp;$E529)))))</f>
        <v/>
      </c>
      <c r="Z529" s="14" t="str">
        <f aca="false">IF($D529&lt;&gt;1,"",IF($AI529=1,0,MAX($J529,ROUNDUP(MAX($X529/$H529,$Y529/$I529),0))))</f>
        <v/>
      </c>
      <c r="AA529" s="84" t="str">
        <f aca="false">IF($D529&lt;&gt;1,"",IF(p_mode="Nœud",$Z529*$K529,$X529*IF($G529="IKS",p_iks_cpu,p_roks_cpu)+$Y529*IF($G529="IKS",p_iks_ram,p_roks_ram))*p_facteur)</f>
        <v/>
      </c>
      <c r="AB529" s="14" t="str">
        <f aca="false">IF($D529&lt;&gt;1,"",MAX($J529,ROUNDUP(MAX($L529/$H529,$M529/$I529),0)))</f>
        <v/>
      </c>
      <c r="AC529" s="84" t="str">
        <f aca="false">IF($D529&lt;&gt;1,"",IF(p_mode="Nœud",$AB529*$K529,$L529*IF($G529="IKS",p_iks_cpu,p_roks_cpu)+$M529*IF($G529="IKS",p_iks_ram,p_roks_ram))*p_facteur)</f>
        <v/>
      </c>
      <c r="AD529" s="14" t="str">
        <f aca="false">IF($D529&lt;&gt;1,"",IF(AND($G529="IKS",$AI529&lt;&gt;1,OR($L529-$P529&lt;$N529,$M529-$Q529&lt;$O529)),1,0))</f>
        <v/>
      </c>
      <c r="AE529" s="14" t="str">
        <f aca="false">IF($D529&lt;&gt;1,"",IF(AND($G529="ROKS",$T529&gt;p_maxworkers),1,0))</f>
        <v/>
      </c>
      <c r="AF529" s="14" t="str">
        <f aca="false">IF($D529&lt;&gt;1,"",IF(INDEX(TblClusters[Environnement],$B529)="","(vide)",INDEX(TblClusters[Environnement],$B529)))</f>
        <v/>
      </c>
      <c r="AG529" s="14" t="str">
        <f aca="false">IF($D529&lt;&gt;1,"",$R529+p_poidsram*$S529)</f>
        <v/>
      </c>
      <c r="AH529" s="14" t="str">
        <f aca="false">IF($D529&lt;&gt;1,"",IFERROR($W529/$AG529,0))</f>
        <v/>
      </c>
      <c r="AI529" s="14" t="str">
        <f aca="false">IF($D529&lt;&gt;1,"",IF(AND($G529="IKS",ISNUMBER(INDEX(TblClusters[Fermeture retenue],$B529))),IF($E529&gt;=INDEX(TblClusters[Fermeture retenue],$B529),1,0),0))</f>
        <v/>
      </c>
    </row>
    <row r="530" customFormat="false" ht="15" hidden="false" customHeight="false" outlineLevel="0" collapsed="false">
      <c r="A530" s="14" t="n">
        <v>525</v>
      </c>
      <c r="B530" s="14" t="n">
        <f aca="false">INT(($A530-1)/36)+1</f>
        <v>15</v>
      </c>
      <c r="C530" s="14" t="n">
        <f aca="false">MOD($A530-1,36)+1</f>
        <v>21</v>
      </c>
      <c r="D530" s="14" t="n">
        <f aca="false">IF($C530&gt;p_horizon,0,IFERROR(IF(AND(INDEX(TblClusters[Cluster],$B530)&lt;&gt;"",ISNUMBER(INDEX(TblClusters[CPU initial (vCPU)],$B530)),ISNUMBER(INDEX(TblClusters[CPU min (vCPU)],$B530)),OR(INDEX(TblClusters[Plateforme],$B530)="IKS",INDEX(TblClusters[Plateforme],$B530)="ROKS")),1,0),0))</f>
        <v>0</v>
      </c>
      <c r="E530" s="83" t="str">
        <f aca="false">IF($D530=1,EDATE(p_debut,$C530-1),"")</f>
        <v/>
      </c>
      <c r="F530" s="14" t="str">
        <f aca="false">IF($D530=1,INDEX(TblClusters[Cluster],$B530),"")</f>
        <v/>
      </c>
      <c r="G530" s="14" t="str">
        <f aca="false">IF($D530=1,INDEX(TblClusters[Plateforme],$B530),"")</f>
        <v/>
      </c>
      <c r="H530" s="14" t="str">
        <f aca="false">IF($D530=1,INDEX(TblClusters[vCPU par nœud],$B530),"")</f>
        <v/>
      </c>
      <c r="I530" s="14" t="str">
        <f aca="false">IF($D530=1,INDEX(TblClusters[RAM par nœud (Go)],$B530),"")</f>
        <v/>
      </c>
      <c r="J530" s="14" t="str">
        <f aca="false">IF($D530=1,INDEX(TblClusters[Workers min],$B530),"")</f>
        <v/>
      </c>
      <c r="K530" s="84" t="str">
        <f aca="false">IF($D530=1,INDEX(TblClusters[Tarif par nœud],$B530),"")</f>
        <v/>
      </c>
      <c r="L530" s="14" t="str">
        <f aca="false">IF($D530=1,INDEX(TblClusters[CPU initial (vCPU)],$B530),"")</f>
        <v/>
      </c>
      <c r="M530" s="14" t="str">
        <f aca="false">IF($D530=1,INDEX(TblClusters[RAM initiale (Go)],$B530),"")</f>
        <v/>
      </c>
      <c r="N530" s="14" t="str">
        <f aca="false">IF($D530=1,INDEX(TblClusters[CPU min (vCPU)],$B530),"")</f>
        <v/>
      </c>
      <c r="O530" s="14" t="str">
        <f aca="false">IF($D530=1,INDEX(TblClusters[RAM min (Go)],$B530),"")</f>
        <v/>
      </c>
      <c r="P530" s="14" t="str">
        <f aca="false">IF($D530&lt;&gt;1,"",IF($G530="ROKS",SUMIFS(TblApplications[Besoin ROKS CPU (vCPU)],TblApplications[Cluster ROKS cible],$F530,TblApplications[Action],"À migrer",TblApplications[Déjà incluse ROKS],"Non",TblApplications[Mois prov (calc)],"&lt;="&amp;$E530),SUMIFS(TblApplications[CPU IKS libérable (vCPU)],TblApplications[Cluster IKS source],$F530,TblApplications[Mois lib (calc)],"&lt;="&amp;$E530)))</f>
        <v/>
      </c>
      <c r="Q530" s="14" t="str">
        <f aca="false">IF($D530&lt;&gt;1,"",IF($G530="ROKS",SUMIFS(TblApplications[Besoin ROKS RAM (Go)],TblApplications[Cluster ROKS cible],$F530,TblApplications[Action],"À migrer",TblApplications[Déjà incluse ROKS],"Non",TblApplications[Mois prov (calc)],"&lt;="&amp;$E530),SUMIFS(TblApplications[RAM IKS libérable (Go)],TblApplications[Cluster IKS source],$F530,TblApplications[Mois lib (calc)],"&lt;="&amp;$E530)))</f>
        <v/>
      </c>
      <c r="R530" s="14" t="str">
        <f aca="false">IF($D530&lt;&gt;1,"",IF($G530="ROKS",$L530+$P530,IF($AI530=1,0,MAX($N530,$L530-$P530))))</f>
        <v/>
      </c>
      <c r="S530" s="14" t="str">
        <f aca="false">IF($D530&lt;&gt;1,"",IF($G530="ROKS",$M530+$Q530,IF($AI530=1,0,MAX($O530,$M530-$Q530))))</f>
        <v/>
      </c>
      <c r="T530" s="14" t="str">
        <f aca="false">IF($D530&lt;&gt;1,"",IF($AI530=1,0,MAX($J530,ROUNDUP(MAX($R530/$H530,$S530/$I530),0))))</f>
        <v/>
      </c>
      <c r="U530" s="14" t="str">
        <f aca="false">IF($D530&lt;&gt;1,"",IF(p_mode="Nœud",$T530*$H530,$R530))</f>
        <v/>
      </c>
      <c r="V530" s="14" t="str">
        <f aca="false">IF($D530&lt;&gt;1,"",IF(p_mode="Nœud",$T530*$I530,$S530))</f>
        <v/>
      </c>
      <c r="W530" s="84" t="str">
        <f aca="false">IF($D530&lt;&gt;1,"",IF(p_mode="Nœud",$T530*$K530,$R530*IF($G530="IKS",p_iks_cpu,p_roks_cpu)+$S530*IF($G530="IKS",p_iks_ram,p_roks_ram))*p_facteur)</f>
        <v/>
      </c>
      <c r="X530" s="14" t="str">
        <f aca="false">IF($D530&lt;&gt;1,"",IF($G530="ROKS",$R530,IF($AI530=1,0,MAX($N530,$L530-SUMIFS(TblApplications[CPU IKS libérable (vCPU)],TblApplications[Cluster IKS source],$F530,TblApplications[Action],"À migrer",TblApplications[Mois prov (calc)],"&lt;="&amp;$E530)-SUMIFS(TblApplications[CPU IKS libérable (vCPU)],TblApplications[Cluster IKS source],$F530,TblApplications[Action],"À décommissionner",TblApplications[Mois lib (calc)],"&lt;="&amp;$E530)))))</f>
        <v/>
      </c>
      <c r="Y530" s="14" t="str">
        <f aca="false">IF($D530&lt;&gt;1,"",IF($G530="ROKS",$S530,IF($AI530=1,0,MAX($O530,$M530-SUMIFS(TblApplications[RAM IKS libérable (Go)],TblApplications[Cluster IKS source],$F530,TblApplications[Action],"À migrer",TblApplications[Mois prov (calc)],"&lt;="&amp;$E530)-SUMIFS(TblApplications[RAM IKS libérable (Go)],TblApplications[Cluster IKS source],$F530,TblApplications[Action],"À décommissionner",TblApplications[Mois lib (calc)],"&lt;="&amp;$E530)))))</f>
        <v/>
      </c>
      <c r="Z530" s="14" t="str">
        <f aca="false">IF($D530&lt;&gt;1,"",IF($AI530=1,0,MAX($J530,ROUNDUP(MAX($X530/$H530,$Y530/$I530),0))))</f>
        <v/>
      </c>
      <c r="AA530" s="84" t="str">
        <f aca="false">IF($D530&lt;&gt;1,"",IF(p_mode="Nœud",$Z530*$K530,$X530*IF($G530="IKS",p_iks_cpu,p_roks_cpu)+$Y530*IF($G530="IKS",p_iks_ram,p_roks_ram))*p_facteur)</f>
        <v/>
      </c>
      <c r="AB530" s="14" t="str">
        <f aca="false">IF($D530&lt;&gt;1,"",MAX($J530,ROUNDUP(MAX($L530/$H530,$M530/$I530),0)))</f>
        <v/>
      </c>
      <c r="AC530" s="84" t="str">
        <f aca="false">IF($D530&lt;&gt;1,"",IF(p_mode="Nœud",$AB530*$K530,$L530*IF($G530="IKS",p_iks_cpu,p_roks_cpu)+$M530*IF($G530="IKS",p_iks_ram,p_roks_ram))*p_facteur)</f>
        <v/>
      </c>
      <c r="AD530" s="14" t="str">
        <f aca="false">IF($D530&lt;&gt;1,"",IF(AND($G530="IKS",$AI530&lt;&gt;1,OR($L530-$P530&lt;$N530,$M530-$Q530&lt;$O530)),1,0))</f>
        <v/>
      </c>
      <c r="AE530" s="14" t="str">
        <f aca="false">IF($D530&lt;&gt;1,"",IF(AND($G530="ROKS",$T530&gt;p_maxworkers),1,0))</f>
        <v/>
      </c>
      <c r="AF530" s="14" t="str">
        <f aca="false">IF($D530&lt;&gt;1,"",IF(INDEX(TblClusters[Environnement],$B530)="","(vide)",INDEX(TblClusters[Environnement],$B530)))</f>
        <v/>
      </c>
      <c r="AG530" s="14" t="str">
        <f aca="false">IF($D530&lt;&gt;1,"",$R530+p_poidsram*$S530)</f>
        <v/>
      </c>
      <c r="AH530" s="14" t="str">
        <f aca="false">IF($D530&lt;&gt;1,"",IFERROR($W530/$AG530,0))</f>
        <v/>
      </c>
      <c r="AI530" s="14" t="str">
        <f aca="false">IF($D530&lt;&gt;1,"",IF(AND($G530="IKS",ISNUMBER(INDEX(TblClusters[Fermeture retenue],$B530))),IF($E530&gt;=INDEX(TblClusters[Fermeture retenue],$B530),1,0),0))</f>
        <v/>
      </c>
    </row>
    <row r="531" customFormat="false" ht="15" hidden="false" customHeight="false" outlineLevel="0" collapsed="false">
      <c r="A531" s="14" t="n">
        <v>526</v>
      </c>
      <c r="B531" s="14" t="n">
        <f aca="false">INT(($A531-1)/36)+1</f>
        <v>15</v>
      </c>
      <c r="C531" s="14" t="n">
        <f aca="false">MOD($A531-1,36)+1</f>
        <v>22</v>
      </c>
      <c r="D531" s="14" t="n">
        <f aca="false">IF($C531&gt;p_horizon,0,IFERROR(IF(AND(INDEX(TblClusters[Cluster],$B531)&lt;&gt;"",ISNUMBER(INDEX(TblClusters[CPU initial (vCPU)],$B531)),ISNUMBER(INDEX(TblClusters[CPU min (vCPU)],$B531)),OR(INDEX(TblClusters[Plateforme],$B531)="IKS",INDEX(TblClusters[Plateforme],$B531)="ROKS")),1,0),0))</f>
        <v>0</v>
      </c>
      <c r="E531" s="83" t="str">
        <f aca="false">IF($D531=1,EDATE(p_debut,$C531-1),"")</f>
        <v/>
      </c>
      <c r="F531" s="14" t="str">
        <f aca="false">IF($D531=1,INDEX(TblClusters[Cluster],$B531),"")</f>
        <v/>
      </c>
      <c r="G531" s="14" t="str">
        <f aca="false">IF($D531=1,INDEX(TblClusters[Plateforme],$B531),"")</f>
        <v/>
      </c>
      <c r="H531" s="14" t="str">
        <f aca="false">IF($D531=1,INDEX(TblClusters[vCPU par nœud],$B531),"")</f>
        <v/>
      </c>
      <c r="I531" s="14" t="str">
        <f aca="false">IF($D531=1,INDEX(TblClusters[RAM par nœud (Go)],$B531),"")</f>
        <v/>
      </c>
      <c r="J531" s="14" t="str">
        <f aca="false">IF($D531=1,INDEX(TblClusters[Workers min],$B531),"")</f>
        <v/>
      </c>
      <c r="K531" s="84" t="str">
        <f aca="false">IF($D531=1,INDEX(TblClusters[Tarif par nœud],$B531),"")</f>
        <v/>
      </c>
      <c r="L531" s="14" t="str">
        <f aca="false">IF($D531=1,INDEX(TblClusters[CPU initial (vCPU)],$B531),"")</f>
        <v/>
      </c>
      <c r="M531" s="14" t="str">
        <f aca="false">IF($D531=1,INDEX(TblClusters[RAM initiale (Go)],$B531),"")</f>
        <v/>
      </c>
      <c r="N531" s="14" t="str">
        <f aca="false">IF($D531=1,INDEX(TblClusters[CPU min (vCPU)],$B531),"")</f>
        <v/>
      </c>
      <c r="O531" s="14" t="str">
        <f aca="false">IF($D531=1,INDEX(TblClusters[RAM min (Go)],$B531),"")</f>
        <v/>
      </c>
      <c r="P531" s="14" t="str">
        <f aca="false">IF($D531&lt;&gt;1,"",IF($G531="ROKS",SUMIFS(TblApplications[Besoin ROKS CPU (vCPU)],TblApplications[Cluster ROKS cible],$F531,TblApplications[Action],"À migrer",TblApplications[Déjà incluse ROKS],"Non",TblApplications[Mois prov (calc)],"&lt;="&amp;$E531),SUMIFS(TblApplications[CPU IKS libérable (vCPU)],TblApplications[Cluster IKS source],$F531,TblApplications[Mois lib (calc)],"&lt;="&amp;$E531)))</f>
        <v/>
      </c>
      <c r="Q531" s="14" t="str">
        <f aca="false">IF($D531&lt;&gt;1,"",IF($G531="ROKS",SUMIFS(TblApplications[Besoin ROKS RAM (Go)],TblApplications[Cluster ROKS cible],$F531,TblApplications[Action],"À migrer",TblApplications[Déjà incluse ROKS],"Non",TblApplications[Mois prov (calc)],"&lt;="&amp;$E531),SUMIFS(TblApplications[RAM IKS libérable (Go)],TblApplications[Cluster IKS source],$F531,TblApplications[Mois lib (calc)],"&lt;="&amp;$E531)))</f>
        <v/>
      </c>
      <c r="R531" s="14" t="str">
        <f aca="false">IF($D531&lt;&gt;1,"",IF($G531="ROKS",$L531+$P531,IF($AI531=1,0,MAX($N531,$L531-$P531))))</f>
        <v/>
      </c>
      <c r="S531" s="14" t="str">
        <f aca="false">IF($D531&lt;&gt;1,"",IF($G531="ROKS",$M531+$Q531,IF($AI531=1,0,MAX($O531,$M531-$Q531))))</f>
        <v/>
      </c>
      <c r="T531" s="14" t="str">
        <f aca="false">IF($D531&lt;&gt;1,"",IF($AI531=1,0,MAX($J531,ROUNDUP(MAX($R531/$H531,$S531/$I531),0))))</f>
        <v/>
      </c>
      <c r="U531" s="14" t="str">
        <f aca="false">IF($D531&lt;&gt;1,"",IF(p_mode="Nœud",$T531*$H531,$R531))</f>
        <v/>
      </c>
      <c r="V531" s="14" t="str">
        <f aca="false">IF($D531&lt;&gt;1,"",IF(p_mode="Nœud",$T531*$I531,$S531))</f>
        <v/>
      </c>
      <c r="W531" s="84" t="str">
        <f aca="false">IF($D531&lt;&gt;1,"",IF(p_mode="Nœud",$T531*$K531,$R531*IF($G531="IKS",p_iks_cpu,p_roks_cpu)+$S531*IF($G531="IKS",p_iks_ram,p_roks_ram))*p_facteur)</f>
        <v/>
      </c>
      <c r="X531" s="14" t="str">
        <f aca="false">IF($D531&lt;&gt;1,"",IF($G531="ROKS",$R531,IF($AI531=1,0,MAX($N531,$L531-SUMIFS(TblApplications[CPU IKS libérable (vCPU)],TblApplications[Cluster IKS source],$F531,TblApplications[Action],"À migrer",TblApplications[Mois prov (calc)],"&lt;="&amp;$E531)-SUMIFS(TblApplications[CPU IKS libérable (vCPU)],TblApplications[Cluster IKS source],$F531,TblApplications[Action],"À décommissionner",TblApplications[Mois lib (calc)],"&lt;="&amp;$E531)))))</f>
        <v/>
      </c>
      <c r="Y531" s="14" t="str">
        <f aca="false">IF($D531&lt;&gt;1,"",IF($G531="ROKS",$S531,IF($AI531=1,0,MAX($O531,$M531-SUMIFS(TblApplications[RAM IKS libérable (Go)],TblApplications[Cluster IKS source],$F531,TblApplications[Action],"À migrer",TblApplications[Mois prov (calc)],"&lt;="&amp;$E531)-SUMIFS(TblApplications[RAM IKS libérable (Go)],TblApplications[Cluster IKS source],$F531,TblApplications[Action],"À décommissionner",TblApplications[Mois lib (calc)],"&lt;="&amp;$E531)))))</f>
        <v/>
      </c>
      <c r="Z531" s="14" t="str">
        <f aca="false">IF($D531&lt;&gt;1,"",IF($AI531=1,0,MAX($J531,ROUNDUP(MAX($X531/$H531,$Y531/$I531),0))))</f>
        <v/>
      </c>
      <c r="AA531" s="84" t="str">
        <f aca="false">IF($D531&lt;&gt;1,"",IF(p_mode="Nœud",$Z531*$K531,$X531*IF($G531="IKS",p_iks_cpu,p_roks_cpu)+$Y531*IF($G531="IKS",p_iks_ram,p_roks_ram))*p_facteur)</f>
        <v/>
      </c>
      <c r="AB531" s="14" t="str">
        <f aca="false">IF($D531&lt;&gt;1,"",MAX($J531,ROUNDUP(MAX($L531/$H531,$M531/$I531),0)))</f>
        <v/>
      </c>
      <c r="AC531" s="84" t="str">
        <f aca="false">IF($D531&lt;&gt;1,"",IF(p_mode="Nœud",$AB531*$K531,$L531*IF($G531="IKS",p_iks_cpu,p_roks_cpu)+$M531*IF($G531="IKS",p_iks_ram,p_roks_ram))*p_facteur)</f>
        <v/>
      </c>
      <c r="AD531" s="14" t="str">
        <f aca="false">IF($D531&lt;&gt;1,"",IF(AND($G531="IKS",$AI531&lt;&gt;1,OR($L531-$P531&lt;$N531,$M531-$Q531&lt;$O531)),1,0))</f>
        <v/>
      </c>
      <c r="AE531" s="14" t="str">
        <f aca="false">IF($D531&lt;&gt;1,"",IF(AND($G531="ROKS",$T531&gt;p_maxworkers),1,0))</f>
        <v/>
      </c>
      <c r="AF531" s="14" t="str">
        <f aca="false">IF($D531&lt;&gt;1,"",IF(INDEX(TblClusters[Environnement],$B531)="","(vide)",INDEX(TblClusters[Environnement],$B531)))</f>
        <v/>
      </c>
      <c r="AG531" s="14" t="str">
        <f aca="false">IF($D531&lt;&gt;1,"",$R531+p_poidsram*$S531)</f>
        <v/>
      </c>
      <c r="AH531" s="14" t="str">
        <f aca="false">IF($D531&lt;&gt;1,"",IFERROR($W531/$AG531,0))</f>
        <v/>
      </c>
      <c r="AI531" s="14" t="str">
        <f aca="false">IF($D531&lt;&gt;1,"",IF(AND($G531="IKS",ISNUMBER(INDEX(TblClusters[Fermeture retenue],$B531))),IF($E531&gt;=INDEX(TblClusters[Fermeture retenue],$B531),1,0),0))</f>
        <v/>
      </c>
    </row>
    <row r="532" customFormat="false" ht="15" hidden="false" customHeight="false" outlineLevel="0" collapsed="false">
      <c r="A532" s="14" t="n">
        <v>527</v>
      </c>
      <c r="B532" s="14" t="n">
        <f aca="false">INT(($A532-1)/36)+1</f>
        <v>15</v>
      </c>
      <c r="C532" s="14" t="n">
        <f aca="false">MOD($A532-1,36)+1</f>
        <v>23</v>
      </c>
      <c r="D532" s="14" t="n">
        <f aca="false">IF($C532&gt;p_horizon,0,IFERROR(IF(AND(INDEX(TblClusters[Cluster],$B532)&lt;&gt;"",ISNUMBER(INDEX(TblClusters[CPU initial (vCPU)],$B532)),ISNUMBER(INDEX(TblClusters[CPU min (vCPU)],$B532)),OR(INDEX(TblClusters[Plateforme],$B532)="IKS",INDEX(TblClusters[Plateforme],$B532)="ROKS")),1,0),0))</f>
        <v>0</v>
      </c>
      <c r="E532" s="83" t="str">
        <f aca="false">IF($D532=1,EDATE(p_debut,$C532-1),"")</f>
        <v/>
      </c>
      <c r="F532" s="14" t="str">
        <f aca="false">IF($D532=1,INDEX(TblClusters[Cluster],$B532),"")</f>
        <v/>
      </c>
      <c r="G532" s="14" t="str">
        <f aca="false">IF($D532=1,INDEX(TblClusters[Plateforme],$B532),"")</f>
        <v/>
      </c>
      <c r="H532" s="14" t="str">
        <f aca="false">IF($D532=1,INDEX(TblClusters[vCPU par nœud],$B532),"")</f>
        <v/>
      </c>
      <c r="I532" s="14" t="str">
        <f aca="false">IF($D532=1,INDEX(TblClusters[RAM par nœud (Go)],$B532),"")</f>
        <v/>
      </c>
      <c r="J532" s="14" t="str">
        <f aca="false">IF($D532=1,INDEX(TblClusters[Workers min],$B532),"")</f>
        <v/>
      </c>
      <c r="K532" s="84" t="str">
        <f aca="false">IF($D532=1,INDEX(TblClusters[Tarif par nœud],$B532),"")</f>
        <v/>
      </c>
      <c r="L532" s="14" t="str">
        <f aca="false">IF($D532=1,INDEX(TblClusters[CPU initial (vCPU)],$B532),"")</f>
        <v/>
      </c>
      <c r="M532" s="14" t="str">
        <f aca="false">IF($D532=1,INDEX(TblClusters[RAM initiale (Go)],$B532),"")</f>
        <v/>
      </c>
      <c r="N532" s="14" t="str">
        <f aca="false">IF($D532=1,INDEX(TblClusters[CPU min (vCPU)],$B532),"")</f>
        <v/>
      </c>
      <c r="O532" s="14" t="str">
        <f aca="false">IF($D532=1,INDEX(TblClusters[RAM min (Go)],$B532),"")</f>
        <v/>
      </c>
      <c r="P532" s="14" t="str">
        <f aca="false">IF($D532&lt;&gt;1,"",IF($G532="ROKS",SUMIFS(TblApplications[Besoin ROKS CPU (vCPU)],TblApplications[Cluster ROKS cible],$F532,TblApplications[Action],"À migrer",TblApplications[Déjà incluse ROKS],"Non",TblApplications[Mois prov (calc)],"&lt;="&amp;$E532),SUMIFS(TblApplications[CPU IKS libérable (vCPU)],TblApplications[Cluster IKS source],$F532,TblApplications[Mois lib (calc)],"&lt;="&amp;$E532)))</f>
        <v/>
      </c>
      <c r="Q532" s="14" t="str">
        <f aca="false">IF($D532&lt;&gt;1,"",IF($G532="ROKS",SUMIFS(TblApplications[Besoin ROKS RAM (Go)],TblApplications[Cluster ROKS cible],$F532,TblApplications[Action],"À migrer",TblApplications[Déjà incluse ROKS],"Non",TblApplications[Mois prov (calc)],"&lt;="&amp;$E532),SUMIFS(TblApplications[RAM IKS libérable (Go)],TblApplications[Cluster IKS source],$F532,TblApplications[Mois lib (calc)],"&lt;="&amp;$E532)))</f>
        <v/>
      </c>
      <c r="R532" s="14" t="str">
        <f aca="false">IF($D532&lt;&gt;1,"",IF($G532="ROKS",$L532+$P532,IF($AI532=1,0,MAX($N532,$L532-$P532))))</f>
        <v/>
      </c>
      <c r="S532" s="14" t="str">
        <f aca="false">IF($D532&lt;&gt;1,"",IF($G532="ROKS",$M532+$Q532,IF($AI532=1,0,MAX($O532,$M532-$Q532))))</f>
        <v/>
      </c>
      <c r="T532" s="14" t="str">
        <f aca="false">IF($D532&lt;&gt;1,"",IF($AI532=1,0,MAX($J532,ROUNDUP(MAX($R532/$H532,$S532/$I532),0))))</f>
        <v/>
      </c>
      <c r="U532" s="14" t="str">
        <f aca="false">IF($D532&lt;&gt;1,"",IF(p_mode="Nœud",$T532*$H532,$R532))</f>
        <v/>
      </c>
      <c r="V532" s="14" t="str">
        <f aca="false">IF($D532&lt;&gt;1,"",IF(p_mode="Nœud",$T532*$I532,$S532))</f>
        <v/>
      </c>
      <c r="W532" s="84" t="str">
        <f aca="false">IF($D532&lt;&gt;1,"",IF(p_mode="Nœud",$T532*$K532,$R532*IF($G532="IKS",p_iks_cpu,p_roks_cpu)+$S532*IF($G532="IKS",p_iks_ram,p_roks_ram))*p_facteur)</f>
        <v/>
      </c>
      <c r="X532" s="14" t="str">
        <f aca="false">IF($D532&lt;&gt;1,"",IF($G532="ROKS",$R532,IF($AI532=1,0,MAX($N532,$L532-SUMIFS(TblApplications[CPU IKS libérable (vCPU)],TblApplications[Cluster IKS source],$F532,TblApplications[Action],"À migrer",TblApplications[Mois prov (calc)],"&lt;="&amp;$E532)-SUMIFS(TblApplications[CPU IKS libérable (vCPU)],TblApplications[Cluster IKS source],$F532,TblApplications[Action],"À décommissionner",TblApplications[Mois lib (calc)],"&lt;="&amp;$E532)))))</f>
        <v/>
      </c>
      <c r="Y532" s="14" t="str">
        <f aca="false">IF($D532&lt;&gt;1,"",IF($G532="ROKS",$S532,IF($AI532=1,0,MAX($O532,$M532-SUMIFS(TblApplications[RAM IKS libérable (Go)],TblApplications[Cluster IKS source],$F532,TblApplications[Action],"À migrer",TblApplications[Mois prov (calc)],"&lt;="&amp;$E532)-SUMIFS(TblApplications[RAM IKS libérable (Go)],TblApplications[Cluster IKS source],$F532,TblApplications[Action],"À décommissionner",TblApplications[Mois lib (calc)],"&lt;="&amp;$E532)))))</f>
        <v/>
      </c>
      <c r="Z532" s="14" t="str">
        <f aca="false">IF($D532&lt;&gt;1,"",IF($AI532=1,0,MAX($J532,ROUNDUP(MAX($X532/$H532,$Y532/$I532),0))))</f>
        <v/>
      </c>
      <c r="AA532" s="84" t="str">
        <f aca="false">IF($D532&lt;&gt;1,"",IF(p_mode="Nœud",$Z532*$K532,$X532*IF($G532="IKS",p_iks_cpu,p_roks_cpu)+$Y532*IF($G532="IKS",p_iks_ram,p_roks_ram))*p_facteur)</f>
        <v/>
      </c>
      <c r="AB532" s="14" t="str">
        <f aca="false">IF($D532&lt;&gt;1,"",MAX($J532,ROUNDUP(MAX($L532/$H532,$M532/$I532),0)))</f>
        <v/>
      </c>
      <c r="AC532" s="84" t="str">
        <f aca="false">IF($D532&lt;&gt;1,"",IF(p_mode="Nœud",$AB532*$K532,$L532*IF($G532="IKS",p_iks_cpu,p_roks_cpu)+$M532*IF($G532="IKS",p_iks_ram,p_roks_ram))*p_facteur)</f>
        <v/>
      </c>
      <c r="AD532" s="14" t="str">
        <f aca="false">IF($D532&lt;&gt;1,"",IF(AND($G532="IKS",$AI532&lt;&gt;1,OR($L532-$P532&lt;$N532,$M532-$Q532&lt;$O532)),1,0))</f>
        <v/>
      </c>
      <c r="AE532" s="14" t="str">
        <f aca="false">IF($D532&lt;&gt;1,"",IF(AND($G532="ROKS",$T532&gt;p_maxworkers),1,0))</f>
        <v/>
      </c>
      <c r="AF532" s="14" t="str">
        <f aca="false">IF($D532&lt;&gt;1,"",IF(INDEX(TblClusters[Environnement],$B532)="","(vide)",INDEX(TblClusters[Environnement],$B532)))</f>
        <v/>
      </c>
      <c r="AG532" s="14" t="str">
        <f aca="false">IF($D532&lt;&gt;1,"",$R532+p_poidsram*$S532)</f>
        <v/>
      </c>
      <c r="AH532" s="14" t="str">
        <f aca="false">IF($D532&lt;&gt;1,"",IFERROR($W532/$AG532,0))</f>
        <v/>
      </c>
      <c r="AI532" s="14" t="str">
        <f aca="false">IF($D532&lt;&gt;1,"",IF(AND($G532="IKS",ISNUMBER(INDEX(TblClusters[Fermeture retenue],$B532))),IF($E532&gt;=INDEX(TblClusters[Fermeture retenue],$B532),1,0),0))</f>
        <v/>
      </c>
    </row>
    <row r="533" customFormat="false" ht="15" hidden="false" customHeight="false" outlineLevel="0" collapsed="false">
      <c r="A533" s="14" t="n">
        <v>528</v>
      </c>
      <c r="B533" s="14" t="n">
        <f aca="false">INT(($A533-1)/36)+1</f>
        <v>15</v>
      </c>
      <c r="C533" s="14" t="n">
        <f aca="false">MOD($A533-1,36)+1</f>
        <v>24</v>
      </c>
      <c r="D533" s="14" t="n">
        <f aca="false">IF($C533&gt;p_horizon,0,IFERROR(IF(AND(INDEX(TblClusters[Cluster],$B533)&lt;&gt;"",ISNUMBER(INDEX(TblClusters[CPU initial (vCPU)],$B533)),ISNUMBER(INDEX(TblClusters[CPU min (vCPU)],$B533)),OR(INDEX(TblClusters[Plateforme],$B533)="IKS",INDEX(TblClusters[Plateforme],$B533)="ROKS")),1,0),0))</f>
        <v>0</v>
      </c>
      <c r="E533" s="83" t="str">
        <f aca="false">IF($D533=1,EDATE(p_debut,$C533-1),"")</f>
        <v/>
      </c>
      <c r="F533" s="14" t="str">
        <f aca="false">IF($D533=1,INDEX(TblClusters[Cluster],$B533),"")</f>
        <v/>
      </c>
      <c r="G533" s="14" t="str">
        <f aca="false">IF($D533=1,INDEX(TblClusters[Plateforme],$B533),"")</f>
        <v/>
      </c>
      <c r="H533" s="14" t="str">
        <f aca="false">IF($D533=1,INDEX(TblClusters[vCPU par nœud],$B533),"")</f>
        <v/>
      </c>
      <c r="I533" s="14" t="str">
        <f aca="false">IF($D533=1,INDEX(TblClusters[RAM par nœud (Go)],$B533),"")</f>
        <v/>
      </c>
      <c r="J533" s="14" t="str">
        <f aca="false">IF($D533=1,INDEX(TblClusters[Workers min],$B533),"")</f>
        <v/>
      </c>
      <c r="K533" s="84" t="str">
        <f aca="false">IF($D533=1,INDEX(TblClusters[Tarif par nœud],$B533),"")</f>
        <v/>
      </c>
      <c r="L533" s="14" t="str">
        <f aca="false">IF($D533=1,INDEX(TblClusters[CPU initial (vCPU)],$B533),"")</f>
        <v/>
      </c>
      <c r="M533" s="14" t="str">
        <f aca="false">IF($D533=1,INDEX(TblClusters[RAM initiale (Go)],$B533),"")</f>
        <v/>
      </c>
      <c r="N533" s="14" t="str">
        <f aca="false">IF($D533=1,INDEX(TblClusters[CPU min (vCPU)],$B533),"")</f>
        <v/>
      </c>
      <c r="O533" s="14" t="str">
        <f aca="false">IF($D533=1,INDEX(TblClusters[RAM min (Go)],$B533),"")</f>
        <v/>
      </c>
      <c r="P533" s="14" t="str">
        <f aca="false">IF($D533&lt;&gt;1,"",IF($G533="ROKS",SUMIFS(TblApplications[Besoin ROKS CPU (vCPU)],TblApplications[Cluster ROKS cible],$F533,TblApplications[Action],"À migrer",TblApplications[Déjà incluse ROKS],"Non",TblApplications[Mois prov (calc)],"&lt;="&amp;$E533),SUMIFS(TblApplications[CPU IKS libérable (vCPU)],TblApplications[Cluster IKS source],$F533,TblApplications[Mois lib (calc)],"&lt;="&amp;$E533)))</f>
        <v/>
      </c>
      <c r="Q533" s="14" t="str">
        <f aca="false">IF($D533&lt;&gt;1,"",IF($G533="ROKS",SUMIFS(TblApplications[Besoin ROKS RAM (Go)],TblApplications[Cluster ROKS cible],$F533,TblApplications[Action],"À migrer",TblApplications[Déjà incluse ROKS],"Non",TblApplications[Mois prov (calc)],"&lt;="&amp;$E533),SUMIFS(TblApplications[RAM IKS libérable (Go)],TblApplications[Cluster IKS source],$F533,TblApplications[Mois lib (calc)],"&lt;="&amp;$E533)))</f>
        <v/>
      </c>
      <c r="R533" s="14" t="str">
        <f aca="false">IF($D533&lt;&gt;1,"",IF($G533="ROKS",$L533+$P533,IF($AI533=1,0,MAX($N533,$L533-$P533))))</f>
        <v/>
      </c>
      <c r="S533" s="14" t="str">
        <f aca="false">IF($D533&lt;&gt;1,"",IF($G533="ROKS",$M533+$Q533,IF($AI533=1,0,MAX($O533,$M533-$Q533))))</f>
        <v/>
      </c>
      <c r="T533" s="14" t="str">
        <f aca="false">IF($D533&lt;&gt;1,"",IF($AI533=1,0,MAX($J533,ROUNDUP(MAX($R533/$H533,$S533/$I533),0))))</f>
        <v/>
      </c>
      <c r="U533" s="14" t="str">
        <f aca="false">IF($D533&lt;&gt;1,"",IF(p_mode="Nœud",$T533*$H533,$R533))</f>
        <v/>
      </c>
      <c r="V533" s="14" t="str">
        <f aca="false">IF($D533&lt;&gt;1,"",IF(p_mode="Nœud",$T533*$I533,$S533))</f>
        <v/>
      </c>
      <c r="W533" s="84" t="str">
        <f aca="false">IF($D533&lt;&gt;1,"",IF(p_mode="Nœud",$T533*$K533,$R533*IF($G533="IKS",p_iks_cpu,p_roks_cpu)+$S533*IF($G533="IKS",p_iks_ram,p_roks_ram))*p_facteur)</f>
        <v/>
      </c>
      <c r="X533" s="14" t="str">
        <f aca="false">IF($D533&lt;&gt;1,"",IF($G533="ROKS",$R533,IF($AI533=1,0,MAX($N533,$L533-SUMIFS(TblApplications[CPU IKS libérable (vCPU)],TblApplications[Cluster IKS source],$F533,TblApplications[Action],"À migrer",TblApplications[Mois prov (calc)],"&lt;="&amp;$E533)-SUMIFS(TblApplications[CPU IKS libérable (vCPU)],TblApplications[Cluster IKS source],$F533,TblApplications[Action],"À décommissionner",TblApplications[Mois lib (calc)],"&lt;="&amp;$E533)))))</f>
        <v/>
      </c>
      <c r="Y533" s="14" t="str">
        <f aca="false">IF($D533&lt;&gt;1,"",IF($G533="ROKS",$S533,IF($AI533=1,0,MAX($O533,$M533-SUMIFS(TblApplications[RAM IKS libérable (Go)],TblApplications[Cluster IKS source],$F533,TblApplications[Action],"À migrer",TblApplications[Mois prov (calc)],"&lt;="&amp;$E533)-SUMIFS(TblApplications[RAM IKS libérable (Go)],TblApplications[Cluster IKS source],$F533,TblApplications[Action],"À décommissionner",TblApplications[Mois lib (calc)],"&lt;="&amp;$E533)))))</f>
        <v/>
      </c>
      <c r="Z533" s="14" t="str">
        <f aca="false">IF($D533&lt;&gt;1,"",IF($AI533=1,0,MAX($J533,ROUNDUP(MAX($X533/$H533,$Y533/$I533),0))))</f>
        <v/>
      </c>
      <c r="AA533" s="84" t="str">
        <f aca="false">IF($D533&lt;&gt;1,"",IF(p_mode="Nœud",$Z533*$K533,$X533*IF($G533="IKS",p_iks_cpu,p_roks_cpu)+$Y533*IF($G533="IKS",p_iks_ram,p_roks_ram))*p_facteur)</f>
        <v/>
      </c>
      <c r="AB533" s="14" t="str">
        <f aca="false">IF($D533&lt;&gt;1,"",MAX($J533,ROUNDUP(MAX($L533/$H533,$M533/$I533),0)))</f>
        <v/>
      </c>
      <c r="AC533" s="84" t="str">
        <f aca="false">IF($D533&lt;&gt;1,"",IF(p_mode="Nœud",$AB533*$K533,$L533*IF($G533="IKS",p_iks_cpu,p_roks_cpu)+$M533*IF($G533="IKS",p_iks_ram,p_roks_ram))*p_facteur)</f>
        <v/>
      </c>
      <c r="AD533" s="14" t="str">
        <f aca="false">IF($D533&lt;&gt;1,"",IF(AND($G533="IKS",$AI533&lt;&gt;1,OR($L533-$P533&lt;$N533,$M533-$Q533&lt;$O533)),1,0))</f>
        <v/>
      </c>
      <c r="AE533" s="14" t="str">
        <f aca="false">IF($D533&lt;&gt;1,"",IF(AND($G533="ROKS",$T533&gt;p_maxworkers),1,0))</f>
        <v/>
      </c>
      <c r="AF533" s="14" t="str">
        <f aca="false">IF($D533&lt;&gt;1,"",IF(INDEX(TblClusters[Environnement],$B533)="","(vide)",INDEX(TblClusters[Environnement],$B533)))</f>
        <v/>
      </c>
      <c r="AG533" s="14" t="str">
        <f aca="false">IF($D533&lt;&gt;1,"",$R533+p_poidsram*$S533)</f>
        <v/>
      </c>
      <c r="AH533" s="14" t="str">
        <f aca="false">IF($D533&lt;&gt;1,"",IFERROR($W533/$AG533,0))</f>
        <v/>
      </c>
      <c r="AI533" s="14" t="str">
        <f aca="false">IF($D533&lt;&gt;1,"",IF(AND($G533="IKS",ISNUMBER(INDEX(TblClusters[Fermeture retenue],$B533))),IF($E533&gt;=INDEX(TblClusters[Fermeture retenue],$B533),1,0),0))</f>
        <v/>
      </c>
    </row>
    <row r="534" customFormat="false" ht="15" hidden="false" customHeight="false" outlineLevel="0" collapsed="false">
      <c r="A534" s="14" t="n">
        <v>529</v>
      </c>
      <c r="B534" s="14" t="n">
        <f aca="false">INT(($A534-1)/36)+1</f>
        <v>15</v>
      </c>
      <c r="C534" s="14" t="n">
        <f aca="false">MOD($A534-1,36)+1</f>
        <v>25</v>
      </c>
      <c r="D534" s="14" t="n">
        <f aca="false">IF($C534&gt;p_horizon,0,IFERROR(IF(AND(INDEX(TblClusters[Cluster],$B534)&lt;&gt;"",ISNUMBER(INDEX(TblClusters[CPU initial (vCPU)],$B534)),ISNUMBER(INDEX(TblClusters[CPU min (vCPU)],$B534)),OR(INDEX(TblClusters[Plateforme],$B534)="IKS",INDEX(TblClusters[Plateforme],$B534)="ROKS")),1,0),0))</f>
        <v>0</v>
      </c>
      <c r="E534" s="83" t="str">
        <f aca="false">IF($D534=1,EDATE(p_debut,$C534-1),"")</f>
        <v/>
      </c>
      <c r="F534" s="14" t="str">
        <f aca="false">IF($D534=1,INDEX(TblClusters[Cluster],$B534),"")</f>
        <v/>
      </c>
      <c r="G534" s="14" t="str">
        <f aca="false">IF($D534=1,INDEX(TblClusters[Plateforme],$B534),"")</f>
        <v/>
      </c>
      <c r="H534" s="14" t="str">
        <f aca="false">IF($D534=1,INDEX(TblClusters[vCPU par nœud],$B534),"")</f>
        <v/>
      </c>
      <c r="I534" s="14" t="str">
        <f aca="false">IF($D534=1,INDEX(TblClusters[RAM par nœud (Go)],$B534),"")</f>
        <v/>
      </c>
      <c r="J534" s="14" t="str">
        <f aca="false">IF($D534=1,INDEX(TblClusters[Workers min],$B534),"")</f>
        <v/>
      </c>
      <c r="K534" s="84" t="str">
        <f aca="false">IF($D534=1,INDEX(TblClusters[Tarif par nœud],$B534),"")</f>
        <v/>
      </c>
      <c r="L534" s="14" t="str">
        <f aca="false">IF($D534=1,INDEX(TblClusters[CPU initial (vCPU)],$B534),"")</f>
        <v/>
      </c>
      <c r="M534" s="14" t="str">
        <f aca="false">IF($D534=1,INDEX(TblClusters[RAM initiale (Go)],$B534),"")</f>
        <v/>
      </c>
      <c r="N534" s="14" t="str">
        <f aca="false">IF($D534=1,INDEX(TblClusters[CPU min (vCPU)],$B534),"")</f>
        <v/>
      </c>
      <c r="O534" s="14" t="str">
        <f aca="false">IF($D534=1,INDEX(TblClusters[RAM min (Go)],$B534),"")</f>
        <v/>
      </c>
      <c r="P534" s="14" t="str">
        <f aca="false">IF($D534&lt;&gt;1,"",IF($G534="ROKS",SUMIFS(TblApplications[Besoin ROKS CPU (vCPU)],TblApplications[Cluster ROKS cible],$F534,TblApplications[Action],"À migrer",TblApplications[Déjà incluse ROKS],"Non",TblApplications[Mois prov (calc)],"&lt;="&amp;$E534),SUMIFS(TblApplications[CPU IKS libérable (vCPU)],TblApplications[Cluster IKS source],$F534,TblApplications[Mois lib (calc)],"&lt;="&amp;$E534)))</f>
        <v/>
      </c>
      <c r="Q534" s="14" t="str">
        <f aca="false">IF($D534&lt;&gt;1,"",IF($G534="ROKS",SUMIFS(TblApplications[Besoin ROKS RAM (Go)],TblApplications[Cluster ROKS cible],$F534,TblApplications[Action],"À migrer",TblApplications[Déjà incluse ROKS],"Non",TblApplications[Mois prov (calc)],"&lt;="&amp;$E534),SUMIFS(TblApplications[RAM IKS libérable (Go)],TblApplications[Cluster IKS source],$F534,TblApplications[Mois lib (calc)],"&lt;="&amp;$E534)))</f>
        <v/>
      </c>
      <c r="R534" s="14" t="str">
        <f aca="false">IF($D534&lt;&gt;1,"",IF($G534="ROKS",$L534+$P534,IF($AI534=1,0,MAX($N534,$L534-$P534))))</f>
        <v/>
      </c>
      <c r="S534" s="14" t="str">
        <f aca="false">IF($D534&lt;&gt;1,"",IF($G534="ROKS",$M534+$Q534,IF($AI534=1,0,MAX($O534,$M534-$Q534))))</f>
        <v/>
      </c>
      <c r="T534" s="14" t="str">
        <f aca="false">IF($D534&lt;&gt;1,"",IF($AI534=1,0,MAX($J534,ROUNDUP(MAX($R534/$H534,$S534/$I534),0))))</f>
        <v/>
      </c>
      <c r="U534" s="14" t="str">
        <f aca="false">IF($D534&lt;&gt;1,"",IF(p_mode="Nœud",$T534*$H534,$R534))</f>
        <v/>
      </c>
      <c r="V534" s="14" t="str">
        <f aca="false">IF($D534&lt;&gt;1,"",IF(p_mode="Nœud",$T534*$I534,$S534))</f>
        <v/>
      </c>
      <c r="W534" s="84" t="str">
        <f aca="false">IF($D534&lt;&gt;1,"",IF(p_mode="Nœud",$T534*$K534,$R534*IF($G534="IKS",p_iks_cpu,p_roks_cpu)+$S534*IF($G534="IKS",p_iks_ram,p_roks_ram))*p_facteur)</f>
        <v/>
      </c>
      <c r="X534" s="14" t="str">
        <f aca="false">IF($D534&lt;&gt;1,"",IF($G534="ROKS",$R534,IF($AI534=1,0,MAX($N534,$L534-SUMIFS(TblApplications[CPU IKS libérable (vCPU)],TblApplications[Cluster IKS source],$F534,TblApplications[Action],"À migrer",TblApplications[Mois prov (calc)],"&lt;="&amp;$E534)-SUMIFS(TblApplications[CPU IKS libérable (vCPU)],TblApplications[Cluster IKS source],$F534,TblApplications[Action],"À décommissionner",TblApplications[Mois lib (calc)],"&lt;="&amp;$E534)))))</f>
        <v/>
      </c>
      <c r="Y534" s="14" t="str">
        <f aca="false">IF($D534&lt;&gt;1,"",IF($G534="ROKS",$S534,IF($AI534=1,0,MAX($O534,$M534-SUMIFS(TblApplications[RAM IKS libérable (Go)],TblApplications[Cluster IKS source],$F534,TblApplications[Action],"À migrer",TblApplications[Mois prov (calc)],"&lt;="&amp;$E534)-SUMIFS(TblApplications[RAM IKS libérable (Go)],TblApplications[Cluster IKS source],$F534,TblApplications[Action],"À décommissionner",TblApplications[Mois lib (calc)],"&lt;="&amp;$E534)))))</f>
        <v/>
      </c>
      <c r="Z534" s="14" t="str">
        <f aca="false">IF($D534&lt;&gt;1,"",IF($AI534=1,0,MAX($J534,ROUNDUP(MAX($X534/$H534,$Y534/$I534),0))))</f>
        <v/>
      </c>
      <c r="AA534" s="84" t="str">
        <f aca="false">IF($D534&lt;&gt;1,"",IF(p_mode="Nœud",$Z534*$K534,$X534*IF($G534="IKS",p_iks_cpu,p_roks_cpu)+$Y534*IF($G534="IKS",p_iks_ram,p_roks_ram))*p_facteur)</f>
        <v/>
      </c>
      <c r="AB534" s="14" t="str">
        <f aca="false">IF($D534&lt;&gt;1,"",MAX($J534,ROUNDUP(MAX($L534/$H534,$M534/$I534),0)))</f>
        <v/>
      </c>
      <c r="AC534" s="84" t="str">
        <f aca="false">IF($D534&lt;&gt;1,"",IF(p_mode="Nœud",$AB534*$K534,$L534*IF($G534="IKS",p_iks_cpu,p_roks_cpu)+$M534*IF($G534="IKS",p_iks_ram,p_roks_ram))*p_facteur)</f>
        <v/>
      </c>
      <c r="AD534" s="14" t="str">
        <f aca="false">IF($D534&lt;&gt;1,"",IF(AND($G534="IKS",$AI534&lt;&gt;1,OR($L534-$P534&lt;$N534,$M534-$Q534&lt;$O534)),1,0))</f>
        <v/>
      </c>
      <c r="AE534" s="14" t="str">
        <f aca="false">IF($D534&lt;&gt;1,"",IF(AND($G534="ROKS",$T534&gt;p_maxworkers),1,0))</f>
        <v/>
      </c>
      <c r="AF534" s="14" t="str">
        <f aca="false">IF($D534&lt;&gt;1,"",IF(INDEX(TblClusters[Environnement],$B534)="","(vide)",INDEX(TblClusters[Environnement],$B534)))</f>
        <v/>
      </c>
      <c r="AG534" s="14" t="str">
        <f aca="false">IF($D534&lt;&gt;1,"",$R534+p_poidsram*$S534)</f>
        <v/>
      </c>
      <c r="AH534" s="14" t="str">
        <f aca="false">IF($D534&lt;&gt;1,"",IFERROR($W534/$AG534,0))</f>
        <v/>
      </c>
      <c r="AI534" s="14" t="str">
        <f aca="false">IF($D534&lt;&gt;1,"",IF(AND($G534="IKS",ISNUMBER(INDEX(TblClusters[Fermeture retenue],$B534))),IF($E534&gt;=INDEX(TblClusters[Fermeture retenue],$B534),1,0),0))</f>
        <v/>
      </c>
    </row>
    <row r="535" customFormat="false" ht="15" hidden="false" customHeight="false" outlineLevel="0" collapsed="false">
      <c r="A535" s="14" t="n">
        <v>530</v>
      </c>
      <c r="B535" s="14" t="n">
        <f aca="false">INT(($A535-1)/36)+1</f>
        <v>15</v>
      </c>
      <c r="C535" s="14" t="n">
        <f aca="false">MOD($A535-1,36)+1</f>
        <v>26</v>
      </c>
      <c r="D535" s="14" t="n">
        <f aca="false">IF($C535&gt;p_horizon,0,IFERROR(IF(AND(INDEX(TblClusters[Cluster],$B535)&lt;&gt;"",ISNUMBER(INDEX(TblClusters[CPU initial (vCPU)],$B535)),ISNUMBER(INDEX(TblClusters[CPU min (vCPU)],$B535)),OR(INDEX(TblClusters[Plateforme],$B535)="IKS",INDEX(TblClusters[Plateforme],$B535)="ROKS")),1,0),0))</f>
        <v>0</v>
      </c>
      <c r="E535" s="83" t="str">
        <f aca="false">IF($D535=1,EDATE(p_debut,$C535-1),"")</f>
        <v/>
      </c>
      <c r="F535" s="14" t="str">
        <f aca="false">IF($D535=1,INDEX(TblClusters[Cluster],$B535),"")</f>
        <v/>
      </c>
      <c r="G535" s="14" t="str">
        <f aca="false">IF($D535=1,INDEX(TblClusters[Plateforme],$B535),"")</f>
        <v/>
      </c>
      <c r="H535" s="14" t="str">
        <f aca="false">IF($D535=1,INDEX(TblClusters[vCPU par nœud],$B535),"")</f>
        <v/>
      </c>
      <c r="I535" s="14" t="str">
        <f aca="false">IF($D535=1,INDEX(TblClusters[RAM par nœud (Go)],$B535),"")</f>
        <v/>
      </c>
      <c r="J535" s="14" t="str">
        <f aca="false">IF($D535=1,INDEX(TblClusters[Workers min],$B535),"")</f>
        <v/>
      </c>
      <c r="K535" s="84" t="str">
        <f aca="false">IF($D535=1,INDEX(TblClusters[Tarif par nœud],$B535),"")</f>
        <v/>
      </c>
      <c r="L535" s="14" t="str">
        <f aca="false">IF($D535=1,INDEX(TblClusters[CPU initial (vCPU)],$B535),"")</f>
        <v/>
      </c>
      <c r="M535" s="14" t="str">
        <f aca="false">IF($D535=1,INDEX(TblClusters[RAM initiale (Go)],$B535),"")</f>
        <v/>
      </c>
      <c r="N535" s="14" t="str">
        <f aca="false">IF($D535=1,INDEX(TblClusters[CPU min (vCPU)],$B535),"")</f>
        <v/>
      </c>
      <c r="O535" s="14" t="str">
        <f aca="false">IF($D535=1,INDEX(TblClusters[RAM min (Go)],$B535),"")</f>
        <v/>
      </c>
      <c r="P535" s="14" t="str">
        <f aca="false">IF($D535&lt;&gt;1,"",IF($G535="ROKS",SUMIFS(TblApplications[Besoin ROKS CPU (vCPU)],TblApplications[Cluster ROKS cible],$F535,TblApplications[Action],"À migrer",TblApplications[Déjà incluse ROKS],"Non",TblApplications[Mois prov (calc)],"&lt;="&amp;$E535),SUMIFS(TblApplications[CPU IKS libérable (vCPU)],TblApplications[Cluster IKS source],$F535,TblApplications[Mois lib (calc)],"&lt;="&amp;$E535)))</f>
        <v/>
      </c>
      <c r="Q535" s="14" t="str">
        <f aca="false">IF($D535&lt;&gt;1,"",IF($G535="ROKS",SUMIFS(TblApplications[Besoin ROKS RAM (Go)],TblApplications[Cluster ROKS cible],$F535,TblApplications[Action],"À migrer",TblApplications[Déjà incluse ROKS],"Non",TblApplications[Mois prov (calc)],"&lt;="&amp;$E535),SUMIFS(TblApplications[RAM IKS libérable (Go)],TblApplications[Cluster IKS source],$F535,TblApplications[Mois lib (calc)],"&lt;="&amp;$E535)))</f>
        <v/>
      </c>
      <c r="R535" s="14" t="str">
        <f aca="false">IF($D535&lt;&gt;1,"",IF($G535="ROKS",$L535+$P535,IF($AI535=1,0,MAX($N535,$L535-$P535))))</f>
        <v/>
      </c>
      <c r="S535" s="14" t="str">
        <f aca="false">IF($D535&lt;&gt;1,"",IF($G535="ROKS",$M535+$Q535,IF($AI535=1,0,MAX($O535,$M535-$Q535))))</f>
        <v/>
      </c>
      <c r="T535" s="14" t="str">
        <f aca="false">IF($D535&lt;&gt;1,"",IF($AI535=1,0,MAX($J535,ROUNDUP(MAX($R535/$H535,$S535/$I535),0))))</f>
        <v/>
      </c>
      <c r="U535" s="14" t="str">
        <f aca="false">IF($D535&lt;&gt;1,"",IF(p_mode="Nœud",$T535*$H535,$R535))</f>
        <v/>
      </c>
      <c r="V535" s="14" t="str">
        <f aca="false">IF($D535&lt;&gt;1,"",IF(p_mode="Nœud",$T535*$I535,$S535))</f>
        <v/>
      </c>
      <c r="W535" s="84" t="str">
        <f aca="false">IF($D535&lt;&gt;1,"",IF(p_mode="Nœud",$T535*$K535,$R535*IF($G535="IKS",p_iks_cpu,p_roks_cpu)+$S535*IF($G535="IKS",p_iks_ram,p_roks_ram))*p_facteur)</f>
        <v/>
      </c>
      <c r="X535" s="14" t="str">
        <f aca="false">IF($D535&lt;&gt;1,"",IF($G535="ROKS",$R535,IF($AI535=1,0,MAX($N535,$L535-SUMIFS(TblApplications[CPU IKS libérable (vCPU)],TblApplications[Cluster IKS source],$F535,TblApplications[Action],"À migrer",TblApplications[Mois prov (calc)],"&lt;="&amp;$E535)-SUMIFS(TblApplications[CPU IKS libérable (vCPU)],TblApplications[Cluster IKS source],$F535,TblApplications[Action],"À décommissionner",TblApplications[Mois lib (calc)],"&lt;="&amp;$E535)))))</f>
        <v/>
      </c>
      <c r="Y535" s="14" t="str">
        <f aca="false">IF($D535&lt;&gt;1,"",IF($G535="ROKS",$S535,IF($AI535=1,0,MAX($O535,$M535-SUMIFS(TblApplications[RAM IKS libérable (Go)],TblApplications[Cluster IKS source],$F535,TblApplications[Action],"À migrer",TblApplications[Mois prov (calc)],"&lt;="&amp;$E535)-SUMIFS(TblApplications[RAM IKS libérable (Go)],TblApplications[Cluster IKS source],$F535,TblApplications[Action],"À décommissionner",TblApplications[Mois lib (calc)],"&lt;="&amp;$E535)))))</f>
        <v/>
      </c>
      <c r="Z535" s="14" t="str">
        <f aca="false">IF($D535&lt;&gt;1,"",IF($AI535=1,0,MAX($J535,ROUNDUP(MAX($X535/$H535,$Y535/$I535),0))))</f>
        <v/>
      </c>
      <c r="AA535" s="84" t="str">
        <f aca="false">IF($D535&lt;&gt;1,"",IF(p_mode="Nœud",$Z535*$K535,$X535*IF($G535="IKS",p_iks_cpu,p_roks_cpu)+$Y535*IF($G535="IKS",p_iks_ram,p_roks_ram))*p_facteur)</f>
        <v/>
      </c>
      <c r="AB535" s="14" t="str">
        <f aca="false">IF($D535&lt;&gt;1,"",MAX($J535,ROUNDUP(MAX($L535/$H535,$M535/$I535),0)))</f>
        <v/>
      </c>
      <c r="AC535" s="84" t="str">
        <f aca="false">IF($D535&lt;&gt;1,"",IF(p_mode="Nœud",$AB535*$K535,$L535*IF($G535="IKS",p_iks_cpu,p_roks_cpu)+$M535*IF($G535="IKS",p_iks_ram,p_roks_ram))*p_facteur)</f>
        <v/>
      </c>
      <c r="AD535" s="14" t="str">
        <f aca="false">IF($D535&lt;&gt;1,"",IF(AND($G535="IKS",$AI535&lt;&gt;1,OR($L535-$P535&lt;$N535,$M535-$Q535&lt;$O535)),1,0))</f>
        <v/>
      </c>
      <c r="AE535" s="14" t="str">
        <f aca="false">IF($D535&lt;&gt;1,"",IF(AND($G535="ROKS",$T535&gt;p_maxworkers),1,0))</f>
        <v/>
      </c>
      <c r="AF535" s="14" t="str">
        <f aca="false">IF($D535&lt;&gt;1,"",IF(INDEX(TblClusters[Environnement],$B535)="","(vide)",INDEX(TblClusters[Environnement],$B535)))</f>
        <v/>
      </c>
      <c r="AG535" s="14" t="str">
        <f aca="false">IF($D535&lt;&gt;1,"",$R535+p_poidsram*$S535)</f>
        <v/>
      </c>
      <c r="AH535" s="14" t="str">
        <f aca="false">IF($D535&lt;&gt;1,"",IFERROR($W535/$AG535,0))</f>
        <v/>
      </c>
      <c r="AI535" s="14" t="str">
        <f aca="false">IF($D535&lt;&gt;1,"",IF(AND($G535="IKS",ISNUMBER(INDEX(TblClusters[Fermeture retenue],$B535))),IF($E535&gt;=INDEX(TblClusters[Fermeture retenue],$B535),1,0),0))</f>
        <v/>
      </c>
    </row>
    <row r="536" customFormat="false" ht="15" hidden="false" customHeight="false" outlineLevel="0" collapsed="false">
      <c r="A536" s="14" t="n">
        <v>531</v>
      </c>
      <c r="B536" s="14" t="n">
        <f aca="false">INT(($A536-1)/36)+1</f>
        <v>15</v>
      </c>
      <c r="C536" s="14" t="n">
        <f aca="false">MOD($A536-1,36)+1</f>
        <v>27</v>
      </c>
      <c r="D536" s="14" t="n">
        <f aca="false">IF($C536&gt;p_horizon,0,IFERROR(IF(AND(INDEX(TblClusters[Cluster],$B536)&lt;&gt;"",ISNUMBER(INDEX(TblClusters[CPU initial (vCPU)],$B536)),ISNUMBER(INDEX(TblClusters[CPU min (vCPU)],$B536)),OR(INDEX(TblClusters[Plateforme],$B536)="IKS",INDEX(TblClusters[Plateforme],$B536)="ROKS")),1,0),0))</f>
        <v>0</v>
      </c>
      <c r="E536" s="83" t="str">
        <f aca="false">IF($D536=1,EDATE(p_debut,$C536-1),"")</f>
        <v/>
      </c>
      <c r="F536" s="14" t="str">
        <f aca="false">IF($D536=1,INDEX(TblClusters[Cluster],$B536),"")</f>
        <v/>
      </c>
      <c r="G536" s="14" t="str">
        <f aca="false">IF($D536=1,INDEX(TblClusters[Plateforme],$B536),"")</f>
        <v/>
      </c>
      <c r="H536" s="14" t="str">
        <f aca="false">IF($D536=1,INDEX(TblClusters[vCPU par nœud],$B536),"")</f>
        <v/>
      </c>
      <c r="I536" s="14" t="str">
        <f aca="false">IF($D536=1,INDEX(TblClusters[RAM par nœud (Go)],$B536),"")</f>
        <v/>
      </c>
      <c r="J536" s="14" t="str">
        <f aca="false">IF($D536=1,INDEX(TblClusters[Workers min],$B536),"")</f>
        <v/>
      </c>
      <c r="K536" s="84" t="str">
        <f aca="false">IF($D536=1,INDEX(TblClusters[Tarif par nœud],$B536),"")</f>
        <v/>
      </c>
      <c r="L536" s="14" t="str">
        <f aca="false">IF($D536=1,INDEX(TblClusters[CPU initial (vCPU)],$B536),"")</f>
        <v/>
      </c>
      <c r="M536" s="14" t="str">
        <f aca="false">IF($D536=1,INDEX(TblClusters[RAM initiale (Go)],$B536),"")</f>
        <v/>
      </c>
      <c r="N536" s="14" t="str">
        <f aca="false">IF($D536=1,INDEX(TblClusters[CPU min (vCPU)],$B536),"")</f>
        <v/>
      </c>
      <c r="O536" s="14" t="str">
        <f aca="false">IF($D536=1,INDEX(TblClusters[RAM min (Go)],$B536),"")</f>
        <v/>
      </c>
      <c r="P536" s="14" t="str">
        <f aca="false">IF($D536&lt;&gt;1,"",IF($G536="ROKS",SUMIFS(TblApplications[Besoin ROKS CPU (vCPU)],TblApplications[Cluster ROKS cible],$F536,TblApplications[Action],"À migrer",TblApplications[Déjà incluse ROKS],"Non",TblApplications[Mois prov (calc)],"&lt;="&amp;$E536),SUMIFS(TblApplications[CPU IKS libérable (vCPU)],TblApplications[Cluster IKS source],$F536,TblApplications[Mois lib (calc)],"&lt;="&amp;$E536)))</f>
        <v/>
      </c>
      <c r="Q536" s="14" t="str">
        <f aca="false">IF($D536&lt;&gt;1,"",IF($G536="ROKS",SUMIFS(TblApplications[Besoin ROKS RAM (Go)],TblApplications[Cluster ROKS cible],$F536,TblApplications[Action],"À migrer",TblApplications[Déjà incluse ROKS],"Non",TblApplications[Mois prov (calc)],"&lt;="&amp;$E536),SUMIFS(TblApplications[RAM IKS libérable (Go)],TblApplications[Cluster IKS source],$F536,TblApplications[Mois lib (calc)],"&lt;="&amp;$E536)))</f>
        <v/>
      </c>
      <c r="R536" s="14" t="str">
        <f aca="false">IF($D536&lt;&gt;1,"",IF($G536="ROKS",$L536+$P536,IF($AI536=1,0,MAX($N536,$L536-$P536))))</f>
        <v/>
      </c>
      <c r="S536" s="14" t="str">
        <f aca="false">IF($D536&lt;&gt;1,"",IF($G536="ROKS",$M536+$Q536,IF($AI536=1,0,MAX($O536,$M536-$Q536))))</f>
        <v/>
      </c>
      <c r="T536" s="14" t="str">
        <f aca="false">IF($D536&lt;&gt;1,"",IF($AI536=1,0,MAX($J536,ROUNDUP(MAX($R536/$H536,$S536/$I536),0))))</f>
        <v/>
      </c>
      <c r="U536" s="14" t="str">
        <f aca="false">IF($D536&lt;&gt;1,"",IF(p_mode="Nœud",$T536*$H536,$R536))</f>
        <v/>
      </c>
      <c r="V536" s="14" t="str">
        <f aca="false">IF($D536&lt;&gt;1,"",IF(p_mode="Nœud",$T536*$I536,$S536))</f>
        <v/>
      </c>
      <c r="W536" s="84" t="str">
        <f aca="false">IF($D536&lt;&gt;1,"",IF(p_mode="Nœud",$T536*$K536,$R536*IF($G536="IKS",p_iks_cpu,p_roks_cpu)+$S536*IF($G536="IKS",p_iks_ram,p_roks_ram))*p_facteur)</f>
        <v/>
      </c>
      <c r="X536" s="14" t="str">
        <f aca="false">IF($D536&lt;&gt;1,"",IF($G536="ROKS",$R536,IF($AI536=1,0,MAX($N536,$L536-SUMIFS(TblApplications[CPU IKS libérable (vCPU)],TblApplications[Cluster IKS source],$F536,TblApplications[Action],"À migrer",TblApplications[Mois prov (calc)],"&lt;="&amp;$E536)-SUMIFS(TblApplications[CPU IKS libérable (vCPU)],TblApplications[Cluster IKS source],$F536,TblApplications[Action],"À décommissionner",TblApplications[Mois lib (calc)],"&lt;="&amp;$E536)))))</f>
        <v/>
      </c>
      <c r="Y536" s="14" t="str">
        <f aca="false">IF($D536&lt;&gt;1,"",IF($G536="ROKS",$S536,IF($AI536=1,0,MAX($O536,$M536-SUMIFS(TblApplications[RAM IKS libérable (Go)],TblApplications[Cluster IKS source],$F536,TblApplications[Action],"À migrer",TblApplications[Mois prov (calc)],"&lt;="&amp;$E536)-SUMIFS(TblApplications[RAM IKS libérable (Go)],TblApplications[Cluster IKS source],$F536,TblApplications[Action],"À décommissionner",TblApplications[Mois lib (calc)],"&lt;="&amp;$E536)))))</f>
        <v/>
      </c>
      <c r="Z536" s="14" t="str">
        <f aca="false">IF($D536&lt;&gt;1,"",IF($AI536=1,0,MAX($J536,ROUNDUP(MAX($X536/$H536,$Y536/$I536),0))))</f>
        <v/>
      </c>
      <c r="AA536" s="84" t="str">
        <f aca="false">IF($D536&lt;&gt;1,"",IF(p_mode="Nœud",$Z536*$K536,$X536*IF($G536="IKS",p_iks_cpu,p_roks_cpu)+$Y536*IF($G536="IKS",p_iks_ram,p_roks_ram))*p_facteur)</f>
        <v/>
      </c>
      <c r="AB536" s="14" t="str">
        <f aca="false">IF($D536&lt;&gt;1,"",MAX($J536,ROUNDUP(MAX($L536/$H536,$M536/$I536),0)))</f>
        <v/>
      </c>
      <c r="AC536" s="84" t="str">
        <f aca="false">IF($D536&lt;&gt;1,"",IF(p_mode="Nœud",$AB536*$K536,$L536*IF($G536="IKS",p_iks_cpu,p_roks_cpu)+$M536*IF($G536="IKS",p_iks_ram,p_roks_ram))*p_facteur)</f>
        <v/>
      </c>
      <c r="AD536" s="14" t="str">
        <f aca="false">IF($D536&lt;&gt;1,"",IF(AND($G536="IKS",$AI536&lt;&gt;1,OR($L536-$P536&lt;$N536,$M536-$Q536&lt;$O536)),1,0))</f>
        <v/>
      </c>
      <c r="AE536" s="14" t="str">
        <f aca="false">IF($D536&lt;&gt;1,"",IF(AND($G536="ROKS",$T536&gt;p_maxworkers),1,0))</f>
        <v/>
      </c>
      <c r="AF536" s="14" t="str">
        <f aca="false">IF($D536&lt;&gt;1,"",IF(INDEX(TblClusters[Environnement],$B536)="","(vide)",INDEX(TblClusters[Environnement],$B536)))</f>
        <v/>
      </c>
      <c r="AG536" s="14" t="str">
        <f aca="false">IF($D536&lt;&gt;1,"",$R536+p_poidsram*$S536)</f>
        <v/>
      </c>
      <c r="AH536" s="14" t="str">
        <f aca="false">IF($D536&lt;&gt;1,"",IFERROR($W536/$AG536,0))</f>
        <v/>
      </c>
      <c r="AI536" s="14" t="str">
        <f aca="false">IF($D536&lt;&gt;1,"",IF(AND($G536="IKS",ISNUMBER(INDEX(TblClusters[Fermeture retenue],$B536))),IF($E536&gt;=INDEX(TblClusters[Fermeture retenue],$B536),1,0),0))</f>
        <v/>
      </c>
    </row>
    <row r="537" customFormat="false" ht="15" hidden="false" customHeight="false" outlineLevel="0" collapsed="false">
      <c r="A537" s="14" t="n">
        <v>532</v>
      </c>
      <c r="B537" s="14" t="n">
        <f aca="false">INT(($A537-1)/36)+1</f>
        <v>15</v>
      </c>
      <c r="C537" s="14" t="n">
        <f aca="false">MOD($A537-1,36)+1</f>
        <v>28</v>
      </c>
      <c r="D537" s="14" t="n">
        <f aca="false">IF($C537&gt;p_horizon,0,IFERROR(IF(AND(INDEX(TblClusters[Cluster],$B537)&lt;&gt;"",ISNUMBER(INDEX(TblClusters[CPU initial (vCPU)],$B537)),ISNUMBER(INDEX(TblClusters[CPU min (vCPU)],$B537)),OR(INDEX(TblClusters[Plateforme],$B537)="IKS",INDEX(TblClusters[Plateforme],$B537)="ROKS")),1,0),0))</f>
        <v>0</v>
      </c>
      <c r="E537" s="83" t="str">
        <f aca="false">IF($D537=1,EDATE(p_debut,$C537-1),"")</f>
        <v/>
      </c>
      <c r="F537" s="14" t="str">
        <f aca="false">IF($D537=1,INDEX(TblClusters[Cluster],$B537),"")</f>
        <v/>
      </c>
      <c r="G537" s="14" t="str">
        <f aca="false">IF($D537=1,INDEX(TblClusters[Plateforme],$B537),"")</f>
        <v/>
      </c>
      <c r="H537" s="14" t="str">
        <f aca="false">IF($D537=1,INDEX(TblClusters[vCPU par nœud],$B537),"")</f>
        <v/>
      </c>
      <c r="I537" s="14" t="str">
        <f aca="false">IF($D537=1,INDEX(TblClusters[RAM par nœud (Go)],$B537),"")</f>
        <v/>
      </c>
      <c r="J537" s="14" t="str">
        <f aca="false">IF($D537=1,INDEX(TblClusters[Workers min],$B537),"")</f>
        <v/>
      </c>
      <c r="K537" s="84" t="str">
        <f aca="false">IF($D537=1,INDEX(TblClusters[Tarif par nœud],$B537),"")</f>
        <v/>
      </c>
      <c r="L537" s="14" t="str">
        <f aca="false">IF($D537=1,INDEX(TblClusters[CPU initial (vCPU)],$B537),"")</f>
        <v/>
      </c>
      <c r="M537" s="14" t="str">
        <f aca="false">IF($D537=1,INDEX(TblClusters[RAM initiale (Go)],$B537),"")</f>
        <v/>
      </c>
      <c r="N537" s="14" t="str">
        <f aca="false">IF($D537=1,INDEX(TblClusters[CPU min (vCPU)],$B537),"")</f>
        <v/>
      </c>
      <c r="O537" s="14" t="str">
        <f aca="false">IF($D537=1,INDEX(TblClusters[RAM min (Go)],$B537),"")</f>
        <v/>
      </c>
      <c r="P537" s="14" t="str">
        <f aca="false">IF($D537&lt;&gt;1,"",IF($G537="ROKS",SUMIFS(TblApplications[Besoin ROKS CPU (vCPU)],TblApplications[Cluster ROKS cible],$F537,TblApplications[Action],"À migrer",TblApplications[Déjà incluse ROKS],"Non",TblApplications[Mois prov (calc)],"&lt;="&amp;$E537),SUMIFS(TblApplications[CPU IKS libérable (vCPU)],TblApplications[Cluster IKS source],$F537,TblApplications[Mois lib (calc)],"&lt;="&amp;$E537)))</f>
        <v/>
      </c>
      <c r="Q537" s="14" t="str">
        <f aca="false">IF($D537&lt;&gt;1,"",IF($G537="ROKS",SUMIFS(TblApplications[Besoin ROKS RAM (Go)],TblApplications[Cluster ROKS cible],$F537,TblApplications[Action],"À migrer",TblApplications[Déjà incluse ROKS],"Non",TblApplications[Mois prov (calc)],"&lt;="&amp;$E537),SUMIFS(TblApplications[RAM IKS libérable (Go)],TblApplications[Cluster IKS source],$F537,TblApplications[Mois lib (calc)],"&lt;="&amp;$E537)))</f>
        <v/>
      </c>
      <c r="R537" s="14" t="str">
        <f aca="false">IF($D537&lt;&gt;1,"",IF($G537="ROKS",$L537+$P537,IF($AI537=1,0,MAX($N537,$L537-$P537))))</f>
        <v/>
      </c>
      <c r="S537" s="14" t="str">
        <f aca="false">IF($D537&lt;&gt;1,"",IF($G537="ROKS",$M537+$Q537,IF($AI537=1,0,MAX($O537,$M537-$Q537))))</f>
        <v/>
      </c>
      <c r="T537" s="14" t="str">
        <f aca="false">IF($D537&lt;&gt;1,"",IF($AI537=1,0,MAX($J537,ROUNDUP(MAX($R537/$H537,$S537/$I537),0))))</f>
        <v/>
      </c>
      <c r="U537" s="14" t="str">
        <f aca="false">IF($D537&lt;&gt;1,"",IF(p_mode="Nœud",$T537*$H537,$R537))</f>
        <v/>
      </c>
      <c r="V537" s="14" t="str">
        <f aca="false">IF($D537&lt;&gt;1,"",IF(p_mode="Nœud",$T537*$I537,$S537))</f>
        <v/>
      </c>
      <c r="W537" s="84" t="str">
        <f aca="false">IF($D537&lt;&gt;1,"",IF(p_mode="Nœud",$T537*$K537,$R537*IF($G537="IKS",p_iks_cpu,p_roks_cpu)+$S537*IF($G537="IKS",p_iks_ram,p_roks_ram))*p_facteur)</f>
        <v/>
      </c>
      <c r="X537" s="14" t="str">
        <f aca="false">IF($D537&lt;&gt;1,"",IF($G537="ROKS",$R537,IF($AI537=1,0,MAX($N537,$L537-SUMIFS(TblApplications[CPU IKS libérable (vCPU)],TblApplications[Cluster IKS source],$F537,TblApplications[Action],"À migrer",TblApplications[Mois prov (calc)],"&lt;="&amp;$E537)-SUMIFS(TblApplications[CPU IKS libérable (vCPU)],TblApplications[Cluster IKS source],$F537,TblApplications[Action],"À décommissionner",TblApplications[Mois lib (calc)],"&lt;="&amp;$E537)))))</f>
        <v/>
      </c>
      <c r="Y537" s="14" t="str">
        <f aca="false">IF($D537&lt;&gt;1,"",IF($G537="ROKS",$S537,IF($AI537=1,0,MAX($O537,$M537-SUMIFS(TblApplications[RAM IKS libérable (Go)],TblApplications[Cluster IKS source],$F537,TblApplications[Action],"À migrer",TblApplications[Mois prov (calc)],"&lt;="&amp;$E537)-SUMIFS(TblApplications[RAM IKS libérable (Go)],TblApplications[Cluster IKS source],$F537,TblApplications[Action],"À décommissionner",TblApplications[Mois lib (calc)],"&lt;="&amp;$E537)))))</f>
        <v/>
      </c>
      <c r="Z537" s="14" t="str">
        <f aca="false">IF($D537&lt;&gt;1,"",IF($AI537=1,0,MAX($J537,ROUNDUP(MAX($X537/$H537,$Y537/$I537),0))))</f>
        <v/>
      </c>
      <c r="AA537" s="84" t="str">
        <f aca="false">IF($D537&lt;&gt;1,"",IF(p_mode="Nœud",$Z537*$K537,$X537*IF($G537="IKS",p_iks_cpu,p_roks_cpu)+$Y537*IF($G537="IKS",p_iks_ram,p_roks_ram))*p_facteur)</f>
        <v/>
      </c>
      <c r="AB537" s="14" t="str">
        <f aca="false">IF($D537&lt;&gt;1,"",MAX($J537,ROUNDUP(MAX($L537/$H537,$M537/$I537),0)))</f>
        <v/>
      </c>
      <c r="AC537" s="84" t="str">
        <f aca="false">IF($D537&lt;&gt;1,"",IF(p_mode="Nœud",$AB537*$K537,$L537*IF($G537="IKS",p_iks_cpu,p_roks_cpu)+$M537*IF($G537="IKS",p_iks_ram,p_roks_ram))*p_facteur)</f>
        <v/>
      </c>
      <c r="AD537" s="14" t="str">
        <f aca="false">IF($D537&lt;&gt;1,"",IF(AND($G537="IKS",$AI537&lt;&gt;1,OR($L537-$P537&lt;$N537,$M537-$Q537&lt;$O537)),1,0))</f>
        <v/>
      </c>
      <c r="AE537" s="14" t="str">
        <f aca="false">IF($D537&lt;&gt;1,"",IF(AND($G537="ROKS",$T537&gt;p_maxworkers),1,0))</f>
        <v/>
      </c>
      <c r="AF537" s="14" t="str">
        <f aca="false">IF($D537&lt;&gt;1,"",IF(INDEX(TblClusters[Environnement],$B537)="","(vide)",INDEX(TblClusters[Environnement],$B537)))</f>
        <v/>
      </c>
      <c r="AG537" s="14" t="str">
        <f aca="false">IF($D537&lt;&gt;1,"",$R537+p_poidsram*$S537)</f>
        <v/>
      </c>
      <c r="AH537" s="14" t="str">
        <f aca="false">IF($D537&lt;&gt;1,"",IFERROR($W537/$AG537,0))</f>
        <v/>
      </c>
      <c r="AI537" s="14" t="str">
        <f aca="false">IF($D537&lt;&gt;1,"",IF(AND($G537="IKS",ISNUMBER(INDEX(TblClusters[Fermeture retenue],$B537))),IF($E537&gt;=INDEX(TblClusters[Fermeture retenue],$B537),1,0),0))</f>
        <v/>
      </c>
    </row>
    <row r="538" customFormat="false" ht="15" hidden="false" customHeight="false" outlineLevel="0" collapsed="false">
      <c r="A538" s="14" t="n">
        <v>533</v>
      </c>
      <c r="B538" s="14" t="n">
        <f aca="false">INT(($A538-1)/36)+1</f>
        <v>15</v>
      </c>
      <c r="C538" s="14" t="n">
        <f aca="false">MOD($A538-1,36)+1</f>
        <v>29</v>
      </c>
      <c r="D538" s="14" t="n">
        <f aca="false">IF($C538&gt;p_horizon,0,IFERROR(IF(AND(INDEX(TblClusters[Cluster],$B538)&lt;&gt;"",ISNUMBER(INDEX(TblClusters[CPU initial (vCPU)],$B538)),ISNUMBER(INDEX(TblClusters[CPU min (vCPU)],$B538)),OR(INDEX(TblClusters[Plateforme],$B538)="IKS",INDEX(TblClusters[Plateforme],$B538)="ROKS")),1,0),0))</f>
        <v>0</v>
      </c>
      <c r="E538" s="83" t="str">
        <f aca="false">IF($D538=1,EDATE(p_debut,$C538-1),"")</f>
        <v/>
      </c>
      <c r="F538" s="14" t="str">
        <f aca="false">IF($D538=1,INDEX(TblClusters[Cluster],$B538),"")</f>
        <v/>
      </c>
      <c r="G538" s="14" t="str">
        <f aca="false">IF($D538=1,INDEX(TblClusters[Plateforme],$B538),"")</f>
        <v/>
      </c>
      <c r="H538" s="14" t="str">
        <f aca="false">IF($D538=1,INDEX(TblClusters[vCPU par nœud],$B538),"")</f>
        <v/>
      </c>
      <c r="I538" s="14" t="str">
        <f aca="false">IF($D538=1,INDEX(TblClusters[RAM par nœud (Go)],$B538),"")</f>
        <v/>
      </c>
      <c r="J538" s="14" t="str">
        <f aca="false">IF($D538=1,INDEX(TblClusters[Workers min],$B538),"")</f>
        <v/>
      </c>
      <c r="K538" s="84" t="str">
        <f aca="false">IF($D538=1,INDEX(TblClusters[Tarif par nœud],$B538),"")</f>
        <v/>
      </c>
      <c r="L538" s="14" t="str">
        <f aca="false">IF($D538=1,INDEX(TblClusters[CPU initial (vCPU)],$B538),"")</f>
        <v/>
      </c>
      <c r="M538" s="14" t="str">
        <f aca="false">IF($D538=1,INDEX(TblClusters[RAM initiale (Go)],$B538),"")</f>
        <v/>
      </c>
      <c r="N538" s="14" t="str">
        <f aca="false">IF($D538=1,INDEX(TblClusters[CPU min (vCPU)],$B538),"")</f>
        <v/>
      </c>
      <c r="O538" s="14" t="str">
        <f aca="false">IF($D538=1,INDEX(TblClusters[RAM min (Go)],$B538),"")</f>
        <v/>
      </c>
      <c r="P538" s="14" t="str">
        <f aca="false">IF($D538&lt;&gt;1,"",IF($G538="ROKS",SUMIFS(TblApplications[Besoin ROKS CPU (vCPU)],TblApplications[Cluster ROKS cible],$F538,TblApplications[Action],"À migrer",TblApplications[Déjà incluse ROKS],"Non",TblApplications[Mois prov (calc)],"&lt;="&amp;$E538),SUMIFS(TblApplications[CPU IKS libérable (vCPU)],TblApplications[Cluster IKS source],$F538,TblApplications[Mois lib (calc)],"&lt;="&amp;$E538)))</f>
        <v/>
      </c>
      <c r="Q538" s="14" t="str">
        <f aca="false">IF($D538&lt;&gt;1,"",IF($G538="ROKS",SUMIFS(TblApplications[Besoin ROKS RAM (Go)],TblApplications[Cluster ROKS cible],$F538,TblApplications[Action],"À migrer",TblApplications[Déjà incluse ROKS],"Non",TblApplications[Mois prov (calc)],"&lt;="&amp;$E538),SUMIFS(TblApplications[RAM IKS libérable (Go)],TblApplications[Cluster IKS source],$F538,TblApplications[Mois lib (calc)],"&lt;="&amp;$E538)))</f>
        <v/>
      </c>
      <c r="R538" s="14" t="str">
        <f aca="false">IF($D538&lt;&gt;1,"",IF($G538="ROKS",$L538+$P538,IF($AI538=1,0,MAX($N538,$L538-$P538))))</f>
        <v/>
      </c>
      <c r="S538" s="14" t="str">
        <f aca="false">IF($D538&lt;&gt;1,"",IF($G538="ROKS",$M538+$Q538,IF($AI538=1,0,MAX($O538,$M538-$Q538))))</f>
        <v/>
      </c>
      <c r="T538" s="14" t="str">
        <f aca="false">IF($D538&lt;&gt;1,"",IF($AI538=1,0,MAX($J538,ROUNDUP(MAX($R538/$H538,$S538/$I538),0))))</f>
        <v/>
      </c>
      <c r="U538" s="14" t="str">
        <f aca="false">IF($D538&lt;&gt;1,"",IF(p_mode="Nœud",$T538*$H538,$R538))</f>
        <v/>
      </c>
      <c r="V538" s="14" t="str">
        <f aca="false">IF($D538&lt;&gt;1,"",IF(p_mode="Nœud",$T538*$I538,$S538))</f>
        <v/>
      </c>
      <c r="W538" s="84" t="str">
        <f aca="false">IF($D538&lt;&gt;1,"",IF(p_mode="Nœud",$T538*$K538,$R538*IF($G538="IKS",p_iks_cpu,p_roks_cpu)+$S538*IF($G538="IKS",p_iks_ram,p_roks_ram))*p_facteur)</f>
        <v/>
      </c>
      <c r="X538" s="14" t="str">
        <f aca="false">IF($D538&lt;&gt;1,"",IF($G538="ROKS",$R538,IF($AI538=1,0,MAX($N538,$L538-SUMIFS(TblApplications[CPU IKS libérable (vCPU)],TblApplications[Cluster IKS source],$F538,TblApplications[Action],"À migrer",TblApplications[Mois prov (calc)],"&lt;="&amp;$E538)-SUMIFS(TblApplications[CPU IKS libérable (vCPU)],TblApplications[Cluster IKS source],$F538,TblApplications[Action],"À décommissionner",TblApplications[Mois lib (calc)],"&lt;="&amp;$E538)))))</f>
        <v/>
      </c>
      <c r="Y538" s="14" t="str">
        <f aca="false">IF($D538&lt;&gt;1,"",IF($G538="ROKS",$S538,IF($AI538=1,0,MAX($O538,$M538-SUMIFS(TblApplications[RAM IKS libérable (Go)],TblApplications[Cluster IKS source],$F538,TblApplications[Action],"À migrer",TblApplications[Mois prov (calc)],"&lt;="&amp;$E538)-SUMIFS(TblApplications[RAM IKS libérable (Go)],TblApplications[Cluster IKS source],$F538,TblApplications[Action],"À décommissionner",TblApplications[Mois lib (calc)],"&lt;="&amp;$E538)))))</f>
        <v/>
      </c>
      <c r="Z538" s="14" t="str">
        <f aca="false">IF($D538&lt;&gt;1,"",IF($AI538=1,0,MAX($J538,ROUNDUP(MAX($X538/$H538,$Y538/$I538),0))))</f>
        <v/>
      </c>
      <c r="AA538" s="84" t="str">
        <f aca="false">IF($D538&lt;&gt;1,"",IF(p_mode="Nœud",$Z538*$K538,$X538*IF($G538="IKS",p_iks_cpu,p_roks_cpu)+$Y538*IF($G538="IKS",p_iks_ram,p_roks_ram))*p_facteur)</f>
        <v/>
      </c>
      <c r="AB538" s="14" t="str">
        <f aca="false">IF($D538&lt;&gt;1,"",MAX($J538,ROUNDUP(MAX($L538/$H538,$M538/$I538),0)))</f>
        <v/>
      </c>
      <c r="AC538" s="84" t="str">
        <f aca="false">IF($D538&lt;&gt;1,"",IF(p_mode="Nœud",$AB538*$K538,$L538*IF($G538="IKS",p_iks_cpu,p_roks_cpu)+$M538*IF($G538="IKS",p_iks_ram,p_roks_ram))*p_facteur)</f>
        <v/>
      </c>
      <c r="AD538" s="14" t="str">
        <f aca="false">IF($D538&lt;&gt;1,"",IF(AND($G538="IKS",$AI538&lt;&gt;1,OR($L538-$P538&lt;$N538,$M538-$Q538&lt;$O538)),1,0))</f>
        <v/>
      </c>
      <c r="AE538" s="14" t="str">
        <f aca="false">IF($D538&lt;&gt;1,"",IF(AND($G538="ROKS",$T538&gt;p_maxworkers),1,0))</f>
        <v/>
      </c>
      <c r="AF538" s="14" t="str">
        <f aca="false">IF($D538&lt;&gt;1,"",IF(INDEX(TblClusters[Environnement],$B538)="","(vide)",INDEX(TblClusters[Environnement],$B538)))</f>
        <v/>
      </c>
      <c r="AG538" s="14" t="str">
        <f aca="false">IF($D538&lt;&gt;1,"",$R538+p_poidsram*$S538)</f>
        <v/>
      </c>
      <c r="AH538" s="14" t="str">
        <f aca="false">IF($D538&lt;&gt;1,"",IFERROR($W538/$AG538,0))</f>
        <v/>
      </c>
      <c r="AI538" s="14" t="str">
        <f aca="false">IF($D538&lt;&gt;1,"",IF(AND($G538="IKS",ISNUMBER(INDEX(TblClusters[Fermeture retenue],$B538))),IF($E538&gt;=INDEX(TblClusters[Fermeture retenue],$B538),1,0),0))</f>
        <v/>
      </c>
    </row>
    <row r="539" customFormat="false" ht="15" hidden="false" customHeight="false" outlineLevel="0" collapsed="false">
      <c r="A539" s="14" t="n">
        <v>534</v>
      </c>
      <c r="B539" s="14" t="n">
        <f aca="false">INT(($A539-1)/36)+1</f>
        <v>15</v>
      </c>
      <c r="C539" s="14" t="n">
        <f aca="false">MOD($A539-1,36)+1</f>
        <v>30</v>
      </c>
      <c r="D539" s="14" t="n">
        <f aca="false">IF($C539&gt;p_horizon,0,IFERROR(IF(AND(INDEX(TblClusters[Cluster],$B539)&lt;&gt;"",ISNUMBER(INDEX(TblClusters[CPU initial (vCPU)],$B539)),ISNUMBER(INDEX(TblClusters[CPU min (vCPU)],$B539)),OR(INDEX(TblClusters[Plateforme],$B539)="IKS",INDEX(TblClusters[Plateforme],$B539)="ROKS")),1,0),0))</f>
        <v>0</v>
      </c>
      <c r="E539" s="83" t="str">
        <f aca="false">IF($D539=1,EDATE(p_debut,$C539-1),"")</f>
        <v/>
      </c>
      <c r="F539" s="14" t="str">
        <f aca="false">IF($D539=1,INDEX(TblClusters[Cluster],$B539),"")</f>
        <v/>
      </c>
      <c r="G539" s="14" t="str">
        <f aca="false">IF($D539=1,INDEX(TblClusters[Plateforme],$B539),"")</f>
        <v/>
      </c>
      <c r="H539" s="14" t="str">
        <f aca="false">IF($D539=1,INDEX(TblClusters[vCPU par nœud],$B539),"")</f>
        <v/>
      </c>
      <c r="I539" s="14" t="str">
        <f aca="false">IF($D539=1,INDEX(TblClusters[RAM par nœud (Go)],$B539),"")</f>
        <v/>
      </c>
      <c r="J539" s="14" t="str">
        <f aca="false">IF($D539=1,INDEX(TblClusters[Workers min],$B539),"")</f>
        <v/>
      </c>
      <c r="K539" s="84" t="str">
        <f aca="false">IF($D539=1,INDEX(TblClusters[Tarif par nœud],$B539),"")</f>
        <v/>
      </c>
      <c r="L539" s="14" t="str">
        <f aca="false">IF($D539=1,INDEX(TblClusters[CPU initial (vCPU)],$B539),"")</f>
        <v/>
      </c>
      <c r="M539" s="14" t="str">
        <f aca="false">IF($D539=1,INDEX(TblClusters[RAM initiale (Go)],$B539),"")</f>
        <v/>
      </c>
      <c r="N539" s="14" t="str">
        <f aca="false">IF($D539=1,INDEX(TblClusters[CPU min (vCPU)],$B539),"")</f>
        <v/>
      </c>
      <c r="O539" s="14" t="str">
        <f aca="false">IF($D539=1,INDEX(TblClusters[RAM min (Go)],$B539),"")</f>
        <v/>
      </c>
      <c r="P539" s="14" t="str">
        <f aca="false">IF($D539&lt;&gt;1,"",IF($G539="ROKS",SUMIFS(TblApplications[Besoin ROKS CPU (vCPU)],TblApplications[Cluster ROKS cible],$F539,TblApplications[Action],"À migrer",TblApplications[Déjà incluse ROKS],"Non",TblApplications[Mois prov (calc)],"&lt;="&amp;$E539),SUMIFS(TblApplications[CPU IKS libérable (vCPU)],TblApplications[Cluster IKS source],$F539,TblApplications[Mois lib (calc)],"&lt;="&amp;$E539)))</f>
        <v/>
      </c>
      <c r="Q539" s="14" t="str">
        <f aca="false">IF($D539&lt;&gt;1,"",IF($G539="ROKS",SUMIFS(TblApplications[Besoin ROKS RAM (Go)],TblApplications[Cluster ROKS cible],$F539,TblApplications[Action],"À migrer",TblApplications[Déjà incluse ROKS],"Non",TblApplications[Mois prov (calc)],"&lt;="&amp;$E539),SUMIFS(TblApplications[RAM IKS libérable (Go)],TblApplications[Cluster IKS source],$F539,TblApplications[Mois lib (calc)],"&lt;="&amp;$E539)))</f>
        <v/>
      </c>
      <c r="R539" s="14" t="str">
        <f aca="false">IF($D539&lt;&gt;1,"",IF($G539="ROKS",$L539+$P539,IF($AI539=1,0,MAX($N539,$L539-$P539))))</f>
        <v/>
      </c>
      <c r="S539" s="14" t="str">
        <f aca="false">IF($D539&lt;&gt;1,"",IF($G539="ROKS",$M539+$Q539,IF($AI539=1,0,MAX($O539,$M539-$Q539))))</f>
        <v/>
      </c>
      <c r="T539" s="14" t="str">
        <f aca="false">IF($D539&lt;&gt;1,"",IF($AI539=1,0,MAX($J539,ROUNDUP(MAX($R539/$H539,$S539/$I539),0))))</f>
        <v/>
      </c>
      <c r="U539" s="14" t="str">
        <f aca="false">IF($D539&lt;&gt;1,"",IF(p_mode="Nœud",$T539*$H539,$R539))</f>
        <v/>
      </c>
      <c r="V539" s="14" t="str">
        <f aca="false">IF($D539&lt;&gt;1,"",IF(p_mode="Nœud",$T539*$I539,$S539))</f>
        <v/>
      </c>
      <c r="W539" s="84" t="str">
        <f aca="false">IF($D539&lt;&gt;1,"",IF(p_mode="Nœud",$T539*$K539,$R539*IF($G539="IKS",p_iks_cpu,p_roks_cpu)+$S539*IF($G539="IKS",p_iks_ram,p_roks_ram))*p_facteur)</f>
        <v/>
      </c>
      <c r="X539" s="14" t="str">
        <f aca="false">IF($D539&lt;&gt;1,"",IF($G539="ROKS",$R539,IF($AI539=1,0,MAX($N539,$L539-SUMIFS(TblApplications[CPU IKS libérable (vCPU)],TblApplications[Cluster IKS source],$F539,TblApplications[Action],"À migrer",TblApplications[Mois prov (calc)],"&lt;="&amp;$E539)-SUMIFS(TblApplications[CPU IKS libérable (vCPU)],TblApplications[Cluster IKS source],$F539,TblApplications[Action],"À décommissionner",TblApplications[Mois lib (calc)],"&lt;="&amp;$E539)))))</f>
        <v/>
      </c>
      <c r="Y539" s="14" t="str">
        <f aca="false">IF($D539&lt;&gt;1,"",IF($G539="ROKS",$S539,IF($AI539=1,0,MAX($O539,$M539-SUMIFS(TblApplications[RAM IKS libérable (Go)],TblApplications[Cluster IKS source],$F539,TblApplications[Action],"À migrer",TblApplications[Mois prov (calc)],"&lt;="&amp;$E539)-SUMIFS(TblApplications[RAM IKS libérable (Go)],TblApplications[Cluster IKS source],$F539,TblApplications[Action],"À décommissionner",TblApplications[Mois lib (calc)],"&lt;="&amp;$E539)))))</f>
        <v/>
      </c>
      <c r="Z539" s="14" t="str">
        <f aca="false">IF($D539&lt;&gt;1,"",IF($AI539=1,0,MAX($J539,ROUNDUP(MAX($X539/$H539,$Y539/$I539),0))))</f>
        <v/>
      </c>
      <c r="AA539" s="84" t="str">
        <f aca="false">IF($D539&lt;&gt;1,"",IF(p_mode="Nœud",$Z539*$K539,$X539*IF($G539="IKS",p_iks_cpu,p_roks_cpu)+$Y539*IF($G539="IKS",p_iks_ram,p_roks_ram))*p_facteur)</f>
        <v/>
      </c>
      <c r="AB539" s="14" t="str">
        <f aca="false">IF($D539&lt;&gt;1,"",MAX($J539,ROUNDUP(MAX($L539/$H539,$M539/$I539),0)))</f>
        <v/>
      </c>
      <c r="AC539" s="84" t="str">
        <f aca="false">IF($D539&lt;&gt;1,"",IF(p_mode="Nœud",$AB539*$K539,$L539*IF($G539="IKS",p_iks_cpu,p_roks_cpu)+$M539*IF($G539="IKS",p_iks_ram,p_roks_ram))*p_facteur)</f>
        <v/>
      </c>
      <c r="AD539" s="14" t="str">
        <f aca="false">IF($D539&lt;&gt;1,"",IF(AND($G539="IKS",$AI539&lt;&gt;1,OR($L539-$P539&lt;$N539,$M539-$Q539&lt;$O539)),1,0))</f>
        <v/>
      </c>
      <c r="AE539" s="14" t="str">
        <f aca="false">IF($D539&lt;&gt;1,"",IF(AND($G539="ROKS",$T539&gt;p_maxworkers),1,0))</f>
        <v/>
      </c>
      <c r="AF539" s="14" t="str">
        <f aca="false">IF($D539&lt;&gt;1,"",IF(INDEX(TblClusters[Environnement],$B539)="","(vide)",INDEX(TblClusters[Environnement],$B539)))</f>
        <v/>
      </c>
      <c r="AG539" s="14" t="str">
        <f aca="false">IF($D539&lt;&gt;1,"",$R539+p_poidsram*$S539)</f>
        <v/>
      </c>
      <c r="AH539" s="14" t="str">
        <f aca="false">IF($D539&lt;&gt;1,"",IFERROR($W539/$AG539,0))</f>
        <v/>
      </c>
      <c r="AI539" s="14" t="str">
        <f aca="false">IF($D539&lt;&gt;1,"",IF(AND($G539="IKS",ISNUMBER(INDEX(TblClusters[Fermeture retenue],$B539))),IF($E539&gt;=INDEX(TblClusters[Fermeture retenue],$B539),1,0),0))</f>
        <v/>
      </c>
    </row>
    <row r="540" customFormat="false" ht="15" hidden="false" customHeight="false" outlineLevel="0" collapsed="false">
      <c r="A540" s="14" t="n">
        <v>535</v>
      </c>
      <c r="B540" s="14" t="n">
        <f aca="false">INT(($A540-1)/36)+1</f>
        <v>15</v>
      </c>
      <c r="C540" s="14" t="n">
        <f aca="false">MOD($A540-1,36)+1</f>
        <v>31</v>
      </c>
      <c r="D540" s="14" t="n">
        <f aca="false">IF($C540&gt;p_horizon,0,IFERROR(IF(AND(INDEX(TblClusters[Cluster],$B540)&lt;&gt;"",ISNUMBER(INDEX(TblClusters[CPU initial (vCPU)],$B540)),ISNUMBER(INDEX(TblClusters[CPU min (vCPU)],$B540)),OR(INDEX(TblClusters[Plateforme],$B540)="IKS",INDEX(TblClusters[Plateforme],$B540)="ROKS")),1,0),0))</f>
        <v>0</v>
      </c>
      <c r="E540" s="83" t="str">
        <f aca="false">IF($D540=1,EDATE(p_debut,$C540-1),"")</f>
        <v/>
      </c>
      <c r="F540" s="14" t="str">
        <f aca="false">IF($D540=1,INDEX(TblClusters[Cluster],$B540),"")</f>
        <v/>
      </c>
      <c r="G540" s="14" t="str">
        <f aca="false">IF($D540=1,INDEX(TblClusters[Plateforme],$B540),"")</f>
        <v/>
      </c>
      <c r="H540" s="14" t="str">
        <f aca="false">IF($D540=1,INDEX(TblClusters[vCPU par nœud],$B540),"")</f>
        <v/>
      </c>
      <c r="I540" s="14" t="str">
        <f aca="false">IF($D540=1,INDEX(TblClusters[RAM par nœud (Go)],$B540),"")</f>
        <v/>
      </c>
      <c r="J540" s="14" t="str">
        <f aca="false">IF($D540=1,INDEX(TblClusters[Workers min],$B540),"")</f>
        <v/>
      </c>
      <c r="K540" s="84" t="str">
        <f aca="false">IF($D540=1,INDEX(TblClusters[Tarif par nœud],$B540),"")</f>
        <v/>
      </c>
      <c r="L540" s="14" t="str">
        <f aca="false">IF($D540=1,INDEX(TblClusters[CPU initial (vCPU)],$B540),"")</f>
        <v/>
      </c>
      <c r="M540" s="14" t="str">
        <f aca="false">IF($D540=1,INDEX(TblClusters[RAM initiale (Go)],$B540),"")</f>
        <v/>
      </c>
      <c r="N540" s="14" t="str">
        <f aca="false">IF($D540=1,INDEX(TblClusters[CPU min (vCPU)],$B540),"")</f>
        <v/>
      </c>
      <c r="O540" s="14" t="str">
        <f aca="false">IF($D540=1,INDEX(TblClusters[RAM min (Go)],$B540),"")</f>
        <v/>
      </c>
      <c r="P540" s="14" t="str">
        <f aca="false">IF($D540&lt;&gt;1,"",IF($G540="ROKS",SUMIFS(TblApplications[Besoin ROKS CPU (vCPU)],TblApplications[Cluster ROKS cible],$F540,TblApplications[Action],"À migrer",TblApplications[Déjà incluse ROKS],"Non",TblApplications[Mois prov (calc)],"&lt;="&amp;$E540),SUMIFS(TblApplications[CPU IKS libérable (vCPU)],TblApplications[Cluster IKS source],$F540,TblApplications[Mois lib (calc)],"&lt;="&amp;$E540)))</f>
        <v/>
      </c>
      <c r="Q540" s="14" t="str">
        <f aca="false">IF($D540&lt;&gt;1,"",IF($G540="ROKS",SUMIFS(TblApplications[Besoin ROKS RAM (Go)],TblApplications[Cluster ROKS cible],$F540,TblApplications[Action],"À migrer",TblApplications[Déjà incluse ROKS],"Non",TblApplications[Mois prov (calc)],"&lt;="&amp;$E540),SUMIFS(TblApplications[RAM IKS libérable (Go)],TblApplications[Cluster IKS source],$F540,TblApplications[Mois lib (calc)],"&lt;="&amp;$E540)))</f>
        <v/>
      </c>
      <c r="R540" s="14" t="str">
        <f aca="false">IF($D540&lt;&gt;1,"",IF($G540="ROKS",$L540+$P540,IF($AI540=1,0,MAX($N540,$L540-$P540))))</f>
        <v/>
      </c>
      <c r="S540" s="14" t="str">
        <f aca="false">IF($D540&lt;&gt;1,"",IF($G540="ROKS",$M540+$Q540,IF($AI540=1,0,MAX($O540,$M540-$Q540))))</f>
        <v/>
      </c>
      <c r="T540" s="14" t="str">
        <f aca="false">IF($D540&lt;&gt;1,"",IF($AI540=1,0,MAX($J540,ROUNDUP(MAX($R540/$H540,$S540/$I540),0))))</f>
        <v/>
      </c>
      <c r="U540" s="14" t="str">
        <f aca="false">IF($D540&lt;&gt;1,"",IF(p_mode="Nœud",$T540*$H540,$R540))</f>
        <v/>
      </c>
      <c r="V540" s="14" t="str">
        <f aca="false">IF($D540&lt;&gt;1,"",IF(p_mode="Nœud",$T540*$I540,$S540))</f>
        <v/>
      </c>
      <c r="W540" s="84" t="str">
        <f aca="false">IF($D540&lt;&gt;1,"",IF(p_mode="Nœud",$T540*$K540,$R540*IF($G540="IKS",p_iks_cpu,p_roks_cpu)+$S540*IF($G540="IKS",p_iks_ram,p_roks_ram))*p_facteur)</f>
        <v/>
      </c>
      <c r="X540" s="14" t="str">
        <f aca="false">IF($D540&lt;&gt;1,"",IF($G540="ROKS",$R540,IF($AI540=1,0,MAX($N540,$L540-SUMIFS(TblApplications[CPU IKS libérable (vCPU)],TblApplications[Cluster IKS source],$F540,TblApplications[Action],"À migrer",TblApplications[Mois prov (calc)],"&lt;="&amp;$E540)-SUMIFS(TblApplications[CPU IKS libérable (vCPU)],TblApplications[Cluster IKS source],$F540,TblApplications[Action],"À décommissionner",TblApplications[Mois lib (calc)],"&lt;="&amp;$E540)))))</f>
        <v/>
      </c>
      <c r="Y540" s="14" t="str">
        <f aca="false">IF($D540&lt;&gt;1,"",IF($G540="ROKS",$S540,IF($AI540=1,0,MAX($O540,$M540-SUMIFS(TblApplications[RAM IKS libérable (Go)],TblApplications[Cluster IKS source],$F540,TblApplications[Action],"À migrer",TblApplications[Mois prov (calc)],"&lt;="&amp;$E540)-SUMIFS(TblApplications[RAM IKS libérable (Go)],TblApplications[Cluster IKS source],$F540,TblApplications[Action],"À décommissionner",TblApplications[Mois lib (calc)],"&lt;="&amp;$E540)))))</f>
        <v/>
      </c>
      <c r="Z540" s="14" t="str">
        <f aca="false">IF($D540&lt;&gt;1,"",IF($AI540=1,0,MAX($J540,ROUNDUP(MAX($X540/$H540,$Y540/$I540),0))))</f>
        <v/>
      </c>
      <c r="AA540" s="84" t="str">
        <f aca="false">IF($D540&lt;&gt;1,"",IF(p_mode="Nœud",$Z540*$K540,$X540*IF($G540="IKS",p_iks_cpu,p_roks_cpu)+$Y540*IF($G540="IKS",p_iks_ram,p_roks_ram))*p_facteur)</f>
        <v/>
      </c>
      <c r="AB540" s="14" t="str">
        <f aca="false">IF($D540&lt;&gt;1,"",MAX($J540,ROUNDUP(MAX($L540/$H540,$M540/$I540),0)))</f>
        <v/>
      </c>
      <c r="AC540" s="84" t="str">
        <f aca="false">IF($D540&lt;&gt;1,"",IF(p_mode="Nœud",$AB540*$K540,$L540*IF($G540="IKS",p_iks_cpu,p_roks_cpu)+$M540*IF($G540="IKS",p_iks_ram,p_roks_ram))*p_facteur)</f>
        <v/>
      </c>
      <c r="AD540" s="14" t="str">
        <f aca="false">IF($D540&lt;&gt;1,"",IF(AND($G540="IKS",$AI540&lt;&gt;1,OR($L540-$P540&lt;$N540,$M540-$Q540&lt;$O540)),1,0))</f>
        <v/>
      </c>
      <c r="AE540" s="14" t="str">
        <f aca="false">IF($D540&lt;&gt;1,"",IF(AND($G540="ROKS",$T540&gt;p_maxworkers),1,0))</f>
        <v/>
      </c>
      <c r="AF540" s="14" t="str">
        <f aca="false">IF($D540&lt;&gt;1,"",IF(INDEX(TblClusters[Environnement],$B540)="","(vide)",INDEX(TblClusters[Environnement],$B540)))</f>
        <v/>
      </c>
      <c r="AG540" s="14" t="str">
        <f aca="false">IF($D540&lt;&gt;1,"",$R540+p_poidsram*$S540)</f>
        <v/>
      </c>
      <c r="AH540" s="14" t="str">
        <f aca="false">IF($D540&lt;&gt;1,"",IFERROR($W540/$AG540,0))</f>
        <v/>
      </c>
      <c r="AI540" s="14" t="str">
        <f aca="false">IF($D540&lt;&gt;1,"",IF(AND($G540="IKS",ISNUMBER(INDEX(TblClusters[Fermeture retenue],$B540))),IF($E540&gt;=INDEX(TblClusters[Fermeture retenue],$B540),1,0),0))</f>
        <v/>
      </c>
    </row>
    <row r="541" customFormat="false" ht="15" hidden="false" customHeight="false" outlineLevel="0" collapsed="false">
      <c r="A541" s="14" t="n">
        <v>536</v>
      </c>
      <c r="B541" s="14" t="n">
        <f aca="false">INT(($A541-1)/36)+1</f>
        <v>15</v>
      </c>
      <c r="C541" s="14" t="n">
        <f aca="false">MOD($A541-1,36)+1</f>
        <v>32</v>
      </c>
      <c r="D541" s="14" t="n">
        <f aca="false">IF($C541&gt;p_horizon,0,IFERROR(IF(AND(INDEX(TblClusters[Cluster],$B541)&lt;&gt;"",ISNUMBER(INDEX(TblClusters[CPU initial (vCPU)],$B541)),ISNUMBER(INDEX(TblClusters[CPU min (vCPU)],$B541)),OR(INDEX(TblClusters[Plateforme],$B541)="IKS",INDEX(TblClusters[Plateforme],$B541)="ROKS")),1,0),0))</f>
        <v>0</v>
      </c>
      <c r="E541" s="83" t="str">
        <f aca="false">IF($D541=1,EDATE(p_debut,$C541-1),"")</f>
        <v/>
      </c>
      <c r="F541" s="14" t="str">
        <f aca="false">IF($D541=1,INDEX(TblClusters[Cluster],$B541),"")</f>
        <v/>
      </c>
      <c r="G541" s="14" t="str">
        <f aca="false">IF($D541=1,INDEX(TblClusters[Plateforme],$B541),"")</f>
        <v/>
      </c>
      <c r="H541" s="14" t="str">
        <f aca="false">IF($D541=1,INDEX(TblClusters[vCPU par nœud],$B541),"")</f>
        <v/>
      </c>
      <c r="I541" s="14" t="str">
        <f aca="false">IF($D541=1,INDEX(TblClusters[RAM par nœud (Go)],$B541),"")</f>
        <v/>
      </c>
      <c r="J541" s="14" t="str">
        <f aca="false">IF($D541=1,INDEX(TblClusters[Workers min],$B541),"")</f>
        <v/>
      </c>
      <c r="K541" s="84" t="str">
        <f aca="false">IF($D541=1,INDEX(TblClusters[Tarif par nœud],$B541),"")</f>
        <v/>
      </c>
      <c r="L541" s="14" t="str">
        <f aca="false">IF($D541=1,INDEX(TblClusters[CPU initial (vCPU)],$B541),"")</f>
        <v/>
      </c>
      <c r="M541" s="14" t="str">
        <f aca="false">IF($D541=1,INDEX(TblClusters[RAM initiale (Go)],$B541),"")</f>
        <v/>
      </c>
      <c r="N541" s="14" t="str">
        <f aca="false">IF($D541=1,INDEX(TblClusters[CPU min (vCPU)],$B541),"")</f>
        <v/>
      </c>
      <c r="O541" s="14" t="str">
        <f aca="false">IF($D541=1,INDEX(TblClusters[RAM min (Go)],$B541),"")</f>
        <v/>
      </c>
      <c r="P541" s="14" t="str">
        <f aca="false">IF($D541&lt;&gt;1,"",IF($G541="ROKS",SUMIFS(TblApplications[Besoin ROKS CPU (vCPU)],TblApplications[Cluster ROKS cible],$F541,TblApplications[Action],"À migrer",TblApplications[Déjà incluse ROKS],"Non",TblApplications[Mois prov (calc)],"&lt;="&amp;$E541),SUMIFS(TblApplications[CPU IKS libérable (vCPU)],TblApplications[Cluster IKS source],$F541,TblApplications[Mois lib (calc)],"&lt;="&amp;$E541)))</f>
        <v/>
      </c>
      <c r="Q541" s="14" t="str">
        <f aca="false">IF($D541&lt;&gt;1,"",IF($G541="ROKS",SUMIFS(TblApplications[Besoin ROKS RAM (Go)],TblApplications[Cluster ROKS cible],$F541,TblApplications[Action],"À migrer",TblApplications[Déjà incluse ROKS],"Non",TblApplications[Mois prov (calc)],"&lt;="&amp;$E541),SUMIFS(TblApplications[RAM IKS libérable (Go)],TblApplications[Cluster IKS source],$F541,TblApplications[Mois lib (calc)],"&lt;="&amp;$E541)))</f>
        <v/>
      </c>
      <c r="R541" s="14" t="str">
        <f aca="false">IF($D541&lt;&gt;1,"",IF($G541="ROKS",$L541+$P541,IF($AI541=1,0,MAX($N541,$L541-$P541))))</f>
        <v/>
      </c>
      <c r="S541" s="14" t="str">
        <f aca="false">IF($D541&lt;&gt;1,"",IF($G541="ROKS",$M541+$Q541,IF($AI541=1,0,MAX($O541,$M541-$Q541))))</f>
        <v/>
      </c>
      <c r="T541" s="14" t="str">
        <f aca="false">IF($D541&lt;&gt;1,"",IF($AI541=1,0,MAX($J541,ROUNDUP(MAX($R541/$H541,$S541/$I541),0))))</f>
        <v/>
      </c>
      <c r="U541" s="14" t="str">
        <f aca="false">IF($D541&lt;&gt;1,"",IF(p_mode="Nœud",$T541*$H541,$R541))</f>
        <v/>
      </c>
      <c r="V541" s="14" t="str">
        <f aca="false">IF($D541&lt;&gt;1,"",IF(p_mode="Nœud",$T541*$I541,$S541))</f>
        <v/>
      </c>
      <c r="W541" s="84" t="str">
        <f aca="false">IF($D541&lt;&gt;1,"",IF(p_mode="Nœud",$T541*$K541,$R541*IF($G541="IKS",p_iks_cpu,p_roks_cpu)+$S541*IF($G541="IKS",p_iks_ram,p_roks_ram))*p_facteur)</f>
        <v/>
      </c>
      <c r="X541" s="14" t="str">
        <f aca="false">IF($D541&lt;&gt;1,"",IF($G541="ROKS",$R541,IF($AI541=1,0,MAX($N541,$L541-SUMIFS(TblApplications[CPU IKS libérable (vCPU)],TblApplications[Cluster IKS source],$F541,TblApplications[Action],"À migrer",TblApplications[Mois prov (calc)],"&lt;="&amp;$E541)-SUMIFS(TblApplications[CPU IKS libérable (vCPU)],TblApplications[Cluster IKS source],$F541,TblApplications[Action],"À décommissionner",TblApplications[Mois lib (calc)],"&lt;="&amp;$E541)))))</f>
        <v/>
      </c>
      <c r="Y541" s="14" t="str">
        <f aca="false">IF($D541&lt;&gt;1,"",IF($G541="ROKS",$S541,IF($AI541=1,0,MAX($O541,$M541-SUMIFS(TblApplications[RAM IKS libérable (Go)],TblApplications[Cluster IKS source],$F541,TblApplications[Action],"À migrer",TblApplications[Mois prov (calc)],"&lt;="&amp;$E541)-SUMIFS(TblApplications[RAM IKS libérable (Go)],TblApplications[Cluster IKS source],$F541,TblApplications[Action],"À décommissionner",TblApplications[Mois lib (calc)],"&lt;="&amp;$E541)))))</f>
        <v/>
      </c>
      <c r="Z541" s="14" t="str">
        <f aca="false">IF($D541&lt;&gt;1,"",IF($AI541=1,0,MAX($J541,ROUNDUP(MAX($X541/$H541,$Y541/$I541),0))))</f>
        <v/>
      </c>
      <c r="AA541" s="84" t="str">
        <f aca="false">IF($D541&lt;&gt;1,"",IF(p_mode="Nœud",$Z541*$K541,$X541*IF($G541="IKS",p_iks_cpu,p_roks_cpu)+$Y541*IF($G541="IKS",p_iks_ram,p_roks_ram))*p_facteur)</f>
        <v/>
      </c>
      <c r="AB541" s="14" t="str">
        <f aca="false">IF($D541&lt;&gt;1,"",MAX($J541,ROUNDUP(MAX($L541/$H541,$M541/$I541),0)))</f>
        <v/>
      </c>
      <c r="AC541" s="84" t="str">
        <f aca="false">IF($D541&lt;&gt;1,"",IF(p_mode="Nœud",$AB541*$K541,$L541*IF($G541="IKS",p_iks_cpu,p_roks_cpu)+$M541*IF($G541="IKS",p_iks_ram,p_roks_ram))*p_facteur)</f>
        <v/>
      </c>
      <c r="AD541" s="14" t="str">
        <f aca="false">IF($D541&lt;&gt;1,"",IF(AND($G541="IKS",$AI541&lt;&gt;1,OR($L541-$P541&lt;$N541,$M541-$Q541&lt;$O541)),1,0))</f>
        <v/>
      </c>
      <c r="AE541" s="14" t="str">
        <f aca="false">IF($D541&lt;&gt;1,"",IF(AND($G541="ROKS",$T541&gt;p_maxworkers),1,0))</f>
        <v/>
      </c>
      <c r="AF541" s="14" t="str">
        <f aca="false">IF($D541&lt;&gt;1,"",IF(INDEX(TblClusters[Environnement],$B541)="","(vide)",INDEX(TblClusters[Environnement],$B541)))</f>
        <v/>
      </c>
      <c r="AG541" s="14" t="str">
        <f aca="false">IF($D541&lt;&gt;1,"",$R541+p_poidsram*$S541)</f>
        <v/>
      </c>
      <c r="AH541" s="14" t="str">
        <f aca="false">IF($D541&lt;&gt;1,"",IFERROR($W541/$AG541,0))</f>
        <v/>
      </c>
      <c r="AI541" s="14" t="str">
        <f aca="false">IF($D541&lt;&gt;1,"",IF(AND($G541="IKS",ISNUMBER(INDEX(TblClusters[Fermeture retenue],$B541))),IF($E541&gt;=INDEX(TblClusters[Fermeture retenue],$B541),1,0),0))</f>
        <v/>
      </c>
    </row>
    <row r="542" customFormat="false" ht="15" hidden="false" customHeight="false" outlineLevel="0" collapsed="false">
      <c r="A542" s="14" t="n">
        <v>537</v>
      </c>
      <c r="B542" s="14" t="n">
        <f aca="false">INT(($A542-1)/36)+1</f>
        <v>15</v>
      </c>
      <c r="C542" s="14" t="n">
        <f aca="false">MOD($A542-1,36)+1</f>
        <v>33</v>
      </c>
      <c r="D542" s="14" t="n">
        <f aca="false">IF($C542&gt;p_horizon,0,IFERROR(IF(AND(INDEX(TblClusters[Cluster],$B542)&lt;&gt;"",ISNUMBER(INDEX(TblClusters[CPU initial (vCPU)],$B542)),ISNUMBER(INDEX(TblClusters[CPU min (vCPU)],$B542)),OR(INDEX(TblClusters[Plateforme],$B542)="IKS",INDEX(TblClusters[Plateforme],$B542)="ROKS")),1,0),0))</f>
        <v>0</v>
      </c>
      <c r="E542" s="83" t="str">
        <f aca="false">IF($D542=1,EDATE(p_debut,$C542-1),"")</f>
        <v/>
      </c>
      <c r="F542" s="14" t="str">
        <f aca="false">IF($D542=1,INDEX(TblClusters[Cluster],$B542),"")</f>
        <v/>
      </c>
      <c r="G542" s="14" t="str">
        <f aca="false">IF($D542=1,INDEX(TblClusters[Plateforme],$B542),"")</f>
        <v/>
      </c>
      <c r="H542" s="14" t="str">
        <f aca="false">IF($D542=1,INDEX(TblClusters[vCPU par nœud],$B542),"")</f>
        <v/>
      </c>
      <c r="I542" s="14" t="str">
        <f aca="false">IF($D542=1,INDEX(TblClusters[RAM par nœud (Go)],$B542),"")</f>
        <v/>
      </c>
      <c r="J542" s="14" t="str">
        <f aca="false">IF($D542=1,INDEX(TblClusters[Workers min],$B542),"")</f>
        <v/>
      </c>
      <c r="K542" s="84" t="str">
        <f aca="false">IF($D542=1,INDEX(TblClusters[Tarif par nœud],$B542),"")</f>
        <v/>
      </c>
      <c r="L542" s="14" t="str">
        <f aca="false">IF($D542=1,INDEX(TblClusters[CPU initial (vCPU)],$B542),"")</f>
        <v/>
      </c>
      <c r="M542" s="14" t="str">
        <f aca="false">IF($D542=1,INDEX(TblClusters[RAM initiale (Go)],$B542),"")</f>
        <v/>
      </c>
      <c r="N542" s="14" t="str">
        <f aca="false">IF($D542=1,INDEX(TblClusters[CPU min (vCPU)],$B542),"")</f>
        <v/>
      </c>
      <c r="O542" s="14" t="str">
        <f aca="false">IF($D542=1,INDEX(TblClusters[RAM min (Go)],$B542),"")</f>
        <v/>
      </c>
      <c r="P542" s="14" t="str">
        <f aca="false">IF($D542&lt;&gt;1,"",IF($G542="ROKS",SUMIFS(TblApplications[Besoin ROKS CPU (vCPU)],TblApplications[Cluster ROKS cible],$F542,TblApplications[Action],"À migrer",TblApplications[Déjà incluse ROKS],"Non",TblApplications[Mois prov (calc)],"&lt;="&amp;$E542),SUMIFS(TblApplications[CPU IKS libérable (vCPU)],TblApplications[Cluster IKS source],$F542,TblApplications[Mois lib (calc)],"&lt;="&amp;$E542)))</f>
        <v/>
      </c>
      <c r="Q542" s="14" t="str">
        <f aca="false">IF($D542&lt;&gt;1,"",IF($G542="ROKS",SUMIFS(TblApplications[Besoin ROKS RAM (Go)],TblApplications[Cluster ROKS cible],$F542,TblApplications[Action],"À migrer",TblApplications[Déjà incluse ROKS],"Non",TblApplications[Mois prov (calc)],"&lt;="&amp;$E542),SUMIFS(TblApplications[RAM IKS libérable (Go)],TblApplications[Cluster IKS source],$F542,TblApplications[Mois lib (calc)],"&lt;="&amp;$E542)))</f>
        <v/>
      </c>
      <c r="R542" s="14" t="str">
        <f aca="false">IF($D542&lt;&gt;1,"",IF($G542="ROKS",$L542+$P542,IF($AI542=1,0,MAX($N542,$L542-$P542))))</f>
        <v/>
      </c>
      <c r="S542" s="14" t="str">
        <f aca="false">IF($D542&lt;&gt;1,"",IF($G542="ROKS",$M542+$Q542,IF($AI542=1,0,MAX($O542,$M542-$Q542))))</f>
        <v/>
      </c>
      <c r="T542" s="14" t="str">
        <f aca="false">IF($D542&lt;&gt;1,"",IF($AI542=1,0,MAX($J542,ROUNDUP(MAX($R542/$H542,$S542/$I542),0))))</f>
        <v/>
      </c>
      <c r="U542" s="14" t="str">
        <f aca="false">IF($D542&lt;&gt;1,"",IF(p_mode="Nœud",$T542*$H542,$R542))</f>
        <v/>
      </c>
      <c r="V542" s="14" t="str">
        <f aca="false">IF($D542&lt;&gt;1,"",IF(p_mode="Nœud",$T542*$I542,$S542))</f>
        <v/>
      </c>
      <c r="W542" s="84" t="str">
        <f aca="false">IF($D542&lt;&gt;1,"",IF(p_mode="Nœud",$T542*$K542,$R542*IF($G542="IKS",p_iks_cpu,p_roks_cpu)+$S542*IF($G542="IKS",p_iks_ram,p_roks_ram))*p_facteur)</f>
        <v/>
      </c>
      <c r="X542" s="14" t="str">
        <f aca="false">IF($D542&lt;&gt;1,"",IF($G542="ROKS",$R542,IF($AI542=1,0,MAX($N542,$L542-SUMIFS(TblApplications[CPU IKS libérable (vCPU)],TblApplications[Cluster IKS source],$F542,TblApplications[Action],"À migrer",TblApplications[Mois prov (calc)],"&lt;="&amp;$E542)-SUMIFS(TblApplications[CPU IKS libérable (vCPU)],TblApplications[Cluster IKS source],$F542,TblApplications[Action],"À décommissionner",TblApplications[Mois lib (calc)],"&lt;="&amp;$E542)))))</f>
        <v/>
      </c>
      <c r="Y542" s="14" t="str">
        <f aca="false">IF($D542&lt;&gt;1,"",IF($G542="ROKS",$S542,IF($AI542=1,0,MAX($O542,$M542-SUMIFS(TblApplications[RAM IKS libérable (Go)],TblApplications[Cluster IKS source],$F542,TblApplications[Action],"À migrer",TblApplications[Mois prov (calc)],"&lt;="&amp;$E542)-SUMIFS(TblApplications[RAM IKS libérable (Go)],TblApplications[Cluster IKS source],$F542,TblApplications[Action],"À décommissionner",TblApplications[Mois lib (calc)],"&lt;="&amp;$E542)))))</f>
        <v/>
      </c>
      <c r="Z542" s="14" t="str">
        <f aca="false">IF($D542&lt;&gt;1,"",IF($AI542=1,0,MAX($J542,ROUNDUP(MAX($X542/$H542,$Y542/$I542),0))))</f>
        <v/>
      </c>
      <c r="AA542" s="84" t="str">
        <f aca="false">IF($D542&lt;&gt;1,"",IF(p_mode="Nœud",$Z542*$K542,$X542*IF($G542="IKS",p_iks_cpu,p_roks_cpu)+$Y542*IF($G542="IKS",p_iks_ram,p_roks_ram))*p_facteur)</f>
        <v/>
      </c>
      <c r="AB542" s="14" t="str">
        <f aca="false">IF($D542&lt;&gt;1,"",MAX($J542,ROUNDUP(MAX($L542/$H542,$M542/$I542),0)))</f>
        <v/>
      </c>
      <c r="AC542" s="84" t="str">
        <f aca="false">IF($D542&lt;&gt;1,"",IF(p_mode="Nœud",$AB542*$K542,$L542*IF($G542="IKS",p_iks_cpu,p_roks_cpu)+$M542*IF($G542="IKS",p_iks_ram,p_roks_ram))*p_facteur)</f>
        <v/>
      </c>
      <c r="AD542" s="14" t="str">
        <f aca="false">IF($D542&lt;&gt;1,"",IF(AND($G542="IKS",$AI542&lt;&gt;1,OR($L542-$P542&lt;$N542,$M542-$Q542&lt;$O542)),1,0))</f>
        <v/>
      </c>
      <c r="AE542" s="14" t="str">
        <f aca="false">IF($D542&lt;&gt;1,"",IF(AND($G542="ROKS",$T542&gt;p_maxworkers),1,0))</f>
        <v/>
      </c>
      <c r="AF542" s="14" t="str">
        <f aca="false">IF($D542&lt;&gt;1,"",IF(INDEX(TblClusters[Environnement],$B542)="","(vide)",INDEX(TblClusters[Environnement],$B542)))</f>
        <v/>
      </c>
      <c r="AG542" s="14" t="str">
        <f aca="false">IF($D542&lt;&gt;1,"",$R542+p_poidsram*$S542)</f>
        <v/>
      </c>
      <c r="AH542" s="14" t="str">
        <f aca="false">IF($D542&lt;&gt;1,"",IFERROR($W542/$AG542,0))</f>
        <v/>
      </c>
      <c r="AI542" s="14" t="str">
        <f aca="false">IF($D542&lt;&gt;1,"",IF(AND($G542="IKS",ISNUMBER(INDEX(TblClusters[Fermeture retenue],$B542))),IF($E542&gt;=INDEX(TblClusters[Fermeture retenue],$B542),1,0),0))</f>
        <v/>
      </c>
    </row>
    <row r="543" customFormat="false" ht="15" hidden="false" customHeight="false" outlineLevel="0" collapsed="false">
      <c r="A543" s="14" t="n">
        <v>538</v>
      </c>
      <c r="B543" s="14" t="n">
        <f aca="false">INT(($A543-1)/36)+1</f>
        <v>15</v>
      </c>
      <c r="C543" s="14" t="n">
        <f aca="false">MOD($A543-1,36)+1</f>
        <v>34</v>
      </c>
      <c r="D543" s="14" t="n">
        <f aca="false">IF($C543&gt;p_horizon,0,IFERROR(IF(AND(INDEX(TblClusters[Cluster],$B543)&lt;&gt;"",ISNUMBER(INDEX(TblClusters[CPU initial (vCPU)],$B543)),ISNUMBER(INDEX(TblClusters[CPU min (vCPU)],$B543)),OR(INDEX(TblClusters[Plateforme],$B543)="IKS",INDEX(TblClusters[Plateforme],$B543)="ROKS")),1,0),0))</f>
        <v>0</v>
      </c>
      <c r="E543" s="83" t="str">
        <f aca="false">IF($D543=1,EDATE(p_debut,$C543-1),"")</f>
        <v/>
      </c>
      <c r="F543" s="14" t="str">
        <f aca="false">IF($D543=1,INDEX(TblClusters[Cluster],$B543),"")</f>
        <v/>
      </c>
      <c r="G543" s="14" t="str">
        <f aca="false">IF($D543=1,INDEX(TblClusters[Plateforme],$B543),"")</f>
        <v/>
      </c>
      <c r="H543" s="14" t="str">
        <f aca="false">IF($D543=1,INDEX(TblClusters[vCPU par nœud],$B543),"")</f>
        <v/>
      </c>
      <c r="I543" s="14" t="str">
        <f aca="false">IF($D543=1,INDEX(TblClusters[RAM par nœud (Go)],$B543),"")</f>
        <v/>
      </c>
      <c r="J543" s="14" t="str">
        <f aca="false">IF($D543=1,INDEX(TblClusters[Workers min],$B543),"")</f>
        <v/>
      </c>
      <c r="K543" s="84" t="str">
        <f aca="false">IF($D543=1,INDEX(TblClusters[Tarif par nœud],$B543),"")</f>
        <v/>
      </c>
      <c r="L543" s="14" t="str">
        <f aca="false">IF($D543=1,INDEX(TblClusters[CPU initial (vCPU)],$B543),"")</f>
        <v/>
      </c>
      <c r="M543" s="14" t="str">
        <f aca="false">IF($D543=1,INDEX(TblClusters[RAM initiale (Go)],$B543),"")</f>
        <v/>
      </c>
      <c r="N543" s="14" t="str">
        <f aca="false">IF($D543=1,INDEX(TblClusters[CPU min (vCPU)],$B543),"")</f>
        <v/>
      </c>
      <c r="O543" s="14" t="str">
        <f aca="false">IF($D543=1,INDEX(TblClusters[RAM min (Go)],$B543),"")</f>
        <v/>
      </c>
      <c r="P543" s="14" t="str">
        <f aca="false">IF($D543&lt;&gt;1,"",IF($G543="ROKS",SUMIFS(TblApplications[Besoin ROKS CPU (vCPU)],TblApplications[Cluster ROKS cible],$F543,TblApplications[Action],"À migrer",TblApplications[Déjà incluse ROKS],"Non",TblApplications[Mois prov (calc)],"&lt;="&amp;$E543),SUMIFS(TblApplications[CPU IKS libérable (vCPU)],TblApplications[Cluster IKS source],$F543,TblApplications[Mois lib (calc)],"&lt;="&amp;$E543)))</f>
        <v/>
      </c>
      <c r="Q543" s="14" t="str">
        <f aca="false">IF($D543&lt;&gt;1,"",IF($G543="ROKS",SUMIFS(TblApplications[Besoin ROKS RAM (Go)],TblApplications[Cluster ROKS cible],$F543,TblApplications[Action],"À migrer",TblApplications[Déjà incluse ROKS],"Non",TblApplications[Mois prov (calc)],"&lt;="&amp;$E543),SUMIFS(TblApplications[RAM IKS libérable (Go)],TblApplications[Cluster IKS source],$F543,TblApplications[Mois lib (calc)],"&lt;="&amp;$E543)))</f>
        <v/>
      </c>
      <c r="R543" s="14" t="str">
        <f aca="false">IF($D543&lt;&gt;1,"",IF($G543="ROKS",$L543+$P543,IF($AI543=1,0,MAX($N543,$L543-$P543))))</f>
        <v/>
      </c>
      <c r="S543" s="14" t="str">
        <f aca="false">IF($D543&lt;&gt;1,"",IF($G543="ROKS",$M543+$Q543,IF($AI543=1,0,MAX($O543,$M543-$Q543))))</f>
        <v/>
      </c>
      <c r="T543" s="14" t="str">
        <f aca="false">IF($D543&lt;&gt;1,"",IF($AI543=1,0,MAX($J543,ROUNDUP(MAX($R543/$H543,$S543/$I543),0))))</f>
        <v/>
      </c>
      <c r="U543" s="14" t="str">
        <f aca="false">IF($D543&lt;&gt;1,"",IF(p_mode="Nœud",$T543*$H543,$R543))</f>
        <v/>
      </c>
      <c r="V543" s="14" t="str">
        <f aca="false">IF($D543&lt;&gt;1,"",IF(p_mode="Nœud",$T543*$I543,$S543))</f>
        <v/>
      </c>
      <c r="W543" s="84" t="str">
        <f aca="false">IF($D543&lt;&gt;1,"",IF(p_mode="Nœud",$T543*$K543,$R543*IF($G543="IKS",p_iks_cpu,p_roks_cpu)+$S543*IF($G543="IKS",p_iks_ram,p_roks_ram))*p_facteur)</f>
        <v/>
      </c>
      <c r="X543" s="14" t="str">
        <f aca="false">IF($D543&lt;&gt;1,"",IF($G543="ROKS",$R543,IF($AI543=1,0,MAX($N543,$L543-SUMIFS(TblApplications[CPU IKS libérable (vCPU)],TblApplications[Cluster IKS source],$F543,TblApplications[Action],"À migrer",TblApplications[Mois prov (calc)],"&lt;="&amp;$E543)-SUMIFS(TblApplications[CPU IKS libérable (vCPU)],TblApplications[Cluster IKS source],$F543,TblApplications[Action],"À décommissionner",TblApplications[Mois lib (calc)],"&lt;="&amp;$E543)))))</f>
        <v/>
      </c>
      <c r="Y543" s="14" t="str">
        <f aca="false">IF($D543&lt;&gt;1,"",IF($G543="ROKS",$S543,IF($AI543=1,0,MAX($O543,$M543-SUMIFS(TblApplications[RAM IKS libérable (Go)],TblApplications[Cluster IKS source],$F543,TblApplications[Action],"À migrer",TblApplications[Mois prov (calc)],"&lt;="&amp;$E543)-SUMIFS(TblApplications[RAM IKS libérable (Go)],TblApplications[Cluster IKS source],$F543,TblApplications[Action],"À décommissionner",TblApplications[Mois lib (calc)],"&lt;="&amp;$E543)))))</f>
        <v/>
      </c>
      <c r="Z543" s="14" t="str">
        <f aca="false">IF($D543&lt;&gt;1,"",IF($AI543=1,0,MAX($J543,ROUNDUP(MAX($X543/$H543,$Y543/$I543),0))))</f>
        <v/>
      </c>
      <c r="AA543" s="84" t="str">
        <f aca="false">IF($D543&lt;&gt;1,"",IF(p_mode="Nœud",$Z543*$K543,$X543*IF($G543="IKS",p_iks_cpu,p_roks_cpu)+$Y543*IF($G543="IKS",p_iks_ram,p_roks_ram))*p_facteur)</f>
        <v/>
      </c>
      <c r="AB543" s="14" t="str">
        <f aca="false">IF($D543&lt;&gt;1,"",MAX($J543,ROUNDUP(MAX($L543/$H543,$M543/$I543),0)))</f>
        <v/>
      </c>
      <c r="AC543" s="84" t="str">
        <f aca="false">IF($D543&lt;&gt;1,"",IF(p_mode="Nœud",$AB543*$K543,$L543*IF($G543="IKS",p_iks_cpu,p_roks_cpu)+$M543*IF($G543="IKS",p_iks_ram,p_roks_ram))*p_facteur)</f>
        <v/>
      </c>
      <c r="AD543" s="14" t="str">
        <f aca="false">IF($D543&lt;&gt;1,"",IF(AND($G543="IKS",$AI543&lt;&gt;1,OR($L543-$P543&lt;$N543,$M543-$Q543&lt;$O543)),1,0))</f>
        <v/>
      </c>
      <c r="AE543" s="14" t="str">
        <f aca="false">IF($D543&lt;&gt;1,"",IF(AND($G543="ROKS",$T543&gt;p_maxworkers),1,0))</f>
        <v/>
      </c>
      <c r="AF543" s="14" t="str">
        <f aca="false">IF($D543&lt;&gt;1,"",IF(INDEX(TblClusters[Environnement],$B543)="","(vide)",INDEX(TblClusters[Environnement],$B543)))</f>
        <v/>
      </c>
      <c r="AG543" s="14" t="str">
        <f aca="false">IF($D543&lt;&gt;1,"",$R543+p_poidsram*$S543)</f>
        <v/>
      </c>
      <c r="AH543" s="14" t="str">
        <f aca="false">IF($D543&lt;&gt;1,"",IFERROR($W543/$AG543,0))</f>
        <v/>
      </c>
      <c r="AI543" s="14" t="str">
        <f aca="false">IF($D543&lt;&gt;1,"",IF(AND($G543="IKS",ISNUMBER(INDEX(TblClusters[Fermeture retenue],$B543))),IF($E543&gt;=INDEX(TblClusters[Fermeture retenue],$B543),1,0),0))</f>
        <v/>
      </c>
    </row>
    <row r="544" customFormat="false" ht="15" hidden="false" customHeight="false" outlineLevel="0" collapsed="false">
      <c r="A544" s="14" t="n">
        <v>539</v>
      </c>
      <c r="B544" s="14" t="n">
        <f aca="false">INT(($A544-1)/36)+1</f>
        <v>15</v>
      </c>
      <c r="C544" s="14" t="n">
        <f aca="false">MOD($A544-1,36)+1</f>
        <v>35</v>
      </c>
      <c r="D544" s="14" t="n">
        <f aca="false">IF($C544&gt;p_horizon,0,IFERROR(IF(AND(INDEX(TblClusters[Cluster],$B544)&lt;&gt;"",ISNUMBER(INDEX(TblClusters[CPU initial (vCPU)],$B544)),ISNUMBER(INDEX(TblClusters[CPU min (vCPU)],$B544)),OR(INDEX(TblClusters[Plateforme],$B544)="IKS",INDEX(TblClusters[Plateforme],$B544)="ROKS")),1,0),0))</f>
        <v>0</v>
      </c>
      <c r="E544" s="83" t="str">
        <f aca="false">IF($D544=1,EDATE(p_debut,$C544-1),"")</f>
        <v/>
      </c>
      <c r="F544" s="14" t="str">
        <f aca="false">IF($D544=1,INDEX(TblClusters[Cluster],$B544),"")</f>
        <v/>
      </c>
      <c r="G544" s="14" t="str">
        <f aca="false">IF($D544=1,INDEX(TblClusters[Plateforme],$B544),"")</f>
        <v/>
      </c>
      <c r="H544" s="14" t="str">
        <f aca="false">IF($D544=1,INDEX(TblClusters[vCPU par nœud],$B544),"")</f>
        <v/>
      </c>
      <c r="I544" s="14" t="str">
        <f aca="false">IF($D544=1,INDEX(TblClusters[RAM par nœud (Go)],$B544),"")</f>
        <v/>
      </c>
      <c r="J544" s="14" t="str">
        <f aca="false">IF($D544=1,INDEX(TblClusters[Workers min],$B544),"")</f>
        <v/>
      </c>
      <c r="K544" s="84" t="str">
        <f aca="false">IF($D544=1,INDEX(TblClusters[Tarif par nœud],$B544),"")</f>
        <v/>
      </c>
      <c r="L544" s="14" t="str">
        <f aca="false">IF($D544=1,INDEX(TblClusters[CPU initial (vCPU)],$B544),"")</f>
        <v/>
      </c>
      <c r="M544" s="14" t="str">
        <f aca="false">IF($D544=1,INDEX(TblClusters[RAM initiale (Go)],$B544),"")</f>
        <v/>
      </c>
      <c r="N544" s="14" t="str">
        <f aca="false">IF($D544=1,INDEX(TblClusters[CPU min (vCPU)],$B544),"")</f>
        <v/>
      </c>
      <c r="O544" s="14" t="str">
        <f aca="false">IF($D544=1,INDEX(TblClusters[RAM min (Go)],$B544),"")</f>
        <v/>
      </c>
      <c r="P544" s="14" t="str">
        <f aca="false">IF($D544&lt;&gt;1,"",IF($G544="ROKS",SUMIFS(TblApplications[Besoin ROKS CPU (vCPU)],TblApplications[Cluster ROKS cible],$F544,TblApplications[Action],"À migrer",TblApplications[Déjà incluse ROKS],"Non",TblApplications[Mois prov (calc)],"&lt;="&amp;$E544),SUMIFS(TblApplications[CPU IKS libérable (vCPU)],TblApplications[Cluster IKS source],$F544,TblApplications[Mois lib (calc)],"&lt;="&amp;$E544)))</f>
        <v/>
      </c>
      <c r="Q544" s="14" t="str">
        <f aca="false">IF($D544&lt;&gt;1,"",IF($G544="ROKS",SUMIFS(TblApplications[Besoin ROKS RAM (Go)],TblApplications[Cluster ROKS cible],$F544,TblApplications[Action],"À migrer",TblApplications[Déjà incluse ROKS],"Non",TblApplications[Mois prov (calc)],"&lt;="&amp;$E544),SUMIFS(TblApplications[RAM IKS libérable (Go)],TblApplications[Cluster IKS source],$F544,TblApplications[Mois lib (calc)],"&lt;="&amp;$E544)))</f>
        <v/>
      </c>
      <c r="R544" s="14" t="str">
        <f aca="false">IF($D544&lt;&gt;1,"",IF($G544="ROKS",$L544+$P544,IF($AI544=1,0,MAX($N544,$L544-$P544))))</f>
        <v/>
      </c>
      <c r="S544" s="14" t="str">
        <f aca="false">IF($D544&lt;&gt;1,"",IF($G544="ROKS",$M544+$Q544,IF($AI544=1,0,MAX($O544,$M544-$Q544))))</f>
        <v/>
      </c>
      <c r="T544" s="14" t="str">
        <f aca="false">IF($D544&lt;&gt;1,"",IF($AI544=1,0,MAX($J544,ROUNDUP(MAX($R544/$H544,$S544/$I544),0))))</f>
        <v/>
      </c>
      <c r="U544" s="14" t="str">
        <f aca="false">IF($D544&lt;&gt;1,"",IF(p_mode="Nœud",$T544*$H544,$R544))</f>
        <v/>
      </c>
      <c r="V544" s="14" t="str">
        <f aca="false">IF($D544&lt;&gt;1,"",IF(p_mode="Nœud",$T544*$I544,$S544))</f>
        <v/>
      </c>
      <c r="W544" s="84" t="str">
        <f aca="false">IF($D544&lt;&gt;1,"",IF(p_mode="Nœud",$T544*$K544,$R544*IF($G544="IKS",p_iks_cpu,p_roks_cpu)+$S544*IF($G544="IKS",p_iks_ram,p_roks_ram))*p_facteur)</f>
        <v/>
      </c>
      <c r="X544" s="14" t="str">
        <f aca="false">IF($D544&lt;&gt;1,"",IF($G544="ROKS",$R544,IF($AI544=1,0,MAX($N544,$L544-SUMIFS(TblApplications[CPU IKS libérable (vCPU)],TblApplications[Cluster IKS source],$F544,TblApplications[Action],"À migrer",TblApplications[Mois prov (calc)],"&lt;="&amp;$E544)-SUMIFS(TblApplications[CPU IKS libérable (vCPU)],TblApplications[Cluster IKS source],$F544,TblApplications[Action],"À décommissionner",TblApplications[Mois lib (calc)],"&lt;="&amp;$E544)))))</f>
        <v/>
      </c>
      <c r="Y544" s="14" t="str">
        <f aca="false">IF($D544&lt;&gt;1,"",IF($G544="ROKS",$S544,IF($AI544=1,0,MAX($O544,$M544-SUMIFS(TblApplications[RAM IKS libérable (Go)],TblApplications[Cluster IKS source],$F544,TblApplications[Action],"À migrer",TblApplications[Mois prov (calc)],"&lt;="&amp;$E544)-SUMIFS(TblApplications[RAM IKS libérable (Go)],TblApplications[Cluster IKS source],$F544,TblApplications[Action],"À décommissionner",TblApplications[Mois lib (calc)],"&lt;="&amp;$E544)))))</f>
        <v/>
      </c>
      <c r="Z544" s="14" t="str">
        <f aca="false">IF($D544&lt;&gt;1,"",IF($AI544=1,0,MAX($J544,ROUNDUP(MAX($X544/$H544,$Y544/$I544),0))))</f>
        <v/>
      </c>
      <c r="AA544" s="84" t="str">
        <f aca="false">IF($D544&lt;&gt;1,"",IF(p_mode="Nœud",$Z544*$K544,$X544*IF($G544="IKS",p_iks_cpu,p_roks_cpu)+$Y544*IF($G544="IKS",p_iks_ram,p_roks_ram))*p_facteur)</f>
        <v/>
      </c>
      <c r="AB544" s="14" t="str">
        <f aca="false">IF($D544&lt;&gt;1,"",MAX($J544,ROUNDUP(MAX($L544/$H544,$M544/$I544),0)))</f>
        <v/>
      </c>
      <c r="AC544" s="84" t="str">
        <f aca="false">IF($D544&lt;&gt;1,"",IF(p_mode="Nœud",$AB544*$K544,$L544*IF($G544="IKS",p_iks_cpu,p_roks_cpu)+$M544*IF($G544="IKS",p_iks_ram,p_roks_ram))*p_facteur)</f>
        <v/>
      </c>
      <c r="AD544" s="14" t="str">
        <f aca="false">IF($D544&lt;&gt;1,"",IF(AND($G544="IKS",$AI544&lt;&gt;1,OR($L544-$P544&lt;$N544,$M544-$Q544&lt;$O544)),1,0))</f>
        <v/>
      </c>
      <c r="AE544" s="14" t="str">
        <f aca="false">IF($D544&lt;&gt;1,"",IF(AND($G544="ROKS",$T544&gt;p_maxworkers),1,0))</f>
        <v/>
      </c>
      <c r="AF544" s="14" t="str">
        <f aca="false">IF($D544&lt;&gt;1,"",IF(INDEX(TblClusters[Environnement],$B544)="","(vide)",INDEX(TblClusters[Environnement],$B544)))</f>
        <v/>
      </c>
      <c r="AG544" s="14" t="str">
        <f aca="false">IF($D544&lt;&gt;1,"",$R544+p_poidsram*$S544)</f>
        <v/>
      </c>
      <c r="AH544" s="14" t="str">
        <f aca="false">IF($D544&lt;&gt;1,"",IFERROR($W544/$AG544,0))</f>
        <v/>
      </c>
      <c r="AI544" s="14" t="str">
        <f aca="false">IF($D544&lt;&gt;1,"",IF(AND($G544="IKS",ISNUMBER(INDEX(TblClusters[Fermeture retenue],$B544))),IF($E544&gt;=INDEX(TblClusters[Fermeture retenue],$B544),1,0),0))</f>
        <v/>
      </c>
    </row>
    <row r="545" customFormat="false" ht="15" hidden="false" customHeight="false" outlineLevel="0" collapsed="false">
      <c r="A545" s="14" t="n">
        <v>540</v>
      </c>
      <c r="B545" s="14" t="n">
        <f aca="false">INT(($A545-1)/36)+1</f>
        <v>15</v>
      </c>
      <c r="C545" s="14" t="n">
        <f aca="false">MOD($A545-1,36)+1</f>
        <v>36</v>
      </c>
      <c r="D545" s="14" t="n">
        <f aca="false">IF($C545&gt;p_horizon,0,IFERROR(IF(AND(INDEX(TblClusters[Cluster],$B545)&lt;&gt;"",ISNUMBER(INDEX(TblClusters[CPU initial (vCPU)],$B545)),ISNUMBER(INDEX(TblClusters[CPU min (vCPU)],$B545)),OR(INDEX(TblClusters[Plateforme],$B545)="IKS",INDEX(TblClusters[Plateforme],$B545)="ROKS")),1,0),0))</f>
        <v>0</v>
      </c>
      <c r="E545" s="83" t="str">
        <f aca="false">IF($D545=1,EDATE(p_debut,$C545-1),"")</f>
        <v/>
      </c>
      <c r="F545" s="14" t="str">
        <f aca="false">IF($D545=1,INDEX(TblClusters[Cluster],$B545),"")</f>
        <v/>
      </c>
      <c r="G545" s="14" t="str">
        <f aca="false">IF($D545=1,INDEX(TblClusters[Plateforme],$B545),"")</f>
        <v/>
      </c>
      <c r="H545" s="14" t="str">
        <f aca="false">IF($D545=1,INDEX(TblClusters[vCPU par nœud],$B545),"")</f>
        <v/>
      </c>
      <c r="I545" s="14" t="str">
        <f aca="false">IF($D545=1,INDEX(TblClusters[RAM par nœud (Go)],$B545),"")</f>
        <v/>
      </c>
      <c r="J545" s="14" t="str">
        <f aca="false">IF($D545=1,INDEX(TblClusters[Workers min],$B545),"")</f>
        <v/>
      </c>
      <c r="K545" s="84" t="str">
        <f aca="false">IF($D545=1,INDEX(TblClusters[Tarif par nœud],$B545),"")</f>
        <v/>
      </c>
      <c r="L545" s="14" t="str">
        <f aca="false">IF($D545=1,INDEX(TblClusters[CPU initial (vCPU)],$B545),"")</f>
        <v/>
      </c>
      <c r="M545" s="14" t="str">
        <f aca="false">IF($D545=1,INDEX(TblClusters[RAM initiale (Go)],$B545),"")</f>
        <v/>
      </c>
      <c r="N545" s="14" t="str">
        <f aca="false">IF($D545=1,INDEX(TblClusters[CPU min (vCPU)],$B545),"")</f>
        <v/>
      </c>
      <c r="O545" s="14" t="str">
        <f aca="false">IF($D545=1,INDEX(TblClusters[RAM min (Go)],$B545),"")</f>
        <v/>
      </c>
      <c r="P545" s="14" t="str">
        <f aca="false">IF($D545&lt;&gt;1,"",IF($G545="ROKS",SUMIFS(TblApplications[Besoin ROKS CPU (vCPU)],TblApplications[Cluster ROKS cible],$F545,TblApplications[Action],"À migrer",TblApplications[Déjà incluse ROKS],"Non",TblApplications[Mois prov (calc)],"&lt;="&amp;$E545),SUMIFS(TblApplications[CPU IKS libérable (vCPU)],TblApplications[Cluster IKS source],$F545,TblApplications[Mois lib (calc)],"&lt;="&amp;$E545)))</f>
        <v/>
      </c>
      <c r="Q545" s="14" t="str">
        <f aca="false">IF($D545&lt;&gt;1,"",IF($G545="ROKS",SUMIFS(TblApplications[Besoin ROKS RAM (Go)],TblApplications[Cluster ROKS cible],$F545,TblApplications[Action],"À migrer",TblApplications[Déjà incluse ROKS],"Non",TblApplications[Mois prov (calc)],"&lt;="&amp;$E545),SUMIFS(TblApplications[RAM IKS libérable (Go)],TblApplications[Cluster IKS source],$F545,TblApplications[Mois lib (calc)],"&lt;="&amp;$E545)))</f>
        <v/>
      </c>
      <c r="R545" s="14" t="str">
        <f aca="false">IF($D545&lt;&gt;1,"",IF($G545="ROKS",$L545+$P545,IF($AI545=1,0,MAX($N545,$L545-$P545))))</f>
        <v/>
      </c>
      <c r="S545" s="14" t="str">
        <f aca="false">IF($D545&lt;&gt;1,"",IF($G545="ROKS",$M545+$Q545,IF($AI545=1,0,MAX($O545,$M545-$Q545))))</f>
        <v/>
      </c>
      <c r="T545" s="14" t="str">
        <f aca="false">IF($D545&lt;&gt;1,"",IF($AI545=1,0,MAX($J545,ROUNDUP(MAX($R545/$H545,$S545/$I545),0))))</f>
        <v/>
      </c>
      <c r="U545" s="14" t="str">
        <f aca="false">IF($D545&lt;&gt;1,"",IF(p_mode="Nœud",$T545*$H545,$R545))</f>
        <v/>
      </c>
      <c r="V545" s="14" t="str">
        <f aca="false">IF($D545&lt;&gt;1,"",IF(p_mode="Nœud",$T545*$I545,$S545))</f>
        <v/>
      </c>
      <c r="W545" s="84" t="str">
        <f aca="false">IF($D545&lt;&gt;1,"",IF(p_mode="Nœud",$T545*$K545,$R545*IF($G545="IKS",p_iks_cpu,p_roks_cpu)+$S545*IF($G545="IKS",p_iks_ram,p_roks_ram))*p_facteur)</f>
        <v/>
      </c>
      <c r="X545" s="14" t="str">
        <f aca="false">IF($D545&lt;&gt;1,"",IF($G545="ROKS",$R545,IF($AI545=1,0,MAX($N545,$L545-SUMIFS(TblApplications[CPU IKS libérable (vCPU)],TblApplications[Cluster IKS source],$F545,TblApplications[Action],"À migrer",TblApplications[Mois prov (calc)],"&lt;="&amp;$E545)-SUMIFS(TblApplications[CPU IKS libérable (vCPU)],TblApplications[Cluster IKS source],$F545,TblApplications[Action],"À décommissionner",TblApplications[Mois lib (calc)],"&lt;="&amp;$E545)))))</f>
        <v/>
      </c>
      <c r="Y545" s="14" t="str">
        <f aca="false">IF($D545&lt;&gt;1,"",IF($G545="ROKS",$S545,IF($AI545=1,0,MAX($O545,$M545-SUMIFS(TblApplications[RAM IKS libérable (Go)],TblApplications[Cluster IKS source],$F545,TblApplications[Action],"À migrer",TblApplications[Mois prov (calc)],"&lt;="&amp;$E545)-SUMIFS(TblApplications[RAM IKS libérable (Go)],TblApplications[Cluster IKS source],$F545,TblApplications[Action],"À décommissionner",TblApplications[Mois lib (calc)],"&lt;="&amp;$E545)))))</f>
        <v/>
      </c>
      <c r="Z545" s="14" t="str">
        <f aca="false">IF($D545&lt;&gt;1,"",IF($AI545=1,0,MAX($J545,ROUNDUP(MAX($X545/$H545,$Y545/$I545),0))))</f>
        <v/>
      </c>
      <c r="AA545" s="84" t="str">
        <f aca="false">IF($D545&lt;&gt;1,"",IF(p_mode="Nœud",$Z545*$K545,$X545*IF($G545="IKS",p_iks_cpu,p_roks_cpu)+$Y545*IF($G545="IKS",p_iks_ram,p_roks_ram))*p_facteur)</f>
        <v/>
      </c>
      <c r="AB545" s="14" t="str">
        <f aca="false">IF($D545&lt;&gt;1,"",MAX($J545,ROUNDUP(MAX($L545/$H545,$M545/$I545),0)))</f>
        <v/>
      </c>
      <c r="AC545" s="84" t="str">
        <f aca="false">IF($D545&lt;&gt;1,"",IF(p_mode="Nœud",$AB545*$K545,$L545*IF($G545="IKS",p_iks_cpu,p_roks_cpu)+$M545*IF($G545="IKS",p_iks_ram,p_roks_ram))*p_facteur)</f>
        <v/>
      </c>
      <c r="AD545" s="14" t="str">
        <f aca="false">IF($D545&lt;&gt;1,"",IF(AND($G545="IKS",$AI545&lt;&gt;1,OR($L545-$P545&lt;$N545,$M545-$Q545&lt;$O545)),1,0))</f>
        <v/>
      </c>
      <c r="AE545" s="14" t="str">
        <f aca="false">IF($D545&lt;&gt;1,"",IF(AND($G545="ROKS",$T545&gt;p_maxworkers),1,0))</f>
        <v/>
      </c>
      <c r="AF545" s="14" t="str">
        <f aca="false">IF($D545&lt;&gt;1,"",IF(INDEX(TblClusters[Environnement],$B545)="","(vide)",INDEX(TblClusters[Environnement],$B545)))</f>
        <v/>
      </c>
      <c r="AG545" s="14" t="str">
        <f aca="false">IF($D545&lt;&gt;1,"",$R545+p_poidsram*$S545)</f>
        <v/>
      </c>
      <c r="AH545" s="14" t="str">
        <f aca="false">IF($D545&lt;&gt;1,"",IFERROR($W545/$AG545,0))</f>
        <v/>
      </c>
      <c r="AI545" s="14" t="str">
        <f aca="false">IF($D545&lt;&gt;1,"",IF(AND($G545="IKS",ISNUMBER(INDEX(TblClusters[Fermeture retenue],$B545))),IF($E545&gt;=INDEX(TblClusters[Fermeture retenue],$B545),1,0),0))</f>
        <v/>
      </c>
    </row>
    <row r="546" customFormat="false" ht="15" hidden="false" customHeight="false" outlineLevel="0" collapsed="false">
      <c r="A546" s="14" t="n">
        <v>541</v>
      </c>
      <c r="B546" s="14" t="n">
        <f aca="false">INT(($A546-1)/36)+1</f>
        <v>16</v>
      </c>
      <c r="C546" s="14" t="n">
        <f aca="false">MOD($A546-1,36)+1</f>
        <v>1</v>
      </c>
      <c r="D546" s="14" t="n">
        <f aca="false">IF($C546&gt;p_horizon,0,IFERROR(IF(AND(INDEX(TblClusters[Cluster],$B546)&lt;&gt;"",ISNUMBER(INDEX(TblClusters[CPU initial (vCPU)],$B546)),ISNUMBER(INDEX(TblClusters[CPU min (vCPU)],$B546)),OR(INDEX(TblClusters[Plateforme],$B546)="IKS",INDEX(TblClusters[Plateforme],$B546)="ROKS")),1,0),0))</f>
        <v>0</v>
      </c>
      <c r="E546" s="83" t="str">
        <f aca="false">IF($D546=1,EDATE(p_debut,$C546-1),"")</f>
        <v/>
      </c>
      <c r="F546" s="14" t="str">
        <f aca="false">IF($D546=1,INDEX(TblClusters[Cluster],$B546),"")</f>
        <v/>
      </c>
      <c r="G546" s="14" t="str">
        <f aca="false">IF($D546=1,INDEX(TblClusters[Plateforme],$B546),"")</f>
        <v/>
      </c>
      <c r="H546" s="14" t="str">
        <f aca="false">IF($D546=1,INDEX(TblClusters[vCPU par nœud],$B546),"")</f>
        <v/>
      </c>
      <c r="I546" s="14" t="str">
        <f aca="false">IF($D546=1,INDEX(TblClusters[RAM par nœud (Go)],$B546),"")</f>
        <v/>
      </c>
      <c r="J546" s="14" t="str">
        <f aca="false">IF($D546=1,INDEX(TblClusters[Workers min],$B546),"")</f>
        <v/>
      </c>
      <c r="K546" s="84" t="str">
        <f aca="false">IF($D546=1,INDEX(TblClusters[Tarif par nœud],$B546),"")</f>
        <v/>
      </c>
      <c r="L546" s="14" t="str">
        <f aca="false">IF($D546=1,INDEX(TblClusters[CPU initial (vCPU)],$B546),"")</f>
        <v/>
      </c>
      <c r="M546" s="14" t="str">
        <f aca="false">IF($D546=1,INDEX(TblClusters[RAM initiale (Go)],$B546),"")</f>
        <v/>
      </c>
      <c r="N546" s="14" t="str">
        <f aca="false">IF($D546=1,INDEX(TblClusters[CPU min (vCPU)],$B546),"")</f>
        <v/>
      </c>
      <c r="O546" s="14" t="str">
        <f aca="false">IF($D546=1,INDEX(TblClusters[RAM min (Go)],$B546),"")</f>
        <v/>
      </c>
      <c r="P546" s="14" t="str">
        <f aca="false">IF($D546&lt;&gt;1,"",IF($G546="ROKS",SUMIFS(TblApplications[Besoin ROKS CPU (vCPU)],TblApplications[Cluster ROKS cible],$F546,TblApplications[Action],"À migrer",TblApplications[Déjà incluse ROKS],"Non",TblApplications[Mois prov (calc)],"&lt;="&amp;$E546),SUMIFS(TblApplications[CPU IKS libérable (vCPU)],TblApplications[Cluster IKS source],$F546,TblApplications[Mois lib (calc)],"&lt;="&amp;$E546)))</f>
        <v/>
      </c>
      <c r="Q546" s="14" t="str">
        <f aca="false">IF($D546&lt;&gt;1,"",IF($G546="ROKS",SUMIFS(TblApplications[Besoin ROKS RAM (Go)],TblApplications[Cluster ROKS cible],$F546,TblApplications[Action],"À migrer",TblApplications[Déjà incluse ROKS],"Non",TblApplications[Mois prov (calc)],"&lt;="&amp;$E546),SUMIFS(TblApplications[RAM IKS libérable (Go)],TblApplications[Cluster IKS source],$F546,TblApplications[Mois lib (calc)],"&lt;="&amp;$E546)))</f>
        <v/>
      </c>
      <c r="R546" s="14" t="str">
        <f aca="false">IF($D546&lt;&gt;1,"",IF($G546="ROKS",$L546+$P546,IF($AI546=1,0,MAX($N546,$L546-$P546))))</f>
        <v/>
      </c>
      <c r="S546" s="14" t="str">
        <f aca="false">IF($D546&lt;&gt;1,"",IF($G546="ROKS",$M546+$Q546,IF($AI546=1,0,MAX($O546,$M546-$Q546))))</f>
        <v/>
      </c>
      <c r="T546" s="14" t="str">
        <f aca="false">IF($D546&lt;&gt;1,"",IF($AI546=1,0,MAX($J546,ROUNDUP(MAX($R546/$H546,$S546/$I546),0))))</f>
        <v/>
      </c>
      <c r="U546" s="14" t="str">
        <f aca="false">IF($D546&lt;&gt;1,"",IF(p_mode="Nœud",$T546*$H546,$R546))</f>
        <v/>
      </c>
      <c r="V546" s="14" t="str">
        <f aca="false">IF($D546&lt;&gt;1,"",IF(p_mode="Nœud",$T546*$I546,$S546))</f>
        <v/>
      </c>
      <c r="W546" s="84" t="str">
        <f aca="false">IF($D546&lt;&gt;1,"",IF(p_mode="Nœud",$T546*$K546,$R546*IF($G546="IKS",p_iks_cpu,p_roks_cpu)+$S546*IF($G546="IKS",p_iks_ram,p_roks_ram))*p_facteur)</f>
        <v/>
      </c>
      <c r="X546" s="14" t="str">
        <f aca="false">IF($D546&lt;&gt;1,"",IF($G546="ROKS",$R546,IF($AI546=1,0,MAX($N546,$L546-SUMIFS(TblApplications[CPU IKS libérable (vCPU)],TblApplications[Cluster IKS source],$F546,TblApplications[Action],"À migrer",TblApplications[Mois prov (calc)],"&lt;="&amp;$E546)-SUMIFS(TblApplications[CPU IKS libérable (vCPU)],TblApplications[Cluster IKS source],$F546,TblApplications[Action],"À décommissionner",TblApplications[Mois lib (calc)],"&lt;="&amp;$E546)))))</f>
        <v/>
      </c>
      <c r="Y546" s="14" t="str">
        <f aca="false">IF($D546&lt;&gt;1,"",IF($G546="ROKS",$S546,IF($AI546=1,0,MAX($O546,$M546-SUMIFS(TblApplications[RAM IKS libérable (Go)],TblApplications[Cluster IKS source],$F546,TblApplications[Action],"À migrer",TblApplications[Mois prov (calc)],"&lt;="&amp;$E546)-SUMIFS(TblApplications[RAM IKS libérable (Go)],TblApplications[Cluster IKS source],$F546,TblApplications[Action],"À décommissionner",TblApplications[Mois lib (calc)],"&lt;="&amp;$E546)))))</f>
        <v/>
      </c>
      <c r="Z546" s="14" t="str">
        <f aca="false">IF($D546&lt;&gt;1,"",IF($AI546=1,0,MAX($J546,ROUNDUP(MAX($X546/$H546,$Y546/$I546),0))))</f>
        <v/>
      </c>
      <c r="AA546" s="84" t="str">
        <f aca="false">IF($D546&lt;&gt;1,"",IF(p_mode="Nœud",$Z546*$K546,$X546*IF($G546="IKS",p_iks_cpu,p_roks_cpu)+$Y546*IF($G546="IKS",p_iks_ram,p_roks_ram))*p_facteur)</f>
        <v/>
      </c>
      <c r="AB546" s="14" t="str">
        <f aca="false">IF($D546&lt;&gt;1,"",MAX($J546,ROUNDUP(MAX($L546/$H546,$M546/$I546),0)))</f>
        <v/>
      </c>
      <c r="AC546" s="84" t="str">
        <f aca="false">IF($D546&lt;&gt;1,"",IF(p_mode="Nœud",$AB546*$K546,$L546*IF($G546="IKS",p_iks_cpu,p_roks_cpu)+$M546*IF($G546="IKS",p_iks_ram,p_roks_ram))*p_facteur)</f>
        <v/>
      </c>
      <c r="AD546" s="14" t="str">
        <f aca="false">IF($D546&lt;&gt;1,"",IF(AND($G546="IKS",$AI546&lt;&gt;1,OR($L546-$P546&lt;$N546,$M546-$Q546&lt;$O546)),1,0))</f>
        <v/>
      </c>
      <c r="AE546" s="14" t="str">
        <f aca="false">IF($D546&lt;&gt;1,"",IF(AND($G546="ROKS",$T546&gt;p_maxworkers),1,0))</f>
        <v/>
      </c>
      <c r="AF546" s="14" t="str">
        <f aca="false">IF($D546&lt;&gt;1,"",IF(INDEX(TblClusters[Environnement],$B546)="","(vide)",INDEX(TblClusters[Environnement],$B546)))</f>
        <v/>
      </c>
      <c r="AG546" s="14" t="str">
        <f aca="false">IF($D546&lt;&gt;1,"",$R546+p_poidsram*$S546)</f>
        <v/>
      </c>
      <c r="AH546" s="14" t="str">
        <f aca="false">IF($D546&lt;&gt;1,"",IFERROR($W546/$AG546,0))</f>
        <v/>
      </c>
      <c r="AI546" s="14" t="str">
        <f aca="false">IF($D546&lt;&gt;1,"",IF(AND($G546="IKS",ISNUMBER(INDEX(TblClusters[Fermeture retenue],$B546))),IF($E546&gt;=INDEX(TblClusters[Fermeture retenue],$B546),1,0),0))</f>
        <v/>
      </c>
    </row>
    <row r="547" customFormat="false" ht="15" hidden="false" customHeight="false" outlineLevel="0" collapsed="false">
      <c r="A547" s="14" t="n">
        <v>542</v>
      </c>
      <c r="B547" s="14" t="n">
        <f aca="false">INT(($A547-1)/36)+1</f>
        <v>16</v>
      </c>
      <c r="C547" s="14" t="n">
        <f aca="false">MOD($A547-1,36)+1</f>
        <v>2</v>
      </c>
      <c r="D547" s="14" t="n">
        <f aca="false">IF($C547&gt;p_horizon,0,IFERROR(IF(AND(INDEX(TblClusters[Cluster],$B547)&lt;&gt;"",ISNUMBER(INDEX(TblClusters[CPU initial (vCPU)],$B547)),ISNUMBER(INDEX(TblClusters[CPU min (vCPU)],$B547)),OR(INDEX(TblClusters[Plateforme],$B547)="IKS",INDEX(TblClusters[Plateforme],$B547)="ROKS")),1,0),0))</f>
        <v>0</v>
      </c>
      <c r="E547" s="83" t="str">
        <f aca="false">IF($D547=1,EDATE(p_debut,$C547-1),"")</f>
        <v/>
      </c>
      <c r="F547" s="14" t="str">
        <f aca="false">IF($D547=1,INDEX(TblClusters[Cluster],$B547),"")</f>
        <v/>
      </c>
      <c r="G547" s="14" t="str">
        <f aca="false">IF($D547=1,INDEX(TblClusters[Plateforme],$B547),"")</f>
        <v/>
      </c>
      <c r="H547" s="14" t="str">
        <f aca="false">IF($D547=1,INDEX(TblClusters[vCPU par nœud],$B547),"")</f>
        <v/>
      </c>
      <c r="I547" s="14" t="str">
        <f aca="false">IF($D547=1,INDEX(TblClusters[RAM par nœud (Go)],$B547),"")</f>
        <v/>
      </c>
      <c r="J547" s="14" t="str">
        <f aca="false">IF($D547=1,INDEX(TblClusters[Workers min],$B547),"")</f>
        <v/>
      </c>
      <c r="K547" s="84" t="str">
        <f aca="false">IF($D547=1,INDEX(TblClusters[Tarif par nœud],$B547),"")</f>
        <v/>
      </c>
      <c r="L547" s="14" t="str">
        <f aca="false">IF($D547=1,INDEX(TblClusters[CPU initial (vCPU)],$B547),"")</f>
        <v/>
      </c>
      <c r="M547" s="14" t="str">
        <f aca="false">IF($D547=1,INDEX(TblClusters[RAM initiale (Go)],$B547),"")</f>
        <v/>
      </c>
      <c r="N547" s="14" t="str">
        <f aca="false">IF($D547=1,INDEX(TblClusters[CPU min (vCPU)],$B547),"")</f>
        <v/>
      </c>
      <c r="O547" s="14" t="str">
        <f aca="false">IF($D547=1,INDEX(TblClusters[RAM min (Go)],$B547),"")</f>
        <v/>
      </c>
      <c r="P547" s="14" t="str">
        <f aca="false">IF($D547&lt;&gt;1,"",IF($G547="ROKS",SUMIFS(TblApplications[Besoin ROKS CPU (vCPU)],TblApplications[Cluster ROKS cible],$F547,TblApplications[Action],"À migrer",TblApplications[Déjà incluse ROKS],"Non",TblApplications[Mois prov (calc)],"&lt;="&amp;$E547),SUMIFS(TblApplications[CPU IKS libérable (vCPU)],TblApplications[Cluster IKS source],$F547,TblApplications[Mois lib (calc)],"&lt;="&amp;$E547)))</f>
        <v/>
      </c>
      <c r="Q547" s="14" t="str">
        <f aca="false">IF($D547&lt;&gt;1,"",IF($G547="ROKS",SUMIFS(TblApplications[Besoin ROKS RAM (Go)],TblApplications[Cluster ROKS cible],$F547,TblApplications[Action],"À migrer",TblApplications[Déjà incluse ROKS],"Non",TblApplications[Mois prov (calc)],"&lt;="&amp;$E547),SUMIFS(TblApplications[RAM IKS libérable (Go)],TblApplications[Cluster IKS source],$F547,TblApplications[Mois lib (calc)],"&lt;="&amp;$E547)))</f>
        <v/>
      </c>
      <c r="R547" s="14" t="str">
        <f aca="false">IF($D547&lt;&gt;1,"",IF($G547="ROKS",$L547+$P547,IF($AI547=1,0,MAX($N547,$L547-$P547))))</f>
        <v/>
      </c>
      <c r="S547" s="14" t="str">
        <f aca="false">IF($D547&lt;&gt;1,"",IF($G547="ROKS",$M547+$Q547,IF($AI547=1,0,MAX($O547,$M547-$Q547))))</f>
        <v/>
      </c>
      <c r="T547" s="14" t="str">
        <f aca="false">IF($D547&lt;&gt;1,"",IF($AI547=1,0,MAX($J547,ROUNDUP(MAX($R547/$H547,$S547/$I547),0))))</f>
        <v/>
      </c>
      <c r="U547" s="14" t="str">
        <f aca="false">IF($D547&lt;&gt;1,"",IF(p_mode="Nœud",$T547*$H547,$R547))</f>
        <v/>
      </c>
      <c r="V547" s="14" t="str">
        <f aca="false">IF($D547&lt;&gt;1,"",IF(p_mode="Nœud",$T547*$I547,$S547))</f>
        <v/>
      </c>
      <c r="W547" s="84" t="str">
        <f aca="false">IF($D547&lt;&gt;1,"",IF(p_mode="Nœud",$T547*$K547,$R547*IF($G547="IKS",p_iks_cpu,p_roks_cpu)+$S547*IF($G547="IKS",p_iks_ram,p_roks_ram))*p_facteur)</f>
        <v/>
      </c>
      <c r="X547" s="14" t="str">
        <f aca="false">IF($D547&lt;&gt;1,"",IF($G547="ROKS",$R547,IF($AI547=1,0,MAX($N547,$L547-SUMIFS(TblApplications[CPU IKS libérable (vCPU)],TblApplications[Cluster IKS source],$F547,TblApplications[Action],"À migrer",TblApplications[Mois prov (calc)],"&lt;="&amp;$E547)-SUMIFS(TblApplications[CPU IKS libérable (vCPU)],TblApplications[Cluster IKS source],$F547,TblApplications[Action],"À décommissionner",TblApplications[Mois lib (calc)],"&lt;="&amp;$E547)))))</f>
        <v/>
      </c>
      <c r="Y547" s="14" t="str">
        <f aca="false">IF($D547&lt;&gt;1,"",IF($G547="ROKS",$S547,IF($AI547=1,0,MAX($O547,$M547-SUMIFS(TblApplications[RAM IKS libérable (Go)],TblApplications[Cluster IKS source],$F547,TblApplications[Action],"À migrer",TblApplications[Mois prov (calc)],"&lt;="&amp;$E547)-SUMIFS(TblApplications[RAM IKS libérable (Go)],TblApplications[Cluster IKS source],$F547,TblApplications[Action],"À décommissionner",TblApplications[Mois lib (calc)],"&lt;="&amp;$E547)))))</f>
        <v/>
      </c>
      <c r="Z547" s="14" t="str">
        <f aca="false">IF($D547&lt;&gt;1,"",IF($AI547=1,0,MAX($J547,ROUNDUP(MAX($X547/$H547,$Y547/$I547),0))))</f>
        <v/>
      </c>
      <c r="AA547" s="84" t="str">
        <f aca="false">IF($D547&lt;&gt;1,"",IF(p_mode="Nœud",$Z547*$K547,$X547*IF($G547="IKS",p_iks_cpu,p_roks_cpu)+$Y547*IF($G547="IKS",p_iks_ram,p_roks_ram))*p_facteur)</f>
        <v/>
      </c>
      <c r="AB547" s="14" t="str">
        <f aca="false">IF($D547&lt;&gt;1,"",MAX($J547,ROUNDUP(MAX($L547/$H547,$M547/$I547),0)))</f>
        <v/>
      </c>
      <c r="AC547" s="84" t="str">
        <f aca="false">IF($D547&lt;&gt;1,"",IF(p_mode="Nœud",$AB547*$K547,$L547*IF($G547="IKS",p_iks_cpu,p_roks_cpu)+$M547*IF($G547="IKS",p_iks_ram,p_roks_ram))*p_facteur)</f>
        <v/>
      </c>
      <c r="AD547" s="14" t="str">
        <f aca="false">IF($D547&lt;&gt;1,"",IF(AND($G547="IKS",$AI547&lt;&gt;1,OR($L547-$P547&lt;$N547,$M547-$Q547&lt;$O547)),1,0))</f>
        <v/>
      </c>
      <c r="AE547" s="14" t="str">
        <f aca="false">IF($D547&lt;&gt;1,"",IF(AND($G547="ROKS",$T547&gt;p_maxworkers),1,0))</f>
        <v/>
      </c>
      <c r="AF547" s="14" t="str">
        <f aca="false">IF($D547&lt;&gt;1,"",IF(INDEX(TblClusters[Environnement],$B547)="","(vide)",INDEX(TblClusters[Environnement],$B547)))</f>
        <v/>
      </c>
      <c r="AG547" s="14" t="str">
        <f aca="false">IF($D547&lt;&gt;1,"",$R547+p_poidsram*$S547)</f>
        <v/>
      </c>
      <c r="AH547" s="14" t="str">
        <f aca="false">IF($D547&lt;&gt;1,"",IFERROR($W547/$AG547,0))</f>
        <v/>
      </c>
      <c r="AI547" s="14" t="str">
        <f aca="false">IF($D547&lt;&gt;1,"",IF(AND($G547="IKS",ISNUMBER(INDEX(TblClusters[Fermeture retenue],$B547))),IF($E547&gt;=INDEX(TblClusters[Fermeture retenue],$B547),1,0),0))</f>
        <v/>
      </c>
    </row>
    <row r="548" customFormat="false" ht="15" hidden="false" customHeight="false" outlineLevel="0" collapsed="false">
      <c r="A548" s="14" t="n">
        <v>543</v>
      </c>
      <c r="B548" s="14" t="n">
        <f aca="false">INT(($A548-1)/36)+1</f>
        <v>16</v>
      </c>
      <c r="C548" s="14" t="n">
        <f aca="false">MOD($A548-1,36)+1</f>
        <v>3</v>
      </c>
      <c r="D548" s="14" t="n">
        <f aca="false">IF($C548&gt;p_horizon,0,IFERROR(IF(AND(INDEX(TblClusters[Cluster],$B548)&lt;&gt;"",ISNUMBER(INDEX(TblClusters[CPU initial (vCPU)],$B548)),ISNUMBER(INDEX(TblClusters[CPU min (vCPU)],$B548)),OR(INDEX(TblClusters[Plateforme],$B548)="IKS",INDEX(TblClusters[Plateforme],$B548)="ROKS")),1,0),0))</f>
        <v>0</v>
      </c>
      <c r="E548" s="83" t="str">
        <f aca="false">IF($D548=1,EDATE(p_debut,$C548-1),"")</f>
        <v/>
      </c>
      <c r="F548" s="14" t="str">
        <f aca="false">IF($D548=1,INDEX(TblClusters[Cluster],$B548),"")</f>
        <v/>
      </c>
      <c r="G548" s="14" t="str">
        <f aca="false">IF($D548=1,INDEX(TblClusters[Plateforme],$B548),"")</f>
        <v/>
      </c>
      <c r="H548" s="14" t="str">
        <f aca="false">IF($D548=1,INDEX(TblClusters[vCPU par nœud],$B548),"")</f>
        <v/>
      </c>
      <c r="I548" s="14" t="str">
        <f aca="false">IF($D548=1,INDEX(TblClusters[RAM par nœud (Go)],$B548),"")</f>
        <v/>
      </c>
      <c r="J548" s="14" t="str">
        <f aca="false">IF($D548=1,INDEX(TblClusters[Workers min],$B548),"")</f>
        <v/>
      </c>
      <c r="K548" s="84" t="str">
        <f aca="false">IF($D548=1,INDEX(TblClusters[Tarif par nœud],$B548),"")</f>
        <v/>
      </c>
      <c r="L548" s="14" t="str">
        <f aca="false">IF($D548=1,INDEX(TblClusters[CPU initial (vCPU)],$B548),"")</f>
        <v/>
      </c>
      <c r="M548" s="14" t="str">
        <f aca="false">IF($D548=1,INDEX(TblClusters[RAM initiale (Go)],$B548),"")</f>
        <v/>
      </c>
      <c r="N548" s="14" t="str">
        <f aca="false">IF($D548=1,INDEX(TblClusters[CPU min (vCPU)],$B548),"")</f>
        <v/>
      </c>
      <c r="O548" s="14" t="str">
        <f aca="false">IF($D548=1,INDEX(TblClusters[RAM min (Go)],$B548),"")</f>
        <v/>
      </c>
      <c r="P548" s="14" t="str">
        <f aca="false">IF($D548&lt;&gt;1,"",IF($G548="ROKS",SUMIFS(TblApplications[Besoin ROKS CPU (vCPU)],TblApplications[Cluster ROKS cible],$F548,TblApplications[Action],"À migrer",TblApplications[Déjà incluse ROKS],"Non",TblApplications[Mois prov (calc)],"&lt;="&amp;$E548),SUMIFS(TblApplications[CPU IKS libérable (vCPU)],TblApplications[Cluster IKS source],$F548,TblApplications[Mois lib (calc)],"&lt;="&amp;$E548)))</f>
        <v/>
      </c>
      <c r="Q548" s="14" t="str">
        <f aca="false">IF($D548&lt;&gt;1,"",IF($G548="ROKS",SUMIFS(TblApplications[Besoin ROKS RAM (Go)],TblApplications[Cluster ROKS cible],$F548,TblApplications[Action],"À migrer",TblApplications[Déjà incluse ROKS],"Non",TblApplications[Mois prov (calc)],"&lt;="&amp;$E548),SUMIFS(TblApplications[RAM IKS libérable (Go)],TblApplications[Cluster IKS source],$F548,TblApplications[Mois lib (calc)],"&lt;="&amp;$E548)))</f>
        <v/>
      </c>
      <c r="R548" s="14" t="str">
        <f aca="false">IF($D548&lt;&gt;1,"",IF($G548="ROKS",$L548+$P548,IF($AI548=1,0,MAX($N548,$L548-$P548))))</f>
        <v/>
      </c>
      <c r="S548" s="14" t="str">
        <f aca="false">IF($D548&lt;&gt;1,"",IF($G548="ROKS",$M548+$Q548,IF($AI548=1,0,MAX($O548,$M548-$Q548))))</f>
        <v/>
      </c>
      <c r="T548" s="14" t="str">
        <f aca="false">IF($D548&lt;&gt;1,"",IF($AI548=1,0,MAX($J548,ROUNDUP(MAX($R548/$H548,$S548/$I548),0))))</f>
        <v/>
      </c>
      <c r="U548" s="14" t="str">
        <f aca="false">IF($D548&lt;&gt;1,"",IF(p_mode="Nœud",$T548*$H548,$R548))</f>
        <v/>
      </c>
      <c r="V548" s="14" t="str">
        <f aca="false">IF($D548&lt;&gt;1,"",IF(p_mode="Nœud",$T548*$I548,$S548))</f>
        <v/>
      </c>
      <c r="W548" s="84" t="str">
        <f aca="false">IF($D548&lt;&gt;1,"",IF(p_mode="Nœud",$T548*$K548,$R548*IF($G548="IKS",p_iks_cpu,p_roks_cpu)+$S548*IF($G548="IKS",p_iks_ram,p_roks_ram))*p_facteur)</f>
        <v/>
      </c>
      <c r="X548" s="14" t="str">
        <f aca="false">IF($D548&lt;&gt;1,"",IF($G548="ROKS",$R548,IF($AI548=1,0,MAX($N548,$L548-SUMIFS(TblApplications[CPU IKS libérable (vCPU)],TblApplications[Cluster IKS source],$F548,TblApplications[Action],"À migrer",TblApplications[Mois prov (calc)],"&lt;="&amp;$E548)-SUMIFS(TblApplications[CPU IKS libérable (vCPU)],TblApplications[Cluster IKS source],$F548,TblApplications[Action],"À décommissionner",TblApplications[Mois lib (calc)],"&lt;="&amp;$E548)))))</f>
        <v/>
      </c>
      <c r="Y548" s="14" t="str">
        <f aca="false">IF($D548&lt;&gt;1,"",IF($G548="ROKS",$S548,IF($AI548=1,0,MAX($O548,$M548-SUMIFS(TblApplications[RAM IKS libérable (Go)],TblApplications[Cluster IKS source],$F548,TblApplications[Action],"À migrer",TblApplications[Mois prov (calc)],"&lt;="&amp;$E548)-SUMIFS(TblApplications[RAM IKS libérable (Go)],TblApplications[Cluster IKS source],$F548,TblApplications[Action],"À décommissionner",TblApplications[Mois lib (calc)],"&lt;="&amp;$E548)))))</f>
        <v/>
      </c>
      <c r="Z548" s="14" t="str">
        <f aca="false">IF($D548&lt;&gt;1,"",IF($AI548=1,0,MAX($J548,ROUNDUP(MAX($X548/$H548,$Y548/$I548),0))))</f>
        <v/>
      </c>
      <c r="AA548" s="84" t="str">
        <f aca="false">IF($D548&lt;&gt;1,"",IF(p_mode="Nœud",$Z548*$K548,$X548*IF($G548="IKS",p_iks_cpu,p_roks_cpu)+$Y548*IF($G548="IKS",p_iks_ram,p_roks_ram))*p_facteur)</f>
        <v/>
      </c>
      <c r="AB548" s="14" t="str">
        <f aca="false">IF($D548&lt;&gt;1,"",MAX($J548,ROUNDUP(MAX($L548/$H548,$M548/$I548),0)))</f>
        <v/>
      </c>
      <c r="AC548" s="84" t="str">
        <f aca="false">IF($D548&lt;&gt;1,"",IF(p_mode="Nœud",$AB548*$K548,$L548*IF($G548="IKS",p_iks_cpu,p_roks_cpu)+$M548*IF($G548="IKS",p_iks_ram,p_roks_ram))*p_facteur)</f>
        <v/>
      </c>
      <c r="AD548" s="14" t="str">
        <f aca="false">IF($D548&lt;&gt;1,"",IF(AND($G548="IKS",$AI548&lt;&gt;1,OR($L548-$P548&lt;$N548,$M548-$Q548&lt;$O548)),1,0))</f>
        <v/>
      </c>
      <c r="AE548" s="14" t="str">
        <f aca="false">IF($D548&lt;&gt;1,"",IF(AND($G548="ROKS",$T548&gt;p_maxworkers),1,0))</f>
        <v/>
      </c>
      <c r="AF548" s="14" t="str">
        <f aca="false">IF($D548&lt;&gt;1,"",IF(INDEX(TblClusters[Environnement],$B548)="","(vide)",INDEX(TblClusters[Environnement],$B548)))</f>
        <v/>
      </c>
      <c r="AG548" s="14" t="str">
        <f aca="false">IF($D548&lt;&gt;1,"",$R548+p_poidsram*$S548)</f>
        <v/>
      </c>
      <c r="AH548" s="14" t="str">
        <f aca="false">IF($D548&lt;&gt;1,"",IFERROR($W548/$AG548,0))</f>
        <v/>
      </c>
      <c r="AI548" s="14" t="str">
        <f aca="false">IF($D548&lt;&gt;1,"",IF(AND($G548="IKS",ISNUMBER(INDEX(TblClusters[Fermeture retenue],$B548))),IF($E548&gt;=INDEX(TblClusters[Fermeture retenue],$B548),1,0),0))</f>
        <v/>
      </c>
    </row>
    <row r="549" customFormat="false" ht="15" hidden="false" customHeight="false" outlineLevel="0" collapsed="false">
      <c r="A549" s="14" t="n">
        <v>544</v>
      </c>
      <c r="B549" s="14" t="n">
        <f aca="false">INT(($A549-1)/36)+1</f>
        <v>16</v>
      </c>
      <c r="C549" s="14" t="n">
        <f aca="false">MOD($A549-1,36)+1</f>
        <v>4</v>
      </c>
      <c r="D549" s="14" t="n">
        <f aca="false">IF($C549&gt;p_horizon,0,IFERROR(IF(AND(INDEX(TblClusters[Cluster],$B549)&lt;&gt;"",ISNUMBER(INDEX(TblClusters[CPU initial (vCPU)],$B549)),ISNUMBER(INDEX(TblClusters[CPU min (vCPU)],$B549)),OR(INDEX(TblClusters[Plateforme],$B549)="IKS",INDEX(TblClusters[Plateforme],$B549)="ROKS")),1,0),0))</f>
        <v>0</v>
      </c>
      <c r="E549" s="83" t="str">
        <f aca="false">IF($D549=1,EDATE(p_debut,$C549-1),"")</f>
        <v/>
      </c>
      <c r="F549" s="14" t="str">
        <f aca="false">IF($D549=1,INDEX(TblClusters[Cluster],$B549),"")</f>
        <v/>
      </c>
      <c r="G549" s="14" t="str">
        <f aca="false">IF($D549=1,INDEX(TblClusters[Plateforme],$B549),"")</f>
        <v/>
      </c>
      <c r="H549" s="14" t="str">
        <f aca="false">IF($D549=1,INDEX(TblClusters[vCPU par nœud],$B549),"")</f>
        <v/>
      </c>
      <c r="I549" s="14" t="str">
        <f aca="false">IF($D549=1,INDEX(TblClusters[RAM par nœud (Go)],$B549),"")</f>
        <v/>
      </c>
      <c r="J549" s="14" t="str">
        <f aca="false">IF($D549=1,INDEX(TblClusters[Workers min],$B549),"")</f>
        <v/>
      </c>
      <c r="K549" s="84" t="str">
        <f aca="false">IF($D549=1,INDEX(TblClusters[Tarif par nœud],$B549),"")</f>
        <v/>
      </c>
      <c r="L549" s="14" t="str">
        <f aca="false">IF($D549=1,INDEX(TblClusters[CPU initial (vCPU)],$B549),"")</f>
        <v/>
      </c>
      <c r="M549" s="14" t="str">
        <f aca="false">IF($D549=1,INDEX(TblClusters[RAM initiale (Go)],$B549),"")</f>
        <v/>
      </c>
      <c r="N549" s="14" t="str">
        <f aca="false">IF($D549=1,INDEX(TblClusters[CPU min (vCPU)],$B549),"")</f>
        <v/>
      </c>
      <c r="O549" s="14" t="str">
        <f aca="false">IF($D549=1,INDEX(TblClusters[RAM min (Go)],$B549),"")</f>
        <v/>
      </c>
      <c r="P549" s="14" t="str">
        <f aca="false">IF($D549&lt;&gt;1,"",IF($G549="ROKS",SUMIFS(TblApplications[Besoin ROKS CPU (vCPU)],TblApplications[Cluster ROKS cible],$F549,TblApplications[Action],"À migrer",TblApplications[Déjà incluse ROKS],"Non",TblApplications[Mois prov (calc)],"&lt;="&amp;$E549),SUMIFS(TblApplications[CPU IKS libérable (vCPU)],TblApplications[Cluster IKS source],$F549,TblApplications[Mois lib (calc)],"&lt;="&amp;$E549)))</f>
        <v/>
      </c>
      <c r="Q549" s="14" t="str">
        <f aca="false">IF($D549&lt;&gt;1,"",IF($G549="ROKS",SUMIFS(TblApplications[Besoin ROKS RAM (Go)],TblApplications[Cluster ROKS cible],$F549,TblApplications[Action],"À migrer",TblApplications[Déjà incluse ROKS],"Non",TblApplications[Mois prov (calc)],"&lt;="&amp;$E549),SUMIFS(TblApplications[RAM IKS libérable (Go)],TblApplications[Cluster IKS source],$F549,TblApplications[Mois lib (calc)],"&lt;="&amp;$E549)))</f>
        <v/>
      </c>
      <c r="R549" s="14" t="str">
        <f aca="false">IF($D549&lt;&gt;1,"",IF($G549="ROKS",$L549+$P549,IF($AI549=1,0,MAX($N549,$L549-$P549))))</f>
        <v/>
      </c>
      <c r="S549" s="14" t="str">
        <f aca="false">IF($D549&lt;&gt;1,"",IF($G549="ROKS",$M549+$Q549,IF($AI549=1,0,MAX($O549,$M549-$Q549))))</f>
        <v/>
      </c>
      <c r="T549" s="14" t="str">
        <f aca="false">IF($D549&lt;&gt;1,"",IF($AI549=1,0,MAX($J549,ROUNDUP(MAX($R549/$H549,$S549/$I549),0))))</f>
        <v/>
      </c>
      <c r="U549" s="14" t="str">
        <f aca="false">IF($D549&lt;&gt;1,"",IF(p_mode="Nœud",$T549*$H549,$R549))</f>
        <v/>
      </c>
      <c r="V549" s="14" t="str">
        <f aca="false">IF($D549&lt;&gt;1,"",IF(p_mode="Nœud",$T549*$I549,$S549))</f>
        <v/>
      </c>
      <c r="W549" s="84" t="str">
        <f aca="false">IF($D549&lt;&gt;1,"",IF(p_mode="Nœud",$T549*$K549,$R549*IF($G549="IKS",p_iks_cpu,p_roks_cpu)+$S549*IF($G549="IKS",p_iks_ram,p_roks_ram))*p_facteur)</f>
        <v/>
      </c>
      <c r="X549" s="14" t="str">
        <f aca="false">IF($D549&lt;&gt;1,"",IF($G549="ROKS",$R549,IF($AI549=1,0,MAX($N549,$L549-SUMIFS(TblApplications[CPU IKS libérable (vCPU)],TblApplications[Cluster IKS source],$F549,TblApplications[Action],"À migrer",TblApplications[Mois prov (calc)],"&lt;="&amp;$E549)-SUMIFS(TblApplications[CPU IKS libérable (vCPU)],TblApplications[Cluster IKS source],$F549,TblApplications[Action],"À décommissionner",TblApplications[Mois lib (calc)],"&lt;="&amp;$E549)))))</f>
        <v/>
      </c>
      <c r="Y549" s="14" t="str">
        <f aca="false">IF($D549&lt;&gt;1,"",IF($G549="ROKS",$S549,IF($AI549=1,0,MAX($O549,$M549-SUMIFS(TblApplications[RAM IKS libérable (Go)],TblApplications[Cluster IKS source],$F549,TblApplications[Action],"À migrer",TblApplications[Mois prov (calc)],"&lt;="&amp;$E549)-SUMIFS(TblApplications[RAM IKS libérable (Go)],TblApplications[Cluster IKS source],$F549,TblApplications[Action],"À décommissionner",TblApplications[Mois lib (calc)],"&lt;="&amp;$E549)))))</f>
        <v/>
      </c>
      <c r="Z549" s="14" t="str">
        <f aca="false">IF($D549&lt;&gt;1,"",IF($AI549=1,0,MAX($J549,ROUNDUP(MAX($X549/$H549,$Y549/$I549),0))))</f>
        <v/>
      </c>
      <c r="AA549" s="84" t="str">
        <f aca="false">IF($D549&lt;&gt;1,"",IF(p_mode="Nœud",$Z549*$K549,$X549*IF($G549="IKS",p_iks_cpu,p_roks_cpu)+$Y549*IF($G549="IKS",p_iks_ram,p_roks_ram))*p_facteur)</f>
        <v/>
      </c>
      <c r="AB549" s="14" t="str">
        <f aca="false">IF($D549&lt;&gt;1,"",MAX($J549,ROUNDUP(MAX($L549/$H549,$M549/$I549),0)))</f>
        <v/>
      </c>
      <c r="AC549" s="84" t="str">
        <f aca="false">IF($D549&lt;&gt;1,"",IF(p_mode="Nœud",$AB549*$K549,$L549*IF($G549="IKS",p_iks_cpu,p_roks_cpu)+$M549*IF($G549="IKS",p_iks_ram,p_roks_ram))*p_facteur)</f>
        <v/>
      </c>
      <c r="AD549" s="14" t="str">
        <f aca="false">IF($D549&lt;&gt;1,"",IF(AND($G549="IKS",$AI549&lt;&gt;1,OR($L549-$P549&lt;$N549,$M549-$Q549&lt;$O549)),1,0))</f>
        <v/>
      </c>
      <c r="AE549" s="14" t="str">
        <f aca="false">IF($D549&lt;&gt;1,"",IF(AND($G549="ROKS",$T549&gt;p_maxworkers),1,0))</f>
        <v/>
      </c>
      <c r="AF549" s="14" t="str">
        <f aca="false">IF($D549&lt;&gt;1,"",IF(INDEX(TblClusters[Environnement],$B549)="","(vide)",INDEX(TblClusters[Environnement],$B549)))</f>
        <v/>
      </c>
      <c r="AG549" s="14" t="str">
        <f aca="false">IF($D549&lt;&gt;1,"",$R549+p_poidsram*$S549)</f>
        <v/>
      </c>
      <c r="AH549" s="14" t="str">
        <f aca="false">IF($D549&lt;&gt;1,"",IFERROR($W549/$AG549,0))</f>
        <v/>
      </c>
      <c r="AI549" s="14" t="str">
        <f aca="false">IF($D549&lt;&gt;1,"",IF(AND($G549="IKS",ISNUMBER(INDEX(TblClusters[Fermeture retenue],$B549))),IF($E549&gt;=INDEX(TblClusters[Fermeture retenue],$B549),1,0),0))</f>
        <v/>
      </c>
    </row>
    <row r="550" customFormat="false" ht="15" hidden="false" customHeight="false" outlineLevel="0" collapsed="false">
      <c r="A550" s="14" t="n">
        <v>545</v>
      </c>
      <c r="B550" s="14" t="n">
        <f aca="false">INT(($A550-1)/36)+1</f>
        <v>16</v>
      </c>
      <c r="C550" s="14" t="n">
        <f aca="false">MOD($A550-1,36)+1</f>
        <v>5</v>
      </c>
      <c r="D550" s="14" t="n">
        <f aca="false">IF($C550&gt;p_horizon,0,IFERROR(IF(AND(INDEX(TblClusters[Cluster],$B550)&lt;&gt;"",ISNUMBER(INDEX(TblClusters[CPU initial (vCPU)],$B550)),ISNUMBER(INDEX(TblClusters[CPU min (vCPU)],$B550)),OR(INDEX(TblClusters[Plateforme],$B550)="IKS",INDEX(TblClusters[Plateforme],$B550)="ROKS")),1,0),0))</f>
        <v>0</v>
      </c>
      <c r="E550" s="83" t="str">
        <f aca="false">IF($D550=1,EDATE(p_debut,$C550-1),"")</f>
        <v/>
      </c>
      <c r="F550" s="14" t="str">
        <f aca="false">IF($D550=1,INDEX(TblClusters[Cluster],$B550),"")</f>
        <v/>
      </c>
      <c r="G550" s="14" t="str">
        <f aca="false">IF($D550=1,INDEX(TblClusters[Plateforme],$B550),"")</f>
        <v/>
      </c>
      <c r="H550" s="14" t="str">
        <f aca="false">IF($D550=1,INDEX(TblClusters[vCPU par nœud],$B550),"")</f>
        <v/>
      </c>
      <c r="I550" s="14" t="str">
        <f aca="false">IF($D550=1,INDEX(TblClusters[RAM par nœud (Go)],$B550),"")</f>
        <v/>
      </c>
      <c r="J550" s="14" t="str">
        <f aca="false">IF($D550=1,INDEX(TblClusters[Workers min],$B550),"")</f>
        <v/>
      </c>
      <c r="K550" s="84" t="str">
        <f aca="false">IF($D550=1,INDEX(TblClusters[Tarif par nœud],$B550),"")</f>
        <v/>
      </c>
      <c r="L550" s="14" t="str">
        <f aca="false">IF($D550=1,INDEX(TblClusters[CPU initial (vCPU)],$B550),"")</f>
        <v/>
      </c>
      <c r="M550" s="14" t="str">
        <f aca="false">IF($D550=1,INDEX(TblClusters[RAM initiale (Go)],$B550),"")</f>
        <v/>
      </c>
      <c r="N550" s="14" t="str">
        <f aca="false">IF($D550=1,INDEX(TblClusters[CPU min (vCPU)],$B550),"")</f>
        <v/>
      </c>
      <c r="O550" s="14" t="str">
        <f aca="false">IF($D550=1,INDEX(TblClusters[RAM min (Go)],$B550),"")</f>
        <v/>
      </c>
      <c r="P550" s="14" t="str">
        <f aca="false">IF($D550&lt;&gt;1,"",IF($G550="ROKS",SUMIFS(TblApplications[Besoin ROKS CPU (vCPU)],TblApplications[Cluster ROKS cible],$F550,TblApplications[Action],"À migrer",TblApplications[Déjà incluse ROKS],"Non",TblApplications[Mois prov (calc)],"&lt;="&amp;$E550),SUMIFS(TblApplications[CPU IKS libérable (vCPU)],TblApplications[Cluster IKS source],$F550,TblApplications[Mois lib (calc)],"&lt;="&amp;$E550)))</f>
        <v/>
      </c>
      <c r="Q550" s="14" t="str">
        <f aca="false">IF($D550&lt;&gt;1,"",IF($G550="ROKS",SUMIFS(TblApplications[Besoin ROKS RAM (Go)],TblApplications[Cluster ROKS cible],$F550,TblApplications[Action],"À migrer",TblApplications[Déjà incluse ROKS],"Non",TblApplications[Mois prov (calc)],"&lt;="&amp;$E550),SUMIFS(TblApplications[RAM IKS libérable (Go)],TblApplications[Cluster IKS source],$F550,TblApplications[Mois lib (calc)],"&lt;="&amp;$E550)))</f>
        <v/>
      </c>
      <c r="R550" s="14" t="str">
        <f aca="false">IF($D550&lt;&gt;1,"",IF($G550="ROKS",$L550+$P550,IF($AI550=1,0,MAX($N550,$L550-$P550))))</f>
        <v/>
      </c>
      <c r="S550" s="14" t="str">
        <f aca="false">IF($D550&lt;&gt;1,"",IF($G550="ROKS",$M550+$Q550,IF($AI550=1,0,MAX($O550,$M550-$Q550))))</f>
        <v/>
      </c>
      <c r="T550" s="14" t="str">
        <f aca="false">IF($D550&lt;&gt;1,"",IF($AI550=1,0,MAX($J550,ROUNDUP(MAX($R550/$H550,$S550/$I550),0))))</f>
        <v/>
      </c>
      <c r="U550" s="14" t="str">
        <f aca="false">IF($D550&lt;&gt;1,"",IF(p_mode="Nœud",$T550*$H550,$R550))</f>
        <v/>
      </c>
      <c r="V550" s="14" t="str">
        <f aca="false">IF($D550&lt;&gt;1,"",IF(p_mode="Nœud",$T550*$I550,$S550))</f>
        <v/>
      </c>
      <c r="W550" s="84" t="str">
        <f aca="false">IF($D550&lt;&gt;1,"",IF(p_mode="Nœud",$T550*$K550,$R550*IF($G550="IKS",p_iks_cpu,p_roks_cpu)+$S550*IF($G550="IKS",p_iks_ram,p_roks_ram))*p_facteur)</f>
        <v/>
      </c>
      <c r="X550" s="14" t="str">
        <f aca="false">IF($D550&lt;&gt;1,"",IF($G550="ROKS",$R550,IF($AI550=1,0,MAX($N550,$L550-SUMIFS(TblApplications[CPU IKS libérable (vCPU)],TblApplications[Cluster IKS source],$F550,TblApplications[Action],"À migrer",TblApplications[Mois prov (calc)],"&lt;="&amp;$E550)-SUMIFS(TblApplications[CPU IKS libérable (vCPU)],TblApplications[Cluster IKS source],$F550,TblApplications[Action],"À décommissionner",TblApplications[Mois lib (calc)],"&lt;="&amp;$E550)))))</f>
        <v/>
      </c>
      <c r="Y550" s="14" t="str">
        <f aca="false">IF($D550&lt;&gt;1,"",IF($G550="ROKS",$S550,IF($AI550=1,0,MAX($O550,$M550-SUMIFS(TblApplications[RAM IKS libérable (Go)],TblApplications[Cluster IKS source],$F550,TblApplications[Action],"À migrer",TblApplications[Mois prov (calc)],"&lt;="&amp;$E550)-SUMIFS(TblApplications[RAM IKS libérable (Go)],TblApplications[Cluster IKS source],$F550,TblApplications[Action],"À décommissionner",TblApplications[Mois lib (calc)],"&lt;="&amp;$E550)))))</f>
        <v/>
      </c>
      <c r="Z550" s="14" t="str">
        <f aca="false">IF($D550&lt;&gt;1,"",IF($AI550=1,0,MAX($J550,ROUNDUP(MAX($X550/$H550,$Y550/$I550),0))))</f>
        <v/>
      </c>
      <c r="AA550" s="84" t="str">
        <f aca="false">IF($D550&lt;&gt;1,"",IF(p_mode="Nœud",$Z550*$K550,$X550*IF($G550="IKS",p_iks_cpu,p_roks_cpu)+$Y550*IF($G550="IKS",p_iks_ram,p_roks_ram))*p_facteur)</f>
        <v/>
      </c>
      <c r="AB550" s="14" t="str">
        <f aca="false">IF($D550&lt;&gt;1,"",MAX($J550,ROUNDUP(MAX($L550/$H550,$M550/$I550),0)))</f>
        <v/>
      </c>
      <c r="AC550" s="84" t="str">
        <f aca="false">IF($D550&lt;&gt;1,"",IF(p_mode="Nœud",$AB550*$K550,$L550*IF($G550="IKS",p_iks_cpu,p_roks_cpu)+$M550*IF($G550="IKS",p_iks_ram,p_roks_ram))*p_facteur)</f>
        <v/>
      </c>
      <c r="AD550" s="14" t="str">
        <f aca="false">IF($D550&lt;&gt;1,"",IF(AND($G550="IKS",$AI550&lt;&gt;1,OR($L550-$P550&lt;$N550,$M550-$Q550&lt;$O550)),1,0))</f>
        <v/>
      </c>
      <c r="AE550" s="14" t="str">
        <f aca="false">IF($D550&lt;&gt;1,"",IF(AND($G550="ROKS",$T550&gt;p_maxworkers),1,0))</f>
        <v/>
      </c>
      <c r="AF550" s="14" t="str">
        <f aca="false">IF($D550&lt;&gt;1,"",IF(INDEX(TblClusters[Environnement],$B550)="","(vide)",INDEX(TblClusters[Environnement],$B550)))</f>
        <v/>
      </c>
      <c r="AG550" s="14" t="str">
        <f aca="false">IF($D550&lt;&gt;1,"",$R550+p_poidsram*$S550)</f>
        <v/>
      </c>
      <c r="AH550" s="14" t="str">
        <f aca="false">IF($D550&lt;&gt;1,"",IFERROR($W550/$AG550,0))</f>
        <v/>
      </c>
      <c r="AI550" s="14" t="str">
        <f aca="false">IF($D550&lt;&gt;1,"",IF(AND($G550="IKS",ISNUMBER(INDEX(TblClusters[Fermeture retenue],$B550))),IF($E550&gt;=INDEX(TblClusters[Fermeture retenue],$B550),1,0),0))</f>
        <v/>
      </c>
    </row>
    <row r="551" customFormat="false" ht="15" hidden="false" customHeight="false" outlineLevel="0" collapsed="false">
      <c r="A551" s="14" t="n">
        <v>546</v>
      </c>
      <c r="B551" s="14" t="n">
        <f aca="false">INT(($A551-1)/36)+1</f>
        <v>16</v>
      </c>
      <c r="C551" s="14" t="n">
        <f aca="false">MOD($A551-1,36)+1</f>
        <v>6</v>
      </c>
      <c r="D551" s="14" t="n">
        <f aca="false">IF($C551&gt;p_horizon,0,IFERROR(IF(AND(INDEX(TblClusters[Cluster],$B551)&lt;&gt;"",ISNUMBER(INDEX(TblClusters[CPU initial (vCPU)],$B551)),ISNUMBER(INDEX(TblClusters[CPU min (vCPU)],$B551)),OR(INDEX(TblClusters[Plateforme],$B551)="IKS",INDEX(TblClusters[Plateforme],$B551)="ROKS")),1,0),0))</f>
        <v>0</v>
      </c>
      <c r="E551" s="83" t="str">
        <f aca="false">IF($D551=1,EDATE(p_debut,$C551-1),"")</f>
        <v/>
      </c>
      <c r="F551" s="14" t="str">
        <f aca="false">IF($D551=1,INDEX(TblClusters[Cluster],$B551),"")</f>
        <v/>
      </c>
      <c r="G551" s="14" t="str">
        <f aca="false">IF($D551=1,INDEX(TblClusters[Plateforme],$B551),"")</f>
        <v/>
      </c>
      <c r="H551" s="14" t="str">
        <f aca="false">IF($D551=1,INDEX(TblClusters[vCPU par nœud],$B551),"")</f>
        <v/>
      </c>
      <c r="I551" s="14" t="str">
        <f aca="false">IF($D551=1,INDEX(TblClusters[RAM par nœud (Go)],$B551),"")</f>
        <v/>
      </c>
      <c r="J551" s="14" t="str">
        <f aca="false">IF($D551=1,INDEX(TblClusters[Workers min],$B551),"")</f>
        <v/>
      </c>
      <c r="K551" s="84" t="str">
        <f aca="false">IF($D551=1,INDEX(TblClusters[Tarif par nœud],$B551),"")</f>
        <v/>
      </c>
      <c r="L551" s="14" t="str">
        <f aca="false">IF($D551=1,INDEX(TblClusters[CPU initial (vCPU)],$B551),"")</f>
        <v/>
      </c>
      <c r="M551" s="14" t="str">
        <f aca="false">IF($D551=1,INDEX(TblClusters[RAM initiale (Go)],$B551),"")</f>
        <v/>
      </c>
      <c r="N551" s="14" t="str">
        <f aca="false">IF($D551=1,INDEX(TblClusters[CPU min (vCPU)],$B551),"")</f>
        <v/>
      </c>
      <c r="O551" s="14" t="str">
        <f aca="false">IF($D551=1,INDEX(TblClusters[RAM min (Go)],$B551),"")</f>
        <v/>
      </c>
      <c r="P551" s="14" t="str">
        <f aca="false">IF($D551&lt;&gt;1,"",IF($G551="ROKS",SUMIFS(TblApplications[Besoin ROKS CPU (vCPU)],TblApplications[Cluster ROKS cible],$F551,TblApplications[Action],"À migrer",TblApplications[Déjà incluse ROKS],"Non",TblApplications[Mois prov (calc)],"&lt;="&amp;$E551),SUMIFS(TblApplications[CPU IKS libérable (vCPU)],TblApplications[Cluster IKS source],$F551,TblApplications[Mois lib (calc)],"&lt;="&amp;$E551)))</f>
        <v/>
      </c>
      <c r="Q551" s="14" t="str">
        <f aca="false">IF($D551&lt;&gt;1,"",IF($G551="ROKS",SUMIFS(TblApplications[Besoin ROKS RAM (Go)],TblApplications[Cluster ROKS cible],$F551,TblApplications[Action],"À migrer",TblApplications[Déjà incluse ROKS],"Non",TblApplications[Mois prov (calc)],"&lt;="&amp;$E551),SUMIFS(TblApplications[RAM IKS libérable (Go)],TblApplications[Cluster IKS source],$F551,TblApplications[Mois lib (calc)],"&lt;="&amp;$E551)))</f>
        <v/>
      </c>
      <c r="R551" s="14" t="str">
        <f aca="false">IF($D551&lt;&gt;1,"",IF($G551="ROKS",$L551+$P551,IF($AI551=1,0,MAX($N551,$L551-$P551))))</f>
        <v/>
      </c>
      <c r="S551" s="14" t="str">
        <f aca="false">IF($D551&lt;&gt;1,"",IF($G551="ROKS",$M551+$Q551,IF($AI551=1,0,MAX($O551,$M551-$Q551))))</f>
        <v/>
      </c>
      <c r="T551" s="14" t="str">
        <f aca="false">IF($D551&lt;&gt;1,"",IF($AI551=1,0,MAX($J551,ROUNDUP(MAX($R551/$H551,$S551/$I551),0))))</f>
        <v/>
      </c>
      <c r="U551" s="14" t="str">
        <f aca="false">IF($D551&lt;&gt;1,"",IF(p_mode="Nœud",$T551*$H551,$R551))</f>
        <v/>
      </c>
      <c r="V551" s="14" t="str">
        <f aca="false">IF($D551&lt;&gt;1,"",IF(p_mode="Nœud",$T551*$I551,$S551))</f>
        <v/>
      </c>
      <c r="W551" s="84" t="str">
        <f aca="false">IF($D551&lt;&gt;1,"",IF(p_mode="Nœud",$T551*$K551,$R551*IF($G551="IKS",p_iks_cpu,p_roks_cpu)+$S551*IF($G551="IKS",p_iks_ram,p_roks_ram))*p_facteur)</f>
        <v/>
      </c>
      <c r="X551" s="14" t="str">
        <f aca="false">IF($D551&lt;&gt;1,"",IF($G551="ROKS",$R551,IF($AI551=1,0,MAX($N551,$L551-SUMIFS(TblApplications[CPU IKS libérable (vCPU)],TblApplications[Cluster IKS source],$F551,TblApplications[Action],"À migrer",TblApplications[Mois prov (calc)],"&lt;="&amp;$E551)-SUMIFS(TblApplications[CPU IKS libérable (vCPU)],TblApplications[Cluster IKS source],$F551,TblApplications[Action],"À décommissionner",TblApplications[Mois lib (calc)],"&lt;="&amp;$E551)))))</f>
        <v/>
      </c>
      <c r="Y551" s="14" t="str">
        <f aca="false">IF($D551&lt;&gt;1,"",IF($G551="ROKS",$S551,IF($AI551=1,0,MAX($O551,$M551-SUMIFS(TblApplications[RAM IKS libérable (Go)],TblApplications[Cluster IKS source],$F551,TblApplications[Action],"À migrer",TblApplications[Mois prov (calc)],"&lt;="&amp;$E551)-SUMIFS(TblApplications[RAM IKS libérable (Go)],TblApplications[Cluster IKS source],$F551,TblApplications[Action],"À décommissionner",TblApplications[Mois lib (calc)],"&lt;="&amp;$E551)))))</f>
        <v/>
      </c>
      <c r="Z551" s="14" t="str">
        <f aca="false">IF($D551&lt;&gt;1,"",IF($AI551=1,0,MAX($J551,ROUNDUP(MAX($X551/$H551,$Y551/$I551),0))))</f>
        <v/>
      </c>
      <c r="AA551" s="84" t="str">
        <f aca="false">IF($D551&lt;&gt;1,"",IF(p_mode="Nœud",$Z551*$K551,$X551*IF($G551="IKS",p_iks_cpu,p_roks_cpu)+$Y551*IF($G551="IKS",p_iks_ram,p_roks_ram))*p_facteur)</f>
        <v/>
      </c>
      <c r="AB551" s="14" t="str">
        <f aca="false">IF($D551&lt;&gt;1,"",MAX($J551,ROUNDUP(MAX($L551/$H551,$M551/$I551),0)))</f>
        <v/>
      </c>
      <c r="AC551" s="84" t="str">
        <f aca="false">IF($D551&lt;&gt;1,"",IF(p_mode="Nœud",$AB551*$K551,$L551*IF($G551="IKS",p_iks_cpu,p_roks_cpu)+$M551*IF($G551="IKS",p_iks_ram,p_roks_ram))*p_facteur)</f>
        <v/>
      </c>
      <c r="AD551" s="14" t="str">
        <f aca="false">IF($D551&lt;&gt;1,"",IF(AND($G551="IKS",$AI551&lt;&gt;1,OR($L551-$P551&lt;$N551,$M551-$Q551&lt;$O551)),1,0))</f>
        <v/>
      </c>
      <c r="AE551" s="14" t="str">
        <f aca="false">IF($D551&lt;&gt;1,"",IF(AND($G551="ROKS",$T551&gt;p_maxworkers),1,0))</f>
        <v/>
      </c>
      <c r="AF551" s="14" t="str">
        <f aca="false">IF($D551&lt;&gt;1,"",IF(INDEX(TblClusters[Environnement],$B551)="","(vide)",INDEX(TblClusters[Environnement],$B551)))</f>
        <v/>
      </c>
      <c r="AG551" s="14" t="str">
        <f aca="false">IF($D551&lt;&gt;1,"",$R551+p_poidsram*$S551)</f>
        <v/>
      </c>
      <c r="AH551" s="14" t="str">
        <f aca="false">IF($D551&lt;&gt;1,"",IFERROR($W551/$AG551,0))</f>
        <v/>
      </c>
      <c r="AI551" s="14" t="str">
        <f aca="false">IF($D551&lt;&gt;1,"",IF(AND($G551="IKS",ISNUMBER(INDEX(TblClusters[Fermeture retenue],$B551))),IF($E551&gt;=INDEX(TblClusters[Fermeture retenue],$B551),1,0),0))</f>
        <v/>
      </c>
    </row>
    <row r="552" customFormat="false" ht="15" hidden="false" customHeight="false" outlineLevel="0" collapsed="false">
      <c r="A552" s="14" t="n">
        <v>547</v>
      </c>
      <c r="B552" s="14" t="n">
        <f aca="false">INT(($A552-1)/36)+1</f>
        <v>16</v>
      </c>
      <c r="C552" s="14" t="n">
        <f aca="false">MOD($A552-1,36)+1</f>
        <v>7</v>
      </c>
      <c r="D552" s="14" t="n">
        <f aca="false">IF($C552&gt;p_horizon,0,IFERROR(IF(AND(INDEX(TblClusters[Cluster],$B552)&lt;&gt;"",ISNUMBER(INDEX(TblClusters[CPU initial (vCPU)],$B552)),ISNUMBER(INDEX(TblClusters[CPU min (vCPU)],$B552)),OR(INDEX(TblClusters[Plateforme],$B552)="IKS",INDEX(TblClusters[Plateforme],$B552)="ROKS")),1,0),0))</f>
        <v>0</v>
      </c>
      <c r="E552" s="83" t="str">
        <f aca="false">IF($D552=1,EDATE(p_debut,$C552-1),"")</f>
        <v/>
      </c>
      <c r="F552" s="14" t="str">
        <f aca="false">IF($D552=1,INDEX(TblClusters[Cluster],$B552),"")</f>
        <v/>
      </c>
      <c r="G552" s="14" t="str">
        <f aca="false">IF($D552=1,INDEX(TblClusters[Plateforme],$B552),"")</f>
        <v/>
      </c>
      <c r="H552" s="14" t="str">
        <f aca="false">IF($D552=1,INDEX(TblClusters[vCPU par nœud],$B552),"")</f>
        <v/>
      </c>
      <c r="I552" s="14" t="str">
        <f aca="false">IF($D552=1,INDEX(TblClusters[RAM par nœud (Go)],$B552),"")</f>
        <v/>
      </c>
      <c r="J552" s="14" t="str">
        <f aca="false">IF($D552=1,INDEX(TblClusters[Workers min],$B552),"")</f>
        <v/>
      </c>
      <c r="K552" s="84" t="str">
        <f aca="false">IF($D552=1,INDEX(TblClusters[Tarif par nœud],$B552),"")</f>
        <v/>
      </c>
      <c r="L552" s="14" t="str">
        <f aca="false">IF($D552=1,INDEX(TblClusters[CPU initial (vCPU)],$B552),"")</f>
        <v/>
      </c>
      <c r="M552" s="14" t="str">
        <f aca="false">IF($D552=1,INDEX(TblClusters[RAM initiale (Go)],$B552),"")</f>
        <v/>
      </c>
      <c r="N552" s="14" t="str">
        <f aca="false">IF($D552=1,INDEX(TblClusters[CPU min (vCPU)],$B552),"")</f>
        <v/>
      </c>
      <c r="O552" s="14" t="str">
        <f aca="false">IF($D552=1,INDEX(TblClusters[RAM min (Go)],$B552),"")</f>
        <v/>
      </c>
      <c r="P552" s="14" t="str">
        <f aca="false">IF($D552&lt;&gt;1,"",IF($G552="ROKS",SUMIFS(TblApplications[Besoin ROKS CPU (vCPU)],TblApplications[Cluster ROKS cible],$F552,TblApplications[Action],"À migrer",TblApplications[Déjà incluse ROKS],"Non",TblApplications[Mois prov (calc)],"&lt;="&amp;$E552),SUMIFS(TblApplications[CPU IKS libérable (vCPU)],TblApplications[Cluster IKS source],$F552,TblApplications[Mois lib (calc)],"&lt;="&amp;$E552)))</f>
        <v/>
      </c>
      <c r="Q552" s="14" t="str">
        <f aca="false">IF($D552&lt;&gt;1,"",IF($G552="ROKS",SUMIFS(TblApplications[Besoin ROKS RAM (Go)],TblApplications[Cluster ROKS cible],$F552,TblApplications[Action],"À migrer",TblApplications[Déjà incluse ROKS],"Non",TblApplications[Mois prov (calc)],"&lt;="&amp;$E552),SUMIFS(TblApplications[RAM IKS libérable (Go)],TblApplications[Cluster IKS source],$F552,TblApplications[Mois lib (calc)],"&lt;="&amp;$E552)))</f>
        <v/>
      </c>
      <c r="R552" s="14" t="str">
        <f aca="false">IF($D552&lt;&gt;1,"",IF($G552="ROKS",$L552+$P552,IF($AI552=1,0,MAX($N552,$L552-$P552))))</f>
        <v/>
      </c>
      <c r="S552" s="14" t="str">
        <f aca="false">IF($D552&lt;&gt;1,"",IF($G552="ROKS",$M552+$Q552,IF($AI552=1,0,MAX($O552,$M552-$Q552))))</f>
        <v/>
      </c>
      <c r="T552" s="14" t="str">
        <f aca="false">IF($D552&lt;&gt;1,"",IF($AI552=1,0,MAX($J552,ROUNDUP(MAX($R552/$H552,$S552/$I552),0))))</f>
        <v/>
      </c>
      <c r="U552" s="14" t="str">
        <f aca="false">IF($D552&lt;&gt;1,"",IF(p_mode="Nœud",$T552*$H552,$R552))</f>
        <v/>
      </c>
      <c r="V552" s="14" t="str">
        <f aca="false">IF($D552&lt;&gt;1,"",IF(p_mode="Nœud",$T552*$I552,$S552))</f>
        <v/>
      </c>
      <c r="W552" s="84" t="str">
        <f aca="false">IF($D552&lt;&gt;1,"",IF(p_mode="Nœud",$T552*$K552,$R552*IF($G552="IKS",p_iks_cpu,p_roks_cpu)+$S552*IF($G552="IKS",p_iks_ram,p_roks_ram))*p_facteur)</f>
        <v/>
      </c>
      <c r="X552" s="14" t="str">
        <f aca="false">IF($D552&lt;&gt;1,"",IF($G552="ROKS",$R552,IF($AI552=1,0,MAX($N552,$L552-SUMIFS(TblApplications[CPU IKS libérable (vCPU)],TblApplications[Cluster IKS source],$F552,TblApplications[Action],"À migrer",TblApplications[Mois prov (calc)],"&lt;="&amp;$E552)-SUMIFS(TblApplications[CPU IKS libérable (vCPU)],TblApplications[Cluster IKS source],$F552,TblApplications[Action],"À décommissionner",TblApplications[Mois lib (calc)],"&lt;="&amp;$E552)))))</f>
        <v/>
      </c>
      <c r="Y552" s="14" t="str">
        <f aca="false">IF($D552&lt;&gt;1,"",IF($G552="ROKS",$S552,IF($AI552=1,0,MAX($O552,$M552-SUMIFS(TblApplications[RAM IKS libérable (Go)],TblApplications[Cluster IKS source],$F552,TblApplications[Action],"À migrer",TblApplications[Mois prov (calc)],"&lt;="&amp;$E552)-SUMIFS(TblApplications[RAM IKS libérable (Go)],TblApplications[Cluster IKS source],$F552,TblApplications[Action],"À décommissionner",TblApplications[Mois lib (calc)],"&lt;="&amp;$E552)))))</f>
        <v/>
      </c>
      <c r="Z552" s="14" t="str">
        <f aca="false">IF($D552&lt;&gt;1,"",IF($AI552=1,0,MAX($J552,ROUNDUP(MAX($X552/$H552,$Y552/$I552),0))))</f>
        <v/>
      </c>
      <c r="AA552" s="84" t="str">
        <f aca="false">IF($D552&lt;&gt;1,"",IF(p_mode="Nœud",$Z552*$K552,$X552*IF($G552="IKS",p_iks_cpu,p_roks_cpu)+$Y552*IF($G552="IKS",p_iks_ram,p_roks_ram))*p_facteur)</f>
        <v/>
      </c>
      <c r="AB552" s="14" t="str">
        <f aca="false">IF($D552&lt;&gt;1,"",MAX($J552,ROUNDUP(MAX($L552/$H552,$M552/$I552),0)))</f>
        <v/>
      </c>
      <c r="AC552" s="84" t="str">
        <f aca="false">IF($D552&lt;&gt;1,"",IF(p_mode="Nœud",$AB552*$K552,$L552*IF($G552="IKS",p_iks_cpu,p_roks_cpu)+$M552*IF($G552="IKS",p_iks_ram,p_roks_ram))*p_facteur)</f>
        <v/>
      </c>
      <c r="AD552" s="14" t="str">
        <f aca="false">IF($D552&lt;&gt;1,"",IF(AND($G552="IKS",$AI552&lt;&gt;1,OR($L552-$P552&lt;$N552,$M552-$Q552&lt;$O552)),1,0))</f>
        <v/>
      </c>
      <c r="AE552" s="14" t="str">
        <f aca="false">IF($D552&lt;&gt;1,"",IF(AND($G552="ROKS",$T552&gt;p_maxworkers),1,0))</f>
        <v/>
      </c>
      <c r="AF552" s="14" t="str">
        <f aca="false">IF($D552&lt;&gt;1,"",IF(INDEX(TblClusters[Environnement],$B552)="","(vide)",INDEX(TblClusters[Environnement],$B552)))</f>
        <v/>
      </c>
      <c r="AG552" s="14" t="str">
        <f aca="false">IF($D552&lt;&gt;1,"",$R552+p_poidsram*$S552)</f>
        <v/>
      </c>
      <c r="AH552" s="14" t="str">
        <f aca="false">IF($D552&lt;&gt;1,"",IFERROR($W552/$AG552,0))</f>
        <v/>
      </c>
      <c r="AI552" s="14" t="str">
        <f aca="false">IF($D552&lt;&gt;1,"",IF(AND($G552="IKS",ISNUMBER(INDEX(TblClusters[Fermeture retenue],$B552))),IF($E552&gt;=INDEX(TblClusters[Fermeture retenue],$B552),1,0),0))</f>
        <v/>
      </c>
    </row>
    <row r="553" customFormat="false" ht="15" hidden="false" customHeight="false" outlineLevel="0" collapsed="false">
      <c r="A553" s="14" t="n">
        <v>548</v>
      </c>
      <c r="B553" s="14" t="n">
        <f aca="false">INT(($A553-1)/36)+1</f>
        <v>16</v>
      </c>
      <c r="C553" s="14" t="n">
        <f aca="false">MOD($A553-1,36)+1</f>
        <v>8</v>
      </c>
      <c r="D553" s="14" t="n">
        <f aca="false">IF($C553&gt;p_horizon,0,IFERROR(IF(AND(INDEX(TblClusters[Cluster],$B553)&lt;&gt;"",ISNUMBER(INDEX(TblClusters[CPU initial (vCPU)],$B553)),ISNUMBER(INDEX(TblClusters[CPU min (vCPU)],$B553)),OR(INDEX(TblClusters[Plateforme],$B553)="IKS",INDEX(TblClusters[Plateforme],$B553)="ROKS")),1,0),0))</f>
        <v>0</v>
      </c>
      <c r="E553" s="83" t="str">
        <f aca="false">IF($D553=1,EDATE(p_debut,$C553-1),"")</f>
        <v/>
      </c>
      <c r="F553" s="14" t="str">
        <f aca="false">IF($D553=1,INDEX(TblClusters[Cluster],$B553),"")</f>
        <v/>
      </c>
      <c r="G553" s="14" t="str">
        <f aca="false">IF($D553=1,INDEX(TblClusters[Plateforme],$B553),"")</f>
        <v/>
      </c>
      <c r="H553" s="14" t="str">
        <f aca="false">IF($D553=1,INDEX(TblClusters[vCPU par nœud],$B553),"")</f>
        <v/>
      </c>
      <c r="I553" s="14" t="str">
        <f aca="false">IF($D553=1,INDEX(TblClusters[RAM par nœud (Go)],$B553),"")</f>
        <v/>
      </c>
      <c r="J553" s="14" t="str">
        <f aca="false">IF($D553=1,INDEX(TblClusters[Workers min],$B553),"")</f>
        <v/>
      </c>
      <c r="K553" s="84" t="str">
        <f aca="false">IF($D553=1,INDEX(TblClusters[Tarif par nœud],$B553),"")</f>
        <v/>
      </c>
      <c r="L553" s="14" t="str">
        <f aca="false">IF($D553=1,INDEX(TblClusters[CPU initial (vCPU)],$B553),"")</f>
        <v/>
      </c>
      <c r="M553" s="14" t="str">
        <f aca="false">IF($D553=1,INDEX(TblClusters[RAM initiale (Go)],$B553),"")</f>
        <v/>
      </c>
      <c r="N553" s="14" t="str">
        <f aca="false">IF($D553=1,INDEX(TblClusters[CPU min (vCPU)],$B553),"")</f>
        <v/>
      </c>
      <c r="O553" s="14" t="str">
        <f aca="false">IF($D553=1,INDEX(TblClusters[RAM min (Go)],$B553),"")</f>
        <v/>
      </c>
      <c r="P553" s="14" t="str">
        <f aca="false">IF($D553&lt;&gt;1,"",IF($G553="ROKS",SUMIFS(TblApplications[Besoin ROKS CPU (vCPU)],TblApplications[Cluster ROKS cible],$F553,TblApplications[Action],"À migrer",TblApplications[Déjà incluse ROKS],"Non",TblApplications[Mois prov (calc)],"&lt;="&amp;$E553),SUMIFS(TblApplications[CPU IKS libérable (vCPU)],TblApplications[Cluster IKS source],$F553,TblApplications[Mois lib (calc)],"&lt;="&amp;$E553)))</f>
        <v/>
      </c>
      <c r="Q553" s="14" t="str">
        <f aca="false">IF($D553&lt;&gt;1,"",IF($G553="ROKS",SUMIFS(TblApplications[Besoin ROKS RAM (Go)],TblApplications[Cluster ROKS cible],$F553,TblApplications[Action],"À migrer",TblApplications[Déjà incluse ROKS],"Non",TblApplications[Mois prov (calc)],"&lt;="&amp;$E553),SUMIFS(TblApplications[RAM IKS libérable (Go)],TblApplications[Cluster IKS source],$F553,TblApplications[Mois lib (calc)],"&lt;="&amp;$E553)))</f>
        <v/>
      </c>
      <c r="R553" s="14" t="str">
        <f aca="false">IF($D553&lt;&gt;1,"",IF($G553="ROKS",$L553+$P553,IF($AI553=1,0,MAX($N553,$L553-$P553))))</f>
        <v/>
      </c>
      <c r="S553" s="14" t="str">
        <f aca="false">IF($D553&lt;&gt;1,"",IF($G553="ROKS",$M553+$Q553,IF($AI553=1,0,MAX($O553,$M553-$Q553))))</f>
        <v/>
      </c>
      <c r="T553" s="14" t="str">
        <f aca="false">IF($D553&lt;&gt;1,"",IF($AI553=1,0,MAX($J553,ROUNDUP(MAX($R553/$H553,$S553/$I553),0))))</f>
        <v/>
      </c>
      <c r="U553" s="14" t="str">
        <f aca="false">IF($D553&lt;&gt;1,"",IF(p_mode="Nœud",$T553*$H553,$R553))</f>
        <v/>
      </c>
      <c r="V553" s="14" t="str">
        <f aca="false">IF($D553&lt;&gt;1,"",IF(p_mode="Nœud",$T553*$I553,$S553))</f>
        <v/>
      </c>
      <c r="W553" s="84" t="str">
        <f aca="false">IF($D553&lt;&gt;1,"",IF(p_mode="Nœud",$T553*$K553,$R553*IF($G553="IKS",p_iks_cpu,p_roks_cpu)+$S553*IF($G553="IKS",p_iks_ram,p_roks_ram))*p_facteur)</f>
        <v/>
      </c>
      <c r="X553" s="14" t="str">
        <f aca="false">IF($D553&lt;&gt;1,"",IF($G553="ROKS",$R553,IF($AI553=1,0,MAX($N553,$L553-SUMIFS(TblApplications[CPU IKS libérable (vCPU)],TblApplications[Cluster IKS source],$F553,TblApplications[Action],"À migrer",TblApplications[Mois prov (calc)],"&lt;="&amp;$E553)-SUMIFS(TblApplications[CPU IKS libérable (vCPU)],TblApplications[Cluster IKS source],$F553,TblApplications[Action],"À décommissionner",TblApplications[Mois lib (calc)],"&lt;="&amp;$E553)))))</f>
        <v/>
      </c>
      <c r="Y553" s="14" t="str">
        <f aca="false">IF($D553&lt;&gt;1,"",IF($G553="ROKS",$S553,IF($AI553=1,0,MAX($O553,$M553-SUMIFS(TblApplications[RAM IKS libérable (Go)],TblApplications[Cluster IKS source],$F553,TblApplications[Action],"À migrer",TblApplications[Mois prov (calc)],"&lt;="&amp;$E553)-SUMIFS(TblApplications[RAM IKS libérable (Go)],TblApplications[Cluster IKS source],$F553,TblApplications[Action],"À décommissionner",TblApplications[Mois lib (calc)],"&lt;="&amp;$E553)))))</f>
        <v/>
      </c>
      <c r="Z553" s="14" t="str">
        <f aca="false">IF($D553&lt;&gt;1,"",IF($AI553=1,0,MAX($J553,ROUNDUP(MAX($X553/$H553,$Y553/$I553),0))))</f>
        <v/>
      </c>
      <c r="AA553" s="84" t="str">
        <f aca="false">IF($D553&lt;&gt;1,"",IF(p_mode="Nœud",$Z553*$K553,$X553*IF($G553="IKS",p_iks_cpu,p_roks_cpu)+$Y553*IF($G553="IKS",p_iks_ram,p_roks_ram))*p_facteur)</f>
        <v/>
      </c>
      <c r="AB553" s="14" t="str">
        <f aca="false">IF($D553&lt;&gt;1,"",MAX($J553,ROUNDUP(MAX($L553/$H553,$M553/$I553),0)))</f>
        <v/>
      </c>
      <c r="AC553" s="84" t="str">
        <f aca="false">IF($D553&lt;&gt;1,"",IF(p_mode="Nœud",$AB553*$K553,$L553*IF($G553="IKS",p_iks_cpu,p_roks_cpu)+$M553*IF($G553="IKS",p_iks_ram,p_roks_ram))*p_facteur)</f>
        <v/>
      </c>
      <c r="AD553" s="14" t="str">
        <f aca="false">IF($D553&lt;&gt;1,"",IF(AND($G553="IKS",$AI553&lt;&gt;1,OR($L553-$P553&lt;$N553,$M553-$Q553&lt;$O553)),1,0))</f>
        <v/>
      </c>
      <c r="AE553" s="14" t="str">
        <f aca="false">IF($D553&lt;&gt;1,"",IF(AND($G553="ROKS",$T553&gt;p_maxworkers),1,0))</f>
        <v/>
      </c>
      <c r="AF553" s="14" t="str">
        <f aca="false">IF($D553&lt;&gt;1,"",IF(INDEX(TblClusters[Environnement],$B553)="","(vide)",INDEX(TblClusters[Environnement],$B553)))</f>
        <v/>
      </c>
      <c r="AG553" s="14" t="str">
        <f aca="false">IF($D553&lt;&gt;1,"",$R553+p_poidsram*$S553)</f>
        <v/>
      </c>
      <c r="AH553" s="14" t="str">
        <f aca="false">IF($D553&lt;&gt;1,"",IFERROR($W553/$AG553,0))</f>
        <v/>
      </c>
      <c r="AI553" s="14" t="str">
        <f aca="false">IF($D553&lt;&gt;1,"",IF(AND($G553="IKS",ISNUMBER(INDEX(TblClusters[Fermeture retenue],$B553))),IF($E553&gt;=INDEX(TblClusters[Fermeture retenue],$B553),1,0),0))</f>
        <v/>
      </c>
    </row>
    <row r="554" customFormat="false" ht="15" hidden="false" customHeight="false" outlineLevel="0" collapsed="false">
      <c r="A554" s="14" t="n">
        <v>549</v>
      </c>
      <c r="B554" s="14" t="n">
        <f aca="false">INT(($A554-1)/36)+1</f>
        <v>16</v>
      </c>
      <c r="C554" s="14" t="n">
        <f aca="false">MOD($A554-1,36)+1</f>
        <v>9</v>
      </c>
      <c r="D554" s="14" t="n">
        <f aca="false">IF($C554&gt;p_horizon,0,IFERROR(IF(AND(INDEX(TblClusters[Cluster],$B554)&lt;&gt;"",ISNUMBER(INDEX(TblClusters[CPU initial (vCPU)],$B554)),ISNUMBER(INDEX(TblClusters[CPU min (vCPU)],$B554)),OR(INDEX(TblClusters[Plateforme],$B554)="IKS",INDEX(TblClusters[Plateforme],$B554)="ROKS")),1,0),0))</f>
        <v>0</v>
      </c>
      <c r="E554" s="83" t="str">
        <f aca="false">IF($D554=1,EDATE(p_debut,$C554-1),"")</f>
        <v/>
      </c>
      <c r="F554" s="14" t="str">
        <f aca="false">IF($D554=1,INDEX(TblClusters[Cluster],$B554),"")</f>
        <v/>
      </c>
      <c r="G554" s="14" t="str">
        <f aca="false">IF($D554=1,INDEX(TblClusters[Plateforme],$B554),"")</f>
        <v/>
      </c>
      <c r="H554" s="14" t="str">
        <f aca="false">IF($D554=1,INDEX(TblClusters[vCPU par nœud],$B554),"")</f>
        <v/>
      </c>
      <c r="I554" s="14" t="str">
        <f aca="false">IF($D554=1,INDEX(TblClusters[RAM par nœud (Go)],$B554),"")</f>
        <v/>
      </c>
      <c r="J554" s="14" t="str">
        <f aca="false">IF($D554=1,INDEX(TblClusters[Workers min],$B554),"")</f>
        <v/>
      </c>
      <c r="K554" s="84" t="str">
        <f aca="false">IF($D554=1,INDEX(TblClusters[Tarif par nœud],$B554),"")</f>
        <v/>
      </c>
      <c r="L554" s="14" t="str">
        <f aca="false">IF($D554=1,INDEX(TblClusters[CPU initial (vCPU)],$B554),"")</f>
        <v/>
      </c>
      <c r="M554" s="14" t="str">
        <f aca="false">IF($D554=1,INDEX(TblClusters[RAM initiale (Go)],$B554),"")</f>
        <v/>
      </c>
      <c r="N554" s="14" t="str">
        <f aca="false">IF($D554=1,INDEX(TblClusters[CPU min (vCPU)],$B554),"")</f>
        <v/>
      </c>
      <c r="O554" s="14" t="str">
        <f aca="false">IF($D554=1,INDEX(TblClusters[RAM min (Go)],$B554),"")</f>
        <v/>
      </c>
      <c r="P554" s="14" t="str">
        <f aca="false">IF($D554&lt;&gt;1,"",IF($G554="ROKS",SUMIFS(TblApplications[Besoin ROKS CPU (vCPU)],TblApplications[Cluster ROKS cible],$F554,TblApplications[Action],"À migrer",TblApplications[Déjà incluse ROKS],"Non",TblApplications[Mois prov (calc)],"&lt;="&amp;$E554),SUMIFS(TblApplications[CPU IKS libérable (vCPU)],TblApplications[Cluster IKS source],$F554,TblApplications[Mois lib (calc)],"&lt;="&amp;$E554)))</f>
        <v/>
      </c>
      <c r="Q554" s="14" t="str">
        <f aca="false">IF($D554&lt;&gt;1,"",IF($G554="ROKS",SUMIFS(TblApplications[Besoin ROKS RAM (Go)],TblApplications[Cluster ROKS cible],$F554,TblApplications[Action],"À migrer",TblApplications[Déjà incluse ROKS],"Non",TblApplications[Mois prov (calc)],"&lt;="&amp;$E554),SUMIFS(TblApplications[RAM IKS libérable (Go)],TblApplications[Cluster IKS source],$F554,TblApplications[Mois lib (calc)],"&lt;="&amp;$E554)))</f>
        <v/>
      </c>
      <c r="R554" s="14" t="str">
        <f aca="false">IF($D554&lt;&gt;1,"",IF($G554="ROKS",$L554+$P554,IF($AI554=1,0,MAX($N554,$L554-$P554))))</f>
        <v/>
      </c>
      <c r="S554" s="14" t="str">
        <f aca="false">IF($D554&lt;&gt;1,"",IF($G554="ROKS",$M554+$Q554,IF($AI554=1,0,MAX($O554,$M554-$Q554))))</f>
        <v/>
      </c>
      <c r="T554" s="14" t="str">
        <f aca="false">IF($D554&lt;&gt;1,"",IF($AI554=1,0,MAX($J554,ROUNDUP(MAX($R554/$H554,$S554/$I554),0))))</f>
        <v/>
      </c>
      <c r="U554" s="14" t="str">
        <f aca="false">IF($D554&lt;&gt;1,"",IF(p_mode="Nœud",$T554*$H554,$R554))</f>
        <v/>
      </c>
      <c r="V554" s="14" t="str">
        <f aca="false">IF($D554&lt;&gt;1,"",IF(p_mode="Nœud",$T554*$I554,$S554))</f>
        <v/>
      </c>
      <c r="W554" s="84" t="str">
        <f aca="false">IF($D554&lt;&gt;1,"",IF(p_mode="Nœud",$T554*$K554,$R554*IF($G554="IKS",p_iks_cpu,p_roks_cpu)+$S554*IF($G554="IKS",p_iks_ram,p_roks_ram))*p_facteur)</f>
        <v/>
      </c>
      <c r="X554" s="14" t="str">
        <f aca="false">IF($D554&lt;&gt;1,"",IF($G554="ROKS",$R554,IF($AI554=1,0,MAX($N554,$L554-SUMIFS(TblApplications[CPU IKS libérable (vCPU)],TblApplications[Cluster IKS source],$F554,TblApplications[Action],"À migrer",TblApplications[Mois prov (calc)],"&lt;="&amp;$E554)-SUMIFS(TblApplications[CPU IKS libérable (vCPU)],TblApplications[Cluster IKS source],$F554,TblApplications[Action],"À décommissionner",TblApplications[Mois lib (calc)],"&lt;="&amp;$E554)))))</f>
        <v/>
      </c>
      <c r="Y554" s="14" t="str">
        <f aca="false">IF($D554&lt;&gt;1,"",IF($G554="ROKS",$S554,IF($AI554=1,0,MAX($O554,$M554-SUMIFS(TblApplications[RAM IKS libérable (Go)],TblApplications[Cluster IKS source],$F554,TblApplications[Action],"À migrer",TblApplications[Mois prov (calc)],"&lt;="&amp;$E554)-SUMIFS(TblApplications[RAM IKS libérable (Go)],TblApplications[Cluster IKS source],$F554,TblApplications[Action],"À décommissionner",TblApplications[Mois lib (calc)],"&lt;="&amp;$E554)))))</f>
        <v/>
      </c>
      <c r="Z554" s="14" t="str">
        <f aca="false">IF($D554&lt;&gt;1,"",IF($AI554=1,0,MAX($J554,ROUNDUP(MAX($X554/$H554,$Y554/$I554),0))))</f>
        <v/>
      </c>
      <c r="AA554" s="84" t="str">
        <f aca="false">IF($D554&lt;&gt;1,"",IF(p_mode="Nœud",$Z554*$K554,$X554*IF($G554="IKS",p_iks_cpu,p_roks_cpu)+$Y554*IF($G554="IKS",p_iks_ram,p_roks_ram))*p_facteur)</f>
        <v/>
      </c>
      <c r="AB554" s="14" t="str">
        <f aca="false">IF($D554&lt;&gt;1,"",MAX($J554,ROUNDUP(MAX($L554/$H554,$M554/$I554),0)))</f>
        <v/>
      </c>
      <c r="AC554" s="84" t="str">
        <f aca="false">IF($D554&lt;&gt;1,"",IF(p_mode="Nœud",$AB554*$K554,$L554*IF($G554="IKS",p_iks_cpu,p_roks_cpu)+$M554*IF($G554="IKS",p_iks_ram,p_roks_ram))*p_facteur)</f>
        <v/>
      </c>
      <c r="AD554" s="14" t="str">
        <f aca="false">IF($D554&lt;&gt;1,"",IF(AND($G554="IKS",$AI554&lt;&gt;1,OR($L554-$P554&lt;$N554,$M554-$Q554&lt;$O554)),1,0))</f>
        <v/>
      </c>
      <c r="AE554" s="14" t="str">
        <f aca="false">IF($D554&lt;&gt;1,"",IF(AND($G554="ROKS",$T554&gt;p_maxworkers),1,0))</f>
        <v/>
      </c>
      <c r="AF554" s="14" t="str">
        <f aca="false">IF($D554&lt;&gt;1,"",IF(INDEX(TblClusters[Environnement],$B554)="","(vide)",INDEX(TblClusters[Environnement],$B554)))</f>
        <v/>
      </c>
      <c r="AG554" s="14" t="str">
        <f aca="false">IF($D554&lt;&gt;1,"",$R554+p_poidsram*$S554)</f>
        <v/>
      </c>
      <c r="AH554" s="14" t="str">
        <f aca="false">IF($D554&lt;&gt;1,"",IFERROR($W554/$AG554,0))</f>
        <v/>
      </c>
      <c r="AI554" s="14" t="str">
        <f aca="false">IF($D554&lt;&gt;1,"",IF(AND($G554="IKS",ISNUMBER(INDEX(TblClusters[Fermeture retenue],$B554))),IF($E554&gt;=INDEX(TblClusters[Fermeture retenue],$B554),1,0),0))</f>
        <v/>
      </c>
    </row>
    <row r="555" customFormat="false" ht="15" hidden="false" customHeight="false" outlineLevel="0" collapsed="false">
      <c r="A555" s="14" t="n">
        <v>550</v>
      </c>
      <c r="B555" s="14" t="n">
        <f aca="false">INT(($A555-1)/36)+1</f>
        <v>16</v>
      </c>
      <c r="C555" s="14" t="n">
        <f aca="false">MOD($A555-1,36)+1</f>
        <v>10</v>
      </c>
      <c r="D555" s="14" t="n">
        <f aca="false">IF($C555&gt;p_horizon,0,IFERROR(IF(AND(INDEX(TblClusters[Cluster],$B555)&lt;&gt;"",ISNUMBER(INDEX(TblClusters[CPU initial (vCPU)],$B555)),ISNUMBER(INDEX(TblClusters[CPU min (vCPU)],$B555)),OR(INDEX(TblClusters[Plateforme],$B555)="IKS",INDEX(TblClusters[Plateforme],$B555)="ROKS")),1,0),0))</f>
        <v>0</v>
      </c>
      <c r="E555" s="83" t="str">
        <f aca="false">IF($D555=1,EDATE(p_debut,$C555-1),"")</f>
        <v/>
      </c>
      <c r="F555" s="14" t="str">
        <f aca="false">IF($D555=1,INDEX(TblClusters[Cluster],$B555),"")</f>
        <v/>
      </c>
      <c r="G555" s="14" t="str">
        <f aca="false">IF($D555=1,INDEX(TblClusters[Plateforme],$B555),"")</f>
        <v/>
      </c>
      <c r="H555" s="14" t="str">
        <f aca="false">IF($D555=1,INDEX(TblClusters[vCPU par nœud],$B555),"")</f>
        <v/>
      </c>
      <c r="I555" s="14" t="str">
        <f aca="false">IF($D555=1,INDEX(TblClusters[RAM par nœud (Go)],$B555),"")</f>
        <v/>
      </c>
      <c r="J555" s="14" t="str">
        <f aca="false">IF($D555=1,INDEX(TblClusters[Workers min],$B555),"")</f>
        <v/>
      </c>
      <c r="K555" s="84" t="str">
        <f aca="false">IF($D555=1,INDEX(TblClusters[Tarif par nœud],$B555),"")</f>
        <v/>
      </c>
      <c r="L555" s="14" t="str">
        <f aca="false">IF($D555=1,INDEX(TblClusters[CPU initial (vCPU)],$B555),"")</f>
        <v/>
      </c>
      <c r="M555" s="14" t="str">
        <f aca="false">IF($D555=1,INDEX(TblClusters[RAM initiale (Go)],$B555),"")</f>
        <v/>
      </c>
      <c r="N555" s="14" t="str">
        <f aca="false">IF($D555=1,INDEX(TblClusters[CPU min (vCPU)],$B555),"")</f>
        <v/>
      </c>
      <c r="O555" s="14" t="str">
        <f aca="false">IF($D555=1,INDEX(TblClusters[RAM min (Go)],$B555),"")</f>
        <v/>
      </c>
      <c r="P555" s="14" t="str">
        <f aca="false">IF($D555&lt;&gt;1,"",IF($G555="ROKS",SUMIFS(TblApplications[Besoin ROKS CPU (vCPU)],TblApplications[Cluster ROKS cible],$F555,TblApplications[Action],"À migrer",TblApplications[Déjà incluse ROKS],"Non",TblApplications[Mois prov (calc)],"&lt;="&amp;$E555),SUMIFS(TblApplications[CPU IKS libérable (vCPU)],TblApplications[Cluster IKS source],$F555,TblApplications[Mois lib (calc)],"&lt;="&amp;$E555)))</f>
        <v/>
      </c>
      <c r="Q555" s="14" t="str">
        <f aca="false">IF($D555&lt;&gt;1,"",IF($G555="ROKS",SUMIFS(TblApplications[Besoin ROKS RAM (Go)],TblApplications[Cluster ROKS cible],$F555,TblApplications[Action],"À migrer",TblApplications[Déjà incluse ROKS],"Non",TblApplications[Mois prov (calc)],"&lt;="&amp;$E555),SUMIFS(TblApplications[RAM IKS libérable (Go)],TblApplications[Cluster IKS source],$F555,TblApplications[Mois lib (calc)],"&lt;="&amp;$E555)))</f>
        <v/>
      </c>
      <c r="R555" s="14" t="str">
        <f aca="false">IF($D555&lt;&gt;1,"",IF($G555="ROKS",$L555+$P555,IF($AI555=1,0,MAX($N555,$L555-$P555))))</f>
        <v/>
      </c>
      <c r="S555" s="14" t="str">
        <f aca="false">IF($D555&lt;&gt;1,"",IF($G555="ROKS",$M555+$Q555,IF($AI555=1,0,MAX($O555,$M555-$Q555))))</f>
        <v/>
      </c>
      <c r="T555" s="14" t="str">
        <f aca="false">IF($D555&lt;&gt;1,"",IF($AI555=1,0,MAX($J555,ROUNDUP(MAX($R555/$H555,$S555/$I555),0))))</f>
        <v/>
      </c>
      <c r="U555" s="14" t="str">
        <f aca="false">IF($D555&lt;&gt;1,"",IF(p_mode="Nœud",$T555*$H555,$R555))</f>
        <v/>
      </c>
      <c r="V555" s="14" t="str">
        <f aca="false">IF($D555&lt;&gt;1,"",IF(p_mode="Nœud",$T555*$I555,$S555))</f>
        <v/>
      </c>
      <c r="W555" s="84" t="str">
        <f aca="false">IF($D555&lt;&gt;1,"",IF(p_mode="Nœud",$T555*$K555,$R555*IF($G555="IKS",p_iks_cpu,p_roks_cpu)+$S555*IF($G555="IKS",p_iks_ram,p_roks_ram))*p_facteur)</f>
        <v/>
      </c>
      <c r="X555" s="14" t="str">
        <f aca="false">IF($D555&lt;&gt;1,"",IF($G555="ROKS",$R555,IF($AI555=1,0,MAX($N555,$L555-SUMIFS(TblApplications[CPU IKS libérable (vCPU)],TblApplications[Cluster IKS source],$F555,TblApplications[Action],"À migrer",TblApplications[Mois prov (calc)],"&lt;="&amp;$E555)-SUMIFS(TblApplications[CPU IKS libérable (vCPU)],TblApplications[Cluster IKS source],$F555,TblApplications[Action],"À décommissionner",TblApplications[Mois lib (calc)],"&lt;="&amp;$E555)))))</f>
        <v/>
      </c>
      <c r="Y555" s="14" t="str">
        <f aca="false">IF($D555&lt;&gt;1,"",IF($G555="ROKS",$S555,IF($AI555=1,0,MAX($O555,$M555-SUMIFS(TblApplications[RAM IKS libérable (Go)],TblApplications[Cluster IKS source],$F555,TblApplications[Action],"À migrer",TblApplications[Mois prov (calc)],"&lt;="&amp;$E555)-SUMIFS(TblApplications[RAM IKS libérable (Go)],TblApplications[Cluster IKS source],$F555,TblApplications[Action],"À décommissionner",TblApplications[Mois lib (calc)],"&lt;="&amp;$E555)))))</f>
        <v/>
      </c>
      <c r="Z555" s="14" t="str">
        <f aca="false">IF($D555&lt;&gt;1,"",IF($AI555=1,0,MAX($J555,ROUNDUP(MAX($X555/$H555,$Y555/$I555),0))))</f>
        <v/>
      </c>
      <c r="AA555" s="84" t="str">
        <f aca="false">IF($D555&lt;&gt;1,"",IF(p_mode="Nœud",$Z555*$K555,$X555*IF($G555="IKS",p_iks_cpu,p_roks_cpu)+$Y555*IF($G555="IKS",p_iks_ram,p_roks_ram))*p_facteur)</f>
        <v/>
      </c>
      <c r="AB555" s="14" t="str">
        <f aca="false">IF($D555&lt;&gt;1,"",MAX($J555,ROUNDUP(MAX($L555/$H555,$M555/$I555),0)))</f>
        <v/>
      </c>
      <c r="AC555" s="84" t="str">
        <f aca="false">IF($D555&lt;&gt;1,"",IF(p_mode="Nœud",$AB555*$K555,$L555*IF($G555="IKS",p_iks_cpu,p_roks_cpu)+$M555*IF($G555="IKS",p_iks_ram,p_roks_ram))*p_facteur)</f>
        <v/>
      </c>
      <c r="AD555" s="14" t="str">
        <f aca="false">IF($D555&lt;&gt;1,"",IF(AND($G555="IKS",$AI555&lt;&gt;1,OR($L555-$P555&lt;$N555,$M555-$Q555&lt;$O555)),1,0))</f>
        <v/>
      </c>
      <c r="AE555" s="14" t="str">
        <f aca="false">IF($D555&lt;&gt;1,"",IF(AND($G555="ROKS",$T555&gt;p_maxworkers),1,0))</f>
        <v/>
      </c>
      <c r="AF555" s="14" t="str">
        <f aca="false">IF($D555&lt;&gt;1,"",IF(INDEX(TblClusters[Environnement],$B555)="","(vide)",INDEX(TblClusters[Environnement],$B555)))</f>
        <v/>
      </c>
      <c r="AG555" s="14" t="str">
        <f aca="false">IF($D555&lt;&gt;1,"",$R555+p_poidsram*$S555)</f>
        <v/>
      </c>
      <c r="AH555" s="14" t="str">
        <f aca="false">IF($D555&lt;&gt;1,"",IFERROR($W555/$AG555,0))</f>
        <v/>
      </c>
      <c r="AI555" s="14" t="str">
        <f aca="false">IF($D555&lt;&gt;1,"",IF(AND($G555="IKS",ISNUMBER(INDEX(TblClusters[Fermeture retenue],$B555))),IF($E555&gt;=INDEX(TblClusters[Fermeture retenue],$B555),1,0),0))</f>
        <v/>
      </c>
    </row>
    <row r="556" customFormat="false" ht="15" hidden="false" customHeight="false" outlineLevel="0" collapsed="false">
      <c r="A556" s="14" t="n">
        <v>551</v>
      </c>
      <c r="B556" s="14" t="n">
        <f aca="false">INT(($A556-1)/36)+1</f>
        <v>16</v>
      </c>
      <c r="C556" s="14" t="n">
        <f aca="false">MOD($A556-1,36)+1</f>
        <v>11</v>
      </c>
      <c r="D556" s="14" t="n">
        <f aca="false">IF($C556&gt;p_horizon,0,IFERROR(IF(AND(INDEX(TblClusters[Cluster],$B556)&lt;&gt;"",ISNUMBER(INDEX(TblClusters[CPU initial (vCPU)],$B556)),ISNUMBER(INDEX(TblClusters[CPU min (vCPU)],$B556)),OR(INDEX(TblClusters[Plateforme],$B556)="IKS",INDEX(TblClusters[Plateforme],$B556)="ROKS")),1,0),0))</f>
        <v>0</v>
      </c>
      <c r="E556" s="83" t="str">
        <f aca="false">IF($D556=1,EDATE(p_debut,$C556-1),"")</f>
        <v/>
      </c>
      <c r="F556" s="14" t="str">
        <f aca="false">IF($D556=1,INDEX(TblClusters[Cluster],$B556),"")</f>
        <v/>
      </c>
      <c r="G556" s="14" t="str">
        <f aca="false">IF($D556=1,INDEX(TblClusters[Plateforme],$B556),"")</f>
        <v/>
      </c>
      <c r="H556" s="14" t="str">
        <f aca="false">IF($D556=1,INDEX(TblClusters[vCPU par nœud],$B556),"")</f>
        <v/>
      </c>
      <c r="I556" s="14" t="str">
        <f aca="false">IF($D556=1,INDEX(TblClusters[RAM par nœud (Go)],$B556),"")</f>
        <v/>
      </c>
      <c r="J556" s="14" t="str">
        <f aca="false">IF($D556=1,INDEX(TblClusters[Workers min],$B556),"")</f>
        <v/>
      </c>
      <c r="K556" s="84" t="str">
        <f aca="false">IF($D556=1,INDEX(TblClusters[Tarif par nœud],$B556),"")</f>
        <v/>
      </c>
      <c r="L556" s="14" t="str">
        <f aca="false">IF($D556=1,INDEX(TblClusters[CPU initial (vCPU)],$B556),"")</f>
        <v/>
      </c>
      <c r="M556" s="14" t="str">
        <f aca="false">IF($D556=1,INDEX(TblClusters[RAM initiale (Go)],$B556),"")</f>
        <v/>
      </c>
      <c r="N556" s="14" t="str">
        <f aca="false">IF($D556=1,INDEX(TblClusters[CPU min (vCPU)],$B556),"")</f>
        <v/>
      </c>
      <c r="O556" s="14" t="str">
        <f aca="false">IF($D556=1,INDEX(TblClusters[RAM min (Go)],$B556),"")</f>
        <v/>
      </c>
      <c r="P556" s="14" t="str">
        <f aca="false">IF($D556&lt;&gt;1,"",IF($G556="ROKS",SUMIFS(TblApplications[Besoin ROKS CPU (vCPU)],TblApplications[Cluster ROKS cible],$F556,TblApplications[Action],"À migrer",TblApplications[Déjà incluse ROKS],"Non",TblApplications[Mois prov (calc)],"&lt;="&amp;$E556),SUMIFS(TblApplications[CPU IKS libérable (vCPU)],TblApplications[Cluster IKS source],$F556,TblApplications[Mois lib (calc)],"&lt;="&amp;$E556)))</f>
        <v/>
      </c>
      <c r="Q556" s="14" t="str">
        <f aca="false">IF($D556&lt;&gt;1,"",IF($G556="ROKS",SUMIFS(TblApplications[Besoin ROKS RAM (Go)],TblApplications[Cluster ROKS cible],$F556,TblApplications[Action],"À migrer",TblApplications[Déjà incluse ROKS],"Non",TblApplications[Mois prov (calc)],"&lt;="&amp;$E556),SUMIFS(TblApplications[RAM IKS libérable (Go)],TblApplications[Cluster IKS source],$F556,TblApplications[Mois lib (calc)],"&lt;="&amp;$E556)))</f>
        <v/>
      </c>
      <c r="R556" s="14" t="str">
        <f aca="false">IF($D556&lt;&gt;1,"",IF($G556="ROKS",$L556+$P556,IF($AI556=1,0,MAX($N556,$L556-$P556))))</f>
        <v/>
      </c>
      <c r="S556" s="14" t="str">
        <f aca="false">IF($D556&lt;&gt;1,"",IF($G556="ROKS",$M556+$Q556,IF($AI556=1,0,MAX($O556,$M556-$Q556))))</f>
        <v/>
      </c>
      <c r="T556" s="14" t="str">
        <f aca="false">IF($D556&lt;&gt;1,"",IF($AI556=1,0,MAX($J556,ROUNDUP(MAX($R556/$H556,$S556/$I556),0))))</f>
        <v/>
      </c>
      <c r="U556" s="14" t="str">
        <f aca="false">IF($D556&lt;&gt;1,"",IF(p_mode="Nœud",$T556*$H556,$R556))</f>
        <v/>
      </c>
      <c r="V556" s="14" t="str">
        <f aca="false">IF($D556&lt;&gt;1,"",IF(p_mode="Nœud",$T556*$I556,$S556))</f>
        <v/>
      </c>
      <c r="W556" s="84" t="str">
        <f aca="false">IF($D556&lt;&gt;1,"",IF(p_mode="Nœud",$T556*$K556,$R556*IF($G556="IKS",p_iks_cpu,p_roks_cpu)+$S556*IF($G556="IKS",p_iks_ram,p_roks_ram))*p_facteur)</f>
        <v/>
      </c>
      <c r="X556" s="14" t="str">
        <f aca="false">IF($D556&lt;&gt;1,"",IF($G556="ROKS",$R556,IF($AI556=1,0,MAX($N556,$L556-SUMIFS(TblApplications[CPU IKS libérable (vCPU)],TblApplications[Cluster IKS source],$F556,TblApplications[Action],"À migrer",TblApplications[Mois prov (calc)],"&lt;="&amp;$E556)-SUMIFS(TblApplications[CPU IKS libérable (vCPU)],TblApplications[Cluster IKS source],$F556,TblApplications[Action],"À décommissionner",TblApplications[Mois lib (calc)],"&lt;="&amp;$E556)))))</f>
        <v/>
      </c>
      <c r="Y556" s="14" t="str">
        <f aca="false">IF($D556&lt;&gt;1,"",IF($G556="ROKS",$S556,IF($AI556=1,0,MAX($O556,$M556-SUMIFS(TblApplications[RAM IKS libérable (Go)],TblApplications[Cluster IKS source],$F556,TblApplications[Action],"À migrer",TblApplications[Mois prov (calc)],"&lt;="&amp;$E556)-SUMIFS(TblApplications[RAM IKS libérable (Go)],TblApplications[Cluster IKS source],$F556,TblApplications[Action],"À décommissionner",TblApplications[Mois lib (calc)],"&lt;="&amp;$E556)))))</f>
        <v/>
      </c>
      <c r="Z556" s="14" t="str">
        <f aca="false">IF($D556&lt;&gt;1,"",IF($AI556=1,0,MAX($J556,ROUNDUP(MAX($X556/$H556,$Y556/$I556),0))))</f>
        <v/>
      </c>
      <c r="AA556" s="84" t="str">
        <f aca="false">IF($D556&lt;&gt;1,"",IF(p_mode="Nœud",$Z556*$K556,$X556*IF($G556="IKS",p_iks_cpu,p_roks_cpu)+$Y556*IF($G556="IKS",p_iks_ram,p_roks_ram))*p_facteur)</f>
        <v/>
      </c>
      <c r="AB556" s="14" t="str">
        <f aca="false">IF($D556&lt;&gt;1,"",MAX($J556,ROUNDUP(MAX($L556/$H556,$M556/$I556),0)))</f>
        <v/>
      </c>
      <c r="AC556" s="84" t="str">
        <f aca="false">IF($D556&lt;&gt;1,"",IF(p_mode="Nœud",$AB556*$K556,$L556*IF($G556="IKS",p_iks_cpu,p_roks_cpu)+$M556*IF($G556="IKS",p_iks_ram,p_roks_ram))*p_facteur)</f>
        <v/>
      </c>
      <c r="AD556" s="14" t="str">
        <f aca="false">IF($D556&lt;&gt;1,"",IF(AND($G556="IKS",$AI556&lt;&gt;1,OR($L556-$P556&lt;$N556,$M556-$Q556&lt;$O556)),1,0))</f>
        <v/>
      </c>
      <c r="AE556" s="14" t="str">
        <f aca="false">IF($D556&lt;&gt;1,"",IF(AND($G556="ROKS",$T556&gt;p_maxworkers),1,0))</f>
        <v/>
      </c>
      <c r="AF556" s="14" t="str">
        <f aca="false">IF($D556&lt;&gt;1,"",IF(INDEX(TblClusters[Environnement],$B556)="","(vide)",INDEX(TblClusters[Environnement],$B556)))</f>
        <v/>
      </c>
      <c r="AG556" s="14" t="str">
        <f aca="false">IF($D556&lt;&gt;1,"",$R556+p_poidsram*$S556)</f>
        <v/>
      </c>
      <c r="AH556" s="14" t="str">
        <f aca="false">IF($D556&lt;&gt;1,"",IFERROR($W556/$AG556,0))</f>
        <v/>
      </c>
      <c r="AI556" s="14" t="str">
        <f aca="false">IF($D556&lt;&gt;1,"",IF(AND($G556="IKS",ISNUMBER(INDEX(TblClusters[Fermeture retenue],$B556))),IF($E556&gt;=INDEX(TblClusters[Fermeture retenue],$B556),1,0),0))</f>
        <v/>
      </c>
    </row>
    <row r="557" customFormat="false" ht="15" hidden="false" customHeight="false" outlineLevel="0" collapsed="false">
      <c r="A557" s="14" t="n">
        <v>552</v>
      </c>
      <c r="B557" s="14" t="n">
        <f aca="false">INT(($A557-1)/36)+1</f>
        <v>16</v>
      </c>
      <c r="C557" s="14" t="n">
        <f aca="false">MOD($A557-1,36)+1</f>
        <v>12</v>
      </c>
      <c r="D557" s="14" t="n">
        <f aca="false">IF($C557&gt;p_horizon,0,IFERROR(IF(AND(INDEX(TblClusters[Cluster],$B557)&lt;&gt;"",ISNUMBER(INDEX(TblClusters[CPU initial (vCPU)],$B557)),ISNUMBER(INDEX(TblClusters[CPU min (vCPU)],$B557)),OR(INDEX(TblClusters[Plateforme],$B557)="IKS",INDEX(TblClusters[Plateforme],$B557)="ROKS")),1,0),0))</f>
        <v>0</v>
      </c>
      <c r="E557" s="83" t="str">
        <f aca="false">IF($D557=1,EDATE(p_debut,$C557-1),"")</f>
        <v/>
      </c>
      <c r="F557" s="14" t="str">
        <f aca="false">IF($D557=1,INDEX(TblClusters[Cluster],$B557),"")</f>
        <v/>
      </c>
      <c r="G557" s="14" t="str">
        <f aca="false">IF($D557=1,INDEX(TblClusters[Plateforme],$B557),"")</f>
        <v/>
      </c>
      <c r="H557" s="14" t="str">
        <f aca="false">IF($D557=1,INDEX(TblClusters[vCPU par nœud],$B557),"")</f>
        <v/>
      </c>
      <c r="I557" s="14" t="str">
        <f aca="false">IF($D557=1,INDEX(TblClusters[RAM par nœud (Go)],$B557),"")</f>
        <v/>
      </c>
      <c r="J557" s="14" t="str">
        <f aca="false">IF($D557=1,INDEX(TblClusters[Workers min],$B557),"")</f>
        <v/>
      </c>
      <c r="K557" s="84" t="str">
        <f aca="false">IF($D557=1,INDEX(TblClusters[Tarif par nœud],$B557),"")</f>
        <v/>
      </c>
      <c r="L557" s="14" t="str">
        <f aca="false">IF($D557=1,INDEX(TblClusters[CPU initial (vCPU)],$B557),"")</f>
        <v/>
      </c>
      <c r="M557" s="14" t="str">
        <f aca="false">IF($D557=1,INDEX(TblClusters[RAM initiale (Go)],$B557),"")</f>
        <v/>
      </c>
      <c r="N557" s="14" t="str">
        <f aca="false">IF($D557=1,INDEX(TblClusters[CPU min (vCPU)],$B557),"")</f>
        <v/>
      </c>
      <c r="O557" s="14" t="str">
        <f aca="false">IF($D557=1,INDEX(TblClusters[RAM min (Go)],$B557),"")</f>
        <v/>
      </c>
      <c r="P557" s="14" t="str">
        <f aca="false">IF($D557&lt;&gt;1,"",IF($G557="ROKS",SUMIFS(TblApplications[Besoin ROKS CPU (vCPU)],TblApplications[Cluster ROKS cible],$F557,TblApplications[Action],"À migrer",TblApplications[Déjà incluse ROKS],"Non",TblApplications[Mois prov (calc)],"&lt;="&amp;$E557),SUMIFS(TblApplications[CPU IKS libérable (vCPU)],TblApplications[Cluster IKS source],$F557,TblApplications[Mois lib (calc)],"&lt;="&amp;$E557)))</f>
        <v/>
      </c>
      <c r="Q557" s="14" t="str">
        <f aca="false">IF($D557&lt;&gt;1,"",IF($G557="ROKS",SUMIFS(TblApplications[Besoin ROKS RAM (Go)],TblApplications[Cluster ROKS cible],$F557,TblApplications[Action],"À migrer",TblApplications[Déjà incluse ROKS],"Non",TblApplications[Mois prov (calc)],"&lt;="&amp;$E557),SUMIFS(TblApplications[RAM IKS libérable (Go)],TblApplications[Cluster IKS source],$F557,TblApplications[Mois lib (calc)],"&lt;="&amp;$E557)))</f>
        <v/>
      </c>
      <c r="R557" s="14" t="str">
        <f aca="false">IF($D557&lt;&gt;1,"",IF($G557="ROKS",$L557+$P557,IF($AI557=1,0,MAX($N557,$L557-$P557))))</f>
        <v/>
      </c>
      <c r="S557" s="14" t="str">
        <f aca="false">IF($D557&lt;&gt;1,"",IF($G557="ROKS",$M557+$Q557,IF($AI557=1,0,MAX($O557,$M557-$Q557))))</f>
        <v/>
      </c>
      <c r="T557" s="14" t="str">
        <f aca="false">IF($D557&lt;&gt;1,"",IF($AI557=1,0,MAX($J557,ROUNDUP(MAX($R557/$H557,$S557/$I557),0))))</f>
        <v/>
      </c>
      <c r="U557" s="14" t="str">
        <f aca="false">IF($D557&lt;&gt;1,"",IF(p_mode="Nœud",$T557*$H557,$R557))</f>
        <v/>
      </c>
      <c r="V557" s="14" t="str">
        <f aca="false">IF($D557&lt;&gt;1,"",IF(p_mode="Nœud",$T557*$I557,$S557))</f>
        <v/>
      </c>
      <c r="W557" s="84" t="str">
        <f aca="false">IF($D557&lt;&gt;1,"",IF(p_mode="Nœud",$T557*$K557,$R557*IF($G557="IKS",p_iks_cpu,p_roks_cpu)+$S557*IF($G557="IKS",p_iks_ram,p_roks_ram))*p_facteur)</f>
        <v/>
      </c>
      <c r="X557" s="14" t="str">
        <f aca="false">IF($D557&lt;&gt;1,"",IF($G557="ROKS",$R557,IF($AI557=1,0,MAX($N557,$L557-SUMIFS(TblApplications[CPU IKS libérable (vCPU)],TblApplications[Cluster IKS source],$F557,TblApplications[Action],"À migrer",TblApplications[Mois prov (calc)],"&lt;="&amp;$E557)-SUMIFS(TblApplications[CPU IKS libérable (vCPU)],TblApplications[Cluster IKS source],$F557,TblApplications[Action],"À décommissionner",TblApplications[Mois lib (calc)],"&lt;="&amp;$E557)))))</f>
        <v/>
      </c>
      <c r="Y557" s="14" t="str">
        <f aca="false">IF($D557&lt;&gt;1,"",IF($G557="ROKS",$S557,IF($AI557=1,0,MAX($O557,$M557-SUMIFS(TblApplications[RAM IKS libérable (Go)],TblApplications[Cluster IKS source],$F557,TblApplications[Action],"À migrer",TblApplications[Mois prov (calc)],"&lt;="&amp;$E557)-SUMIFS(TblApplications[RAM IKS libérable (Go)],TblApplications[Cluster IKS source],$F557,TblApplications[Action],"À décommissionner",TblApplications[Mois lib (calc)],"&lt;="&amp;$E557)))))</f>
        <v/>
      </c>
      <c r="Z557" s="14" t="str">
        <f aca="false">IF($D557&lt;&gt;1,"",IF($AI557=1,0,MAX($J557,ROUNDUP(MAX($X557/$H557,$Y557/$I557),0))))</f>
        <v/>
      </c>
      <c r="AA557" s="84" t="str">
        <f aca="false">IF($D557&lt;&gt;1,"",IF(p_mode="Nœud",$Z557*$K557,$X557*IF($G557="IKS",p_iks_cpu,p_roks_cpu)+$Y557*IF($G557="IKS",p_iks_ram,p_roks_ram))*p_facteur)</f>
        <v/>
      </c>
      <c r="AB557" s="14" t="str">
        <f aca="false">IF($D557&lt;&gt;1,"",MAX($J557,ROUNDUP(MAX($L557/$H557,$M557/$I557),0)))</f>
        <v/>
      </c>
      <c r="AC557" s="84" t="str">
        <f aca="false">IF($D557&lt;&gt;1,"",IF(p_mode="Nœud",$AB557*$K557,$L557*IF($G557="IKS",p_iks_cpu,p_roks_cpu)+$M557*IF($G557="IKS",p_iks_ram,p_roks_ram))*p_facteur)</f>
        <v/>
      </c>
      <c r="AD557" s="14" t="str">
        <f aca="false">IF($D557&lt;&gt;1,"",IF(AND($G557="IKS",$AI557&lt;&gt;1,OR($L557-$P557&lt;$N557,$M557-$Q557&lt;$O557)),1,0))</f>
        <v/>
      </c>
      <c r="AE557" s="14" t="str">
        <f aca="false">IF($D557&lt;&gt;1,"",IF(AND($G557="ROKS",$T557&gt;p_maxworkers),1,0))</f>
        <v/>
      </c>
      <c r="AF557" s="14" t="str">
        <f aca="false">IF($D557&lt;&gt;1,"",IF(INDEX(TblClusters[Environnement],$B557)="","(vide)",INDEX(TblClusters[Environnement],$B557)))</f>
        <v/>
      </c>
      <c r="AG557" s="14" t="str">
        <f aca="false">IF($D557&lt;&gt;1,"",$R557+p_poidsram*$S557)</f>
        <v/>
      </c>
      <c r="AH557" s="14" t="str">
        <f aca="false">IF($D557&lt;&gt;1,"",IFERROR($W557/$AG557,0))</f>
        <v/>
      </c>
      <c r="AI557" s="14" t="str">
        <f aca="false">IF($D557&lt;&gt;1,"",IF(AND($G557="IKS",ISNUMBER(INDEX(TblClusters[Fermeture retenue],$B557))),IF($E557&gt;=INDEX(TblClusters[Fermeture retenue],$B557),1,0),0))</f>
        <v/>
      </c>
    </row>
    <row r="558" customFormat="false" ht="15" hidden="false" customHeight="false" outlineLevel="0" collapsed="false">
      <c r="A558" s="14" t="n">
        <v>553</v>
      </c>
      <c r="B558" s="14" t="n">
        <f aca="false">INT(($A558-1)/36)+1</f>
        <v>16</v>
      </c>
      <c r="C558" s="14" t="n">
        <f aca="false">MOD($A558-1,36)+1</f>
        <v>13</v>
      </c>
      <c r="D558" s="14" t="n">
        <f aca="false">IF($C558&gt;p_horizon,0,IFERROR(IF(AND(INDEX(TblClusters[Cluster],$B558)&lt;&gt;"",ISNUMBER(INDEX(TblClusters[CPU initial (vCPU)],$B558)),ISNUMBER(INDEX(TblClusters[CPU min (vCPU)],$B558)),OR(INDEX(TblClusters[Plateforme],$B558)="IKS",INDEX(TblClusters[Plateforme],$B558)="ROKS")),1,0),0))</f>
        <v>0</v>
      </c>
      <c r="E558" s="83" t="str">
        <f aca="false">IF($D558=1,EDATE(p_debut,$C558-1),"")</f>
        <v/>
      </c>
      <c r="F558" s="14" t="str">
        <f aca="false">IF($D558=1,INDEX(TblClusters[Cluster],$B558),"")</f>
        <v/>
      </c>
      <c r="G558" s="14" t="str">
        <f aca="false">IF($D558=1,INDEX(TblClusters[Plateforme],$B558),"")</f>
        <v/>
      </c>
      <c r="H558" s="14" t="str">
        <f aca="false">IF($D558=1,INDEX(TblClusters[vCPU par nœud],$B558),"")</f>
        <v/>
      </c>
      <c r="I558" s="14" t="str">
        <f aca="false">IF($D558=1,INDEX(TblClusters[RAM par nœud (Go)],$B558),"")</f>
        <v/>
      </c>
      <c r="J558" s="14" t="str">
        <f aca="false">IF($D558=1,INDEX(TblClusters[Workers min],$B558),"")</f>
        <v/>
      </c>
      <c r="K558" s="84" t="str">
        <f aca="false">IF($D558=1,INDEX(TblClusters[Tarif par nœud],$B558),"")</f>
        <v/>
      </c>
      <c r="L558" s="14" t="str">
        <f aca="false">IF($D558=1,INDEX(TblClusters[CPU initial (vCPU)],$B558),"")</f>
        <v/>
      </c>
      <c r="M558" s="14" t="str">
        <f aca="false">IF($D558=1,INDEX(TblClusters[RAM initiale (Go)],$B558),"")</f>
        <v/>
      </c>
      <c r="N558" s="14" t="str">
        <f aca="false">IF($D558=1,INDEX(TblClusters[CPU min (vCPU)],$B558),"")</f>
        <v/>
      </c>
      <c r="O558" s="14" t="str">
        <f aca="false">IF($D558=1,INDEX(TblClusters[RAM min (Go)],$B558),"")</f>
        <v/>
      </c>
      <c r="P558" s="14" t="str">
        <f aca="false">IF($D558&lt;&gt;1,"",IF($G558="ROKS",SUMIFS(TblApplications[Besoin ROKS CPU (vCPU)],TblApplications[Cluster ROKS cible],$F558,TblApplications[Action],"À migrer",TblApplications[Déjà incluse ROKS],"Non",TblApplications[Mois prov (calc)],"&lt;="&amp;$E558),SUMIFS(TblApplications[CPU IKS libérable (vCPU)],TblApplications[Cluster IKS source],$F558,TblApplications[Mois lib (calc)],"&lt;="&amp;$E558)))</f>
        <v/>
      </c>
      <c r="Q558" s="14" t="str">
        <f aca="false">IF($D558&lt;&gt;1,"",IF($G558="ROKS",SUMIFS(TblApplications[Besoin ROKS RAM (Go)],TblApplications[Cluster ROKS cible],$F558,TblApplications[Action],"À migrer",TblApplications[Déjà incluse ROKS],"Non",TblApplications[Mois prov (calc)],"&lt;="&amp;$E558),SUMIFS(TblApplications[RAM IKS libérable (Go)],TblApplications[Cluster IKS source],$F558,TblApplications[Mois lib (calc)],"&lt;="&amp;$E558)))</f>
        <v/>
      </c>
      <c r="R558" s="14" t="str">
        <f aca="false">IF($D558&lt;&gt;1,"",IF($G558="ROKS",$L558+$P558,IF($AI558=1,0,MAX($N558,$L558-$P558))))</f>
        <v/>
      </c>
      <c r="S558" s="14" t="str">
        <f aca="false">IF($D558&lt;&gt;1,"",IF($G558="ROKS",$M558+$Q558,IF($AI558=1,0,MAX($O558,$M558-$Q558))))</f>
        <v/>
      </c>
      <c r="T558" s="14" t="str">
        <f aca="false">IF($D558&lt;&gt;1,"",IF($AI558=1,0,MAX($J558,ROUNDUP(MAX($R558/$H558,$S558/$I558),0))))</f>
        <v/>
      </c>
      <c r="U558" s="14" t="str">
        <f aca="false">IF($D558&lt;&gt;1,"",IF(p_mode="Nœud",$T558*$H558,$R558))</f>
        <v/>
      </c>
      <c r="V558" s="14" t="str">
        <f aca="false">IF($D558&lt;&gt;1,"",IF(p_mode="Nœud",$T558*$I558,$S558))</f>
        <v/>
      </c>
      <c r="W558" s="84" t="str">
        <f aca="false">IF($D558&lt;&gt;1,"",IF(p_mode="Nœud",$T558*$K558,$R558*IF($G558="IKS",p_iks_cpu,p_roks_cpu)+$S558*IF($G558="IKS",p_iks_ram,p_roks_ram))*p_facteur)</f>
        <v/>
      </c>
      <c r="X558" s="14" t="str">
        <f aca="false">IF($D558&lt;&gt;1,"",IF($G558="ROKS",$R558,IF($AI558=1,0,MAX($N558,$L558-SUMIFS(TblApplications[CPU IKS libérable (vCPU)],TblApplications[Cluster IKS source],$F558,TblApplications[Action],"À migrer",TblApplications[Mois prov (calc)],"&lt;="&amp;$E558)-SUMIFS(TblApplications[CPU IKS libérable (vCPU)],TblApplications[Cluster IKS source],$F558,TblApplications[Action],"À décommissionner",TblApplications[Mois lib (calc)],"&lt;="&amp;$E558)))))</f>
        <v/>
      </c>
      <c r="Y558" s="14" t="str">
        <f aca="false">IF($D558&lt;&gt;1,"",IF($G558="ROKS",$S558,IF($AI558=1,0,MAX($O558,$M558-SUMIFS(TblApplications[RAM IKS libérable (Go)],TblApplications[Cluster IKS source],$F558,TblApplications[Action],"À migrer",TblApplications[Mois prov (calc)],"&lt;="&amp;$E558)-SUMIFS(TblApplications[RAM IKS libérable (Go)],TblApplications[Cluster IKS source],$F558,TblApplications[Action],"À décommissionner",TblApplications[Mois lib (calc)],"&lt;="&amp;$E558)))))</f>
        <v/>
      </c>
      <c r="Z558" s="14" t="str">
        <f aca="false">IF($D558&lt;&gt;1,"",IF($AI558=1,0,MAX($J558,ROUNDUP(MAX($X558/$H558,$Y558/$I558),0))))</f>
        <v/>
      </c>
      <c r="AA558" s="84" t="str">
        <f aca="false">IF($D558&lt;&gt;1,"",IF(p_mode="Nœud",$Z558*$K558,$X558*IF($G558="IKS",p_iks_cpu,p_roks_cpu)+$Y558*IF($G558="IKS",p_iks_ram,p_roks_ram))*p_facteur)</f>
        <v/>
      </c>
      <c r="AB558" s="14" t="str">
        <f aca="false">IF($D558&lt;&gt;1,"",MAX($J558,ROUNDUP(MAX($L558/$H558,$M558/$I558),0)))</f>
        <v/>
      </c>
      <c r="AC558" s="84" t="str">
        <f aca="false">IF($D558&lt;&gt;1,"",IF(p_mode="Nœud",$AB558*$K558,$L558*IF($G558="IKS",p_iks_cpu,p_roks_cpu)+$M558*IF($G558="IKS",p_iks_ram,p_roks_ram))*p_facteur)</f>
        <v/>
      </c>
      <c r="AD558" s="14" t="str">
        <f aca="false">IF($D558&lt;&gt;1,"",IF(AND($G558="IKS",$AI558&lt;&gt;1,OR($L558-$P558&lt;$N558,$M558-$Q558&lt;$O558)),1,0))</f>
        <v/>
      </c>
      <c r="AE558" s="14" t="str">
        <f aca="false">IF($D558&lt;&gt;1,"",IF(AND($G558="ROKS",$T558&gt;p_maxworkers),1,0))</f>
        <v/>
      </c>
      <c r="AF558" s="14" t="str">
        <f aca="false">IF($D558&lt;&gt;1,"",IF(INDEX(TblClusters[Environnement],$B558)="","(vide)",INDEX(TblClusters[Environnement],$B558)))</f>
        <v/>
      </c>
      <c r="AG558" s="14" t="str">
        <f aca="false">IF($D558&lt;&gt;1,"",$R558+p_poidsram*$S558)</f>
        <v/>
      </c>
      <c r="AH558" s="14" t="str">
        <f aca="false">IF($D558&lt;&gt;1,"",IFERROR($W558/$AG558,0))</f>
        <v/>
      </c>
      <c r="AI558" s="14" t="str">
        <f aca="false">IF($D558&lt;&gt;1,"",IF(AND($G558="IKS",ISNUMBER(INDEX(TblClusters[Fermeture retenue],$B558))),IF($E558&gt;=INDEX(TblClusters[Fermeture retenue],$B558),1,0),0))</f>
        <v/>
      </c>
    </row>
    <row r="559" customFormat="false" ht="15" hidden="false" customHeight="false" outlineLevel="0" collapsed="false">
      <c r="A559" s="14" t="n">
        <v>554</v>
      </c>
      <c r="B559" s="14" t="n">
        <f aca="false">INT(($A559-1)/36)+1</f>
        <v>16</v>
      </c>
      <c r="C559" s="14" t="n">
        <f aca="false">MOD($A559-1,36)+1</f>
        <v>14</v>
      </c>
      <c r="D559" s="14" t="n">
        <f aca="false">IF($C559&gt;p_horizon,0,IFERROR(IF(AND(INDEX(TblClusters[Cluster],$B559)&lt;&gt;"",ISNUMBER(INDEX(TblClusters[CPU initial (vCPU)],$B559)),ISNUMBER(INDEX(TblClusters[CPU min (vCPU)],$B559)),OR(INDEX(TblClusters[Plateforme],$B559)="IKS",INDEX(TblClusters[Plateforme],$B559)="ROKS")),1,0),0))</f>
        <v>0</v>
      </c>
      <c r="E559" s="83" t="str">
        <f aca="false">IF($D559=1,EDATE(p_debut,$C559-1),"")</f>
        <v/>
      </c>
      <c r="F559" s="14" t="str">
        <f aca="false">IF($D559=1,INDEX(TblClusters[Cluster],$B559),"")</f>
        <v/>
      </c>
      <c r="G559" s="14" t="str">
        <f aca="false">IF($D559=1,INDEX(TblClusters[Plateforme],$B559),"")</f>
        <v/>
      </c>
      <c r="H559" s="14" t="str">
        <f aca="false">IF($D559=1,INDEX(TblClusters[vCPU par nœud],$B559),"")</f>
        <v/>
      </c>
      <c r="I559" s="14" t="str">
        <f aca="false">IF($D559=1,INDEX(TblClusters[RAM par nœud (Go)],$B559),"")</f>
        <v/>
      </c>
      <c r="J559" s="14" t="str">
        <f aca="false">IF($D559=1,INDEX(TblClusters[Workers min],$B559),"")</f>
        <v/>
      </c>
      <c r="K559" s="84" t="str">
        <f aca="false">IF($D559=1,INDEX(TblClusters[Tarif par nœud],$B559),"")</f>
        <v/>
      </c>
      <c r="L559" s="14" t="str">
        <f aca="false">IF($D559=1,INDEX(TblClusters[CPU initial (vCPU)],$B559),"")</f>
        <v/>
      </c>
      <c r="M559" s="14" t="str">
        <f aca="false">IF($D559=1,INDEX(TblClusters[RAM initiale (Go)],$B559),"")</f>
        <v/>
      </c>
      <c r="N559" s="14" t="str">
        <f aca="false">IF($D559=1,INDEX(TblClusters[CPU min (vCPU)],$B559),"")</f>
        <v/>
      </c>
      <c r="O559" s="14" t="str">
        <f aca="false">IF($D559=1,INDEX(TblClusters[RAM min (Go)],$B559),"")</f>
        <v/>
      </c>
      <c r="P559" s="14" t="str">
        <f aca="false">IF($D559&lt;&gt;1,"",IF($G559="ROKS",SUMIFS(TblApplications[Besoin ROKS CPU (vCPU)],TblApplications[Cluster ROKS cible],$F559,TblApplications[Action],"À migrer",TblApplications[Déjà incluse ROKS],"Non",TblApplications[Mois prov (calc)],"&lt;="&amp;$E559),SUMIFS(TblApplications[CPU IKS libérable (vCPU)],TblApplications[Cluster IKS source],$F559,TblApplications[Mois lib (calc)],"&lt;="&amp;$E559)))</f>
        <v/>
      </c>
      <c r="Q559" s="14" t="str">
        <f aca="false">IF($D559&lt;&gt;1,"",IF($G559="ROKS",SUMIFS(TblApplications[Besoin ROKS RAM (Go)],TblApplications[Cluster ROKS cible],$F559,TblApplications[Action],"À migrer",TblApplications[Déjà incluse ROKS],"Non",TblApplications[Mois prov (calc)],"&lt;="&amp;$E559),SUMIFS(TblApplications[RAM IKS libérable (Go)],TblApplications[Cluster IKS source],$F559,TblApplications[Mois lib (calc)],"&lt;="&amp;$E559)))</f>
        <v/>
      </c>
      <c r="R559" s="14" t="str">
        <f aca="false">IF($D559&lt;&gt;1,"",IF($G559="ROKS",$L559+$P559,IF($AI559=1,0,MAX($N559,$L559-$P559))))</f>
        <v/>
      </c>
      <c r="S559" s="14" t="str">
        <f aca="false">IF($D559&lt;&gt;1,"",IF($G559="ROKS",$M559+$Q559,IF($AI559=1,0,MAX($O559,$M559-$Q559))))</f>
        <v/>
      </c>
      <c r="T559" s="14" t="str">
        <f aca="false">IF($D559&lt;&gt;1,"",IF($AI559=1,0,MAX($J559,ROUNDUP(MAX($R559/$H559,$S559/$I559),0))))</f>
        <v/>
      </c>
      <c r="U559" s="14" t="str">
        <f aca="false">IF($D559&lt;&gt;1,"",IF(p_mode="Nœud",$T559*$H559,$R559))</f>
        <v/>
      </c>
      <c r="V559" s="14" t="str">
        <f aca="false">IF($D559&lt;&gt;1,"",IF(p_mode="Nœud",$T559*$I559,$S559))</f>
        <v/>
      </c>
      <c r="W559" s="84" t="str">
        <f aca="false">IF($D559&lt;&gt;1,"",IF(p_mode="Nœud",$T559*$K559,$R559*IF($G559="IKS",p_iks_cpu,p_roks_cpu)+$S559*IF($G559="IKS",p_iks_ram,p_roks_ram))*p_facteur)</f>
        <v/>
      </c>
      <c r="X559" s="14" t="str">
        <f aca="false">IF($D559&lt;&gt;1,"",IF($G559="ROKS",$R559,IF($AI559=1,0,MAX($N559,$L559-SUMIFS(TblApplications[CPU IKS libérable (vCPU)],TblApplications[Cluster IKS source],$F559,TblApplications[Action],"À migrer",TblApplications[Mois prov (calc)],"&lt;="&amp;$E559)-SUMIFS(TblApplications[CPU IKS libérable (vCPU)],TblApplications[Cluster IKS source],$F559,TblApplications[Action],"À décommissionner",TblApplications[Mois lib (calc)],"&lt;="&amp;$E559)))))</f>
        <v/>
      </c>
      <c r="Y559" s="14" t="str">
        <f aca="false">IF($D559&lt;&gt;1,"",IF($G559="ROKS",$S559,IF($AI559=1,0,MAX($O559,$M559-SUMIFS(TblApplications[RAM IKS libérable (Go)],TblApplications[Cluster IKS source],$F559,TblApplications[Action],"À migrer",TblApplications[Mois prov (calc)],"&lt;="&amp;$E559)-SUMIFS(TblApplications[RAM IKS libérable (Go)],TblApplications[Cluster IKS source],$F559,TblApplications[Action],"À décommissionner",TblApplications[Mois lib (calc)],"&lt;="&amp;$E559)))))</f>
        <v/>
      </c>
      <c r="Z559" s="14" t="str">
        <f aca="false">IF($D559&lt;&gt;1,"",IF($AI559=1,0,MAX($J559,ROUNDUP(MAX($X559/$H559,$Y559/$I559),0))))</f>
        <v/>
      </c>
      <c r="AA559" s="84" t="str">
        <f aca="false">IF($D559&lt;&gt;1,"",IF(p_mode="Nœud",$Z559*$K559,$X559*IF($G559="IKS",p_iks_cpu,p_roks_cpu)+$Y559*IF($G559="IKS",p_iks_ram,p_roks_ram))*p_facteur)</f>
        <v/>
      </c>
      <c r="AB559" s="14" t="str">
        <f aca="false">IF($D559&lt;&gt;1,"",MAX($J559,ROUNDUP(MAX($L559/$H559,$M559/$I559),0)))</f>
        <v/>
      </c>
      <c r="AC559" s="84" t="str">
        <f aca="false">IF($D559&lt;&gt;1,"",IF(p_mode="Nœud",$AB559*$K559,$L559*IF($G559="IKS",p_iks_cpu,p_roks_cpu)+$M559*IF($G559="IKS",p_iks_ram,p_roks_ram))*p_facteur)</f>
        <v/>
      </c>
      <c r="AD559" s="14" t="str">
        <f aca="false">IF($D559&lt;&gt;1,"",IF(AND($G559="IKS",$AI559&lt;&gt;1,OR($L559-$P559&lt;$N559,$M559-$Q559&lt;$O559)),1,0))</f>
        <v/>
      </c>
      <c r="AE559" s="14" t="str">
        <f aca="false">IF($D559&lt;&gt;1,"",IF(AND($G559="ROKS",$T559&gt;p_maxworkers),1,0))</f>
        <v/>
      </c>
      <c r="AF559" s="14" t="str">
        <f aca="false">IF($D559&lt;&gt;1,"",IF(INDEX(TblClusters[Environnement],$B559)="","(vide)",INDEX(TblClusters[Environnement],$B559)))</f>
        <v/>
      </c>
      <c r="AG559" s="14" t="str">
        <f aca="false">IF($D559&lt;&gt;1,"",$R559+p_poidsram*$S559)</f>
        <v/>
      </c>
      <c r="AH559" s="14" t="str">
        <f aca="false">IF($D559&lt;&gt;1,"",IFERROR($W559/$AG559,0))</f>
        <v/>
      </c>
      <c r="AI559" s="14" t="str">
        <f aca="false">IF($D559&lt;&gt;1,"",IF(AND($G559="IKS",ISNUMBER(INDEX(TblClusters[Fermeture retenue],$B559))),IF($E559&gt;=INDEX(TblClusters[Fermeture retenue],$B559),1,0),0))</f>
        <v/>
      </c>
    </row>
    <row r="560" customFormat="false" ht="15" hidden="false" customHeight="false" outlineLevel="0" collapsed="false">
      <c r="A560" s="14" t="n">
        <v>555</v>
      </c>
      <c r="B560" s="14" t="n">
        <f aca="false">INT(($A560-1)/36)+1</f>
        <v>16</v>
      </c>
      <c r="C560" s="14" t="n">
        <f aca="false">MOD($A560-1,36)+1</f>
        <v>15</v>
      </c>
      <c r="D560" s="14" t="n">
        <f aca="false">IF($C560&gt;p_horizon,0,IFERROR(IF(AND(INDEX(TblClusters[Cluster],$B560)&lt;&gt;"",ISNUMBER(INDEX(TblClusters[CPU initial (vCPU)],$B560)),ISNUMBER(INDEX(TblClusters[CPU min (vCPU)],$B560)),OR(INDEX(TblClusters[Plateforme],$B560)="IKS",INDEX(TblClusters[Plateforme],$B560)="ROKS")),1,0),0))</f>
        <v>0</v>
      </c>
      <c r="E560" s="83" t="str">
        <f aca="false">IF($D560=1,EDATE(p_debut,$C560-1),"")</f>
        <v/>
      </c>
      <c r="F560" s="14" t="str">
        <f aca="false">IF($D560=1,INDEX(TblClusters[Cluster],$B560),"")</f>
        <v/>
      </c>
      <c r="G560" s="14" t="str">
        <f aca="false">IF($D560=1,INDEX(TblClusters[Plateforme],$B560),"")</f>
        <v/>
      </c>
      <c r="H560" s="14" t="str">
        <f aca="false">IF($D560=1,INDEX(TblClusters[vCPU par nœud],$B560),"")</f>
        <v/>
      </c>
      <c r="I560" s="14" t="str">
        <f aca="false">IF($D560=1,INDEX(TblClusters[RAM par nœud (Go)],$B560),"")</f>
        <v/>
      </c>
      <c r="J560" s="14" t="str">
        <f aca="false">IF($D560=1,INDEX(TblClusters[Workers min],$B560),"")</f>
        <v/>
      </c>
      <c r="K560" s="84" t="str">
        <f aca="false">IF($D560=1,INDEX(TblClusters[Tarif par nœud],$B560),"")</f>
        <v/>
      </c>
      <c r="L560" s="14" t="str">
        <f aca="false">IF($D560=1,INDEX(TblClusters[CPU initial (vCPU)],$B560),"")</f>
        <v/>
      </c>
      <c r="M560" s="14" t="str">
        <f aca="false">IF($D560=1,INDEX(TblClusters[RAM initiale (Go)],$B560),"")</f>
        <v/>
      </c>
      <c r="N560" s="14" t="str">
        <f aca="false">IF($D560=1,INDEX(TblClusters[CPU min (vCPU)],$B560),"")</f>
        <v/>
      </c>
      <c r="O560" s="14" t="str">
        <f aca="false">IF($D560=1,INDEX(TblClusters[RAM min (Go)],$B560),"")</f>
        <v/>
      </c>
      <c r="P560" s="14" t="str">
        <f aca="false">IF($D560&lt;&gt;1,"",IF($G560="ROKS",SUMIFS(TblApplications[Besoin ROKS CPU (vCPU)],TblApplications[Cluster ROKS cible],$F560,TblApplications[Action],"À migrer",TblApplications[Déjà incluse ROKS],"Non",TblApplications[Mois prov (calc)],"&lt;="&amp;$E560),SUMIFS(TblApplications[CPU IKS libérable (vCPU)],TblApplications[Cluster IKS source],$F560,TblApplications[Mois lib (calc)],"&lt;="&amp;$E560)))</f>
        <v/>
      </c>
      <c r="Q560" s="14" t="str">
        <f aca="false">IF($D560&lt;&gt;1,"",IF($G560="ROKS",SUMIFS(TblApplications[Besoin ROKS RAM (Go)],TblApplications[Cluster ROKS cible],$F560,TblApplications[Action],"À migrer",TblApplications[Déjà incluse ROKS],"Non",TblApplications[Mois prov (calc)],"&lt;="&amp;$E560),SUMIFS(TblApplications[RAM IKS libérable (Go)],TblApplications[Cluster IKS source],$F560,TblApplications[Mois lib (calc)],"&lt;="&amp;$E560)))</f>
        <v/>
      </c>
      <c r="R560" s="14" t="str">
        <f aca="false">IF($D560&lt;&gt;1,"",IF($G560="ROKS",$L560+$P560,IF($AI560=1,0,MAX($N560,$L560-$P560))))</f>
        <v/>
      </c>
      <c r="S560" s="14" t="str">
        <f aca="false">IF($D560&lt;&gt;1,"",IF($G560="ROKS",$M560+$Q560,IF($AI560=1,0,MAX($O560,$M560-$Q560))))</f>
        <v/>
      </c>
      <c r="T560" s="14" t="str">
        <f aca="false">IF($D560&lt;&gt;1,"",IF($AI560=1,0,MAX($J560,ROUNDUP(MAX($R560/$H560,$S560/$I560),0))))</f>
        <v/>
      </c>
      <c r="U560" s="14" t="str">
        <f aca="false">IF($D560&lt;&gt;1,"",IF(p_mode="Nœud",$T560*$H560,$R560))</f>
        <v/>
      </c>
      <c r="V560" s="14" t="str">
        <f aca="false">IF($D560&lt;&gt;1,"",IF(p_mode="Nœud",$T560*$I560,$S560))</f>
        <v/>
      </c>
      <c r="W560" s="84" t="str">
        <f aca="false">IF($D560&lt;&gt;1,"",IF(p_mode="Nœud",$T560*$K560,$R560*IF($G560="IKS",p_iks_cpu,p_roks_cpu)+$S560*IF($G560="IKS",p_iks_ram,p_roks_ram))*p_facteur)</f>
        <v/>
      </c>
      <c r="X560" s="14" t="str">
        <f aca="false">IF($D560&lt;&gt;1,"",IF($G560="ROKS",$R560,IF($AI560=1,0,MAX($N560,$L560-SUMIFS(TblApplications[CPU IKS libérable (vCPU)],TblApplications[Cluster IKS source],$F560,TblApplications[Action],"À migrer",TblApplications[Mois prov (calc)],"&lt;="&amp;$E560)-SUMIFS(TblApplications[CPU IKS libérable (vCPU)],TblApplications[Cluster IKS source],$F560,TblApplications[Action],"À décommissionner",TblApplications[Mois lib (calc)],"&lt;="&amp;$E560)))))</f>
        <v/>
      </c>
      <c r="Y560" s="14" t="str">
        <f aca="false">IF($D560&lt;&gt;1,"",IF($G560="ROKS",$S560,IF($AI560=1,0,MAX($O560,$M560-SUMIFS(TblApplications[RAM IKS libérable (Go)],TblApplications[Cluster IKS source],$F560,TblApplications[Action],"À migrer",TblApplications[Mois prov (calc)],"&lt;="&amp;$E560)-SUMIFS(TblApplications[RAM IKS libérable (Go)],TblApplications[Cluster IKS source],$F560,TblApplications[Action],"À décommissionner",TblApplications[Mois lib (calc)],"&lt;="&amp;$E560)))))</f>
        <v/>
      </c>
      <c r="Z560" s="14" t="str">
        <f aca="false">IF($D560&lt;&gt;1,"",IF($AI560=1,0,MAX($J560,ROUNDUP(MAX($X560/$H560,$Y560/$I560),0))))</f>
        <v/>
      </c>
      <c r="AA560" s="84" t="str">
        <f aca="false">IF($D560&lt;&gt;1,"",IF(p_mode="Nœud",$Z560*$K560,$X560*IF($G560="IKS",p_iks_cpu,p_roks_cpu)+$Y560*IF($G560="IKS",p_iks_ram,p_roks_ram))*p_facteur)</f>
        <v/>
      </c>
      <c r="AB560" s="14" t="str">
        <f aca="false">IF($D560&lt;&gt;1,"",MAX($J560,ROUNDUP(MAX($L560/$H560,$M560/$I560),0)))</f>
        <v/>
      </c>
      <c r="AC560" s="84" t="str">
        <f aca="false">IF($D560&lt;&gt;1,"",IF(p_mode="Nœud",$AB560*$K560,$L560*IF($G560="IKS",p_iks_cpu,p_roks_cpu)+$M560*IF($G560="IKS",p_iks_ram,p_roks_ram))*p_facteur)</f>
        <v/>
      </c>
      <c r="AD560" s="14" t="str">
        <f aca="false">IF($D560&lt;&gt;1,"",IF(AND($G560="IKS",$AI560&lt;&gt;1,OR($L560-$P560&lt;$N560,$M560-$Q560&lt;$O560)),1,0))</f>
        <v/>
      </c>
      <c r="AE560" s="14" t="str">
        <f aca="false">IF($D560&lt;&gt;1,"",IF(AND($G560="ROKS",$T560&gt;p_maxworkers),1,0))</f>
        <v/>
      </c>
      <c r="AF560" s="14" t="str">
        <f aca="false">IF($D560&lt;&gt;1,"",IF(INDEX(TblClusters[Environnement],$B560)="","(vide)",INDEX(TblClusters[Environnement],$B560)))</f>
        <v/>
      </c>
      <c r="AG560" s="14" t="str">
        <f aca="false">IF($D560&lt;&gt;1,"",$R560+p_poidsram*$S560)</f>
        <v/>
      </c>
      <c r="AH560" s="14" t="str">
        <f aca="false">IF($D560&lt;&gt;1,"",IFERROR($W560/$AG560,0))</f>
        <v/>
      </c>
      <c r="AI560" s="14" t="str">
        <f aca="false">IF($D560&lt;&gt;1,"",IF(AND($G560="IKS",ISNUMBER(INDEX(TblClusters[Fermeture retenue],$B560))),IF($E560&gt;=INDEX(TblClusters[Fermeture retenue],$B560),1,0),0))</f>
        <v/>
      </c>
    </row>
    <row r="561" customFormat="false" ht="15" hidden="false" customHeight="false" outlineLevel="0" collapsed="false">
      <c r="A561" s="14" t="n">
        <v>556</v>
      </c>
      <c r="B561" s="14" t="n">
        <f aca="false">INT(($A561-1)/36)+1</f>
        <v>16</v>
      </c>
      <c r="C561" s="14" t="n">
        <f aca="false">MOD($A561-1,36)+1</f>
        <v>16</v>
      </c>
      <c r="D561" s="14" t="n">
        <f aca="false">IF($C561&gt;p_horizon,0,IFERROR(IF(AND(INDEX(TblClusters[Cluster],$B561)&lt;&gt;"",ISNUMBER(INDEX(TblClusters[CPU initial (vCPU)],$B561)),ISNUMBER(INDEX(TblClusters[CPU min (vCPU)],$B561)),OR(INDEX(TblClusters[Plateforme],$B561)="IKS",INDEX(TblClusters[Plateforme],$B561)="ROKS")),1,0),0))</f>
        <v>0</v>
      </c>
      <c r="E561" s="83" t="str">
        <f aca="false">IF($D561=1,EDATE(p_debut,$C561-1),"")</f>
        <v/>
      </c>
      <c r="F561" s="14" t="str">
        <f aca="false">IF($D561=1,INDEX(TblClusters[Cluster],$B561),"")</f>
        <v/>
      </c>
      <c r="G561" s="14" t="str">
        <f aca="false">IF($D561=1,INDEX(TblClusters[Plateforme],$B561),"")</f>
        <v/>
      </c>
      <c r="H561" s="14" t="str">
        <f aca="false">IF($D561=1,INDEX(TblClusters[vCPU par nœud],$B561),"")</f>
        <v/>
      </c>
      <c r="I561" s="14" t="str">
        <f aca="false">IF($D561=1,INDEX(TblClusters[RAM par nœud (Go)],$B561),"")</f>
        <v/>
      </c>
      <c r="J561" s="14" t="str">
        <f aca="false">IF($D561=1,INDEX(TblClusters[Workers min],$B561),"")</f>
        <v/>
      </c>
      <c r="K561" s="84" t="str">
        <f aca="false">IF($D561=1,INDEX(TblClusters[Tarif par nœud],$B561),"")</f>
        <v/>
      </c>
      <c r="L561" s="14" t="str">
        <f aca="false">IF($D561=1,INDEX(TblClusters[CPU initial (vCPU)],$B561),"")</f>
        <v/>
      </c>
      <c r="M561" s="14" t="str">
        <f aca="false">IF($D561=1,INDEX(TblClusters[RAM initiale (Go)],$B561),"")</f>
        <v/>
      </c>
      <c r="N561" s="14" t="str">
        <f aca="false">IF($D561=1,INDEX(TblClusters[CPU min (vCPU)],$B561),"")</f>
        <v/>
      </c>
      <c r="O561" s="14" t="str">
        <f aca="false">IF($D561=1,INDEX(TblClusters[RAM min (Go)],$B561),"")</f>
        <v/>
      </c>
      <c r="P561" s="14" t="str">
        <f aca="false">IF($D561&lt;&gt;1,"",IF($G561="ROKS",SUMIFS(TblApplications[Besoin ROKS CPU (vCPU)],TblApplications[Cluster ROKS cible],$F561,TblApplications[Action],"À migrer",TblApplications[Déjà incluse ROKS],"Non",TblApplications[Mois prov (calc)],"&lt;="&amp;$E561),SUMIFS(TblApplications[CPU IKS libérable (vCPU)],TblApplications[Cluster IKS source],$F561,TblApplications[Mois lib (calc)],"&lt;="&amp;$E561)))</f>
        <v/>
      </c>
      <c r="Q561" s="14" t="str">
        <f aca="false">IF($D561&lt;&gt;1,"",IF($G561="ROKS",SUMIFS(TblApplications[Besoin ROKS RAM (Go)],TblApplications[Cluster ROKS cible],$F561,TblApplications[Action],"À migrer",TblApplications[Déjà incluse ROKS],"Non",TblApplications[Mois prov (calc)],"&lt;="&amp;$E561),SUMIFS(TblApplications[RAM IKS libérable (Go)],TblApplications[Cluster IKS source],$F561,TblApplications[Mois lib (calc)],"&lt;="&amp;$E561)))</f>
        <v/>
      </c>
      <c r="R561" s="14" t="str">
        <f aca="false">IF($D561&lt;&gt;1,"",IF($G561="ROKS",$L561+$P561,IF($AI561=1,0,MAX($N561,$L561-$P561))))</f>
        <v/>
      </c>
      <c r="S561" s="14" t="str">
        <f aca="false">IF($D561&lt;&gt;1,"",IF($G561="ROKS",$M561+$Q561,IF($AI561=1,0,MAX($O561,$M561-$Q561))))</f>
        <v/>
      </c>
      <c r="T561" s="14" t="str">
        <f aca="false">IF($D561&lt;&gt;1,"",IF($AI561=1,0,MAX($J561,ROUNDUP(MAX($R561/$H561,$S561/$I561),0))))</f>
        <v/>
      </c>
      <c r="U561" s="14" t="str">
        <f aca="false">IF($D561&lt;&gt;1,"",IF(p_mode="Nœud",$T561*$H561,$R561))</f>
        <v/>
      </c>
      <c r="V561" s="14" t="str">
        <f aca="false">IF($D561&lt;&gt;1,"",IF(p_mode="Nœud",$T561*$I561,$S561))</f>
        <v/>
      </c>
      <c r="W561" s="84" t="str">
        <f aca="false">IF($D561&lt;&gt;1,"",IF(p_mode="Nœud",$T561*$K561,$R561*IF($G561="IKS",p_iks_cpu,p_roks_cpu)+$S561*IF($G561="IKS",p_iks_ram,p_roks_ram))*p_facteur)</f>
        <v/>
      </c>
      <c r="X561" s="14" t="str">
        <f aca="false">IF($D561&lt;&gt;1,"",IF($G561="ROKS",$R561,IF($AI561=1,0,MAX($N561,$L561-SUMIFS(TblApplications[CPU IKS libérable (vCPU)],TblApplications[Cluster IKS source],$F561,TblApplications[Action],"À migrer",TblApplications[Mois prov (calc)],"&lt;="&amp;$E561)-SUMIFS(TblApplications[CPU IKS libérable (vCPU)],TblApplications[Cluster IKS source],$F561,TblApplications[Action],"À décommissionner",TblApplications[Mois lib (calc)],"&lt;="&amp;$E561)))))</f>
        <v/>
      </c>
      <c r="Y561" s="14" t="str">
        <f aca="false">IF($D561&lt;&gt;1,"",IF($G561="ROKS",$S561,IF($AI561=1,0,MAX($O561,$M561-SUMIFS(TblApplications[RAM IKS libérable (Go)],TblApplications[Cluster IKS source],$F561,TblApplications[Action],"À migrer",TblApplications[Mois prov (calc)],"&lt;="&amp;$E561)-SUMIFS(TblApplications[RAM IKS libérable (Go)],TblApplications[Cluster IKS source],$F561,TblApplications[Action],"À décommissionner",TblApplications[Mois lib (calc)],"&lt;="&amp;$E561)))))</f>
        <v/>
      </c>
      <c r="Z561" s="14" t="str">
        <f aca="false">IF($D561&lt;&gt;1,"",IF($AI561=1,0,MAX($J561,ROUNDUP(MAX($X561/$H561,$Y561/$I561),0))))</f>
        <v/>
      </c>
      <c r="AA561" s="84" t="str">
        <f aca="false">IF($D561&lt;&gt;1,"",IF(p_mode="Nœud",$Z561*$K561,$X561*IF($G561="IKS",p_iks_cpu,p_roks_cpu)+$Y561*IF($G561="IKS",p_iks_ram,p_roks_ram))*p_facteur)</f>
        <v/>
      </c>
      <c r="AB561" s="14" t="str">
        <f aca="false">IF($D561&lt;&gt;1,"",MAX($J561,ROUNDUP(MAX($L561/$H561,$M561/$I561),0)))</f>
        <v/>
      </c>
      <c r="AC561" s="84" t="str">
        <f aca="false">IF($D561&lt;&gt;1,"",IF(p_mode="Nœud",$AB561*$K561,$L561*IF($G561="IKS",p_iks_cpu,p_roks_cpu)+$M561*IF($G561="IKS",p_iks_ram,p_roks_ram))*p_facteur)</f>
        <v/>
      </c>
      <c r="AD561" s="14" t="str">
        <f aca="false">IF($D561&lt;&gt;1,"",IF(AND($G561="IKS",$AI561&lt;&gt;1,OR($L561-$P561&lt;$N561,$M561-$Q561&lt;$O561)),1,0))</f>
        <v/>
      </c>
      <c r="AE561" s="14" t="str">
        <f aca="false">IF($D561&lt;&gt;1,"",IF(AND($G561="ROKS",$T561&gt;p_maxworkers),1,0))</f>
        <v/>
      </c>
      <c r="AF561" s="14" t="str">
        <f aca="false">IF($D561&lt;&gt;1,"",IF(INDEX(TblClusters[Environnement],$B561)="","(vide)",INDEX(TblClusters[Environnement],$B561)))</f>
        <v/>
      </c>
      <c r="AG561" s="14" t="str">
        <f aca="false">IF($D561&lt;&gt;1,"",$R561+p_poidsram*$S561)</f>
        <v/>
      </c>
      <c r="AH561" s="14" t="str">
        <f aca="false">IF($D561&lt;&gt;1,"",IFERROR($W561/$AG561,0))</f>
        <v/>
      </c>
      <c r="AI561" s="14" t="str">
        <f aca="false">IF($D561&lt;&gt;1,"",IF(AND($G561="IKS",ISNUMBER(INDEX(TblClusters[Fermeture retenue],$B561))),IF($E561&gt;=INDEX(TblClusters[Fermeture retenue],$B561),1,0),0))</f>
        <v/>
      </c>
    </row>
    <row r="562" customFormat="false" ht="15" hidden="false" customHeight="false" outlineLevel="0" collapsed="false">
      <c r="A562" s="14" t="n">
        <v>557</v>
      </c>
      <c r="B562" s="14" t="n">
        <f aca="false">INT(($A562-1)/36)+1</f>
        <v>16</v>
      </c>
      <c r="C562" s="14" t="n">
        <f aca="false">MOD($A562-1,36)+1</f>
        <v>17</v>
      </c>
      <c r="D562" s="14" t="n">
        <f aca="false">IF($C562&gt;p_horizon,0,IFERROR(IF(AND(INDEX(TblClusters[Cluster],$B562)&lt;&gt;"",ISNUMBER(INDEX(TblClusters[CPU initial (vCPU)],$B562)),ISNUMBER(INDEX(TblClusters[CPU min (vCPU)],$B562)),OR(INDEX(TblClusters[Plateforme],$B562)="IKS",INDEX(TblClusters[Plateforme],$B562)="ROKS")),1,0),0))</f>
        <v>0</v>
      </c>
      <c r="E562" s="83" t="str">
        <f aca="false">IF($D562=1,EDATE(p_debut,$C562-1),"")</f>
        <v/>
      </c>
      <c r="F562" s="14" t="str">
        <f aca="false">IF($D562=1,INDEX(TblClusters[Cluster],$B562),"")</f>
        <v/>
      </c>
      <c r="G562" s="14" t="str">
        <f aca="false">IF($D562=1,INDEX(TblClusters[Plateforme],$B562),"")</f>
        <v/>
      </c>
      <c r="H562" s="14" t="str">
        <f aca="false">IF($D562=1,INDEX(TblClusters[vCPU par nœud],$B562),"")</f>
        <v/>
      </c>
      <c r="I562" s="14" t="str">
        <f aca="false">IF($D562=1,INDEX(TblClusters[RAM par nœud (Go)],$B562),"")</f>
        <v/>
      </c>
      <c r="J562" s="14" t="str">
        <f aca="false">IF($D562=1,INDEX(TblClusters[Workers min],$B562),"")</f>
        <v/>
      </c>
      <c r="K562" s="84" t="str">
        <f aca="false">IF($D562=1,INDEX(TblClusters[Tarif par nœud],$B562),"")</f>
        <v/>
      </c>
      <c r="L562" s="14" t="str">
        <f aca="false">IF($D562=1,INDEX(TblClusters[CPU initial (vCPU)],$B562),"")</f>
        <v/>
      </c>
      <c r="M562" s="14" t="str">
        <f aca="false">IF($D562=1,INDEX(TblClusters[RAM initiale (Go)],$B562),"")</f>
        <v/>
      </c>
      <c r="N562" s="14" t="str">
        <f aca="false">IF($D562=1,INDEX(TblClusters[CPU min (vCPU)],$B562),"")</f>
        <v/>
      </c>
      <c r="O562" s="14" t="str">
        <f aca="false">IF($D562=1,INDEX(TblClusters[RAM min (Go)],$B562),"")</f>
        <v/>
      </c>
      <c r="P562" s="14" t="str">
        <f aca="false">IF($D562&lt;&gt;1,"",IF($G562="ROKS",SUMIFS(TblApplications[Besoin ROKS CPU (vCPU)],TblApplications[Cluster ROKS cible],$F562,TblApplications[Action],"À migrer",TblApplications[Déjà incluse ROKS],"Non",TblApplications[Mois prov (calc)],"&lt;="&amp;$E562),SUMIFS(TblApplications[CPU IKS libérable (vCPU)],TblApplications[Cluster IKS source],$F562,TblApplications[Mois lib (calc)],"&lt;="&amp;$E562)))</f>
        <v/>
      </c>
      <c r="Q562" s="14" t="str">
        <f aca="false">IF($D562&lt;&gt;1,"",IF($G562="ROKS",SUMIFS(TblApplications[Besoin ROKS RAM (Go)],TblApplications[Cluster ROKS cible],$F562,TblApplications[Action],"À migrer",TblApplications[Déjà incluse ROKS],"Non",TblApplications[Mois prov (calc)],"&lt;="&amp;$E562),SUMIFS(TblApplications[RAM IKS libérable (Go)],TblApplications[Cluster IKS source],$F562,TblApplications[Mois lib (calc)],"&lt;="&amp;$E562)))</f>
        <v/>
      </c>
      <c r="R562" s="14" t="str">
        <f aca="false">IF($D562&lt;&gt;1,"",IF($G562="ROKS",$L562+$P562,IF($AI562=1,0,MAX($N562,$L562-$P562))))</f>
        <v/>
      </c>
      <c r="S562" s="14" t="str">
        <f aca="false">IF($D562&lt;&gt;1,"",IF($G562="ROKS",$M562+$Q562,IF($AI562=1,0,MAX($O562,$M562-$Q562))))</f>
        <v/>
      </c>
      <c r="T562" s="14" t="str">
        <f aca="false">IF($D562&lt;&gt;1,"",IF($AI562=1,0,MAX($J562,ROUNDUP(MAX($R562/$H562,$S562/$I562),0))))</f>
        <v/>
      </c>
      <c r="U562" s="14" t="str">
        <f aca="false">IF($D562&lt;&gt;1,"",IF(p_mode="Nœud",$T562*$H562,$R562))</f>
        <v/>
      </c>
      <c r="V562" s="14" t="str">
        <f aca="false">IF($D562&lt;&gt;1,"",IF(p_mode="Nœud",$T562*$I562,$S562))</f>
        <v/>
      </c>
      <c r="W562" s="84" t="str">
        <f aca="false">IF($D562&lt;&gt;1,"",IF(p_mode="Nœud",$T562*$K562,$R562*IF($G562="IKS",p_iks_cpu,p_roks_cpu)+$S562*IF($G562="IKS",p_iks_ram,p_roks_ram))*p_facteur)</f>
        <v/>
      </c>
      <c r="X562" s="14" t="str">
        <f aca="false">IF($D562&lt;&gt;1,"",IF($G562="ROKS",$R562,IF($AI562=1,0,MAX($N562,$L562-SUMIFS(TblApplications[CPU IKS libérable (vCPU)],TblApplications[Cluster IKS source],$F562,TblApplications[Action],"À migrer",TblApplications[Mois prov (calc)],"&lt;="&amp;$E562)-SUMIFS(TblApplications[CPU IKS libérable (vCPU)],TblApplications[Cluster IKS source],$F562,TblApplications[Action],"À décommissionner",TblApplications[Mois lib (calc)],"&lt;="&amp;$E562)))))</f>
        <v/>
      </c>
      <c r="Y562" s="14" t="str">
        <f aca="false">IF($D562&lt;&gt;1,"",IF($G562="ROKS",$S562,IF($AI562=1,0,MAX($O562,$M562-SUMIFS(TblApplications[RAM IKS libérable (Go)],TblApplications[Cluster IKS source],$F562,TblApplications[Action],"À migrer",TblApplications[Mois prov (calc)],"&lt;="&amp;$E562)-SUMIFS(TblApplications[RAM IKS libérable (Go)],TblApplications[Cluster IKS source],$F562,TblApplications[Action],"À décommissionner",TblApplications[Mois lib (calc)],"&lt;="&amp;$E562)))))</f>
        <v/>
      </c>
      <c r="Z562" s="14" t="str">
        <f aca="false">IF($D562&lt;&gt;1,"",IF($AI562=1,0,MAX($J562,ROUNDUP(MAX($X562/$H562,$Y562/$I562),0))))</f>
        <v/>
      </c>
      <c r="AA562" s="84" t="str">
        <f aca="false">IF($D562&lt;&gt;1,"",IF(p_mode="Nœud",$Z562*$K562,$X562*IF($G562="IKS",p_iks_cpu,p_roks_cpu)+$Y562*IF($G562="IKS",p_iks_ram,p_roks_ram))*p_facteur)</f>
        <v/>
      </c>
      <c r="AB562" s="14" t="str">
        <f aca="false">IF($D562&lt;&gt;1,"",MAX($J562,ROUNDUP(MAX($L562/$H562,$M562/$I562),0)))</f>
        <v/>
      </c>
      <c r="AC562" s="84" t="str">
        <f aca="false">IF($D562&lt;&gt;1,"",IF(p_mode="Nœud",$AB562*$K562,$L562*IF($G562="IKS",p_iks_cpu,p_roks_cpu)+$M562*IF($G562="IKS",p_iks_ram,p_roks_ram))*p_facteur)</f>
        <v/>
      </c>
      <c r="AD562" s="14" t="str">
        <f aca="false">IF($D562&lt;&gt;1,"",IF(AND($G562="IKS",$AI562&lt;&gt;1,OR($L562-$P562&lt;$N562,$M562-$Q562&lt;$O562)),1,0))</f>
        <v/>
      </c>
      <c r="AE562" s="14" t="str">
        <f aca="false">IF($D562&lt;&gt;1,"",IF(AND($G562="ROKS",$T562&gt;p_maxworkers),1,0))</f>
        <v/>
      </c>
      <c r="AF562" s="14" t="str">
        <f aca="false">IF($D562&lt;&gt;1,"",IF(INDEX(TblClusters[Environnement],$B562)="","(vide)",INDEX(TblClusters[Environnement],$B562)))</f>
        <v/>
      </c>
      <c r="AG562" s="14" t="str">
        <f aca="false">IF($D562&lt;&gt;1,"",$R562+p_poidsram*$S562)</f>
        <v/>
      </c>
      <c r="AH562" s="14" t="str">
        <f aca="false">IF($D562&lt;&gt;1,"",IFERROR($W562/$AG562,0))</f>
        <v/>
      </c>
      <c r="AI562" s="14" t="str">
        <f aca="false">IF($D562&lt;&gt;1,"",IF(AND($G562="IKS",ISNUMBER(INDEX(TblClusters[Fermeture retenue],$B562))),IF($E562&gt;=INDEX(TblClusters[Fermeture retenue],$B562),1,0),0))</f>
        <v/>
      </c>
    </row>
    <row r="563" customFormat="false" ht="15" hidden="false" customHeight="false" outlineLevel="0" collapsed="false">
      <c r="A563" s="14" t="n">
        <v>558</v>
      </c>
      <c r="B563" s="14" t="n">
        <f aca="false">INT(($A563-1)/36)+1</f>
        <v>16</v>
      </c>
      <c r="C563" s="14" t="n">
        <f aca="false">MOD($A563-1,36)+1</f>
        <v>18</v>
      </c>
      <c r="D563" s="14" t="n">
        <f aca="false">IF($C563&gt;p_horizon,0,IFERROR(IF(AND(INDEX(TblClusters[Cluster],$B563)&lt;&gt;"",ISNUMBER(INDEX(TblClusters[CPU initial (vCPU)],$B563)),ISNUMBER(INDEX(TblClusters[CPU min (vCPU)],$B563)),OR(INDEX(TblClusters[Plateforme],$B563)="IKS",INDEX(TblClusters[Plateforme],$B563)="ROKS")),1,0),0))</f>
        <v>0</v>
      </c>
      <c r="E563" s="83" t="str">
        <f aca="false">IF($D563=1,EDATE(p_debut,$C563-1),"")</f>
        <v/>
      </c>
      <c r="F563" s="14" t="str">
        <f aca="false">IF($D563=1,INDEX(TblClusters[Cluster],$B563),"")</f>
        <v/>
      </c>
      <c r="G563" s="14" t="str">
        <f aca="false">IF($D563=1,INDEX(TblClusters[Plateforme],$B563),"")</f>
        <v/>
      </c>
      <c r="H563" s="14" t="str">
        <f aca="false">IF($D563=1,INDEX(TblClusters[vCPU par nœud],$B563),"")</f>
        <v/>
      </c>
      <c r="I563" s="14" t="str">
        <f aca="false">IF($D563=1,INDEX(TblClusters[RAM par nœud (Go)],$B563),"")</f>
        <v/>
      </c>
      <c r="J563" s="14" t="str">
        <f aca="false">IF($D563=1,INDEX(TblClusters[Workers min],$B563),"")</f>
        <v/>
      </c>
      <c r="K563" s="84" t="str">
        <f aca="false">IF($D563=1,INDEX(TblClusters[Tarif par nœud],$B563),"")</f>
        <v/>
      </c>
      <c r="L563" s="14" t="str">
        <f aca="false">IF($D563=1,INDEX(TblClusters[CPU initial (vCPU)],$B563),"")</f>
        <v/>
      </c>
      <c r="M563" s="14" t="str">
        <f aca="false">IF($D563=1,INDEX(TblClusters[RAM initiale (Go)],$B563),"")</f>
        <v/>
      </c>
      <c r="N563" s="14" t="str">
        <f aca="false">IF($D563=1,INDEX(TblClusters[CPU min (vCPU)],$B563),"")</f>
        <v/>
      </c>
      <c r="O563" s="14" t="str">
        <f aca="false">IF($D563=1,INDEX(TblClusters[RAM min (Go)],$B563),"")</f>
        <v/>
      </c>
      <c r="P563" s="14" t="str">
        <f aca="false">IF($D563&lt;&gt;1,"",IF($G563="ROKS",SUMIFS(TblApplications[Besoin ROKS CPU (vCPU)],TblApplications[Cluster ROKS cible],$F563,TblApplications[Action],"À migrer",TblApplications[Déjà incluse ROKS],"Non",TblApplications[Mois prov (calc)],"&lt;="&amp;$E563),SUMIFS(TblApplications[CPU IKS libérable (vCPU)],TblApplications[Cluster IKS source],$F563,TblApplications[Mois lib (calc)],"&lt;="&amp;$E563)))</f>
        <v/>
      </c>
      <c r="Q563" s="14" t="str">
        <f aca="false">IF($D563&lt;&gt;1,"",IF($G563="ROKS",SUMIFS(TblApplications[Besoin ROKS RAM (Go)],TblApplications[Cluster ROKS cible],$F563,TblApplications[Action],"À migrer",TblApplications[Déjà incluse ROKS],"Non",TblApplications[Mois prov (calc)],"&lt;="&amp;$E563),SUMIFS(TblApplications[RAM IKS libérable (Go)],TblApplications[Cluster IKS source],$F563,TblApplications[Mois lib (calc)],"&lt;="&amp;$E563)))</f>
        <v/>
      </c>
      <c r="R563" s="14" t="str">
        <f aca="false">IF($D563&lt;&gt;1,"",IF($G563="ROKS",$L563+$P563,IF($AI563=1,0,MAX($N563,$L563-$P563))))</f>
        <v/>
      </c>
      <c r="S563" s="14" t="str">
        <f aca="false">IF($D563&lt;&gt;1,"",IF($G563="ROKS",$M563+$Q563,IF($AI563=1,0,MAX($O563,$M563-$Q563))))</f>
        <v/>
      </c>
      <c r="T563" s="14" t="str">
        <f aca="false">IF($D563&lt;&gt;1,"",IF($AI563=1,0,MAX($J563,ROUNDUP(MAX($R563/$H563,$S563/$I563),0))))</f>
        <v/>
      </c>
      <c r="U563" s="14" t="str">
        <f aca="false">IF($D563&lt;&gt;1,"",IF(p_mode="Nœud",$T563*$H563,$R563))</f>
        <v/>
      </c>
      <c r="V563" s="14" t="str">
        <f aca="false">IF($D563&lt;&gt;1,"",IF(p_mode="Nœud",$T563*$I563,$S563))</f>
        <v/>
      </c>
      <c r="W563" s="84" t="str">
        <f aca="false">IF($D563&lt;&gt;1,"",IF(p_mode="Nœud",$T563*$K563,$R563*IF($G563="IKS",p_iks_cpu,p_roks_cpu)+$S563*IF($G563="IKS",p_iks_ram,p_roks_ram))*p_facteur)</f>
        <v/>
      </c>
      <c r="X563" s="14" t="str">
        <f aca="false">IF($D563&lt;&gt;1,"",IF($G563="ROKS",$R563,IF($AI563=1,0,MAX($N563,$L563-SUMIFS(TblApplications[CPU IKS libérable (vCPU)],TblApplications[Cluster IKS source],$F563,TblApplications[Action],"À migrer",TblApplications[Mois prov (calc)],"&lt;="&amp;$E563)-SUMIFS(TblApplications[CPU IKS libérable (vCPU)],TblApplications[Cluster IKS source],$F563,TblApplications[Action],"À décommissionner",TblApplications[Mois lib (calc)],"&lt;="&amp;$E563)))))</f>
        <v/>
      </c>
      <c r="Y563" s="14" t="str">
        <f aca="false">IF($D563&lt;&gt;1,"",IF($G563="ROKS",$S563,IF($AI563=1,0,MAX($O563,$M563-SUMIFS(TblApplications[RAM IKS libérable (Go)],TblApplications[Cluster IKS source],$F563,TblApplications[Action],"À migrer",TblApplications[Mois prov (calc)],"&lt;="&amp;$E563)-SUMIFS(TblApplications[RAM IKS libérable (Go)],TblApplications[Cluster IKS source],$F563,TblApplications[Action],"À décommissionner",TblApplications[Mois lib (calc)],"&lt;="&amp;$E563)))))</f>
        <v/>
      </c>
      <c r="Z563" s="14" t="str">
        <f aca="false">IF($D563&lt;&gt;1,"",IF($AI563=1,0,MAX($J563,ROUNDUP(MAX($X563/$H563,$Y563/$I563),0))))</f>
        <v/>
      </c>
      <c r="AA563" s="84" t="str">
        <f aca="false">IF($D563&lt;&gt;1,"",IF(p_mode="Nœud",$Z563*$K563,$X563*IF($G563="IKS",p_iks_cpu,p_roks_cpu)+$Y563*IF($G563="IKS",p_iks_ram,p_roks_ram))*p_facteur)</f>
        <v/>
      </c>
      <c r="AB563" s="14" t="str">
        <f aca="false">IF($D563&lt;&gt;1,"",MAX($J563,ROUNDUP(MAX($L563/$H563,$M563/$I563),0)))</f>
        <v/>
      </c>
      <c r="AC563" s="84" t="str">
        <f aca="false">IF($D563&lt;&gt;1,"",IF(p_mode="Nœud",$AB563*$K563,$L563*IF($G563="IKS",p_iks_cpu,p_roks_cpu)+$M563*IF($G563="IKS",p_iks_ram,p_roks_ram))*p_facteur)</f>
        <v/>
      </c>
      <c r="AD563" s="14" t="str">
        <f aca="false">IF($D563&lt;&gt;1,"",IF(AND($G563="IKS",$AI563&lt;&gt;1,OR($L563-$P563&lt;$N563,$M563-$Q563&lt;$O563)),1,0))</f>
        <v/>
      </c>
      <c r="AE563" s="14" t="str">
        <f aca="false">IF($D563&lt;&gt;1,"",IF(AND($G563="ROKS",$T563&gt;p_maxworkers),1,0))</f>
        <v/>
      </c>
      <c r="AF563" s="14" t="str">
        <f aca="false">IF($D563&lt;&gt;1,"",IF(INDEX(TblClusters[Environnement],$B563)="","(vide)",INDEX(TblClusters[Environnement],$B563)))</f>
        <v/>
      </c>
      <c r="AG563" s="14" t="str">
        <f aca="false">IF($D563&lt;&gt;1,"",$R563+p_poidsram*$S563)</f>
        <v/>
      </c>
      <c r="AH563" s="14" t="str">
        <f aca="false">IF($D563&lt;&gt;1,"",IFERROR($W563/$AG563,0))</f>
        <v/>
      </c>
      <c r="AI563" s="14" t="str">
        <f aca="false">IF($D563&lt;&gt;1,"",IF(AND($G563="IKS",ISNUMBER(INDEX(TblClusters[Fermeture retenue],$B563))),IF($E563&gt;=INDEX(TblClusters[Fermeture retenue],$B563),1,0),0))</f>
        <v/>
      </c>
    </row>
    <row r="564" customFormat="false" ht="15" hidden="false" customHeight="false" outlineLevel="0" collapsed="false">
      <c r="A564" s="14" t="n">
        <v>559</v>
      </c>
      <c r="B564" s="14" t="n">
        <f aca="false">INT(($A564-1)/36)+1</f>
        <v>16</v>
      </c>
      <c r="C564" s="14" t="n">
        <f aca="false">MOD($A564-1,36)+1</f>
        <v>19</v>
      </c>
      <c r="D564" s="14" t="n">
        <f aca="false">IF($C564&gt;p_horizon,0,IFERROR(IF(AND(INDEX(TblClusters[Cluster],$B564)&lt;&gt;"",ISNUMBER(INDEX(TblClusters[CPU initial (vCPU)],$B564)),ISNUMBER(INDEX(TblClusters[CPU min (vCPU)],$B564)),OR(INDEX(TblClusters[Plateforme],$B564)="IKS",INDEX(TblClusters[Plateforme],$B564)="ROKS")),1,0),0))</f>
        <v>0</v>
      </c>
      <c r="E564" s="83" t="str">
        <f aca="false">IF($D564=1,EDATE(p_debut,$C564-1),"")</f>
        <v/>
      </c>
      <c r="F564" s="14" t="str">
        <f aca="false">IF($D564=1,INDEX(TblClusters[Cluster],$B564),"")</f>
        <v/>
      </c>
      <c r="G564" s="14" t="str">
        <f aca="false">IF($D564=1,INDEX(TblClusters[Plateforme],$B564),"")</f>
        <v/>
      </c>
      <c r="H564" s="14" t="str">
        <f aca="false">IF($D564=1,INDEX(TblClusters[vCPU par nœud],$B564),"")</f>
        <v/>
      </c>
      <c r="I564" s="14" t="str">
        <f aca="false">IF($D564=1,INDEX(TblClusters[RAM par nœud (Go)],$B564),"")</f>
        <v/>
      </c>
      <c r="J564" s="14" t="str">
        <f aca="false">IF($D564=1,INDEX(TblClusters[Workers min],$B564),"")</f>
        <v/>
      </c>
      <c r="K564" s="84" t="str">
        <f aca="false">IF($D564=1,INDEX(TblClusters[Tarif par nœud],$B564),"")</f>
        <v/>
      </c>
      <c r="L564" s="14" t="str">
        <f aca="false">IF($D564=1,INDEX(TblClusters[CPU initial (vCPU)],$B564),"")</f>
        <v/>
      </c>
      <c r="M564" s="14" t="str">
        <f aca="false">IF($D564=1,INDEX(TblClusters[RAM initiale (Go)],$B564),"")</f>
        <v/>
      </c>
      <c r="N564" s="14" t="str">
        <f aca="false">IF($D564=1,INDEX(TblClusters[CPU min (vCPU)],$B564),"")</f>
        <v/>
      </c>
      <c r="O564" s="14" t="str">
        <f aca="false">IF($D564=1,INDEX(TblClusters[RAM min (Go)],$B564),"")</f>
        <v/>
      </c>
      <c r="P564" s="14" t="str">
        <f aca="false">IF($D564&lt;&gt;1,"",IF($G564="ROKS",SUMIFS(TblApplications[Besoin ROKS CPU (vCPU)],TblApplications[Cluster ROKS cible],$F564,TblApplications[Action],"À migrer",TblApplications[Déjà incluse ROKS],"Non",TblApplications[Mois prov (calc)],"&lt;="&amp;$E564),SUMIFS(TblApplications[CPU IKS libérable (vCPU)],TblApplications[Cluster IKS source],$F564,TblApplications[Mois lib (calc)],"&lt;="&amp;$E564)))</f>
        <v/>
      </c>
      <c r="Q564" s="14" t="str">
        <f aca="false">IF($D564&lt;&gt;1,"",IF($G564="ROKS",SUMIFS(TblApplications[Besoin ROKS RAM (Go)],TblApplications[Cluster ROKS cible],$F564,TblApplications[Action],"À migrer",TblApplications[Déjà incluse ROKS],"Non",TblApplications[Mois prov (calc)],"&lt;="&amp;$E564),SUMIFS(TblApplications[RAM IKS libérable (Go)],TblApplications[Cluster IKS source],$F564,TblApplications[Mois lib (calc)],"&lt;="&amp;$E564)))</f>
        <v/>
      </c>
      <c r="R564" s="14" t="str">
        <f aca="false">IF($D564&lt;&gt;1,"",IF($G564="ROKS",$L564+$P564,IF($AI564=1,0,MAX($N564,$L564-$P564))))</f>
        <v/>
      </c>
      <c r="S564" s="14" t="str">
        <f aca="false">IF($D564&lt;&gt;1,"",IF($G564="ROKS",$M564+$Q564,IF($AI564=1,0,MAX($O564,$M564-$Q564))))</f>
        <v/>
      </c>
      <c r="T564" s="14" t="str">
        <f aca="false">IF($D564&lt;&gt;1,"",IF($AI564=1,0,MAX($J564,ROUNDUP(MAX($R564/$H564,$S564/$I564),0))))</f>
        <v/>
      </c>
      <c r="U564" s="14" t="str">
        <f aca="false">IF($D564&lt;&gt;1,"",IF(p_mode="Nœud",$T564*$H564,$R564))</f>
        <v/>
      </c>
      <c r="V564" s="14" t="str">
        <f aca="false">IF($D564&lt;&gt;1,"",IF(p_mode="Nœud",$T564*$I564,$S564))</f>
        <v/>
      </c>
      <c r="W564" s="84" t="str">
        <f aca="false">IF($D564&lt;&gt;1,"",IF(p_mode="Nœud",$T564*$K564,$R564*IF($G564="IKS",p_iks_cpu,p_roks_cpu)+$S564*IF($G564="IKS",p_iks_ram,p_roks_ram))*p_facteur)</f>
        <v/>
      </c>
      <c r="X564" s="14" t="str">
        <f aca="false">IF($D564&lt;&gt;1,"",IF($G564="ROKS",$R564,IF($AI564=1,0,MAX($N564,$L564-SUMIFS(TblApplications[CPU IKS libérable (vCPU)],TblApplications[Cluster IKS source],$F564,TblApplications[Action],"À migrer",TblApplications[Mois prov (calc)],"&lt;="&amp;$E564)-SUMIFS(TblApplications[CPU IKS libérable (vCPU)],TblApplications[Cluster IKS source],$F564,TblApplications[Action],"À décommissionner",TblApplications[Mois lib (calc)],"&lt;="&amp;$E564)))))</f>
        <v/>
      </c>
      <c r="Y564" s="14" t="str">
        <f aca="false">IF($D564&lt;&gt;1,"",IF($G564="ROKS",$S564,IF($AI564=1,0,MAX($O564,$M564-SUMIFS(TblApplications[RAM IKS libérable (Go)],TblApplications[Cluster IKS source],$F564,TblApplications[Action],"À migrer",TblApplications[Mois prov (calc)],"&lt;="&amp;$E564)-SUMIFS(TblApplications[RAM IKS libérable (Go)],TblApplications[Cluster IKS source],$F564,TblApplications[Action],"À décommissionner",TblApplications[Mois lib (calc)],"&lt;="&amp;$E564)))))</f>
        <v/>
      </c>
      <c r="Z564" s="14" t="str">
        <f aca="false">IF($D564&lt;&gt;1,"",IF($AI564=1,0,MAX($J564,ROUNDUP(MAX($X564/$H564,$Y564/$I564),0))))</f>
        <v/>
      </c>
      <c r="AA564" s="84" t="str">
        <f aca="false">IF($D564&lt;&gt;1,"",IF(p_mode="Nœud",$Z564*$K564,$X564*IF($G564="IKS",p_iks_cpu,p_roks_cpu)+$Y564*IF($G564="IKS",p_iks_ram,p_roks_ram))*p_facteur)</f>
        <v/>
      </c>
      <c r="AB564" s="14" t="str">
        <f aca="false">IF($D564&lt;&gt;1,"",MAX($J564,ROUNDUP(MAX($L564/$H564,$M564/$I564),0)))</f>
        <v/>
      </c>
      <c r="AC564" s="84" t="str">
        <f aca="false">IF($D564&lt;&gt;1,"",IF(p_mode="Nœud",$AB564*$K564,$L564*IF($G564="IKS",p_iks_cpu,p_roks_cpu)+$M564*IF($G564="IKS",p_iks_ram,p_roks_ram))*p_facteur)</f>
        <v/>
      </c>
      <c r="AD564" s="14" t="str">
        <f aca="false">IF($D564&lt;&gt;1,"",IF(AND($G564="IKS",$AI564&lt;&gt;1,OR($L564-$P564&lt;$N564,$M564-$Q564&lt;$O564)),1,0))</f>
        <v/>
      </c>
      <c r="AE564" s="14" t="str">
        <f aca="false">IF($D564&lt;&gt;1,"",IF(AND($G564="ROKS",$T564&gt;p_maxworkers),1,0))</f>
        <v/>
      </c>
      <c r="AF564" s="14" t="str">
        <f aca="false">IF($D564&lt;&gt;1,"",IF(INDEX(TblClusters[Environnement],$B564)="","(vide)",INDEX(TblClusters[Environnement],$B564)))</f>
        <v/>
      </c>
      <c r="AG564" s="14" t="str">
        <f aca="false">IF($D564&lt;&gt;1,"",$R564+p_poidsram*$S564)</f>
        <v/>
      </c>
      <c r="AH564" s="14" t="str">
        <f aca="false">IF($D564&lt;&gt;1,"",IFERROR($W564/$AG564,0))</f>
        <v/>
      </c>
      <c r="AI564" s="14" t="str">
        <f aca="false">IF($D564&lt;&gt;1,"",IF(AND($G564="IKS",ISNUMBER(INDEX(TblClusters[Fermeture retenue],$B564))),IF($E564&gt;=INDEX(TblClusters[Fermeture retenue],$B564),1,0),0))</f>
        <v/>
      </c>
    </row>
    <row r="565" customFormat="false" ht="15" hidden="false" customHeight="false" outlineLevel="0" collapsed="false">
      <c r="A565" s="14" t="n">
        <v>560</v>
      </c>
      <c r="B565" s="14" t="n">
        <f aca="false">INT(($A565-1)/36)+1</f>
        <v>16</v>
      </c>
      <c r="C565" s="14" t="n">
        <f aca="false">MOD($A565-1,36)+1</f>
        <v>20</v>
      </c>
      <c r="D565" s="14" t="n">
        <f aca="false">IF($C565&gt;p_horizon,0,IFERROR(IF(AND(INDEX(TblClusters[Cluster],$B565)&lt;&gt;"",ISNUMBER(INDEX(TblClusters[CPU initial (vCPU)],$B565)),ISNUMBER(INDEX(TblClusters[CPU min (vCPU)],$B565)),OR(INDEX(TblClusters[Plateforme],$B565)="IKS",INDEX(TblClusters[Plateforme],$B565)="ROKS")),1,0),0))</f>
        <v>0</v>
      </c>
      <c r="E565" s="83" t="str">
        <f aca="false">IF($D565=1,EDATE(p_debut,$C565-1),"")</f>
        <v/>
      </c>
      <c r="F565" s="14" t="str">
        <f aca="false">IF($D565=1,INDEX(TblClusters[Cluster],$B565),"")</f>
        <v/>
      </c>
      <c r="G565" s="14" t="str">
        <f aca="false">IF($D565=1,INDEX(TblClusters[Plateforme],$B565),"")</f>
        <v/>
      </c>
      <c r="H565" s="14" t="str">
        <f aca="false">IF($D565=1,INDEX(TblClusters[vCPU par nœud],$B565),"")</f>
        <v/>
      </c>
      <c r="I565" s="14" t="str">
        <f aca="false">IF($D565=1,INDEX(TblClusters[RAM par nœud (Go)],$B565),"")</f>
        <v/>
      </c>
      <c r="J565" s="14" t="str">
        <f aca="false">IF($D565=1,INDEX(TblClusters[Workers min],$B565),"")</f>
        <v/>
      </c>
      <c r="K565" s="84" t="str">
        <f aca="false">IF($D565=1,INDEX(TblClusters[Tarif par nœud],$B565),"")</f>
        <v/>
      </c>
      <c r="L565" s="14" t="str">
        <f aca="false">IF($D565=1,INDEX(TblClusters[CPU initial (vCPU)],$B565),"")</f>
        <v/>
      </c>
      <c r="M565" s="14" t="str">
        <f aca="false">IF($D565=1,INDEX(TblClusters[RAM initiale (Go)],$B565),"")</f>
        <v/>
      </c>
      <c r="N565" s="14" t="str">
        <f aca="false">IF($D565=1,INDEX(TblClusters[CPU min (vCPU)],$B565),"")</f>
        <v/>
      </c>
      <c r="O565" s="14" t="str">
        <f aca="false">IF($D565=1,INDEX(TblClusters[RAM min (Go)],$B565),"")</f>
        <v/>
      </c>
      <c r="P565" s="14" t="str">
        <f aca="false">IF($D565&lt;&gt;1,"",IF($G565="ROKS",SUMIFS(TblApplications[Besoin ROKS CPU (vCPU)],TblApplications[Cluster ROKS cible],$F565,TblApplications[Action],"À migrer",TblApplications[Déjà incluse ROKS],"Non",TblApplications[Mois prov (calc)],"&lt;="&amp;$E565),SUMIFS(TblApplications[CPU IKS libérable (vCPU)],TblApplications[Cluster IKS source],$F565,TblApplications[Mois lib (calc)],"&lt;="&amp;$E565)))</f>
        <v/>
      </c>
      <c r="Q565" s="14" t="str">
        <f aca="false">IF($D565&lt;&gt;1,"",IF($G565="ROKS",SUMIFS(TblApplications[Besoin ROKS RAM (Go)],TblApplications[Cluster ROKS cible],$F565,TblApplications[Action],"À migrer",TblApplications[Déjà incluse ROKS],"Non",TblApplications[Mois prov (calc)],"&lt;="&amp;$E565),SUMIFS(TblApplications[RAM IKS libérable (Go)],TblApplications[Cluster IKS source],$F565,TblApplications[Mois lib (calc)],"&lt;="&amp;$E565)))</f>
        <v/>
      </c>
      <c r="R565" s="14" t="str">
        <f aca="false">IF($D565&lt;&gt;1,"",IF($G565="ROKS",$L565+$P565,IF($AI565=1,0,MAX($N565,$L565-$P565))))</f>
        <v/>
      </c>
      <c r="S565" s="14" t="str">
        <f aca="false">IF($D565&lt;&gt;1,"",IF($G565="ROKS",$M565+$Q565,IF($AI565=1,0,MAX($O565,$M565-$Q565))))</f>
        <v/>
      </c>
      <c r="T565" s="14" t="str">
        <f aca="false">IF($D565&lt;&gt;1,"",IF($AI565=1,0,MAX($J565,ROUNDUP(MAX($R565/$H565,$S565/$I565),0))))</f>
        <v/>
      </c>
      <c r="U565" s="14" t="str">
        <f aca="false">IF($D565&lt;&gt;1,"",IF(p_mode="Nœud",$T565*$H565,$R565))</f>
        <v/>
      </c>
      <c r="V565" s="14" t="str">
        <f aca="false">IF($D565&lt;&gt;1,"",IF(p_mode="Nœud",$T565*$I565,$S565))</f>
        <v/>
      </c>
      <c r="W565" s="84" t="str">
        <f aca="false">IF($D565&lt;&gt;1,"",IF(p_mode="Nœud",$T565*$K565,$R565*IF($G565="IKS",p_iks_cpu,p_roks_cpu)+$S565*IF($G565="IKS",p_iks_ram,p_roks_ram))*p_facteur)</f>
        <v/>
      </c>
      <c r="X565" s="14" t="str">
        <f aca="false">IF($D565&lt;&gt;1,"",IF($G565="ROKS",$R565,IF($AI565=1,0,MAX($N565,$L565-SUMIFS(TblApplications[CPU IKS libérable (vCPU)],TblApplications[Cluster IKS source],$F565,TblApplications[Action],"À migrer",TblApplications[Mois prov (calc)],"&lt;="&amp;$E565)-SUMIFS(TblApplications[CPU IKS libérable (vCPU)],TblApplications[Cluster IKS source],$F565,TblApplications[Action],"À décommissionner",TblApplications[Mois lib (calc)],"&lt;="&amp;$E565)))))</f>
        <v/>
      </c>
      <c r="Y565" s="14" t="str">
        <f aca="false">IF($D565&lt;&gt;1,"",IF($G565="ROKS",$S565,IF($AI565=1,0,MAX($O565,$M565-SUMIFS(TblApplications[RAM IKS libérable (Go)],TblApplications[Cluster IKS source],$F565,TblApplications[Action],"À migrer",TblApplications[Mois prov (calc)],"&lt;="&amp;$E565)-SUMIFS(TblApplications[RAM IKS libérable (Go)],TblApplications[Cluster IKS source],$F565,TblApplications[Action],"À décommissionner",TblApplications[Mois lib (calc)],"&lt;="&amp;$E565)))))</f>
        <v/>
      </c>
      <c r="Z565" s="14" t="str">
        <f aca="false">IF($D565&lt;&gt;1,"",IF($AI565=1,0,MAX($J565,ROUNDUP(MAX($X565/$H565,$Y565/$I565),0))))</f>
        <v/>
      </c>
      <c r="AA565" s="84" t="str">
        <f aca="false">IF($D565&lt;&gt;1,"",IF(p_mode="Nœud",$Z565*$K565,$X565*IF($G565="IKS",p_iks_cpu,p_roks_cpu)+$Y565*IF($G565="IKS",p_iks_ram,p_roks_ram))*p_facteur)</f>
        <v/>
      </c>
      <c r="AB565" s="14" t="str">
        <f aca="false">IF($D565&lt;&gt;1,"",MAX($J565,ROUNDUP(MAX($L565/$H565,$M565/$I565),0)))</f>
        <v/>
      </c>
      <c r="AC565" s="84" t="str">
        <f aca="false">IF($D565&lt;&gt;1,"",IF(p_mode="Nœud",$AB565*$K565,$L565*IF($G565="IKS",p_iks_cpu,p_roks_cpu)+$M565*IF($G565="IKS",p_iks_ram,p_roks_ram))*p_facteur)</f>
        <v/>
      </c>
      <c r="AD565" s="14" t="str">
        <f aca="false">IF($D565&lt;&gt;1,"",IF(AND($G565="IKS",$AI565&lt;&gt;1,OR($L565-$P565&lt;$N565,$M565-$Q565&lt;$O565)),1,0))</f>
        <v/>
      </c>
      <c r="AE565" s="14" t="str">
        <f aca="false">IF($D565&lt;&gt;1,"",IF(AND($G565="ROKS",$T565&gt;p_maxworkers),1,0))</f>
        <v/>
      </c>
      <c r="AF565" s="14" t="str">
        <f aca="false">IF($D565&lt;&gt;1,"",IF(INDEX(TblClusters[Environnement],$B565)="","(vide)",INDEX(TblClusters[Environnement],$B565)))</f>
        <v/>
      </c>
      <c r="AG565" s="14" t="str">
        <f aca="false">IF($D565&lt;&gt;1,"",$R565+p_poidsram*$S565)</f>
        <v/>
      </c>
      <c r="AH565" s="14" t="str">
        <f aca="false">IF($D565&lt;&gt;1,"",IFERROR($W565/$AG565,0))</f>
        <v/>
      </c>
      <c r="AI565" s="14" t="str">
        <f aca="false">IF($D565&lt;&gt;1,"",IF(AND($G565="IKS",ISNUMBER(INDEX(TblClusters[Fermeture retenue],$B565))),IF($E565&gt;=INDEX(TblClusters[Fermeture retenue],$B565),1,0),0))</f>
        <v/>
      </c>
    </row>
    <row r="566" customFormat="false" ht="15" hidden="false" customHeight="false" outlineLevel="0" collapsed="false">
      <c r="A566" s="14" t="n">
        <v>561</v>
      </c>
      <c r="B566" s="14" t="n">
        <f aca="false">INT(($A566-1)/36)+1</f>
        <v>16</v>
      </c>
      <c r="C566" s="14" t="n">
        <f aca="false">MOD($A566-1,36)+1</f>
        <v>21</v>
      </c>
      <c r="D566" s="14" t="n">
        <f aca="false">IF($C566&gt;p_horizon,0,IFERROR(IF(AND(INDEX(TblClusters[Cluster],$B566)&lt;&gt;"",ISNUMBER(INDEX(TblClusters[CPU initial (vCPU)],$B566)),ISNUMBER(INDEX(TblClusters[CPU min (vCPU)],$B566)),OR(INDEX(TblClusters[Plateforme],$B566)="IKS",INDEX(TblClusters[Plateforme],$B566)="ROKS")),1,0),0))</f>
        <v>0</v>
      </c>
      <c r="E566" s="83" t="str">
        <f aca="false">IF($D566=1,EDATE(p_debut,$C566-1),"")</f>
        <v/>
      </c>
      <c r="F566" s="14" t="str">
        <f aca="false">IF($D566=1,INDEX(TblClusters[Cluster],$B566),"")</f>
        <v/>
      </c>
      <c r="G566" s="14" t="str">
        <f aca="false">IF($D566=1,INDEX(TblClusters[Plateforme],$B566),"")</f>
        <v/>
      </c>
      <c r="H566" s="14" t="str">
        <f aca="false">IF($D566=1,INDEX(TblClusters[vCPU par nœud],$B566),"")</f>
        <v/>
      </c>
      <c r="I566" s="14" t="str">
        <f aca="false">IF($D566=1,INDEX(TblClusters[RAM par nœud (Go)],$B566),"")</f>
        <v/>
      </c>
      <c r="J566" s="14" t="str">
        <f aca="false">IF($D566=1,INDEX(TblClusters[Workers min],$B566),"")</f>
        <v/>
      </c>
      <c r="K566" s="84" t="str">
        <f aca="false">IF($D566=1,INDEX(TblClusters[Tarif par nœud],$B566),"")</f>
        <v/>
      </c>
      <c r="L566" s="14" t="str">
        <f aca="false">IF($D566=1,INDEX(TblClusters[CPU initial (vCPU)],$B566),"")</f>
        <v/>
      </c>
      <c r="M566" s="14" t="str">
        <f aca="false">IF($D566=1,INDEX(TblClusters[RAM initiale (Go)],$B566),"")</f>
        <v/>
      </c>
      <c r="N566" s="14" t="str">
        <f aca="false">IF($D566=1,INDEX(TblClusters[CPU min (vCPU)],$B566),"")</f>
        <v/>
      </c>
      <c r="O566" s="14" t="str">
        <f aca="false">IF($D566=1,INDEX(TblClusters[RAM min (Go)],$B566),"")</f>
        <v/>
      </c>
      <c r="P566" s="14" t="str">
        <f aca="false">IF($D566&lt;&gt;1,"",IF($G566="ROKS",SUMIFS(TblApplications[Besoin ROKS CPU (vCPU)],TblApplications[Cluster ROKS cible],$F566,TblApplications[Action],"À migrer",TblApplications[Déjà incluse ROKS],"Non",TblApplications[Mois prov (calc)],"&lt;="&amp;$E566),SUMIFS(TblApplications[CPU IKS libérable (vCPU)],TblApplications[Cluster IKS source],$F566,TblApplications[Mois lib (calc)],"&lt;="&amp;$E566)))</f>
        <v/>
      </c>
      <c r="Q566" s="14" t="str">
        <f aca="false">IF($D566&lt;&gt;1,"",IF($G566="ROKS",SUMIFS(TblApplications[Besoin ROKS RAM (Go)],TblApplications[Cluster ROKS cible],$F566,TblApplications[Action],"À migrer",TblApplications[Déjà incluse ROKS],"Non",TblApplications[Mois prov (calc)],"&lt;="&amp;$E566),SUMIFS(TblApplications[RAM IKS libérable (Go)],TblApplications[Cluster IKS source],$F566,TblApplications[Mois lib (calc)],"&lt;="&amp;$E566)))</f>
        <v/>
      </c>
      <c r="R566" s="14" t="str">
        <f aca="false">IF($D566&lt;&gt;1,"",IF($G566="ROKS",$L566+$P566,IF($AI566=1,0,MAX($N566,$L566-$P566))))</f>
        <v/>
      </c>
      <c r="S566" s="14" t="str">
        <f aca="false">IF($D566&lt;&gt;1,"",IF($G566="ROKS",$M566+$Q566,IF($AI566=1,0,MAX($O566,$M566-$Q566))))</f>
        <v/>
      </c>
      <c r="T566" s="14" t="str">
        <f aca="false">IF($D566&lt;&gt;1,"",IF($AI566=1,0,MAX($J566,ROUNDUP(MAX($R566/$H566,$S566/$I566),0))))</f>
        <v/>
      </c>
      <c r="U566" s="14" t="str">
        <f aca="false">IF($D566&lt;&gt;1,"",IF(p_mode="Nœud",$T566*$H566,$R566))</f>
        <v/>
      </c>
      <c r="V566" s="14" t="str">
        <f aca="false">IF($D566&lt;&gt;1,"",IF(p_mode="Nœud",$T566*$I566,$S566))</f>
        <v/>
      </c>
      <c r="W566" s="84" t="str">
        <f aca="false">IF($D566&lt;&gt;1,"",IF(p_mode="Nœud",$T566*$K566,$R566*IF($G566="IKS",p_iks_cpu,p_roks_cpu)+$S566*IF($G566="IKS",p_iks_ram,p_roks_ram))*p_facteur)</f>
        <v/>
      </c>
      <c r="X566" s="14" t="str">
        <f aca="false">IF($D566&lt;&gt;1,"",IF($G566="ROKS",$R566,IF($AI566=1,0,MAX($N566,$L566-SUMIFS(TblApplications[CPU IKS libérable (vCPU)],TblApplications[Cluster IKS source],$F566,TblApplications[Action],"À migrer",TblApplications[Mois prov (calc)],"&lt;="&amp;$E566)-SUMIFS(TblApplications[CPU IKS libérable (vCPU)],TblApplications[Cluster IKS source],$F566,TblApplications[Action],"À décommissionner",TblApplications[Mois lib (calc)],"&lt;="&amp;$E566)))))</f>
        <v/>
      </c>
      <c r="Y566" s="14" t="str">
        <f aca="false">IF($D566&lt;&gt;1,"",IF($G566="ROKS",$S566,IF($AI566=1,0,MAX($O566,$M566-SUMIFS(TblApplications[RAM IKS libérable (Go)],TblApplications[Cluster IKS source],$F566,TblApplications[Action],"À migrer",TblApplications[Mois prov (calc)],"&lt;="&amp;$E566)-SUMIFS(TblApplications[RAM IKS libérable (Go)],TblApplications[Cluster IKS source],$F566,TblApplications[Action],"À décommissionner",TblApplications[Mois lib (calc)],"&lt;="&amp;$E566)))))</f>
        <v/>
      </c>
      <c r="Z566" s="14" t="str">
        <f aca="false">IF($D566&lt;&gt;1,"",IF($AI566=1,0,MAX($J566,ROUNDUP(MAX($X566/$H566,$Y566/$I566),0))))</f>
        <v/>
      </c>
      <c r="AA566" s="84" t="str">
        <f aca="false">IF($D566&lt;&gt;1,"",IF(p_mode="Nœud",$Z566*$K566,$X566*IF($G566="IKS",p_iks_cpu,p_roks_cpu)+$Y566*IF($G566="IKS",p_iks_ram,p_roks_ram))*p_facteur)</f>
        <v/>
      </c>
      <c r="AB566" s="14" t="str">
        <f aca="false">IF($D566&lt;&gt;1,"",MAX($J566,ROUNDUP(MAX($L566/$H566,$M566/$I566),0)))</f>
        <v/>
      </c>
      <c r="AC566" s="84" t="str">
        <f aca="false">IF($D566&lt;&gt;1,"",IF(p_mode="Nœud",$AB566*$K566,$L566*IF($G566="IKS",p_iks_cpu,p_roks_cpu)+$M566*IF($G566="IKS",p_iks_ram,p_roks_ram))*p_facteur)</f>
        <v/>
      </c>
      <c r="AD566" s="14" t="str">
        <f aca="false">IF($D566&lt;&gt;1,"",IF(AND($G566="IKS",$AI566&lt;&gt;1,OR($L566-$P566&lt;$N566,$M566-$Q566&lt;$O566)),1,0))</f>
        <v/>
      </c>
      <c r="AE566" s="14" t="str">
        <f aca="false">IF($D566&lt;&gt;1,"",IF(AND($G566="ROKS",$T566&gt;p_maxworkers),1,0))</f>
        <v/>
      </c>
      <c r="AF566" s="14" t="str">
        <f aca="false">IF($D566&lt;&gt;1,"",IF(INDEX(TblClusters[Environnement],$B566)="","(vide)",INDEX(TblClusters[Environnement],$B566)))</f>
        <v/>
      </c>
      <c r="AG566" s="14" t="str">
        <f aca="false">IF($D566&lt;&gt;1,"",$R566+p_poidsram*$S566)</f>
        <v/>
      </c>
      <c r="AH566" s="14" t="str">
        <f aca="false">IF($D566&lt;&gt;1,"",IFERROR($W566/$AG566,0))</f>
        <v/>
      </c>
      <c r="AI566" s="14" t="str">
        <f aca="false">IF($D566&lt;&gt;1,"",IF(AND($G566="IKS",ISNUMBER(INDEX(TblClusters[Fermeture retenue],$B566))),IF($E566&gt;=INDEX(TblClusters[Fermeture retenue],$B566),1,0),0))</f>
        <v/>
      </c>
    </row>
    <row r="567" customFormat="false" ht="15" hidden="false" customHeight="false" outlineLevel="0" collapsed="false">
      <c r="A567" s="14" t="n">
        <v>562</v>
      </c>
      <c r="B567" s="14" t="n">
        <f aca="false">INT(($A567-1)/36)+1</f>
        <v>16</v>
      </c>
      <c r="C567" s="14" t="n">
        <f aca="false">MOD($A567-1,36)+1</f>
        <v>22</v>
      </c>
      <c r="D567" s="14" t="n">
        <f aca="false">IF($C567&gt;p_horizon,0,IFERROR(IF(AND(INDEX(TblClusters[Cluster],$B567)&lt;&gt;"",ISNUMBER(INDEX(TblClusters[CPU initial (vCPU)],$B567)),ISNUMBER(INDEX(TblClusters[CPU min (vCPU)],$B567)),OR(INDEX(TblClusters[Plateforme],$B567)="IKS",INDEX(TblClusters[Plateforme],$B567)="ROKS")),1,0),0))</f>
        <v>0</v>
      </c>
      <c r="E567" s="83" t="str">
        <f aca="false">IF($D567=1,EDATE(p_debut,$C567-1),"")</f>
        <v/>
      </c>
      <c r="F567" s="14" t="str">
        <f aca="false">IF($D567=1,INDEX(TblClusters[Cluster],$B567),"")</f>
        <v/>
      </c>
      <c r="G567" s="14" t="str">
        <f aca="false">IF($D567=1,INDEX(TblClusters[Plateforme],$B567),"")</f>
        <v/>
      </c>
      <c r="H567" s="14" t="str">
        <f aca="false">IF($D567=1,INDEX(TblClusters[vCPU par nœud],$B567),"")</f>
        <v/>
      </c>
      <c r="I567" s="14" t="str">
        <f aca="false">IF($D567=1,INDEX(TblClusters[RAM par nœud (Go)],$B567),"")</f>
        <v/>
      </c>
      <c r="J567" s="14" t="str">
        <f aca="false">IF($D567=1,INDEX(TblClusters[Workers min],$B567),"")</f>
        <v/>
      </c>
      <c r="K567" s="84" t="str">
        <f aca="false">IF($D567=1,INDEX(TblClusters[Tarif par nœud],$B567),"")</f>
        <v/>
      </c>
      <c r="L567" s="14" t="str">
        <f aca="false">IF($D567=1,INDEX(TblClusters[CPU initial (vCPU)],$B567),"")</f>
        <v/>
      </c>
      <c r="M567" s="14" t="str">
        <f aca="false">IF($D567=1,INDEX(TblClusters[RAM initiale (Go)],$B567),"")</f>
        <v/>
      </c>
      <c r="N567" s="14" t="str">
        <f aca="false">IF($D567=1,INDEX(TblClusters[CPU min (vCPU)],$B567),"")</f>
        <v/>
      </c>
      <c r="O567" s="14" t="str">
        <f aca="false">IF($D567=1,INDEX(TblClusters[RAM min (Go)],$B567),"")</f>
        <v/>
      </c>
      <c r="P567" s="14" t="str">
        <f aca="false">IF($D567&lt;&gt;1,"",IF($G567="ROKS",SUMIFS(TblApplications[Besoin ROKS CPU (vCPU)],TblApplications[Cluster ROKS cible],$F567,TblApplications[Action],"À migrer",TblApplications[Déjà incluse ROKS],"Non",TblApplications[Mois prov (calc)],"&lt;="&amp;$E567),SUMIFS(TblApplications[CPU IKS libérable (vCPU)],TblApplications[Cluster IKS source],$F567,TblApplications[Mois lib (calc)],"&lt;="&amp;$E567)))</f>
        <v/>
      </c>
      <c r="Q567" s="14" t="str">
        <f aca="false">IF($D567&lt;&gt;1,"",IF($G567="ROKS",SUMIFS(TblApplications[Besoin ROKS RAM (Go)],TblApplications[Cluster ROKS cible],$F567,TblApplications[Action],"À migrer",TblApplications[Déjà incluse ROKS],"Non",TblApplications[Mois prov (calc)],"&lt;="&amp;$E567),SUMIFS(TblApplications[RAM IKS libérable (Go)],TblApplications[Cluster IKS source],$F567,TblApplications[Mois lib (calc)],"&lt;="&amp;$E567)))</f>
        <v/>
      </c>
      <c r="R567" s="14" t="str">
        <f aca="false">IF($D567&lt;&gt;1,"",IF($G567="ROKS",$L567+$P567,IF($AI567=1,0,MAX($N567,$L567-$P567))))</f>
        <v/>
      </c>
      <c r="S567" s="14" t="str">
        <f aca="false">IF($D567&lt;&gt;1,"",IF($G567="ROKS",$M567+$Q567,IF($AI567=1,0,MAX($O567,$M567-$Q567))))</f>
        <v/>
      </c>
      <c r="T567" s="14" t="str">
        <f aca="false">IF($D567&lt;&gt;1,"",IF($AI567=1,0,MAX($J567,ROUNDUP(MAX($R567/$H567,$S567/$I567),0))))</f>
        <v/>
      </c>
      <c r="U567" s="14" t="str">
        <f aca="false">IF($D567&lt;&gt;1,"",IF(p_mode="Nœud",$T567*$H567,$R567))</f>
        <v/>
      </c>
      <c r="V567" s="14" t="str">
        <f aca="false">IF($D567&lt;&gt;1,"",IF(p_mode="Nœud",$T567*$I567,$S567))</f>
        <v/>
      </c>
      <c r="W567" s="84" t="str">
        <f aca="false">IF($D567&lt;&gt;1,"",IF(p_mode="Nœud",$T567*$K567,$R567*IF($G567="IKS",p_iks_cpu,p_roks_cpu)+$S567*IF($G567="IKS",p_iks_ram,p_roks_ram))*p_facteur)</f>
        <v/>
      </c>
      <c r="X567" s="14" t="str">
        <f aca="false">IF($D567&lt;&gt;1,"",IF($G567="ROKS",$R567,IF($AI567=1,0,MAX($N567,$L567-SUMIFS(TblApplications[CPU IKS libérable (vCPU)],TblApplications[Cluster IKS source],$F567,TblApplications[Action],"À migrer",TblApplications[Mois prov (calc)],"&lt;="&amp;$E567)-SUMIFS(TblApplications[CPU IKS libérable (vCPU)],TblApplications[Cluster IKS source],$F567,TblApplications[Action],"À décommissionner",TblApplications[Mois lib (calc)],"&lt;="&amp;$E567)))))</f>
        <v/>
      </c>
      <c r="Y567" s="14" t="str">
        <f aca="false">IF($D567&lt;&gt;1,"",IF($G567="ROKS",$S567,IF($AI567=1,0,MAX($O567,$M567-SUMIFS(TblApplications[RAM IKS libérable (Go)],TblApplications[Cluster IKS source],$F567,TblApplications[Action],"À migrer",TblApplications[Mois prov (calc)],"&lt;="&amp;$E567)-SUMIFS(TblApplications[RAM IKS libérable (Go)],TblApplications[Cluster IKS source],$F567,TblApplications[Action],"À décommissionner",TblApplications[Mois lib (calc)],"&lt;="&amp;$E567)))))</f>
        <v/>
      </c>
      <c r="Z567" s="14" t="str">
        <f aca="false">IF($D567&lt;&gt;1,"",IF($AI567=1,0,MAX($J567,ROUNDUP(MAX($X567/$H567,$Y567/$I567),0))))</f>
        <v/>
      </c>
      <c r="AA567" s="84" t="str">
        <f aca="false">IF($D567&lt;&gt;1,"",IF(p_mode="Nœud",$Z567*$K567,$X567*IF($G567="IKS",p_iks_cpu,p_roks_cpu)+$Y567*IF($G567="IKS",p_iks_ram,p_roks_ram))*p_facteur)</f>
        <v/>
      </c>
      <c r="AB567" s="14" t="str">
        <f aca="false">IF($D567&lt;&gt;1,"",MAX($J567,ROUNDUP(MAX($L567/$H567,$M567/$I567),0)))</f>
        <v/>
      </c>
      <c r="AC567" s="84" t="str">
        <f aca="false">IF($D567&lt;&gt;1,"",IF(p_mode="Nœud",$AB567*$K567,$L567*IF($G567="IKS",p_iks_cpu,p_roks_cpu)+$M567*IF($G567="IKS",p_iks_ram,p_roks_ram))*p_facteur)</f>
        <v/>
      </c>
      <c r="AD567" s="14" t="str">
        <f aca="false">IF($D567&lt;&gt;1,"",IF(AND($G567="IKS",$AI567&lt;&gt;1,OR($L567-$P567&lt;$N567,$M567-$Q567&lt;$O567)),1,0))</f>
        <v/>
      </c>
      <c r="AE567" s="14" t="str">
        <f aca="false">IF($D567&lt;&gt;1,"",IF(AND($G567="ROKS",$T567&gt;p_maxworkers),1,0))</f>
        <v/>
      </c>
      <c r="AF567" s="14" t="str">
        <f aca="false">IF($D567&lt;&gt;1,"",IF(INDEX(TblClusters[Environnement],$B567)="","(vide)",INDEX(TblClusters[Environnement],$B567)))</f>
        <v/>
      </c>
      <c r="AG567" s="14" t="str">
        <f aca="false">IF($D567&lt;&gt;1,"",$R567+p_poidsram*$S567)</f>
        <v/>
      </c>
      <c r="AH567" s="14" t="str">
        <f aca="false">IF($D567&lt;&gt;1,"",IFERROR($W567/$AG567,0))</f>
        <v/>
      </c>
      <c r="AI567" s="14" t="str">
        <f aca="false">IF($D567&lt;&gt;1,"",IF(AND($G567="IKS",ISNUMBER(INDEX(TblClusters[Fermeture retenue],$B567))),IF($E567&gt;=INDEX(TblClusters[Fermeture retenue],$B567),1,0),0))</f>
        <v/>
      </c>
    </row>
    <row r="568" customFormat="false" ht="15" hidden="false" customHeight="false" outlineLevel="0" collapsed="false">
      <c r="A568" s="14" t="n">
        <v>563</v>
      </c>
      <c r="B568" s="14" t="n">
        <f aca="false">INT(($A568-1)/36)+1</f>
        <v>16</v>
      </c>
      <c r="C568" s="14" t="n">
        <f aca="false">MOD($A568-1,36)+1</f>
        <v>23</v>
      </c>
      <c r="D568" s="14" t="n">
        <f aca="false">IF($C568&gt;p_horizon,0,IFERROR(IF(AND(INDEX(TblClusters[Cluster],$B568)&lt;&gt;"",ISNUMBER(INDEX(TblClusters[CPU initial (vCPU)],$B568)),ISNUMBER(INDEX(TblClusters[CPU min (vCPU)],$B568)),OR(INDEX(TblClusters[Plateforme],$B568)="IKS",INDEX(TblClusters[Plateforme],$B568)="ROKS")),1,0),0))</f>
        <v>0</v>
      </c>
      <c r="E568" s="83" t="str">
        <f aca="false">IF($D568=1,EDATE(p_debut,$C568-1),"")</f>
        <v/>
      </c>
      <c r="F568" s="14" t="str">
        <f aca="false">IF($D568=1,INDEX(TblClusters[Cluster],$B568),"")</f>
        <v/>
      </c>
      <c r="G568" s="14" t="str">
        <f aca="false">IF($D568=1,INDEX(TblClusters[Plateforme],$B568),"")</f>
        <v/>
      </c>
      <c r="H568" s="14" t="str">
        <f aca="false">IF($D568=1,INDEX(TblClusters[vCPU par nœud],$B568),"")</f>
        <v/>
      </c>
      <c r="I568" s="14" t="str">
        <f aca="false">IF($D568=1,INDEX(TblClusters[RAM par nœud (Go)],$B568),"")</f>
        <v/>
      </c>
      <c r="J568" s="14" t="str">
        <f aca="false">IF($D568=1,INDEX(TblClusters[Workers min],$B568),"")</f>
        <v/>
      </c>
      <c r="K568" s="84" t="str">
        <f aca="false">IF($D568=1,INDEX(TblClusters[Tarif par nœud],$B568),"")</f>
        <v/>
      </c>
      <c r="L568" s="14" t="str">
        <f aca="false">IF($D568=1,INDEX(TblClusters[CPU initial (vCPU)],$B568),"")</f>
        <v/>
      </c>
      <c r="M568" s="14" t="str">
        <f aca="false">IF($D568=1,INDEX(TblClusters[RAM initiale (Go)],$B568),"")</f>
        <v/>
      </c>
      <c r="N568" s="14" t="str">
        <f aca="false">IF($D568=1,INDEX(TblClusters[CPU min (vCPU)],$B568),"")</f>
        <v/>
      </c>
      <c r="O568" s="14" t="str">
        <f aca="false">IF($D568=1,INDEX(TblClusters[RAM min (Go)],$B568),"")</f>
        <v/>
      </c>
      <c r="P568" s="14" t="str">
        <f aca="false">IF($D568&lt;&gt;1,"",IF($G568="ROKS",SUMIFS(TblApplications[Besoin ROKS CPU (vCPU)],TblApplications[Cluster ROKS cible],$F568,TblApplications[Action],"À migrer",TblApplications[Déjà incluse ROKS],"Non",TblApplications[Mois prov (calc)],"&lt;="&amp;$E568),SUMIFS(TblApplications[CPU IKS libérable (vCPU)],TblApplications[Cluster IKS source],$F568,TblApplications[Mois lib (calc)],"&lt;="&amp;$E568)))</f>
        <v/>
      </c>
      <c r="Q568" s="14" t="str">
        <f aca="false">IF($D568&lt;&gt;1,"",IF($G568="ROKS",SUMIFS(TblApplications[Besoin ROKS RAM (Go)],TblApplications[Cluster ROKS cible],$F568,TblApplications[Action],"À migrer",TblApplications[Déjà incluse ROKS],"Non",TblApplications[Mois prov (calc)],"&lt;="&amp;$E568),SUMIFS(TblApplications[RAM IKS libérable (Go)],TblApplications[Cluster IKS source],$F568,TblApplications[Mois lib (calc)],"&lt;="&amp;$E568)))</f>
        <v/>
      </c>
      <c r="R568" s="14" t="str">
        <f aca="false">IF($D568&lt;&gt;1,"",IF($G568="ROKS",$L568+$P568,IF($AI568=1,0,MAX($N568,$L568-$P568))))</f>
        <v/>
      </c>
      <c r="S568" s="14" t="str">
        <f aca="false">IF($D568&lt;&gt;1,"",IF($G568="ROKS",$M568+$Q568,IF($AI568=1,0,MAX($O568,$M568-$Q568))))</f>
        <v/>
      </c>
      <c r="T568" s="14" t="str">
        <f aca="false">IF($D568&lt;&gt;1,"",IF($AI568=1,0,MAX($J568,ROUNDUP(MAX($R568/$H568,$S568/$I568),0))))</f>
        <v/>
      </c>
      <c r="U568" s="14" t="str">
        <f aca="false">IF($D568&lt;&gt;1,"",IF(p_mode="Nœud",$T568*$H568,$R568))</f>
        <v/>
      </c>
      <c r="V568" s="14" t="str">
        <f aca="false">IF($D568&lt;&gt;1,"",IF(p_mode="Nœud",$T568*$I568,$S568))</f>
        <v/>
      </c>
      <c r="W568" s="84" t="str">
        <f aca="false">IF($D568&lt;&gt;1,"",IF(p_mode="Nœud",$T568*$K568,$R568*IF($G568="IKS",p_iks_cpu,p_roks_cpu)+$S568*IF($G568="IKS",p_iks_ram,p_roks_ram))*p_facteur)</f>
        <v/>
      </c>
      <c r="X568" s="14" t="str">
        <f aca="false">IF($D568&lt;&gt;1,"",IF($G568="ROKS",$R568,IF($AI568=1,0,MAX($N568,$L568-SUMIFS(TblApplications[CPU IKS libérable (vCPU)],TblApplications[Cluster IKS source],$F568,TblApplications[Action],"À migrer",TblApplications[Mois prov (calc)],"&lt;="&amp;$E568)-SUMIFS(TblApplications[CPU IKS libérable (vCPU)],TblApplications[Cluster IKS source],$F568,TblApplications[Action],"À décommissionner",TblApplications[Mois lib (calc)],"&lt;="&amp;$E568)))))</f>
        <v/>
      </c>
      <c r="Y568" s="14" t="str">
        <f aca="false">IF($D568&lt;&gt;1,"",IF($G568="ROKS",$S568,IF($AI568=1,0,MAX($O568,$M568-SUMIFS(TblApplications[RAM IKS libérable (Go)],TblApplications[Cluster IKS source],$F568,TblApplications[Action],"À migrer",TblApplications[Mois prov (calc)],"&lt;="&amp;$E568)-SUMIFS(TblApplications[RAM IKS libérable (Go)],TblApplications[Cluster IKS source],$F568,TblApplications[Action],"À décommissionner",TblApplications[Mois lib (calc)],"&lt;="&amp;$E568)))))</f>
        <v/>
      </c>
      <c r="Z568" s="14" t="str">
        <f aca="false">IF($D568&lt;&gt;1,"",IF($AI568=1,0,MAX($J568,ROUNDUP(MAX($X568/$H568,$Y568/$I568),0))))</f>
        <v/>
      </c>
      <c r="AA568" s="84" t="str">
        <f aca="false">IF($D568&lt;&gt;1,"",IF(p_mode="Nœud",$Z568*$K568,$X568*IF($G568="IKS",p_iks_cpu,p_roks_cpu)+$Y568*IF($G568="IKS",p_iks_ram,p_roks_ram))*p_facteur)</f>
        <v/>
      </c>
      <c r="AB568" s="14" t="str">
        <f aca="false">IF($D568&lt;&gt;1,"",MAX($J568,ROUNDUP(MAX($L568/$H568,$M568/$I568),0)))</f>
        <v/>
      </c>
      <c r="AC568" s="84" t="str">
        <f aca="false">IF($D568&lt;&gt;1,"",IF(p_mode="Nœud",$AB568*$K568,$L568*IF($G568="IKS",p_iks_cpu,p_roks_cpu)+$M568*IF($G568="IKS",p_iks_ram,p_roks_ram))*p_facteur)</f>
        <v/>
      </c>
      <c r="AD568" s="14" t="str">
        <f aca="false">IF($D568&lt;&gt;1,"",IF(AND($G568="IKS",$AI568&lt;&gt;1,OR($L568-$P568&lt;$N568,$M568-$Q568&lt;$O568)),1,0))</f>
        <v/>
      </c>
      <c r="AE568" s="14" t="str">
        <f aca="false">IF($D568&lt;&gt;1,"",IF(AND($G568="ROKS",$T568&gt;p_maxworkers),1,0))</f>
        <v/>
      </c>
      <c r="AF568" s="14" t="str">
        <f aca="false">IF($D568&lt;&gt;1,"",IF(INDEX(TblClusters[Environnement],$B568)="","(vide)",INDEX(TblClusters[Environnement],$B568)))</f>
        <v/>
      </c>
      <c r="AG568" s="14" t="str">
        <f aca="false">IF($D568&lt;&gt;1,"",$R568+p_poidsram*$S568)</f>
        <v/>
      </c>
      <c r="AH568" s="14" t="str">
        <f aca="false">IF($D568&lt;&gt;1,"",IFERROR($W568/$AG568,0))</f>
        <v/>
      </c>
      <c r="AI568" s="14" t="str">
        <f aca="false">IF($D568&lt;&gt;1,"",IF(AND($G568="IKS",ISNUMBER(INDEX(TblClusters[Fermeture retenue],$B568))),IF($E568&gt;=INDEX(TblClusters[Fermeture retenue],$B568),1,0),0))</f>
        <v/>
      </c>
    </row>
    <row r="569" customFormat="false" ht="15" hidden="false" customHeight="false" outlineLevel="0" collapsed="false">
      <c r="A569" s="14" t="n">
        <v>564</v>
      </c>
      <c r="B569" s="14" t="n">
        <f aca="false">INT(($A569-1)/36)+1</f>
        <v>16</v>
      </c>
      <c r="C569" s="14" t="n">
        <f aca="false">MOD($A569-1,36)+1</f>
        <v>24</v>
      </c>
      <c r="D569" s="14" t="n">
        <f aca="false">IF($C569&gt;p_horizon,0,IFERROR(IF(AND(INDEX(TblClusters[Cluster],$B569)&lt;&gt;"",ISNUMBER(INDEX(TblClusters[CPU initial (vCPU)],$B569)),ISNUMBER(INDEX(TblClusters[CPU min (vCPU)],$B569)),OR(INDEX(TblClusters[Plateforme],$B569)="IKS",INDEX(TblClusters[Plateforme],$B569)="ROKS")),1,0),0))</f>
        <v>0</v>
      </c>
      <c r="E569" s="83" t="str">
        <f aca="false">IF($D569=1,EDATE(p_debut,$C569-1),"")</f>
        <v/>
      </c>
      <c r="F569" s="14" t="str">
        <f aca="false">IF($D569=1,INDEX(TblClusters[Cluster],$B569),"")</f>
        <v/>
      </c>
      <c r="G569" s="14" t="str">
        <f aca="false">IF($D569=1,INDEX(TblClusters[Plateforme],$B569),"")</f>
        <v/>
      </c>
      <c r="H569" s="14" t="str">
        <f aca="false">IF($D569=1,INDEX(TblClusters[vCPU par nœud],$B569),"")</f>
        <v/>
      </c>
      <c r="I569" s="14" t="str">
        <f aca="false">IF($D569=1,INDEX(TblClusters[RAM par nœud (Go)],$B569),"")</f>
        <v/>
      </c>
      <c r="J569" s="14" t="str">
        <f aca="false">IF($D569=1,INDEX(TblClusters[Workers min],$B569),"")</f>
        <v/>
      </c>
      <c r="K569" s="84" t="str">
        <f aca="false">IF($D569=1,INDEX(TblClusters[Tarif par nœud],$B569),"")</f>
        <v/>
      </c>
      <c r="L569" s="14" t="str">
        <f aca="false">IF($D569=1,INDEX(TblClusters[CPU initial (vCPU)],$B569),"")</f>
        <v/>
      </c>
      <c r="M569" s="14" t="str">
        <f aca="false">IF($D569=1,INDEX(TblClusters[RAM initiale (Go)],$B569),"")</f>
        <v/>
      </c>
      <c r="N569" s="14" t="str">
        <f aca="false">IF($D569=1,INDEX(TblClusters[CPU min (vCPU)],$B569),"")</f>
        <v/>
      </c>
      <c r="O569" s="14" t="str">
        <f aca="false">IF($D569=1,INDEX(TblClusters[RAM min (Go)],$B569),"")</f>
        <v/>
      </c>
      <c r="P569" s="14" t="str">
        <f aca="false">IF($D569&lt;&gt;1,"",IF($G569="ROKS",SUMIFS(TblApplications[Besoin ROKS CPU (vCPU)],TblApplications[Cluster ROKS cible],$F569,TblApplications[Action],"À migrer",TblApplications[Déjà incluse ROKS],"Non",TblApplications[Mois prov (calc)],"&lt;="&amp;$E569),SUMIFS(TblApplications[CPU IKS libérable (vCPU)],TblApplications[Cluster IKS source],$F569,TblApplications[Mois lib (calc)],"&lt;="&amp;$E569)))</f>
        <v/>
      </c>
      <c r="Q569" s="14" t="str">
        <f aca="false">IF($D569&lt;&gt;1,"",IF($G569="ROKS",SUMIFS(TblApplications[Besoin ROKS RAM (Go)],TblApplications[Cluster ROKS cible],$F569,TblApplications[Action],"À migrer",TblApplications[Déjà incluse ROKS],"Non",TblApplications[Mois prov (calc)],"&lt;="&amp;$E569),SUMIFS(TblApplications[RAM IKS libérable (Go)],TblApplications[Cluster IKS source],$F569,TblApplications[Mois lib (calc)],"&lt;="&amp;$E569)))</f>
        <v/>
      </c>
      <c r="R569" s="14" t="str">
        <f aca="false">IF($D569&lt;&gt;1,"",IF($G569="ROKS",$L569+$P569,IF($AI569=1,0,MAX($N569,$L569-$P569))))</f>
        <v/>
      </c>
      <c r="S569" s="14" t="str">
        <f aca="false">IF($D569&lt;&gt;1,"",IF($G569="ROKS",$M569+$Q569,IF($AI569=1,0,MAX($O569,$M569-$Q569))))</f>
        <v/>
      </c>
      <c r="T569" s="14" t="str">
        <f aca="false">IF($D569&lt;&gt;1,"",IF($AI569=1,0,MAX($J569,ROUNDUP(MAX($R569/$H569,$S569/$I569),0))))</f>
        <v/>
      </c>
      <c r="U569" s="14" t="str">
        <f aca="false">IF($D569&lt;&gt;1,"",IF(p_mode="Nœud",$T569*$H569,$R569))</f>
        <v/>
      </c>
      <c r="V569" s="14" t="str">
        <f aca="false">IF($D569&lt;&gt;1,"",IF(p_mode="Nœud",$T569*$I569,$S569))</f>
        <v/>
      </c>
      <c r="W569" s="84" t="str">
        <f aca="false">IF($D569&lt;&gt;1,"",IF(p_mode="Nœud",$T569*$K569,$R569*IF($G569="IKS",p_iks_cpu,p_roks_cpu)+$S569*IF($G569="IKS",p_iks_ram,p_roks_ram))*p_facteur)</f>
        <v/>
      </c>
      <c r="X569" s="14" t="str">
        <f aca="false">IF($D569&lt;&gt;1,"",IF($G569="ROKS",$R569,IF($AI569=1,0,MAX($N569,$L569-SUMIFS(TblApplications[CPU IKS libérable (vCPU)],TblApplications[Cluster IKS source],$F569,TblApplications[Action],"À migrer",TblApplications[Mois prov (calc)],"&lt;="&amp;$E569)-SUMIFS(TblApplications[CPU IKS libérable (vCPU)],TblApplications[Cluster IKS source],$F569,TblApplications[Action],"À décommissionner",TblApplications[Mois lib (calc)],"&lt;="&amp;$E569)))))</f>
        <v/>
      </c>
      <c r="Y569" s="14" t="str">
        <f aca="false">IF($D569&lt;&gt;1,"",IF($G569="ROKS",$S569,IF($AI569=1,0,MAX($O569,$M569-SUMIFS(TblApplications[RAM IKS libérable (Go)],TblApplications[Cluster IKS source],$F569,TblApplications[Action],"À migrer",TblApplications[Mois prov (calc)],"&lt;="&amp;$E569)-SUMIFS(TblApplications[RAM IKS libérable (Go)],TblApplications[Cluster IKS source],$F569,TblApplications[Action],"À décommissionner",TblApplications[Mois lib (calc)],"&lt;="&amp;$E569)))))</f>
        <v/>
      </c>
      <c r="Z569" s="14" t="str">
        <f aca="false">IF($D569&lt;&gt;1,"",IF($AI569=1,0,MAX($J569,ROUNDUP(MAX($X569/$H569,$Y569/$I569),0))))</f>
        <v/>
      </c>
      <c r="AA569" s="84" t="str">
        <f aca="false">IF($D569&lt;&gt;1,"",IF(p_mode="Nœud",$Z569*$K569,$X569*IF($G569="IKS",p_iks_cpu,p_roks_cpu)+$Y569*IF($G569="IKS",p_iks_ram,p_roks_ram))*p_facteur)</f>
        <v/>
      </c>
      <c r="AB569" s="14" t="str">
        <f aca="false">IF($D569&lt;&gt;1,"",MAX($J569,ROUNDUP(MAX($L569/$H569,$M569/$I569),0)))</f>
        <v/>
      </c>
      <c r="AC569" s="84" t="str">
        <f aca="false">IF($D569&lt;&gt;1,"",IF(p_mode="Nœud",$AB569*$K569,$L569*IF($G569="IKS",p_iks_cpu,p_roks_cpu)+$M569*IF($G569="IKS",p_iks_ram,p_roks_ram))*p_facteur)</f>
        <v/>
      </c>
      <c r="AD569" s="14" t="str">
        <f aca="false">IF($D569&lt;&gt;1,"",IF(AND($G569="IKS",$AI569&lt;&gt;1,OR($L569-$P569&lt;$N569,$M569-$Q569&lt;$O569)),1,0))</f>
        <v/>
      </c>
      <c r="AE569" s="14" t="str">
        <f aca="false">IF($D569&lt;&gt;1,"",IF(AND($G569="ROKS",$T569&gt;p_maxworkers),1,0))</f>
        <v/>
      </c>
      <c r="AF569" s="14" t="str">
        <f aca="false">IF($D569&lt;&gt;1,"",IF(INDEX(TblClusters[Environnement],$B569)="","(vide)",INDEX(TblClusters[Environnement],$B569)))</f>
        <v/>
      </c>
      <c r="AG569" s="14" t="str">
        <f aca="false">IF($D569&lt;&gt;1,"",$R569+p_poidsram*$S569)</f>
        <v/>
      </c>
      <c r="AH569" s="14" t="str">
        <f aca="false">IF($D569&lt;&gt;1,"",IFERROR($W569/$AG569,0))</f>
        <v/>
      </c>
      <c r="AI569" s="14" t="str">
        <f aca="false">IF($D569&lt;&gt;1,"",IF(AND($G569="IKS",ISNUMBER(INDEX(TblClusters[Fermeture retenue],$B569))),IF($E569&gt;=INDEX(TblClusters[Fermeture retenue],$B569),1,0),0))</f>
        <v/>
      </c>
    </row>
    <row r="570" customFormat="false" ht="15" hidden="false" customHeight="false" outlineLevel="0" collapsed="false">
      <c r="A570" s="14" t="n">
        <v>565</v>
      </c>
      <c r="B570" s="14" t="n">
        <f aca="false">INT(($A570-1)/36)+1</f>
        <v>16</v>
      </c>
      <c r="C570" s="14" t="n">
        <f aca="false">MOD($A570-1,36)+1</f>
        <v>25</v>
      </c>
      <c r="D570" s="14" t="n">
        <f aca="false">IF($C570&gt;p_horizon,0,IFERROR(IF(AND(INDEX(TblClusters[Cluster],$B570)&lt;&gt;"",ISNUMBER(INDEX(TblClusters[CPU initial (vCPU)],$B570)),ISNUMBER(INDEX(TblClusters[CPU min (vCPU)],$B570)),OR(INDEX(TblClusters[Plateforme],$B570)="IKS",INDEX(TblClusters[Plateforme],$B570)="ROKS")),1,0),0))</f>
        <v>0</v>
      </c>
      <c r="E570" s="83" t="str">
        <f aca="false">IF($D570=1,EDATE(p_debut,$C570-1),"")</f>
        <v/>
      </c>
      <c r="F570" s="14" t="str">
        <f aca="false">IF($D570=1,INDEX(TblClusters[Cluster],$B570),"")</f>
        <v/>
      </c>
      <c r="G570" s="14" t="str">
        <f aca="false">IF($D570=1,INDEX(TblClusters[Plateforme],$B570),"")</f>
        <v/>
      </c>
      <c r="H570" s="14" t="str">
        <f aca="false">IF($D570=1,INDEX(TblClusters[vCPU par nœud],$B570),"")</f>
        <v/>
      </c>
      <c r="I570" s="14" t="str">
        <f aca="false">IF($D570=1,INDEX(TblClusters[RAM par nœud (Go)],$B570),"")</f>
        <v/>
      </c>
      <c r="J570" s="14" t="str">
        <f aca="false">IF($D570=1,INDEX(TblClusters[Workers min],$B570),"")</f>
        <v/>
      </c>
      <c r="K570" s="84" t="str">
        <f aca="false">IF($D570=1,INDEX(TblClusters[Tarif par nœud],$B570),"")</f>
        <v/>
      </c>
      <c r="L570" s="14" t="str">
        <f aca="false">IF($D570=1,INDEX(TblClusters[CPU initial (vCPU)],$B570),"")</f>
        <v/>
      </c>
      <c r="M570" s="14" t="str">
        <f aca="false">IF($D570=1,INDEX(TblClusters[RAM initiale (Go)],$B570),"")</f>
        <v/>
      </c>
      <c r="N570" s="14" t="str">
        <f aca="false">IF($D570=1,INDEX(TblClusters[CPU min (vCPU)],$B570),"")</f>
        <v/>
      </c>
      <c r="O570" s="14" t="str">
        <f aca="false">IF($D570=1,INDEX(TblClusters[RAM min (Go)],$B570),"")</f>
        <v/>
      </c>
      <c r="P570" s="14" t="str">
        <f aca="false">IF($D570&lt;&gt;1,"",IF($G570="ROKS",SUMIFS(TblApplications[Besoin ROKS CPU (vCPU)],TblApplications[Cluster ROKS cible],$F570,TblApplications[Action],"À migrer",TblApplications[Déjà incluse ROKS],"Non",TblApplications[Mois prov (calc)],"&lt;="&amp;$E570),SUMIFS(TblApplications[CPU IKS libérable (vCPU)],TblApplications[Cluster IKS source],$F570,TblApplications[Mois lib (calc)],"&lt;="&amp;$E570)))</f>
        <v/>
      </c>
      <c r="Q570" s="14" t="str">
        <f aca="false">IF($D570&lt;&gt;1,"",IF($G570="ROKS",SUMIFS(TblApplications[Besoin ROKS RAM (Go)],TblApplications[Cluster ROKS cible],$F570,TblApplications[Action],"À migrer",TblApplications[Déjà incluse ROKS],"Non",TblApplications[Mois prov (calc)],"&lt;="&amp;$E570),SUMIFS(TblApplications[RAM IKS libérable (Go)],TblApplications[Cluster IKS source],$F570,TblApplications[Mois lib (calc)],"&lt;="&amp;$E570)))</f>
        <v/>
      </c>
      <c r="R570" s="14" t="str">
        <f aca="false">IF($D570&lt;&gt;1,"",IF($G570="ROKS",$L570+$P570,IF($AI570=1,0,MAX($N570,$L570-$P570))))</f>
        <v/>
      </c>
      <c r="S570" s="14" t="str">
        <f aca="false">IF($D570&lt;&gt;1,"",IF($G570="ROKS",$M570+$Q570,IF($AI570=1,0,MAX($O570,$M570-$Q570))))</f>
        <v/>
      </c>
      <c r="T570" s="14" t="str">
        <f aca="false">IF($D570&lt;&gt;1,"",IF($AI570=1,0,MAX($J570,ROUNDUP(MAX($R570/$H570,$S570/$I570),0))))</f>
        <v/>
      </c>
      <c r="U570" s="14" t="str">
        <f aca="false">IF($D570&lt;&gt;1,"",IF(p_mode="Nœud",$T570*$H570,$R570))</f>
        <v/>
      </c>
      <c r="V570" s="14" t="str">
        <f aca="false">IF($D570&lt;&gt;1,"",IF(p_mode="Nœud",$T570*$I570,$S570))</f>
        <v/>
      </c>
      <c r="W570" s="84" t="str">
        <f aca="false">IF($D570&lt;&gt;1,"",IF(p_mode="Nœud",$T570*$K570,$R570*IF($G570="IKS",p_iks_cpu,p_roks_cpu)+$S570*IF($G570="IKS",p_iks_ram,p_roks_ram))*p_facteur)</f>
        <v/>
      </c>
      <c r="X570" s="14" t="str">
        <f aca="false">IF($D570&lt;&gt;1,"",IF($G570="ROKS",$R570,IF($AI570=1,0,MAX($N570,$L570-SUMIFS(TblApplications[CPU IKS libérable (vCPU)],TblApplications[Cluster IKS source],$F570,TblApplications[Action],"À migrer",TblApplications[Mois prov (calc)],"&lt;="&amp;$E570)-SUMIFS(TblApplications[CPU IKS libérable (vCPU)],TblApplications[Cluster IKS source],$F570,TblApplications[Action],"À décommissionner",TblApplications[Mois lib (calc)],"&lt;="&amp;$E570)))))</f>
        <v/>
      </c>
      <c r="Y570" s="14" t="str">
        <f aca="false">IF($D570&lt;&gt;1,"",IF($G570="ROKS",$S570,IF($AI570=1,0,MAX($O570,$M570-SUMIFS(TblApplications[RAM IKS libérable (Go)],TblApplications[Cluster IKS source],$F570,TblApplications[Action],"À migrer",TblApplications[Mois prov (calc)],"&lt;="&amp;$E570)-SUMIFS(TblApplications[RAM IKS libérable (Go)],TblApplications[Cluster IKS source],$F570,TblApplications[Action],"À décommissionner",TblApplications[Mois lib (calc)],"&lt;="&amp;$E570)))))</f>
        <v/>
      </c>
      <c r="Z570" s="14" t="str">
        <f aca="false">IF($D570&lt;&gt;1,"",IF($AI570=1,0,MAX($J570,ROUNDUP(MAX($X570/$H570,$Y570/$I570),0))))</f>
        <v/>
      </c>
      <c r="AA570" s="84" t="str">
        <f aca="false">IF($D570&lt;&gt;1,"",IF(p_mode="Nœud",$Z570*$K570,$X570*IF($G570="IKS",p_iks_cpu,p_roks_cpu)+$Y570*IF($G570="IKS",p_iks_ram,p_roks_ram))*p_facteur)</f>
        <v/>
      </c>
      <c r="AB570" s="14" t="str">
        <f aca="false">IF($D570&lt;&gt;1,"",MAX($J570,ROUNDUP(MAX($L570/$H570,$M570/$I570),0)))</f>
        <v/>
      </c>
      <c r="AC570" s="84" t="str">
        <f aca="false">IF($D570&lt;&gt;1,"",IF(p_mode="Nœud",$AB570*$K570,$L570*IF($G570="IKS",p_iks_cpu,p_roks_cpu)+$M570*IF($G570="IKS",p_iks_ram,p_roks_ram))*p_facteur)</f>
        <v/>
      </c>
      <c r="AD570" s="14" t="str">
        <f aca="false">IF($D570&lt;&gt;1,"",IF(AND($G570="IKS",$AI570&lt;&gt;1,OR($L570-$P570&lt;$N570,$M570-$Q570&lt;$O570)),1,0))</f>
        <v/>
      </c>
      <c r="AE570" s="14" t="str">
        <f aca="false">IF($D570&lt;&gt;1,"",IF(AND($G570="ROKS",$T570&gt;p_maxworkers),1,0))</f>
        <v/>
      </c>
      <c r="AF570" s="14" t="str">
        <f aca="false">IF($D570&lt;&gt;1,"",IF(INDEX(TblClusters[Environnement],$B570)="","(vide)",INDEX(TblClusters[Environnement],$B570)))</f>
        <v/>
      </c>
      <c r="AG570" s="14" t="str">
        <f aca="false">IF($D570&lt;&gt;1,"",$R570+p_poidsram*$S570)</f>
        <v/>
      </c>
      <c r="AH570" s="14" t="str">
        <f aca="false">IF($D570&lt;&gt;1,"",IFERROR($W570/$AG570,0))</f>
        <v/>
      </c>
      <c r="AI570" s="14" t="str">
        <f aca="false">IF($D570&lt;&gt;1,"",IF(AND($G570="IKS",ISNUMBER(INDEX(TblClusters[Fermeture retenue],$B570))),IF($E570&gt;=INDEX(TblClusters[Fermeture retenue],$B570),1,0),0))</f>
        <v/>
      </c>
    </row>
    <row r="571" customFormat="false" ht="15" hidden="false" customHeight="false" outlineLevel="0" collapsed="false">
      <c r="A571" s="14" t="n">
        <v>566</v>
      </c>
      <c r="B571" s="14" t="n">
        <f aca="false">INT(($A571-1)/36)+1</f>
        <v>16</v>
      </c>
      <c r="C571" s="14" t="n">
        <f aca="false">MOD($A571-1,36)+1</f>
        <v>26</v>
      </c>
      <c r="D571" s="14" t="n">
        <f aca="false">IF($C571&gt;p_horizon,0,IFERROR(IF(AND(INDEX(TblClusters[Cluster],$B571)&lt;&gt;"",ISNUMBER(INDEX(TblClusters[CPU initial (vCPU)],$B571)),ISNUMBER(INDEX(TblClusters[CPU min (vCPU)],$B571)),OR(INDEX(TblClusters[Plateforme],$B571)="IKS",INDEX(TblClusters[Plateforme],$B571)="ROKS")),1,0),0))</f>
        <v>0</v>
      </c>
      <c r="E571" s="83" t="str">
        <f aca="false">IF($D571=1,EDATE(p_debut,$C571-1),"")</f>
        <v/>
      </c>
      <c r="F571" s="14" t="str">
        <f aca="false">IF($D571=1,INDEX(TblClusters[Cluster],$B571),"")</f>
        <v/>
      </c>
      <c r="G571" s="14" t="str">
        <f aca="false">IF($D571=1,INDEX(TblClusters[Plateforme],$B571),"")</f>
        <v/>
      </c>
      <c r="H571" s="14" t="str">
        <f aca="false">IF($D571=1,INDEX(TblClusters[vCPU par nœud],$B571),"")</f>
        <v/>
      </c>
      <c r="I571" s="14" t="str">
        <f aca="false">IF($D571=1,INDEX(TblClusters[RAM par nœud (Go)],$B571),"")</f>
        <v/>
      </c>
      <c r="J571" s="14" t="str">
        <f aca="false">IF($D571=1,INDEX(TblClusters[Workers min],$B571),"")</f>
        <v/>
      </c>
      <c r="K571" s="84" t="str">
        <f aca="false">IF($D571=1,INDEX(TblClusters[Tarif par nœud],$B571),"")</f>
        <v/>
      </c>
      <c r="L571" s="14" t="str">
        <f aca="false">IF($D571=1,INDEX(TblClusters[CPU initial (vCPU)],$B571),"")</f>
        <v/>
      </c>
      <c r="M571" s="14" t="str">
        <f aca="false">IF($D571=1,INDEX(TblClusters[RAM initiale (Go)],$B571),"")</f>
        <v/>
      </c>
      <c r="N571" s="14" t="str">
        <f aca="false">IF($D571=1,INDEX(TblClusters[CPU min (vCPU)],$B571),"")</f>
        <v/>
      </c>
      <c r="O571" s="14" t="str">
        <f aca="false">IF($D571=1,INDEX(TblClusters[RAM min (Go)],$B571),"")</f>
        <v/>
      </c>
      <c r="P571" s="14" t="str">
        <f aca="false">IF($D571&lt;&gt;1,"",IF($G571="ROKS",SUMIFS(TblApplications[Besoin ROKS CPU (vCPU)],TblApplications[Cluster ROKS cible],$F571,TblApplications[Action],"À migrer",TblApplications[Déjà incluse ROKS],"Non",TblApplications[Mois prov (calc)],"&lt;="&amp;$E571),SUMIFS(TblApplications[CPU IKS libérable (vCPU)],TblApplications[Cluster IKS source],$F571,TblApplications[Mois lib (calc)],"&lt;="&amp;$E571)))</f>
        <v/>
      </c>
      <c r="Q571" s="14" t="str">
        <f aca="false">IF($D571&lt;&gt;1,"",IF($G571="ROKS",SUMIFS(TblApplications[Besoin ROKS RAM (Go)],TblApplications[Cluster ROKS cible],$F571,TblApplications[Action],"À migrer",TblApplications[Déjà incluse ROKS],"Non",TblApplications[Mois prov (calc)],"&lt;="&amp;$E571),SUMIFS(TblApplications[RAM IKS libérable (Go)],TblApplications[Cluster IKS source],$F571,TblApplications[Mois lib (calc)],"&lt;="&amp;$E571)))</f>
        <v/>
      </c>
      <c r="R571" s="14" t="str">
        <f aca="false">IF($D571&lt;&gt;1,"",IF($G571="ROKS",$L571+$P571,IF($AI571=1,0,MAX($N571,$L571-$P571))))</f>
        <v/>
      </c>
      <c r="S571" s="14" t="str">
        <f aca="false">IF($D571&lt;&gt;1,"",IF($G571="ROKS",$M571+$Q571,IF($AI571=1,0,MAX($O571,$M571-$Q571))))</f>
        <v/>
      </c>
      <c r="T571" s="14" t="str">
        <f aca="false">IF($D571&lt;&gt;1,"",IF($AI571=1,0,MAX($J571,ROUNDUP(MAX($R571/$H571,$S571/$I571),0))))</f>
        <v/>
      </c>
      <c r="U571" s="14" t="str">
        <f aca="false">IF($D571&lt;&gt;1,"",IF(p_mode="Nœud",$T571*$H571,$R571))</f>
        <v/>
      </c>
      <c r="V571" s="14" t="str">
        <f aca="false">IF($D571&lt;&gt;1,"",IF(p_mode="Nœud",$T571*$I571,$S571))</f>
        <v/>
      </c>
      <c r="W571" s="84" t="str">
        <f aca="false">IF($D571&lt;&gt;1,"",IF(p_mode="Nœud",$T571*$K571,$R571*IF($G571="IKS",p_iks_cpu,p_roks_cpu)+$S571*IF($G571="IKS",p_iks_ram,p_roks_ram))*p_facteur)</f>
        <v/>
      </c>
      <c r="X571" s="14" t="str">
        <f aca="false">IF($D571&lt;&gt;1,"",IF($G571="ROKS",$R571,IF($AI571=1,0,MAX($N571,$L571-SUMIFS(TblApplications[CPU IKS libérable (vCPU)],TblApplications[Cluster IKS source],$F571,TblApplications[Action],"À migrer",TblApplications[Mois prov (calc)],"&lt;="&amp;$E571)-SUMIFS(TblApplications[CPU IKS libérable (vCPU)],TblApplications[Cluster IKS source],$F571,TblApplications[Action],"À décommissionner",TblApplications[Mois lib (calc)],"&lt;="&amp;$E571)))))</f>
        <v/>
      </c>
      <c r="Y571" s="14" t="str">
        <f aca="false">IF($D571&lt;&gt;1,"",IF($G571="ROKS",$S571,IF($AI571=1,0,MAX($O571,$M571-SUMIFS(TblApplications[RAM IKS libérable (Go)],TblApplications[Cluster IKS source],$F571,TblApplications[Action],"À migrer",TblApplications[Mois prov (calc)],"&lt;="&amp;$E571)-SUMIFS(TblApplications[RAM IKS libérable (Go)],TblApplications[Cluster IKS source],$F571,TblApplications[Action],"À décommissionner",TblApplications[Mois lib (calc)],"&lt;="&amp;$E571)))))</f>
        <v/>
      </c>
      <c r="Z571" s="14" t="str">
        <f aca="false">IF($D571&lt;&gt;1,"",IF($AI571=1,0,MAX($J571,ROUNDUP(MAX($X571/$H571,$Y571/$I571),0))))</f>
        <v/>
      </c>
      <c r="AA571" s="84" t="str">
        <f aca="false">IF($D571&lt;&gt;1,"",IF(p_mode="Nœud",$Z571*$K571,$X571*IF($G571="IKS",p_iks_cpu,p_roks_cpu)+$Y571*IF($G571="IKS",p_iks_ram,p_roks_ram))*p_facteur)</f>
        <v/>
      </c>
      <c r="AB571" s="14" t="str">
        <f aca="false">IF($D571&lt;&gt;1,"",MAX($J571,ROUNDUP(MAX($L571/$H571,$M571/$I571),0)))</f>
        <v/>
      </c>
      <c r="AC571" s="84" t="str">
        <f aca="false">IF($D571&lt;&gt;1,"",IF(p_mode="Nœud",$AB571*$K571,$L571*IF($G571="IKS",p_iks_cpu,p_roks_cpu)+$M571*IF($G571="IKS",p_iks_ram,p_roks_ram))*p_facteur)</f>
        <v/>
      </c>
      <c r="AD571" s="14" t="str">
        <f aca="false">IF($D571&lt;&gt;1,"",IF(AND($G571="IKS",$AI571&lt;&gt;1,OR($L571-$P571&lt;$N571,$M571-$Q571&lt;$O571)),1,0))</f>
        <v/>
      </c>
      <c r="AE571" s="14" t="str">
        <f aca="false">IF($D571&lt;&gt;1,"",IF(AND($G571="ROKS",$T571&gt;p_maxworkers),1,0))</f>
        <v/>
      </c>
      <c r="AF571" s="14" t="str">
        <f aca="false">IF($D571&lt;&gt;1,"",IF(INDEX(TblClusters[Environnement],$B571)="","(vide)",INDEX(TblClusters[Environnement],$B571)))</f>
        <v/>
      </c>
      <c r="AG571" s="14" t="str">
        <f aca="false">IF($D571&lt;&gt;1,"",$R571+p_poidsram*$S571)</f>
        <v/>
      </c>
      <c r="AH571" s="14" t="str">
        <f aca="false">IF($D571&lt;&gt;1,"",IFERROR($W571/$AG571,0))</f>
        <v/>
      </c>
      <c r="AI571" s="14" t="str">
        <f aca="false">IF($D571&lt;&gt;1,"",IF(AND($G571="IKS",ISNUMBER(INDEX(TblClusters[Fermeture retenue],$B571))),IF($E571&gt;=INDEX(TblClusters[Fermeture retenue],$B571),1,0),0))</f>
        <v/>
      </c>
    </row>
    <row r="572" customFormat="false" ht="15" hidden="false" customHeight="false" outlineLevel="0" collapsed="false">
      <c r="A572" s="14" t="n">
        <v>567</v>
      </c>
      <c r="B572" s="14" t="n">
        <f aca="false">INT(($A572-1)/36)+1</f>
        <v>16</v>
      </c>
      <c r="C572" s="14" t="n">
        <f aca="false">MOD($A572-1,36)+1</f>
        <v>27</v>
      </c>
      <c r="D572" s="14" t="n">
        <f aca="false">IF($C572&gt;p_horizon,0,IFERROR(IF(AND(INDEX(TblClusters[Cluster],$B572)&lt;&gt;"",ISNUMBER(INDEX(TblClusters[CPU initial (vCPU)],$B572)),ISNUMBER(INDEX(TblClusters[CPU min (vCPU)],$B572)),OR(INDEX(TblClusters[Plateforme],$B572)="IKS",INDEX(TblClusters[Plateforme],$B572)="ROKS")),1,0),0))</f>
        <v>0</v>
      </c>
      <c r="E572" s="83" t="str">
        <f aca="false">IF($D572=1,EDATE(p_debut,$C572-1),"")</f>
        <v/>
      </c>
      <c r="F572" s="14" t="str">
        <f aca="false">IF($D572=1,INDEX(TblClusters[Cluster],$B572),"")</f>
        <v/>
      </c>
      <c r="G572" s="14" t="str">
        <f aca="false">IF($D572=1,INDEX(TblClusters[Plateforme],$B572),"")</f>
        <v/>
      </c>
      <c r="H572" s="14" t="str">
        <f aca="false">IF($D572=1,INDEX(TblClusters[vCPU par nœud],$B572),"")</f>
        <v/>
      </c>
      <c r="I572" s="14" t="str">
        <f aca="false">IF($D572=1,INDEX(TblClusters[RAM par nœud (Go)],$B572),"")</f>
        <v/>
      </c>
      <c r="J572" s="14" t="str">
        <f aca="false">IF($D572=1,INDEX(TblClusters[Workers min],$B572),"")</f>
        <v/>
      </c>
      <c r="K572" s="84" t="str">
        <f aca="false">IF($D572=1,INDEX(TblClusters[Tarif par nœud],$B572),"")</f>
        <v/>
      </c>
      <c r="L572" s="14" t="str">
        <f aca="false">IF($D572=1,INDEX(TblClusters[CPU initial (vCPU)],$B572),"")</f>
        <v/>
      </c>
      <c r="M572" s="14" t="str">
        <f aca="false">IF($D572=1,INDEX(TblClusters[RAM initiale (Go)],$B572),"")</f>
        <v/>
      </c>
      <c r="N572" s="14" t="str">
        <f aca="false">IF($D572=1,INDEX(TblClusters[CPU min (vCPU)],$B572),"")</f>
        <v/>
      </c>
      <c r="O572" s="14" t="str">
        <f aca="false">IF($D572=1,INDEX(TblClusters[RAM min (Go)],$B572),"")</f>
        <v/>
      </c>
      <c r="P572" s="14" t="str">
        <f aca="false">IF($D572&lt;&gt;1,"",IF($G572="ROKS",SUMIFS(TblApplications[Besoin ROKS CPU (vCPU)],TblApplications[Cluster ROKS cible],$F572,TblApplications[Action],"À migrer",TblApplications[Déjà incluse ROKS],"Non",TblApplications[Mois prov (calc)],"&lt;="&amp;$E572),SUMIFS(TblApplications[CPU IKS libérable (vCPU)],TblApplications[Cluster IKS source],$F572,TblApplications[Mois lib (calc)],"&lt;="&amp;$E572)))</f>
        <v/>
      </c>
      <c r="Q572" s="14" t="str">
        <f aca="false">IF($D572&lt;&gt;1,"",IF($G572="ROKS",SUMIFS(TblApplications[Besoin ROKS RAM (Go)],TblApplications[Cluster ROKS cible],$F572,TblApplications[Action],"À migrer",TblApplications[Déjà incluse ROKS],"Non",TblApplications[Mois prov (calc)],"&lt;="&amp;$E572),SUMIFS(TblApplications[RAM IKS libérable (Go)],TblApplications[Cluster IKS source],$F572,TblApplications[Mois lib (calc)],"&lt;="&amp;$E572)))</f>
        <v/>
      </c>
      <c r="R572" s="14" t="str">
        <f aca="false">IF($D572&lt;&gt;1,"",IF($G572="ROKS",$L572+$P572,IF($AI572=1,0,MAX($N572,$L572-$P572))))</f>
        <v/>
      </c>
      <c r="S572" s="14" t="str">
        <f aca="false">IF($D572&lt;&gt;1,"",IF($G572="ROKS",$M572+$Q572,IF($AI572=1,0,MAX($O572,$M572-$Q572))))</f>
        <v/>
      </c>
      <c r="T572" s="14" t="str">
        <f aca="false">IF($D572&lt;&gt;1,"",IF($AI572=1,0,MAX($J572,ROUNDUP(MAX($R572/$H572,$S572/$I572),0))))</f>
        <v/>
      </c>
      <c r="U572" s="14" t="str">
        <f aca="false">IF($D572&lt;&gt;1,"",IF(p_mode="Nœud",$T572*$H572,$R572))</f>
        <v/>
      </c>
      <c r="V572" s="14" t="str">
        <f aca="false">IF($D572&lt;&gt;1,"",IF(p_mode="Nœud",$T572*$I572,$S572))</f>
        <v/>
      </c>
      <c r="W572" s="84" t="str">
        <f aca="false">IF($D572&lt;&gt;1,"",IF(p_mode="Nœud",$T572*$K572,$R572*IF($G572="IKS",p_iks_cpu,p_roks_cpu)+$S572*IF($G572="IKS",p_iks_ram,p_roks_ram))*p_facteur)</f>
        <v/>
      </c>
      <c r="X572" s="14" t="str">
        <f aca="false">IF($D572&lt;&gt;1,"",IF($G572="ROKS",$R572,IF($AI572=1,0,MAX($N572,$L572-SUMIFS(TblApplications[CPU IKS libérable (vCPU)],TblApplications[Cluster IKS source],$F572,TblApplications[Action],"À migrer",TblApplications[Mois prov (calc)],"&lt;="&amp;$E572)-SUMIFS(TblApplications[CPU IKS libérable (vCPU)],TblApplications[Cluster IKS source],$F572,TblApplications[Action],"À décommissionner",TblApplications[Mois lib (calc)],"&lt;="&amp;$E572)))))</f>
        <v/>
      </c>
      <c r="Y572" s="14" t="str">
        <f aca="false">IF($D572&lt;&gt;1,"",IF($G572="ROKS",$S572,IF($AI572=1,0,MAX($O572,$M572-SUMIFS(TblApplications[RAM IKS libérable (Go)],TblApplications[Cluster IKS source],$F572,TblApplications[Action],"À migrer",TblApplications[Mois prov (calc)],"&lt;="&amp;$E572)-SUMIFS(TblApplications[RAM IKS libérable (Go)],TblApplications[Cluster IKS source],$F572,TblApplications[Action],"À décommissionner",TblApplications[Mois lib (calc)],"&lt;="&amp;$E572)))))</f>
        <v/>
      </c>
      <c r="Z572" s="14" t="str">
        <f aca="false">IF($D572&lt;&gt;1,"",IF($AI572=1,0,MAX($J572,ROUNDUP(MAX($X572/$H572,$Y572/$I572),0))))</f>
        <v/>
      </c>
      <c r="AA572" s="84" t="str">
        <f aca="false">IF($D572&lt;&gt;1,"",IF(p_mode="Nœud",$Z572*$K572,$X572*IF($G572="IKS",p_iks_cpu,p_roks_cpu)+$Y572*IF($G572="IKS",p_iks_ram,p_roks_ram))*p_facteur)</f>
        <v/>
      </c>
      <c r="AB572" s="14" t="str">
        <f aca="false">IF($D572&lt;&gt;1,"",MAX($J572,ROUNDUP(MAX($L572/$H572,$M572/$I572),0)))</f>
        <v/>
      </c>
      <c r="AC572" s="84" t="str">
        <f aca="false">IF($D572&lt;&gt;1,"",IF(p_mode="Nœud",$AB572*$K572,$L572*IF($G572="IKS",p_iks_cpu,p_roks_cpu)+$M572*IF($G572="IKS",p_iks_ram,p_roks_ram))*p_facteur)</f>
        <v/>
      </c>
      <c r="AD572" s="14" t="str">
        <f aca="false">IF($D572&lt;&gt;1,"",IF(AND($G572="IKS",$AI572&lt;&gt;1,OR($L572-$P572&lt;$N572,$M572-$Q572&lt;$O572)),1,0))</f>
        <v/>
      </c>
      <c r="AE572" s="14" t="str">
        <f aca="false">IF($D572&lt;&gt;1,"",IF(AND($G572="ROKS",$T572&gt;p_maxworkers),1,0))</f>
        <v/>
      </c>
      <c r="AF572" s="14" t="str">
        <f aca="false">IF($D572&lt;&gt;1,"",IF(INDEX(TblClusters[Environnement],$B572)="","(vide)",INDEX(TblClusters[Environnement],$B572)))</f>
        <v/>
      </c>
      <c r="AG572" s="14" t="str">
        <f aca="false">IF($D572&lt;&gt;1,"",$R572+p_poidsram*$S572)</f>
        <v/>
      </c>
      <c r="AH572" s="14" t="str">
        <f aca="false">IF($D572&lt;&gt;1,"",IFERROR($W572/$AG572,0))</f>
        <v/>
      </c>
      <c r="AI572" s="14" t="str">
        <f aca="false">IF($D572&lt;&gt;1,"",IF(AND($G572="IKS",ISNUMBER(INDEX(TblClusters[Fermeture retenue],$B572))),IF($E572&gt;=INDEX(TblClusters[Fermeture retenue],$B572),1,0),0))</f>
        <v/>
      </c>
    </row>
    <row r="573" customFormat="false" ht="15" hidden="false" customHeight="false" outlineLevel="0" collapsed="false">
      <c r="A573" s="14" t="n">
        <v>568</v>
      </c>
      <c r="B573" s="14" t="n">
        <f aca="false">INT(($A573-1)/36)+1</f>
        <v>16</v>
      </c>
      <c r="C573" s="14" t="n">
        <f aca="false">MOD($A573-1,36)+1</f>
        <v>28</v>
      </c>
      <c r="D573" s="14" t="n">
        <f aca="false">IF($C573&gt;p_horizon,0,IFERROR(IF(AND(INDEX(TblClusters[Cluster],$B573)&lt;&gt;"",ISNUMBER(INDEX(TblClusters[CPU initial (vCPU)],$B573)),ISNUMBER(INDEX(TblClusters[CPU min (vCPU)],$B573)),OR(INDEX(TblClusters[Plateforme],$B573)="IKS",INDEX(TblClusters[Plateforme],$B573)="ROKS")),1,0),0))</f>
        <v>0</v>
      </c>
      <c r="E573" s="83" t="str">
        <f aca="false">IF($D573=1,EDATE(p_debut,$C573-1),"")</f>
        <v/>
      </c>
      <c r="F573" s="14" t="str">
        <f aca="false">IF($D573=1,INDEX(TblClusters[Cluster],$B573),"")</f>
        <v/>
      </c>
      <c r="G573" s="14" t="str">
        <f aca="false">IF($D573=1,INDEX(TblClusters[Plateforme],$B573),"")</f>
        <v/>
      </c>
      <c r="H573" s="14" t="str">
        <f aca="false">IF($D573=1,INDEX(TblClusters[vCPU par nœud],$B573),"")</f>
        <v/>
      </c>
      <c r="I573" s="14" t="str">
        <f aca="false">IF($D573=1,INDEX(TblClusters[RAM par nœud (Go)],$B573),"")</f>
        <v/>
      </c>
      <c r="J573" s="14" t="str">
        <f aca="false">IF($D573=1,INDEX(TblClusters[Workers min],$B573),"")</f>
        <v/>
      </c>
      <c r="K573" s="84" t="str">
        <f aca="false">IF($D573=1,INDEX(TblClusters[Tarif par nœud],$B573),"")</f>
        <v/>
      </c>
      <c r="L573" s="14" t="str">
        <f aca="false">IF($D573=1,INDEX(TblClusters[CPU initial (vCPU)],$B573),"")</f>
        <v/>
      </c>
      <c r="M573" s="14" t="str">
        <f aca="false">IF($D573=1,INDEX(TblClusters[RAM initiale (Go)],$B573),"")</f>
        <v/>
      </c>
      <c r="N573" s="14" t="str">
        <f aca="false">IF($D573=1,INDEX(TblClusters[CPU min (vCPU)],$B573),"")</f>
        <v/>
      </c>
      <c r="O573" s="14" t="str">
        <f aca="false">IF($D573=1,INDEX(TblClusters[RAM min (Go)],$B573),"")</f>
        <v/>
      </c>
      <c r="P573" s="14" t="str">
        <f aca="false">IF($D573&lt;&gt;1,"",IF($G573="ROKS",SUMIFS(TblApplications[Besoin ROKS CPU (vCPU)],TblApplications[Cluster ROKS cible],$F573,TblApplications[Action],"À migrer",TblApplications[Déjà incluse ROKS],"Non",TblApplications[Mois prov (calc)],"&lt;="&amp;$E573),SUMIFS(TblApplications[CPU IKS libérable (vCPU)],TblApplications[Cluster IKS source],$F573,TblApplications[Mois lib (calc)],"&lt;="&amp;$E573)))</f>
        <v/>
      </c>
      <c r="Q573" s="14" t="str">
        <f aca="false">IF($D573&lt;&gt;1,"",IF($G573="ROKS",SUMIFS(TblApplications[Besoin ROKS RAM (Go)],TblApplications[Cluster ROKS cible],$F573,TblApplications[Action],"À migrer",TblApplications[Déjà incluse ROKS],"Non",TblApplications[Mois prov (calc)],"&lt;="&amp;$E573),SUMIFS(TblApplications[RAM IKS libérable (Go)],TblApplications[Cluster IKS source],$F573,TblApplications[Mois lib (calc)],"&lt;="&amp;$E573)))</f>
        <v/>
      </c>
      <c r="R573" s="14" t="str">
        <f aca="false">IF($D573&lt;&gt;1,"",IF($G573="ROKS",$L573+$P573,IF($AI573=1,0,MAX($N573,$L573-$P573))))</f>
        <v/>
      </c>
      <c r="S573" s="14" t="str">
        <f aca="false">IF($D573&lt;&gt;1,"",IF($G573="ROKS",$M573+$Q573,IF($AI573=1,0,MAX($O573,$M573-$Q573))))</f>
        <v/>
      </c>
      <c r="T573" s="14" t="str">
        <f aca="false">IF($D573&lt;&gt;1,"",IF($AI573=1,0,MAX($J573,ROUNDUP(MAX($R573/$H573,$S573/$I573),0))))</f>
        <v/>
      </c>
      <c r="U573" s="14" t="str">
        <f aca="false">IF($D573&lt;&gt;1,"",IF(p_mode="Nœud",$T573*$H573,$R573))</f>
        <v/>
      </c>
      <c r="V573" s="14" t="str">
        <f aca="false">IF($D573&lt;&gt;1,"",IF(p_mode="Nœud",$T573*$I573,$S573))</f>
        <v/>
      </c>
      <c r="W573" s="84" t="str">
        <f aca="false">IF($D573&lt;&gt;1,"",IF(p_mode="Nœud",$T573*$K573,$R573*IF($G573="IKS",p_iks_cpu,p_roks_cpu)+$S573*IF($G573="IKS",p_iks_ram,p_roks_ram))*p_facteur)</f>
        <v/>
      </c>
      <c r="X573" s="14" t="str">
        <f aca="false">IF($D573&lt;&gt;1,"",IF($G573="ROKS",$R573,IF($AI573=1,0,MAX($N573,$L573-SUMIFS(TblApplications[CPU IKS libérable (vCPU)],TblApplications[Cluster IKS source],$F573,TblApplications[Action],"À migrer",TblApplications[Mois prov (calc)],"&lt;="&amp;$E573)-SUMIFS(TblApplications[CPU IKS libérable (vCPU)],TblApplications[Cluster IKS source],$F573,TblApplications[Action],"À décommissionner",TblApplications[Mois lib (calc)],"&lt;="&amp;$E573)))))</f>
        <v/>
      </c>
      <c r="Y573" s="14" t="str">
        <f aca="false">IF($D573&lt;&gt;1,"",IF($G573="ROKS",$S573,IF($AI573=1,0,MAX($O573,$M573-SUMIFS(TblApplications[RAM IKS libérable (Go)],TblApplications[Cluster IKS source],$F573,TblApplications[Action],"À migrer",TblApplications[Mois prov (calc)],"&lt;="&amp;$E573)-SUMIFS(TblApplications[RAM IKS libérable (Go)],TblApplications[Cluster IKS source],$F573,TblApplications[Action],"À décommissionner",TblApplications[Mois lib (calc)],"&lt;="&amp;$E573)))))</f>
        <v/>
      </c>
      <c r="Z573" s="14" t="str">
        <f aca="false">IF($D573&lt;&gt;1,"",IF($AI573=1,0,MAX($J573,ROUNDUP(MAX($X573/$H573,$Y573/$I573),0))))</f>
        <v/>
      </c>
      <c r="AA573" s="84" t="str">
        <f aca="false">IF($D573&lt;&gt;1,"",IF(p_mode="Nœud",$Z573*$K573,$X573*IF($G573="IKS",p_iks_cpu,p_roks_cpu)+$Y573*IF($G573="IKS",p_iks_ram,p_roks_ram))*p_facteur)</f>
        <v/>
      </c>
      <c r="AB573" s="14" t="str">
        <f aca="false">IF($D573&lt;&gt;1,"",MAX($J573,ROUNDUP(MAX($L573/$H573,$M573/$I573),0)))</f>
        <v/>
      </c>
      <c r="AC573" s="84" t="str">
        <f aca="false">IF($D573&lt;&gt;1,"",IF(p_mode="Nœud",$AB573*$K573,$L573*IF($G573="IKS",p_iks_cpu,p_roks_cpu)+$M573*IF($G573="IKS",p_iks_ram,p_roks_ram))*p_facteur)</f>
        <v/>
      </c>
      <c r="AD573" s="14" t="str">
        <f aca="false">IF($D573&lt;&gt;1,"",IF(AND($G573="IKS",$AI573&lt;&gt;1,OR($L573-$P573&lt;$N573,$M573-$Q573&lt;$O573)),1,0))</f>
        <v/>
      </c>
      <c r="AE573" s="14" t="str">
        <f aca="false">IF($D573&lt;&gt;1,"",IF(AND($G573="ROKS",$T573&gt;p_maxworkers),1,0))</f>
        <v/>
      </c>
      <c r="AF573" s="14" t="str">
        <f aca="false">IF($D573&lt;&gt;1,"",IF(INDEX(TblClusters[Environnement],$B573)="","(vide)",INDEX(TblClusters[Environnement],$B573)))</f>
        <v/>
      </c>
      <c r="AG573" s="14" t="str">
        <f aca="false">IF($D573&lt;&gt;1,"",$R573+p_poidsram*$S573)</f>
        <v/>
      </c>
      <c r="AH573" s="14" t="str">
        <f aca="false">IF($D573&lt;&gt;1,"",IFERROR($W573/$AG573,0))</f>
        <v/>
      </c>
      <c r="AI573" s="14" t="str">
        <f aca="false">IF($D573&lt;&gt;1,"",IF(AND($G573="IKS",ISNUMBER(INDEX(TblClusters[Fermeture retenue],$B573))),IF($E573&gt;=INDEX(TblClusters[Fermeture retenue],$B573),1,0),0))</f>
        <v/>
      </c>
    </row>
    <row r="574" customFormat="false" ht="15" hidden="false" customHeight="false" outlineLevel="0" collapsed="false">
      <c r="A574" s="14" t="n">
        <v>569</v>
      </c>
      <c r="B574" s="14" t="n">
        <f aca="false">INT(($A574-1)/36)+1</f>
        <v>16</v>
      </c>
      <c r="C574" s="14" t="n">
        <f aca="false">MOD($A574-1,36)+1</f>
        <v>29</v>
      </c>
      <c r="D574" s="14" t="n">
        <f aca="false">IF($C574&gt;p_horizon,0,IFERROR(IF(AND(INDEX(TblClusters[Cluster],$B574)&lt;&gt;"",ISNUMBER(INDEX(TblClusters[CPU initial (vCPU)],$B574)),ISNUMBER(INDEX(TblClusters[CPU min (vCPU)],$B574)),OR(INDEX(TblClusters[Plateforme],$B574)="IKS",INDEX(TblClusters[Plateforme],$B574)="ROKS")),1,0),0))</f>
        <v>0</v>
      </c>
      <c r="E574" s="83" t="str">
        <f aca="false">IF($D574=1,EDATE(p_debut,$C574-1),"")</f>
        <v/>
      </c>
      <c r="F574" s="14" t="str">
        <f aca="false">IF($D574=1,INDEX(TblClusters[Cluster],$B574),"")</f>
        <v/>
      </c>
      <c r="G574" s="14" t="str">
        <f aca="false">IF($D574=1,INDEX(TblClusters[Plateforme],$B574),"")</f>
        <v/>
      </c>
      <c r="H574" s="14" t="str">
        <f aca="false">IF($D574=1,INDEX(TblClusters[vCPU par nœud],$B574),"")</f>
        <v/>
      </c>
      <c r="I574" s="14" t="str">
        <f aca="false">IF($D574=1,INDEX(TblClusters[RAM par nœud (Go)],$B574),"")</f>
        <v/>
      </c>
      <c r="J574" s="14" t="str">
        <f aca="false">IF($D574=1,INDEX(TblClusters[Workers min],$B574),"")</f>
        <v/>
      </c>
      <c r="K574" s="84" t="str">
        <f aca="false">IF($D574=1,INDEX(TblClusters[Tarif par nœud],$B574),"")</f>
        <v/>
      </c>
      <c r="L574" s="14" t="str">
        <f aca="false">IF($D574=1,INDEX(TblClusters[CPU initial (vCPU)],$B574),"")</f>
        <v/>
      </c>
      <c r="M574" s="14" t="str">
        <f aca="false">IF($D574=1,INDEX(TblClusters[RAM initiale (Go)],$B574),"")</f>
        <v/>
      </c>
      <c r="N574" s="14" t="str">
        <f aca="false">IF($D574=1,INDEX(TblClusters[CPU min (vCPU)],$B574),"")</f>
        <v/>
      </c>
      <c r="O574" s="14" t="str">
        <f aca="false">IF($D574=1,INDEX(TblClusters[RAM min (Go)],$B574),"")</f>
        <v/>
      </c>
      <c r="P574" s="14" t="str">
        <f aca="false">IF($D574&lt;&gt;1,"",IF($G574="ROKS",SUMIFS(TblApplications[Besoin ROKS CPU (vCPU)],TblApplications[Cluster ROKS cible],$F574,TblApplications[Action],"À migrer",TblApplications[Déjà incluse ROKS],"Non",TblApplications[Mois prov (calc)],"&lt;="&amp;$E574),SUMIFS(TblApplications[CPU IKS libérable (vCPU)],TblApplications[Cluster IKS source],$F574,TblApplications[Mois lib (calc)],"&lt;="&amp;$E574)))</f>
        <v/>
      </c>
      <c r="Q574" s="14" t="str">
        <f aca="false">IF($D574&lt;&gt;1,"",IF($G574="ROKS",SUMIFS(TblApplications[Besoin ROKS RAM (Go)],TblApplications[Cluster ROKS cible],$F574,TblApplications[Action],"À migrer",TblApplications[Déjà incluse ROKS],"Non",TblApplications[Mois prov (calc)],"&lt;="&amp;$E574),SUMIFS(TblApplications[RAM IKS libérable (Go)],TblApplications[Cluster IKS source],$F574,TblApplications[Mois lib (calc)],"&lt;="&amp;$E574)))</f>
        <v/>
      </c>
      <c r="R574" s="14" t="str">
        <f aca="false">IF($D574&lt;&gt;1,"",IF($G574="ROKS",$L574+$P574,IF($AI574=1,0,MAX($N574,$L574-$P574))))</f>
        <v/>
      </c>
      <c r="S574" s="14" t="str">
        <f aca="false">IF($D574&lt;&gt;1,"",IF($G574="ROKS",$M574+$Q574,IF($AI574=1,0,MAX($O574,$M574-$Q574))))</f>
        <v/>
      </c>
      <c r="T574" s="14" t="str">
        <f aca="false">IF($D574&lt;&gt;1,"",IF($AI574=1,0,MAX($J574,ROUNDUP(MAX($R574/$H574,$S574/$I574),0))))</f>
        <v/>
      </c>
      <c r="U574" s="14" t="str">
        <f aca="false">IF($D574&lt;&gt;1,"",IF(p_mode="Nœud",$T574*$H574,$R574))</f>
        <v/>
      </c>
      <c r="V574" s="14" t="str">
        <f aca="false">IF($D574&lt;&gt;1,"",IF(p_mode="Nœud",$T574*$I574,$S574))</f>
        <v/>
      </c>
      <c r="W574" s="84" t="str">
        <f aca="false">IF($D574&lt;&gt;1,"",IF(p_mode="Nœud",$T574*$K574,$R574*IF($G574="IKS",p_iks_cpu,p_roks_cpu)+$S574*IF($G574="IKS",p_iks_ram,p_roks_ram))*p_facteur)</f>
        <v/>
      </c>
      <c r="X574" s="14" t="str">
        <f aca="false">IF($D574&lt;&gt;1,"",IF($G574="ROKS",$R574,IF($AI574=1,0,MAX($N574,$L574-SUMIFS(TblApplications[CPU IKS libérable (vCPU)],TblApplications[Cluster IKS source],$F574,TblApplications[Action],"À migrer",TblApplications[Mois prov (calc)],"&lt;="&amp;$E574)-SUMIFS(TblApplications[CPU IKS libérable (vCPU)],TblApplications[Cluster IKS source],$F574,TblApplications[Action],"À décommissionner",TblApplications[Mois lib (calc)],"&lt;="&amp;$E574)))))</f>
        <v/>
      </c>
      <c r="Y574" s="14" t="str">
        <f aca="false">IF($D574&lt;&gt;1,"",IF($G574="ROKS",$S574,IF($AI574=1,0,MAX($O574,$M574-SUMIFS(TblApplications[RAM IKS libérable (Go)],TblApplications[Cluster IKS source],$F574,TblApplications[Action],"À migrer",TblApplications[Mois prov (calc)],"&lt;="&amp;$E574)-SUMIFS(TblApplications[RAM IKS libérable (Go)],TblApplications[Cluster IKS source],$F574,TblApplications[Action],"À décommissionner",TblApplications[Mois lib (calc)],"&lt;="&amp;$E574)))))</f>
        <v/>
      </c>
      <c r="Z574" s="14" t="str">
        <f aca="false">IF($D574&lt;&gt;1,"",IF($AI574=1,0,MAX($J574,ROUNDUP(MAX($X574/$H574,$Y574/$I574),0))))</f>
        <v/>
      </c>
      <c r="AA574" s="84" t="str">
        <f aca="false">IF($D574&lt;&gt;1,"",IF(p_mode="Nœud",$Z574*$K574,$X574*IF($G574="IKS",p_iks_cpu,p_roks_cpu)+$Y574*IF($G574="IKS",p_iks_ram,p_roks_ram))*p_facteur)</f>
        <v/>
      </c>
      <c r="AB574" s="14" t="str">
        <f aca="false">IF($D574&lt;&gt;1,"",MAX($J574,ROUNDUP(MAX($L574/$H574,$M574/$I574),0)))</f>
        <v/>
      </c>
      <c r="AC574" s="84" t="str">
        <f aca="false">IF($D574&lt;&gt;1,"",IF(p_mode="Nœud",$AB574*$K574,$L574*IF($G574="IKS",p_iks_cpu,p_roks_cpu)+$M574*IF($G574="IKS",p_iks_ram,p_roks_ram))*p_facteur)</f>
        <v/>
      </c>
      <c r="AD574" s="14" t="str">
        <f aca="false">IF($D574&lt;&gt;1,"",IF(AND($G574="IKS",$AI574&lt;&gt;1,OR($L574-$P574&lt;$N574,$M574-$Q574&lt;$O574)),1,0))</f>
        <v/>
      </c>
      <c r="AE574" s="14" t="str">
        <f aca="false">IF($D574&lt;&gt;1,"",IF(AND($G574="ROKS",$T574&gt;p_maxworkers),1,0))</f>
        <v/>
      </c>
      <c r="AF574" s="14" t="str">
        <f aca="false">IF($D574&lt;&gt;1,"",IF(INDEX(TblClusters[Environnement],$B574)="","(vide)",INDEX(TblClusters[Environnement],$B574)))</f>
        <v/>
      </c>
      <c r="AG574" s="14" t="str">
        <f aca="false">IF($D574&lt;&gt;1,"",$R574+p_poidsram*$S574)</f>
        <v/>
      </c>
      <c r="AH574" s="14" t="str">
        <f aca="false">IF($D574&lt;&gt;1,"",IFERROR($W574/$AG574,0))</f>
        <v/>
      </c>
      <c r="AI574" s="14" t="str">
        <f aca="false">IF($D574&lt;&gt;1,"",IF(AND($G574="IKS",ISNUMBER(INDEX(TblClusters[Fermeture retenue],$B574))),IF($E574&gt;=INDEX(TblClusters[Fermeture retenue],$B574),1,0),0))</f>
        <v/>
      </c>
    </row>
    <row r="575" customFormat="false" ht="15" hidden="false" customHeight="false" outlineLevel="0" collapsed="false">
      <c r="A575" s="14" t="n">
        <v>570</v>
      </c>
      <c r="B575" s="14" t="n">
        <f aca="false">INT(($A575-1)/36)+1</f>
        <v>16</v>
      </c>
      <c r="C575" s="14" t="n">
        <f aca="false">MOD($A575-1,36)+1</f>
        <v>30</v>
      </c>
      <c r="D575" s="14" t="n">
        <f aca="false">IF($C575&gt;p_horizon,0,IFERROR(IF(AND(INDEX(TblClusters[Cluster],$B575)&lt;&gt;"",ISNUMBER(INDEX(TblClusters[CPU initial (vCPU)],$B575)),ISNUMBER(INDEX(TblClusters[CPU min (vCPU)],$B575)),OR(INDEX(TblClusters[Plateforme],$B575)="IKS",INDEX(TblClusters[Plateforme],$B575)="ROKS")),1,0),0))</f>
        <v>0</v>
      </c>
      <c r="E575" s="83" t="str">
        <f aca="false">IF($D575=1,EDATE(p_debut,$C575-1),"")</f>
        <v/>
      </c>
      <c r="F575" s="14" t="str">
        <f aca="false">IF($D575=1,INDEX(TblClusters[Cluster],$B575),"")</f>
        <v/>
      </c>
      <c r="G575" s="14" t="str">
        <f aca="false">IF($D575=1,INDEX(TblClusters[Plateforme],$B575),"")</f>
        <v/>
      </c>
      <c r="H575" s="14" t="str">
        <f aca="false">IF($D575=1,INDEX(TblClusters[vCPU par nœud],$B575),"")</f>
        <v/>
      </c>
      <c r="I575" s="14" t="str">
        <f aca="false">IF($D575=1,INDEX(TblClusters[RAM par nœud (Go)],$B575),"")</f>
        <v/>
      </c>
      <c r="J575" s="14" t="str">
        <f aca="false">IF($D575=1,INDEX(TblClusters[Workers min],$B575),"")</f>
        <v/>
      </c>
      <c r="K575" s="84" t="str">
        <f aca="false">IF($D575=1,INDEX(TblClusters[Tarif par nœud],$B575),"")</f>
        <v/>
      </c>
      <c r="L575" s="14" t="str">
        <f aca="false">IF($D575=1,INDEX(TblClusters[CPU initial (vCPU)],$B575),"")</f>
        <v/>
      </c>
      <c r="M575" s="14" t="str">
        <f aca="false">IF($D575=1,INDEX(TblClusters[RAM initiale (Go)],$B575),"")</f>
        <v/>
      </c>
      <c r="N575" s="14" t="str">
        <f aca="false">IF($D575=1,INDEX(TblClusters[CPU min (vCPU)],$B575),"")</f>
        <v/>
      </c>
      <c r="O575" s="14" t="str">
        <f aca="false">IF($D575=1,INDEX(TblClusters[RAM min (Go)],$B575),"")</f>
        <v/>
      </c>
      <c r="P575" s="14" t="str">
        <f aca="false">IF($D575&lt;&gt;1,"",IF($G575="ROKS",SUMIFS(TblApplications[Besoin ROKS CPU (vCPU)],TblApplications[Cluster ROKS cible],$F575,TblApplications[Action],"À migrer",TblApplications[Déjà incluse ROKS],"Non",TblApplications[Mois prov (calc)],"&lt;="&amp;$E575),SUMIFS(TblApplications[CPU IKS libérable (vCPU)],TblApplications[Cluster IKS source],$F575,TblApplications[Mois lib (calc)],"&lt;="&amp;$E575)))</f>
        <v/>
      </c>
      <c r="Q575" s="14" t="str">
        <f aca="false">IF($D575&lt;&gt;1,"",IF($G575="ROKS",SUMIFS(TblApplications[Besoin ROKS RAM (Go)],TblApplications[Cluster ROKS cible],$F575,TblApplications[Action],"À migrer",TblApplications[Déjà incluse ROKS],"Non",TblApplications[Mois prov (calc)],"&lt;="&amp;$E575),SUMIFS(TblApplications[RAM IKS libérable (Go)],TblApplications[Cluster IKS source],$F575,TblApplications[Mois lib (calc)],"&lt;="&amp;$E575)))</f>
        <v/>
      </c>
      <c r="R575" s="14" t="str">
        <f aca="false">IF($D575&lt;&gt;1,"",IF($G575="ROKS",$L575+$P575,IF($AI575=1,0,MAX($N575,$L575-$P575))))</f>
        <v/>
      </c>
      <c r="S575" s="14" t="str">
        <f aca="false">IF($D575&lt;&gt;1,"",IF($G575="ROKS",$M575+$Q575,IF($AI575=1,0,MAX($O575,$M575-$Q575))))</f>
        <v/>
      </c>
      <c r="T575" s="14" t="str">
        <f aca="false">IF($D575&lt;&gt;1,"",IF($AI575=1,0,MAX($J575,ROUNDUP(MAX($R575/$H575,$S575/$I575),0))))</f>
        <v/>
      </c>
      <c r="U575" s="14" t="str">
        <f aca="false">IF($D575&lt;&gt;1,"",IF(p_mode="Nœud",$T575*$H575,$R575))</f>
        <v/>
      </c>
      <c r="V575" s="14" t="str">
        <f aca="false">IF($D575&lt;&gt;1,"",IF(p_mode="Nœud",$T575*$I575,$S575))</f>
        <v/>
      </c>
      <c r="W575" s="84" t="str">
        <f aca="false">IF($D575&lt;&gt;1,"",IF(p_mode="Nœud",$T575*$K575,$R575*IF($G575="IKS",p_iks_cpu,p_roks_cpu)+$S575*IF($G575="IKS",p_iks_ram,p_roks_ram))*p_facteur)</f>
        <v/>
      </c>
      <c r="X575" s="14" t="str">
        <f aca="false">IF($D575&lt;&gt;1,"",IF($G575="ROKS",$R575,IF($AI575=1,0,MAX($N575,$L575-SUMIFS(TblApplications[CPU IKS libérable (vCPU)],TblApplications[Cluster IKS source],$F575,TblApplications[Action],"À migrer",TblApplications[Mois prov (calc)],"&lt;="&amp;$E575)-SUMIFS(TblApplications[CPU IKS libérable (vCPU)],TblApplications[Cluster IKS source],$F575,TblApplications[Action],"À décommissionner",TblApplications[Mois lib (calc)],"&lt;="&amp;$E575)))))</f>
        <v/>
      </c>
      <c r="Y575" s="14" t="str">
        <f aca="false">IF($D575&lt;&gt;1,"",IF($G575="ROKS",$S575,IF($AI575=1,0,MAX($O575,$M575-SUMIFS(TblApplications[RAM IKS libérable (Go)],TblApplications[Cluster IKS source],$F575,TblApplications[Action],"À migrer",TblApplications[Mois prov (calc)],"&lt;="&amp;$E575)-SUMIFS(TblApplications[RAM IKS libérable (Go)],TblApplications[Cluster IKS source],$F575,TblApplications[Action],"À décommissionner",TblApplications[Mois lib (calc)],"&lt;="&amp;$E575)))))</f>
        <v/>
      </c>
      <c r="Z575" s="14" t="str">
        <f aca="false">IF($D575&lt;&gt;1,"",IF($AI575=1,0,MAX($J575,ROUNDUP(MAX($X575/$H575,$Y575/$I575),0))))</f>
        <v/>
      </c>
      <c r="AA575" s="84" t="str">
        <f aca="false">IF($D575&lt;&gt;1,"",IF(p_mode="Nœud",$Z575*$K575,$X575*IF($G575="IKS",p_iks_cpu,p_roks_cpu)+$Y575*IF($G575="IKS",p_iks_ram,p_roks_ram))*p_facteur)</f>
        <v/>
      </c>
      <c r="AB575" s="14" t="str">
        <f aca="false">IF($D575&lt;&gt;1,"",MAX($J575,ROUNDUP(MAX($L575/$H575,$M575/$I575),0)))</f>
        <v/>
      </c>
      <c r="AC575" s="84" t="str">
        <f aca="false">IF($D575&lt;&gt;1,"",IF(p_mode="Nœud",$AB575*$K575,$L575*IF($G575="IKS",p_iks_cpu,p_roks_cpu)+$M575*IF($G575="IKS",p_iks_ram,p_roks_ram))*p_facteur)</f>
        <v/>
      </c>
      <c r="AD575" s="14" t="str">
        <f aca="false">IF($D575&lt;&gt;1,"",IF(AND($G575="IKS",$AI575&lt;&gt;1,OR($L575-$P575&lt;$N575,$M575-$Q575&lt;$O575)),1,0))</f>
        <v/>
      </c>
      <c r="AE575" s="14" t="str">
        <f aca="false">IF($D575&lt;&gt;1,"",IF(AND($G575="ROKS",$T575&gt;p_maxworkers),1,0))</f>
        <v/>
      </c>
      <c r="AF575" s="14" t="str">
        <f aca="false">IF($D575&lt;&gt;1,"",IF(INDEX(TblClusters[Environnement],$B575)="","(vide)",INDEX(TblClusters[Environnement],$B575)))</f>
        <v/>
      </c>
      <c r="AG575" s="14" t="str">
        <f aca="false">IF($D575&lt;&gt;1,"",$R575+p_poidsram*$S575)</f>
        <v/>
      </c>
      <c r="AH575" s="14" t="str">
        <f aca="false">IF($D575&lt;&gt;1,"",IFERROR($W575/$AG575,0))</f>
        <v/>
      </c>
      <c r="AI575" s="14" t="str">
        <f aca="false">IF($D575&lt;&gt;1,"",IF(AND($G575="IKS",ISNUMBER(INDEX(TblClusters[Fermeture retenue],$B575))),IF($E575&gt;=INDEX(TblClusters[Fermeture retenue],$B575),1,0),0))</f>
        <v/>
      </c>
    </row>
    <row r="576" customFormat="false" ht="15" hidden="false" customHeight="false" outlineLevel="0" collapsed="false">
      <c r="A576" s="14" t="n">
        <v>571</v>
      </c>
      <c r="B576" s="14" t="n">
        <f aca="false">INT(($A576-1)/36)+1</f>
        <v>16</v>
      </c>
      <c r="C576" s="14" t="n">
        <f aca="false">MOD($A576-1,36)+1</f>
        <v>31</v>
      </c>
      <c r="D576" s="14" t="n">
        <f aca="false">IF($C576&gt;p_horizon,0,IFERROR(IF(AND(INDEX(TblClusters[Cluster],$B576)&lt;&gt;"",ISNUMBER(INDEX(TblClusters[CPU initial (vCPU)],$B576)),ISNUMBER(INDEX(TblClusters[CPU min (vCPU)],$B576)),OR(INDEX(TblClusters[Plateforme],$B576)="IKS",INDEX(TblClusters[Plateforme],$B576)="ROKS")),1,0),0))</f>
        <v>0</v>
      </c>
      <c r="E576" s="83" t="str">
        <f aca="false">IF($D576=1,EDATE(p_debut,$C576-1),"")</f>
        <v/>
      </c>
      <c r="F576" s="14" t="str">
        <f aca="false">IF($D576=1,INDEX(TblClusters[Cluster],$B576),"")</f>
        <v/>
      </c>
      <c r="G576" s="14" t="str">
        <f aca="false">IF($D576=1,INDEX(TblClusters[Plateforme],$B576),"")</f>
        <v/>
      </c>
      <c r="H576" s="14" t="str">
        <f aca="false">IF($D576=1,INDEX(TblClusters[vCPU par nœud],$B576),"")</f>
        <v/>
      </c>
      <c r="I576" s="14" t="str">
        <f aca="false">IF($D576=1,INDEX(TblClusters[RAM par nœud (Go)],$B576),"")</f>
        <v/>
      </c>
      <c r="J576" s="14" t="str">
        <f aca="false">IF($D576=1,INDEX(TblClusters[Workers min],$B576),"")</f>
        <v/>
      </c>
      <c r="K576" s="84" t="str">
        <f aca="false">IF($D576=1,INDEX(TblClusters[Tarif par nœud],$B576),"")</f>
        <v/>
      </c>
      <c r="L576" s="14" t="str">
        <f aca="false">IF($D576=1,INDEX(TblClusters[CPU initial (vCPU)],$B576),"")</f>
        <v/>
      </c>
      <c r="M576" s="14" t="str">
        <f aca="false">IF($D576=1,INDEX(TblClusters[RAM initiale (Go)],$B576),"")</f>
        <v/>
      </c>
      <c r="N576" s="14" t="str">
        <f aca="false">IF($D576=1,INDEX(TblClusters[CPU min (vCPU)],$B576),"")</f>
        <v/>
      </c>
      <c r="O576" s="14" t="str">
        <f aca="false">IF($D576=1,INDEX(TblClusters[RAM min (Go)],$B576),"")</f>
        <v/>
      </c>
      <c r="P576" s="14" t="str">
        <f aca="false">IF($D576&lt;&gt;1,"",IF($G576="ROKS",SUMIFS(TblApplications[Besoin ROKS CPU (vCPU)],TblApplications[Cluster ROKS cible],$F576,TblApplications[Action],"À migrer",TblApplications[Déjà incluse ROKS],"Non",TblApplications[Mois prov (calc)],"&lt;="&amp;$E576),SUMIFS(TblApplications[CPU IKS libérable (vCPU)],TblApplications[Cluster IKS source],$F576,TblApplications[Mois lib (calc)],"&lt;="&amp;$E576)))</f>
        <v/>
      </c>
      <c r="Q576" s="14" t="str">
        <f aca="false">IF($D576&lt;&gt;1,"",IF($G576="ROKS",SUMIFS(TblApplications[Besoin ROKS RAM (Go)],TblApplications[Cluster ROKS cible],$F576,TblApplications[Action],"À migrer",TblApplications[Déjà incluse ROKS],"Non",TblApplications[Mois prov (calc)],"&lt;="&amp;$E576),SUMIFS(TblApplications[RAM IKS libérable (Go)],TblApplications[Cluster IKS source],$F576,TblApplications[Mois lib (calc)],"&lt;="&amp;$E576)))</f>
        <v/>
      </c>
      <c r="R576" s="14" t="str">
        <f aca="false">IF($D576&lt;&gt;1,"",IF($G576="ROKS",$L576+$P576,IF($AI576=1,0,MAX($N576,$L576-$P576))))</f>
        <v/>
      </c>
      <c r="S576" s="14" t="str">
        <f aca="false">IF($D576&lt;&gt;1,"",IF($G576="ROKS",$M576+$Q576,IF($AI576=1,0,MAX($O576,$M576-$Q576))))</f>
        <v/>
      </c>
      <c r="T576" s="14" t="str">
        <f aca="false">IF($D576&lt;&gt;1,"",IF($AI576=1,0,MAX($J576,ROUNDUP(MAX($R576/$H576,$S576/$I576),0))))</f>
        <v/>
      </c>
      <c r="U576" s="14" t="str">
        <f aca="false">IF($D576&lt;&gt;1,"",IF(p_mode="Nœud",$T576*$H576,$R576))</f>
        <v/>
      </c>
      <c r="V576" s="14" t="str">
        <f aca="false">IF($D576&lt;&gt;1,"",IF(p_mode="Nœud",$T576*$I576,$S576))</f>
        <v/>
      </c>
      <c r="W576" s="84" t="str">
        <f aca="false">IF($D576&lt;&gt;1,"",IF(p_mode="Nœud",$T576*$K576,$R576*IF($G576="IKS",p_iks_cpu,p_roks_cpu)+$S576*IF($G576="IKS",p_iks_ram,p_roks_ram))*p_facteur)</f>
        <v/>
      </c>
      <c r="X576" s="14" t="str">
        <f aca="false">IF($D576&lt;&gt;1,"",IF($G576="ROKS",$R576,IF($AI576=1,0,MAX($N576,$L576-SUMIFS(TblApplications[CPU IKS libérable (vCPU)],TblApplications[Cluster IKS source],$F576,TblApplications[Action],"À migrer",TblApplications[Mois prov (calc)],"&lt;="&amp;$E576)-SUMIFS(TblApplications[CPU IKS libérable (vCPU)],TblApplications[Cluster IKS source],$F576,TblApplications[Action],"À décommissionner",TblApplications[Mois lib (calc)],"&lt;="&amp;$E576)))))</f>
        <v/>
      </c>
      <c r="Y576" s="14" t="str">
        <f aca="false">IF($D576&lt;&gt;1,"",IF($G576="ROKS",$S576,IF($AI576=1,0,MAX($O576,$M576-SUMIFS(TblApplications[RAM IKS libérable (Go)],TblApplications[Cluster IKS source],$F576,TblApplications[Action],"À migrer",TblApplications[Mois prov (calc)],"&lt;="&amp;$E576)-SUMIFS(TblApplications[RAM IKS libérable (Go)],TblApplications[Cluster IKS source],$F576,TblApplications[Action],"À décommissionner",TblApplications[Mois lib (calc)],"&lt;="&amp;$E576)))))</f>
        <v/>
      </c>
      <c r="Z576" s="14" t="str">
        <f aca="false">IF($D576&lt;&gt;1,"",IF($AI576=1,0,MAX($J576,ROUNDUP(MAX($X576/$H576,$Y576/$I576),0))))</f>
        <v/>
      </c>
      <c r="AA576" s="84" t="str">
        <f aca="false">IF($D576&lt;&gt;1,"",IF(p_mode="Nœud",$Z576*$K576,$X576*IF($G576="IKS",p_iks_cpu,p_roks_cpu)+$Y576*IF($G576="IKS",p_iks_ram,p_roks_ram))*p_facteur)</f>
        <v/>
      </c>
      <c r="AB576" s="14" t="str">
        <f aca="false">IF($D576&lt;&gt;1,"",MAX($J576,ROUNDUP(MAX($L576/$H576,$M576/$I576),0)))</f>
        <v/>
      </c>
      <c r="AC576" s="84" t="str">
        <f aca="false">IF($D576&lt;&gt;1,"",IF(p_mode="Nœud",$AB576*$K576,$L576*IF($G576="IKS",p_iks_cpu,p_roks_cpu)+$M576*IF($G576="IKS",p_iks_ram,p_roks_ram))*p_facteur)</f>
        <v/>
      </c>
      <c r="AD576" s="14" t="str">
        <f aca="false">IF($D576&lt;&gt;1,"",IF(AND($G576="IKS",$AI576&lt;&gt;1,OR($L576-$P576&lt;$N576,$M576-$Q576&lt;$O576)),1,0))</f>
        <v/>
      </c>
      <c r="AE576" s="14" t="str">
        <f aca="false">IF($D576&lt;&gt;1,"",IF(AND($G576="ROKS",$T576&gt;p_maxworkers),1,0))</f>
        <v/>
      </c>
      <c r="AF576" s="14" t="str">
        <f aca="false">IF($D576&lt;&gt;1,"",IF(INDEX(TblClusters[Environnement],$B576)="","(vide)",INDEX(TblClusters[Environnement],$B576)))</f>
        <v/>
      </c>
      <c r="AG576" s="14" t="str">
        <f aca="false">IF($D576&lt;&gt;1,"",$R576+p_poidsram*$S576)</f>
        <v/>
      </c>
      <c r="AH576" s="14" t="str">
        <f aca="false">IF($D576&lt;&gt;1,"",IFERROR($W576/$AG576,0))</f>
        <v/>
      </c>
      <c r="AI576" s="14" t="str">
        <f aca="false">IF($D576&lt;&gt;1,"",IF(AND($G576="IKS",ISNUMBER(INDEX(TblClusters[Fermeture retenue],$B576))),IF($E576&gt;=INDEX(TblClusters[Fermeture retenue],$B576),1,0),0))</f>
        <v/>
      </c>
    </row>
    <row r="577" customFormat="false" ht="15" hidden="false" customHeight="false" outlineLevel="0" collapsed="false">
      <c r="A577" s="14" t="n">
        <v>572</v>
      </c>
      <c r="B577" s="14" t="n">
        <f aca="false">INT(($A577-1)/36)+1</f>
        <v>16</v>
      </c>
      <c r="C577" s="14" t="n">
        <f aca="false">MOD($A577-1,36)+1</f>
        <v>32</v>
      </c>
      <c r="D577" s="14" t="n">
        <f aca="false">IF($C577&gt;p_horizon,0,IFERROR(IF(AND(INDEX(TblClusters[Cluster],$B577)&lt;&gt;"",ISNUMBER(INDEX(TblClusters[CPU initial (vCPU)],$B577)),ISNUMBER(INDEX(TblClusters[CPU min (vCPU)],$B577)),OR(INDEX(TblClusters[Plateforme],$B577)="IKS",INDEX(TblClusters[Plateforme],$B577)="ROKS")),1,0),0))</f>
        <v>0</v>
      </c>
      <c r="E577" s="83" t="str">
        <f aca="false">IF($D577=1,EDATE(p_debut,$C577-1),"")</f>
        <v/>
      </c>
      <c r="F577" s="14" t="str">
        <f aca="false">IF($D577=1,INDEX(TblClusters[Cluster],$B577),"")</f>
        <v/>
      </c>
      <c r="G577" s="14" t="str">
        <f aca="false">IF($D577=1,INDEX(TblClusters[Plateforme],$B577),"")</f>
        <v/>
      </c>
      <c r="H577" s="14" t="str">
        <f aca="false">IF($D577=1,INDEX(TblClusters[vCPU par nœud],$B577),"")</f>
        <v/>
      </c>
      <c r="I577" s="14" t="str">
        <f aca="false">IF($D577=1,INDEX(TblClusters[RAM par nœud (Go)],$B577),"")</f>
        <v/>
      </c>
      <c r="J577" s="14" t="str">
        <f aca="false">IF($D577=1,INDEX(TblClusters[Workers min],$B577),"")</f>
        <v/>
      </c>
      <c r="K577" s="84" t="str">
        <f aca="false">IF($D577=1,INDEX(TblClusters[Tarif par nœud],$B577),"")</f>
        <v/>
      </c>
      <c r="L577" s="14" t="str">
        <f aca="false">IF($D577=1,INDEX(TblClusters[CPU initial (vCPU)],$B577),"")</f>
        <v/>
      </c>
      <c r="M577" s="14" t="str">
        <f aca="false">IF($D577=1,INDEX(TblClusters[RAM initiale (Go)],$B577),"")</f>
        <v/>
      </c>
      <c r="N577" s="14" t="str">
        <f aca="false">IF($D577=1,INDEX(TblClusters[CPU min (vCPU)],$B577),"")</f>
        <v/>
      </c>
      <c r="O577" s="14" t="str">
        <f aca="false">IF($D577=1,INDEX(TblClusters[RAM min (Go)],$B577),"")</f>
        <v/>
      </c>
      <c r="P577" s="14" t="str">
        <f aca="false">IF($D577&lt;&gt;1,"",IF($G577="ROKS",SUMIFS(TblApplications[Besoin ROKS CPU (vCPU)],TblApplications[Cluster ROKS cible],$F577,TblApplications[Action],"À migrer",TblApplications[Déjà incluse ROKS],"Non",TblApplications[Mois prov (calc)],"&lt;="&amp;$E577),SUMIFS(TblApplications[CPU IKS libérable (vCPU)],TblApplications[Cluster IKS source],$F577,TblApplications[Mois lib (calc)],"&lt;="&amp;$E577)))</f>
        <v/>
      </c>
      <c r="Q577" s="14" t="str">
        <f aca="false">IF($D577&lt;&gt;1,"",IF($G577="ROKS",SUMIFS(TblApplications[Besoin ROKS RAM (Go)],TblApplications[Cluster ROKS cible],$F577,TblApplications[Action],"À migrer",TblApplications[Déjà incluse ROKS],"Non",TblApplications[Mois prov (calc)],"&lt;="&amp;$E577),SUMIFS(TblApplications[RAM IKS libérable (Go)],TblApplications[Cluster IKS source],$F577,TblApplications[Mois lib (calc)],"&lt;="&amp;$E577)))</f>
        <v/>
      </c>
      <c r="R577" s="14" t="str">
        <f aca="false">IF($D577&lt;&gt;1,"",IF($G577="ROKS",$L577+$P577,IF($AI577=1,0,MAX($N577,$L577-$P577))))</f>
        <v/>
      </c>
      <c r="S577" s="14" t="str">
        <f aca="false">IF($D577&lt;&gt;1,"",IF($G577="ROKS",$M577+$Q577,IF($AI577=1,0,MAX($O577,$M577-$Q577))))</f>
        <v/>
      </c>
      <c r="T577" s="14" t="str">
        <f aca="false">IF($D577&lt;&gt;1,"",IF($AI577=1,0,MAX($J577,ROUNDUP(MAX($R577/$H577,$S577/$I577),0))))</f>
        <v/>
      </c>
      <c r="U577" s="14" t="str">
        <f aca="false">IF($D577&lt;&gt;1,"",IF(p_mode="Nœud",$T577*$H577,$R577))</f>
        <v/>
      </c>
      <c r="V577" s="14" t="str">
        <f aca="false">IF($D577&lt;&gt;1,"",IF(p_mode="Nœud",$T577*$I577,$S577))</f>
        <v/>
      </c>
      <c r="W577" s="84" t="str">
        <f aca="false">IF($D577&lt;&gt;1,"",IF(p_mode="Nœud",$T577*$K577,$R577*IF($G577="IKS",p_iks_cpu,p_roks_cpu)+$S577*IF($G577="IKS",p_iks_ram,p_roks_ram))*p_facteur)</f>
        <v/>
      </c>
      <c r="X577" s="14" t="str">
        <f aca="false">IF($D577&lt;&gt;1,"",IF($G577="ROKS",$R577,IF($AI577=1,0,MAX($N577,$L577-SUMIFS(TblApplications[CPU IKS libérable (vCPU)],TblApplications[Cluster IKS source],$F577,TblApplications[Action],"À migrer",TblApplications[Mois prov (calc)],"&lt;="&amp;$E577)-SUMIFS(TblApplications[CPU IKS libérable (vCPU)],TblApplications[Cluster IKS source],$F577,TblApplications[Action],"À décommissionner",TblApplications[Mois lib (calc)],"&lt;="&amp;$E577)))))</f>
        <v/>
      </c>
      <c r="Y577" s="14" t="str">
        <f aca="false">IF($D577&lt;&gt;1,"",IF($G577="ROKS",$S577,IF($AI577=1,0,MAX($O577,$M577-SUMIFS(TblApplications[RAM IKS libérable (Go)],TblApplications[Cluster IKS source],$F577,TblApplications[Action],"À migrer",TblApplications[Mois prov (calc)],"&lt;="&amp;$E577)-SUMIFS(TblApplications[RAM IKS libérable (Go)],TblApplications[Cluster IKS source],$F577,TblApplications[Action],"À décommissionner",TblApplications[Mois lib (calc)],"&lt;="&amp;$E577)))))</f>
        <v/>
      </c>
      <c r="Z577" s="14" t="str">
        <f aca="false">IF($D577&lt;&gt;1,"",IF($AI577=1,0,MAX($J577,ROUNDUP(MAX($X577/$H577,$Y577/$I577),0))))</f>
        <v/>
      </c>
      <c r="AA577" s="84" t="str">
        <f aca="false">IF($D577&lt;&gt;1,"",IF(p_mode="Nœud",$Z577*$K577,$X577*IF($G577="IKS",p_iks_cpu,p_roks_cpu)+$Y577*IF($G577="IKS",p_iks_ram,p_roks_ram))*p_facteur)</f>
        <v/>
      </c>
      <c r="AB577" s="14" t="str">
        <f aca="false">IF($D577&lt;&gt;1,"",MAX($J577,ROUNDUP(MAX($L577/$H577,$M577/$I577),0)))</f>
        <v/>
      </c>
      <c r="AC577" s="84" t="str">
        <f aca="false">IF($D577&lt;&gt;1,"",IF(p_mode="Nœud",$AB577*$K577,$L577*IF($G577="IKS",p_iks_cpu,p_roks_cpu)+$M577*IF($G577="IKS",p_iks_ram,p_roks_ram))*p_facteur)</f>
        <v/>
      </c>
      <c r="AD577" s="14" t="str">
        <f aca="false">IF($D577&lt;&gt;1,"",IF(AND($G577="IKS",$AI577&lt;&gt;1,OR($L577-$P577&lt;$N577,$M577-$Q577&lt;$O577)),1,0))</f>
        <v/>
      </c>
      <c r="AE577" s="14" t="str">
        <f aca="false">IF($D577&lt;&gt;1,"",IF(AND($G577="ROKS",$T577&gt;p_maxworkers),1,0))</f>
        <v/>
      </c>
      <c r="AF577" s="14" t="str">
        <f aca="false">IF($D577&lt;&gt;1,"",IF(INDEX(TblClusters[Environnement],$B577)="","(vide)",INDEX(TblClusters[Environnement],$B577)))</f>
        <v/>
      </c>
      <c r="AG577" s="14" t="str">
        <f aca="false">IF($D577&lt;&gt;1,"",$R577+p_poidsram*$S577)</f>
        <v/>
      </c>
      <c r="AH577" s="14" t="str">
        <f aca="false">IF($D577&lt;&gt;1,"",IFERROR($W577/$AG577,0))</f>
        <v/>
      </c>
      <c r="AI577" s="14" t="str">
        <f aca="false">IF($D577&lt;&gt;1,"",IF(AND($G577="IKS",ISNUMBER(INDEX(TblClusters[Fermeture retenue],$B577))),IF($E577&gt;=INDEX(TblClusters[Fermeture retenue],$B577),1,0),0))</f>
        <v/>
      </c>
    </row>
    <row r="578" customFormat="false" ht="15" hidden="false" customHeight="false" outlineLevel="0" collapsed="false">
      <c r="A578" s="14" t="n">
        <v>573</v>
      </c>
      <c r="B578" s="14" t="n">
        <f aca="false">INT(($A578-1)/36)+1</f>
        <v>16</v>
      </c>
      <c r="C578" s="14" t="n">
        <f aca="false">MOD($A578-1,36)+1</f>
        <v>33</v>
      </c>
      <c r="D578" s="14" t="n">
        <f aca="false">IF($C578&gt;p_horizon,0,IFERROR(IF(AND(INDEX(TblClusters[Cluster],$B578)&lt;&gt;"",ISNUMBER(INDEX(TblClusters[CPU initial (vCPU)],$B578)),ISNUMBER(INDEX(TblClusters[CPU min (vCPU)],$B578)),OR(INDEX(TblClusters[Plateforme],$B578)="IKS",INDEX(TblClusters[Plateforme],$B578)="ROKS")),1,0),0))</f>
        <v>0</v>
      </c>
      <c r="E578" s="83" t="str">
        <f aca="false">IF($D578=1,EDATE(p_debut,$C578-1),"")</f>
        <v/>
      </c>
      <c r="F578" s="14" t="str">
        <f aca="false">IF($D578=1,INDEX(TblClusters[Cluster],$B578),"")</f>
        <v/>
      </c>
      <c r="G578" s="14" t="str">
        <f aca="false">IF($D578=1,INDEX(TblClusters[Plateforme],$B578),"")</f>
        <v/>
      </c>
      <c r="H578" s="14" t="str">
        <f aca="false">IF($D578=1,INDEX(TblClusters[vCPU par nœud],$B578),"")</f>
        <v/>
      </c>
      <c r="I578" s="14" t="str">
        <f aca="false">IF($D578=1,INDEX(TblClusters[RAM par nœud (Go)],$B578),"")</f>
        <v/>
      </c>
      <c r="J578" s="14" t="str">
        <f aca="false">IF($D578=1,INDEX(TblClusters[Workers min],$B578),"")</f>
        <v/>
      </c>
      <c r="K578" s="84" t="str">
        <f aca="false">IF($D578=1,INDEX(TblClusters[Tarif par nœud],$B578),"")</f>
        <v/>
      </c>
      <c r="L578" s="14" t="str">
        <f aca="false">IF($D578=1,INDEX(TblClusters[CPU initial (vCPU)],$B578),"")</f>
        <v/>
      </c>
      <c r="M578" s="14" t="str">
        <f aca="false">IF($D578=1,INDEX(TblClusters[RAM initiale (Go)],$B578),"")</f>
        <v/>
      </c>
      <c r="N578" s="14" t="str">
        <f aca="false">IF($D578=1,INDEX(TblClusters[CPU min (vCPU)],$B578),"")</f>
        <v/>
      </c>
      <c r="O578" s="14" t="str">
        <f aca="false">IF($D578=1,INDEX(TblClusters[RAM min (Go)],$B578),"")</f>
        <v/>
      </c>
      <c r="P578" s="14" t="str">
        <f aca="false">IF($D578&lt;&gt;1,"",IF($G578="ROKS",SUMIFS(TblApplications[Besoin ROKS CPU (vCPU)],TblApplications[Cluster ROKS cible],$F578,TblApplications[Action],"À migrer",TblApplications[Déjà incluse ROKS],"Non",TblApplications[Mois prov (calc)],"&lt;="&amp;$E578),SUMIFS(TblApplications[CPU IKS libérable (vCPU)],TblApplications[Cluster IKS source],$F578,TblApplications[Mois lib (calc)],"&lt;="&amp;$E578)))</f>
        <v/>
      </c>
      <c r="Q578" s="14" t="str">
        <f aca="false">IF($D578&lt;&gt;1,"",IF($G578="ROKS",SUMIFS(TblApplications[Besoin ROKS RAM (Go)],TblApplications[Cluster ROKS cible],$F578,TblApplications[Action],"À migrer",TblApplications[Déjà incluse ROKS],"Non",TblApplications[Mois prov (calc)],"&lt;="&amp;$E578),SUMIFS(TblApplications[RAM IKS libérable (Go)],TblApplications[Cluster IKS source],$F578,TblApplications[Mois lib (calc)],"&lt;="&amp;$E578)))</f>
        <v/>
      </c>
      <c r="R578" s="14" t="str">
        <f aca="false">IF($D578&lt;&gt;1,"",IF($G578="ROKS",$L578+$P578,IF($AI578=1,0,MAX($N578,$L578-$P578))))</f>
        <v/>
      </c>
      <c r="S578" s="14" t="str">
        <f aca="false">IF($D578&lt;&gt;1,"",IF($G578="ROKS",$M578+$Q578,IF($AI578=1,0,MAX($O578,$M578-$Q578))))</f>
        <v/>
      </c>
      <c r="T578" s="14" t="str">
        <f aca="false">IF($D578&lt;&gt;1,"",IF($AI578=1,0,MAX($J578,ROUNDUP(MAX($R578/$H578,$S578/$I578),0))))</f>
        <v/>
      </c>
      <c r="U578" s="14" t="str">
        <f aca="false">IF($D578&lt;&gt;1,"",IF(p_mode="Nœud",$T578*$H578,$R578))</f>
        <v/>
      </c>
      <c r="V578" s="14" t="str">
        <f aca="false">IF($D578&lt;&gt;1,"",IF(p_mode="Nœud",$T578*$I578,$S578))</f>
        <v/>
      </c>
      <c r="W578" s="84" t="str">
        <f aca="false">IF($D578&lt;&gt;1,"",IF(p_mode="Nœud",$T578*$K578,$R578*IF($G578="IKS",p_iks_cpu,p_roks_cpu)+$S578*IF($G578="IKS",p_iks_ram,p_roks_ram))*p_facteur)</f>
        <v/>
      </c>
      <c r="X578" s="14" t="str">
        <f aca="false">IF($D578&lt;&gt;1,"",IF($G578="ROKS",$R578,IF($AI578=1,0,MAX($N578,$L578-SUMIFS(TblApplications[CPU IKS libérable (vCPU)],TblApplications[Cluster IKS source],$F578,TblApplications[Action],"À migrer",TblApplications[Mois prov (calc)],"&lt;="&amp;$E578)-SUMIFS(TblApplications[CPU IKS libérable (vCPU)],TblApplications[Cluster IKS source],$F578,TblApplications[Action],"À décommissionner",TblApplications[Mois lib (calc)],"&lt;="&amp;$E578)))))</f>
        <v/>
      </c>
      <c r="Y578" s="14" t="str">
        <f aca="false">IF($D578&lt;&gt;1,"",IF($G578="ROKS",$S578,IF($AI578=1,0,MAX($O578,$M578-SUMIFS(TblApplications[RAM IKS libérable (Go)],TblApplications[Cluster IKS source],$F578,TblApplications[Action],"À migrer",TblApplications[Mois prov (calc)],"&lt;="&amp;$E578)-SUMIFS(TblApplications[RAM IKS libérable (Go)],TblApplications[Cluster IKS source],$F578,TblApplications[Action],"À décommissionner",TblApplications[Mois lib (calc)],"&lt;="&amp;$E578)))))</f>
        <v/>
      </c>
      <c r="Z578" s="14" t="str">
        <f aca="false">IF($D578&lt;&gt;1,"",IF($AI578=1,0,MAX($J578,ROUNDUP(MAX($X578/$H578,$Y578/$I578),0))))</f>
        <v/>
      </c>
      <c r="AA578" s="84" t="str">
        <f aca="false">IF($D578&lt;&gt;1,"",IF(p_mode="Nœud",$Z578*$K578,$X578*IF($G578="IKS",p_iks_cpu,p_roks_cpu)+$Y578*IF($G578="IKS",p_iks_ram,p_roks_ram))*p_facteur)</f>
        <v/>
      </c>
      <c r="AB578" s="14" t="str">
        <f aca="false">IF($D578&lt;&gt;1,"",MAX($J578,ROUNDUP(MAX($L578/$H578,$M578/$I578),0)))</f>
        <v/>
      </c>
      <c r="AC578" s="84" t="str">
        <f aca="false">IF($D578&lt;&gt;1,"",IF(p_mode="Nœud",$AB578*$K578,$L578*IF($G578="IKS",p_iks_cpu,p_roks_cpu)+$M578*IF($G578="IKS",p_iks_ram,p_roks_ram))*p_facteur)</f>
        <v/>
      </c>
      <c r="AD578" s="14" t="str">
        <f aca="false">IF($D578&lt;&gt;1,"",IF(AND($G578="IKS",$AI578&lt;&gt;1,OR($L578-$P578&lt;$N578,$M578-$Q578&lt;$O578)),1,0))</f>
        <v/>
      </c>
      <c r="AE578" s="14" t="str">
        <f aca="false">IF($D578&lt;&gt;1,"",IF(AND($G578="ROKS",$T578&gt;p_maxworkers),1,0))</f>
        <v/>
      </c>
      <c r="AF578" s="14" t="str">
        <f aca="false">IF($D578&lt;&gt;1,"",IF(INDEX(TblClusters[Environnement],$B578)="","(vide)",INDEX(TblClusters[Environnement],$B578)))</f>
        <v/>
      </c>
      <c r="AG578" s="14" t="str">
        <f aca="false">IF($D578&lt;&gt;1,"",$R578+p_poidsram*$S578)</f>
        <v/>
      </c>
      <c r="AH578" s="14" t="str">
        <f aca="false">IF($D578&lt;&gt;1,"",IFERROR($W578/$AG578,0))</f>
        <v/>
      </c>
      <c r="AI578" s="14" t="str">
        <f aca="false">IF($D578&lt;&gt;1,"",IF(AND($G578="IKS",ISNUMBER(INDEX(TblClusters[Fermeture retenue],$B578))),IF($E578&gt;=INDEX(TblClusters[Fermeture retenue],$B578),1,0),0))</f>
        <v/>
      </c>
    </row>
    <row r="579" customFormat="false" ht="15" hidden="false" customHeight="false" outlineLevel="0" collapsed="false">
      <c r="A579" s="14" t="n">
        <v>574</v>
      </c>
      <c r="B579" s="14" t="n">
        <f aca="false">INT(($A579-1)/36)+1</f>
        <v>16</v>
      </c>
      <c r="C579" s="14" t="n">
        <f aca="false">MOD($A579-1,36)+1</f>
        <v>34</v>
      </c>
      <c r="D579" s="14" t="n">
        <f aca="false">IF($C579&gt;p_horizon,0,IFERROR(IF(AND(INDEX(TblClusters[Cluster],$B579)&lt;&gt;"",ISNUMBER(INDEX(TblClusters[CPU initial (vCPU)],$B579)),ISNUMBER(INDEX(TblClusters[CPU min (vCPU)],$B579)),OR(INDEX(TblClusters[Plateforme],$B579)="IKS",INDEX(TblClusters[Plateforme],$B579)="ROKS")),1,0),0))</f>
        <v>0</v>
      </c>
      <c r="E579" s="83" t="str">
        <f aca="false">IF($D579=1,EDATE(p_debut,$C579-1),"")</f>
        <v/>
      </c>
      <c r="F579" s="14" t="str">
        <f aca="false">IF($D579=1,INDEX(TblClusters[Cluster],$B579),"")</f>
        <v/>
      </c>
      <c r="G579" s="14" t="str">
        <f aca="false">IF($D579=1,INDEX(TblClusters[Plateforme],$B579),"")</f>
        <v/>
      </c>
      <c r="H579" s="14" t="str">
        <f aca="false">IF($D579=1,INDEX(TblClusters[vCPU par nœud],$B579),"")</f>
        <v/>
      </c>
      <c r="I579" s="14" t="str">
        <f aca="false">IF($D579=1,INDEX(TblClusters[RAM par nœud (Go)],$B579),"")</f>
        <v/>
      </c>
      <c r="J579" s="14" t="str">
        <f aca="false">IF($D579=1,INDEX(TblClusters[Workers min],$B579),"")</f>
        <v/>
      </c>
      <c r="K579" s="84" t="str">
        <f aca="false">IF($D579=1,INDEX(TblClusters[Tarif par nœud],$B579),"")</f>
        <v/>
      </c>
      <c r="L579" s="14" t="str">
        <f aca="false">IF($D579=1,INDEX(TblClusters[CPU initial (vCPU)],$B579),"")</f>
        <v/>
      </c>
      <c r="M579" s="14" t="str">
        <f aca="false">IF($D579=1,INDEX(TblClusters[RAM initiale (Go)],$B579),"")</f>
        <v/>
      </c>
      <c r="N579" s="14" t="str">
        <f aca="false">IF($D579=1,INDEX(TblClusters[CPU min (vCPU)],$B579),"")</f>
        <v/>
      </c>
      <c r="O579" s="14" t="str">
        <f aca="false">IF($D579=1,INDEX(TblClusters[RAM min (Go)],$B579),"")</f>
        <v/>
      </c>
      <c r="P579" s="14" t="str">
        <f aca="false">IF($D579&lt;&gt;1,"",IF($G579="ROKS",SUMIFS(TblApplications[Besoin ROKS CPU (vCPU)],TblApplications[Cluster ROKS cible],$F579,TblApplications[Action],"À migrer",TblApplications[Déjà incluse ROKS],"Non",TblApplications[Mois prov (calc)],"&lt;="&amp;$E579),SUMIFS(TblApplications[CPU IKS libérable (vCPU)],TblApplications[Cluster IKS source],$F579,TblApplications[Mois lib (calc)],"&lt;="&amp;$E579)))</f>
        <v/>
      </c>
      <c r="Q579" s="14" t="str">
        <f aca="false">IF($D579&lt;&gt;1,"",IF($G579="ROKS",SUMIFS(TblApplications[Besoin ROKS RAM (Go)],TblApplications[Cluster ROKS cible],$F579,TblApplications[Action],"À migrer",TblApplications[Déjà incluse ROKS],"Non",TblApplications[Mois prov (calc)],"&lt;="&amp;$E579),SUMIFS(TblApplications[RAM IKS libérable (Go)],TblApplications[Cluster IKS source],$F579,TblApplications[Mois lib (calc)],"&lt;="&amp;$E579)))</f>
        <v/>
      </c>
      <c r="R579" s="14" t="str">
        <f aca="false">IF($D579&lt;&gt;1,"",IF($G579="ROKS",$L579+$P579,IF($AI579=1,0,MAX($N579,$L579-$P579))))</f>
        <v/>
      </c>
      <c r="S579" s="14" t="str">
        <f aca="false">IF($D579&lt;&gt;1,"",IF($G579="ROKS",$M579+$Q579,IF($AI579=1,0,MAX($O579,$M579-$Q579))))</f>
        <v/>
      </c>
      <c r="T579" s="14" t="str">
        <f aca="false">IF($D579&lt;&gt;1,"",IF($AI579=1,0,MAX($J579,ROUNDUP(MAX($R579/$H579,$S579/$I579),0))))</f>
        <v/>
      </c>
      <c r="U579" s="14" t="str">
        <f aca="false">IF($D579&lt;&gt;1,"",IF(p_mode="Nœud",$T579*$H579,$R579))</f>
        <v/>
      </c>
      <c r="V579" s="14" t="str">
        <f aca="false">IF($D579&lt;&gt;1,"",IF(p_mode="Nœud",$T579*$I579,$S579))</f>
        <v/>
      </c>
      <c r="W579" s="84" t="str">
        <f aca="false">IF($D579&lt;&gt;1,"",IF(p_mode="Nœud",$T579*$K579,$R579*IF($G579="IKS",p_iks_cpu,p_roks_cpu)+$S579*IF($G579="IKS",p_iks_ram,p_roks_ram))*p_facteur)</f>
        <v/>
      </c>
      <c r="X579" s="14" t="str">
        <f aca="false">IF($D579&lt;&gt;1,"",IF($G579="ROKS",$R579,IF($AI579=1,0,MAX($N579,$L579-SUMIFS(TblApplications[CPU IKS libérable (vCPU)],TblApplications[Cluster IKS source],$F579,TblApplications[Action],"À migrer",TblApplications[Mois prov (calc)],"&lt;="&amp;$E579)-SUMIFS(TblApplications[CPU IKS libérable (vCPU)],TblApplications[Cluster IKS source],$F579,TblApplications[Action],"À décommissionner",TblApplications[Mois lib (calc)],"&lt;="&amp;$E579)))))</f>
        <v/>
      </c>
      <c r="Y579" s="14" t="str">
        <f aca="false">IF($D579&lt;&gt;1,"",IF($G579="ROKS",$S579,IF($AI579=1,0,MAX($O579,$M579-SUMIFS(TblApplications[RAM IKS libérable (Go)],TblApplications[Cluster IKS source],$F579,TblApplications[Action],"À migrer",TblApplications[Mois prov (calc)],"&lt;="&amp;$E579)-SUMIFS(TblApplications[RAM IKS libérable (Go)],TblApplications[Cluster IKS source],$F579,TblApplications[Action],"À décommissionner",TblApplications[Mois lib (calc)],"&lt;="&amp;$E579)))))</f>
        <v/>
      </c>
      <c r="Z579" s="14" t="str">
        <f aca="false">IF($D579&lt;&gt;1,"",IF($AI579=1,0,MAX($J579,ROUNDUP(MAX($X579/$H579,$Y579/$I579),0))))</f>
        <v/>
      </c>
      <c r="AA579" s="84" t="str">
        <f aca="false">IF($D579&lt;&gt;1,"",IF(p_mode="Nœud",$Z579*$K579,$X579*IF($G579="IKS",p_iks_cpu,p_roks_cpu)+$Y579*IF($G579="IKS",p_iks_ram,p_roks_ram))*p_facteur)</f>
        <v/>
      </c>
      <c r="AB579" s="14" t="str">
        <f aca="false">IF($D579&lt;&gt;1,"",MAX($J579,ROUNDUP(MAX($L579/$H579,$M579/$I579),0)))</f>
        <v/>
      </c>
      <c r="AC579" s="84" t="str">
        <f aca="false">IF($D579&lt;&gt;1,"",IF(p_mode="Nœud",$AB579*$K579,$L579*IF($G579="IKS",p_iks_cpu,p_roks_cpu)+$M579*IF($G579="IKS",p_iks_ram,p_roks_ram))*p_facteur)</f>
        <v/>
      </c>
      <c r="AD579" s="14" t="str">
        <f aca="false">IF($D579&lt;&gt;1,"",IF(AND($G579="IKS",$AI579&lt;&gt;1,OR($L579-$P579&lt;$N579,$M579-$Q579&lt;$O579)),1,0))</f>
        <v/>
      </c>
      <c r="AE579" s="14" t="str">
        <f aca="false">IF($D579&lt;&gt;1,"",IF(AND($G579="ROKS",$T579&gt;p_maxworkers),1,0))</f>
        <v/>
      </c>
      <c r="AF579" s="14" t="str">
        <f aca="false">IF($D579&lt;&gt;1,"",IF(INDEX(TblClusters[Environnement],$B579)="","(vide)",INDEX(TblClusters[Environnement],$B579)))</f>
        <v/>
      </c>
      <c r="AG579" s="14" t="str">
        <f aca="false">IF($D579&lt;&gt;1,"",$R579+p_poidsram*$S579)</f>
        <v/>
      </c>
      <c r="AH579" s="14" t="str">
        <f aca="false">IF($D579&lt;&gt;1,"",IFERROR($W579/$AG579,0))</f>
        <v/>
      </c>
      <c r="AI579" s="14" t="str">
        <f aca="false">IF($D579&lt;&gt;1,"",IF(AND($G579="IKS",ISNUMBER(INDEX(TblClusters[Fermeture retenue],$B579))),IF($E579&gt;=INDEX(TblClusters[Fermeture retenue],$B579),1,0),0))</f>
        <v/>
      </c>
    </row>
    <row r="580" customFormat="false" ht="15" hidden="false" customHeight="false" outlineLevel="0" collapsed="false">
      <c r="A580" s="14" t="n">
        <v>575</v>
      </c>
      <c r="B580" s="14" t="n">
        <f aca="false">INT(($A580-1)/36)+1</f>
        <v>16</v>
      </c>
      <c r="C580" s="14" t="n">
        <f aca="false">MOD($A580-1,36)+1</f>
        <v>35</v>
      </c>
      <c r="D580" s="14" t="n">
        <f aca="false">IF($C580&gt;p_horizon,0,IFERROR(IF(AND(INDEX(TblClusters[Cluster],$B580)&lt;&gt;"",ISNUMBER(INDEX(TblClusters[CPU initial (vCPU)],$B580)),ISNUMBER(INDEX(TblClusters[CPU min (vCPU)],$B580)),OR(INDEX(TblClusters[Plateforme],$B580)="IKS",INDEX(TblClusters[Plateforme],$B580)="ROKS")),1,0),0))</f>
        <v>0</v>
      </c>
      <c r="E580" s="83" t="str">
        <f aca="false">IF($D580=1,EDATE(p_debut,$C580-1),"")</f>
        <v/>
      </c>
      <c r="F580" s="14" t="str">
        <f aca="false">IF($D580=1,INDEX(TblClusters[Cluster],$B580),"")</f>
        <v/>
      </c>
      <c r="G580" s="14" t="str">
        <f aca="false">IF($D580=1,INDEX(TblClusters[Plateforme],$B580),"")</f>
        <v/>
      </c>
      <c r="H580" s="14" t="str">
        <f aca="false">IF($D580=1,INDEX(TblClusters[vCPU par nœud],$B580),"")</f>
        <v/>
      </c>
      <c r="I580" s="14" t="str">
        <f aca="false">IF($D580=1,INDEX(TblClusters[RAM par nœud (Go)],$B580),"")</f>
        <v/>
      </c>
      <c r="J580" s="14" t="str">
        <f aca="false">IF($D580=1,INDEX(TblClusters[Workers min],$B580),"")</f>
        <v/>
      </c>
      <c r="K580" s="84" t="str">
        <f aca="false">IF($D580=1,INDEX(TblClusters[Tarif par nœud],$B580),"")</f>
        <v/>
      </c>
      <c r="L580" s="14" t="str">
        <f aca="false">IF($D580=1,INDEX(TblClusters[CPU initial (vCPU)],$B580),"")</f>
        <v/>
      </c>
      <c r="M580" s="14" t="str">
        <f aca="false">IF($D580=1,INDEX(TblClusters[RAM initiale (Go)],$B580),"")</f>
        <v/>
      </c>
      <c r="N580" s="14" t="str">
        <f aca="false">IF($D580=1,INDEX(TblClusters[CPU min (vCPU)],$B580),"")</f>
        <v/>
      </c>
      <c r="O580" s="14" t="str">
        <f aca="false">IF($D580=1,INDEX(TblClusters[RAM min (Go)],$B580),"")</f>
        <v/>
      </c>
      <c r="P580" s="14" t="str">
        <f aca="false">IF($D580&lt;&gt;1,"",IF($G580="ROKS",SUMIFS(TblApplications[Besoin ROKS CPU (vCPU)],TblApplications[Cluster ROKS cible],$F580,TblApplications[Action],"À migrer",TblApplications[Déjà incluse ROKS],"Non",TblApplications[Mois prov (calc)],"&lt;="&amp;$E580),SUMIFS(TblApplications[CPU IKS libérable (vCPU)],TblApplications[Cluster IKS source],$F580,TblApplications[Mois lib (calc)],"&lt;="&amp;$E580)))</f>
        <v/>
      </c>
      <c r="Q580" s="14" t="str">
        <f aca="false">IF($D580&lt;&gt;1,"",IF($G580="ROKS",SUMIFS(TblApplications[Besoin ROKS RAM (Go)],TblApplications[Cluster ROKS cible],$F580,TblApplications[Action],"À migrer",TblApplications[Déjà incluse ROKS],"Non",TblApplications[Mois prov (calc)],"&lt;="&amp;$E580),SUMIFS(TblApplications[RAM IKS libérable (Go)],TblApplications[Cluster IKS source],$F580,TblApplications[Mois lib (calc)],"&lt;="&amp;$E580)))</f>
        <v/>
      </c>
      <c r="R580" s="14" t="str">
        <f aca="false">IF($D580&lt;&gt;1,"",IF($G580="ROKS",$L580+$P580,IF($AI580=1,0,MAX($N580,$L580-$P580))))</f>
        <v/>
      </c>
      <c r="S580" s="14" t="str">
        <f aca="false">IF($D580&lt;&gt;1,"",IF($G580="ROKS",$M580+$Q580,IF($AI580=1,0,MAX($O580,$M580-$Q580))))</f>
        <v/>
      </c>
      <c r="T580" s="14" t="str">
        <f aca="false">IF($D580&lt;&gt;1,"",IF($AI580=1,0,MAX($J580,ROUNDUP(MAX($R580/$H580,$S580/$I580),0))))</f>
        <v/>
      </c>
      <c r="U580" s="14" t="str">
        <f aca="false">IF($D580&lt;&gt;1,"",IF(p_mode="Nœud",$T580*$H580,$R580))</f>
        <v/>
      </c>
      <c r="V580" s="14" t="str">
        <f aca="false">IF($D580&lt;&gt;1,"",IF(p_mode="Nœud",$T580*$I580,$S580))</f>
        <v/>
      </c>
      <c r="W580" s="84" t="str">
        <f aca="false">IF($D580&lt;&gt;1,"",IF(p_mode="Nœud",$T580*$K580,$R580*IF($G580="IKS",p_iks_cpu,p_roks_cpu)+$S580*IF($G580="IKS",p_iks_ram,p_roks_ram))*p_facteur)</f>
        <v/>
      </c>
      <c r="X580" s="14" t="str">
        <f aca="false">IF($D580&lt;&gt;1,"",IF($G580="ROKS",$R580,IF($AI580=1,0,MAX($N580,$L580-SUMIFS(TblApplications[CPU IKS libérable (vCPU)],TblApplications[Cluster IKS source],$F580,TblApplications[Action],"À migrer",TblApplications[Mois prov (calc)],"&lt;="&amp;$E580)-SUMIFS(TblApplications[CPU IKS libérable (vCPU)],TblApplications[Cluster IKS source],$F580,TblApplications[Action],"À décommissionner",TblApplications[Mois lib (calc)],"&lt;="&amp;$E580)))))</f>
        <v/>
      </c>
      <c r="Y580" s="14" t="str">
        <f aca="false">IF($D580&lt;&gt;1,"",IF($G580="ROKS",$S580,IF($AI580=1,0,MAX($O580,$M580-SUMIFS(TblApplications[RAM IKS libérable (Go)],TblApplications[Cluster IKS source],$F580,TblApplications[Action],"À migrer",TblApplications[Mois prov (calc)],"&lt;="&amp;$E580)-SUMIFS(TblApplications[RAM IKS libérable (Go)],TblApplications[Cluster IKS source],$F580,TblApplications[Action],"À décommissionner",TblApplications[Mois lib (calc)],"&lt;="&amp;$E580)))))</f>
        <v/>
      </c>
      <c r="Z580" s="14" t="str">
        <f aca="false">IF($D580&lt;&gt;1,"",IF($AI580=1,0,MAX($J580,ROUNDUP(MAX($X580/$H580,$Y580/$I580),0))))</f>
        <v/>
      </c>
      <c r="AA580" s="84" t="str">
        <f aca="false">IF($D580&lt;&gt;1,"",IF(p_mode="Nœud",$Z580*$K580,$X580*IF($G580="IKS",p_iks_cpu,p_roks_cpu)+$Y580*IF($G580="IKS",p_iks_ram,p_roks_ram))*p_facteur)</f>
        <v/>
      </c>
      <c r="AB580" s="14" t="str">
        <f aca="false">IF($D580&lt;&gt;1,"",MAX($J580,ROUNDUP(MAX($L580/$H580,$M580/$I580),0)))</f>
        <v/>
      </c>
      <c r="AC580" s="84" t="str">
        <f aca="false">IF($D580&lt;&gt;1,"",IF(p_mode="Nœud",$AB580*$K580,$L580*IF($G580="IKS",p_iks_cpu,p_roks_cpu)+$M580*IF($G580="IKS",p_iks_ram,p_roks_ram))*p_facteur)</f>
        <v/>
      </c>
      <c r="AD580" s="14" t="str">
        <f aca="false">IF($D580&lt;&gt;1,"",IF(AND($G580="IKS",$AI580&lt;&gt;1,OR($L580-$P580&lt;$N580,$M580-$Q580&lt;$O580)),1,0))</f>
        <v/>
      </c>
      <c r="AE580" s="14" t="str">
        <f aca="false">IF($D580&lt;&gt;1,"",IF(AND($G580="ROKS",$T580&gt;p_maxworkers),1,0))</f>
        <v/>
      </c>
      <c r="AF580" s="14" t="str">
        <f aca="false">IF($D580&lt;&gt;1,"",IF(INDEX(TblClusters[Environnement],$B580)="","(vide)",INDEX(TblClusters[Environnement],$B580)))</f>
        <v/>
      </c>
      <c r="AG580" s="14" t="str">
        <f aca="false">IF($D580&lt;&gt;1,"",$R580+p_poidsram*$S580)</f>
        <v/>
      </c>
      <c r="AH580" s="14" t="str">
        <f aca="false">IF($D580&lt;&gt;1,"",IFERROR($W580/$AG580,0))</f>
        <v/>
      </c>
      <c r="AI580" s="14" t="str">
        <f aca="false">IF($D580&lt;&gt;1,"",IF(AND($G580="IKS",ISNUMBER(INDEX(TblClusters[Fermeture retenue],$B580))),IF($E580&gt;=INDEX(TblClusters[Fermeture retenue],$B580),1,0),0))</f>
        <v/>
      </c>
    </row>
    <row r="581" customFormat="false" ht="15" hidden="false" customHeight="false" outlineLevel="0" collapsed="false">
      <c r="A581" s="14" t="n">
        <v>576</v>
      </c>
      <c r="B581" s="14" t="n">
        <f aca="false">INT(($A581-1)/36)+1</f>
        <v>16</v>
      </c>
      <c r="C581" s="14" t="n">
        <f aca="false">MOD($A581-1,36)+1</f>
        <v>36</v>
      </c>
      <c r="D581" s="14" t="n">
        <f aca="false">IF($C581&gt;p_horizon,0,IFERROR(IF(AND(INDEX(TblClusters[Cluster],$B581)&lt;&gt;"",ISNUMBER(INDEX(TblClusters[CPU initial (vCPU)],$B581)),ISNUMBER(INDEX(TblClusters[CPU min (vCPU)],$B581)),OR(INDEX(TblClusters[Plateforme],$B581)="IKS",INDEX(TblClusters[Plateforme],$B581)="ROKS")),1,0),0))</f>
        <v>0</v>
      </c>
      <c r="E581" s="83" t="str">
        <f aca="false">IF($D581=1,EDATE(p_debut,$C581-1),"")</f>
        <v/>
      </c>
      <c r="F581" s="14" t="str">
        <f aca="false">IF($D581=1,INDEX(TblClusters[Cluster],$B581),"")</f>
        <v/>
      </c>
      <c r="G581" s="14" t="str">
        <f aca="false">IF($D581=1,INDEX(TblClusters[Plateforme],$B581),"")</f>
        <v/>
      </c>
      <c r="H581" s="14" t="str">
        <f aca="false">IF($D581=1,INDEX(TblClusters[vCPU par nœud],$B581),"")</f>
        <v/>
      </c>
      <c r="I581" s="14" t="str">
        <f aca="false">IF($D581=1,INDEX(TblClusters[RAM par nœud (Go)],$B581),"")</f>
        <v/>
      </c>
      <c r="J581" s="14" t="str">
        <f aca="false">IF($D581=1,INDEX(TblClusters[Workers min],$B581),"")</f>
        <v/>
      </c>
      <c r="K581" s="84" t="str">
        <f aca="false">IF($D581=1,INDEX(TblClusters[Tarif par nœud],$B581),"")</f>
        <v/>
      </c>
      <c r="L581" s="14" t="str">
        <f aca="false">IF($D581=1,INDEX(TblClusters[CPU initial (vCPU)],$B581),"")</f>
        <v/>
      </c>
      <c r="M581" s="14" t="str">
        <f aca="false">IF($D581=1,INDEX(TblClusters[RAM initiale (Go)],$B581),"")</f>
        <v/>
      </c>
      <c r="N581" s="14" t="str">
        <f aca="false">IF($D581=1,INDEX(TblClusters[CPU min (vCPU)],$B581),"")</f>
        <v/>
      </c>
      <c r="O581" s="14" t="str">
        <f aca="false">IF($D581=1,INDEX(TblClusters[RAM min (Go)],$B581),"")</f>
        <v/>
      </c>
      <c r="P581" s="14" t="str">
        <f aca="false">IF($D581&lt;&gt;1,"",IF($G581="ROKS",SUMIFS(TblApplications[Besoin ROKS CPU (vCPU)],TblApplications[Cluster ROKS cible],$F581,TblApplications[Action],"À migrer",TblApplications[Déjà incluse ROKS],"Non",TblApplications[Mois prov (calc)],"&lt;="&amp;$E581),SUMIFS(TblApplications[CPU IKS libérable (vCPU)],TblApplications[Cluster IKS source],$F581,TblApplications[Mois lib (calc)],"&lt;="&amp;$E581)))</f>
        <v/>
      </c>
      <c r="Q581" s="14" t="str">
        <f aca="false">IF($D581&lt;&gt;1,"",IF($G581="ROKS",SUMIFS(TblApplications[Besoin ROKS RAM (Go)],TblApplications[Cluster ROKS cible],$F581,TblApplications[Action],"À migrer",TblApplications[Déjà incluse ROKS],"Non",TblApplications[Mois prov (calc)],"&lt;="&amp;$E581),SUMIFS(TblApplications[RAM IKS libérable (Go)],TblApplications[Cluster IKS source],$F581,TblApplications[Mois lib (calc)],"&lt;="&amp;$E581)))</f>
        <v/>
      </c>
      <c r="R581" s="14" t="str">
        <f aca="false">IF($D581&lt;&gt;1,"",IF($G581="ROKS",$L581+$P581,IF($AI581=1,0,MAX($N581,$L581-$P581))))</f>
        <v/>
      </c>
      <c r="S581" s="14" t="str">
        <f aca="false">IF($D581&lt;&gt;1,"",IF($G581="ROKS",$M581+$Q581,IF($AI581=1,0,MAX($O581,$M581-$Q581))))</f>
        <v/>
      </c>
      <c r="T581" s="14" t="str">
        <f aca="false">IF($D581&lt;&gt;1,"",IF($AI581=1,0,MAX($J581,ROUNDUP(MAX($R581/$H581,$S581/$I581),0))))</f>
        <v/>
      </c>
      <c r="U581" s="14" t="str">
        <f aca="false">IF($D581&lt;&gt;1,"",IF(p_mode="Nœud",$T581*$H581,$R581))</f>
        <v/>
      </c>
      <c r="V581" s="14" t="str">
        <f aca="false">IF($D581&lt;&gt;1,"",IF(p_mode="Nœud",$T581*$I581,$S581))</f>
        <v/>
      </c>
      <c r="W581" s="84" t="str">
        <f aca="false">IF($D581&lt;&gt;1,"",IF(p_mode="Nœud",$T581*$K581,$R581*IF($G581="IKS",p_iks_cpu,p_roks_cpu)+$S581*IF($G581="IKS",p_iks_ram,p_roks_ram))*p_facteur)</f>
        <v/>
      </c>
      <c r="X581" s="14" t="str">
        <f aca="false">IF($D581&lt;&gt;1,"",IF($G581="ROKS",$R581,IF($AI581=1,0,MAX($N581,$L581-SUMIFS(TblApplications[CPU IKS libérable (vCPU)],TblApplications[Cluster IKS source],$F581,TblApplications[Action],"À migrer",TblApplications[Mois prov (calc)],"&lt;="&amp;$E581)-SUMIFS(TblApplications[CPU IKS libérable (vCPU)],TblApplications[Cluster IKS source],$F581,TblApplications[Action],"À décommissionner",TblApplications[Mois lib (calc)],"&lt;="&amp;$E581)))))</f>
        <v/>
      </c>
      <c r="Y581" s="14" t="str">
        <f aca="false">IF($D581&lt;&gt;1,"",IF($G581="ROKS",$S581,IF($AI581=1,0,MAX($O581,$M581-SUMIFS(TblApplications[RAM IKS libérable (Go)],TblApplications[Cluster IKS source],$F581,TblApplications[Action],"À migrer",TblApplications[Mois prov (calc)],"&lt;="&amp;$E581)-SUMIFS(TblApplications[RAM IKS libérable (Go)],TblApplications[Cluster IKS source],$F581,TblApplications[Action],"À décommissionner",TblApplications[Mois lib (calc)],"&lt;="&amp;$E581)))))</f>
        <v/>
      </c>
      <c r="Z581" s="14" t="str">
        <f aca="false">IF($D581&lt;&gt;1,"",IF($AI581=1,0,MAX($J581,ROUNDUP(MAX($X581/$H581,$Y581/$I581),0))))</f>
        <v/>
      </c>
      <c r="AA581" s="84" t="str">
        <f aca="false">IF($D581&lt;&gt;1,"",IF(p_mode="Nœud",$Z581*$K581,$X581*IF($G581="IKS",p_iks_cpu,p_roks_cpu)+$Y581*IF($G581="IKS",p_iks_ram,p_roks_ram))*p_facteur)</f>
        <v/>
      </c>
      <c r="AB581" s="14" t="str">
        <f aca="false">IF($D581&lt;&gt;1,"",MAX($J581,ROUNDUP(MAX($L581/$H581,$M581/$I581),0)))</f>
        <v/>
      </c>
      <c r="AC581" s="84" t="str">
        <f aca="false">IF($D581&lt;&gt;1,"",IF(p_mode="Nœud",$AB581*$K581,$L581*IF($G581="IKS",p_iks_cpu,p_roks_cpu)+$M581*IF($G581="IKS",p_iks_ram,p_roks_ram))*p_facteur)</f>
        <v/>
      </c>
      <c r="AD581" s="14" t="str">
        <f aca="false">IF($D581&lt;&gt;1,"",IF(AND($G581="IKS",$AI581&lt;&gt;1,OR($L581-$P581&lt;$N581,$M581-$Q581&lt;$O581)),1,0))</f>
        <v/>
      </c>
      <c r="AE581" s="14" t="str">
        <f aca="false">IF($D581&lt;&gt;1,"",IF(AND($G581="ROKS",$T581&gt;p_maxworkers),1,0))</f>
        <v/>
      </c>
      <c r="AF581" s="14" t="str">
        <f aca="false">IF($D581&lt;&gt;1,"",IF(INDEX(TblClusters[Environnement],$B581)="","(vide)",INDEX(TblClusters[Environnement],$B581)))</f>
        <v/>
      </c>
      <c r="AG581" s="14" t="str">
        <f aca="false">IF($D581&lt;&gt;1,"",$R581+p_poidsram*$S581)</f>
        <v/>
      </c>
      <c r="AH581" s="14" t="str">
        <f aca="false">IF($D581&lt;&gt;1,"",IFERROR($W581/$AG581,0))</f>
        <v/>
      </c>
      <c r="AI581" s="14" t="str">
        <f aca="false">IF($D581&lt;&gt;1,"",IF(AND($G581="IKS",ISNUMBER(INDEX(TblClusters[Fermeture retenue],$B581))),IF($E581&gt;=INDEX(TblClusters[Fermeture retenue],$B581),1,0),0))</f>
        <v/>
      </c>
    </row>
    <row r="582" customFormat="false" ht="15" hidden="false" customHeight="false" outlineLevel="0" collapsed="false">
      <c r="A582" s="14" t="n">
        <v>577</v>
      </c>
      <c r="B582" s="14" t="n">
        <f aca="false">INT(($A582-1)/36)+1</f>
        <v>17</v>
      </c>
      <c r="C582" s="14" t="n">
        <f aca="false">MOD($A582-1,36)+1</f>
        <v>1</v>
      </c>
      <c r="D582" s="14" t="n">
        <f aca="false">IF($C582&gt;p_horizon,0,IFERROR(IF(AND(INDEX(TblClusters[Cluster],$B582)&lt;&gt;"",ISNUMBER(INDEX(TblClusters[CPU initial (vCPU)],$B582)),ISNUMBER(INDEX(TblClusters[CPU min (vCPU)],$B582)),OR(INDEX(TblClusters[Plateforme],$B582)="IKS",INDEX(TblClusters[Plateforme],$B582)="ROKS")),1,0),0))</f>
        <v>0</v>
      </c>
      <c r="E582" s="83" t="str">
        <f aca="false">IF($D582=1,EDATE(p_debut,$C582-1),"")</f>
        <v/>
      </c>
      <c r="F582" s="14" t="str">
        <f aca="false">IF($D582=1,INDEX(TblClusters[Cluster],$B582),"")</f>
        <v/>
      </c>
      <c r="G582" s="14" t="str">
        <f aca="false">IF($D582=1,INDEX(TblClusters[Plateforme],$B582),"")</f>
        <v/>
      </c>
      <c r="H582" s="14" t="str">
        <f aca="false">IF($D582=1,INDEX(TblClusters[vCPU par nœud],$B582),"")</f>
        <v/>
      </c>
      <c r="I582" s="14" t="str">
        <f aca="false">IF($D582=1,INDEX(TblClusters[RAM par nœud (Go)],$B582),"")</f>
        <v/>
      </c>
      <c r="J582" s="14" t="str">
        <f aca="false">IF($D582=1,INDEX(TblClusters[Workers min],$B582),"")</f>
        <v/>
      </c>
      <c r="K582" s="84" t="str">
        <f aca="false">IF($D582=1,INDEX(TblClusters[Tarif par nœud],$B582),"")</f>
        <v/>
      </c>
      <c r="L582" s="14" t="str">
        <f aca="false">IF($D582=1,INDEX(TblClusters[CPU initial (vCPU)],$B582),"")</f>
        <v/>
      </c>
      <c r="M582" s="14" t="str">
        <f aca="false">IF($D582=1,INDEX(TblClusters[RAM initiale (Go)],$B582),"")</f>
        <v/>
      </c>
      <c r="N582" s="14" t="str">
        <f aca="false">IF($D582=1,INDEX(TblClusters[CPU min (vCPU)],$B582),"")</f>
        <v/>
      </c>
      <c r="O582" s="14" t="str">
        <f aca="false">IF($D582=1,INDEX(TblClusters[RAM min (Go)],$B582),"")</f>
        <v/>
      </c>
      <c r="P582" s="14" t="str">
        <f aca="false">IF($D582&lt;&gt;1,"",IF($G582="ROKS",SUMIFS(TblApplications[Besoin ROKS CPU (vCPU)],TblApplications[Cluster ROKS cible],$F582,TblApplications[Action],"À migrer",TblApplications[Déjà incluse ROKS],"Non",TblApplications[Mois prov (calc)],"&lt;="&amp;$E582),SUMIFS(TblApplications[CPU IKS libérable (vCPU)],TblApplications[Cluster IKS source],$F582,TblApplications[Mois lib (calc)],"&lt;="&amp;$E582)))</f>
        <v/>
      </c>
      <c r="Q582" s="14" t="str">
        <f aca="false">IF($D582&lt;&gt;1,"",IF($G582="ROKS",SUMIFS(TblApplications[Besoin ROKS RAM (Go)],TblApplications[Cluster ROKS cible],$F582,TblApplications[Action],"À migrer",TblApplications[Déjà incluse ROKS],"Non",TblApplications[Mois prov (calc)],"&lt;="&amp;$E582),SUMIFS(TblApplications[RAM IKS libérable (Go)],TblApplications[Cluster IKS source],$F582,TblApplications[Mois lib (calc)],"&lt;="&amp;$E582)))</f>
        <v/>
      </c>
      <c r="R582" s="14" t="str">
        <f aca="false">IF($D582&lt;&gt;1,"",IF($G582="ROKS",$L582+$P582,IF($AI582=1,0,MAX($N582,$L582-$P582))))</f>
        <v/>
      </c>
      <c r="S582" s="14" t="str">
        <f aca="false">IF($D582&lt;&gt;1,"",IF($G582="ROKS",$M582+$Q582,IF($AI582=1,0,MAX($O582,$M582-$Q582))))</f>
        <v/>
      </c>
      <c r="T582" s="14" t="str">
        <f aca="false">IF($D582&lt;&gt;1,"",IF($AI582=1,0,MAX($J582,ROUNDUP(MAX($R582/$H582,$S582/$I582),0))))</f>
        <v/>
      </c>
      <c r="U582" s="14" t="str">
        <f aca="false">IF($D582&lt;&gt;1,"",IF(p_mode="Nœud",$T582*$H582,$R582))</f>
        <v/>
      </c>
      <c r="V582" s="14" t="str">
        <f aca="false">IF($D582&lt;&gt;1,"",IF(p_mode="Nœud",$T582*$I582,$S582))</f>
        <v/>
      </c>
      <c r="W582" s="84" t="str">
        <f aca="false">IF($D582&lt;&gt;1,"",IF(p_mode="Nœud",$T582*$K582,$R582*IF($G582="IKS",p_iks_cpu,p_roks_cpu)+$S582*IF($G582="IKS",p_iks_ram,p_roks_ram))*p_facteur)</f>
        <v/>
      </c>
      <c r="X582" s="14" t="str">
        <f aca="false">IF($D582&lt;&gt;1,"",IF($G582="ROKS",$R582,IF($AI582=1,0,MAX($N582,$L582-SUMIFS(TblApplications[CPU IKS libérable (vCPU)],TblApplications[Cluster IKS source],$F582,TblApplications[Action],"À migrer",TblApplications[Mois prov (calc)],"&lt;="&amp;$E582)-SUMIFS(TblApplications[CPU IKS libérable (vCPU)],TblApplications[Cluster IKS source],$F582,TblApplications[Action],"À décommissionner",TblApplications[Mois lib (calc)],"&lt;="&amp;$E582)))))</f>
        <v/>
      </c>
      <c r="Y582" s="14" t="str">
        <f aca="false">IF($D582&lt;&gt;1,"",IF($G582="ROKS",$S582,IF($AI582=1,0,MAX($O582,$M582-SUMIFS(TblApplications[RAM IKS libérable (Go)],TblApplications[Cluster IKS source],$F582,TblApplications[Action],"À migrer",TblApplications[Mois prov (calc)],"&lt;="&amp;$E582)-SUMIFS(TblApplications[RAM IKS libérable (Go)],TblApplications[Cluster IKS source],$F582,TblApplications[Action],"À décommissionner",TblApplications[Mois lib (calc)],"&lt;="&amp;$E582)))))</f>
        <v/>
      </c>
      <c r="Z582" s="14" t="str">
        <f aca="false">IF($D582&lt;&gt;1,"",IF($AI582=1,0,MAX($J582,ROUNDUP(MAX($X582/$H582,$Y582/$I582),0))))</f>
        <v/>
      </c>
      <c r="AA582" s="84" t="str">
        <f aca="false">IF($D582&lt;&gt;1,"",IF(p_mode="Nœud",$Z582*$K582,$X582*IF($G582="IKS",p_iks_cpu,p_roks_cpu)+$Y582*IF($G582="IKS",p_iks_ram,p_roks_ram))*p_facteur)</f>
        <v/>
      </c>
      <c r="AB582" s="14" t="str">
        <f aca="false">IF($D582&lt;&gt;1,"",MAX($J582,ROUNDUP(MAX($L582/$H582,$M582/$I582),0)))</f>
        <v/>
      </c>
      <c r="AC582" s="84" t="str">
        <f aca="false">IF($D582&lt;&gt;1,"",IF(p_mode="Nœud",$AB582*$K582,$L582*IF($G582="IKS",p_iks_cpu,p_roks_cpu)+$M582*IF($G582="IKS",p_iks_ram,p_roks_ram))*p_facteur)</f>
        <v/>
      </c>
      <c r="AD582" s="14" t="str">
        <f aca="false">IF($D582&lt;&gt;1,"",IF(AND($G582="IKS",$AI582&lt;&gt;1,OR($L582-$P582&lt;$N582,$M582-$Q582&lt;$O582)),1,0))</f>
        <v/>
      </c>
      <c r="AE582" s="14" t="str">
        <f aca="false">IF($D582&lt;&gt;1,"",IF(AND($G582="ROKS",$T582&gt;p_maxworkers),1,0))</f>
        <v/>
      </c>
      <c r="AF582" s="14" t="str">
        <f aca="false">IF($D582&lt;&gt;1,"",IF(INDEX(TblClusters[Environnement],$B582)="","(vide)",INDEX(TblClusters[Environnement],$B582)))</f>
        <v/>
      </c>
      <c r="AG582" s="14" t="str">
        <f aca="false">IF($D582&lt;&gt;1,"",$R582+p_poidsram*$S582)</f>
        <v/>
      </c>
      <c r="AH582" s="14" t="str">
        <f aca="false">IF($D582&lt;&gt;1,"",IFERROR($W582/$AG582,0))</f>
        <v/>
      </c>
      <c r="AI582" s="14" t="str">
        <f aca="false">IF($D582&lt;&gt;1,"",IF(AND($G582="IKS",ISNUMBER(INDEX(TblClusters[Fermeture retenue],$B582))),IF($E582&gt;=INDEX(TblClusters[Fermeture retenue],$B582),1,0),0))</f>
        <v/>
      </c>
    </row>
    <row r="583" customFormat="false" ht="15" hidden="false" customHeight="false" outlineLevel="0" collapsed="false">
      <c r="A583" s="14" t="n">
        <v>578</v>
      </c>
      <c r="B583" s="14" t="n">
        <f aca="false">INT(($A583-1)/36)+1</f>
        <v>17</v>
      </c>
      <c r="C583" s="14" t="n">
        <f aca="false">MOD($A583-1,36)+1</f>
        <v>2</v>
      </c>
      <c r="D583" s="14" t="n">
        <f aca="false">IF($C583&gt;p_horizon,0,IFERROR(IF(AND(INDEX(TblClusters[Cluster],$B583)&lt;&gt;"",ISNUMBER(INDEX(TblClusters[CPU initial (vCPU)],$B583)),ISNUMBER(INDEX(TblClusters[CPU min (vCPU)],$B583)),OR(INDEX(TblClusters[Plateforme],$B583)="IKS",INDEX(TblClusters[Plateforme],$B583)="ROKS")),1,0),0))</f>
        <v>0</v>
      </c>
      <c r="E583" s="83" t="str">
        <f aca="false">IF($D583=1,EDATE(p_debut,$C583-1),"")</f>
        <v/>
      </c>
      <c r="F583" s="14" t="str">
        <f aca="false">IF($D583=1,INDEX(TblClusters[Cluster],$B583),"")</f>
        <v/>
      </c>
      <c r="G583" s="14" t="str">
        <f aca="false">IF($D583=1,INDEX(TblClusters[Plateforme],$B583),"")</f>
        <v/>
      </c>
      <c r="H583" s="14" t="str">
        <f aca="false">IF($D583=1,INDEX(TblClusters[vCPU par nœud],$B583),"")</f>
        <v/>
      </c>
      <c r="I583" s="14" t="str">
        <f aca="false">IF($D583=1,INDEX(TblClusters[RAM par nœud (Go)],$B583),"")</f>
        <v/>
      </c>
      <c r="J583" s="14" t="str">
        <f aca="false">IF($D583=1,INDEX(TblClusters[Workers min],$B583),"")</f>
        <v/>
      </c>
      <c r="K583" s="84" t="str">
        <f aca="false">IF($D583=1,INDEX(TblClusters[Tarif par nœud],$B583),"")</f>
        <v/>
      </c>
      <c r="L583" s="14" t="str">
        <f aca="false">IF($D583=1,INDEX(TblClusters[CPU initial (vCPU)],$B583),"")</f>
        <v/>
      </c>
      <c r="M583" s="14" t="str">
        <f aca="false">IF($D583=1,INDEX(TblClusters[RAM initiale (Go)],$B583),"")</f>
        <v/>
      </c>
      <c r="N583" s="14" t="str">
        <f aca="false">IF($D583=1,INDEX(TblClusters[CPU min (vCPU)],$B583),"")</f>
        <v/>
      </c>
      <c r="O583" s="14" t="str">
        <f aca="false">IF($D583=1,INDEX(TblClusters[RAM min (Go)],$B583),"")</f>
        <v/>
      </c>
      <c r="P583" s="14" t="str">
        <f aca="false">IF($D583&lt;&gt;1,"",IF($G583="ROKS",SUMIFS(TblApplications[Besoin ROKS CPU (vCPU)],TblApplications[Cluster ROKS cible],$F583,TblApplications[Action],"À migrer",TblApplications[Déjà incluse ROKS],"Non",TblApplications[Mois prov (calc)],"&lt;="&amp;$E583),SUMIFS(TblApplications[CPU IKS libérable (vCPU)],TblApplications[Cluster IKS source],$F583,TblApplications[Mois lib (calc)],"&lt;="&amp;$E583)))</f>
        <v/>
      </c>
      <c r="Q583" s="14" t="str">
        <f aca="false">IF($D583&lt;&gt;1,"",IF($G583="ROKS",SUMIFS(TblApplications[Besoin ROKS RAM (Go)],TblApplications[Cluster ROKS cible],$F583,TblApplications[Action],"À migrer",TblApplications[Déjà incluse ROKS],"Non",TblApplications[Mois prov (calc)],"&lt;="&amp;$E583),SUMIFS(TblApplications[RAM IKS libérable (Go)],TblApplications[Cluster IKS source],$F583,TblApplications[Mois lib (calc)],"&lt;="&amp;$E583)))</f>
        <v/>
      </c>
      <c r="R583" s="14" t="str">
        <f aca="false">IF($D583&lt;&gt;1,"",IF($G583="ROKS",$L583+$P583,IF($AI583=1,0,MAX($N583,$L583-$P583))))</f>
        <v/>
      </c>
      <c r="S583" s="14" t="str">
        <f aca="false">IF($D583&lt;&gt;1,"",IF($G583="ROKS",$M583+$Q583,IF($AI583=1,0,MAX($O583,$M583-$Q583))))</f>
        <v/>
      </c>
      <c r="T583" s="14" t="str">
        <f aca="false">IF($D583&lt;&gt;1,"",IF($AI583=1,0,MAX($J583,ROUNDUP(MAX($R583/$H583,$S583/$I583),0))))</f>
        <v/>
      </c>
      <c r="U583" s="14" t="str">
        <f aca="false">IF($D583&lt;&gt;1,"",IF(p_mode="Nœud",$T583*$H583,$R583))</f>
        <v/>
      </c>
      <c r="V583" s="14" t="str">
        <f aca="false">IF($D583&lt;&gt;1,"",IF(p_mode="Nœud",$T583*$I583,$S583))</f>
        <v/>
      </c>
      <c r="W583" s="84" t="str">
        <f aca="false">IF($D583&lt;&gt;1,"",IF(p_mode="Nœud",$T583*$K583,$R583*IF($G583="IKS",p_iks_cpu,p_roks_cpu)+$S583*IF($G583="IKS",p_iks_ram,p_roks_ram))*p_facteur)</f>
        <v/>
      </c>
      <c r="X583" s="14" t="str">
        <f aca="false">IF($D583&lt;&gt;1,"",IF($G583="ROKS",$R583,IF($AI583=1,0,MAX($N583,$L583-SUMIFS(TblApplications[CPU IKS libérable (vCPU)],TblApplications[Cluster IKS source],$F583,TblApplications[Action],"À migrer",TblApplications[Mois prov (calc)],"&lt;="&amp;$E583)-SUMIFS(TblApplications[CPU IKS libérable (vCPU)],TblApplications[Cluster IKS source],$F583,TblApplications[Action],"À décommissionner",TblApplications[Mois lib (calc)],"&lt;="&amp;$E583)))))</f>
        <v/>
      </c>
      <c r="Y583" s="14" t="str">
        <f aca="false">IF($D583&lt;&gt;1,"",IF($G583="ROKS",$S583,IF($AI583=1,0,MAX($O583,$M583-SUMIFS(TblApplications[RAM IKS libérable (Go)],TblApplications[Cluster IKS source],$F583,TblApplications[Action],"À migrer",TblApplications[Mois prov (calc)],"&lt;="&amp;$E583)-SUMIFS(TblApplications[RAM IKS libérable (Go)],TblApplications[Cluster IKS source],$F583,TblApplications[Action],"À décommissionner",TblApplications[Mois lib (calc)],"&lt;="&amp;$E583)))))</f>
        <v/>
      </c>
      <c r="Z583" s="14" t="str">
        <f aca="false">IF($D583&lt;&gt;1,"",IF($AI583=1,0,MAX($J583,ROUNDUP(MAX($X583/$H583,$Y583/$I583),0))))</f>
        <v/>
      </c>
      <c r="AA583" s="84" t="str">
        <f aca="false">IF($D583&lt;&gt;1,"",IF(p_mode="Nœud",$Z583*$K583,$X583*IF($G583="IKS",p_iks_cpu,p_roks_cpu)+$Y583*IF($G583="IKS",p_iks_ram,p_roks_ram))*p_facteur)</f>
        <v/>
      </c>
      <c r="AB583" s="14" t="str">
        <f aca="false">IF($D583&lt;&gt;1,"",MAX($J583,ROUNDUP(MAX($L583/$H583,$M583/$I583),0)))</f>
        <v/>
      </c>
      <c r="AC583" s="84" t="str">
        <f aca="false">IF($D583&lt;&gt;1,"",IF(p_mode="Nœud",$AB583*$K583,$L583*IF($G583="IKS",p_iks_cpu,p_roks_cpu)+$M583*IF($G583="IKS",p_iks_ram,p_roks_ram))*p_facteur)</f>
        <v/>
      </c>
      <c r="AD583" s="14" t="str">
        <f aca="false">IF($D583&lt;&gt;1,"",IF(AND($G583="IKS",$AI583&lt;&gt;1,OR($L583-$P583&lt;$N583,$M583-$Q583&lt;$O583)),1,0))</f>
        <v/>
      </c>
      <c r="AE583" s="14" t="str">
        <f aca="false">IF($D583&lt;&gt;1,"",IF(AND($G583="ROKS",$T583&gt;p_maxworkers),1,0))</f>
        <v/>
      </c>
      <c r="AF583" s="14" t="str">
        <f aca="false">IF($D583&lt;&gt;1,"",IF(INDEX(TblClusters[Environnement],$B583)="","(vide)",INDEX(TblClusters[Environnement],$B583)))</f>
        <v/>
      </c>
      <c r="AG583" s="14" t="str">
        <f aca="false">IF($D583&lt;&gt;1,"",$R583+p_poidsram*$S583)</f>
        <v/>
      </c>
      <c r="AH583" s="14" t="str">
        <f aca="false">IF($D583&lt;&gt;1,"",IFERROR($W583/$AG583,0))</f>
        <v/>
      </c>
      <c r="AI583" s="14" t="str">
        <f aca="false">IF($D583&lt;&gt;1,"",IF(AND($G583="IKS",ISNUMBER(INDEX(TblClusters[Fermeture retenue],$B583))),IF($E583&gt;=INDEX(TblClusters[Fermeture retenue],$B583),1,0),0))</f>
        <v/>
      </c>
    </row>
    <row r="584" customFormat="false" ht="15" hidden="false" customHeight="false" outlineLevel="0" collapsed="false">
      <c r="A584" s="14" t="n">
        <v>579</v>
      </c>
      <c r="B584" s="14" t="n">
        <f aca="false">INT(($A584-1)/36)+1</f>
        <v>17</v>
      </c>
      <c r="C584" s="14" t="n">
        <f aca="false">MOD($A584-1,36)+1</f>
        <v>3</v>
      </c>
      <c r="D584" s="14" t="n">
        <f aca="false">IF($C584&gt;p_horizon,0,IFERROR(IF(AND(INDEX(TblClusters[Cluster],$B584)&lt;&gt;"",ISNUMBER(INDEX(TblClusters[CPU initial (vCPU)],$B584)),ISNUMBER(INDEX(TblClusters[CPU min (vCPU)],$B584)),OR(INDEX(TblClusters[Plateforme],$B584)="IKS",INDEX(TblClusters[Plateforme],$B584)="ROKS")),1,0),0))</f>
        <v>0</v>
      </c>
      <c r="E584" s="83" t="str">
        <f aca="false">IF($D584=1,EDATE(p_debut,$C584-1),"")</f>
        <v/>
      </c>
      <c r="F584" s="14" t="str">
        <f aca="false">IF($D584=1,INDEX(TblClusters[Cluster],$B584),"")</f>
        <v/>
      </c>
      <c r="G584" s="14" t="str">
        <f aca="false">IF($D584=1,INDEX(TblClusters[Plateforme],$B584),"")</f>
        <v/>
      </c>
      <c r="H584" s="14" t="str">
        <f aca="false">IF($D584=1,INDEX(TblClusters[vCPU par nœud],$B584),"")</f>
        <v/>
      </c>
      <c r="I584" s="14" t="str">
        <f aca="false">IF($D584=1,INDEX(TblClusters[RAM par nœud (Go)],$B584),"")</f>
        <v/>
      </c>
      <c r="J584" s="14" t="str">
        <f aca="false">IF($D584=1,INDEX(TblClusters[Workers min],$B584),"")</f>
        <v/>
      </c>
      <c r="K584" s="84" t="str">
        <f aca="false">IF($D584=1,INDEX(TblClusters[Tarif par nœud],$B584),"")</f>
        <v/>
      </c>
      <c r="L584" s="14" t="str">
        <f aca="false">IF($D584=1,INDEX(TblClusters[CPU initial (vCPU)],$B584),"")</f>
        <v/>
      </c>
      <c r="M584" s="14" t="str">
        <f aca="false">IF($D584=1,INDEX(TblClusters[RAM initiale (Go)],$B584),"")</f>
        <v/>
      </c>
      <c r="N584" s="14" t="str">
        <f aca="false">IF($D584=1,INDEX(TblClusters[CPU min (vCPU)],$B584),"")</f>
        <v/>
      </c>
      <c r="O584" s="14" t="str">
        <f aca="false">IF($D584=1,INDEX(TblClusters[RAM min (Go)],$B584),"")</f>
        <v/>
      </c>
      <c r="P584" s="14" t="str">
        <f aca="false">IF($D584&lt;&gt;1,"",IF($G584="ROKS",SUMIFS(TblApplications[Besoin ROKS CPU (vCPU)],TblApplications[Cluster ROKS cible],$F584,TblApplications[Action],"À migrer",TblApplications[Déjà incluse ROKS],"Non",TblApplications[Mois prov (calc)],"&lt;="&amp;$E584),SUMIFS(TblApplications[CPU IKS libérable (vCPU)],TblApplications[Cluster IKS source],$F584,TblApplications[Mois lib (calc)],"&lt;="&amp;$E584)))</f>
        <v/>
      </c>
      <c r="Q584" s="14" t="str">
        <f aca="false">IF($D584&lt;&gt;1,"",IF($G584="ROKS",SUMIFS(TblApplications[Besoin ROKS RAM (Go)],TblApplications[Cluster ROKS cible],$F584,TblApplications[Action],"À migrer",TblApplications[Déjà incluse ROKS],"Non",TblApplications[Mois prov (calc)],"&lt;="&amp;$E584),SUMIFS(TblApplications[RAM IKS libérable (Go)],TblApplications[Cluster IKS source],$F584,TblApplications[Mois lib (calc)],"&lt;="&amp;$E584)))</f>
        <v/>
      </c>
      <c r="R584" s="14" t="str">
        <f aca="false">IF($D584&lt;&gt;1,"",IF($G584="ROKS",$L584+$P584,IF($AI584=1,0,MAX($N584,$L584-$P584))))</f>
        <v/>
      </c>
      <c r="S584" s="14" t="str">
        <f aca="false">IF($D584&lt;&gt;1,"",IF($G584="ROKS",$M584+$Q584,IF($AI584=1,0,MAX($O584,$M584-$Q584))))</f>
        <v/>
      </c>
      <c r="T584" s="14" t="str">
        <f aca="false">IF($D584&lt;&gt;1,"",IF($AI584=1,0,MAX($J584,ROUNDUP(MAX($R584/$H584,$S584/$I584),0))))</f>
        <v/>
      </c>
      <c r="U584" s="14" t="str">
        <f aca="false">IF($D584&lt;&gt;1,"",IF(p_mode="Nœud",$T584*$H584,$R584))</f>
        <v/>
      </c>
      <c r="V584" s="14" t="str">
        <f aca="false">IF($D584&lt;&gt;1,"",IF(p_mode="Nœud",$T584*$I584,$S584))</f>
        <v/>
      </c>
      <c r="W584" s="84" t="str">
        <f aca="false">IF($D584&lt;&gt;1,"",IF(p_mode="Nœud",$T584*$K584,$R584*IF($G584="IKS",p_iks_cpu,p_roks_cpu)+$S584*IF($G584="IKS",p_iks_ram,p_roks_ram))*p_facteur)</f>
        <v/>
      </c>
      <c r="X584" s="14" t="str">
        <f aca="false">IF($D584&lt;&gt;1,"",IF($G584="ROKS",$R584,IF($AI584=1,0,MAX($N584,$L584-SUMIFS(TblApplications[CPU IKS libérable (vCPU)],TblApplications[Cluster IKS source],$F584,TblApplications[Action],"À migrer",TblApplications[Mois prov (calc)],"&lt;="&amp;$E584)-SUMIFS(TblApplications[CPU IKS libérable (vCPU)],TblApplications[Cluster IKS source],$F584,TblApplications[Action],"À décommissionner",TblApplications[Mois lib (calc)],"&lt;="&amp;$E584)))))</f>
        <v/>
      </c>
      <c r="Y584" s="14" t="str">
        <f aca="false">IF($D584&lt;&gt;1,"",IF($G584="ROKS",$S584,IF($AI584=1,0,MAX($O584,$M584-SUMIFS(TblApplications[RAM IKS libérable (Go)],TblApplications[Cluster IKS source],$F584,TblApplications[Action],"À migrer",TblApplications[Mois prov (calc)],"&lt;="&amp;$E584)-SUMIFS(TblApplications[RAM IKS libérable (Go)],TblApplications[Cluster IKS source],$F584,TblApplications[Action],"À décommissionner",TblApplications[Mois lib (calc)],"&lt;="&amp;$E584)))))</f>
        <v/>
      </c>
      <c r="Z584" s="14" t="str">
        <f aca="false">IF($D584&lt;&gt;1,"",IF($AI584=1,0,MAX($J584,ROUNDUP(MAX($X584/$H584,$Y584/$I584),0))))</f>
        <v/>
      </c>
      <c r="AA584" s="84" t="str">
        <f aca="false">IF($D584&lt;&gt;1,"",IF(p_mode="Nœud",$Z584*$K584,$X584*IF($G584="IKS",p_iks_cpu,p_roks_cpu)+$Y584*IF($G584="IKS",p_iks_ram,p_roks_ram))*p_facteur)</f>
        <v/>
      </c>
      <c r="AB584" s="14" t="str">
        <f aca="false">IF($D584&lt;&gt;1,"",MAX($J584,ROUNDUP(MAX($L584/$H584,$M584/$I584),0)))</f>
        <v/>
      </c>
      <c r="AC584" s="84" t="str">
        <f aca="false">IF($D584&lt;&gt;1,"",IF(p_mode="Nœud",$AB584*$K584,$L584*IF($G584="IKS",p_iks_cpu,p_roks_cpu)+$M584*IF($G584="IKS",p_iks_ram,p_roks_ram))*p_facteur)</f>
        <v/>
      </c>
      <c r="AD584" s="14" t="str">
        <f aca="false">IF($D584&lt;&gt;1,"",IF(AND($G584="IKS",$AI584&lt;&gt;1,OR($L584-$P584&lt;$N584,$M584-$Q584&lt;$O584)),1,0))</f>
        <v/>
      </c>
      <c r="AE584" s="14" t="str">
        <f aca="false">IF($D584&lt;&gt;1,"",IF(AND($G584="ROKS",$T584&gt;p_maxworkers),1,0))</f>
        <v/>
      </c>
      <c r="AF584" s="14" t="str">
        <f aca="false">IF($D584&lt;&gt;1,"",IF(INDEX(TblClusters[Environnement],$B584)="","(vide)",INDEX(TblClusters[Environnement],$B584)))</f>
        <v/>
      </c>
      <c r="AG584" s="14" t="str">
        <f aca="false">IF($D584&lt;&gt;1,"",$R584+p_poidsram*$S584)</f>
        <v/>
      </c>
      <c r="AH584" s="14" t="str">
        <f aca="false">IF($D584&lt;&gt;1,"",IFERROR($W584/$AG584,0))</f>
        <v/>
      </c>
      <c r="AI584" s="14" t="str">
        <f aca="false">IF($D584&lt;&gt;1,"",IF(AND($G584="IKS",ISNUMBER(INDEX(TblClusters[Fermeture retenue],$B584))),IF($E584&gt;=INDEX(TblClusters[Fermeture retenue],$B584),1,0),0))</f>
        <v/>
      </c>
    </row>
    <row r="585" customFormat="false" ht="15" hidden="false" customHeight="false" outlineLevel="0" collapsed="false">
      <c r="A585" s="14" t="n">
        <v>580</v>
      </c>
      <c r="B585" s="14" t="n">
        <f aca="false">INT(($A585-1)/36)+1</f>
        <v>17</v>
      </c>
      <c r="C585" s="14" t="n">
        <f aca="false">MOD($A585-1,36)+1</f>
        <v>4</v>
      </c>
      <c r="D585" s="14" t="n">
        <f aca="false">IF($C585&gt;p_horizon,0,IFERROR(IF(AND(INDEX(TblClusters[Cluster],$B585)&lt;&gt;"",ISNUMBER(INDEX(TblClusters[CPU initial (vCPU)],$B585)),ISNUMBER(INDEX(TblClusters[CPU min (vCPU)],$B585)),OR(INDEX(TblClusters[Plateforme],$B585)="IKS",INDEX(TblClusters[Plateforme],$B585)="ROKS")),1,0),0))</f>
        <v>0</v>
      </c>
      <c r="E585" s="83" t="str">
        <f aca="false">IF($D585=1,EDATE(p_debut,$C585-1),"")</f>
        <v/>
      </c>
      <c r="F585" s="14" t="str">
        <f aca="false">IF($D585=1,INDEX(TblClusters[Cluster],$B585),"")</f>
        <v/>
      </c>
      <c r="G585" s="14" t="str">
        <f aca="false">IF($D585=1,INDEX(TblClusters[Plateforme],$B585),"")</f>
        <v/>
      </c>
      <c r="H585" s="14" t="str">
        <f aca="false">IF($D585=1,INDEX(TblClusters[vCPU par nœud],$B585),"")</f>
        <v/>
      </c>
      <c r="I585" s="14" t="str">
        <f aca="false">IF($D585=1,INDEX(TblClusters[RAM par nœud (Go)],$B585),"")</f>
        <v/>
      </c>
      <c r="J585" s="14" t="str">
        <f aca="false">IF($D585=1,INDEX(TblClusters[Workers min],$B585),"")</f>
        <v/>
      </c>
      <c r="K585" s="84" t="str">
        <f aca="false">IF($D585=1,INDEX(TblClusters[Tarif par nœud],$B585),"")</f>
        <v/>
      </c>
      <c r="L585" s="14" t="str">
        <f aca="false">IF($D585=1,INDEX(TblClusters[CPU initial (vCPU)],$B585),"")</f>
        <v/>
      </c>
      <c r="M585" s="14" t="str">
        <f aca="false">IF($D585=1,INDEX(TblClusters[RAM initiale (Go)],$B585),"")</f>
        <v/>
      </c>
      <c r="N585" s="14" t="str">
        <f aca="false">IF($D585=1,INDEX(TblClusters[CPU min (vCPU)],$B585),"")</f>
        <v/>
      </c>
      <c r="O585" s="14" t="str">
        <f aca="false">IF($D585=1,INDEX(TblClusters[RAM min (Go)],$B585),"")</f>
        <v/>
      </c>
      <c r="P585" s="14" t="str">
        <f aca="false">IF($D585&lt;&gt;1,"",IF($G585="ROKS",SUMIFS(TblApplications[Besoin ROKS CPU (vCPU)],TblApplications[Cluster ROKS cible],$F585,TblApplications[Action],"À migrer",TblApplications[Déjà incluse ROKS],"Non",TblApplications[Mois prov (calc)],"&lt;="&amp;$E585),SUMIFS(TblApplications[CPU IKS libérable (vCPU)],TblApplications[Cluster IKS source],$F585,TblApplications[Mois lib (calc)],"&lt;="&amp;$E585)))</f>
        <v/>
      </c>
      <c r="Q585" s="14" t="str">
        <f aca="false">IF($D585&lt;&gt;1,"",IF($G585="ROKS",SUMIFS(TblApplications[Besoin ROKS RAM (Go)],TblApplications[Cluster ROKS cible],$F585,TblApplications[Action],"À migrer",TblApplications[Déjà incluse ROKS],"Non",TblApplications[Mois prov (calc)],"&lt;="&amp;$E585),SUMIFS(TblApplications[RAM IKS libérable (Go)],TblApplications[Cluster IKS source],$F585,TblApplications[Mois lib (calc)],"&lt;="&amp;$E585)))</f>
        <v/>
      </c>
      <c r="R585" s="14" t="str">
        <f aca="false">IF($D585&lt;&gt;1,"",IF($G585="ROKS",$L585+$P585,IF($AI585=1,0,MAX($N585,$L585-$P585))))</f>
        <v/>
      </c>
      <c r="S585" s="14" t="str">
        <f aca="false">IF($D585&lt;&gt;1,"",IF($G585="ROKS",$M585+$Q585,IF($AI585=1,0,MAX($O585,$M585-$Q585))))</f>
        <v/>
      </c>
      <c r="T585" s="14" t="str">
        <f aca="false">IF($D585&lt;&gt;1,"",IF($AI585=1,0,MAX($J585,ROUNDUP(MAX($R585/$H585,$S585/$I585),0))))</f>
        <v/>
      </c>
      <c r="U585" s="14" t="str">
        <f aca="false">IF($D585&lt;&gt;1,"",IF(p_mode="Nœud",$T585*$H585,$R585))</f>
        <v/>
      </c>
      <c r="V585" s="14" t="str">
        <f aca="false">IF($D585&lt;&gt;1,"",IF(p_mode="Nœud",$T585*$I585,$S585))</f>
        <v/>
      </c>
      <c r="W585" s="84" t="str">
        <f aca="false">IF($D585&lt;&gt;1,"",IF(p_mode="Nœud",$T585*$K585,$R585*IF($G585="IKS",p_iks_cpu,p_roks_cpu)+$S585*IF($G585="IKS",p_iks_ram,p_roks_ram))*p_facteur)</f>
        <v/>
      </c>
      <c r="X585" s="14" t="str">
        <f aca="false">IF($D585&lt;&gt;1,"",IF($G585="ROKS",$R585,IF($AI585=1,0,MAX($N585,$L585-SUMIFS(TblApplications[CPU IKS libérable (vCPU)],TblApplications[Cluster IKS source],$F585,TblApplications[Action],"À migrer",TblApplications[Mois prov (calc)],"&lt;="&amp;$E585)-SUMIFS(TblApplications[CPU IKS libérable (vCPU)],TblApplications[Cluster IKS source],$F585,TblApplications[Action],"À décommissionner",TblApplications[Mois lib (calc)],"&lt;="&amp;$E585)))))</f>
        <v/>
      </c>
      <c r="Y585" s="14" t="str">
        <f aca="false">IF($D585&lt;&gt;1,"",IF($G585="ROKS",$S585,IF($AI585=1,0,MAX($O585,$M585-SUMIFS(TblApplications[RAM IKS libérable (Go)],TblApplications[Cluster IKS source],$F585,TblApplications[Action],"À migrer",TblApplications[Mois prov (calc)],"&lt;="&amp;$E585)-SUMIFS(TblApplications[RAM IKS libérable (Go)],TblApplications[Cluster IKS source],$F585,TblApplications[Action],"À décommissionner",TblApplications[Mois lib (calc)],"&lt;="&amp;$E585)))))</f>
        <v/>
      </c>
      <c r="Z585" s="14" t="str">
        <f aca="false">IF($D585&lt;&gt;1,"",IF($AI585=1,0,MAX($J585,ROUNDUP(MAX($X585/$H585,$Y585/$I585),0))))</f>
        <v/>
      </c>
      <c r="AA585" s="84" t="str">
        <f aca="false">IF($D585&lt;&gt;1,"",IF(p_mode="Nœud",$Z585*$K585,$X585*IF($G585="IKS",p_iks_cpu,p_roks_cpu)+$Y585*IF($G585="IKS",p_iks_ram,p_roks_ram))*p_facteur)</f>
        <v/>
      </c>
      <c r="AB585" s="14" t="str">
        <f aca="false">IF($D585&lt;&gt;1,"",MAX($J585,ROUNDUP(MAX($L585/$H585,$M585/$I585),0)))</f>
        <v/>
      </c>
      <c r="AC585" s="84" t="str">
        <f aca="false">IF($D585&lt;&gt;1,"",IF(p_mode="Nœud",$AB585*$K585,$L585*IF($G585="IKS",p_iks_cpu,p_roks_cpu)+$M585*IF($G585="IKS",p_iks_ram,p_roks_ram))*p_facteur)</f>
        <v/>
      </c>
      <c r="AD585" s="14" t="str">
        <f aca="false">IF($D585&lt;&gt;1,"",IF(AND($G585="IKS",$AI585&lt;&gt;1,OR($L585-$P585&lt;$N585,$M585-$Q585&lt;$O585)),1,0))</f>
        <v/>
      </c>
      <c r="AE585" s="14" t="str">
        <f aca="false">IF($D585&lt;&gt;1,"",IF(AND($G585="ROKS",$T585&gt;p_maxworkers),1,0))</f>
        <v/>
      </c>
      <c r="AF585" s="14" t="str">
        <f aca="false">IF($D585&lt;&gt;1,"",IF(INDEX(TblClusters[Environnement],$B585)="","(vide)",INDEX(TblClusters[Environnement],$B585)))</f>
        <v/>
      </c>
      <c r="AG585" s="14" t="str">
        <f aca="false">IF($D585&lt;&gt;1,"",$R585+p_poidsram*$S585)</f>
        <v/>
      </c>
      <c r="AH585" s="14" t="str">
        <f aca="false">IF($D585&lt;&gt;1,"",IFERROR($W585/$AG585,0))</f>
        <v/>
      </c>
      <c r="AI585" s="14" t="str">
        <f aca="false">IF($D585&lt;&gt;1,"",IF(AND($G585="IKS",ISNUMBER(INDEX(TblClusters[Fermeture retenue],$B585))),IF($E585&gt;=INDEX(TblClusters[Fermeture retenue],$B585),1,0),0))</f>
        <v/>
      </c>
    </row>
    <row r="586" customFormat="false" ht="15" hidden="false" customHeight="false" outlineLevel="0" collapsed="false">
      <c r="A586" s="14" t="n">
        <v>581</v>
      </c>
      <c r="B586" s="14" t="n">
        <f aca="false">INT(($A586-1)/36)+1</f>
        <v>17</v>
      </c>
      <c r="C586" s="14" t="n">
        <f aca="false">MOD($A586-1,36)+1</f>
        <v>5</v>
      </c>
      <c r="D586" s="14" t="n">
        <f aca="false">IF($C586&gt;p_horizon,0,IFERROR(IF(AND(INDEX(TblClusters[Cluster],$B586)&lt;&gt;"",ISNUMBER(INDEX(TblClusters[CPU initial (vCPU)],$B586)),ISNUMBER(INDEX(TblClusters[CPU min (vCPU)],$B586)),OR(INDEX(TblClusters[Plateforme],$B586)="IKS",INDEX(TblClusters[Plateforme],$B586)="ROKS")),1,0),0))</f>
        <v>0</v>
      </c>
      <c r="E586" s="83" t="str">
        <f aca="false">IF($D586=1,EDATE(p_debut,$C586-1),"")</f>
        <v/>
      </c>
      <c r="F586" s="14" t="str">
        <f aca="false">IF($D586=1,INDEX(TblClusters[Cluster],$B586),"")</f>
        <v/>
      </c>
      <c r="G586" s="14" t="str">
        <f aca="false">IF($D586=1,INDEX(TblClusters[Plateforme],$B586),"")</f>
        <v/>
      </c>
      <c r="H586" s="14" t="str">
        <f aca="false">IF($D586=1,INDEX(TblClusters[vCPU par nœud],$B586),"")</f>
        <v/>
      </c>
      <c r="I586" s="14" t="str">
        <f aca="false">IF($D586=1,INDEX(TblClusters[RAM par nœud (Go)],$B586),"")</f>
        <v/>
      </c>
      <c r="J586" s="14" t="str">
        <f aca="false">IF($D586=1,INDEX(TblClusters[Workers min],$B586),"")</f>
        <v/>
      </c>
      <c r="K586" s="84" t="str">
        <f aca="false">IF($D586=1,INDEX(TblClusters[Tarif par nœud],$B586),"")</f>
        <v/>
      </c>
      <c r="L586" s="14" t="str">
        <f aca="false">IF($D586=1,INDEX(TblClusters[CPU initial (vCPU)],$B586),"")</f>
        <v/>
      </c>
      <c r="M586" s="14" t="str">
        <f aca="false">IF($D586=1,INDEX(TblClusters[RAM initiale (Go)],$B586),"")</f>
        <v/>
      </c>
      <c r="N586" s="14" t="str">
        <f aca="false">IF($D586=1,INDEX(TblClusters[CPU min (vCPU)],$B586),"")</f>
        <v/>
      </c>
      <c r="O586" s="14" t="str">
        <f aca="false">IF($D586=1,INDEX(TblClusters[RAM min (Go)],$B586),"")</f>
        <v/>
      </c>
      <c r="P586" s="14" t="str">
        <f aca="false">IF($D586&lt;&gt;1,"",IF($G586="ROKS",SUMIFS(TblApplications[Besoin ROKS CPU (vCPU)],TblApplications[Cluster ROKS cible],$F586,TblApplications[Action],"À migrer",TblApplications[Déjà incluse ROKS],"Non",TblApplications[Mois prov (calc)],"&lt;="&amp;$E586),SUMIFS(TblApplications[CPU IKS libérable (vCPU)],TblApplications[Cluster IKS source],$F586,TblApplications[Mois lib (calc)],"&lt;="&amp;$E586)))</f>
        <v/>
      </c>
      <c r="Q586" s="14" t="str">
        <f aca="false">IF($D586&lt;&gt;1,"",IF($G586="ROKS",SUMIFS(TblApplications[Besoin ROKS RAM (Go)],TblApplications[Cluster ROKS cible],$F586,TblApplications[Action],"À migrer",TblApplications[Déjà incluse ROKS],"Non",TblApplications[Mois prov (calc)],"&lt;="&amp;$E586),SUMIFS(TblApplications[RAM IKS libérable (Go)],TblApplications[Cluster IKS source],$F586,TblApplications[Mois lib (calc)],"&lt;="&amp;$E586)))</f>
        <v/>
      </c>
      <c r="R586" s="14" t="str">
        <f aca="false">IF($D586&lt;&gt;1,"",IF($G586="ROKS",$L586+$P586,IF($AI586=1,0,MAX($N586,$L586-$P586))))</f>
        <v/>
      </c>
      <c r="S586" s="14" t="str">
        <f aca="false">IF($D586&lt;&gt;1,"",IF($G586="ROKS",$M586+$Q586,IF($AI586=1,0,MAX($O586,$M586-$Q586))))</f>
        <v/>
      </c>
      <c r="T586" s="14" t="str">
        <f aca="false">IF($D586&lt;&gt;1,"",IF($AI586=1,0,MAX($J586,ROUNDUP(MAX($R586/$H586,$S586/$I586),0))))</f>
        <v/>
      </c>
      <c r="U586" s="14" t="str">
        <f aca="false">IF($D586&lt;&gt;1,"",IF(p_mode="Nœud",$T586*$H586,$R586))</f>
        <v/>
      </c>
      <c r="V586" s="14" t="str">
        <f aca="false">IF($D586&lt;&gt;1,"",IF(p_mode="Nœud",$T586*$I586,$S586))</f>
        <v/>
      </c>
      <c r="W586" s="84" t="str">
        <f aca="false">IF($D586&lt;&gt;1,"",IF(p_mode="Nœud",$T586*$K586,$R586*IF($G586="IKS",p_iks_cpu,p_roks_cpu)+$S586*IF($G586="IKS",p_iks_ram,p_roks_ram))*p_facteur)</f>
        <v/>
      </c>
      <c r="X586" s="14" t="str">
        <f aca="false">IF($D586&lt;&gt;1,"",IF($G586="ROKS",$R586,IF($AI586=1,0,MAX($N586,$L586-SUMIFS(TblApplications[CPU IKS libérable (vCPU)],TblApplications[Cluster IKS source],$F586,TblApplications[Action],"À migrer",TblApplications[Mois prov (calc)],"&lt;="&amp;$E586)-SUMIFS(TblApplications[CPU IKS libérable (vCPU)],TblApplications[Cluster IKS source],$F586,TblApplications[Action],"À décommissionner",TblApplications[Mois lib (calc)],"&lt;="&amp;$E586)))))</f>
        <v/>
      </c>
      <c r="Y586" s="14" t="str">
        <f aca="false">IF($D586&lt;&gt;1,"",IF($G586="ROKS",$S586,IF($AI586=1,0,MAX($O586,$M586-SUMIFS(TblApplications[RAM IKS libérable (Go)],TblApplications[Cluster IKS source],$F586,TblApplications[Action],"À migrer",TblApplications[Mois prov (calc)],"&lt;="&amp;$E586)-SUMIFS(TblApplications[RAM IKS libérable (Go)],TblApplications[Cluster IKS source],$F586,TblApplications[Action],"À décommissionner",TblApplications[Mois lib (calc)],"&lt;="&amp;$E586)))))</f>
        <v/>
      </c>
      <c r="Z586" s="14" t="str">
        <f aca="false">IF($D586&lt;&gt;1,"",IF($AI586=1,0,MAX($J586,ROUNDUP(MAX($X586/$H586,$Y586/$I586),0))))</f>
        <v/>
      </c>
      <c r="AA586" s="84" t="str">
        <f aca="false">IF($D586&lt;&gt;1,"",IF(p_mode="Nœud",$Z586*$K586,$X586*IF($G586="IKS",p_iks_cpu,p_roks_cpu)+$Y586*IF($G586="IKS",p_iks_ram,p_roks_ram))*p_facteur)</f>
        <v/>
      </c>
      <c r="AB586" s="14" t="str">
        <f aca="false">IF($D586&lt;&gt;1,"",MAX($J586,ROUNDUP(MAX($L586/$H586,$M586/$I586),0)))</f>
        <v/>
      </c>
      <c r="AC586" s="84" t="str">
        <f aca="false">IF($D586&lt;&gt;1,"",IF(p_mode="Nœud",$AB586*$K586,$L586*IF($G586="IKS",p_iks_cpu,p_roks_cpu)+$M586*IF($G586="IKS",p_iks_ram,p_roks_ram))*p_facteur)</f>
        <v/>
      </c>
      <c r="AD586" s="14" t="str">
        <f aca="false">IF($D586&lt;&gt;1,"",IF(AND($G586="IKS",$AI586&lt;&gt;1,OR($L586-$P586&lt;$N586,$M586-$Q586&lt;$O586)),1,0))</f>
        <v/>
      </c>
      <c r="AE586" s="14" t="str">
        <f aca="false">IF($D586&lt;&gt;1,"",IF(AND($G586="ROKS",$T586&gt;p_maxworkers),1,0))</f>
        <v/>
      </c>
      <c r="AF586" s="14" t="str">
        <f aca="false">IF($D586&lt;&gt;1,"",IF(INDEX(TblClusters[Environnement],$B586)="","(vide)",INDEX(TblClusters[Environnement],$B586)))</f>
        <v/>
      </c>
      <c r="AG586" s="14" t="str">
        <f aca="false">IF($D586&lt;&gt;1,"",$R586+p_poidsram*$S586)</f>
        <v/>
      </c>
      <c r="AH586" s="14" t="str">
        <f aca="false">IF($D586&lt;&gt;1,"",IFERROR($W586/$AG586,0))</f>
        <v/>
      </c>
      <c r="AI586" s="14" t="str">
        <f aca="false">IF($D586&lt;&gt;1,"",IF(AND($G586="IKS",ISNUMBER(INDEX(TblClusters[Fermeture retenue],$B586))),IF($E586&gt;=INDEX(TblClusters[Fermeture retenue],$B586),1,0),0))</f>
        <v/>
      </c>
    </row>
    <row r="587" customFormat="false" ht="15" hidden="false" customHeight="false" outlineLevel="0" collapsed="false">
      <c r="A587" s="14" t="n">
        <v>582</v>
      </c>
      <c r="B587" s="14" t="n">
        <f aca="false">INT(($A587-1)/36)+1</f>
        <v>17</v>
      </c>
      <c r="C587" s="14" t="n">
        <f aca="false">MOD($A587-1,36)+1</f>
        <v>6</v>
      </c>
      <c r="D587" s="14" t="n">
        <f aca="false">IF($C587&gt;p_horizon,0,IFERROR(IF(AND(INDEX(TblClusters[Cluster],$B587)&lt;&gt;"",ISNUMBER(INDEX(TblClusters[CPU initial (vCPU)],$B587)),ISNUMBER(INDEX(TblClusters[CPU min (vCPU)],$B587)),OR(INDEX(TblClusters[Plateforme],$B587)="IKS",INDEX(TblClusters[Plateforme],$B587)="ROKS")),1,0),0))</f>
        <v>0</v>
      </c>
      <c r="E587" s="83" t="str">
        <f aca="false">IF($D587=1,EDATE(p_debut,$C587-1),"")</f>
        <v/>
      </c>
      <c r="F587" s="14" t="str">
        <f aca="false">IF($D587=1,INDEX(TblClusters[Cluster],$B587),"")</f>
        <v/>
      </c>
      <c r="G587" s="14" t="str">
        <f aca="false">IF($D587=1,INDEX(TblClusters[Plateforme],$B587),"")</f>
        <v/>
      </c>
      <c r="H587" s="14" t="str">
        <f aca="false">IF($D587=1,INDEX(TblClusters[vCPU par nœud],$B587),"")</f>
        <v/>
      </c>
      <c r="I587" s="14" t="str">
        <f aca="false">IF($D587=1,INDEX(TblClusters[RAM par nœud (Go)],$B587),"")</f>
        <v/>
      </c>
      <c r="J587" s="14" t="str">
        <f aca="false">IF($D587=1,INDEX(TblClusters[Workers min],$B587),"")</f>
        <v/>
      </c>
      <c r="K587" s="84" t="str">
        <f aca="false">IF($D587=1,INDEX(TblClusters[Tarif par nœud],$B587),"")</f>
        <v/>
      </c>
      <c r="L587" s="14" t="str">
        <f aca="false">IF($D587=1,INDEX(TblClusters[CPU initial (vCPU)],$B587),"")</f>
        <v/>
      </c>
      <c r="M587" s="14" t="str">
        <f aca="false">IF($D587=1,INDEX(TblClusters[RAM initiale (Go)],$B587),"")</f>
        <v/>
      </c>
      <c r="N587" s="14" t="str">
        <f aca="false">IF($D587=1,INDEX(TblClusters[CPU min (vCPU)],$B587),"")</f>
        <v/>
      </c>
      <c r="O587" s="14" t="str">
        <f aca="false">IF($D587=1,INDEX(TblClusters[RAM min (Go)],$B587),"")</f>
        <v/>
      </c>
      <c r="P587" s="14" t="str">
        <f aca="false">IF($D587&lt;&gt;1,"",IF($G587="ROKS",SUMIFS(TblApplications[Besoin ROKS CPU (vCPU)],TblApplications[Cluster ROKS cible],$F587,TblApplications[Action],"À migrer",TblApplications[Déjà incluse ROKS],"Non",TblApplications[Mois prov (calc)],"&lt;="&amp;$E587),SUMIFS(TblApplications[CPU IKS libérable (vCPU)],TblApplications[Cluster IKS source],$F587,TblApplications[Mois lib (calc)],"&lt;="&amp;$E587)))</f>
        <v/>
      </c>
      <c r="Q587" s="14" t="str">
        <f aca="false">IF($D587&lt;&gt;1,"",IF($G587="ROKS",SUMIFS(TblApplications[Besoin ROKS RAM (Go)],TblApplications[Cluster ROKS cible],$F587,TblApplications[Action],"À migrer",TblApplications[Déjà incluse ROKS],"Non",TblApplications[Mois prov (calc)],"&lt;="&amp;$E587),SUMIFS(TblApplications[RAM IKS libérable (Go)],TblApplications[Cluster IKS source],$F587,TblApplications[Mois lib (calc)],"&lt;="&amp;$E587)))</f>
        <v/>
      </c>
      <c r="R587" s="14" t="str">
        <f aca="false">IF($D587&lt;&gt;1,"",IF($G587="ROKS",$L587+$P587,IF($AI587=1,0,MAX($N587,$L587-$P587))))</f>
        <v/>
      </c>
      <c r="S587" s="14" t="str">
        <f aca="false">IF($D587&lt;&gt;1,"",IF($G587="ROKS",$M587+$Q587,IF($AI587=1,0,MAX($O587,$M587-$Q587))))</f>
        <v/>
      </c>
      <c r="T587" s="14" t="str">
        <f aca="false">IF($D587&lt;&gt;1,"",IF($AI587=1,0,MAX($J587,ROUNDUP(MAX($R587/$H587,$S587/$I587),0))))</f>
        <v/>
      </c>
      <c r="U587" s="14" t="str">
        <f aca="false">IF($D587&lt;&gt;1,"",IF(p_mode="Nœud",$T587*$H587,$R587))</f>
        <v/>
      </c>
      <c r="V587" s="14" t="str">
        <f aca="false">IF($D587&lt;&gt;1,"",IF(p_mode="Nœud",$T587*$I587,$S587))</f>
        <v/>
      </c>
      <c r="W587" s="84" t="str">
        <f aca="false">IF($D587&lt;&gt;1,"",IF(p_mode="Nœud",$T587*$K587,$R587*IF($G587="IKS",p_iks_cpu,p_roks_cpu)+$S587*IF($G587="IKS",p_iks_ram,p_roks_ram))*p_facteur)</f>
        <v/>
      </c>
      <c r="X587" s="14" t="str">
        <f aca="false">IF($D587&lt;&gt;1,"",IF($G587="ROKS",$R587,IF($AI587=1,0,MAX($N587,$L587-SUMIFS(TblApplications[CPU IKS libérable (vCPU)],TblApplications[Cluster IKS source],$F587,TblApplications[Action],"À migrer",TblApplications[Mois prov (calc)],"&lt;="&amp;$E587)-SUMIFS(TblApplications[CPU IKS libérable (vCPU)],TblApplications[Cluster IKS source],$F587,TblApplications[Action],"À décommissionner",TblApplications[Mois lib (calc)],"&lt;="&amp;$E587)))))</f>
        <v/>
      </c>
      <c r="Y587" s="14" t="str">
        <f aca="false">IF($D587&lt;&gt;1,"",IF($G587="ROKS",$S587,IF($AI587=1,0,MAX($O587,$M587-SUMIFS(TblApplications[RAM IKS libérable (Go)],TblApplications[Cluster IKS source],$F587,TblApplications[Action],"À migrer",TblApplications[Mois prov (calc)],"&lt;="&amp;$E587)-SUMIFS(TblApplications[RAM IKS libérable (Go)],TblApplications[Cluster IKS source],$F587,TblApplications[Action],"À décommissionner",TblApplications[Mois lib (calc)],"&lt;="&amp;$E587)))))</f>
        <v/>
      </c>
      <c r="Z587" s="14" t="str">
        <f aca="false">IF($D587&lt;&gt;1,"",IF($AI587=1,0,MAX($J587,ROUNDUP(MAX($X587/$H587,$Y587/$I587),0))))</f>
        <v/>
      </c>
      <c r="AA587" s="84" t="str">
        <f aca="false">IF($D587&lt;&gt;1,"",IF(p_mode="Nœud",$Z587*$K587,$X587*IF($G587="IKS",p_iks_cpu,p_roks_cpu)+$Y587*IF($G587="IKS",p_iks_ram,p_roks_ram))*p_facteur)</f>
        <v/>
      </c>
      <c r="AB587" s="14" t="str">
        <f aca="false">IF($D587&lt;&gt;1,"",MAX($J587,ROUNDUP(MAX($L587/$H587,$M587/$I587),0)))</f>
        <v/>
      </c>
      <c r="AC587" s="84" t="str">
        <f aca="false">IF($D587&lt;&gt;1,"",IF(p_mode="Nœud",$AB587*$K587,$L587*IF($G587="IKS",p_iks_cpu,p_roks_cpu)+$M587*IF($G587="IKS",p_iks_ram,p_roks_ram))*p_facteur)</f>
        <v/>
      </c>
      <c r="AD587" s="14" t="str">
        <f aca="false">IF($D587&lt;&gt;1,"",IF(AND($G587="IKS",$AI587&lt;&gt;1,OR($L587-$P587&lt;$N587,$M587-$Q587&lt;$O587)),1,0))</f>
        <v/>
      </c>
      <c r="AE587" s="14" t="str">
        <f aca="false">IF($D587&lt;&gt;1,"",IF(AND($G587="ROKS",$T587&gt;p_maxworkers),1,0))</f>
        <v/>
      </c>
      <c r="AF587" s="14" t="str">
        <f aca="false">IF($D587&lt;&gt;1,"",IF(INDEX(TblClusters[Environnement],$B587)="","(vide)",INDEX(TblClusters[Environnement],$B587)))</f>
        <v/>
      </c>
      <c r="AG587" s="14" t="str">
        <f aca="false">IF($D587&lt;&gt;1,"",$R587+p_poidsram*$S587)</f>
        <v/>
      </c>
      <c r="AH587" s="14" t="str">
        <f aca="false">IF($D587&lt;&gt;1,"",IFERROR($W587/$AG587,0))</f>
        <v/>
      </c>
      <c r="AI587" s="14" t="str">
        <f aca="false">IF($D587&lt;&gt;1,"",IF(AND($G587="IKS",ISNUMBER(INDEX(TblClusters[Fermeture retenue],$B587))),IF($E587&gt;=INDEX(TblClusters[Fermeture retenue],$B587),1,0),0))</f>
        <v/>
      </c>
    </row>
    <row r="588" customFormat="false" ht="15" hidden="false" customHeight="false" outlineLevel="0" collapsed="false">
      <c r="A588" s="14" t="n">
        <v>583</v>
      </c>
      <c r="B588" s="14" t="n">
        <f aca="false">INT(($A588-1)/36)+1</f>
        <v>17</v>
      </c>
      <c r="C588" s="14" t="n">
        <f aca="false">MOD($A588-1,36)+1</f>
        <v>7</v>
      </c>
      <c r="D588" s="14" t="n">
        <f aca="false">IF($C588&gt;p_horizon,0,IFERROR(IF(AND(INDEX(TblClusters[Cluster],$B588)&lt;&gt;"",ISNUMBER(INDEX(TblClusters[CPU initial (vCPU)],$B588)),ISNUMBER(INDEX(TblClusters[CPU min (vCPU)],$B588)),OR(INDEX(TblClusters[Plateforme],$B588)="IKS",INDEX(TblClusters[Plateforme],$B588)="ROKS")),1,0),0))</f>
        <v>0</v>
      </c>
      <c r="E588" s="83" t="str">
        <f aca="false">IF($D588=1,EDATE(p_debut,$C588-1),"")</f>
        <v/>
      </c>
      <c r="F588" s="14" t="str">
        <f aca="false">IF($D588=1,INDEX(TblClusters[Cluster],$B588),"")</f>
        <v/>
      </c>
      <c r="G588" s="14" t="str">
        <f aca="false">IF($D588=1,INDEX(TblClusters[Plateforme],$B588),"")</f>
        <v/>
      </c>
      <c r="H588" s="14" t="str">
        <f aca="false">IF($D588=1,INDEX(TblClusters[vCPU par nœud],$B588),"")</f>
        <v/>
      </c>
      <c r="I588" s="14" t="str">
        <f aca="false">IF($D588=1,INDEX(TblClusters[RAM par nœud (Go)],$B588),"")</f>
        <v/>
      </c>
      <c r="J588" s="14" t="str">
        <f aca="false">IF($D588=1,INDEX(TblClusters[Workers min],$B588),"")</f>
        <v/>
      </c>
      <c r="K588" s="84" t="str">
        <f aca="false">IF($D588=1,INDEX(TblClusters[Tarif par nœud],$B588),"")</f>
        <v/>
      </c>
      <c r="L588" s="14" t="str">
        <f aca="false">IF($D588=1,INDEX(TblClusters[CPU initial (vCPU)],$B588),"")</f>
        <v/>
      </c>
      <c r="M588" s="14" t="str">
        <f aca="false">IF($D588=1,INDEX(TblClusters[RAM initiale (Go)],$B588),"")</f>
        <v/>
      </c>
      <c r="N588" s="14" t="str">
        <f aca="false">IF($D588=1,INDEX(TblClusters[CPU min (vCPU)],$B588),"")</f>
        <v/>
      </c>
      <c r="O588" s="14" t="str">
        <f aca="false">IF($D588=1,INDEX(TblClusters[RAM min (Go)],$B588),"")</f>
        <v/>
      </c>
      <c r="P588" s="14" t="str">
        <f aca="false">IF($D588&lt;&gt;1,"",IF($G588="ROKS",SUMIFS(TblApplications[Besoin ROKS CPU (vCPU)],TblApplications[Cluster ROKS cible],$F588,TblApplications[Action],"À migrer",TblApplications[Déjà incluse ROKS],"Non",TblApplications[Mois prov (calc)],"&lt;="&amp;$E588),SUMIFS(TblApplications[CPU IKS libérable (vCPU)],TblApplications[Cluster IKS source],$F588,TblApplications[Mois lib (calc)],"&lt;="&amp;$E588)))</f>
        <v/>
      </c>
      <c r="Q588" s="14" t="str">
        <f aca="false">IF($D588&lt;&gt;1,"",IF($G588="ROKS",SUMIFS(TblApplications[Besoin ROKS RAM (Go)],TblApplications[Cluster ROKS cible],$F588,TblApplications[Action],"À migrer",TblApplications[Déjà incluse ROKS],"Non",TblApplications[Mois prov (calc)],"&lt;="&amp;$E588),SUMIFS(TblApplications[RAM IKS libérable (Go)],TblApplications[Cluster IKS source],$F588,TblApplications[Mois lib (calc)],"&lt;="&amp;$E588)))</f>
        <v/>
      </c>
      <c r="R588" s="14" t="str">
        <f aca="false">IF($D588&lt;&gt;1,"",IF($G588="ROKS",$L588+$P588,IF($AI588=1,0,MAX($N588,$L588-$P588))))</f>
        <v/>
      </c>
      <c r="S588" s="14" t="str">
        <f aca="false">IF($D588&lt;&gt;1,"",IF($G588="ROKS",$M588+$Q588,IF($AI588=1,0,MAX($O588,$M588-$Q588))))</f>
        <v/>
      </c>
      <c r="T588" s="14" t="str">
        <f aca="false">IF($D588&lt;&gt;1,"",IF($AI588=1,0,MAX($J588,ROUNDUP(MAX($R588/$H588,$S588/$I588),0))))</f>
        <v/>
      </c>
      <c r="U588" s="14" t="str">
        <f aca="false">IF($D588&lt;&gt;1,"",IF(p_mode="Nœud",$T588*$H588,$R588))</f>
        <v/>
      </c>
      <c r="V588" s="14" t="str">
        <f aca="false">IF($D588&lt;&gt;1,"",IF(p_mode="Nœud",$T588*$I588,$S588))</f>
        <v/>
      </c>
      <c r="W588" s="84" t="str">
        <f aca="false">IF($D588&lt;&gt;1,"",IF(p_mode="Nœud",$T588*$K588,$R588*IF($G588="IKS",p_iks_cpu,p_roks_cpu)+$S588*IF($G588="IKS",p_iks_ram,p_roks_ram))*p_facteur)</f>
        <v/>
      </c>
      <c r="X588" s="14" t="str">
        <f aca="false">IF($D588&lt;&gt;1,"",IF($G588="ROKS",$R588,IF($AI588=1,0,MAX($N588,$L588-SUMIFS(TblApplications[CPU IKS libérable (vCPU)],TblApplications[Cluster IKS source],$F588,TblApplications[Action],"À migrer",TblApplications[Mois prov (calc)],"&lt;="&amp;$E588)-SUMIFS(TblApplications[CPU IKS libérable (vCPU)],TblApplications[Cluster IKS source],$F588,TblApplications[Action],"À décommissionner",TblApplications[Mois lib (calc)],"&lt;="&amp;$E588)))))</f>
        <v/>
      </c>
      <c r="Y588" s="14" t="str">
        <f aca="false">IF($D588&lt;&gt;1,"",IF($G588="ROKS",$S588,IF($AI588=1,0,MAX($O588,$M588-SUMIFS(TblApplications[RAM IKS libérable (Go)],TblApplications[Cluster IKS source],$F588,TblApplications[Action],"À migrer",TblApplications[Mois prov (calc)],"&lt;="&amp;$E588)-SUMIFS(TblApplications[RAM IKS libérable (Go)],TblApplications[Cluster IKS source],$F588,TblApplications[Action],"À décommissionner",TblApplications[Mois lib (calc)],"&lt;="&amp;$E588)))))</f>
        <v/>
      </c>
      <c r="Z588" s="14" t="str">
        <f aca="false">IF($D588&lt;&gt;1,"",IF($AI588=1,0,MAX($J588,ROUNDUP(MAX($X588/$H588,$Y588/$I588),0))))</f>
        <v/>
      </c>
      <c r="AA588" s="84" t="str">
        <f aca="false">IF($D588&lt;&gt;1,"",IF(p_mode="Nœud",$Z588*$K588,$X588*IF($G588="IKS",p_iks_cpu,p_roks_cpu)+$Y588*IF($G588="IKS",p_iks_ram,p_roks_ram))*p_facteur)</f>
        <v/>
      </c>
      <c r="AB588" s="14" t="str">
        <f aca="false">IF($D588&lt;&gt;1,"",MAX($J588,ROUNDUP(MAX($L588/$H588,$M588/$I588),0)))</f>
        <v/>
      </c>
      <c r="AC588" s="84" t="str">
        <f aca="false">IF($D588&lt;&gt;1,"",IF(p_mode="Nœud",$AB588*$K588,$L588*IF($G588="IKS",p_iks_cpu,p_roks_cpu)+$M588*IF($G588="IKS",p_iks_ram,p_roks_ram))*p_facteur)</f>
        <v/>
      </c>
      <c r="AD588" s="14" t="str">
        <f aca="false">IF($D588&lt;&gt;1,"",IF(AND($G588="IKS",$AI588&lt;&gt;1,OR($L588-$P588&lt;$N588,$M588-$Q588&lt;$O588)),1,0))</f>
        <v/>
      </c>
      <c r="AE588" s="14" t="str">
        <f aca="false">IF($D588&lt;&gt;1,"",IF(AND($G588="ROKS",$T588&gt;p_maxworkers),1,0))</f>
        <v/>
      </c>
      <c r="AF588" s="14" t="str">
        <f aca="false">IF($D588&lt;&gt;1,"",IF(INDEX(TblClusters[Environnement],$B588)="","(vide)",INDEX(TblClusters[Environnement],$B588)))</f>
        <v/>
      </c>
      <c r="AG588" s="14" t="str">
        <f aca="false">IF($D588&lt;&gt;1,"",$R588+p_poidsram*$S588)</f>
        <v/>
      </c>
      <c r="AH588" s="14" t="str">
        <f aca="false">IF($D588&lt;&gt;1,"",IFERROR($W588/$AG588,0))</f>
        <v/>
      </c>
      <c r="AI588" s="14" t="str">
        <f aca="false">IF($D588&lt;&gt;1,"",IF(AND($G588="IKS",ISNUMBER(INDEX(TblClusters[Fermeture retenue],$B588))),IF($E588&gt;=INDEX(TblClusters[Fermeture retenue],$B588),1,0),0))</f>
        <v/>
      </c>
    </row>
    <row r="589" customFormat="false" ht="15" hidden="false" customHeight="false" outlineLevel="0" collapsed="false">
      <c r="A589" s="14" t="n">
        <v>584</v>
      </c>
      <c r="B589" s="14" t="n">
        <f aca="false">INT(($A589-1)/36)+1</f>
        <v>17</v>
      </c>
      <c r="C589" s="14" t="n">
        <f aca="false">MOD($A589-1,36)+1</f>
        <v>8</v>
      </c>
      <c r="D589" s="14" t="n">
        <f aca="false">IF($C589&gt;p_horizon,0,IFERROR(IF(AND(INDEX(TblClusters[Cluster],$B589)&lt;&gt;"",ISNUMBER(INDEX(TblClusters[CPU initial (vCPU)],$B589)),ISNUMBER(INDEX(TblClusters[CPU min (vCPU)],$B589)),OR(INDEX(TblClusters[Plateforme],$B589)="IKS",INDEX(TblClusters[Plateforme],$B589)="ROKS")),1,0),0))</f>
        <v>0</v>
      </c>
      <c r="E589" s="83" t="str">
        <f aca="false">IF($D589=1,EDATE(p_debut,$C589-1),"")</f>
        <v/>
      </c>
      <c r="F589" s="14" t="str">
        <f aca="false">IF($D589=1,INDEX(TblClusters[Cluster],$B589),"")</f>
        <v/>
      </c>
      <c r="G589" s="14" t="str">
        <f aca="false">IF($D589=1,INDEX(TblClusters[Plateforme],$B589),"")</f>
        <v/>
      </c>
      <c r="H589" s="14" t="str">
        <f aca="false">IF($D589=1,INDEX(TblClusters[vCPU par nœud],$B589),"")</f>
        <v/>
      </c>
      <c r="I589" s="14" t="str">
        <f aca="false">IF($D589=1,INDEX(TblClusters[RAM par nœud (Go)],$B589),"")</f>
        <v/>
      </c>
      <c r="J589" s="14" t="str">
        <f aca="false">IF($D589=1,INDEX(TblClusters[Workers min],$B589),"")</f>
        <v/>
      </c>
      <c r="K589" s="84" t="str">
        <f aca="false">IF($D589=1,INDEX(TblClusters[Tarif par nœud],$B589),"")</f>
        <v/>
      </c>
      <c r="L589" s="14" t="str">
        <f aca="false">IF($D589=1,INDEX(TblClusters[CPU initial (vCPU)],$B589),"")</f>
        <v/>
      </c>
      <c r="M589" s="14" t="str">
        <f aca="false">IF($D589=1,INDEX(TblClusters[RAM initiale (Go)],$B589),"")</f>
        <v/>
      </c>
      <c r="N589" s="14" t="str">
        <f aca="false">IF($D589=1,INDEX(TblClusters[CPU min (vCPU)],$B589),"")</f>
        <v/>
      </c>
      <c r="O589" s="14" t="str">
        <f aca="false">IF($D589=1,INDEX(TblClusters[RAM min (Go)],$B589),"")</f>
        <v/>
      </c>
      <c r="P589" s="14" t="str">
        <f aca="false">IF($D589&lt;&gt;1,"",IF($G589="ROKS",SUMIFS(TblApplications[Besoin ROKS CPU (vCPU)],TblApplications[Cluster ROKS cible],$F589,TblApplications[Action],"À migrer",TblApplications[Déjà incluse ROKS],"Non",TblApplications[Mois prov (calc)],"&lt;="&amp;$E589),SUMIFS(TblApplications[CPU IKS libérable (vCPU)],TblApplications[Cluster IKS source],$F589,TblApplications[Mois lib (calc)],"&lt;="&amp;$E589)))</f>
        <v/>
      </c>
      <c r="Q589" s="14" t="str">
        <f aca="false">IF($D589&lt;&gt;1,"",IF($G589="ROKS",SUMIFS(TblApplications[Besoin ROKS RAM (Go)],TblApplications[Cluster ROKS cible],$F589,TblApplications[Action],"À migrer",TblApplications[Déjà incluse ROKS],"Non",TblApplications[Mois prov (calc)],"&lt;="&amp;$E589),SUMIFS(TblApplications[RAM IKS libérable (Go)],TblApplications[Cluster IKS source],$F589,TblApplications[Mois lib (calc)],"&lt;="&amp;$E589)))</f>
        <v/>
      </c>
      <c r="R589" s="14" t="str">
        <f aca="false">IF($D589&lt;&gt;1,"",IF($G589="ROKS",$L589+$P589,IF($AI589=1,0,MAX($N589,$L589-$P589))))</f>
        <v/>
      </c>
      <c r="S589" s="14" t="str">
        <f aca="false">IF($D589&lt;&gt;1,"",IF($G589="ROKS",$M589+$Q589,IF($AI589=1,0,MAX($O589,$M589-$Q589))))</f>
        <v/>
      </c>
      <c r="T589" s="14" t="str">
        <f aca="false">IF($D589&lt;&gt;1,"",IF($AI589=1,0,MAX($J589,ROUNDUP(MAX($R589/$H589,$S589/$I589),0))))</f>
        <v/>
      </c>
      <c r="U589" s="14" t="str">
        <f aca="false">IF($D589&lt;&gt;1,"",IF(p_mode="Nœud",$T589*$H589,$R589))</f>
        <v/>
      </c>
      <c r="V589" s="14" t="str">
        <f aca="false">IF($D589&lt;&gt;1,"",IF(p_mode="Nœud",$T589*$I589,$S589))</f>
        <v/>
      </c>
      <c r="W589" s="84" t="str">
        <f aca="false">IF($D589&lt;&gt;1,"",IF(p_mode="Nœud",$T589*$K589,$R589*IF($G589="IKS",p_iks_cpu,p_roks_cpu)+$S589*IF($G589="IKS",p_iks_ram,p_roks_ram))*p_facteur)</f>
        <v/>
      </c>
      <c r="X589" s="14" t="str">
        <f aca="false">IF($D589&lt;&gt;1,"",IF($G589="ROKS",$R589,IF($AI589=1,0,MAX($N589,$L589-SUMIFS(TblApplications[CPU IKS libérable (vCPU)],TblApplications[Cluster IKS source],$F589,TblApplications[Action],"À migrer",TblApplications[Mois prov (calc)],"&lt;="&amp;$E589)-SUMIFS(TblApplications[CPU IKS libérable (vCPU)],TblApplications[Cluster IKS source],$F589,TblApplications[Action],"À décommissionner",TblApplications[Mois lib (calc)],"&lt;="&amp;$E589)))))</f>
        <v/>
      </c>
      <c r="Y589" s="14" t="str">
        <f aca="false">IF($D589&lt;&gt;1,"",IF($G589="ROKS",$S589,IF($AI589=1,0,MAX($O589,$M589-SUMIFS(TblApplications[RAM IKS libérable (Go)],TblApplications[Cluster IKS source],$F589,TblApplications[Action],"À migrer",TblApplications[Mois prov (calc)],"&lt;="&amp;$E589)-SUMIFS(TblApplications[RAM IKS libérable (Go)],TblApplications[Cluster IKS source],$F589,TblApplications[Action],"À décommissionner",TblApplications[Mois lib (calc)],"&lt;="&amp;$E589)))))</f>
        <v/>
      </c>
      <c r="Z589" s="14" t="str">
        <f aca="false">IF($D589&lt;&gt;1,"",IF($AI589=1,0,MAX($J589,ROUNDUP(MAX($X589/$H589,$Y589/$I589),0))))</f>
        <v/>
      </c>
      <c r="AA589" s="84" t="str">
        <f aca="false">IF($D589&lt;&gt;1,"",IF(p_mode="Nœud",$Z589*$K589,$X589*IF($G589="IKS",p_iks_cpu,p_roks_cpu)+$Y589*IF($G589="IKS",p_iks_ram,p_roks_ram))*p_facteur)</f>
        <v/>
      </c>
      <c r="AB589" s="14" t="str">
        <f aca="false">IF($D589&lt;&gt;1,"",MAX($J589,ROUNDUP(MAX($L589/$H589,$M589/$I589),0)))</f>
        <v/>
      </c>
      <c r="AC589" s="84" t="str">
        <f aca="false">IF($D589&lt;&gt;1,"",IF(p_mode="Nœud",$AB589*$K589,$L589*IF($G589="IKS",p_iks_cpu,p_roks_cpu)+$M589*IF($G589="IKS",p_iks_ram,p_roks_ram))*p_facteur)</f>
        <v/>
      </c>
      <c r="AD589" s="14" t="str">
        <f aca="false">IF($D589&lt;&gt;1,"",IF(AND($G589="IKS",$AI589&lt;&gt;1,OR($L589-$P589&lt;$N589,$M589-$Q589&lt;$O589)),1,0))</f>
        <v/>
      </c>
      <c r="AE589" s="14" t="str">
        <f aca="false">IF($D589&lt;&gt;1,"",IF(AND($G589="ROKS",$T589&gt;p_maxworkers),1,0))</f>
        <v/>
      </c>
      <c r="AF589" s="14" t="str">
        <f aca="false">IF($D589&lt;&gt;1,"",IF(INDEX(TblClusters[Environnement],$B589)="","(vide)",INDEX(TblClusters[Environnement],$B589)))</f>
        <v/>
      </c>
      <c r="AG589" s="14" t="str">
        <f aca="false">IF($D589&lt;&gt;1,"",$R589+p_poidsram*$S589)</f>
        <v/>
      </c>
      <c r="AH589" s="14" t="str">
        <f aca="false">IF($D589&lt;&gt;1,"",IFERROR($W589/$AG589,0))</f>
        <v/>
      </c>
      <c r="AI589" s="14" t="str">
        <f aca="false">IF($D589&lt;&gt;1,"",IF(AND($G589="IKS",ISNUMBER(INDEX(TblClusters[Fermeture retenue],$B589))),IF($E589&gt;=INDEX(TblClusters[Fermeture retenue],$B589),1,0),0))</f>
        <v/>
      </c>
    </row>
    <row r="590" customFormat="false" ht="15" hidden="false" customHeight="false" outlineLevel="0" collapsed="false">
      <c r="A590" s="14" t="n">
        <v>585</v>
      </c>
      <c r="B590" s="14" t="n">
        <f aca="false">INT(($A590-1)/36)+1</f>
        <v>17</v>
      </c>
      <c r="C590" s="14" t="n">
        <f aca="false">MOD($A590-1,36)+1</f>
        <v>9</v>
      </c>
      <c r="D590" s="14" t="n">
        <f aca="false">IF($C590&gt;p_horizon,0,IFERROR(IF(AND(INDEX(TblClusters[Cluster],$B590)&lt;&gt;"",ISNUMBER(INDEX(TblClusters[CPU initial (vCPU)],$B590)),ISNUMBER(INDEX(TblClusters[CPU min (vCPU)],$B590)),OR(INDEX(TblClusters[Plateforme],$B590)="IKS",INDEX(TblClusters[Plateforme],$B590)="ROKS")),1,0),0))</f>
        <v>0</v>
      </c>
      <c r="E590" s="83" t="str">
        <f aca="false">IF($D590=1,EDATE(p_debut,$C590-1),"")</f>
        <v/>
      </c>
      <c r="F590" s="14" t="str">
        <f aca="false">IF($D590=1,INDEX(TblClusters[Cluster],$B590),"")</f>
        <v/>
      </c>
      <c r="G590" s="14" t="str">
        <f aca="false">IF($D590=1,INDEX(TblClusters[Plateforme],$B590),"")</f>
        <v/>
      </c>
      <c r="H590" s="14" t="str">
        <f aca="false">IF($D590=1,INDEX(TblClusters[vCPU par nœud],$B590),"")</f>
        <v/>
      </c>
      <c r="I590" s="14" t="str">
        <f aca="false">IF($D590=1,INDEX(TblClusters[RAM par nœud (Go)],$B590),"")</f>
        <v/>
      </c>
      <c r="J590" s="14" t="str">
        <f aca="false">IF($D590=1,INDEX(TblClusters[Workers min],$B590),"")</f>
        <v/>
      </c>
      <c r="K590" s="84" t="str">
        <f aca="false">IF($D590=1,INDEX(TblClusters[Tarif par nœud],$B590),"")</f>
        <v/>
      </c>
      <c r="L590" s="14" t="str">
        <f aca="false">IF($D590=1,INDEX(TblClusters[CPU initial (vCPU)],$B590),"")</f>
        <v/>
      </c>
      <c r="M590" s="14" t="str">
        <f aca="false">IF($D590=1,INDEX(TblClusters[RAM initiale (Go)],$B590),"")</f>
        <v/>
      </c>
      <c r="N590" s="14" t="str">
        <f aca="false">IF($D590=1,INDEX(TblClusters[CPU min (vCPU)],$B590),"")</f>
        <v/>
      </c>
      <c r="O590" s="14" t="str">
        <f aca="false">IF($D590=1,INDEX(TblClusters[RAM min (Go)],$B590),"")</f>
        <v/>
      </c>
      <c r="P590" s="14" t="str">
        <f aca="false">IF($D590&lt;&gt;1,"",IF($G590="ROKS",SUMIFS(TblApplications[Besoin ROKS CPU (vCPU)],TblApplications[Cluster ROKS cible],$F590,TblApplications[Action],"À migrer",TblApplications[Déjà incluse ROKS],"Non",TblApplications[Mois prov (calc)],"&lt;="&amp;$E590),SUMIFS(TblApplications[CPU IKS libérable (vCPU)],TblApplications[Cluster IKS source],$F590,TblApplications[Mois lib (calc)],"&lt;="&amp;$E590)))</f>
        <v/>
      </c>
      <c r="Q590" s="14" t="str">
        <f aca="false">IF($D590&lt;&gt;1,"",IF($G590="ROKS",SUMIFS(TblApplications[Besoin ROKS RAM (Go)],TblApplications[Cluster ROKS cible],$F590,TblApplications[Action],"À migrer",TblApplications[Déjà incluse ROKS],"Non",TblApplications[Mois prov (calc)],"&lt;="&amp;$E590),SUMIFS(TblApplications[RAM IKS libérable (Go)],TblApplications[Cluster IKS source],$F590,TblApplications[Mois lib (calc)],"&lt;="&amp;$E590)))</f>
        <v/>
      </c>
      <c r="R590" s="14" t="str">
        <f aca="false">IF($D590&lt;&gt;1,"",IF($G590="ROKS",$L590+$P590,IF($AI590=1,0,MAX($N590,$L590-$P590))))</f>
        <v/>
      </c>
      <c r="S590" s="14" t="str">
        <f aca="false">IF($D590&lt;&gt;1,"",IF($G590="ROKS",$M590+$Q590,IF($AI590=1,0,MAX($O590,$M590-$Q590))))</f>
        <v/>
      </c>
      <c r="T590" s="14" t="str">
        <f aca="false">IF($D590&lt;&gt;1,"",IF($AI590=1,0,MAX($J590,ROUNDUP(MAX($R590/$H590,$S590/$I590),0))))</f>
        <v/>
      </c>
      <c r="U590" s="14" t="str">
        <f aca="false">IF($D590&lt;&gt;1,"",IF(p_mode="Nœud",$T590*$H590,$R590))</f>
        <v/>
      </c>
      <c r="V590" s="14" t="str">
        <f aca="false">IF($D590&lt;&gt;1,"",IF(p_mode="Nœud",$T590*$I590,$S590))</f>
        <v/>
      </c>
      <c r="W590" s="84" t="str">
        <f aca="false">IF($D590&lt;&gt;1,"",IF(p_mode="Nœud",$T590*$K590,$R590*IF($G590="IKS",p_iks_cpu,p_roks_cpu)+$S590*IF($G590="IKS",p_iks_ram,p_roks_ram))*p_facteur)</f>
        <v/>
      </c>
      <c r="X590" s="14" t="str">
        <f aca="false">IF($D590&lt;&gt;1,"",IF($G590="ROKS",$R590,IF($AI590=1,0,MAX($N590,$L590-SUMIFS(TblApplications[CPU IKS libérable (vCPU)],TblApplications[Cluster IKS source],$F590,TblApplications[Action],"À migrer",TblApplications[Mois prov (calc)],"&lt;="&amp;$E590)-SUMIFS(TblApplications[CPU IKS libérable (vCPU)],TblApplications[Cluster IKS source],$F590,TblApplications[Action],"À décommissionner",TblApplications[Mois lib (calc)],"&lt;="&amp;$E590)))))</f>
        <v/>
      </c>
      <c r="Y590" s="14" t="str">
        <f aca="false">IF($D590&lt;&gt;1,"",IF($G590="ROKS",$S590,IF($AI590=1,0,MAX($O590,$M590-SUMIFS(TblApplications[RAM IKS libérable (Go)],TblApplications[Cluster IKS source],$F590,TblApplications[Action],"À migrer",TblApplications[Mois prov (calc)],"&lt;="&amp;$E590)-SUMIFS(TblApplications[RAM IKS libérable (Go)],TblApplications[Cluster IKS source],$F590,TblApplications[Action],"À décommissionner",TblApplications[Mois lib (calc)],"&lt;="&amp;$E590)))))</f>
        <v/>
      </c>
      <c r="Z590" s="14" t="str">
        <f aca="false">IF($D590&lt;&gt;1,"",IF($AI590=1,0,MAX($J590,ROUNDUP(MAX($X590/$H590,$Y590/$I590),0))))</f>
        <v/>
      </c>
      <c r="AA590" s="84" t="str">
        <f aca="false">IF($D590&lt;&gt;1,"",IF(p_mode="Nœud",$Z590*$K590,$X590*IF($G590="IKS",p_iks_cpu,p_roks_cpu)+$Y590*IF($G590="IKS",p_iks_ram,p_roks_ram))*p_facteur)</f>
        <v/>
      </c>
      <c r="AB590" s="14" t="str">
        <f aca="false">IF($D590&lt;&gt;1,"",MAX($J590,ROUNDUP(MAX($L590/$H590,$M590/$I590),0)))</f>
        <v/>
      </c>
      <c r="AC590" s="84" t="str">
        <f aca="false">IF($D590&lt;&gt;1,"",IF(p_mode="Nœud",$AB590*$K590,$L590*IF($G590="IKS",p_iks_cpu,p_roks_cpu)+$M590*IF($G590="IKS",p_iks_ram,p_roks_ram))*p_facteur)</f>
        <v/>
      </c>
      <c r="AD590" s="14" t="str">
        <f aca="false">IF($D590&lt;&gt;1,"",IF(AND($G590="IKS",$AI590&lt;&gt;1,OR($L590-$P590&lt;$N590,$M590-$Q590&lt;$O590)),1,0))</f>
        <v/>
      </c>
      <c r="AE590" s="14" t="str">
        <f aca="false">IF($D590&lt;&gt;1,"",IF(AND($G590="ROKS",$T590&gt;p_maxworkers),1,0))</f>
        <v/>
      </c>
      <c r="AF590" s="14" t="str">
        <f aca="false">IF($D590&lt;&gt;1,"",IF(INDEX(TblClusters[Environnement],$B590)="","(vide)",INDEX(TblClusters[Environnement],$B590)))</f>
        <v/>
      </c>
      <c r="AG590" s="14" t="str">
        <f aca="false">IF($D590&lt;&gt;1,"",$R590+p_poidsram*$S590)</f>
        <v/>
      </c>
      <c r="AH590" s="14" t="str">
        <f aca="false">IF($D590&lt;&gt;1,"",IFERROR($W590/$AG590,0))</f>
        <v/>
      </c>
      <c r="AI590" s="14" t="str">
        <f aca="false">IF($D590&lt;&gt;1,"",IF(AND($G590="IKS",ISNUMBER(INDEX(TblClusters[Fermeture retenue],$B590))),IF($E590&gt;=INDEX(TblClusters[Fermeture retenue],$B590),1,0),0))</f>
        <v/>
      </c>
    </row>
    <row r="591" customFormat="false" ht="15" hidden="false" customHeight="false" outlineLevel="0" collapsed="false">
      <c r="A591" s="14" t="n">
        <v>586</v>
      </c>
      <c r="B591" s="14" t="n">
        <f aca="false">INT(($A591-1)/36)+1</f>
        <v>17</v>
      </c>
      <c r="C591" s="14" t="n">
        <f aca="false">MOD($A591-1,36)+1</f>
        <v>10</v>
      </c>
      <c r="D591" s="14" t="n">
        <f aca="false">IF($C591&gt;p_horizon,0,IFERROR(IF(AND(INDEX(TblClusters[Cluster],$B591)&lt;&gt;"",ISNUMBER(INDEX(TblClusters[CPU initial (vCPU)],$B591)),ISNUMBER(INDEX(TblClusters[CPU min (vCPU)],$B591)),OR(INDEX(TblClusters[Plateforme],$B591)="IKS",INDEX(TblClusters[Plateforme],$B591)="ROKS")),1,0),0))</f>
        <v>0</v>
      </c>
      <c r="E591" s="83" t="str">
        <f aca="false">IF($D591=1,EDATE(p_debut,$C591-1),"")</f>
        <v/>
      </c>
      <c r="F591" s="14" t="str">
        <f aca="false">IF($D591=1,INDEX(TblClusters[Cluster],$B591),"")</f>
        <v/>
      </c>
      <c r="G591" s="14" t="str">
        <f aca="false">IF($D591=1,INDEX(TblClusters[Plateforme],$B591),"")</f>
        <v/>
      </c>
      <c r="H591" s="14" t="str">
        <f aca="false">IF($D591=1,INDEX(TblClusters[vCPU par nœud],$B591),"")</f>
        <v/>
      </c>
      <c r="I591" s="14" t="str">
        <f aca="false">IF($D591=1,INDEX(TblClusters[RAM par nœud (Go)],$B591),"")</f>
        <v/>
      </c>
      <c r="J591" s="14" t="str">
        <f aca="false">IF($D591=1,INDEX(TblClusters[Workers min],$B591),"")</f>
        <v/>
      </c>
      <c r="K591" s="84" t="str">
        <f aca="false">IF($D591=1,INDEX(TblClusters[Tarif par nœud],$B591),"")</f>
        <v/>
      </c>
      <c r="L591" s="14" t="str">
        <f aca="false">IF($D591=1,INDEX(TblClusters[CPU initial (vCPU)],$B591),"")</f>
        <v/>
      </c>
      <c r="M591" s="14" t="str">
        <f aca="false">IF($D591=1,INDEX(TblClusters[RAM initiale (Go)],$B591),"")</f>
        <v/>
      </c>
      <c r="N591" s="14" t="str">
        <f aca="false">IF($D591=1,INDEX(TblClusters[CPU min (vCPU)],$B591),"")</f>
        <v/>
      </c>
      <c r="O591" s="14" t="str">
        <f aca="false">IF($D591=1,INDEX(TblClusters[RAM min (Go)],$B591),"")</f>
        <v/>
      </c>
      <c r="P591" s="14" t="str">
        <f aca="false">IF($D591&lt;&gt;1,"",IF($G591="ROKS",SUMIFS(TblApplications[Besoin ROKS CPU (vCPU)],TblApplications[Cluster ROKS cible],$F591,TblApplications[Action],"À migrer",TblApplications[Déjà incluse ROKS],"Non",TblApplications[Mois prov (calc)],"&lt;="&amp;$E591),SUMIFS(TblApplications[CPU IKS libérable (vCPU)],TblApplications[Cluster IKS source],$F591,TblApplications[Mois lib (calc)],"&lt;="&amp;$E591)))</f>
        <v/>
      </c>
      <c r="Q591" s="14" t="str">
        <f aca="false">IF($D591&lt;&gt;1,"",IF($G591="ROKS",SUMIFS(TblApplications[Besoin ROKS RAM (Go)],TblApplications[Cluster ROKS cible],$F591,TblApplications[Action],"À migrer",TblApplications[Déjà incluse ROKS],"Non",TblApplications[Mois prov (calc)],"&lt;="&amp;$E591),SUMIFS(TblApplications[RAM IKS libérable (Go)],TblApplications[Cluster IKS source],$F591,TblApplications[Mois lib (calc)],"&lt;="&amp;$E591)))</f>
        <v/>
      </c>
      <c r="R591" s="14" t="str">
        <f aca="false">IF($D591&lt;&gt;1,"",IF($G591="ROKS",$L591+$P591,IF($AI591=1,0,MAX($N591,$L591-$P591))))</f>
        <v/>
      </c>
      <c r="S591" s="14" t="str">
        <f aca="false">IF($D591&lt;&gt;1,"",IF($G591="ROKS",$M591+$Q591,IF($AI591=1,0,MAX($O591,$M591-$Q591))))</f>
        <v/>
      </c>
      <c r="T591" s="14" t="str">
        <f aca="false">IF($D591&lt;&gt;1,"",IF($AI591=1,0,MAX($J591,ROUNDUP(MAX($R591/$H591,$S591/$I591),0))))</f>
        <v/>
      </c>
      <c r="U591" s="14" t="str">
        <f aca="false">IF($D591&lt;&gt;1,"",IF(p_mode="Nœud",$T591*$H591,$R591))</f>
        <v/>
      </c>
      <c r="V591" s="14" t="str">
        <f aca="false">IF($D591&lt;&gt;1,"",IF(p_mode="Nœud",$T591*$I591,$S591))</f>
        <v/>
      </c>
      <c r="W591" s="84" t="str">
        <f aca="false">IF($D591&lt;&gt;1,"",IF(p_mode="Nœud",$T591*$K591,$R591*IF($G591="IKS",p_iks_cpu,p_roks_cpu)+$S591*IF($G591="IKS",p_iks_ram,p_roks_ram))*p_facteur)</f>
        <v/>
      </c>
      <c r="X591" s="14" t="str">
        <f aca="false">IF($D591&lt;&gt;1,"",IF($G591="ROKS",$R591,IF($AI591=1,0,MAX($N591,$L591-SUMIFS(TblApplications[CPU IKS libérable (vCPU)],TblApplications[Cluster IKS source],$F591,TblApplications[Action],"À migrer",TblApplications[Mois prov (calc)],"&lt;="&amp;$E591)-SUMIFS(TblApplications[CPU IKS libérable (vCPU)],TblApplications[Cluster IKS source],$F591,TblApplications[Action],"À décommissionner",TblApplications[Mois lib (calc)],"&lt;="&amp;$E591)))))</f>
        <v/>
      </c>
      <c r="Y591" s="14" t="str">
        <f aca="false">IF($D591&lt;&gt;1,"",IF($G591="ROKS",$S591,IF($AI591=1,0,MAX($O591,$M591-SUMIFS(TblApplications[RAM IKS libérable (Go)],TblApplications[Cluster IKS source],$F591,TblApplications[Action],"À migrer",TblApplications[Mois prov (calc)],"&lt;="&amp;$E591)-SUMIFS(TblApplications[RAM IKS libérable (Go)],TblApplications[Cluster IKS source],$F591,TblApplications[Action],"À décommissionner",TblApplications[Mois lib (calc)],"&lt;="&amp;$E591)))))</f>
        <v/>
      </c>
      <c r="Z591" s="14" t="str">
        <f aca="false">IF($D591&lt;&gt;1,"",IF($AI591=1,0,MAX($J591,ROUNDUP(MAX($X591/$H591,$Y591/$I591),0))))</f>
        <v/>
      </c>
      <c r="AA591" s="84" t="str">
        <f aca="false">IF($D591&lt;&gt;1,"",IF(p_mode="Nœud",$Z591*$K591,$X591*IF($G591="IKS",p_iks_cpu,p_roks_cpu)+$Y591*IF($G591="IKS",p_iks_ram,p_roks_ram))*p_facteur)</f>
        <v/>
      </c>
      <c r="AB591" s="14" t="str">
        <f aca="false">IF($D591&lt;&gt;1,"",MAX($J591,ROUNDUP(MAX($L591/$H591,$M591/$I591),0)))</f>
        <v/>
      </c>
      <c r="AC591" s="84" t="str">
        <f aca="false">IF($D591&lt;&gt;1,"",IF(p_mode="Nœud",$AB591*$K591,$L591*IF($G591="IKS",p_iks_cpu,p_roks_cpu)+$M591*IF($G591="IKS",p_iks_ram,p_roks_ram))*p_facteur)</f>
        <v/>
      </c>
      <c r="AD591" s="14" t="str">
        <f aca="false">IF($D591&lt;&gt;1,"",IF(AND($G591="IKS",$AI591&lt;&gt;1,OR($L591-$P591&lt;$N591,$M591-$Q591&lt;$O591)),1,0))</f>
        <v/>
      </c>
      <c r="AE591" s="14" t="str">
        <f aca="false">IF($D591&lt;&gt;1,"",IF(AND($G591="ROKS",$T591&gt;p_maxworkers),1,0))</f>
        <v/>
      </c>
      <c r="AF591" s="14" t="str">
        <f aca="false">IF($D591&lt;&gt;1,"",IF(INDEX(TblClusters[Environnement],$B591)="","(vide)",INDEX(TblClusters[Environnement],$B591)))</f>
        <v/>
      </c>
      <c r="AG591" s="14" t="str">
        <f aca="false">IF($D591&lt;&gt;1,"",$R591+p_poidsram*$S591)</f>
        <v/>
      </c>
      <c r="AH591" s="14" t="str">
        <f aca="false">IF($D591&lt;&gt;1,"",IFERROR($W591/$AG591,0))</f>
        <v/>
      </c>
      <c r="AI591" s="14" t="str">
        <f aca="false">IF($D591&lt;&gt;1,"",IF(AND($G591="IKS",ISNUMBER(INDEX(TblClusters[Fermeture retenue],$B591))),IF($E591&gt;=INDEX(TblClusters[Fermeture retenue],$B591),1,0),0))</f>
        <v/>
      </c>
    </row>
    <row r="592" customFormat="false" ht="15" hidden="false" customHeight="false" outlineLevel="0" collapsed="false">
      <c r="A592" s="14" t="n">
        <v>587</v>
      </c>
      <c r="B592" s="14" t="n">
        <f aca="false">INT(($A592-1)/36)+1</f>
        <v>17</v>
      </c>
      <c r="C592" s="14" t="n">
        <f aca="false">MOD($A592-1,36)+1</f>
        <v>11</v>
      </c>
      <c r="D592" s="14" t="n">
        <f aca="false">IF($C592&gt;p_horizon,0,IFERROR(IF(AND(INDEX(TblClusters[Cluster],$B592)&lt;&gt;"",ISNUMBER(INDEX(TblClusters[CPU initial (vCPU)],$B592)),ISNUMBER(INDEX(TblClusters[CPU min (vCPU)],$B592)),OR(INDEX(TblClusters[Plateforme],$B592)="IKS",INDEX(TblClusters[Plateforme],$B592)="ROKS")),1,0),0))</f>
        <v>0</v>
      </c>
      <c r="E592" s="83" t="str">
        <f aca="false">IF($D592=1,EDATE(p_debut,$C592-1),"")</f>
        <v/>
      </c>
      <c r="F592" s="14" t="str">
        <f aca="false">IF($D592=1,INDEX(TblClusters[Cluster],$B592),"")</f>
        <v/>
      </c>
      <c r="G592" s="14" t="str">
        <f aca="false">IF($D592=1,INDEX(TblClusters[Plateforme],$B592),"")</f>
        <v/>
      </c>
      <c r="H592" s="14" t="str">
        <f aca="false">IF($D592=1,INDEX(TblClusters[vCPU par nœud],$B592),"")</f>
        <v/>
      </c>
      <c r="I592" s="14" t="str">
        <f aca="false">IF($D592=1,INDEX(TblClusters[RAM par nœud (Go)],$B592),"")</f>
        <v/>
      </c>
      <c r="J592" s="14" t="str">
        <f aca="false">IF($D592=1,INDEX(TblClusters[Workers min],$B592),"")</f>
        <v/>
      </c>
      <c r="K592" s="84" t="str">
        <f aca="false">IF($D592=1,INDEX(TblClusters[Tarif par nœud],$B592),"")</f>
        <v/>
      </c>
      <c r="L592" s="14" t="str">
        <f aca="false">IF($D592=1,INDEX(TblClusters[CPU initial (vCPU)],$B592),"")</f>
        <v/>
      </c>
      <c r="M592" s="14" t="str">
        <f aca="false">IF($D592=1,INDEX(TblClusters[RAM initiale (Go)],$B592),"")</f>
        <v/>
      </c>
      <c r="N592" s="14" t="str">
        <f aca="false">IF($D592=1,INDEX(TblClusters[CPU min (vCPU)],$B592),"")</f>
        <v/>
      </c>
      <c r="O592" s="14" t="str">
        <f aca="false">IF($D592=1,INDEX(TblClusters[RAM min (Go)],$B592),"")</f>
        <v/>
      </c>
      <c r="P592" s="14" t="str">
        <f aca="false">IF($D592&lt;&gt;1,"",IF($G592="ROKS",SUMIFS(TblApplications[Besoin ROKS CPU (vCPU)],TblApplications[Cluster ROKS cible],$F592,TblApplications[Action],"À migrer",TblApplications[Déjà incluse ROKS],"Non",TblApplications[Mois prov (calc)],"&lt;="&amp;$E592),SUMIFS(TblApplications[CPU IKS libérable (vCPU)],TblApplications[Cluster IKS source],$F592,TblApplications[Mois lib (calc)],"&lt;="&amp;$E592)))</f>
        <v/>
      </c>
      <c r="Q592" s="14" t="str">
        <f aca="false">IF($D592&lt;&gt;1,"",IF($G592="ROKS",SUMIFS(TblApplications[Besoin ROKS RAM (Go)],TblApplications[Cluster ROKS cible],$F592,TblApplications[Action],"À migrer",TblApplications[Déjà incluse ROKS],"Non",TblApplications[Mois prov (calc)],"&lt;="&amp;$E592),SUMIFS(TblApplications[RAM IKS libérable (Go)],TblApplications[Cluster IKS source],$F592,TblApplications[Mois lib (calc)],"&lt;="&amp;$E592)))</f>
        <v/>
      </c>
      <c r="R592" s="14" t="str">
        <f aca="false">IF($D592&lt;&gt;1,"",IF($G592="ROKS",$L592+$P592,IF($AI592=1,0,MAX($N592,$L592-$P592))))</f>
        <v/>
      </c>
      <c r="S592" s="14" t="str">
        <f aca="false">IF($D592&lt;&gt;1,"",IF($G592="ROKS",$M592+$Q592,IF($AI592=1,0,MAX($O592,$M592-$Q592))))</f>
        <v/>
      </c>
      <c r="T592" s="14" t="str">
        <f aca="false">IF($D592&lt;&gt;1,"",IF($AI592=1,0,MAX($J592,ROUNDUP(MAX($R592/$H592,$S592/$I592),0))))</f>
        <v/>
      </c>
      <c r="U592" s="14" t="str">
        <f aca="false">IF($D592&lt;&gt;1,"",IF(p_mode="Nœud",$T592*$H592,$R592))</f>
        <v/>
      </c>
      <c r="V592" s="14" t="str">
        <f aca="false">IF($D592&lt;&gt;1,"",IF(p_mode="Nœud",$T592*$I592,$S592))</f>
        <v/>
      </c>
      <c r="W592" s="84" t="str">
        <f aca="false">IF($D592&lt;&gt;1,"",IF(p_mode="Nœud",$T592*$K592,$R592*IF($G592="IKS",p_iks_cpu,p_roks_cpu)+$S592*IF($G592="IKS",p_iks_ram,p_roks_ram))*p_facteur)</f>
        <v/>
      </c>
      <c r="X592" s="14" t="str">
        <f aca="false">IF($D592&lt;&gt;1,"",IF($G592="ROKS",$R592,IF($AI592=1,0,MAX($N592,$L592-SUMIFS(TblApplications[CPU IKS libérable (vCPU)],TblApplications[Cluster IKS source],$F592,TblApplications[Action],"À migrer",TblApplications[Mois prov (calc)],"&lt;="&amp;$E592)-SUMIFS(TblApplications[CPU IKS libérable (vCPU)],TblApplications[Cluster IKS source],$F592,TblApplications[Action],"À décommissionner",TblApplications[Mois lib (calc)],"&lt;="&amp;$E592)))))</f>
        <v/>
      </c>
      <c r="Y592" s="14" t="str">
        <f aca="false">IF($D592&lt;&gt;1,"",IF($G592="ROKS",$S592,IF($AI592=1,0,MAX($O592,$M592-SUMIFS(TblApplications[RAM IKS libérable (Go)],TblApplications[Cluster IKS source],$F592,TblApplications[Action],"À migrer",TblApplications[Mois prov (calc)],"&lt;="&amp;$E592)-SUMIFS(TblApplications[RAM IKS libérable (Go)],TblApplications[Cluster IKS source],$F592,TblApplications[Action],"À décommissionner",TblApplications[Mois lib (calc)],"&lt;="&amp;$E592)))))</f>
        <v/>
      </c>
      <c r="Z592" s="14" t="str">
        <f aca="false">IF($D592&lt;&gt;1,"",IF($AI592=1,0,MAX($J592,ROUNDUP(MAX($X592/$H592,$Y592/$I592),0))))</f>
        <v/>
      </c>
      <c r="AA592" s="84" t="str">
        <f aca="false">IF($D592&lt;&gt;1,"",IF(p_mode="Nœud",$Z592*$K592,$X592*IF($G592="IKS",p_iks_cpu,p_roks_cpu)+$Y592*IF($G592="IKS",p_iks_ram,p_roks_ram))*p_facteur)</f>
        <v/>
      </c>
      <c r="AB592" s="14" t="str">
        <f aca="false">IF($D592&lt;&gt;1,"",MAX($J592,ROUNDUP(MAX($L592/$H592,$M592/$I592),0)))</f>
        <v/>
      </c>
      <c r="AC592" s="84" t="str">
        <f aca="false">IF($D592&lt;&gt;1,"",IF(p_mode="Nœud",$AB592*$K592,$L592*IF($G592="IKS",p_iks_cpu,p_roks_cpu)+$M592*IF($G592="IKS",p_iks_ram,p_roks_ram))*p_facteur)</f>
        <v/>
      </c>
      <c r="AD592" s="14" t="str">
        <f aca="false">IF($D592&lt;&gt;1,"",IF(AND($G592="IKS",$AI592&lt;&gt;1,OR($L592-$P592&lt;$N592,$M592-$Q592&lt;$O592)),1,0))</f>
        <v/>
      </c>
      <c r="AE592" s="14" t="str">
        <f aca="false">IF($D592&lt;&gt;1,"",IF(AND($G592="ROKS",$T592&gt;p_maxworkers),1,0))</f>
        <v/>
      </c>
      <c r="AF592" s="14" t="str">
        <f aca="false">IF($D592&lt;&gt;1,"",IF(INDEX(TblClusters[Environnement],$B592)="","(vide)",INDEX(TblClusters[Environnement],$B592)))</f>
        <v/>
      </c>
      <c r="AG592" s="14" t="str">
        <f aca="false">IF($D592&lt;&gt;1,"",$R592+p_poidsram*$S592)</f>
        <v/>
      </c>
      <c r="AH592" s="14" t="str">
        <f aca="false">IF($D592&lt;&gt;1,"",IFERROR($W592/$AG592,0))</f>
        <v/>
      </c>
      <c r="AI592" s="14" t="str">
        <f aca="false">IF($D592&lt;&gt;1,"",IF(AND($G592="IKS",ISNUMBER(INDEX(TblClusters[Fermeture retenue],$B592))),IF($E592&gt;=INDEX(TblClusters[Fermeture retenue],$B592),1,0),0))</f>
        <v/>
      </c>
    </row>
    <row r="593" customFormat="false" ht="15" hidden="false" customHeight="false" outlineLevel="0" collapsed="false">
      <c r="A593" s="14" t="n">
        <v>588</v>
      </c>
      <c r="B593" s="14" t="n">
        <f aca="false">INT(($A593-1)/36)+1</f>
        <v>17</v>
      </c>
      <c r="C593" s="14" t="n">
        <f aca="false">MOD($A593-1,36)+1</f>
        <v>12</v>
      </c>
      <c r="D593" s="14" t="n">
        <f aca="false">IF($C593&gt;p_horizon,0,IFERROR(IF(AND(INDEX(TblClusters[Cluster],$B593)&lt;&gt;"",ISNUMBER(INDEX(TblClusters[CPU initial (vCPU)],$B593)),ISNUMBER(INDEX(TblClusters[CPU min (vCPU)],$B593)),OR(INDEX(TblClusters[Plateforme],$B593)="IKS",INDEX(TblClusters[Plateforme],$B593)="ROKS")),1,0),0))</f>
        <v>0</v>
      </c>
      <c r="E593" s="83" t="str">
        <f aca="false">IF($D593=1,EDATE(p_debut,$C593-1),"")</f>
        <v/>
      </c>
      <c r="F593" s="14" t="str">
        <f aca="false">IF($D593=1,INDEX(TblClusters[Cluster],$B593),"")</f>
        <v/>
      </c>
      <c r="G593" s="14" t="str">
        <f aca="false">IF($D593=1,INDEX(TblClusters[Plateforme],$B593),"")</f>
        <v/>
      </c>
      <c r="H593" s="14" t="str">
        <f aca="false">IF($D593=1,INDEX(TblClusters[vCPU par nœud],$B593),"")</f>
        <v/>
      </c>
      <c r="I593" s="14" t="str">
        <f aca="false">IF($D593=1,INDEX(TblClusters[RAM par nœud (Go)],$B593),"")</f>
        <v/>
      </c>
      <c r="J593" s="14" t="str">
        <f aca="false">IF($D593=1,INDEX(TblClusters[Workers min],$B593),"")</f>
        <v/>
      </c>
      <c r="K593" s="84" t="str">
        <f aca="false">IF($D593=1,INDEX(TblClusters[Tarif par nœud],$B593),"")</f>
        <v/>
      </c>
      <c r="L593" s="14" t="str">
        <f aca="false">IF($D593=1,INDEX(TblClusters[CPU initial (vCPU)],$B593),"")</f>
        <v/>
      </c>
      <c r="M593" s="14" t="str">
        <f aca="false">IF($D593=1,INDEX(TblClusters[RAM initiale (Go)],$B593),"")</f>
        <v/>
      </c>
      <c r="N593" s="14" t="str">
        <f aca="false">IF($D593=1,INDEX(TblClusters[CPU min (vCPU)],$B593),"")</f>
        <v/>
      </c>
      <c r="O593" s="14" t="str">
        <f aca="false">IF($D593=1,INDEX(TblClusters[RAM min (Go)],$B593),"")</f>
        <v/>
      </c>
      <c r="P593" s="14" t="str">
        <f aca="false">IF($D593&lt;&gt;1,"",IF($G593="ROKS",SUMIFS(TblApplications[Besoin ROKS CPU (vCPU)],TblApplications[Cluster ROKS cible],$F593,TblApplications[Action],"À migrer",TblApplications[Déjà incluse ROKS],"Non",TblApplications[Mois prov (calc)],"&lt;="&amp;$E593),SUMIFS(TblApplications[CPU IKS libérable (vCPU)],TblApplications[Cluster IKS source],$F593,TblApplications[Mois lib (calc)],"&lt;="&amp;$E593)))</f>
        <v/>
      </c>
      <c r="Q593" s="14" t="str">
        <f aca="false">IF($D593&lt;&gt;1,"",IF($G593="ROKS",SUMIFS(TblApplications[Besoin ROKS RAM (Go)],TblApplications[Cluster ROKS cible],$F593,TblApplications[Action],"À migrer",TblApplications[Déjà incluse ROKS],"Non",TblApplications[Mois prov (calc)],"&lt;="&amp;$E593),SUMIFS(TblApplications[RAM IKS libérable (Go)],TblApplications[Cluster IKS source],$F593,TblApplications[Mois lib (calc)],"&lt;="&amp;$E593)))</f>
        <v/>
      </c>
      <c r="R593" s="14" t="str">
        <f aca="false">IF($D593&lt;&gt;1,"",IF($G593="ROKS",$L593+$P593,IF($AI593=1,0,MAX($N593,$L593-$P593))))</f>
        <v/>
      </c>
      <c r="S593" s="14" t="str">
        <f aca="false">IF($D593&lt;&gt;1,"",IF($G593="ROKS",$M593+$Q593,IF($AI593=1,0,MAX($O593,$M593-$Q593))))</f>
        <v/>
      </c>
      <c r="T593" s="14" t="str">
        <f aca="false">IF($D593&lt;&gt;1,"",IF($AI593=1,0,MAX($J593,ROUNDUP(MAX($R593/$H593,$S593/$I593),0))))</f>
        <v/>
      </c>
      <c r="U593" s="14" t="str">
        <f aca="false">IF($D593&lt;&gt;1,"",IF(p_mode="Nœud",$T593*$H593,$R593))</f>
        <v/>
      </c>
      <c r="V593" s="14" t="str">
        <f aca="false">IF($D593&lt;&gt;1,"",IF(p_mode="Nœud",$T593*$I593,$S593))</f>
        <v/>
      </c>
      <c r="W593" s="84" t="str">
        <f aca="false">IF($D593&lt;&gt;1,"",IF(p_mode="Nœud",$T593*$K593,$R593*IF($G593="IKS",p_iks_cpu,p_roks_cpu)+$S593*IF($G593="IKS",p_iks_ram,p_roks_ram))*p_facteur)</f>
        <v/>
      </c>
      <c r="X593" s="14" t="str">
        <f aca="false">IF($D593&lt;&gt;1,"",IF($G593="ROKS",$R593,IF($AI593=1,0,MAX($N593,$L593-SUMIFS(TblApplications[CPU IKS libérable (vCPU)],TblApplications[Cluster IKS source],$F593,TblApplications[Action],"À migrer",TblApplications[Mois prov (calc)],"&lt;="&amp;$E593)-SUMIFS(TblApplications[CPU IKS libérable (vCPU)],TblApplications[Cluster IKS source],$F593,TblApplications[Action],"À décommissionner",TblApplications[Mois lib (calc)],"&lt;="&amp;$E593)))))</f>
        <v/>
      </c>
      <c r="Y593" s="14" t="str">
        <f aca="false">IF($D593&lt;&gt;1,"",IF($G593="ROKS",$S593,IF($AI593=1,0,MAX($O593,$M593-SUMIFS(TblApplications[RAM IKS libérable (Go)],TblApplications[Cluster IKS source],$F593,TblApplications[Action],"À migrer",TblApplications[Mois prov (calc)],"&lt;="&amp;$E593)-SUMIFS(TblApplications[RAM IKS libérable (Go)],TblApplications[Cluster IKS source],$F593,TblApplications[Action],"À décommissionner",TblApplications[Mois lib (calc)],"&lt;="&amp;$E593)))))</f>
        <v/>
      </c>
      <c r="Z593" s="14" t="str">
        <f aca="false">IF($D593&lt;&gt;1,"",IF($AI593=1,0,MAX($J593,ROUNDUP(MAX($X593/$H593,$Y593/$I593),0))))</f>
        <v/>
      </c>
      <c r="AA593" s="84" t="str">
        <f aca="false">IF($D593&lt;&gt;1,"",IF(p_mode="Nœud",$Z593*$K593,$X593*IF($G593="IKS",p_iks_cpu,p_roks_cpu)+$Y593*IF($G593="IKS",p_iks_ram,p_roks_ram))*p_facteur)</f>
        <v/>
      </c>
      <c r="AB593" s="14" t="str">
        <f aca="false">IF($D593&lt;&gt;1,"",MAX($J593,ROUNDUP(MAX($L593/$H593,$M593/$I593),0)))</f>
        <v/>
      </c>
      <c r="AC593" s="84" t="str">
        <f aca="false">IF($D593&lt;&gt;1,"",IF(p_mode="Nœud",$AB593*$K593,$L593*IF($G593="IKS",p_iks_cpu,p_roks_cpu)+$M593*IF($G593="IKS",p_iks_ram,p_roks_ram))*p_facteur)</f>
        <v/>
      </c>
      <c r="AD593" s="14" t="str">
        <f aca="false">IF($D593&lt;&gt;1,"",IF(AND($G593="IKS",$AI593&lt;&gt;1,OR($L593-$P593&lt;$N593,$M593-$Q593&lt;$O593)),1,0))</f>
        <v/>
      </c>
      <c r="AE593" s="14" t="str">
        <f aca="false">IF($D593&lt;&gt;1,"",IF(AND($G593="ROKS",$T593&gt;p_maxworkers),1,0))</f>
        <v/>
      </c>
      <c r="AF593" s="14" t="str">
        <f aca="false">IF($D593&lt;&gt;1,"",IF(INDEX(TblClusters[Environnement],$B593)="","(vide)",INDEX(TblClusters[Environnement],$B593)))</f>
        <v/>
      </c>
      <c r="AG593" s="14" t="str">
        <f aca="false">IF($D593&lt;&gt;1,"",$R593+p_poidsram*$S593)</f>
        <v/>
      </c>
      <c r="AH593" s="14" t="str">
        <f aca="false">IF($D593&lt;&gt;1,"",IFERROR($W593/$AG593,0))</f>
        <v/>
      </c>
      <c r="AI593" s="14" t="str">
        <f aca="false">IF($D593&lt;&gt;1,"",IF(AND($G593="IKS",ISNUMBER(INDEX(TblClusters[Fermeture retenue],$B593))),IF($E593&gt;=INDEX(TblClusters[Fermeture retenue],$B593),1,0),0))</f>
        <v/>
      </c>
    </row>
    <row r="594" customFormat="false" ht="15" hidden="false" customHeight="false" outlineLevel="0" collapsed="false">
      <c r="A594" s="14" t="n">
        <v>589</v>
      </c>
      <c r="B594" s="14" t="n">
        <f aca="false">INT(($A594-1)/36)+1</f>
        <v>17</v>
      </c>
      <c r="C594" s="14" t="n">
        <f aca="false">MOD($A594-1,36)+1</f>
        <v>13</v>
      </c>
      <c r="D594" s="14" t="n">
        <f aca="false">IF($C594&gt;p_horizon,0,IFERROR(IF(AND(INDEX(TblClusters[Cluster],$B594)&lt;&gt;"",ISNUMBER(INDEX(TblClusters[CPU initial (vCPU)],$B594)),ISNUMBER(INDEX(TblClusters[CPU min (vCPU)],$B594)),OR(INDEX(TblClusters[Plateforme],$B594)="IKS",INDEX(TblClusters[Plateforme],$B594)="ROKS")),1,0),0))</f>
        <v>0</v>
      </c>
      <c r="E594" s="83" t="str">
        <f aca="false">IF($D594=1,EDATE(p_debut,$C594-1),"")</f>
        <v/>
      </c>
      <c r="F594" s="14" t="str">
        <f aca="false">IF($D594=1,INDEX(TblClusters[Cluster],$B594),"")</f>
        <v/>
      </c>
      <c r="G594" s="14" t="str">
        <f aca="false">IF($D594=1,INDEX(TblClusters[Plateforme],$B594),"")</f>
        <v/>
      </c>
      <c r="H594" s="14" t="str">
        <f aca="false">IF($D594=1,INDEX(TblClusters[vCPU par nœud],$B594),"")</f>
        <v/>
      </c>
      <c r="I594" s="14" t="str">
        <f aca="false">IF($D594=1,INDEX(TblClusters[RAM par nœud (Go)],$B594),"")</f>
        <v/>
      </c>
      <c r="J594" s="14" t="str">
        <f aca="false">IF($D594=1,INDEX(TblClusters[Workers min],$B594),"")</f>
        <v/>
      </c>
      <c r="K594" s="84" t="str">
        <f aca="false">IF($D594=1,INDEX(TblClusters[Tarif par nœud],$B594),"")</f>
        <v/>
      </c>
      <c r="L594" s="14" t="str">
        <f aca="false">IF($D594=1,INDEX(TblClusters[CPU initial (vCPU)],$B594),"")</f>
        <v/>
      </c>
      <c r="M594" s="14" t="str">
        <f aca="false">IF($D594=1,INDEX(TblClusters[RAM initiale (Go)],$B594),"")</f>
        <v/>
      </c>
      <c r="N594" s="14" t="str">
        <f aca="false">IF($D594=1,INDEX(TblClusters[CPU min (vCPU)],$B594),"")</f>
        <v/>
      </c>
      <c r="O594" s="14" t="str">
        <f aca="false">IF($D594=1,INDEX(TblClusters[RAM min (Go)],$B594),"")</f>
        <v/>
      </c>
      <c r="P594" s="14" t="str">
        <f aca="false">IF($D594&lt;&gt;1,"",IF($G594="ROKS",SUMIFS(TblApplications[Besoin ROKS CPU (vCPU)],TblApplications[Cluster ROKS cible],$F594,TblApplications[Action],"À migrer",TblApplications[Déjà incluse ROKS],"Non",TblApplications[Mois prov (calc)],"&lt;="&amp;$E594),SUMIFS(TblApplications[CPU IKS libérable (vCPU)],TblApplications[Cluster IKS source],$F594,TblApplications[Mois lib (calc)],"&lt;="&amp;$E594)))</f>
        <v/>
      </c>
      <c r="Q594" s="14" t="str">
        <f aca="false">IF($D594&lt;&gt;1,"",IF($G594="ROKS",SUMIFS(TblApplications[Besoin ROKS RAM (Go)],TblApplications[Cluster ROKS cible],$F594,TblApplications[Action],"À migrer",TblApplications[Déjà incluse ROKS],"Non",TblApplications[Mois prov (calc)],"&lt;="&amp;$E594),SUMIFS(TblApplications[RAM IKS libérable (Go)],TblApplications[Cluster IKS source],$F594,TblApplications[Mois lib (calc)],"&lt;="&amp;$E594)))</f>
        <v/>
      </c>
      <c r="R594" s="14" t="str">
        <f aca="false">IF($D594&lt;&gt;1,"",IF($G594="ROKS",$L594+$P594,IF($AI594=1,0,MAX($N594,$L594-$P594))))</f>
        <v/>
      </c>
      <c r="S594" s="14" t="str">
        <f aca="false">IF($D594&lt;&gt;1,"",IF($G594="ROKS",$M594+$Q594,IF($AI594=1,0,MAX($O594,$M594-$Q594))))</f>
        <v/>
      </c>
      <c r="T594" s="14" t="str">
        <f aca="false">IF($D594&lt;&gt;1,"",IF($AI594=1,0,MAX($J594,ROUNDUP(MAX($R594/$H594,$S594/$I594),0))))</f>
        <v/>
      </c>
      <c r="U594" s="14" t="str">
        <f aca="false">IF($D594&lt;&gt;1,"",IF(p_mode="Nœud",$T594*$H594,$R594))</f>
        <v/>
      </c>
      <c r="V594" s="14" t="str">
        <f aca="false">IF($D594&lt;&gt;1,"",IF(p_mode="Nœud",$T594*$I594,$S594))</f>
        <v/>
      </c>
      <c r="W594" s="84" t="str">
        <f aca="false">IF($D594&lt;&gt;1,"",IF(p_mode="Nœud",$T594*$K594,$R594*IF($G594="IKS",p_iks_cpu,p_roks_cpu)+$S594*IF($G594="IKS",p_iks_ram,p_roks_ram))*p_facteur)</f>
        <v/>
      </c>
      <c r="X594" s="14" t="str">
        <f aca="false">IF($D594&lt;&gt;1,"",IF($G594="ROKS",$R594,IF($AI594=1,0,MAX($N594,$L594-SUMIFS(TblApplications[CPU IKS libérable (vCPU)],TblApplications[Cluster IKS source],$F594,TblApplications[Action],"À migrer",TblApplications[Mois prov (calc)],"&lt;="&amp;$E594)-SUMIFS(TblApplications[CPU IKS libérable (vCPU)],TblApplications[Cluster IKS source],$F594,TblApplications[Action],"À décommissionner",TblApplications[Mois lib (calc)],"&lt;="&amp;$E594)))))</f>
        <v/>
      </c>
      <c r="Y594" s="14" t="str">
        <f aca="false">IF($D594&lt;&gt;1,"",IF($G594="ROKS",$S594,IF($AI594=1,0,MAX($O594,$M594-SUMIFS(TblApplications[RAM IKS libérable (Go)],TblApplications[Cluster IKS source],$F594,TblApplications[Action],"À migrer",TblApplications[Mois prov (calc)],"&lt;="&amp;$E594)-SUMIFS(TblApplications[RAM IKS libérable (Go)],TblApplications[Cluster IKS source],$F594,TblApplications[Action],"À décommissionner",TblApplications[Mois lib (calc)],"&lt;="&amp;$E594)))))</f>
        <v/>
      </c>
      <c r="Z594" s="14" t="str">
        <f aca="false">IF($D594&lt;&gt;1,"",IF($AI594=1,0,MAX($J594,ROUNDUP(MAX($X594/$H594,$Y594/$I594),0))))</f>
        <v/>
      </c>
      <c r="AA594" s="84" t="str">
        <f aca="false">IF($D594&lt;&gt;1,"",IF(p_mode="Nœud",$Z594*$K594,$X594*IF($G594="IKS",p_iks_cpu,p_roks_cpu)+$Y594*IF($G594="IKS",p_iks_ram,p_roks_ram))*p_facteur)</f>
        <v/>
      </c>
      <c r="AB594" s="14" t="str">
        <f aca="false">IF($D594&lt;&gt;1,"",MAX($J594,ROUNDUP(MAX($L594/$H594,$M594/$I594),0)))</f>
        <v/>
      </c>
      <c r="AC594" s="84" t="str">
        <f aca="false">IF($D594&lt;&gt;1,"",IF(p_mode="Nœud",$AB594*$K594,$L594*IF($G594="IKS",p_iks_cpu,p_roks_cpu)+$M594*IF($G594="IKS",p_iks_ram,p_roks_ram))*p_facteur)</f>
        <v/>
      </c>
      <c r="AD594" s="14" t="str">
        <f aca="false">IF($D594&lt;&gt;1,"",IF(AND($G594="IKS",$AI594&lt;&gt;1,OR($L594-$P594&lt;$N594,$M594-$Q594&lt;$O594)),1,0))</f>
        <v/>
      </c>
      <c r="AE594" s="14" t="str">
        <f aca="false">IF($D594&lt;&gt;1,"",IF(AND($G594="ROKS",$T594&gt;p_maxworkers),1,0))</f>
        <v/>
      </c>
      <c r="AF594" s="14" t="str">
        <f aca="false">IF($D594&lt;&gt;1,"",IF(INDEX(TblClusters[Environnement],$B594)="","(vide)",INDEX(TblClusters[Environnement],$B594)))</f>
        <v/>
      </c>
      <c r="AG594" s="14" t="str">
        <f aca="false">IF($D594&lt;&gt;1,"",$R594+p_poidsram*$S594)</f>
        <v/>
      </c>
      <c r="AH594" s="14" t="str">
        <f aca="false">IF($D594&lt;&gt;1,"",IFERROR($W594/$AG594,0))</f>
        <v/>
      </c>
      <c r="AI594" s="14" t="str">
        <f aca="false">IF($D594&lt;&gt;1,"",IF(AND($G594="IKS",ISNUMBER(INDEX(TblClusters[Fermeture retenue],$B594))),IF($E594&gt;=INDEX(TblClusters[Fermeture retenue],$B594),1,0),0))</f>
        <v/>
      </c>
    </row>
    <row r="595" customFormat="false" ht="15" hidden="false" customHeight="false" outlineLevel="0" collapsed="false">
      <c r="A595" s="14" t="n">
        <v>590</v>
      </c>
      <c r="B595" s="14" t="n">
        <f aca="false">INT(($A595-1)/36)+1</f>
        <v>17</v>
      </c>
      <c r="C595" s="14" t="n">
        <f aca="false">MOD($A595-1,36)+1</f>
        <v>14</v>
      </c>
      <c r="D595" s="14" t="n">
        <f aca="false">IF($C595&gt;p_horizon,0,IFERROR(IF(AND(INDEX(TblClusters[Cluster],$B595)&lt;&gt;"",ISNUMBER(INDEX(TblClusters[CPU initial (vCPU)],$B595)),ISNUMBER(INDEX(TblClusters[CPU min (vCPU)],$B595)),OR(INDEX(TblClusters[Plateforme],$B595)="IKS",INDEX(TblClusters[Plateforme],$B595)="ROKS")),1,0),0))</f>
        <v>0</v>
      </c>
      <c r="E595" s="83" t="str">
        <f aca="false">IF($D595=1,EDATE(p_debut,$C595-1),"")</f>
        <v/>
      </c>
      <c r="F595" s="14" t="str">
        <f aca="false">IF($D595=1,INDEX(TblClusters[Cluster],$B595),"")</f>
        <v/>
      </c>
      <c r="G595" s="14" t="str">
        <f aca="false">IF($D595=1,INDEX(TblClusters[Plateforme],$B595),"")</f>
        <v/>
      </c>
      <c r="H595" s="14" t="str">
        <f aca="false">IF($D595=1,INDEX(TblClusters[vCPU par nœud],$B595),"")</f>
        <v/>
      </c>
      <c r="I595" s="14" t="str">
        <f aca="false">IF($D595=1,INDEX(TblClusters[RAM par nœud (Go)],$B595),"")</f>
        <v/>
      </c>
      <c r="J595" s="14" t="str">
        <f aca="false">IF($D595=1,INDEX(TblClusters[Workers min],$B595),"")</f>
        <v/>
      </c>
      <c r="K595" s="84" t="str">
        <f aca="false">IF($D595=1,INDEX(TblClusters[Tarif par nœud],$B595),"")</f>
        <v/>
      </c>
      <c r="L595" s="14" t="str">
        <f aca="false">IF($D595=1,INDEX(TblClusters[CPU initial (vCPU)],$B595),"")</f>
        <v/>
      </c>
      <c r="M595" s="14" t="str">
        <f aca="false">IF($D595=1,INDEX(TblClusters[RAM initiale (Go)],$B595),"")</f>
        <v/>
      </c>
      <c r="N595" s="14" t="str">
        <f aca="false">IF($D595=1,INDEX(TblClusters[CPU min (vCPU)],$B595),"")</f>
        <v/>
      </c>
      <c r="O595" s="14" t="str">
        <f aca="false">IF($D595=1,INDEX(TblClusters[RAM min (Go)],$B595),"")</f>
        <v/>
      </c>
      <c r="P595" s="14" t="str">
        <f aca="false">IF($D595&lt;&gt;1,"",IF($G595="ROKS",SUMIFS(TblApplications[Besoin ROKS CPU (vCPU)],TblApplications[Cluster ROKS cible],$F595,TblApplications[Action],"À migrer",TblApplications[Déjà incluse ROKS],"Non",TblApplications[Mois prov (calc)],"&lt;="&amp;$E595),SUMIFS(TblApplications[CPU IKS libérable (vCPU)],TblApplications[Cluster IKS source],$F595,TblApplications[Mois lib (calc)],"&lt;="&amp;$E595)))</f>
        <v/>
      </c>
      <c r="Q595" s="14" t="str">
        <f aca="false">IF($D595&lt;&gt;1,"",IF($G595="ROKS",SUMIFS(TblApplications[Besoin ROKS RAM (Go)],TblApplications[Cluster ROKS cible],$F595,TblApplications[Action],"À migrer",TblApplications[Déjà incluse ROKS],"Non",TblApplications[Mois prov (calc)],"&lt;="&amp;$E595),SUMIFS(TblApplications[RAM IKS libérable (Go)],TblApplications[Cluster IKS source],$F595,TblApplications[Mois lib (calc)],"&lt;="&amp;$E595)))</f>
        <v/>
      </c>
      <c r="R595" s="14" t="str">
        <f aca="false">IF($D595&lt;&gt;1,"",IF($G595="ROKS",$L595+$P595,IF($AI595=1,0,MAX($N595,$L595-$P595))))</f>
        <v/>
      </c>
      <c r="S595" s="14" t="str">
        <f aca="false">IF($D595&lt;&gt;1,"",IF($G595="ROKS",$M595+$Q595,IF($AI595=1,0,MAX($O595,$M595-$Q595))))</f>
        <v/>
      </c>
      <c r="T595" s="14" t="str">
        <f aca="false">IF($D595&lt;&gt;1,"",IF($AI595=1,0,MAX($J595,ROUNDUP(MAX($R595/$H595,$S595/$I595),0))))</f>
        <v/>
      </c>
      <c r="U595" s="14" t="str">
        <f aca="false">IF($D595&lt;&gt;1,"",IF(p_mode="Nœud",$T595*$H595,$R595))</f>
        <v/>
      </c>
      <c r="V595" s="14" t="str">
        <f aca="false">IF($D595&lt;&gt;1,"",IF(p_mode="Nœud",$T595*$I595,$S595))</f>
        <v/>
      </c>
      <c r="W595" s="84" t="str">
        <f aca="false">IF($D595&lt;&gt;1,"",IF(p_mode="Nœud",$T595*$K595,$R595*IF($G595="IKS",p_iks_cpu,p_roks_cpu)+$S595*IF($G595="IKS",p_iks_ram,p_roks_ram))*p_facteur)</f>
        <v/>
      </c>
      <c r="X595" s="14" t="str">
        <f aca="false">IF($D595&lt;&gt;1,"",IF($G595="ROKS",$R595,IF($AI595=1,0,MAX($N595,$L595-SUMIFS(TblApplications[CPU IKS libérable (vCPU)],TblApplications[Cluster IKS source],$F595,TblApplications[Action],"À migrer",TblApplications[Mois prov (calc)],"&lt;="&amp;$E595)-SUMIFS(TblApplications[CPU IKS libérable (vCPU)],TblApplications[Cluster IKS source],$F595,TblApplications[Action],"À décommissionner",TblApplications[Mois lib (calc)],"&lt;="&amp;$E595)))))</f>
        <v/>
      </c>
      <c r="Y595" s="14" t="str">
        <f aca="false">IF($D595&lt;&gt;1,"",IF($G595="ROKS",$S595,IF($AI595=1,0,MAX($O595,$M595-SUMIFS(TblApplications[RAM IKS libérable (Go)],TblApplications[Cluster IKS source],$F595,TblApplications[Action],"À migrer",TblApplications[Mois prov (calc)],"&lt;="&amp;$E595)-SUMIFS(TblApplications[RAM IKS libérable (Go)],TblApplications[Cluster IKS source],$F595,TblApplications[Action],"À décommissionner",TblApplications[Mois lib (calc)],"&lt;="&amp;$E595)))))</f>
        <v/>
      </c>
      <c r="Z595" s="14" t="str">
        <f aca="false">IF($D595&lt;&gt;1,"",IF($AI595=1,0,MAX($J595,ROUNDUP(MAX($X595/$H595,$Y595/$I595),0))))</f>
        <v/>
      </c>
      <c r="AA595" s="84" t="str">
        <f aca="false">IF($D595&lt;&gt;1,"",IF(p_mode="Nœud",$Z595*$K595,$X595*IF($G595="IKS",p_iks_cpu,p_roks_cpu)+$Y595*IF($G595="IKS",p_iks_ram,p_roks_ram))*p_facteur)</f>
        <v/>
      </c>
      <c r="AB595" s="14" t="str">
        <f aca="false">IF($D595&lt;&gt;1,"",MAX($J595,ROUNDUP(MAX($L595/$H595,$M595/$I595),0)))</f>
        <v/>
      </c>
      <c r="AC595" s="84" t="str">
        <f aca="false">IF($D595&lt;&gt;1,"",IF(p_mode="Nœud",$AB595*$K595,$L595*IF($G595="IKS",p_iks_cpu,p_roks_cpu)+$M595*IF($G595="IKS",p_iks_ram,p_roks_ram))*p_facteur)</f>
        <v/>
      </c>
      <c r="AD595" s="14" t="str">
        <f aca="false">IF($D595&lt;&gt;1,"",IF(AND($G595="IKS",$AI595&lt;&gt;1,OR($L595-$P595&lt;$N595,$M595-$Q595&lt;$O595)),1,0))</f>
        <v/>
      </c>
      <c r="AE595" s="14" t="str">
        <f aca="false">IF($D595&lt;&gt;1,"",IF(AND($G595="ROKS",$T595&gt;p_maxworkers),1,0))</f>
        <v/>
      </c>
      <c r="AF595" s="14" t="str">
        <f aca="false">IF($D595&lt;&gt;1,"",IF(INDEX(TblClusters[Environnement],$B595)="","(vide)",INDEX(TblClusters[Environnement],$B595)))</f>
        <v/>
      </c>
      <c r="AG595" s="14" t="str">
        <f aca="false">IF($D595&lt;&gt;1,"",$R595+p_poidsram*$S595)</f>
        <v/>
      </c>
      <c r="AH595" s="14" t="str">
        <f aca="false">IF($D595&lt;&gt;1,"",IFERROR($W595/$AG595,0))</f>
        <v/>
      </c>
      <c r="AI595" s="14" t="str">
        <f aca="false">IF($D595&lt;&gt;1,"",IF(AND($G595="IKS",ISNUMBER(INDEX(TblClusters[Fermeture retenue],$B595))),IF($E595&gt;=INDEX(TblClusters[Fermeture retenue],$B595),1,0),0))</f>
        <v/>
      </c>
    </row>
    <row r="596" customFormat="false" ht="15" hidden="false" customHeight="false" outlineLevel="0" collapsed="false">
      <c r="A596" s="14" t="n">
        <v>591</v>
      </c>
      <c r="B596" s="14" t="n">
        <f aca="false">INT(($A596-1)/36)+1</f>
        <v>17</v>
      </c>
      <c r="C596" s="14" t="n">
        <f aca="false">MOD($A596-1,36)+1</f>
        <v>15</v>
      </c>
      <c r="D596" s="14" t="n">
        <f aca="false">IF($C596&gt;p_horizon,0,IFERROR(IF(AND(INDEX(TblClusters[Cluster],$B596)&lt;&gt;"",ISNUMBER(INDEX(TblClusters[CPU initial (vCPU)],$B596)),ISNUMBER(INDEX(TblClusters[CPU min (vCPU)],$B596)),OR(INDEX(TblClusters[Plateforme],$B596)="IKS",INDEX(TblClusters[Plateforme],$B596)="ROKS")),1,0),0))</f>
        <v>0</v>
      </c>
      <c r="E596" s="83" t="str">
        <f aca="false">IF($D596=1,EDATE(p_debut,$C596-1),"")</f>
        <v/>
      </c>
      <c r="F596" s="14" t="str">
        <f aca="false">IF($D596=1,INDEX(TblClusters[Cluster],$B596),"")</f>
        <v/>
      </c>
      <c r="G596" s="14" t="str">
        <f aca="false">IF($D596=1,INDEX(TblClusters[Plateforme],$B596),"")</f>
        <v/>
      </c>
      <c r="H596" s="14" t="str">
        <f aca="false">IF($D596=1,INDEX(TblClusters[vCPU par nœud],$B596),"")</f>
        <v/>
      </c>
      <c r="I596" s="14" t="str">
        <f aca="false">IF($D596=1,INDEX(TblClusters[RAM par nœud (Go)],$B596),"")</f>
        <v/>
      </c>
      <c r="J596" s="14" t="str">
        <f aca="false">IF($D596=1,INDEX(TblClusters[Workers min],$B596),"")</f>
        <v/>
      </c>
      <c r="K596" s="84" t="str">
        <f aca="false">IF($D596=1,INDEX(TblClusters[Tarif par nœud],$B596),"")</f>
        <v/>
      </c>
      <c r="L596" s="14" t="str">
        <f aca="false">IF($D596=1,INDEX(TblClusters[CPU initial (vCPU)],$B596),"")</f>
        <v/>
      </c>
      <c r="M596" s="14" t="str">
        <f aca="false">IF($D596=1,INDEX(TblClusters[RAM initiale (Go)],$B596),"")</f>
        <v/>
      </c>
      <c r="N596" s="14" t="str">
        <f aca="false">IF($D596=1,INDEX(TblClusters[CPU min (vCPU)],$B596),"")</f>
        <v/>
      </c>
      <c r="O596" s="14" t="str">
        <f aca="false">IF($D596=1,INDEX(TblClusters[RAM min (Go)],$B596),"")</f>
        <v/>
      </c>
      <c r="P596" s="14" t="str">
        <f aca="false">IF($D596&lt;&gt;1,"",IF($G596="ROKS",SUMIFS(TblApplications[Besoin ROKS CPU (vCPU)],TblApplications[Cluster ROKS cible],$F596,TblApplications[Action],"À migrer",TblApplications[Déjà incluse ROKS],"Non",TblApplications[Mois prov (calc)],"&lt;="&amp;$E596),SUMIFS(TblApplications[CPU IKS libérable (vCPU)],TblApplications[Cluster IKS source],$F596,TblApplications[Mois lib (calc)],"&lt;="&amp;$E596)))</f>
        <v/>
      </c>
      <c r="Q596" s="14" t="str">
        <f aca="false">IF($D596&lt;&gt;1,"",IF($G596="ROKS",SUMIFS(TblApplications[Besoin ROKS RAM (Go)],TblApplications[Cluster ROKS cible],$F596,TblApplications[Action],"À migrer",TblApplications[Déjà incluse ROKS],"Non",TblApplications[Mois prov (calc)],"&lt;="&amp;$E596),SUMIFS(TblApplications[RAM IKS libérable (Go)],TblApplications[Cluster IKS source],$F596,TblApplications[Mois lib (calc)],"&lt;="&amp;$E596)))</f>
        <v/>
      </c>
      <c r="R596" s="14" t="str">
        <f aca="false">IF($D596&lt;&gt;1,"",IF($G596="ROKS",$L596+$P596,IF($AI596=1,0,MAX($N596,$L596-$P596))))</f>
        <v/>
      </c>
      <c r="S596" s="14" t="str">
        <f aca="false">IF($D596&lt;&gt;1,"",IF($G596="ROKS",$M596+$Q596,IF($AI596=1,0,MAX($O596,$M596-$Q596))))</f>
        <v/>
      </c>
      <c r="T596" s="14" t="str">
        <f aca="false">IF($D596&lt;&gt;1,"",IF($AI596=1,0,MAX($J596,ROUNDUP(MAX($R596/$H596,$S596/$I596),0))))</f>
        <v/>
      </c>
      <c r="U596" s="14" t="str">
        <f aca="false">IF($D596&lt;&gt;1,"",IF(p_mode="Nœud",$T596*$H596,$R596))</f>
        <v/>
      </c>
      <c r="V596" s="14" t="str">
        <f aca="false">IF($D596&lt;&gt;1,"",IF(p_mode="Nœud",$T596*$I596,$S596))</f>
        <v/>
      </c>
      <c r="W596" s="84" t="str">
        <f aca="false">IF($D596&lt;&gt;1,"",IF(p_mode="Nœud",$T596*$K596,$R596*IF($G596="IKS",p_iks_cpu,p_roks_cpu)+$S596*IF($G596="IKS",p_iks_ram,p_roks_ram))*p_facteur)</f>
        <v/>
      </c>
      <c r="X596" s="14" t="str">
        <f aca="false">IF($D596&lt;&gt;1,"",IF($G596="ROKS",$R596,IF($AI596=1,0,MAX($N596,$L596-SUMIFS(TblApplications[CPU IKS libérable (vCPU)],TblApplications[Cluster IKS source],$F596,TblApplications[Action],"À migrer",TblApplications[Mois prov (calc)],"&lt;="&amp;$E596)-SUMIFS(TblApplications[CPU IKS libérable (vCPU)],TblApplications[Cluster IKS source],$F596,TblApplications[Action],"À décommissionner",TblApplications[Mois lib (calc)],"&lt;="&amp;$E596)))))</f>
        <v/>
      </c>
      <c r="Y596" s="14" t="str">
        <f aca="false">IF($D596&lt;&gt;1,"",IF($G596="ROKS",$S596,IF($AI596=1,0,MAX($O596,$M596-SUMIFS(TblApplications[RAM IKS libérable (Go)],TblApplications[Cluster IKS source],$F596,TblApplications[Action],"À migrer",TblApplications[Mois prov (calc)],"&lt;="&amp;$E596)-SUMIFS(TblApplications[RAM IKS libérable (Go)],TblApplications[Cluster IKS source],$F596,TblApplications[Action],"À décommissionner",TblApplications[Mois lib (calc)],"&lt;="&amp;$E596)))))</f>
        <v/>
      </c>
      <c r="Z596" s="14" t="str">
        <f aca="false">IF($D596&lt;&gt;1,"",IF($AI596=1,0,MAX($J596,ROUNDUP(MAX($X596/$H596,$Y596/$I596),0))))</f>
        <v/>
      </c>
      <c r="AA596" s="84" t="str">
        <f aca="false">IF($D596&lt;&gt;1,"",IF(p_mode="Nœud",$Z596*$K596,$X596*IF($G596="IKS",p_iks_cpu,p_roks_cpu)+$Y596*IF($G596="IKS",p_iks_ram,p_roks_ram))*p_facteur)</f>
        <v/>
      </c>
      <c r="AB596" s="14" t="str">
        <f aca="false">IF($D596&lt;&gt;1,"",MAX($J596,ROUNDUP(MAX($L596/$H596,$M596/$I596),0)))</f>
        <v/>
      </c>
      <c r="AC596" s="84" t="str">
        <f aca="false">IF($D596&lt;&gt;1,"",IF(p_mode="Nœud",$AB596*$K596,$L596*IF($G596="IKS",p_iks_cpu,p_roks_cpu)+$M596*IF($G596="IKS",p_iks_ram,p_roks_ram))*p_facteur)</f>
        <v/>
      </c>
      <c r="AD596" s="14" t="str">
        <f aca="false">IF($D596&lt;&gt;1,"",IF(AND($G596="IKS",$AI596&lt;&gt;1,OR($L596-$P596&lt;$N596,$M596-$Q596&lt;$O596)),1,0))</f>
        <v/>
      </c>
      <c r="AE596" s="14" t="str">
        <f aca="false">IF($D596&lt;&gt;1,"",IF(AND($G596="ROKS",$T596&gt;p_maxworkers),1,0))</f>
        <v/>
      </c>
      <c r="AF596" s="14" t="str">
        <f aca="false">IF($D596&lt;&gt;1,"",IF(INDEX(TblClusters[Environnement],$B596)="","(vide)",INDEX(TblClusters[Environnement],$B596)))</f>
        <v/>
      </c>
      <c r="AG596" s="14" t="str">
        <f aca="false">IF($D596&lt;&gt;1,"",$R596+p_poidsram*$S596)</f>
        <v/>
      </c>
      <c r="AH596" s="14" t="str">
        <f aca="false">IF($D596&lt;&gt;1,"",IFERROR($W596/$AG596,0))</f>
        <v/>
      </c>
      <c r="AI596" s="14" t="str">
        <f aca="false">IF($D596&lt;&gt;1,"",IF(AND($G596="IKS",ISNUMBER(INDEX(TblClusters[Fermeture retenue],$B596))),IF($E596&gt;=INDEX(TblClusters[Fermeture retenue],$B596),1,0),0))</f>
        <v/>
      </c>
    </row>
    <row r="597" customFormat="false" ht="15" hidden="false" customHeight="false" outlineLevel="0" collapsed="false">
      <c r="A597" s="14" t="n">
        <v>592</v>
      </c>
      <c r="B597" s="14" t="n">
        <f aca="false">INT(($A597-1)/36)+1</f>
        <v>17</v>
      </c>
      <c r="C597" s="14" t="n">
        <f aca="false">MOD($A597-1,36)+1</f>
        <v>16</v>
      </c>
      <c r="D597" s="14" t="n">
        <f aca="false">IF($C597&gt;p_horizon,0,IFERROR(IF(AND(INDEX(TblClusters[Cluster],$B597)&lt;&gt;"",ISNUMBER(INDEX(TblClusters[CPU initial (vCPU)],$B597)),ISNUMBER(INDEX(TblClusters[CPU min (vCPU)],$B597)),OR(INDEX(TblClusters[Plateforme],$B597)="IKS",INDEX(TblClusters[Plateforme],$B597)="ROKS")),1,0),0))</f>
        <v>0</v>
      </c>
      <c r="E597" s="83" t="str">
        <f aca="false">IF($D597=1,EDATE(p_debut,$C597-1),"")</f>
        <v/>
      </c>
      <c r="F597" s="14" t="str">
        <f aca="false">IF($D597=1,INDEX(TblClusters[Cluster],$B597),"")</f>
        <v/>
      </c>
      <c r="G597" s="14" t="str">
        <f aca="false">IF($D597=1,INDEX(TblClusters[Plateforme],$B597),"")</f>
        <v/>
      </c>
      <c r="H597" s="14" t="str">
        <f aca="false">IF($D597=1,INDEX(TblClusters[vCPU par nœud],$B597),"")</f>
        <v/>
      </c>
      <c r="I597" s="14" t="str">
        <f aca="false">IF($D597=1,INDEX(TblClusters[RAM par nœud (Go)],$B597),"")</f>
        <v/>
      </c>
      <c r="J597" s="14" t="str">
        <f aca="false">IF($D597=1,INDEX(TblClusters[Workers min],$B597),"")</f>
        <v/>
      </c>
      <c r="K597" s="84" t="str">
        <f aca="false">IF($D597=1,INDEX(TblClusters[Tarif par nœud],$B597),"")</f>
        <v/>
      </c>
      <c r="L597" s="14" t="str">
        <f aca="false">IF($D597=1,INDEX(TblClusters[CPU initial (vCPU)],$B597),"")</f>
        <v/>
      </c>
      <c r="M597" s="14" t="str">
        <f aca="false">IF($D597=1,INDEX(TblClusters[RAM initiale (Go)],$B597),"")</f>
        <v/>
      </c>
      <c r="N597" s="14" t="str">
        <f aca="false">IF($D597=1,INDEX(TblClusters[CPU min (vCPU)],$B597),"")</f>
        <v/>
      </c>
      <c r="O597" s="14" t="str">
        <f aca="false">IF($D597=1,INDEX(TblClusters[RAM min (Go)],$B597),"")</f>
        <v/>
      </c>
      <c r="P597" s="14" t="str">
        <f aca="false">IF($D597&lt;&gt;1,"",IF($G597="ROKS",SUMIFS(TblApplications[Besoin ROKS CPU (vCPU)],TblApplications[Cluster ROKS cible],$F597,TblApplications[Action],"À migrer",TblApplications[Déjà incluse ROKS],"Non",TblApplications[Mois prov (calc)],"&lt;="&amp;$E597),SUMIFS(TblApplications[CPU IKS libérable (vCPU)],TblApplications[Cluster IKS source],$F597,TblApplications[Mois lib (calc)],"&lt;="&amp;$E597)))</f>
        <v/>
      </c>
      <c r="Q597" s="14" t="str">
        <f aca="false">IF($D597&lt;&gt;1,"",IF($G597="ROKS",SUMIFS(TblApplications[Besoin ROKS RAM (Go)],TblApplications[Cluster ROKS cible],$F597,TblApplications[Action],"À migrer",TblApplications[Déjà incluse ROKS],"Non",TblApplications[Mois prov (calc)],"&lt;="&amp;$E597),SUMIFS(TblApplications[RAM IKS libérable (Go)],TblApplications[Cluster IKS source],$F597,TblApplications[Mois lib (calc)],"&lt;="&amp;$E597)))</f>
        <v/>
      </c>
      <c r="R597" s="14" t="str">
        <f aca="false">IF($D597&lt;&gt;1,"",IF($G597="ROKS",$L597+$P597,IF($AI597=1,0,MAX($N597,$L597-$P597))))</f>
        <v/>
      </c>
      <c r="S597" s="14" t="str">
        <f aca="false">IF($D597&lt;&gt;1,"",IF($G597="ROKS",$M597+$Q597,IF($AI597=1,0,MAX($O597,$M597-$Q597))))</f>
        <v/>
      </c>
      <c r="T597" s="14" t="str">
        <f aca="false">IF($D597&lt;&gt;1,"",IF($AI597=1,0,MAX($J597,ROUNDUP(MAX($R597/$H597,$S597/$I597),0))))</f>
        <v/>
      </c>
      <c r="U597" s="14" t="str">
        <f aca="false">IF($D597&lt;&gt;1,"",IF(p_mode="Nœud",$T597*$H597,$R597))</f>
        <v/>
      </c>
      <c r="V597" s="14" t="str">
        <f aca="false">IF($D597&lt;&gt;1,"",IF(p_mode="Nœud",$T597*$I597,$S597))</f>
        <v/>
      </c>
      <c r="W597" s="84" t="str">
        <f aca="false">IF($D597&lt;&gt;1,"",IF(p_mode="Nœud",$T597*$K597,$R597*IF($G597="IKS",p_iks_cpu,p_roks_cpu)+$S597*IF($G597="IKS",p_iks_ram,p_roks_ram))*p_facteur)</f>
        <v/>
      </c>
      <c r="X597" s="14" t="str">
        <f aca="false">IF($D597&lt;&gt;1,"",IF($G597="ROKS",$R597,IF($AI597=1,0,MAX($N597,$L597-SUMIFS(TblApplications[CPU IKS libérable (vCPU)],TblApplications[Cluster IKS source],$F597,TblApplications[Action],"À migrer",TblApplications[Mois prov (calc)],"&lt;="&amp;$E597)-SUMIFS(TblApplications[CPU IKS libérable (vCPU)],TblApplications[Cluster IKS source],$F597,TblApplications[Action],"À décommissionner",TblApplications[Mois lib (calc)],"&lt;="&amp;$E597)))))</f>
        <v/>
      </c>
      <c r="Y597" s="14" t="str">
        <f aca="false">IF($D597&lt;&gt;1,"",IF($G597="ROKS",$S597,IF($AI597=1,0,MAX($O597,$M597-SUMIFS(TblApplications[RAM IKS libérable (Go)],TblApplications[Cluster IKS source],$F597,TblApplications[Action],"À migrer",TblApplications[Mois prov (calc)],"&lt;="&amp;$E597)-SUMIFS(TblApplications[RAM IKS libérable (Go)],TblApplications[Cluster IKS source],$F597,TblApplications[Action],"À décommissionner",TblApplications[Mois lib (calc)],"&lt;="&amp;$E597)))))</f>
        <v/>
      </c>
      <c r="Z597" s="14" t="str">
        <f aca="false">IF($D597&lt;&gt;1,"",IF($AI597=1,0,MAX($J597,ROUNDUP(MAX($X597/$H597,$Y597/$I597),0))))</f>
        <v/>
      </c>
      <c r="AA597" s="84" t="str">
        <f aca="false">IF($D597&lt;&gt;1,"",IF(p_mode="Nœud",$Z597*$K597,$X597*IF($G597="IKS",p_iks_cpu,p_roks_cpu)+$Y597*IF($G597="IKS",p_iks_ram,p_roks_ram))*p_facteur)</f>
        <v/>
      </c>
      <c r="AB597" s="14" t="str">
        <f aca="false">IF($D597&lt;&gt;1,"",MAX($J597,ROUNDUP(MAX($L597/$H597,$M597/$I597),0)))</f>
        <v/>
      </c>
      <c r="AC597" s="84" t="str">
        <f aca="false">IF($D597&lt;&gt;1,"",IF(p_mode="Nœud",$AB597*$K597,$L597*IF($G597="IKS",p_iks_cpu,p_roks_cpu)+$M597*IF($G597="IKS",p_iks_ram,p_roks_ram))*p_facteur)</f>
        <v/>
      </c>
      <c r="AD597" s="14" t="str">
        <f aca="false">IF($D597&lt;&gt;1,"",IF(AND($G597="IKS",$AI597&lt;&gt;1,OR($L597-$P597&lt;$N597,$M597-$Q597&lt;$O597)),1,0))</f>
        <v/>
      </c>
      <c r="AE597" s="14" t="str">
        <f aca="false">IF($D597&lt;&gt;1,"",IF(AND($G597="ROKS",$T597&gt;p_maxworkers),1,0))</f>
        <v/>
      </c>
      <c r="AF597" s="14" t="str">
        <f aca="false">IF($D597&lt;&gt;1,"",IF(INDEX(TblClusters[Environnement],$B597)="","(vide)",INDEX(TblClusters[Environnement],$B597)))</f>
        <v/>
      </c>
      <c r="AG597" s="14" t="str">
        <f aca="false">IF($D597&lt;&gt;1,"",$R597+p_poidsram*$S597)</f>
        <v/>
      </c>
      <c r="AH597" s="14" t="str">
        <f aca="false">IF($D597&lt;&gt;1,"",IFERROR($W597/$AG597,0))</f>
        <v/>
      </c>
      <c r="AI597" s="14" t="str">
        <f aca="false">IF($D597&lt;&gt;1,"",IF(AND($G597="IKS",ISNUMBER(INDEX(TblClusters[Fermeture retenue],$B597))),IF($E597&gt;=INDEX(TblClusters[Fermeture retenue],$B597),1,0),0))</f>
        <v/>
      </c>
    </row>
    <row r="598" customFormat="false" ht="15" hidden="false" customHeight="false" outlineLevel="0" collapsed="false">
      <c r="A598" s="14" t="n">
        <v>593</v>
      </c>
      <c r="B598" s="14" t="n">
        <f aca="false">INT(($A598-1)/36)+1</f>
        <v>17</v>
      </c>
      <c r="C598" s="14" t="n">
        <f aca="false">MOD($A598-1,36)+1</f>
        <v>17</v>
      </c>
      <c r="D598" s="14" t="n">
        <f aca="false">IF($C598&gt;p_horizon,0,IFERROR(IF(AND(INDEX(TblClusters[Cluster],$B598)&lt;&gt;"",ISNUMBER(INDEX(TblClusters[CPU initial (vCPU)],$B598)),ISNUMBER(INDEX(TblClusters[CPU min (vCPU)],$B598)),OR(INDEX(TblClusters[Plateforme],$B598)="IKS",INDEX(TblClusters[Plateforme],$B598)="ROKS")),1,0),0))</f>
        <v>0</v>
      </c>
      <c r="E598" s="83" t="str">
        <f aca="false">IF($D598=1,EDATE(p_debut,$C598-1),"")</f>
        <v/>
      </c>
      <c r="F598" s="14" t="str">
        <f aca="false">IF($D598=1,INDEX(TblClusters[Cluster],$B598),"")</f>
        <v/>
      </c>
      <c r="G598" s="14" t="str">
        <f aca="false">IF($D598=1,INDEX(TblClusters[Plateforme],$B598),"")</f>
        <v/>
      </c>
      <c r="H598" s="14" t="str">
        <f aca="false">IF($D598=1,INDEX(TblClusters[vCPU par nœud],$B598),"")</f>
        <v/>
      </c>
      <c r="I598" s="14" t="str">
        <f aca="false">IF($D598=1,INDEX(TblClusters[RAM par nœud (Go)],$B598),"")</f>
        <v/>
      </c>
      <c r="J598" s="14" t="str">
        <f aca="false">IF($D598=1,INDEX(TblClusters[Workers min],$B598),"")</f>
        <v/>
      </c>
      <c r="K598" s="84" t="str">
        <f aca="false">IF($D598=1,INDEX(TblClusters[Tarif par nœud],$B598),"")</f>
        <v/>
      </c>
      <c r="L598" s="14" t="str">
        <f aca="false">IF($D598=1,INDEX(TblClusters[CPU initial (vCPU)],$B598),"")</f>
        <v/>
      </c>
      <c r="M598" s="14" t="str">
        <f aca="false">IF($D598=1,INDEX(TblClusters[RAM initiale (Go)],$B598),"")</f>
        <v/>
      </c>
      <c r="N598" s="14" t="str">
        <f aca="false">IF($D598=1,INDEX(TblClusters[CPU min (vCPU)],$B598),"")</f>
        <v/>
      </c>
      <c r="O598" s="14" t="str">
        <f aca="false">IF($D598=1,INDEX(TblClusters[RAM min (Go)],$B598),"")</f>
        <v/>
      </c>
      <c r="P598" s="14" t="str">
        <f aca="false">IF($D598&lt;&gt;1,"",IF($G598="ROKS",SUMIFS(TblApplications[Besoin ROKS CPU (vCPU)],TblApplications[Cluster ROKS cible],$F598,TblApplications[Action],"À migrer",TblApplications[Déjà incluse ROKS],"Non",TblApplications[Mois prov (calc)],"&lt;="&amp;$E598),SUMIFS(TblApplications[CPU IKS libérable (vCPU)],TblApplications[Cluster IKS source],$F598,TblApplications[Mois lib (calc)],"&lt;="&amp;$E598)))</f>
        <v/>
      </c>
      <c r="Q598" s="14" t="str">
        <f aca="false">IF($D598&lt;&gt;1,"",IF($G598="ROKS",SUMIFS(TblApplications[Besoin ROKS RAM (Go)],TblApplications[Cluster ROKS cible],$F598,TblApplications[Action],"À migrer",TblApplications[Déjà incluse ROKS],"Non",TblApplications[Mois prov (calc)],"&lt;="&amp;$E598),SUMIFS(TblApplications[RAM IKS libérable (Go)],TblApplications[Cluster IKS source],$F598,TblApplications[Mois lib (calc)],"&lt;="&amp;$E598)))</f>
        <v/>
      </c>
      <c r="R598" s="14" t="str">
        <f aca="false">IF($D598&lt;&gt;1,"",IF($G598="ROKS",$L598+$P598,IF($AI598=1,0,MAX($N598,$L598-$P598))))</f>
        <v/>
      </c>
      <c r="S598" s="14" t="str">
        <f aca="false">IF($D598&lt;&gt;1,"",IF($G598="ROKS",$M598+$Q598,IF($AI598=1,0,MAX($O598,$M598-$Q598))))</f>
        <v/>
      </c>
      <c r="T598" s="14" t="str">
        <f aca="false">IF($D598&lt;&gt;1,"",IF($AI598=1,0,MAX($J598,ROUNDUP(MAX($R598/$H598,$S598/$I598),0))))</f>
        <v/>
      </c>
      <c r="U598" s="14" t="str">
        <f aca="false">IF($D598&lt;&gt;1,"",IF(p_mode="Nœud",$T598*$H598,$R598))</f>
        <v/>
      </c>
      <c r="V598" s="14" t="str">
        <f aca="false">IF($D598&lt;&gt;1,"",IF(p_mode="Nœud",$T598*$I598,$S598))</f>
        <v/>
      </c>
      <c r="W598" s="84" t="str">
        <f aca="false">IF($D598&lt;&gt;1,"",IF(p_mode="Nœud",$T598*$K598,$R598*IF($G598="IKS",p_iks_cpu,p_roks_cpu)+$S598*IF($G598="IKS",p_iks_ram,p_roks_ram))*p_facteur)</f>
        <v/>
      </c>
      <c r="X598" s="14" t="str">
        <f aca="false">IF($D598&lt;&gt;1,"",IF($G598="ROKS",$R598,IF($AI598=1,0,MAX($N598,$L598-SUMIFS(TblApplications[CPU IKS libérable (vCPU)],TblApplications[Cluster IKS source],$F598,TblApplications[Action],"À migrer",TblApplications[Mois prov (calc)],"&lt;="&amp;$E598)-SUMIFS(TblApplications[CPU IKS libérable (vCPU)],TblApplications[Cluster IKS source],$F598,TblApplications[Action],"À décommissionner",TblApplications[Mois lib (calc)],"&lt;="&amp;$E598)))))</f>
        <v/>
      </c>
      <c r="Y598" s="14" t="str">
        <f aca="false">IF($D598&lt;&gt;1,"",IF($G598="ROKS",$S598,IF($AI598=1,0,MAX($O598,$M598-SUMIFS(TblApplications[RAM IKS libérable (Go)],TblApplications[Cluster IKS source],$F598,TblApplications[Action],"À migrer",TblApplications[Mois prov (calc)],"&lt;="&amp;$E598)-SUMIFS(TblApplications[RAM IKS libérable (Go)],TblApplications[Cluster IKS source],$F598,TblApplications[Action],"À décommissionner",TblApplications[Mois lib (calc)],"&lt;="&amp;$E598)))))</f>
        <v/>
      </c>
      <c r="Z598" s="14" t="str">
        <f aca="false">IF($D598&lt;&gt;1,"",IF($AI598=1,0,MAX($J598,ROUNDUP(MAX($X598/$H598,$Y598/$I598),0))))</f>
        <v/>
      </c>
      <c r="AA598" s="84" t="str">
        <f aca="false">IF($D598&lt;&gt;1,"",IF(p_mode="Nœud",$Z598*$K598,$X598*IF($G598="IKS",p_iks_cpu,p_roks_cpu)+$Y598*IF($G598="IKS",p_iks_ram,p_roks_ram))*p_facteur)</f>
        <v/>
      </c>
      <c r="AB598" s="14" t="str">
        <f aca="false">IF($D598&lt;&gt;1,"",MAX($J598,ROUNDUP(MAX($L598/$H598,$M598/$I598),0)))</f>
        <v/>
      </c>
      <c r="AC598" s="84" t="str">
        <f aca="false">IF($D598&lt;&gt;1,"",IF(p_mode="Nœud",$AB598*$K598,$L598*IF($G598="IKS",p_iks_cpu,p_roks_cpu)+$M598*IF($G598="IKS",p_iks_ram,p_roks_ram))*p_facteur)</f>
        <v/>
      </c>
      <c r="AD598" s="14" t="str">
        <f aca="false">IF($D598&lt;&gt;1,"",IF(AND($G598="IKS",$AI598&lt;&gt;1,OR($L598-$P598&lt;$N598,$M598-$Q598&lt;$O598)),1,0))</f>
        <v/>
      </c>
      <c r="AE598" s="14" t="str">
        <f aca="false">IF($D598&lt;&gt;1,"",IF(AND($G598="ROKS",$T598&gt;p_maxworkers),1,0))</f>
        <v/>
      </c>
      <c r="AF598" s="14" t="str">
        <f aca="false">IF($D598&lt;&gt;1,"",IF(INDEX(TblClusters[Environnement],$B598)="","(vide)",INDEX(TblClusters[Environnement],$B598)))</f>
        <v/>
      </c>
      <c r="AG598" s="14" t="str">
        <f aca="false">IF($D598&lt;&gt;1,"",$R598+p_poidsram*$S598)</f>
        <v/>
      </c>
      <c r="AH598" s="14" t="str">
        <f aca="false">IF($D598&lt;&gt;1,"",IFERROR($W598/$AG598,0))</f>
        <v/>
      </c>
      <c r="AI598" s="14" t="str">
        <f aca="false">IF($D598&lt;&gt;1,"",IF(AND($G598="IKS",ISNUMBER(INDEX(TblClusters[Fermeture retenue],$B598))),IF($E598&gt;=INDEX(TblClusters[Fermeture retenue],$B598),1,0),0))</f>
        <v/>
      </c>
    </row>
    <row r="599" customFormat="false" ht="15" hidden="false" customHeight="false" outlineLevel="0" collapsed="false">
      <c r="A599" s="14" t="n">
        <v>594</v>
      </c>
      <c r="B599" s="14" t="n">
        <f aca="false">INT(($A599-1)/36)+1</f>
        <v>17</v>
      </c>
      <c r="C599" s="14" t="n">
        <f aca="false">MOD($A599-1,36)+1</f>
        <v>18</v>
      </c>
      <c r="D599" s="14" t="n">
        <f aca="false">IF($C599&gt;p_horizon,0,IFERROR(IF(AND(INDEX(TblClusters[Cluster],$B599)&lt;&gt;"",ISNUMBER(INDEX(TblClusters[CPU initial (vCPU)],$B599)),ISNUMBER(INDEX(TblClusters[CPU min (vCPU)],$B599)),OR(INDEX(TblClusters[Plateforme],$B599)="IKS",INDEX(TblClusters[Plateforme],$B599)="ROKS")),1,0),0))</f>
        <v>0</v>
      </c>
      <c r="E599" s="83" t="str">
        <f aca="false">IF($D599=1,EDATE(p_debut,$C599-1),"")</f>
        <v/>
      </c>
      <c r="F599" s="14" t="str">
        <f aca="false">IF($D599=1,INDEX(TblClusters[Cluster],$B599),"")</f>
        <v/>
      </c>
      <c r="G599" s="14" t="str">
        <f aca="false">IF($D599=1,INDEX(TblClusters[Plateforme],$B599),"")</f>
        <v/>
      </c>
      <c r="H599" s="14" t="str">
        <f aca="false">IF($D599=1,INDEX(TblClusters[vCPU par nœud],$B599),"")</f>
        <v/>
      </c>
      <c r="I599" s="14" t="str">
        <f aca="false">IF($D599=1,INDEX(TblClusters[RAM par nœud (Go)],$B599),"")</f>
        <v/>
      </c>
      <c r="J599" s="14" t="str">
        <f aca="false">IF($D599=1,INDEX(TblClusters[Workers min],$B599),"")</f>
        <v/>
      </c>
      <c r="K599" s="84" t="str">
        <f aca="false">IF($D599=1,INDEX(TblClusters[Tarif par nœud],$B599),"")</f>
        <v/>
      </c>
      <c r="L599" s="14" t="str">
        <f aca="false">IF($D599=1,INDEX(TblClusters[CPU initial (vCPU)],$B599),"")</f>
        <v/>
      </c>
      <c r="M599" s="14" t="str">
        <f aca="false">IF($D599=1,INDEX(TblClusters[RAM initiale (Go)],$B599),"")</f>
        <v/>
      </c>
      <c r="N599" s="14" t="str">
        <f aca="false">IF($D599=1,INDEX(TblClusters[CPU min (vCPU)],$B599),"")</f>
        <v/>
      </c>
      <c r="O599" s="14" t="str">
        <f aca="false">IF($D599=1,INDEX(TblClusters[RAM min (Go)],$B599),"")</f>
        <v/>
      </c>
      <c r="P599" s="14" t="str">
        <f aca="false">IF($D599&lt;&gt;1,"",IF($G599="ROKS",SUMIFS(TblApplications[Besoin ROKS CPU (vCPU)],TblApplications[Cluster ROKS cible],$F599,TblApplications[Action],"À migrer",TblApplications[Déjà incluse ROKS],"Non",TblApplications[Mois prov (calc)],"&lt;="&amp;$E599),SUMIFS(TblApplications[CPU IKS libérable (vCPU)],TblApplications[Cluster IKS source],$F599,TblApplications[Mois lib (calc)],"&lt;="&amp;$E599)))</f>
        <v/>
      </c>
      <c r="Q599" s="14" t="str">
        <f aca="false">IF($D599&lt;&gt;1,"",IF($G599="ROKS",SUMIFS(TblApplications[Besoin ROKS RAM (Go)],TblApplications[Cluster ROKS cible],$F599,TblApplications[Action],"À migrer",TblApplications[Déjà incluse ROKS],"Non",TblApplications[Mois prov (calc)],"&lt;="&amp;$E599),SUMIFS(TblApplications[RAM IKS libérable (Go)],TblApplications[Cluster IKS source],$F599,TblApplications[Mois lib (calc)],"&lt;="&amp;$E599)))</f>
        <v/>
      </c>
      <c r="R599" s="14" t="str">
        <f aca="false">IF($D599&lt;&gt;1,"",IF($G599="ROKS",$L599+$P599,IF($AI599=1,0,MAX($N599,$L599-$P599))))</f>
        <v/>
      </c>
      <c r="S599" s="14" t="str">
        <f aca="false">IF($D599&lt;&gt;1,"",IF($G599="ROKS",$M599+$Q599,IF($AI599=1,0,MAX($O599,$M599-$Q599))))</f>
        <v/>
      </c>
      <c r="T599" s="14" t="str">
        <f aca="false">IF($D599&lt;&gt;1,"",IF($AI599=1,0,MAX($J599,ROUNDUP(MAX($R599/$H599,$S599/$I599),0))))</f>
        <v/>
      </c>
      <c r="U599" s="14" t="str">
        <f aca="false">IF($D599&lt;&gt;1,"",IF(p_mode="Nœud",$T599*$H599,$R599))</f>
        <v/>
      </c>
      <c r="V599" s="14" t="str">
        <f aca="false">IF($D599&lt;&gt;1,"",IF(p_mode="Nœud",$T599*$I599,$S599))</f>
        <v/>
      </c>
      <c r="W599" s="84" t="str">
        <f aca="false">IF($D599&lt;&gt;1,"",IF(p_mode="Nœud",$T599*$K599,$R599*IF($G599="IKS",p_iks_cpu,p_roks_cpu)+$S599*IF($G599="IKS",p_iks_ram,p_roks_ram))*p_facteur)</f>
        <v/>
      </c>
      <c r="X599" s="14" t="str">
        <f aca="false">IF($D599&lt;&gt;1,"",IF($G599="ROKS",$R599,IF($AI599=1,0,MAX($N599,$L599-SUMIFS(TblApplications[CPU IKS libérable (vCPU)],TblApplications[Cluster IKS source],$F599,TblApplications[Action],"À migrer",TblApplications[Mois prov (calc)],"&lt;="&amp;$E599)-SUMIFS(TblApplications[CPU IKS libérable (vCPU)],TblApplications[Cluster IKS source],$F599,TblApplications[Action],"À décommissionner",TblApplications[Mois lib (calc)],"&lt;="&amp;$E599)))))</f>
        <v/>
      </c>
      <c r="Y599" s="14" t="str">
        <f aca="false">IF($D599&lt;&gt;1,"",IF($G599="ROKS",$S599,IF($AI599=1,0,MAX($O599,$M599-SUMIFS(TblApplications[RAM IKS libérable (Go)],TblApplications[Cluster IKS source],$F599,TblApplications[Action],"À migrer",TblApplications[Mois prov (calc)],"&lt;="&amp;$E599)-SUMIFS(TblApplications[RAM IKS libérable (Go)],TblApplications[Cluster IKS source],$F599,TblApplications[Action],"À décommissionner",TblApplications[Mois lib (calc)],"&lt;="&amp;$E599)))))</f>
        <v/>
      </c>
      <c r="Z599" s="14" t="str">
        <f aca="false">IF($D599&lt;&gt;1,"",IF($AI599=1,0,MAX($J599,ROUNDUP(MAX($X599/$H599,$Y599/$I599),0))))</f>
        <v/>
      </c>
      <c r="AA599" s="84" t="str">
        <f aca="false">IF($D599&lt;&gt;1,"",IF(p_mode="Nœud",$Z599*$K599,$X599*IF($G599="IKS",p_iks_cpu,p_roks_cpu)+$Y599*IF($G599="IKS",p_iks_ram,p_roks_ram))*p_facteur)</f>
        <v/>
      </c>
      <c r="AB599" s="14" t="str">
        <f aca="false">IF($D599&lt;&gt;1,"",MAX($J599,ROUNDUP(MAX($L599/$H599,$M599/$I599),0)))</f>
        <v/>
      </c>
      <c r="AC599" s="84" t="str">
        <f aca="false">IF($D599&lt;&gt;1,"",IF(p_mode="Nœud",$AB599*$K599,$L599*IF($G599="IKS",p_iks_cpu,p_roks_cpu)+$M599*IF($G599="IKS",p_iks_ram,p_roks_ram))*p_facteur)</f>
        <v/>
      </c>
      <c r="AD599" s="14" t="str">
        <f aca="false">IF($D599&lt;&gt;1,"",IF(AND($G599="IKS",$AI599&lt;&gt;1,OR($L599-$P599&lt;$N599,$M599-$Q599&lt;$O599)),1,0))</f>
        <v/>
      </c>
      <c r="AE599" s="14" t="str">
        <f aca="false">IF($D599&lt;&gt;1,"",IF(AND($G599="ROKS",$T599&gt;p_maxworkers),1,0))</f>
        <v/>
      </c>
      <c r="AF599" s="14" t="str">
        <f aca="false">IF($D599&lt;&gt;1,"",IF(INDEX(TblClusters[Environnement],$B599)="","(vide)",INDEX(TblClusters[Environnement],$B599)))</f>
        <v/>
      </c>
      <c r="AG599" s="14" t="str">
        <f aca="false">IF($D599&lt;&gt;1,"",$R599+p_poidsram*$S599)</f>
        <v/>
      </c>
      <c r="AH599" s="14" t="str">
        <f aca="false">IF($D599&lt;&gt;1,"",IFERROR($W599/$AG599,0))</f>
        <v/>
      </c>
      <c r="AI599" s="14" t="str">
        <f aca="false">IF($D599&lt;&gt;1,"",IF(AND($G599="IKS",ISNUMBER(INDEX(TblClusters[Fermeture retenue],$B599))),IF($E599&gt;=INDEX(TblClusters[Fermeture retenue],$B599),1,0),0))</f>
        <v/>
      </c>
    </row>
    <row r="600" customFormat="false" ht="15" hidden="false" customHeight="false" outlineLevel="0" collapsed="false">
      <c r="A600" s="14" t="n">
        <v>595</v>
      </c>
      <c r="B600" s="14" t="n">
        <f aca="false">INT(($A600-1)/36)+1</f>
        <v>17</v>
      </c>
      <c r="C600" s="14" t="n">
        <f aca="false">MOD($A600-1,36)+1</f>
        <v>19</v>
      </c>
      <c r="D600" s="14" t="n">
        <f aca="false">IF($C600&gt;p_horizon,0,IFERROR(IF(AND(INDEX(TblClusters[Cluster],$B600)&lt;&gt;"",ISNUMBER(INDEX(TblClusters[CPU initial (vCPU)],$B600)),ISNUMBER(INDEX(TblClusters[CPU min (vCPU)],$B600)),OR(INDEX(TblClusters[Plateforme],$B600)="IKS",INDEX(TblClusters[Plateforme],$B600)="ROKS")),1,0),0))</f>
        <v>0</v>
      </c>
      <c r="E600" s="83" t="str">
        <f aca="false">IF($D600=1,EDATE(p_debut,$C600-1),"")</f>
        <v/>
      </c>
      <c r="F600" s="14" t="str">
        <f aca="false">IF($D600=1,INDEX(TblClusters[Cluster],$B600),"")</f>
        <v/>
      </c>
      <c r="G600" s="14" t="str">
        <f aca="false">IF($D600=1,INDEX(TblClusters[Plateforme],$B600),"")</f>
        <v/>
      </c>
      <c r="H600" s="14" t="str">
        <f aca="false">IF($D600=1,INDEX(TblClusters[vCPU par nœud],$B600),"")</f>
        <v/>
      </c>
      <c r="I600" s="14" t="str">
        <f aca="false">IF($D600=1,INDEX(TblClusters[RAM par nœud (Go)],$B600),"")</f>
        <v/>
      </c>
      <c r="J600" s="14" t="str">
        <f aca="false">IF($D600=1,INDEX(TblClusters[Workers min],$B600),"")</f>
        <v/>
      </c>
      <c r="K600" s="84" t="str">
        <f aca="false">IF($D600=1,INDEX(TblClusters[Tarif par nœud],$B600),"")</f>
        <v/>
      </c>
      <c r="L600" s="14" t="str">
        <f aca="false">IF($D600=1,INDEX(TblClusters[CPU initial (vCPU)],$B600),"")</f>
        <v/>
      </c>
      <c r="M600" s="14" t="str">
        <f aca="false">IF($D600=1,INDEX(TblClusters[RAM initiale (Go)],$B600),"")</f>
        <v/>
      </c>
      <c r="N600" s="14" t="str">
        <f aca="false">IF($D600=1,INDEX(TblClusters[CPU min (vCPU)],$B600),"")</f>
        <v/>
      </c>
      <c r="O600" s="14" t="str">
        <f aca="false">IF($D600=1,INDEX(TblClusters[RAM min (Go)],$B600),"")</f>
        <v/>
      </c>
      <c r="P600" s="14" t="str">
        <f aca="false">IF($D600&lt;&gt;1,"",IF($G600="ROKS",SUMIFS(TblApplications[Besoin ROKS CPU (vCPU)],TblApplications[Cluster ROKS cible],$F600,TblApplications[Action],"À migrer",TblApplications[Déjà incluse ROKS],"Non",TblApplications[Mois prov (calc)],"&lt;="&amp;$E600),SUMIFS(TblApplications[CPU IKS libérable (vCPU)],TblApplications[Cluster IKS source],$F600,TblApplications[Mois lib (calc)],"&lt;="&amp;$E600)))</f>
        <v/>
      </c>
      <c r="Q600" s="14" t="str">
        <f aca="false">IF($D600&lt;&gt;1,"",IF($G600="ROKS",SUMIFS(TblApplications[Besoin ROKS RAM (Go)],TblApplications[Cluster ROKS cible],$F600,TblApplications[Action],"À migrer",TblApplications[Déjà incluse ROKS],"Non",TblApplications[Mois prov (calc)],"&lt;="&amp;$E600),SUMIFS(TblApplications[RAM IKS libérable (Go)],TblApplications[Cluster IKS source],$F600,TblApplications[Mois lib (calc)],"&lt;="&amp;$E600)))</f>
        <v/>
      </c>
      <c r="R600" s="14" t="str">
        <f aca="false">IF($D600&lt;&gt;1,"",IF($G600="ROKS",$L600+$P600,IF($AI600=1,0,MAX($N600,$L600-$P600))))</f>
        <v/>
      </c>
      <c r="S600" s="14" t="str">
        <f aca="false">IF($D600&lt;&gt;1,"",IF($G600="ROKS",$M600+$Q600,IF($AI600=1,0,MAX($O600,$M600-$Q600))))</f>
        <v/>
      </c>
      <c r="T600" s="14" t="str">
        <f aca="false">IF($D600&lt;&gt;1,"",IF($AI600=1,0,MAX($J600,ROUNDUP(MAX($R600/$H600,$S600/$I600),0))))</f>
        <v/>
      </c>
      <c r="U600" s="14" t="str">
        <f aca="false">IF($D600&lt;&gt;1,"",IF(p_mode="Nœud",$T600*$H600,$R600))</f>
        <v/>
      </c>
      <c r="V600" s="14" t="str">
        <f aca="false">IF($D600&lt;&gt;1,"",IF(p_mode="Nœud",$T600*$I600,$S600))</f>
        <v/>
      </c>
      <c r="W600" s="84" t="str">
        <f aca="false">IF($D600&lt;&gt;1,"",IF(p_mode="Nœud",$T600*$K600,$R600*IF($G600="IKS",p_iks_cpu,p_roks_cpu)+$S600*IF($G600="IKS",p_iks_ram,p_roks_ram))*p_facteur)</f>
        <v/>
      </c>
      <c r="X600" s="14" t="str">
        <f aca="false">IF($D600&lt;&gt;1,"",IF($G600="ROKS",$R600,IF($AI600=1,0,MAX($N600,$L600-SUMIFS(TblApplications[CPU IKS libérable (vCPU)],TblApplications[Cluster IKS source],$F600,TblApplications[Action],"À migrer",TblApplications[Mois prov (calc)],"&lt;="&amp;$E600)-SUMIFS(TblApplications[CPU IKS libérable (vCPU)],TblApplications[Cluster IKS source],$F600,TblApplications[Action],"À décommissionner",TblApplications[Mois lib (calc)],"&lt;="&amp;$E600)))))</f>
        <v/>
      </c>
      <c r="Y600" s="14" t="str">
        <f aca="false">IF($D600&lt;&gt;1,"",IF($G600="ROKS",$S600,IF($AI600=1,0,MAX($O600,$M600-SUMIFS(TblApplications[RAM IKS libérable (Go)],TblApplications[Cluster IKS source],$F600,TblApplications[Action],"À migrer",TblApplications[Mois prov (calc)],"&lt;="&amp;$E600)-SUMIFS(TblApplications[RAM IKS libérable (Go)],TblApplications[Cluster IKS source],$F600,TblApplications[Action],"À décommissionner",TblApplications[Mois lib (calc)],"&lt;="&amp;$E600)))))</f>
        <v/>
      </c>
      <c r="Z600" s="14" t="str">
        <f aca="false">IF($D600&lt;&gt;1,"",IF($AI600=1,0,MAX($J600,ROUNDUP(MAX($X600/$H600,$Y600/$I600),0))))</f>
        <v/>
      </c>
      <c r="AA600" s="84" t="str">
        <f aca="false">IF($D600&lt;&gt;1,"",IF(p_mode="Nœud",$Z600*$K600,$X600*IF($G600="IKS",p_iks_cpu,p_roks_cpu)+$Y600*IF($G600="IKS",p_iks_ram,p_roks_ram))*p_facteur)</f>
        <v/>
      </c>
      <c r="AB600" s="14" t="str">
        <f aca="false">IF($D600&lt;&gt;1,"",MAX($J600,ROUNDUP(MAX($L600/$H600,$M600/$I600),0)))</f>
        <v/>
      </c>
      <c r="AC600" s="84" t="str">
        <f aca="false">IF($D600&lt;&gt;1,"",IF(p_mode="Nœud",$AB600*$K600,$L600*IF($G600="IKS",p_iks_cpu,p_roks_cpu)+$M600*IF($G600="IKS",p_iks_ram,p_roks_ram))*p_facteur)</f>
        <v/>
      </c>
      <c r="AD600" s="14" t="str">
        <f aca="false">IF($D600&lt;&gt;1,"",IF(AND($G600="IKS",$AI600&lt;&gt;1,OR($L600-$P600&lt;$N600,$M600-$Q600&lt;$O600)),1,0))</f>
        <v/>
      </c>
      <c r="AE600" s="14" t="str">
        <f aca="false">IF($D600&lt;&gt;1,"",IF(AND($G600="ROKS",$T600&gt;p_maxworkers),1,0))</f>
        <v/>
      </c>
      <c r="AF600" s="14" t="str">
        <f aca="false">IF($D600&lt;&gt;1,"",IF(INDEX(TblClusters[Environnement],$B600)="","(vide)",INDEX(TblClusters[Environnement],$B600)))</f>
        <v/>
      </c>
      <c r="AG600" s="14" t="str">
        <f aca="false">IF($D600&lt;&gt;1,"",$R600+p_poidsram*$S600)</f>
        <v/>
      </c>
      <c r="AH600" s="14" t="str">
        <f aca="false">IF($D600&lt;&gt;1,"",IFERROR($W600/$AG600,0))</f>
        <v/>
      </c>
      <c r="AI600" s="14" t="str">
        <f aca="false">IF($D600&lt;&gt;1,"",IF(AND($G600="IKS",ISNUMBER(INDEX(TblClusters[Fermeture retenue],$B600))),IF($E600&gt;=INDEX(TblClusters[Fermeture retenue],$B600),1,0),0))</f>
        <v/>
      </c>
    </row>
    <row r="601" customFormat="false" ht="15" hidden="false" customHeight="false" outlineLevel="0" collapsed="false">
      <c r="A601" s="14" t="n">
        <v>596</v>
      </c>
      <c r="B601" s="14" t="n">
        <f aca="false">INT(($A601-1)/36)+1</f>
        <v>17</v>
      </c>
      <c r="C601" s="14" t="n">
        <f aca="false">MOD($A601-1,36)+1</f>
        <v>20</v>
      </c>
      <c r="D601" s="14" t="n">
        <f aca="false">IF($C601&gt;p_horizon,0,IFERROR(IF(AND(INDEX(TblClusters[Cluster],$B601)&lt;&gt;"",ISNUMBER(INDEX(TblClusters[CPU initial (vCPU)],$B601)),ISNUMBER(INDEX(TblClusters[CPU min (vCPU)],$B601)),OR(INDEX(TblClusters[Plateforme],$B601)="IKS",INDEX(TblClusters[Plateforme],$B601)="ROKS")),1,0),0))</f>
        <v>0</v>
      </c>
      <c r="E601" s="83" t="str">
        <f aca="false">IF($D601=1,EDATE(p_debut,$C601-1),"")</f>
        <v/>
      </c>
      <c r="F601" s="14" t="str">
        <f aca="false">IF($D601=1,INDEX(TblClusters[Cluster],$B601),"")</f>
        <v/>
      </c>
      <c r="G601" s="14" t="str">
        <f aca="false">IF($D601=1,INDEX(TblClusters[Plateforme],$B601),"")</f>
        <v/>
      </c>
      <c r="H601" s="14" t="str">
        <f aca="false">IF($D601=1,INDEX(TblClusters[vCPU par nœud],$B601),"")</f>
        <v/>
      </c>
      <c r="I601" s="14" t="str">
        <f aca="false">IF($D601=1,INDEX(TblClusters[RAM par nœud (Go)],$B601),"")</f>
        <v/>
      </c>
      <c r="J601" s="14" t="str">
        <f aca="false">IF($D601=1,INDEX(TblClusters[Workers min],$B601),"")</f>
        <v/>
      </c>
      <c r="K601" s="84" t="str">
        <f aca="false">IF($D601=1,INDEX(TblClusters[Tarif par nœud],$B601),"")</f>
        <v/>
      </c>
      <c r="L601" s="14" t="str">
        <f aca="false">IF($D601=1,INDEX(TblClusters[CPU initial (vCPU)],$B601),"")</f>
        <v/>
      </c>
      <c r="M601" s="14" t="str">
        <f aca="false">IF($D601=1,INDEX(TblClusters[RAM initiale (Go)],$B601),"")</f>
        <v/>
      </c>
      <c r="N601" s="14" t="str">
        <f aca="false">IF($D601=1,INDEX(TblClusters[CPU min (vCPU)],$B601),"")</f>
        <v/>
      </c>
      <c r="O601" s="14" t="str">
        <f aca="false">IF($D601=1,INDEX(TblClusters[RAM min (Go)],$B601),"")</f>
        <v/>
      </c>
      <c r="P601" s="14" t="str">
        <f aca="false">IF($D601&lt;&gt;1,"",IF($G601="ROKS",SUMIFS(TblApplications[Besoin ROKS CPU (vCPU)],TblApplications[Cluster ROKS cible],$F601,TblApplications[Action],"À migrer",TblApplications[Déjà incluse ROKS],"Non",TblApplications[Mois prov (calc)],"&lt;="&amp;$E601),SUMIFS(TblApplications[CPU IKS libérable (vCPU)],TblApplications[Cluster IKS source],$F601,TblApplications[Mois lib (calc)],"&lt;="&amp;$E601)))</f>
        <v/>
      </c>
      <c r="Q601" s="14" t="str">
        <f aca="false">IF($D601&lt;&gt;1,"",IF($G601="ROKS",SUMIFS(TblApplications[Besoin ROKS RAM (Go)],TblApplications[Cluster ROKS cible],$F601,TblApplications[Action],"À migrer",TblApplications[Déjà incluse ROKS],"Non",TblApplications[Mois prov (calc)],"&lt;="&amp;$E601),SUMIFS(TblApplications[RAM IKS libérable (Go)],TblApplications[Cluster IKS source],$F601,TblApplications[Mois lib (calc)],"&lt;="&amp;$E601)))</f>
        <v/>
      </c>
      <c r="R601" s="14" t="str">
        <f aca="false">IF($D601&lt;&gt;1,"",IF($G601="ROKS",$L601+$P601,IF($AI601=1,0,MAX($N601,$L601-$P601))))</f>
        <v/>
      </c>
      <c r="S601" s="14" t="str">
        <f aca="false">IF($D601&lt;&gt;1,"",IF($G601="ROKS",$M601+$Q601,IF($AI601=1,0,MAX($O601,$M601-$Q601))))</f>
        <v/>
      </c>
      <c r="T601" s="14" t="str">
        <f aca="false">IF($D601&lt;&gt;1,"",IF($AI601=1,0,MAX($J601,ROUNDUP(MAX($R601/$H601,$S601/$I601),0))))</f>
        <v/>
      </c>
      <c r="U601" s="14" t="str">
        <f aca="false">IF($D601&lt;&gt;1,"",IF(p_mode="Nœud",$T601*$H601,$R601))</f>
        <v/>
      </c>
      <c r="V601" s="14" t="str">
        <f aca="false">IF($D601&lt;&gt;1,"",IF(p_mode="Nœud",$T601*$I601,$S601))</f>
        <v/>
      </c>
      <c r="W601" s="84" t="str">
        <f aca="false">IF($D601&lt;&gt;1,"",IF(p_mode="Nœud",$T601*$K601,$R601*IF($G601="IKS",p_iks_cpu,p_roks_cpu)+$S601*IF($G601="IKS",p_iks_ram,p_roks_ram))*p_facteur)</f>
        <v/>
      </c>
      <c r="X601" s="14" t="str">
        <f aca="false">IF($D601&lt;&gt;1,"",IF($G601="ROKS",$R601,IF($AI601=1,0,MAX($N601,$L601-SUMIFS(TblApplications[CPU IKS libérable (vCPU)],TblApplications[Cluster IKS source],$F601,TblApplications[Action],"À migrer",TblApplications[Mois prov (calc)],"&lt;="&amp;$E601)-SUMIFS(TblApplications[CPU IKS libérable (vCPU)],TblApplications[Cluster IKS source],$F601,TblApplications[Action],"À décommissionner",TblApplications[Mois lib (calc)],"&lt;="&amp;$E601)))))</f>
        <v/>
      </c>
      <c r="Y601" s="14" t="str">
        <f aca="false">IF($D601&lt;&gt;1,"",IF($G601="ROKS",$S601,IF($AI601=1,0,MAX($O601,$M601-SUMIFS(TblApplications[RAM IKS libérable (Go)],TblApplications[Cluster IKS source],$F601,TblApplications[Action],"À migrer",TblApplications[Mois prov (calc)],"&lt;="&amp;$E601)-SUMIFS(TblApplications[RAM IKS libérable (Go)],TblApplications[Cluster IKS source],$F601,TblApplications[Action],"À décommissionner",TblApplications[Mois lib (calc)],"&lt;="&amp;$E601)))))</f>
        <v/>
      </c>
      <c r="Z601" s="14" t="str">
        <f aca="false">IF($D601&lt;&gt;1,"",IF($AI601=1,0,MAX($J601,ROUNDUP(MAX($X601/$H601,$Y601/$I601),0))))</f>
        <v/>
      </c>
      <c r="AA601" s="84" t="str">
        <f aca="false">IF($D601&lt;&gt;1,"",IF(p_mode="Nœud",$Z601*$K601,$X601*IF($G601="IKS",p_iks_cpu,p_roks_cpu)+$Y601*IF($G601="IKS",p_iks_ram,p_roks_ram))*p_facteur)</f>
        <v/>
      </c>
      <c r="AB601" s="14" t="str">
        <f aca="false">IF($D601&lt;&gt;1,"",MAX($J601,ROUNDUP(MAX($L601/$H601,$M601/$I601),0)))</f>
        <v/>
      </c>
      <c r="AC601" s="84" t="str">
        <f aca="false">IF($D601&lt;&gt;1,"",IF(p_mode="Nœud",$AB601*$K601,$L601*IF($G601="IKS",p_iks_cpu,p_roks_cpu)+$M601*IF($G601="IKS",p_iks_ram,p_roks_ram))*p_facteur)</f>
        <v/>
      </c>
      <c r="AD601" s="14" t="str">
        <f aca="false">IF($D601&lt;&gt;1,"",IF(AND($G601="IKS",$AI601&lt;&gt;1,OR($L601-$P601&lt;$N601,$M601-$Q601&lt;$O601)),1,0))</f>
        <v/>
      </c>
      <c r="AE601" s="14" t="str">
        <f aca="false">IF($D601&lt;&gt;1,"",IF(AND($G601="ROKS",$T601&gt;p_maxworkers),1,0))</f>
        <v/>
      </c>
      <c r="AF601" s="14" t="str">
        <f aca="false">IF($D601&lt;&gt;1,"",IF(INDEX(TblClusters[Environnement],$B601)="","(vide)",INDEX(TblClusters[Environnement],$B601)))</f>
        <v/>
      </c>
      <c r="AG601" s="14" t="str">
        <f aca="false">IF($D601&lt;&gt;1,"",$R601+p_poidsram*$S601)</f>
        <v/>
      </c>
      <c r="AH601" s="14" t="str">
        <f aca="false">IF($D601&lt;&gt;1,"",IFERROR($W601/$AG601,0))</f>
        <v/>
      </c>
      <c r="AI601" s="14" t="str">
        <f aca="false">IF($D601&lt;&gt;1,"",IF(AND($G601="IKS",ISNUMBER(INDEX(TblClusters[Fermeture retenue],$B601))),IF($E601&gt;=INDEX(TblClusters[Fermeture retenue],$B601),1,0),0))</f>
        <v/>
      </c>
    </row>
    <row r="602" customFormat="false" ht="15" hidden="false" customHeight="false" outlineLevel="0" collapsed="false">
      <c r="A602" s="14" t="n">
        <v>597</v>
      </c>
      <c r="B602" s="14" t="n">
        <f aca="false">INT(($A602-1)/36)+1</f>
        <v>17</v>
      </c>
      <c r="C602" s="14" t="n">
        <f aca="false">MOD($A602-1,36)+1</f>
        <v>21</v>
      </c>
      <c r="D602" s="14" t="n">
        <f aca="false">IF($C602&gt;p_horizon,0,IFERROR(IF(AND(INDEX(TblClusters[Cluster],$B602)&lt;&gt;"",ISNUMBER(INDEX(TblClusters[CPU initial (vCPU)],$B602)),ISNUMBER(INDEX(TblClusters[CPU min (vCPU)],$B602)),OR(INDEX(TblClusters[Plateforme],$B602)="IKS",INDEX(TblClusters[Plateforme],$B602)="ROKS")),1,0),0))</f>
        <v>0</v>
      </c>
      <c r="E602" s="83" t="str">
        <f aca="false">IF($D602=1,EDATE(p_debut,$C602-1),"")</f>
        <v/>
      </c>
      <c r="F602" s="14" t="str">
        <f aca="false">IF($D602=1,INDEX(TblClusters[Cluster],$B602),"")</f>
        <v/>
      </c>
      <c r="G602" s="14" t="str">
        <f aca="false">IF($D602=1,INDEX(TblClusters[Plateforme],$B602),"")</f>
        <v/>
      </c>
      <c r="H602" s="14" t="str">
        <f aca="false">IF($D602=1,INDEX(TblClusters[vCPU par nœud],$B602),"")</f>
        <v/>
      </c>
      <c r="I602" s="14" t="str">
        <f aca="false">IF($D602=1,INDEX(TblClusters[RAM par nœud (Go)],$B602),"")</f>
        <v/>
      </c>
      <c r="J602" s="14" t="str">
        <f aca="false">IF($D602=1,INDEX(TblClusters[Workers min],$B602),"")</f>
        <v/>
      </c>
      <c r="K602" s="84" t="str">
        <f aca="false">IF($D602=1,INDEX(TblClusters[Tarif par nœud],$B602),"")</f>
        <v/>
      </c>
      <c r="L602" s="14" t="str">
        <f aca="false">IF($D602=1,INDEX(TblClusters[CPU initial (vCPU)],$B602),"")</f>
        <v/>
      </c>
      <c r="M602" s="14" t="str">
        <f aca="false">IF($D602=1,INDEX(TblClusters[RAM initiale (Go)],$B602),"")</f>
        <v/>
      </c>
      <c r="N602" s="14" t="str">
        <f aca="false">IF($D602=1,INDEX(TblClusters[CPU min (vCPU)],$B602),"")</f>
        <v/>
      </c>
      <c r="O602" s="14" t="str">
        <f aca="false">IF($D602=1,INDEX(TblClusters[RAM min (Go)],$B602),"")</f>
        <v/>
      </c>
      <c r="P602" s="14" t="str">
        <f aca="false">IF($D602&lt;&gt;1,"",IF($G602="ROKS",SUMIFS(TblApplications[Besoin ROKS CPU (vCPU)],TblApplications[Cluster ROKS cible],$F602,TblApplications[Action],"À migrer",TblApplications[Déjà incluse ROKS],"Non",TblApplications[Mois prov (calc)],"&lt;="&amp;$E602),SUMIFS(TblApplications[CPU IKS libérable (vCPU)],TblApplications[Cluster IKS source],$F602,TblApplications[Mois lib (calc)],"&lt;="&amp;$E602)))</f>
        <v/>
      </c>
      <c r="Q602" s="14" t="str">
        <f aca="false">IF($D602&lt;&gt;1,"",IF($G602="ROKS",SUMIFS(TblApplications[Besoin ROKS RAM (Go)],TblApplications[Cluster ROKS cible],$F602,TblApplications[Action],"À migrer",TblApplications[Déjà incluse ROKS],"Non",TblApplications[Mois prov (calc)],"&lt;="&amp;$E602),SUMIFS(TblApplications[RAM IKS libérable (Go)],TblApplications[Cluster IKS source],$F602,TblApplications[Mois lib (calc)],"&lt;="&amp;$E602)))</f>
        <v/>
      </c>
      <c r="R602" s="14" t="str">
        <f aca="false">IF($D602&lt;&gt;1,"",IF($G602="ROKS",$L602+$P602,IF($AI602=1,0,MAX($N602,$L602-$P602))))</f>
        <v/>
      </c>
      <c r="S602" s="14" t="str">
        <f aca="false">IF($D602&lt;&gt;1,"",IF($G602="ROKS",$M602+$Q602,IF($AI602=1,0,MAX($O602,$M602-$Q602))))</f>
        <v/>
      </c>
      <c r="T602" s="14" t="str">
        <f aca="false">IF($D602&lt;&gt;1,"",IF($AI602=1,0,MAX($J602,ROUNDUP(MAX($R602/$H602,$S602/$I602),0))))</f>
        <v/>
      </c>
      <c r="U602" s="14" t="str">
        <f aca="false">IF($D602&lt;&gt;1,"",IF(p_mode="Nœud",$T602*$H602,$R602))</f>
        <v/>
      </c>
      <c r="V602" s="14" t="str">
        <f aca="false">IF($D602&lt;&gt;1,"",IF(p_mode="Nœud",$T602*$I602,$S602))</f>
        <v/>
      </c>
      <c r="W602" s="84" t="str">
        <f aca="false">IF($D602&lt;&gt;1,"",IF(p_mode="Nœud",$T602*$K602,$R602*IF($G602="IKS",p_iks_cpu,p_roks_cpu)+$S602*IF($G602="IKS",p_iks_ram,p_roks_ram))*p_facteur)</f>
        <v/>
      </c>
      <c r="X602" s="14" t="str">
        <f aca="false">IF($D602&lt;&gt;1,"",IF($G602="ROKS",$R602,IF($AI602=1,0,MAX($N602,$L602-SUMIFS(TblApplications[CPU IKS libérable (vCPU)],TblApplications[Cluster IKS source],$F602,TblApplications[Action],"À migrer",TblApplications[Mois prov (calc)],"&lt;="&amp;$E602)-SUMIFS(TblApplications[CPU IKS libérable (vCPU)],TblApplications[Cluster IKS source],$F602,TblApplications[Action],"À décommissionner",TblApplications[Mois lib (calc)],"&lt;="&amp;$E602)))))</f>
        <v/>
      </c>
      <c r="Y602" s="14" t="str">
        <f aca="false">IF($D602&lt;&gt;1,"",IF($G602="ROKS",$S602,IF($AI602=1,0,MAX($O602,$M602-SUMIFS(TblApplications[RAM IKS libérable (Go)],TblApplications[Cluster IKS source],$F602,TblApplications[Action],"À migrer",TblApplications[Mois prov (calc)],"&lt;="&amp;$E602)-SUMIFS(TblApplications[RAM IKS libérable (Go)],TblApplications[Cluster IKS source],$F602,TblApplications[Action],"À décommissionner",TblApplications[Mois lib (calc)],"&lt;="&amp;$E602)))))</f>
        <v/>
      </c>
      <c r="Z602" s="14" t="str">
        <f aca="false">IF($D602&lt;&gt;1,"",IF($AI602=1,0,MAX($J602,ROUNDUP(MAX($X602/$H602,$Y602/$I602),0))))</f>
        <v/>
      </c>
      <c r="AA602" s="84" t="str">
        <f aca="false">IF($D602&lt;&gt;1,"",IF(p_mode="Nœud",$Z602*$K602,$X602*IF($G602="IKS",p_iks_cpu,p_roks_cpu)+$Y602*IF($G602="IKS",p_iks_ram,p_roks_ram))*p_facteur)</f>
        <v/>
      </c>
      <c r="AB602" s="14" t="str">
        <f aca="false">IF($D602&lt;&gt;1,"",MAX($J602,ROUNDUP(MAX($L602/$H602,$M602/$I602),0)))</f>
        <v/>
      </c>
      <c r="AC602" s="84" t="str">
        <f aca="false">IF($D602&lt;&gt;1,"",IF(p_mode="Nœud",$AB602*$K602,$L602*IF($G602="IKS",p_iks_cpu,p_roks_cpu)+$M602*IF($G602="IKS",p_iks_ram,p_roks_ram))*p_facteur)</f>
        <v/>
      </c>
      <c r="AD602" s="14" t="str">
        <f aca="false">IF($D602&lt;&gt;1,"",IF(AND($G602="IKS",$AI602&lt;&gt;1,OR($L602-$P602&lt;$N602,$M602-$Q602&lt;$O602)),1,0))</f>
        <v/>
      </c>
      <c r="AE602" s="14" t="str">
        <f aca="false">IF($D602&lt;&gt;1,"",IF(AND($G602="ROKS",$T602&gt;p_maxworkers),1,0))</f>
        <v/>
      </c>
      <c r="AF602" s="14" t="str">
        <f aca="false">IF($D602&lt;&gt;1,"",IF(INDEX(TblClusters[Environnement],$B602)="","(vide)",INDEX(TblClusters[Environnement],$B602)))</f>
        <v/>
      </c>
      <c r="AG602" s="14" t="str">
        <f aca="false">IF($D602&lt;&gt;1,"",$R602+p_poidsram*$S602)</f>
        <v/>
      </c>
      <c r="AH602" s="14" t="str">
        <f aca="false">IF($D602&lt;&gt;1,"",IFERROR($W602/$AG602,0))</f>
        <v/>
      </c>
      <c r="AI602" s="14" t="str">
        <f aca="false">IF($D602&lt;&gt;1,"",IF(AND($G602="IKS",ISNUMBER(INDEX(TblClusters[Fermeture retenue],$B602))),IF($E602&gt;=INDEX(TblClusters[Fermeture retenue],$B602),1,0),0))</f>
        <v/>
      </c>
    </row>
    <row r="603" customFormat="false" ht="15" hidden="false" customHeight="false" outlineLevel="0" collapsed="false">
      <c r="A603" s="14" t="n">
        <v>598</v>
      </c>
      <c r="B603" s="14" t="n">
        <f aca="false">INT(($A603-1)/36)+1</f>
        <v>17</v>
      </c>
      <c r="C603" s="14" t="n">
        <f aca="false">MOD($A603-1,36)+1</f>
        <v>22</v>
      </c>
      <c r="D603" s="14" t="n">
        <f aca="false">IF($C603&gt;p_horizon,0,IFERROR(IF(AND(INDEX(TblClusters[Cluster],$B603)&lt;&gt;"",ISNUMBER(INDEX(TblClusters[CPU initial (vCPU)],$B603)),ISNUMBER(INDEX(TblClusters[CPU min (vCPU)],$B603)),OR(INDEX(TblClusters[Plateforme],$B603)="IKS",INDEX(TblClusters[Plateforme],$B603)="ROKS")),1,0),0))</f>
        <v>0</v>
      </c>
      <c r="E603" s="83" t="str">
        <f aca="false">IF($D603=1,EDATE(p_debut,$C603-1),"")</f>
        <v/>
      </c>
      <c r="F603" s="14" t="str">
        <f aca="false">IF($D603=1,INDEX(TblClusters[Cluster],$B603),"")</f>
        <v/>
      </c>
      <c r="G603" s="14" t="str">
        <f aca="false">IF($D603=1,INDEX(TblClusters[Plateforme],$B603),"")</f>
        <v/>
      </c>
      <c r="H603" s="14" t="str">
        <f aca="false">IF($D603=1,INDEX(TblClusters[vCPU par nœud],$B603),"")</f>
        <v/>
      </c>
      <c r="I603" s="14" t="str">
        <f aca="false">IF($D603=1,INDEX(TblClusters[RAM par nœud (Go)],$B603),"")</f>
        <v/>
      </c>
      <c r="J603" s="14" t="str">
        <f aca="false">IF($D603=1,INDEX(TblClusters[Workers min],$B603),"")</f>
        <v/>
      </c>
      <c r="K603" s="84" t="str">
        <f aca="false">IF($D603=1,INDEX(TblClusters[Tarif par nœud],$B603),"")</f>
        <v/>
      </c>
      <c r="L603" s="14" t="str">
        <f aca="false">IF($D603=1,INDEX(TblClusters[CPU initial (vCPU)],$B603),"")</f>
        <v/>
      </c>
      <c r="M603" s="14" t="str">
        <f aca="false">IF($D603=1,INDEX(TblClusters[RAM initiale (Go)],$B603),"")</f>
        <v/>
      </c>
      <c r="N603" s="14" t="str">
        <f aca="false">IF($D603=1,INDEX(TblClusters[CPU min (vCPU)],$B603),"")</f>
        <v/>
      </c>
      <c r="O603" s="14" t="str">
        <f aca="false">IF($D603=1,INDEX(TblClusters[RAM min (Go)],$B603),"")</f>
        <v/>
      </c>
      <c r="P603" s="14" t="str">
        <f aca="false">IF($D603&lt;&gt;1,"",IF($G603="ROKS",SUMIFS(TblApplications[Besoin ROKS CPU (vCPU)],TblApplications[Cluster ROKS cible],$F603,TblApplications[Action],"À migrer",TblApplications[Déjà incluse ROKS],"Non",TblApplications[Mois prov (calc)],"&lt;="&amp;$E603),SUMIFS(TblApplications[CPU IKS libérable (vCPU)],TblApplications[Cluster IKS source],$F603,TblApplications[Mois lib (calc)],"&lt;="&amp;$E603)))</f>
        <v/>
      </c>
      <c r="Q603" s="14" t="str">
        <f aca="false">IF($D603&lt;&gt;1,"",IF($G603="ROKS",SUMIFS(TblApplications[Besoin ROKS RAM (Go)],TblApplications[Cluster ROKS cible],$F603,TblApplications[Action],"À migrer",TblApplications[Déjà incluse ROKS],"Non",TblApplications[Mois prov (calc)],"&lt;="&amp;$E603),SUMIFS(TblApplications[RAM IKS libérable (Go)],TblApplications[Cluster IKS source],$F603,TblApplications[Mois lib (calc)],"&lt;="&amp;$E603)))</f>
        <v/>
      </c>
      <c r="R603" s="14" t="str">
        <f aca="false">IF($D603&lt;&gt;1,"",IF($G603="ROKS",$L603+$P603,IF($AI603=1,0,MAX($N603,$L603-$P603))))</f>
        <v/>
      </c>
      <c r="S603" s="14" t="str">
        <f aca="false">IF($D603&lt;&gt;1,"",IF($G603="ROKS",$M603+$Q603,IF($AI603=1,0,MAX($O603,$M603-$Q603))))</f>
        <v/>
      </c>
      <c r="T603" s="14" t="str">
        <f aca="false">IF($D603&lt;&gt;1,"",IF($AI603=1,0,MAX($J603,ROUNDUP(MAX($R603/$H603,$S603/$I603),0))))</f>
        <v/>
      </c>
      <c r="U603" s="14" t="str">
        <f aca="false">IF($D603&lt;&gt;1,"",IF(p_mode="Nœud",$T603*$H603,$R603))</f>
        <v/>
      </c>
      <c r="V603" s="14" t="str">
        <f aca="false">IF($D603&lt;&gt;1,"",IF(p_mode="Nœud",$T603*$I603,$S603))</f>
        <v/>
      </c>
      <c r="W603" s="84" t="str">
        <f aca="false">IF($D603&lt;&gt;1,"",IF(p_mode="Nœud",$T603*$K603,$R603*IF($G603="IKS",p_iks_cpu,p_roks_cpu)+$S603*IF($G603="IKS",p_iks_ram,p_roks_ram))*p_facteur)</f>
        <v/>
      </c>
      <c r="X603" s="14" t="str">
        <f aca="false">IF($D603&lt;&gt;1,"",IF($G603="ROKS",$R603,IF($AI603=1,0,MAX($N603,$L603-SUMIFS(TblApplications[CPU IKS libérable (vCPU)],TblApplications[Cluster IKS source],$F603,TblApplications[Action],"À migrer",TblApplications[Mois prov (calc)],"&lt;="&amp;$E603)-SUMIFS(TblApplications[CPU IKS libérable (vCPU)],TblApplications[Cluster IKS source],$F603,TblApplications[Action],"À décommissionner",TblApplications[Mois lib (calc)],"&lt;="&amp;$E603)))))</f>
        <v/>
      </c>
      <c r="Y603" s="14" t="str">
        <f aca="false">IF($D603&lt;&gt;1,"",IF($G603="ROKS",$S603,IF($AI603=1,0,MAX($O603,$M603-SUMIFS(TblApplications[RAM IKS libérable (Go)],TblApplications[Cluster IKS source],$F603,TblApplications[Action],"À migrer",TblApplications[Mois prov (calc)],"&lt;="&amp;$E603)-SUMIFS(TblApplications[RAM IKS libérable (Go)],TblApplications[Cluster IKS source],$F603,TblApplications[Action],"À décommissionner",TblApplications[Mois lib (calc)],"&lt;="&amp;$E603)))))</f>
        <v/>
      </c>
      <c r="Z603" s="14" t="str">
        <f aca="false">IF($D603&lt;&gt;1,"",IF($AI603=1,0,MAX($J603,ROUNDUP(MAX($X603/$H603,$Y603/$I603),0))))</f>
        <v/>
      </c>
      <c r="AA603" s="84" t="str">
        <f aca="false">IF($D603&lt;&gt;1,"",IF(p_mode="Nœud",$Z603*$K603,$X603*IF($G603="IKS",p_iks_cpu,p_roks_cpu)+$Y603*IF($G603="IKS",p_iks_ram,p_roks_ram))*p_facteur)</f>
        <v/>
      </c>
      <c r="AB603" s="14" t="str">
        <f aca="false">IF($D603&lt;&gt;1,"",MAX($J603,ROUNDUP(MAX($L603/$H603,$M603/$I603),0)))</f>
        <v/>
      </c>
      <c r="AC603" s="84" t="str">
        <f aca="false">IF($D603&lt;&gt;1,"",IF(p_mode="Nœud",$AB603*$K603,$L603*IF($G603="IKS",p_iks_cpu,p_roks_cpu)+$M603*IF($G603="IKS",p_iks_ram,p_roks_ram))*p_facteur)</f>
        <v/>
      </c>
      <c r="AD603" s="14" t="str">
        <f aca="false">IF($D603&lt;&gt;1,"",IF(AND($G603="IKS",$AI603&lt;&gt;1,OR($L603-$P603&lt;$N603,$M603-$Q603&lt;$O603)),1,0))</f>
        <v/>
      </c>
      <c r="AE603" s="14" t="str">
        <f aca="false">IF($D603&lt;&gt;1,"",IF(AND($G603="ROKS",$T603&gt;p_maxworkers),1,0))</f>
        <v/>
      </c>
      <c r="AF603" s="14" t="str">
        <f aca="false">IF($D603&lt;&gt;1,"",IF(INDEX(TblClusters[Environnement],$B603)="","(vide)",INDEX(TblClusters[Environnement],$B603)))</f>
        <v/>
      </c>
      <c r="AG603" s="14" t="str">
        <f aca="false">IF($D603&lt;&gt;1,"",$R603+p_poidsram*$S603)</f>
        <v/>
      </c>
      <c r="AH603" s="14" t="str">
        <f aca="false">IF($D603&lt;&gt;1,"",IFERROR($W603/$AG603,0))</f>
        <v/>
      </c>
      <c r="AI603" s="14" t="str">
        <f aca="false">IF($D603&lt;&gt;1,"",IF(AND($G603="IKS",ISNUMBER(INDEX(TblClusters[Fermeture retenue],$B603))),IF($E603&gt;=INDEX(TblClusters[Fermeture retenue],$B603),1,0),0))</f>
        <v/>
      </c>
    </row>
    <row r="604" customFormat="false" ht="15" hidden="false" customHeight="false" outlineLevel="0" collapsed="false">
      <c r="A604" s="14" t="n">
        <v>599</v>
      </c>
      <c r="B604" s="14" t="n">
        <f aca="false">INT(($A604-1)/36)+1</f>
        <v>17</v>
      </c>
      <c r="C604" s="14" t="n">
        <f aca="false">MOD($A604-1,36)+1</f>
        <v>23</v>
      </c>
      <c r="D604" s="14" t="n">
        <f aca="false">IF($C604&gt;p_horizon,0,IFERROR(IF(AND(INDEX(TblClusters[Cluster],$B604)&lt;&gt;"",ISNUMBER(INDEX(TblClusters[CPU initial (vCPU)],$B604)),ISNUMBER(INDEX(TblClusters[CPU min (vCPU)],$B604)),OR(INDEX(TblClusters[Plateforme],$B604)="IKS",INDEX(TblClusters[Plateforme],$B604)="ROKS")),1,0),0))</f>
        <v>0</v>
      </c>
      <c r="E604" s="83" t="str">
        <f aca="false">IF($D604=1,EDATE(p_debut,$C604-1),"")</f>
        <v/>
      </c>
      <c r="F604" s="14" t="str">
        <f aca="false">IF($D604=1,INDEX(TblClusters[Cluster],$B604),"")</f>
        <v/>
      </c>
      <c r="G604" s="14" t="str">
        <f aca="false">IF($D604=1,INDEX(TblClusters[Plateforme],$B604),"")</f>
        <v/>
      </c>
      <c r="H604" s="14" t="str">
        <f aca="false">IF($D604=1,INDEX(TblClusters[vCPU par nœud],$B604),"")</f>
        <v/>
      </c>
      <c r="I604" s="14" t="str">
        <f aca="false">IF($D604=1,INDEX(TblClusters[RAM par nœud (Go)],$B604),"")</f>
        <v/>
      </c>
      <c r="J604" s="14" t="str">
        <f aca="false">IF($D604=1,INDEX(TblClusters[Workers min],$B604),"")</f>
        <v/>
      </c>
      <c r="K604" s="84" t="str">
        <f aca="false">IF($D604=1,INDEX(TblClusters[Tarif par nœud],$B604),"")</f>
        <v/>
      </c>
      <c r="L604" s="14" t="str">
        <f aca="false">IF($D604=1,INDEX(TblClusters[CPU initial (vCPU)],$B604),"")</f>
        <v/>
      </c>
      <c r="M604" s="14" t="str">
        <f aca="false">IF($D604=1,INDEX(TblClusters[RAM initiale (Go)],$B604),"")</f>
        <v/>
      </c>
      <c r="N604" s="14" t="str">
        <f aca="false">IF($D604=1,INDEX(TblClusters[CPU min (vCPU)],$B604),"")</f>
        <v/>
      </c>
      <c r="O604" s="14" t="str">
        <f aca="false">IF($D604=1,INDEX(TblClusters[RAM min (Go)],$B604),"")</f>
        <v/>
      </c>
      <c r="P604" s="14" t="str">
        <f aca="false">IF($D604&lt;&gt;1,"",IF($G604="ROKS",SUMIFS(TblApplications[Besoin ROKS CPU (vCPU)],TblApplications[Cluster ROKS cible],$F604,TblApplications[Action],"À migrer",TblApplications[Déjà incluse ROKS],"Non",TblApplications[Mois prov (calc)],"&lt;="&amp;$E604),SUMIFS(TblApplications[CPU IKS libérable (vCPU)],TblApplications[Cluster IKS source],$F604,TblApplications[Mois lib (calc)],"&lt;="&amp;$E604)))</f>
        <v/>
      </c>
      <c r="Q604" s="14" t="str">
        <f aca="false">IF($D604&lt;&gt;1,"",IF($G604="ROKS",SUMIFS(TblApplications[Besoin ROKS RAM (Go)],TblApplications[Cluster ROKS cible],$F604,TblApplications[Action],"À migrer",TblApplications[Déjà incluse ROKS],"Non",TblApplications[Mois prov (calc)],"&lt;="&amp;$E604),SUMIFS(TblApplications[RAM IKS libérable (Go)],TblApplications[Cluster IKS source],$F604,TblApplications[Mois lib (calc)],"&lt;="&amp;$E604)))</f>
        <v/>
      </c>
      <c r="R604" s="14" t="str">
        <f aca="false">IF($D604&lt;&gt;1,"",IF($G604="ROKS",$L604+$P604,IF($AI604=1,0,MAX($N604,$L604-$P604))))</f>
        <v/>
      </c>
      <c r="S604" s="14" t="str">
        <f aca="false">IF($D604&lt;&gt;1,"",IF($G604="ROKS",$M604+$Q604,IF($AI604=1,0,MAX($O604,$M604-$Q604))))</f>
        <v/>
      </c>
      <c r="T604" s="14" t="str">
        <f aca="false">IF($D604&lt;&gt;1,"",IF($AI604=1,0,MAX($J604,ROUNDUP(MAX($R604/$H604,$S604/$I604),0))))</f>
        <v/>
      </c>
      <c r="U604" s="14" t="str">
        <f aca="false">IF($D604&lt;&gt;1,"",IF(p_mode="Nœud",$T604*$H604,$R604))</f>
        <v/>
      </c>
      <c r="V604" s="14" t="str">
        <f aca="false">IF($D604&lt;&gt;1,"",IF(p_mode="Nœud",$T604*$I604,$S604))</f>
        <v/>
      </c>
      <c r="W604" s="84" t="str">
        <f aca="false">IF($D604&lt;&gt;1,"",IF(p_mode="Nœud",$T604*$K604,$R604*IF($G604="IKS",p_iks_cpu,p_roks_cpu)+$S604*IF($G604="IKS",p_iks_ram,p_roks_ram))*p_facteur)</f>
        <v/>
      </c>
      <c r="X604" s="14" t="str">
        <f aca="false">IF($D604&lt;&gt;1,"",IF($G604="ROKS",$R604,IF($AI604=1,0,MAX($N604,$L604-SUMIFS(TblApplications[CPU IKS libérable (vCPU)],TblApplications[Cluster IKS source],$F604,TblApplications[Action],"À migrer",TblApplications[Mois prov (calc)],"&lt;="&amp;$E604)-SUMIFS(TblApplications[CPU IKS libérable (vCPU)],TblApplications[Cluster IKS source],$F604,TblApplications[Action],"À décommissionner",TblApplications[Mois lib (calc)],"&lt;="&amp;$E604)))))</f>
        <v/>
      </c>
      <c r="Y604" s="14" t="str">
        <f aca="false">IF($D604&lt;&gt;1,"",IF($G604="ROKS",$S604,IF($AI604=1,0,MAX($O604,$M604-SUMIFS(TblApplications[RAM IKS libérable (Go)],TblApplications[Cluster IKS source],$F604,TblApplications[Action],"À migrer",TblApplications[Mois prov (calc)],"&lt;="&amp;$E604)-SUMIFS(TblApplications[RAM IKS libérable (Go)],TblApplications[Cluster IKS source],$F604,TblApplications[Action],"À décommissionner",TblApplications[Mois lib (calc)],"&lt;="&amp;$E604)))))</f>
        <v/>
      </c>
      <c r="Z604" s="14" t="str">
        <f aca="false">IF($D604&lt;&gt;1,"",IF($AI604=1,0,MAX($J604,ROUNDUP(MAX($X604/$H604,$Y604/$I604),0))))</f>
        <v/>
      </c>
      <c r="AA604" s="84" t="str">
        <f aca="false">IF($D604&lt;&gt;1,"",IF(p_mode="Nœud",$Z604*$K604,$X604*IF($G604="IKS",p_iks_cpu,p_roks_cpu)+$Y604*IF($G604="IKS",p_iks_ram,p_roks_ram))*p_facteur)</f>
        <v/>
      </c>
      <c r="AB604" s="14" t="str">
        <f aca="false">IF($D604&lt;&gt;1,"",MAX($J604,ROUNDUP(MAX($L604/$H604,$M604/$I604),0)))</f>
        <v/>
      </c>
      <c r="AC604" s="84" t="str">
        <f aca="false">IF($D604&lt;&gt;1,"",IF(p_mode="Nœud",$AB604*$K604,$L604*IF($G604="IKS",p_iks_cpu,p_roks_cpu)+$M604*IF($G604="IKS",p_iks_ram,p_roks_ram))*p_facteur)</f>
        <v/>
      </c>
      <c r="AD604" s="14" t="str">
        <f aca="false">IF($D604&lt;&gt;1,"",IF(AND($G604="IKS",$AI604&lt;&gt;1,OR($L604-$P604&lt;$N604,$M604-$Q604&lt;$O604)),1,0))</f>
        <v/>
      </c>
      <c r="AE604" s="14" t="str">
        <f aca="false">IF($D604&lt;&gt;1,"",IF(AND($G604="ROKS",$T604&gt;p_maxworkers),1,0))</f>
        <v/>
      </c>
      <c r="AF604" s="14" t="str">
        <f aca="false">IF($D604&lt;&gt;1,"",IF(INDEX(TblClusters[Environnement],$B604)="","(vide)",INDEX(TblClusters[Environnement],$B604)))</f>
        <v/>
      </c>
      <c r="AG604" s="14" t="str">
        <f aca="false">IF($D604&lt;&gt;1,"",$R604+p_poidsram*$S604)</f>
        <v/>
      </c>
      <c r="AH604" s="14" t="str">
        <f aca="false">IF($D604&lt;&gt;1,"",IFERROR($W604/$AG604,0))</f>
        <v/>
      </c>
      <c r="AI604" s="14" t="str">
        <f aca="false">IF($D604&lt;&gt;1,"",IF(AND($G604="IKS",ISNUMBER(INDEX(TblClusters[Fermeture retenue],$B604))),IF($E604&gt;=INDEX(TblClusters[Fermeture retenue],$B604),1,0),0))</f>
        <v/>
      </c>
    </row>
    <row r="605" customFormat="false" ht="15" hidden="false" customHeight="false" outlineLevel="0" collapsed="false">
      <c r="A605" s="14" t="n">
        <v>600</v>
      </c>
      <c r="B605" s="14" t="n">
        <f aca="false">INT(($A605-1)/36)+1</f>
        <v>17</v>
      </c>
      <c r="C605" s="14" t="n">
        <f aca="false">MOD($A605-1,36)+1</f>
        <v>24</v>
      </c>
      <c r="D605" s="14" t="n">
        <f aca="false">IF($C605&gt;p_horizon,0,IFERROR(IF(AND(INDEX(TblClusters[Cluster],$B605)&lt;&gt;"",ISNUMBER(INDEX(TblClusters[CPU initial (vCPU)],$B605)),ISNUMBER(INDEX(TblClusters[CPU min (vCPU)],$B605)),OR(INDEX(TblClusters[Plateforme],$B605)="IKS",INDEX(TblClusters[Plateforme],$B605)="ROKS")),1,0),0))</f>
        <v>0</v>
      </c>
      <c r="E605" s="83" t="str">
        <f aca="false">IF($D605=1,EDATE(p_debut,$C605-1),"")</f>
        <v/>
      </c>
      <c r="F605" s="14" t="str">
        <f aca="false">IF($D605=1,INDEX(TblClusters[Cluster],$B605),"")</f>
        <v/>
      </c>
      <c r="G605" s="14" t="str">
        <f aca="false">IF($D605=1,INDEX(TblClusters[Plateforme],$B605),"")</f>
        <v/>
      </c>
      <c r="H605" s="14" t="str">
        <f aca="false">IF($D605=1,INDEX(TblClusters[vCPU par nœud],$B605),"")</f>
        <v/>
      </c>
      <c r="I605" s="14" t="str">
        <f aca="false">IF($D605=1,INDEX(TblClusters[RAM par nœud (Go)],$B605),"")</f>
        <v/>
      </c>
      <c r="J605" s="14" t="str">
        <f aca="false">IF($D605=1,INDEX(TblClusters[Workers min],$B605),"")</f>
        <v/>
      </c>
      <c r="K605" s="84" t="str">
        <f aca="false">IF($D605=1,INDEX(TblClusters[Tarif par nœud],$B605),"")</f>
        <v/>
      </c>
      <c r="L605" s="14" t="str">
        <f aca="false">IF($D605=1,INDEX(TblClusters[CPU initial (vCPU)],$B605),"")</f>
        <v/>
      </c>
      <c r="M605" s="14" t="str">
        <f aca="false">IF($D605=1,INDEX(TblClusters[RAM initiale (Go)],$B605),"")</f>
        <v/>
      </c>
      <c r="N605" s="14" t="str">
        <f aca="false">IF($D605=1,INDEX(TblClusters[CPU min (vCPU)],$B605),"")</f>
        <v/>
      </c>
      <c r="O605" s="14" t="str">
        <f aca="false">IF($D605=1,INDEX(TblClusters[RAM min (Go)],$B605),"")</f>
        <v/>
      </c>
      <c r="P605" s="14" t="str">
        <f aca="false">IF($D605&lt;&gt;1,"",IF($G605="ROKS",SUMIFS(TblApplications[Besoin ROKS CPU (vCPU)],TblApplications[Cluster ROKS cible],$F605,TblApplications[Action],"À migrer",TblApplications[Déjà incluse ROKS],"Non",TblApplications[Mois prov (calc)],"&lt;="&amp;$E605),SUMIFS(TblApplications[CPU IKS libérable (vCPU)],TblApplications[Cluster IKS source],$F605,TblApplications[Mois lib (calc)],"&lt;="&amp;$E605)))</f>
        <v/>
      </c>
      <c r="Q605" s="14" t="str">
        <f aca="false">IF($D605&lt;&gt;1,"",IF($G605="ROKS",SUMIFS(TblApplications[Besoin ROKS RAM (Go)],TblApplications[Cluster ROKS cible],$F605,TblApplications[Action],"À migrer",TblApplications[Déjà incluse ROKS],"Non",TblApplications[Mois prov (calc)],"&lt;="&amp;$E605),SUMIFS(TblApplications[RAM IKS libérable (Go)],TblApplications[Cluster IKS source],$F605,TblApplications[Mois lib (calc)],"&lt;="&amp;$E605)))</f>
        <v/>
      </c>
      <c r="R605" s="14" t="str">
        <f aca="false">IF($D605&lt;&gt;1,"",IF($G605="ROKS",$L605+$P605,IF($AI605=1,0,MAX($N605,$L605-$P605))))</f>
        <v/>
      </c>
      <c r="S605" s="14" t="str">
        <f aca="false">IF($D605&lt;&gt;1,"",IF($G605="ROKS",$M605+$Q605,IF($AI605=1,0,MAX($O605,$M605-$Q605))))</f>
        <v/>
      </c>
      <c r="T605" s="14" t="str">
        <f aca="false">IF($D605&lt;&gt;1,"",IF($AI605=1,0,MAX($J605,ROUNDUP(MAX($R605/$H605,$S605/$I605),0))))</f>
        <v/>
      </c>
      <c r="U605" s="14" t="str">
        <f aca="false">IF($D605&lt;&gt;1,"",IF(p_mode="Nœud",$T605*$H605,$R605))</f>
        <v/>
      </c>
      <c r="V605" s="14" t="str">
        <f aca="false">IF($D605&lt;&gt;1,"",IF(p_mode="Nœud",$T605*$I605,$S605))</f>
        <v/>
      </c>
      <c r="W605" s="84" t="str">
        <f aca="false">IF($D605&lt;&gt;1,"",IF(p_mode="Nœud",$T605*$K605,$R605*IF($G605="IKS",p_iks_cpu,p_roks_cpu)+$S605*IF($G605="IKS",p_iks_ram,p_roks_ram))*p_facteur)</f>
        <v/>
      </c>
      <c r="X605" s="14" t="str">
        <f aca="false">IF($D605&lt;&gt;1,"",IF($G605="ROKS",$R605,IF($AI605=1,0,MAX($N605,$L605-SUMIFS(TblApplications[CPU IKS libérable (vCPU)],TblApplications[Cluster IKS source],$F605,TblApplications[Action],"À migrer",TblApplications[Mois prov (calc)],"&lt;="&amp;$E605)-SUMIFS(TblApplications[CPU IKS libérable (vCPU)],TblApplications[Cluster IKS source],$F605,TblApplications[Action],"À décommissionner",TblApplications[Mois lib (calc)],"&lt;="&amp;$E605)))))</f>
        <v/>
      </c>
      <c r="Y605" s="14" t="str">
        <f aca="false">IF($D605&lt;&gt;1,"",IF($G605="ROKS",$S605,IF($AI605=1,0,MAX($O605,$M605-SUMIFS(TblApplications[RAM IKS libérable (Go)],TblApplications[Cluster IKS source],$F605,TblApplications[Action],"À migrer",TblApplications[Mois prov (calc)],"&lt;="&amp;$E605)-SUMIFS(TblApplications[RAM IKS libérable (Go)],TblApplications[Cluster IKS source],$F605,TblApplications[Action],"À décommissionner",TblApplications[Mois lib (calc)],"&lt;="&amp;$E605)))))</f>
        <v/>
      </c>
      <c r="Z605" s="14" t="str">
        <f aca="false">IF($D605&lt;&gt;1,"",IF($AI605=1,0,MAX($J605,ROUNDUP(MAX($X605/$H605,$Y605/$I605),0))))</f>
        <v/>
      </c>
      <c r="AA605" s="84" t="str">
        <f aca="false">IF($D605&lt;&gt;1,"",IF(p_mode="Nœud",$Z605*$K605,$X605*IF($G605="IKS",p_iks_cpu,p_roks_cpu)+$Y605*IF($G605="IKS",p_iks_ram,p_roks_ram))*p_facteur)</f>
        <v/>
      </c>
      <c r="AB605" s="14" t="str">
        <f aca="false">IF($D605&lt;&gt;1,"",MAX($J605,ROUNDUP(MAX($L605/$H605,$M605/$I605),0)))</f>
        <v/>
      </c>
      <c r="AC605" s="84" t="str">
        <f aca="false">IF($D605&lt;&gt;1,"",IF(p_mode="Nœud",$AB605*$K605,$L605*IF($G605="IKS",p_iks_cpu,p_roks_cpu)+$M605*IF($G605="IKS",p_iks_ram,p_roks_ram))*p_facteur)</f>
        <v/>
      </c>
      <c r="AD605" s="14" t="str">
        <f aca="false">IF($D605&lt;&gt;1,"",IF(AND($G605="IKS",$AI605&lt;&gt;1,OR($L605-$P605&lt;$N605,$M605-$Q605&lt;$O605)),1,0))</f>
        <v/>
      </c>
      <c r="AE605" s="14" t="str">
        <f aca="false">IF($D605&lt;&gt;1,"",IF(AND($G605="ROKS",$T605&gt;p_maxworkers),1,0))</f>
        <v/>
      </c>
      <c r="AF605" s="14" t="str">
        <f aca="false">IF($D605&lt;&gt;1,"",IF(INDEX(TblClusters[Environnement],$B605)="","(vide)",INDEX(TblClusters[Environnement],$B605)))</f>
        <v/>
      </c>
      <c r="AG605" s="14" t="str">
        <f aca="false">IF($D605&lt;&gt;1,"",$R605+p_poidsram*$S605)</f>
        <v/>
      </c>
      <c r="AH605" s="14" t="str">
        <f aca="false">IF($D605&lt;&gt;1,"",IFERROR($W605/$AG605,0))</f>
        <v/>
      </c>
      <c r="AI605" s="14" t="str">
        <f aca="false">IF($D605&lt;&gt;1,"",IF(AND($G605="IKS",ISNUMBER(INDEX(TblClusters[Fermeture retenue],$B605))),IF($E605&gt;=INDEX(TblClusters[Fermeture retenue],$B605),1,0),0))</f>
        <v/>
      </c>
    </row>
    <row r="606" customFormat="false" ht="15" hidden="false" customHeight="false" outlineLevel="0" collapsed="false">
      <c r="A606" s="14" t="n">
        <v>601</v>
      </c>
      <c r="B606" s="14" t="n">
        <f aca="false">INT(($A606-1)/36)+1</f>
        <v>17</v>
      </c>
      <c r="C606" s="14" t="n">
        <f aca="false">MOD($A606-1,36)+1</f>
        <v>25</v>
      </c>
      <c r="D606" s="14" t="n">
        <f aca="false">IF($C606&gt;p_horizon,0,IFERROR(IF(AND(INDEX(TblClusters[Cluster],$B606)&lt;&gt;"",ISNUMBER(INDEX(TblClusters[CPU initial (vCPU)],$B606)),ISNUMBER(INDEX(TblClusters[CPU min (vCPU)],$B606)),OR(INDEX(TblClusters[Plateforme],$B606)="IKS",INDEX(TblClusters[Plateforme],$B606)="ROKS")),1,0),0))</f>
        <v>0</v>
      </c>
      <c r="E606" s="83" t="str">
        <f aca="false">IF($D606=1,EDATE(p_debut,$C606-1),"")</f>
        <v/>
      </c>
      <c r="F606" s="14" t="str">
        <f aca="false">IF($D606=1,INDEX(TblClusters[Cluster],$B606),"")</f>
        <v/>
      </c>
      <c r="G606" s="14" t="str">
        <f aca="false">IF($D606=1,INDEX(TblClusters[Plateforme],$B606),"")</f>
        <v/>
      </c>
      <c r="H606" s="14" t="str">
        <f aca="false">IF($D606=1,INDEX(TblClusters[vCPU par nœud],$B606),"")</f>
        <v/>
      </c>
      <c r="I606" s="14" t="str">
        <f aca="false">IF($D606=1,INDEX(TblClusters[RAM par nœud (Go)],$B606),"")</f>
        <v/>
      </c>
      <c r="J606" s="14" t="str">
        <f aca="false">IF($D606=1,INDEX(TblClusters[Workers min],$B606),"")</f>
        <v/>
      </c>
      <c r="K606" s="84" t="str">
        <f aca="false">IF($D606=1,INDEX(TblClusters[Tarif par nœud],$B606),"")</f>
        <v/>
      </c>
      <c r="L606" s="14" t="str">
        <f aca="false">IF($D606=1,INDEX(TblClusters[CPU initial (vCPU)],$B606),"")</f>
        <v/>
      </c>
      <c r="M606" s="14" t="str">
        <f aca="false">IF($D606=1,INDEX(TblClusters[RAM initiale (Go)],$B606),"")</f>
        <v/>
      </c>
      <c r="N606" s="14" t="str">
        <f aca="false">IF($D606=1,INDEX(TblClusters[CPU min (vCPU)],$B606),"")</f>
        <v/>
      </c>
      <c r="O606" s="14" t="str">
        <f aca="false">IF($D606=1,INDEX(TblClusters[RAM min (Go)],$B606),"")</f>
        <v/>
      </c>
      <c r="P606" s="14" t="str">
        <f aca="false">IF($D606&lt;&gt;1,"",IF($G606="ROKS",SUMIFS(TblApplications[Besoin ROKS CPU (vCPU)],TblApplications[Cluster ROKS cible],$F606,TblApplications[Action],"À migrer",TblApplications[Déjà incluse ROKS],"Non",TblApplications[Mois prov (calc)],"&lt;="&amp;$E606),SUMIFS(TblApplications[CPU IKS libérable (vCPU)],TblApplications[Cluster IKS source],$F606,TblApplications[Mois lib (calc)],"&lt;="&amp;$E606)))</f>
        <v/>
      </c>
      <c r="Q606" s="14" t="str">
        <f aca="false">IF($D606&lt;&gt;1,"",IF($G606="ROKS",SUMIFS(TblApplications[Besoin ROKS RAM (Go)],TblApplications[Cluster ROKS cible],$F606,TblApplications[Action],"À migrer",TblApplications[Déjà incluse ROKS],"Non",TblApplications[Mois prov (calc)],"&lt;="&amp;$E606),SUMIFS(TblApplications[RAM IKS libérable (Go)],TblApplications[Cluster IKS source],$F606,TblApplications[Mois lib (calc)],"&lt;="&amp;$E606)))</f>
        <v/>
      </c>
      <c r="R606" s="14" t="str">
        <f aca="false">IF($D606&lt;&gt;1,"",IF($G606="ROKS",$L606+$P606,IF($AI606=1,0,MAX($N606,$L606-$P606))))</f>
        <v/>
      </c>
      <c r="S606" s="14" t="str">
        <f aca="false">IF($D606&lt;&gt;1,"",IF($G606="ROKS",$M606+$Q606,IF($AI606=1,0,MAX($O606,$M606-$Q606))))</f>
        <v/>
      </c>
      <c r="T606" s="14" t="str">
        <f aca="false">IF($D606&lt;&gt;1,"",IF($AI606=1,0,MAX($J606,ROUNDUP(MAX($R606/$H606,$S606/$I606),0))))</f>
        <v/>
      </c>
      <c r="U606" s="14" t="str">
        <f aca="false">IF($D606&lt;&gt;1,"",IF(p_mode="Nœud",$T606*$H606,$R606))</f>
        <v/>
      </c>
      <c r="V606" s="14" t="str">
        <f aca="false">IF($D606&lt;&gt;1,"",IF(p_mode="Nœud",$T606*$I606,$S606))</f>
        <v/>
      </c>
      <c r="W606" s="84" t="str">
        <f aca="false">IF($D606&lt;&gt;1,"",IF(p_mode="Nœud",$T606*$K606,$R606*IF($G606="IKS",p_iks_cpu,p_roks_cpu)+$S606*IF($G606="IKS",p_iks_ram,p_roks_ram))*p_facteur)</f>
        <v/>
      </c>
      <c r="X606" s="14" t="str">
        <f aca="false">IF($D606&lt;&gt;1,"",IF($G606="ROKS",$R606,IF($AI606=1,0,MAX($N606,$L606-SUMIFS(TblApplications[CPU IKS libérable (vCPU)],TblApplications[Cluster IKS source],$F606,TblApplications[Action],"À migrer",TblApplications[Mois prov (calc)],"&lt;="&amp;$E606)-SUMIFS(TblApplications[CPU IKS libérable (vCPU)],TblApplications[Cluster IKS source],$F606,TblApplications[Action],"À décommissionner",TblApplications[Mois lib (calc)],"&lt;="&amp;$E606)))))</f>
        <v/>
      </c>
      <c r="Y606" s="14" t="str">
        <f aca="false">IF($D606&lt;&gt;1,"",IF($G606="ROKS",$S606,IF($AI606=1,0,MAX($O606,$M606-SUMIFS(TblApplications[RAM IKS libérable (Go)],TblApplications[Cluster IKS source],$F606,TblApplications[Action],"À migrer",TblApplications[Mois prov (calc)],"&lt;="&amp;$E606)-SUMIFS(TblApplications[RAM IKS libérable (Go)],TblApplications[Cluster IKS source],$F606,TblApplications[Action],"À décommissionner",TblApplications[Mois lib (calc)],"&lt;="&amp;$E606)))))</f>
        <v/>
      </c>
      <c r="Z606" s="14" t="str">
        <f aca="false">IF($D606&lt;&gt;1,"",IF($AI606=1,0,MAX($J606,ROUNDUP(MAX($X606/$H606,$Y606/$I606),0))))</f>
        <v/>
      </c>
      <c r="AA606" s="84" t="str">
        <f aca="false">IF($D606&lt;&gt;1,"",IF(p_mode="Nœud",$Z606*$K606,$X606*IF($G606="IKS",p_iks_cpu,p_roks_cpu)+$Y606*IF($G606="IKS",p_iks_ram,p_roks_ram))*p_facteur)</f>
        <v/>
      </c>
      <c r="AB606" s="14" t="str">
        <f aca="false">IF($D606&lt;&gt;1,"",MAX($J606,ROUNDUP(MAX($L606/$H606,$M606/$I606),0)))</f>
        <v/>
      </c>
      <c r="AC606" s="84" t="str">
        <f aca="false">IF($D606&lt;&gt;1,"",IF(p_mode="Nœud",$AB606*$K606,$L606*IF($G606="IKS",p_iks_cpu,p_roks_cpu)+$M606*IF($G606="IKS",p_iks_ram,p_roks_ram))*p_facteur)</f>
        <v/>
      </c>
      <c r="AD606" s="14" t="str">
        <f aca="false">IF($D606&lt;&gt;1,"",IF(AND($G606="IKS",$AI606&lt;&gt;1,OR($L606-$P606&lt;$N606,$M606-$Q606&lt;$O606)),1,0))</f>
        <v/>
      </c>
      <c r="AE606" s="14" t="str">
        <f aca="false">IF($D606&lt;&gt;1,"",IF(AND($G606="ROKS",$T606&gt;p_maxworkers),1,0))</f>
        <v/>
      </c>
      <c r="AF606" s="14" t="str">
        <f aca="false">IF($D606&lt;&gt;1,"",IF(INDEX(TblClusters[Environnement],$B606)="","(vide)",INDEX(TblClusters[Environnement],$B606)))</f>
        <v/>
      </c>
      <c r="AG606" s="14" t="str">
        <f aca="false">IF($D606&lt;&gt;1,"",$R606+p_poidsram*$S606)</f>
        <v/>
      </c>
      <c r="AH606" s="14" t="str">
        <f aca="false">IF($D606&lt;&gt;1,"",IFERROR($W606/$AG606,0))</f>
        <v/>
      </c>
      <c r="AI606" s="14" t="str">
        <f aca="false">IF($D606&lt;&gt;1,"",IF(AND($G606="IKS",ISNUMBER(INDEX(TblClusters[Fermeture retenue],$B606))),IF($E606&gt;=INDEX(TblClusters[Fermeture retenue],$B606),1,0),0))</f>
        <v/>
      </c>
    </row>
    <row r="607" customFormat="false" ht="15" hidden="false" customHeight="false" outlineLevel="0" collapsed="false">
      <c r="A607" s="14" t="n">
        <v>602</v>
      </c>
      <c r="B607" s="14" t="n">
        <f aca="false">INT(($A607-1)/36)+1</f>
        <v>17</v>
      </c>
      <c r="C607" s="14" t="n">
        <f aca="false">MOD($A607-1,36)+1</f>
        <v>26</v>
      </c>
      <c r="D607" s="14" t="n">
        <f aca="false">IF($C607&gt;p_horizon,0,IFERROR(IF(AND(INDEX(TblClusters[Cluster],$B607)&lt;&gt;"",ISNUMBER(INDEX(TblClusters[CPU initial (vCPU)],$B607)),ISNUMBER(INDEX(TblClusters[CPU min (vCPU)],$B607)),OR(INDEX(TblClusters[Plateforme],$B607)="IKS",INDEX(TblClusters[Plateforme],$B607)="ROKS")),1,0),0))</f>
        <v>0</v>
      </c>
      <c r="E607" s="83" t="str">
        <f aca="false">IF($D607=1,EDATE(p_debut,$C607-1),"")</f>
        <v/>
      </c>
      <c r="F607" s="14" t="str">
        <f aca="false">IF($D607=1,INDEX(TblClusters[Cluster],$B607),"")</f>
        <v/>
      </c>
      <c r="G607" s="14" t="str">
        <f aca="false">IF($D607=1,INDEX(TblClusters[Plateforme],$B607),"")</f>
        <v/>
      </c>
      <c r="H607" s="14" t="str">
        <f aca="false">IF($D607=1,INDEX(TblClusters[vCPU par nœud],$B607),"")</f>
        <v/>
      </c>
      <c r="I607" s="14" t="str">
        <f aca="false">IF($D607=1,INDEX(TblClusters[RAM par nœud (Go)],$B607),"")</f>
        <v/>
      </c>
      <c r="J607" s="14" t="str">
        <f aca="false">IF($D607=1,INDEX(TblClusters[Workers min],$B607),"")</f>
        <v/>
      </c>
      <c r="K607" s="84" t="str">
        <f aca="false">IF($D607=1,INDEX(TblClusters[Tarif par nœud],$B607),"")</f>
        <v/>
      </c>
      <c r="L607" s="14" t="str">
        <f aca="false">IF($D607=1,INDEX(TblClusters[CPU initial (vCPU)],$B607),"")</f>
        <v/>
      </c>
      <c r="M607" s="14" t="str">
        <f aca="false">IF($D607=1,INDEX(TblClusters[RAM initiale (Go)],$B607),"")</f>
        <v/>
      </c>
      <c r="N607" s="14" t="str">
        <f aca="false">IF($D607=1,INDEX(TblClusters[CPU min (vCPU)],$B607),"")</f>
        <v/>
      </c>
      <c r="O607" s="14" t="str">
        <f aca="false">IF($D607=1,INDEX(TblClusters[RAM min (Go)],$B607),"")</f>
        <v/>
      </c>
      <c r="P607" s="14" t="str">
        <f aca="false">IF($D607&lt;&gt;1,"",IF($G607="ROKS",SUMIFS(TblApplications[Besoin ROKS CPU (vCPU)],TblApplications[Cluster ROKS cible],$F607,TblApplications[Action],"À migrer",TblApplications[Déjà incluse ROKS],"Non",TblApplications[Mois prov (calc)],"&lt;="&amp;$E607),SUMIFS(TblApplications[CPU IKS libérable (vCPU)],TblApplications[Cluster IKS source],$F607,TblApplications[Mois lib (calc)],"&lt;="&amp;$E607)))</f>
        <v/>
      </c>
      <c r="Q607" s="14" t="str">
        <f aca="false">IF($D607&lt;&gt;1,"",IF($G607="ROKS",SUMIFS(TblApplications[Besoin ROKS RAM (Go)],TblApplications[Cluster ROKS cible],$F607,TblApplications[Action],"À migrer",TblApplications[Déjà incluse ROKS],"Non",TblApplications[Mois prov (calc)],"&lt;="&amp;$E607),SUMIFS(TblApplications[RAM IKS libérable (Go)],TblApplications[Cluster IKS source],$F607,TblApplications[Mois lib (calc)],"&lt;="&amp;$E607)))</f>
        <v/>
      </c>
      <c r="R607" s="14" t="str">
        <f aca="false">IF($D607&lt;&gt;1,"",IF($G607="ROKS",$L607+$P607,IF($AI607=1,0,MAX($N607,$L607-$P607))))</f>
        <v/>
      </c>
      <c r="S607" s="14" t="str">
        <f aca="false">IF($D607&lt;&gt;1,"",IF($G607="ROKS",$M607+$Q607,IF($AI607=1,0,MAX($O607,$M607-$Q607))))</f>
        <v/>
      </c>
      <c r="T607" s="14" t="str">
        <f aca="false">IF($D607&lt;&gt;1,"",IF($AI607=1,0,MAX($J607,ROUNDUP(MAX($R607/$H607,$S607/$I607),0))))</f>
        <v/>
      </c>
      <c r="U607" s="14" t="str">
        <f aca="false">IF($D607&lt;&gt;1,"",IF(p_mode="Nœud",$T607*$H607,$R607))</f>
        <v/>
      </c>
      <c r="V607" s="14" t="str">
        <f aca="false">IF($D607&lt;&gt;1,"",IF(p_mode="Nœud",$T607*$I607,$S607))</f>
        <v/>
      </c>
      <c r="W607" s="84" t="str">
        <f aca="false">IF($D607&lt;&gt;1,"",IF(p_mode="Nœud",$T607*$K607,$R607*IF($G607="IKS",p_iks_cpu,p_roks_cpu)+$S607*IF($G607="IKS",p_iks_ram,p_roks_ram))*p_facteur)</f>
        <v/>
      </c>
      <c r="X607" s="14" t="str">
        <f aca="false">IF($D607&lt;&gt;1,"",IF($G607="ROKS",$R607,IF($AI607=1,0,MAX($N607,$L607-SUMIFS(TblApplications[CPU IKS libérable (vCPU)],TblApplications[Cluster IKS source],$F607,TblApplications[Action],"À migrer",TblApplications[Mois prov (calc)],"&lt;="&amp;$E607)-SUMIFS(TblApplications[CPU IKS libérable (vCPU)],TblApplications[Cluster IKS source],$F607,TblApplications[Action],"À décommissionner",TblApplications[Mois lib (calc)],"&lt;="&amp;$E607)))))</f>
        <v/>
      </c>
      <c r="Y607" s="14" t="str">
        <f aca="false">IF($D607&lt;&gt;1,"",IF($G607="ROKS",$S607,IF($AI607=1,0,MAX($O607,$M607-SUMIFS(TblApplications[RAM IKS libérable (Go)],TblApplications[Cluster IKS source],$F607,TblApplications[Action],"À migrer",TblApplications[Mois prov (calc)],"&lt;="&amp;$E607)-SUMIFS(TblApplications[RAM IKS libérable (Go)],TblApplications[Cluster IKS source],$F607,TblApplications[Action],"À décommissionner",TblApplications[Mois lib (calc)],"&lt;="&amp;$E607)))))</f>
        <v/>
      </c>
      <c r="Z607" s="14" t="str">
        <f aca="false">IF($D607&lt;&gt;1,"",IF($AI607=1,0,MAX($J607,ROUNDUP(MAX($X607/$H607,$Y607/$I607),0))))</f>
        <v/>
      </c>
      <c r="AA607" s="84" t="str">
        <f aca="false">IF($D607&lt;&gt;1,"",IF(p_mode="Nœud",$Z607*$K607,$X607*IF($G607="IKS",p_iks_cpu,p_roks_cpu)+$Y607*IF($G607="IKS",p_iks_ram,p_roks_ram))*p_facteur)</f>
        <v/>
      </c>
      <c r="AB607" s="14" t="str">
        <f aca="false">IF($D607&lt;&gt;1,"",MAX($J607,ROUNDUP(MAX($L607/$H607,$M607/$I607),0)))</f>
        <v/>
      </c>
      <c r="AC607" s="84" t="str">
        <f aca="false">IF($D607&lt;&gt;1,"",IF(p_mode="Nœud",$AB607*$K607,$L607*IF($G607="IKS",p_iks_cpu,p_roks_cpu)+$M607*IF($G607="IKS",p_iks_ram,p_roks_ram))*p_facteur)</f>
        <v/>
      </c>
      <c r="AD607" s="14" t="str">
        <f aca="false">IF($D607&lt;&gt;1,"",IF(AND($G607="IKS",$AI607&lt;&gt;1,OR($L607-$P607&lt;$N607,$M607-$Q607&lt;$O607)),1,0))</f>
        <v/>
      </c>
      <c r="AE607" s="14" t="str">
        <f aca="false">IF($D607&lt;&gt;1,"",IF(AND($G607="ROKS",$T607&gt;p_maxworkers),1,0))</f>
        <v/>
      </c>
      <c r="AF607" s="14" t="str">
        <f aca="false">IF($D607&lt;&gt;1,"",IF(INDEX(TblClusters[Environnement],$B607)="","(vide)",INDEX(TblClusters[Environnement],$B607)))</f>
        <v/>
      </c>
      <c r="AG607" s="14" t="str">
        <f aca="false">IF($D607&lt;&gt;1,"",$R607+p_poidsram*$S607)</f>
        <v/>
      </c>
      <c r="AH607" s="14" t="str">
        <f aca="false">IF($D607&lt;&gt;1,"",IFERROR($W607/$AG607,0))</f>
        <v/>
      </c>
      <c r="AI607" s="14" t="str">
        <f aca="false">IF($D607&lt;&gt;1,"",IF(AND($G607="IKS",ISNUMBER(INDEX(TblClusters[Fermeture retenue],$B607))),IF($E607&gt;=INDEX(TblClusters[Fermeture retenue],$B607),1,0),0))</f>
        <v/>
      </c>
    </row>
    <row r="608" customFormat="false" ht="15" hidden="false" customHeight="false" outlineLevel="0" collapsed="false">
      <c r="A608" s="14" t="n">
        <v>603</v>
      </c>
      <c r="B608" s="14" t="n">
        <f aca="false">INT(($A608-1)/36)+1</f>
        <v>17</v>
      </c>
      <c r="C608" s="14" t="n">
        <f aca="false">MOD($A608-1,36)+1</f>
        <v>27</v>
      </c>
      <c r="D608" s="14" t="n">
        <f aca="false">IF($C608&gt;p_horizon,0,IFERROR(IF(AND(INDEX(TblClusters[Cluster],$B608)&lt;&gt;"",ISNUMBER(INDEX(TblClusters[CPU initial (vCPU)],$B608)),ISNUMBER(INDEX(TblClusters[CPU min (vCPU)],$B608)),OR(INDEX(TblClusters[Plateforme],$B608)="IKS",INDEX(TblClusters[Plateforme],$B608)="ROKS")),1,0),0))</f>
        <v>0</v>
      </c>
      <c r="E608" s="83" t="str">
        <f aca="false">IF($D608=1,EDATE(p_debut,$C608-1),"")</f>
        <v/>
      </c>
      <c r="F608" s="14" t="str">
        <f aca="false">IF($D608=1,INDEX(TblClusters[Cluster],$B608),"")</f>
        <v/>
      </c>
      <c r="G608" s="14" t="str">
        <f aca="false">IF($D608=1,INDEX(TblClusters[Plateforme],$B608),"")</f>
        <v/>
      </c>
      <c r="H608" s="14" t="str">
        <f aca="false">IF($D608=1,INDEX(TblClusters[vCPU par nœud],$B608),"")</f>
        <v/>
      </c>
      <c r="I608" s="14" t="str">
        <f aca="false">IF($D608=1,INDEX(TblClusters[RAM par nœud (Go)],$B608),"")</f>
        <v/>
      </c>
      <c r="J608" s="14" t="str">
        <f aca="false">IF($D608=1,INDEX(TblClusters[Workers min],$B608),"")</f>
        <v/>
      </c>
      <c r="K608" s="84" t="str">
        <f aca="false">IF($D608=1,INDEX(TblClusters[Tarif par nœud],$B608),"")</f>
        <v/>
      </c>
      <c r="L608" s="14" t="str">
        <f aca="false">IF($D608=1,INDEX(TblClusters[CPU initial (vCPU)],$B608),"")</f>
        <v/>
      </c>
      <c r="M608" s="14" t="str">
        <f aca="false">IF($D608=1,INDEX(TblClusters[RAM initiale (Go)],$B608),"")</f>
        <v/>
      </c>
      <c r="N608" s="14" t="str">
        <f aca="false">IF($D608=1,INDEX(TblClusters[CPU min (vCPU)],$B608),"")</f>
        <v/>
      </c>
      <c r="O608" s="14" t="str">
        <f aca="false">IF($D608=1,INDEX(TblClusters[RAM min (Go)],$B608),"")</f>
        <v/>
      </c>
      <c r="P608" s="14" t="str">
        <f aca="false">IF($D608&lt;&gt;1,"",IF($G608="ROKS",SUMIFS(TblApplications[Besoin ROKS CPU (vCPU)],TblApplications[Cluster ROKS cible],$F608,TblApplications[Action],"À migrer",TblApplications[Déjà incluse ROKS],"Non",TblApplications[Mois prov (calc)],"&lt;="&amp;$E608),SUMIFS(TblApplications[CPU IKS libérable (vCPU)],TblApplications[Cluster IKS source],$F608,TblApplications[Mois lib (calc)],"&lt;="&amp;$E608)))</f>
        <v/>
      </c>
      <c r="Q608" s="14" t="str">
        <f aca="false">IF($D608&lt;&gt;1,"",IF($G608="ROKS",SUMIFS(TblApplications[Besoin ROKS RAM (Go)],TblApplications[Cluster ROKS cible],$F608,TblApplications[Action],"À migrer",TblApplications[Déjà incluse ROKS],"Non",TblApplications[Mois prov (calc)],"&lt;="&amp;$E608),SUMIFS(TblApplications[RAM IKS libérable (Go)],TblApplications[Cluster IKS source],$F608,TblApplications[Mois lib (calc)],"&lt;="&amp;$E608)))</f>
        <v/>
      </c>
      <c r="R608" s="14" t="str">
        <f aca="false">IF($D608&lt;&gt;1,"",IF($G608="ROKS",$L608+$P608,IF($AI608=1,0,MAX($N608,$L608-$P608))))</f>
        <v/>
      </c>
      <c r="S608" s="14" t="str">
        <f aca="false">IF($D608&lt;&gt;1,"",IF($G608="ROKS",$M608+$Q608,IF($AI608=1,0,MAX($O608,$M608-$Q608))))</f>
        <v/>
      </c>
      <c r="T608" s="14" t="str">
        <f aca="false">IF($D608&lt;&gt;1,"",IF($AI608=1,0,MAX($J608,ROUNDUP(MAX($R608/$H608,$S608/$I608),0))))</f>
        <v/>
      </c>
      <c r="U608" s="14" t="str">
        <f aca="false">IF($D608&lt;&gt;1,"",IF(p_mode="Nœud",$T608*$H608,$R608))</f>
        <v/>
      </c>
      <c r="V608" s="14" t="str">
        <f aca="false">IF($D608&lt;&gt;1,"",IF(p_mode="Nœud",$T608*$I608,$S608))</f>
        <v/>
      </c>
      <c r="W608" s="84" t="str">
        <f aca="false">IF($D608&lt;&gt;1,"",IF(p_mode="Nœud",$T608*$K608,$R608*IF($G608="IKS",p_iks_cpu,p_roks_cpu)+$S608*IF($G608="IKS",p_iks_ram,p_roks_ram))*p_facteur)</f>
        <v/>
      </c>
      <c r="X608" s="14" t="str">
        <f aca="false">IF($D608&lt;&gt;1,"",IF($G608="ROKS",$R608,IF($AI608=1,0,MAX($N608,$L608-SUMIFS(TblApplications[CPU IKS libérable (vCPU)],TblApplications[Cluster IKS source],$F608,TblApplications[Action],"À migrer",TblApplications[Mois prov (calc)],"&lt;="&amp;$E608)-SUMIFS(TblApplications[CPU IKS libérable (vCPU)],TblApplications[Cluster IKS source],$F608,TblApplications[Action],"À décommissionner",TblApplications[Mois lib (calc)],"&lt;="&amp;$E608)))))</f>
        <v/>
      </c>
      <c r="Y608" s="14" t="str">
        <f aca="false">IF($D608&lt;&gt;1,"",IF($G608="ROKS",$S608,IF($AI608=1,0,MAX($O608,$M608-SUMIFS(TblApplications[RAM IKS libérable (Go)],TblApplications[Cluster IKS source],$F608,TblApplications[Action],"À migrer",TblApplications[Mois prov (calc)],"&lt;="&amp;$E608)-SUMIFS(TblApplications[RAM IKS libérable (Go)],TblApplications[Cluster IKS source],$F608,TblApplications[Action],"À décommissionner",TblApplications[Mois lib (calc)],"&lt;="&amp;$E608)))))</f>
        <v/>
      </c>
      <c r="Z608" s="14" t="str">
        <f aca="false">IF($D608&lt;&gt;1,"",IF($AI608=1,0,MAX($J608,ROUNDUP(MAX($X608/$H608,$Y608/$I608),0))))</f>
        <v/>
      </c>
      <c r="AA608" s="84" t="str">
        <f aca="false">IF($D608&lt;&gt;1,"",IF(p_mode="Nœud",$Z608*$K608,$X608*IF($G608="IKS",p_iks_cpu,p_roks_cpu)+$Y608*IF($G608="IKS",p_iks_ram,p_roks_ram))*p_facteur)</f>
        <v/>
      </c>
      <c r="AB608" s="14" t="str">
        <f aca="false">IF($D608&lt;&gt;1,"",MAX($J608,ROUNDUP(MAX($L608/$H608,$M608/$I608),0)))</f>
        <v/>
      </c>
      <c r="AC608" s="84" t="str">
        <f aca="false">IF($D608&lt;&gt;1,"",IF(p_mode="Nœud",$AB608*$K608,$L608*IF($G608="IKS",p_iks_cpu,p_roks_cpu)+$M608*IF($G608="IKS",p_iks_ram,p_roks_ram))*p_facteur)</f>
        <v/>
      </c>
      <c r="AD608" s="14" t="str">
        <f aca="false">IF($D608&lt;&gt;1,"",IF(AND($G608="IKS",$AI608&lt;&gt;1,OR($L608-$P608&lt;$N608,$M608-$Q608&lt;$O608)),1,0))</f>
        <v/>
      </c>
      <c r="AE608" s="14" t="str">
        <f aca="false">IF($D608&lt;&gt;1,"",IF(AND($G608="ROKS",$T608&gt;p_maxworkers),1,0))</f>
        <v/>
      </c>
      <c r="AF608" s="14" t="str">
        <f aca="false">IF($D608&lt;&gt;1,"",IF(INDEX(TblClusters[Environnement],$B608)="","(vide)",INDEX(TblClusters[Environnement],$B608)))</f>
        <v/>
      </c>
      <c r="AG608" s="14" t="str">
        <f aca="false">IF($D608&lt;&gt;1,"",$R608+p_poidsram*$S608)</f>
        <v/>
      </c>
      <c r="AH608" s="14" t="str">
        <f aca="false">IF($D608&lt;&gt;1,"",IFERROR($W608/$AG608,0))</f>
        <v/>
      </c>
      <c r="AI608" s="14" t="str">
        <f aca="false">IF($D608&lt;&gt;1,"",IF(AND($G608="IKS",ISNUMBER(INDEX(TblClusters[Fermeture retenue],$B608))),IF($E608&gt;=INDEX(TblClusters[Fermeture retenue],$B608),1,0),0))</f>
        <v/>
      </c>
    </row>
    <row r="609" customFormat="false" ht="15" hidden="false" customHeight="false" outlineLevel="0" collapsed="false">
      <c r="A609" s="14" t="n">
        <v>604</v>
      </c>
      <c r="B609" s="14" t="n">
        <f aca="false">INT(($A609-1)/36)+1</f>
        <v>17</v>
      </c>
      <c r="C609" s="14" t="n">
        <f aca="false">MOD($A609-1,36)+1</f>
        <v>28</v>
      </c>
      <c r="D609" s="14" t="n">
        <f aca="false">IF($C609&gt;p_horizon,0,IFERROR(IF(AND(INDEX(TblClusters[Cluster],$B609)&lt;&gt;"",ISNUMBER(INDEX(TblClusters[CPU initial (vCPU)],$B609)),ISNUMBER(INDEX(TblClusters[CPU min (vCPU)],$B609)),OR(INDEX(TblClusters[Plateforme],$B609)="IKS",INDEX(TblClusters[Plateforme],$B609)="ROKS")),1,0),0))</f>
        <v>0</v>
      </c>
      <c r="E609" s="83" t="str">
        <f aca="false">IF($D609=1,EDATE(p_debut,$C609-1),"")</f>
        <v/>
      </c>
      <c r="F609" s="14" t="str">
        <f aca="false">IF($D609=1,INDEX(TblClusters[Cluster],$B609),"")</f>
        <v/>
      </c>
      <c r="G609" s="14" t="str">
        <f aca="false">IF($D609=1,INDEX(TblClusters[Plateforme],$B609),"")</f>
        <v/>
      </c>
      <c r="H609" s="14" t="str">
        <f aca="false">IF($D609=1,INDEX(TblClusters[vCPU par nœud],$B609),"")</f>
        <v/>
      </c>
      <c r="I609" s="14" t="str">
        <f aca="false">IF($D609=1,INDEX(TblClusters[RAM par nœud (Go)],$B609),"")</f>
        <v/>
      </c>
      <c r="J609" s="14" t="str">
        <f aca="false">IF($D609=1,INDEX(TblClusters[Workers min],$B609),"")</f>
        <v/>
      </c>
      <c r="K609" s="84" t="str">
        <f aca="false">IF($D609=1,INDEX(TblClusters[Tarif par nœud],$B609),"")</f>
        <v/>
      </c>
      <c r="L609" s="14" t="str">
        <f aca="false">IF($D609=1,INDEX(TblClusters[CPU initial (vCPU)],$B609),"")</f>
        <v/>
      </c>
      <c r="M609" s="14" t="str">
        <f aca="false">IF($D609=1,INDEX(TblClusters[RAM initiale (Go)],$B609),"")</f>
        <v/>
      </c>
      <c r="N609" s="14" t="str">
        <f aca="false">IF($D609=1,INDEX(TblClusters[CPU min (vCPU)],$B609),"")</f>
        <v/>
      </c>
      <c r="O609" s="14" t="str">
        <f aca="false">IF($D609=1,INDEX(TblClusters[RAM min (Go)],$B609),"")</f>
        <v/>
      </c>
      <c r="P609" s="14" t="str">
        <f aca="false">IF($D609&lt;&gt;1,"",IF($G609="ROKS",SUMIFS(TblApplications[Besoin ROKS CPU (vCPU)],TblApplications[Cluster ROKS cible],$F609,TblApplications[Action],"À migrer",TblApplications[Déjà incluse ROKS],"Non",TblApplications[Mois prov (calc)],"&lt;="&amp;$E609),SUMIFS(TblApplications[CPU IKS libérable (vCPU)],TblApplications[Cluster IKS source],$F609,TblApplications[Mois lib (calc)],"&lt;="&amp;$E609)))</f>
        <v/>
      </c>
      <c r="Q609" s="14" t="str">
        <f aca="false">IF($D609&lt;&gt;1,"",IF($G609="ROKS",SUMIFS(TblApplications[Besoin ROKS RAM (Go)],TblApplications[Cluster ROKS cible],$F609,TblApplications[Action],"À migrer",TblApplications[Déjà incluse ROKS],"Non",TblApplications[Mois prov (calc)],"&lt;="&amp;$E609),SUMIFS(TblApplications[RAM IKS libérable (Go)],TblApplications[Cluster IKS source],$F609,TblApplications[Mois lib (calc)],"&lt;="&amp;$E609)))</f>
        <v/>
      </c>
      <c r="R609" s="14" t="str">
        <f aca="false">IF($D609&lt;&gt;1,"",IF($G609="ROKS",$L609+$P609,IF($AI609=1,0,MAX($N609,$L609-$P609))))</f>
        <v/>
      </c>
      <c r="S609" s="14" t="str">
        <f aca="false">IF($D609&lt;&gt;1,"",IF($G609="ROKS",$M609+$Q609,IF($AI609=1,0,MAX($O609,$M609-$Q609))))</f>
        <v/>
      </c>
      <c r="T609" s="14" t="str">
        <f aca="false">IF($D609&lt;&gt;1,"",IF($AI609=1,0,MAX($J609,ROUNDUP(MAX($R609/$H609,$S609/$I609),0))))</f>
        <v/>
      </c>
      <c r="U609" s="14" t="str">
        <f aca="false">IF($D609&lt;&gt;1,"",IF(p_mode="Nœud",$T609*$H609,$R609))</f>
        <v/>
      </c>
      <c r="V609" s="14" t="str">
        <f aca="false">IF($D609&lt;&gt;1,"",IF(p_mode="Nœud",$T609*$I609,$S609))</f>
        <v/>
      </c>
      <c r="W609" s="84" t="str">
        <f aca="false">IF($D609&lt;&gt;1,"",IF(p_mode="Nœud",$T609*$K609,$R609*IF($G609="IKS",p_iks_cpu,p_roks_cpu)+$S609*IF($G609="IKS",p_iks_ram,p_roks_ram))*p_facteur)</f>
        <v/>
      </c>
      <c r="X609" s="14" t="str">
        <f aca="false">IF($D609&lt;&gt;1,"",IF($G609="ROKS",$R609,IF($AI609=1,0,MAX($N609,$L609-SUMIFS(TblApplications[CPU IKS libérable (vCPU)],TblApplications[Cluster IKS source],$F609,TblApplications[Action],"À migrer",TblApplications[Mois prov (calc)],"&lt;="&amp;$E609)-SUMIFS(TblApplications[CPU IKS libérable (vCPU)],TblApplications[Cluster IKS source],$F609,TblApplications[Action],"À décommissionner",TblApplications[Mois lib (calc)],"&lt;="&amp;$E609)))))</f>
        <v/>
      </c>
      <c r="Y609" s="14" t="str">
        <f aca="false">IF($D609&lt;&gt;1,"",IF($G609="ROKS",$S609,IF($AI609=1,0,MAX($O609,$M609-SUMIFS(TblApplications[RAM IKS libérable (Go)],TblApplications[Cluster IKS source],$F609,TblApplications[Action],"À migrer",TblApplications[Mois prov (calc)],"&lt;="&amp;$E609)-SUMIFS(TblApplications[RAM IKS libérable (Go)],TblApplications[Cluster IKS source],$F609,TblApplications[Action],"À décommissionner",TblApplications[Mois lib (calc)],"&lt;="&amp;$E609)))))</f>
        <v/>
      </c>
      <c r="Z609" s="14" t="str">
        <f aca="false">IF($D609&lt;&gt;1,"",IF($AI609=1,0,MAX($J609,ROUNDUP(MAX($X609/$H609,$Y609/$I609),0))))</f>
        <v/>
      </c>
      <c r="AA609" s="84" t="str">
        <f aca="false">IF($D609&lt;&gt;1,"",IF(p_mode="Nœud",$Z609*$K609,$X609*IF($G609="IKS",p_iks_cpu,p_roks_cpu)+$Y609*IF($G609="IKS",p_iks_ram,p_roks_ram))*p_facteur)</f>
        <v/>
      </c>
      <c r="AB609" s="14" t="str">
        <f aca="false">IF($D609&lt;&gt;1,"",MAX($J609,ROUNDUP(MAX($L609/$H609,$M609/$I609),0)))</f>
        <v/>
      </c>
      <c r="AC609" s="84" t="str">
        <f aca="false">IF($D609&lt;&gt;1,"",IF(p_mode="Nœud",$AB609*$K609,$L609*IF($G609="IKS",p_iks_cpu,p_roks_cpu)+$M609*IF($G609="IKS",p_iks_ram,p_roks_ram))*p_facteur)</f>
        <v/>
      </c>
      <c r="AD609" s="14" t="str">
        <f aca="false">IF($D609&lt;&gt;1,"",IF(AND($G609="IKS",$AI609&lt;&gt;1,OR($L609-$P609&lt;$N609,$M609-$Q609&lt;$O609)),1,0))</f>
        <v/>
      </c>
      <c r="AE609" s="14" t="str">
        <f aca="false">IF($D609&lt;&gt;1,"",IF(AND($G609="ROKS",$T609&gt;p_maxworkers),1,0))</f>
        <v/>
      </c>
      <c r="AF609" s="14" t="str">
        <f aca="false">IF($D609&lt;&gt;1,"",IF(INDEX(TblClusters[Environnement],$B609)="","(vide)",INDEX(TblClusters[Environnement],$B609)))</f>
        <v/>
      </c>
      <c r="AG609" s="14" t="str">
        <f aca="false">IF($D609&lt;&gt;1,"",$R609+p_poidsram*$S609)</f>
        <v/>
      </c>
      <c r="AH609" s="14" t="str">
        <f aca="false">IF($D609&lt;&gt;1,"",IFERROR($W609/$AG609,0))</f>
        <v/>
      </c>
      <c r="AI609" s="14" t="str">
        <f aca="false">IF($D609&lt;&gt;1,"",IF(AND($G609="IKS",ISNUMBER(INDEX(TblClusters[Fermeture retenue],$B609))),IF($E609&gt;=INDEX(TblClusters[Fermeture retenue],$B609),1,0),0))</f>
        <v/>
      </c>
    </row>
    <row r="610" customFormat="false" ht="15" hidden="false" customHeight="false" outlineLevel="0" collapsed="false">
      <c r="A610" s="14" t="n">
        <v>605</v>
      </c>
      <c r="B610" s="14" t="n">
        <f aca="false">INT(($A610-1)/36)+1</f>
        <v>17</v>
      </c>
      <c r="C610" s="14" t="n">
        <f aca="false">MOD($A610-1,36)+1</f>
        <v>29</v>
      </c>
      <c r="D610" s="14" t="n">
        <f aca="false">IF($C610&gt;p_horizon,0,IFERROR(IF(AND(INDEX(TblClusters[Cluster],$B610)&lt;&gt;"",ISNUMBER(INDEX(TblClusters[CPU initial (vCPU)],$B610)),ISNUMBER(INDEX(TblClusters[CPU min (vCPU)],$B610)),OR(INDEX(TblClusters[Plateforme],$B610)="IKS",INDEX(TblClusters[Plateforme],$B610)="ROKS")),1,0),0))</f>
        <v>0</v>
      </c>
      <c r="E610" s="83" t="str">
        <f aca="false">IF($D610=1,EDATE(p_debut,$C610-1),"")</f>
        <v/>
      </c>
      <c r="F610" s="14" t="str">
        <f aca="false">IF($D610=1,INDEX(TblClusters[Cluster],$B610),"")</f>
        <v/>
      </c>
      <c r="G610" s="14" t="str">
        <f aca="false">IF($D610=1,INDEX(TblClusters[Plateforme],$B610),"")</f>
        <v/>
      </c>
      <c r="H610" s="14" t="str">
        <f aca="false">IF($D610=1,INDEX(TblClusters[vCPU par nœud],$B610),"")</f>
        <v/>
      </c>
      <c r="I610" s="14" t="str">
        <f aca="false">IF($D610=1,INDEX(TblClusters[RAM par nœud (Go)],$B610),"")</f>
        <v/>
      </c>
      <c r="J610" s="14" t="str">
        <f aca="false">IF($D610=1,INDEX(TblClusters[Workers min],$B610),"")</f>
        <v/>
      </c>
      <c r="K610" s="84" t="str">
        <f aca="false">IF($D610=1,INDEX(TblClusters[Tarif par nœud],$B610),"")</f>
        <v/>
      </c>
      <c r="L610" s="14" t="str">
        <f aca="false">IF($D610=1,INDEX(TblClusters[CPU initial (vCPU)],$B610),"")</f>
        <v/>
      </c>
      <c r="M610" s="14" t="str">
        <f aca="false">IF($D610=1,INDEX(TblClusters[RAM initiale (Go)],$B610),"")</f>
        <v/>
      </c>
      <c r="N610" s="14" t="str">
        <f aca="false">IF($D610=1,INDEX(TblClusters[CPU min (vCPU)],$B610),"")</f>
        <v/>
      </c>
      <c r="O610" s="14" t="str">
        <f aca="false">IF($D610=1,INDEX(TblClusters[RAM min (Go)],$B610),"")</f>
        <v/>
      </c>
      <c r="P610" s="14" t="str">
        <f aca="false">IF($D610&lt;&gt;1,"",IF($G610="ROKS",SUMIFS(TblApplications[Besoin ROKS CPU (vCPU)],TblApplications[Cluster ROKS cible],$F610,TblApplications[Action],"À migrer",TblApplications[Déjà incluse ROKS],"Non",TblApplications[Mois prov (calc)],"&lt;="&amp;$E610),SUMIFS(TblApplications[CPU IKS libérable (vCPU)],TblApplications[Cluster IKS source],$F610,TblApplications[Mois lib (calc)],"&lt;="&amp;$E610)))</f>
        <v/>
      </c>
      <c r="Q610" s="14" t="str">
        <f aca="false">IF($D610&lt;&gt;1,"",IF($G610="ROKS",SUMIFS(TblApplications[Besoin ROKS RAM (Go)],TblApplications[Cluster ROKS cible],$F610,TblApplications[Action],"À migrer",TblApplications[Déjà incluse ROKS],"Non",TblApplications[Mois prov (calc)],"&lt;="&amp;$E610),SUMIFS(TblApplications[RAM IKS libérable (Go)],TblApplications[Cluster IKS source],$F610,TblApplications[Mois lib (calc)],"&lt;="&amp;$E610)))</f>
        <v/>
      </c>
      <c r="R610" s="14" t="str">
        <f aca="false">IF($D610&lt;&gt;1,"",IF($G610="ROKS",$L610+$P610,IF($AI610=1,0,MAX($N610,$L610-$P610))))</f>
        <v/>
      </c>
      <c r="S610" s="14" t="str">
        <f aca="false">IF($D610&lt;&gt;1,"",IF($G610="ROKS",$M610+$Q610,IF($AI610=1,0,MAX($O610,$M610-$Q610))))</f>
        <v/>
      </c>
      <c r="T610" s="14" t="str">
        <f aca="false">IF($D610&lt;&gt;1,"",IF($AI610=1,0,MAX($J610,ROUNDUP(MAX($R610/$H610,$S610/$I610),0))))</f>
        <v/>
      </c>
      <c r="U610" s="14" t="str">
        <f aca="false">IF($D610&lt;&gt;1,"",IF(p_mode="Nœud",$T610*$H610,$R610))</f>
        <v/>
      </c>
      <c r="V610" s="14" t="str">
        <f aca="false">IF($D610&lt;&gt;1,"",IF(p_mode="Nœud",$T610*$I610,$S610))</f>
        <v/>
      </c>
      <c r="W610" s="84" t="str">
        <f aca="false">IF($D610&lt;&gt;1,"",IF(p_mode="Nœud",$T610*$K610,$R610*IF($G610="IKS",p_iks_cpu,p_roks_cpu)+$S610*IF($G610="IKS",p_iks_ram,p_roks_ram))*p_facteur)</f>
        <v/>
      </c>
      <c r="X610" s="14" t="str">
        <f aca="false">IF($D610&lt;&gt;1,"",IF($G610="ROKS",$R610,IF($AI610=1,0,MAX($N610,$L610-SUMIFS(TblApplications[CPU IKS libérable (vCPU)],TblApplications[Cluster IKS source],$F610,TblApplications[Action],"À migrer",TblApplications[Mois prov (calc)],"&lt;="&amp;$E610)-SUMIFS(TblApplications[CPU IKS libérable (vCPU)],TblApplications[Cluster IKS source],$F610,TblApplications[Action],"À décommissionner",TblApplications[Mois lib (calc)],"&lt;="&amp;$E610)))))</f>
        <v/>
      </c>
      <c r="Y610" s="14" t="str">
        <f aca="false">IF($D610&lt;&gt;1,"",IF($G610="ROKS",$S610,IF($AI610=1,0,MAX($O610,$M610-SUMIFS(TblApplications[RAM IKS libérable (Go)],TblApplications[Cluster IKS source],$F610,TblApplications[Action],"À migrer",TblApplications[Mois prov (calc)],"&lt;="&amp;$E610)-SUMIFS(TblApplications[RAM IKS libérable (Go)],TblApplications[Cluster IKS source],$F610,TblApplications[Action],"À décommissionner",TblApplications[Mois lib (calc)],"&lt;="&amp;$E610)))))</f>
        <v/>
      </c>
      <c r="Z610" s="14" t="str">
        <f aca="false">IF($D610&lt;&gt;1,"",IF($AI610=1,0,MAX($J610,ROUNDUP(MAX($X610/$H610,$Y610/$I610),0))))</f>
        <v/>
      </c>
      <c r="AA610" s="84" t="str">
        <f aca="false">IF($D610&lt;&gt;1,"",IF(p_mode="Nœud",$Z610*$K610,$X610*IF($G610="IKS",p_iks_cpu,p_roks_cpu)+$Y610*IF($G610="IKS",p_iks_ram,p_roks_ram))*p_facteur)</f>
        <v/>
      </c>
      <c r="AB610" s="14" t="str">
        <f aca="false">IF($D610&lt;&gt;1,"",MAX($J610,ROUNDUP(MAX($L610/$H610,$M610/$I610),0)))</f>
        <v/>
      </c>
      <c r="AC610" s="84" t="str">
        <f aca="false">IF($D610&lt;&gt;1,"",IF(p_mode="Nœud",$AB610*$K610,$L610*IF($G610="IKS",p_iks_cpu,p_roks_cpu)+$M610*IF($G610="IKS",p_iks_ram,p_roks_ram))*p_facteur)</f>
        <v/>
      </c>
      <c r="AD610" s="14" t="str">
        <f aca="false">IF($D610&lt;&gt;1,"",IF(AND($G610="IKS",$AI610&lt;&gt;1,OR($L610-$P610&lt;$N610,$M610-$Q610&lt;$O610)),1,0))</f>
        <v/>
      </c>
      <c r="AE610" s="14" t="str">
        <f aca="false">IF($D610&lt;&gt;1,"",IF(AND($G610="ROKS",$T610&gt;p_maxworkers),1,0))</f>
        <v/>
      </c>
      <c r="AF610" s="14" t="str">
        <f aca="false">IF($D610&lt;&gt;1,"",IF(INDEX(TblClusters[Environnement],$B610)="","(vide)",INDEX(TblClusters[Environnement],$B610)))</f>
        <v/>
      </c>
      <c r="AG610" s="14" t="str">
        <f aca="false">IF($D610&lt;&gt;1,"",$R610+p_poidsram*$S610)</f>
        <v/>
      </c>
      <c r="AH610" s="14" t="str">
        <f aca="false">IF($D610&lt;&gt;1,"",IFERROR($W610/$AG610,0))</f>
        <v/>
      </c>
      <c r="AI610" s="14" t="str">
        <f aca="false">IF($D610&lt;&gt;1,"",IF(AND($G610="IKS",ISNUMBER(INDEX(TblClusters[Fermeture retenue],$B610))),IF($E610&gt;=INDEX(TblClusters[Fermeture retenue],$B610),1,0),0))</f>
        <v/>
      </c>
    </row>
    <row r="611" customFormat="false" ht="15" hidden="false" customHeight="false" outlineLevel="0" collapsed="false">
      <c r="A611" s="14" t="n">
        <v>606</v>
      </c>
      <c r="B611" s="14" t="n">
        <f aca="false">INT(($A611-1)/36)+1</f>
        <v>17</v>
      </c>
      <c r="C611" s="14" t="n">
        <f aca="false">MOD($A611-1,36)+1</f>
        <v>30</v>
      </c>
      <c r="D611" s="14" t="n">
        <f aca="false">IF($C611&gt;p_horizon,0,IFERROR(IF(AND(INDEX(TblClusters[Cluster],$B611)&lt;&gt;"",ISNUMBER(INDEX(TblClusters[CPU initial (vCPU)],$B611)),ISNUMBER(INDEX(TblClusters[CPU min (vCPU)],$B611)),OR(INDEX(TblClusters[Plateforme],$B611)="IKS",INDEX(TblClusters[Plateforme],$B611)="ROKS")),1,0),0))</f>
        <v>0</v>
      </c>
      <c r="E611" s="83" t="str">
        <f aca="false">IF($D611=1,EDATE(p_debut,$C611-1),"")</f>
        <v/>
      </c>
      <c r="F611" s="14" t="str">
        <f aca="false">IF($D611=1,INDEX(TblClusters[Cluster],$B611),"")</f>
        <v/>
      </c>
      <c r="G611" s="14" t="str">
        <f aca="false">IF($D611=1,INDEX(TblClusters[Plateforme],$B611),"")</f>
        <v/>
      </c>
      <c r="H611" s="14" t="str">
        <f aca="false">IF($D611=1,INDEX(TblClusters[vCPU par nœud],$B611),"")</f>
        <v/>
      </c>
      <c r="I611" s="14" t="str">
        <f aca="false">IF($D611=1,INDEX(TblClusters[RAM par nœud (Go)],$B611),"")</f>
        <v/>
      </c>
      <c r="J611" s="14" t="str">
        <f aca="false">IF($D611=1,INDEX(TblClusters[Workers min],$B611),"")</f>
        <v/>
      </c>
      <c r="K611" s="84" t="str">
        <f aca="false">IF($D611=1,INDEX(TblClusters[Tarif par nœud],$B611),"")</f>
        <v/>
      </c>
      <c r="L611" s="14" t="str">
        <f aca="false">IF($D611=1,INDEX(TblClusters[CPU initial (vCPU)],$B611),"")</f>
        <v/>
      </c>
      <c r="M611" s="14" t="str">
        <f aca="false">IF($D611=1,INDEX(TblClusters[RAM initiale (Go)],$B611),"")</f>
        <v/>
      </c>
      <c r="N611" s="14" t="str">
        <f aca="false">IF($D611=1,INDEX(TblClusters[CPU min (vCPU)],$B611),"")</f>
        <v/>
      </c>
      <c r="O611" s="14" t="str">
        <f aca="false">IF($D611=1,INDEX(TblClusters[RAM min (Go)],$B611),"")</f>
        <v/>
      </c>
      <c r="P611" s="14" t="str">
        <f aca="false">IF($D611&lt;&gt;1,"",IF($G611="ROKS",SUMIFS(TblApplications[Besoin ROKS CPU (vCPU)],TblApplications[Cluster ROKS cible],$F611,TblApplications[Action],"À migrer",TblApplications[Déjà incluse ROKS],"Non",TblApplications[Mois prov (calc)],"&lt;="&amp;$E611),SUMIFS(TblApplications[CPU IKS libérable (vCPU)],TblApplications[Cluster IKS source],$F611,TblApplications[Mois lib (calc)],"&lt;="&amp;$E611)))</f>
        <v/>
      </c>
      <c r="Q611" s="14" t="str">
        <f aca="false">IF($D611&lt;&gt;1,"",IF($G611="ROKS",SUMIFS(TblApplications[Besoin ROKS RAM (Go)],TblApplications[Cluster ROKS cible],$F611,TblApplications[Action],"À migrer",TblApplications[Déjà incluse ROKS],"Non",TblApplications[Mois prov (calc)],"&lt;="&amp;$E611),SUMIFS(TblApplications[RAM IKS libérable (Go)],TblApplications[Cluster IKS source],$F611,TblApplications[Mois lib (calc)],"&lt;="&amp;$E611)))</f>
        <v/>
      </c>
      <c r="R611" s="14" t="str">
        <f aca="false">IF($D611&lt;&gt;1,"",IF($G611="ROKS",$L611+$P611,IF($AI611=1,0,MAX($N611,$L611-$P611))))</f>
        <v/>
      </c>
      <c r="S611" s="14" t="str">
        <f aca="false">IF($D611&lt;&gt;1,"",IF($G611="ROKS",$M611+$Q611,IF($AI611=1,0,MAX($O611,$M611-$Q611))))</f>
        <v/>
      </c>
      <c r="T611" s="14" t="str">
        <f aca="false">IF($D611&lt;&gt;1,"",IF($AI611=1,0,MAX($J611,ROUNDUP(MAX($R611/$H611,$S611/$I611),0))))</f>
        <v/>
      </c>
      <c r="U611" s="14" t="str">
        <f aca="false">IF($D611&lt;&gt;1,"",IF(p_mode="Nœud",$T611*$H611,$R611))</f>
        <v/>
      </c>
      <c r="V611" s="14" t="str">
        <f aca="false">IF($D611&lt;&gt;1,"",IF(p_mode="Nœud",$T611*$I611,$S611))</f>
        <v/>
      </c>
      <c r="W611" s="84" t="str">
        <f aca="false">IF($D611&lt;&gt;1,"",IF(p_mode="Nœud",$T611*$K611,$R611*IF($G611="IKS",p_iks_cpu,p_roks_cpu)+$S611*IF($G611="IKS",p_iks_ram,p_roks_ram))*p_facteur)</f>
        <v/>
      </c>
      <c r="X611" s="14" t="str">
        <f aca="false">IF($D611&lt;&gt;1,"",IF($G611="ROKS",$R611,IF($AI611=1,0,MAX($N611,$L611-SUMIFS(TblApplications[CPU IKS libérable (vCPU)],TblApplications[Cluster IKS source],$F611,TblApplications[Action],"À migrer",TblApplications[Mois prov (calc)],"&lt;="&amp;$E611)-SUMIFS(TblApplications[CPU IKS libérable (vCPU)],TblApplications[Cluster IKS source],$F611,TblApplications[Action],"À décommissionner",TblApplications[Mois lib (calc)],"&lt;="&amp;$E611)))))</f>
        <v/>
      </c>
      <c r="Y611" s="14" t="str">
        <f aca="false">IF($D611&lt;&gt;1,"",IF($G611="ROKS",$S611,IF($AI611=1,0,MAX($O611,$M611-SUMIFS(TblApplications[RAM IKS libérable (Go)],TblApplications[Cluster IKS source],$F611,TblApplications[Action],"À migrer",TblApplications[Mois prov (calc)],"&lt;="&amp;$E611)-SUMIFS(TblApplications[RAM IKS libérable (Go)],TblApplications[Cluster IKS source],$F611,TblApplications[Action],"À décommissionner",TblApplications[Mois lib (calc)],"&lt;="&amp;$E611)))))</f>
        <v/>
      </c>
      <c r="Z611" s="14" t="str">
        <f aca="false">IF($D611&lt;&gt;1,"",IF($AI611=1,0,MAX($J611,ROUNDUP(MAX($X611/$H611,$Y611/$I611),0))))</f>
        <v/>
      </c>
      <c r="AA611" s="84" t="str">
        <f aca="false">IF($D611&lt;&gt;1,"",IF(p_mode="Nœud",$Z611*$K611,$X611*IF($G611="IKS",p_iks_cpu,p_roks_cpu)+$Y611*IF($G611="IKS",p_iks_ram,p_roks_ram))*p_facteur)</f>
        <v/>
      </c>
      <c r="AB611" s="14" t="str">
        <f aca="false">IF($D611&lt;&gt;1,"",MAX($J611,ROUNDUP(MAX($L611/$H611,$M611/$I611),0)))</f>
        <v/>
      </c>
      <c r="AC611" s="84" t="str">
        <f aca="false">IF($D611&lt;&gt;1,"",IF(p_mode="Nœud",$AB611*$K611,$L611*IF($G611="IKS",p_iks_cpu,p_roks_cpu)+$M611*IF($G611="IKS",p_iks_ram,p_roks_ram))*p_facteur)</f>
        <v/>
      </c>
      <c r="AD611" s="14" t="str">
        <f aca="false">IF($D611&lt;&gt;1,"",IF(AND($G611="IKS",$AI611&lt;&gt;1,OR($L611-$P611&lt;$N611,$M611-$Q611&lt;$O611)),1,0))</f>
        <v/>
      </c>
      <c r="AE611" s="14" t="str">
        <f aca="false">IF($D611&lt;&gt;1,"",IF(AND($G611="ROKS",$T611&gt;p_maxworkers),1,0))</f>
        <v/>
      </c>
      <c r="AF611" s="14" t="str">
        <f aca="false">IF($D611&lt;&gt;1,"",IF(INDEX(TblClusters[Environnement],$B611)="","(vide)",INDEX(TblClusters[Environnement],$B611)))</f>
        <v/>
      </c>
      <c r="AG611" s="14" t="str">
        <f aca="false">IF($D611&lt;&gt;1,"",$R611+p_poidsram*$S611)</f>
        <v/>
      </c>
      <c r="AH611" s="14" t="str">
        <f aca="false">IF($D611&lt;&gt;1,"",IFERROR($W611/$AG611,0))</f>
        <v/>
      </c>
      <c r="AI611" s="14" t="str">
        <f aca="false">IF($D611&lt;&gt;1,"",IF(AND($G611="IKS",ISNUMBER(INDEX(TblClusters[Fermeture retenue],$B611))),IF($E611&gt;=INDEX(TblClusters[Fermeture retenue],$B611),1,0),0))</f>
        <v/>
      </c>
    </row>
    <row r="612" customFormat="false" ht="15" hidden="false" customHeight="false" outlineLevel="0" collapsed="false">
      <c r="A612" s="14" t="n">
        <v>607</v>
      </c>
      <c r="B612" s="14" t="n">
        <f aca="false">INT(($A612-1)/36)+1</f>
        <v>17</v>
      </c>
      <c r="C612" s="14" t="n">
        <f aca="false">MOD($A612-1,36)+1</f>
        <v>31</v>
      </c>
      <c r="D612" s="14" t="n">
        <f aca="false">IF($C612&gt;p_horizon,0,IFERROR(IF(AND(INDEX(TblClusters[Cluster],$B612)&lt;&gt;"",ISNUMBER(INDEX(TblClusters[CPU initial (vCPU)],$B612)),ISNUMBER(INDEX(TblClusters[CPU min (vCPU)],$B612)),OR(INDEX(TblClusters[Plateforme],$B612)="IKS",INDEX(TblClusters[Plateforme],$B612)="ROKS")),1,0),0))</f>
        <v>0</v>
      </c>
      <c r="E612" s="83" t="str">
        <f aca="false">IF($D612=1,EDATE(p_debut,$C612-1),"")</f>
        <v/>
      </c>
      <c r="F612" s="14" t="str">
        <f aca="false">IF($D612=1,INDEX(TblClusters[Cluster],$B612),"")</f>
        <v/>
      </c>
      <c r="G612" s="14" t="str">
        <f aca="false">IF($D612=1,INDEX(TblClusters[Plateforme],$B612),"")</f>
        <v/>
      </c>
      <c r="H612" s="14" t="str">
        <f aca="false">IF($D612=1,INDEX(TblClusters[vCPU par nœud],$B612),"")</f>
        <v/>
      </c>
      <c r="I612" s="14" t="str">
        <f aca="false">IF($D612=1,INDEX(TblClusters[RAM par nœud (Go)],$B612),"")</f>
        <v/>
      </c>
      <c r="J612" s="14" t="str">
        <f aca="false">IF($D612=1,INDEX(TblClusters[Workers min],$B612),"")</f>
        <v/>
      </c>
      <c r="K612" s="84" t="str">
        <f aca="false">IF($D612=1,INDEX(TblClusters[Tarif par nœud],$B612),"")</f>
        <v/>
      </c>
      <c r="L612" s="14" t="str">
        <f aca="false">IF($D612=1,INDEX(TblClusters[CPU initial (vCPU)],$B612),"")</f>
        <v/>
      </c>
      <c r="M612" s="14" t="str">
        <f aca="false">IF($D612=1,INDEX(TblClusters[RAM initiale (Go)],$B612),"")</f>
        <v/>
      </c>
      <c r="N612" s="14" t="str">
        <f aca="false">IF($D612=1,INDEX(TblClusters[CPU min (vCPU)],$B612),"")</f>
        <v/>
      </c>
      <c r="O612" s="14" t="str">
        <f aca="false">IF($D612=1,INDEX(TblClusters[RAM min (Go)],$B612),"")</f>
        <v/>
      </c>
      <c r="P612" s="14" t="str">
        <f aca="false">IF($D612&lt;&gt;1,"",IF($G612="ROKS",SUMIFS(TblApplications[Besoin ROKS CPU (vCPU)],TblApplications[Cluster ROKS cible],$F612,TblApplications[Action],"À migrer",TblApplications[Déjà incluse ROKS],"Non",TblApplications[Mois prov (calc)],"&lt;="&amp;$E612),SUMIFS(TblApplications[CPU IKS libérable (vCPU)],TblApplications[Cluster IKS source],$F612,TblApplications[Mois lib (calc)],"&lt;="&amp;$E612)))</f>
        <v/>
      </c>
      <c r="Q612" s="14" t="str">
        <f aca="false">IF($D612&lt;&gt;1,"",IF($G612="ROKS",SUMIFS(TblApplications[Besoin ROKS RAM (Go)],TblApplications[Cluster ROKS cible],$F612,TblApplications[Action],"À migrer",TblApplications[Déjà incluse ROKS],"Non",TblApplications[Mois prov (calc)],"&lt;="&amp;$E612),SUMIFS(TblApplications[RAM IKS libérable (Go)],TblApplications[Cluster IKS source],$F612,TblApplications[Mois lib (calc)],"&lt;="&amp;$E612)))</f>
        <v/>
      </c>
      <c r="R612" s="14" t="str">
        <f aca="false">IF($D612&lt;&gt;1,"",IF($G612="ROKS",$L612+$P612,IF($AI612=1,0,MAX($N612,$L612-$P612))))</f>
        <v/>
      </c>
      <c r="S612" s="14" t="str">
        <f aca="false">IF($D612&lt;&gt;1,"",IF($G612="ROKS",$M612+$Q612,IF($AI612=1,0,MAX($O612,$M612-$Q612))))</f>
        <v/>
      </c>
      <c r="T612" s="14" t="str">
        <f aca="false">IF($D612&lt;&gt;1,"",IF($AI612=1,0,MAX($J612,ROUNDUP(MAX($R612/$H612,$S612/$I612),0))))</f>
        <v/>
      </c>
      <c r="U612" s="14" t="str">
        <f aca="false">IF($D612&lt;&gt;1,"",IF(p_mode="Nœud",$T612*$H612,$R612))</f>
        <v/>
      </c>
      <c r="V612" s="14" t="str">
        <f aca="false">IF($D612&lt;&gt;1,"",IF(p_mode="Nœud",$T612*$I612,$S612))</f>
        <v/>
      </c>
      <c r="W612" s="84" t="str">
        <f aca="false">IF($D612&lt;&gt;1,"",IF(p_mode="Nœud",$T612*$K612,$R612*IF($G612="IKS",p_iks_cpu,p_roks_cpu)+$S612*IF($G612="IKS",p_iks_ram,p_roks_ram))*p_facteur)</f>
        <v/>
      </c>
      <c r="X612" s="14" t="str">
        <f aca="false">IF($D612&lt;&gt;1,"",IF($G612="ROKS",$R612,IF($AI612=1,0,MAX($N612,$L612-SUMIFS(TblApplications[CPU IKS libérable (vCPU)],TblApplications[Cluster IKS source],$F612,TblApplications[Action],"À migrer",TblApplications[Mois prov (calc)],"&lt;="&amp;$E612)-SUMIFS(TblApplications[CPU IKS libérable (vCPU)],TblApplications[Cluster IKS source],$F612,TblApplications[Action],"À décommissionner",TblApplications[Mois lib (calc)],"&lt;="&amp;$E612)))))</f>
        <v/>
      </c>
      <c r="Y612" s="14" t="str">
        <f aca="false">IF($D612&lt;&gt;1,"",IF($G612="ROKS",$S612,IF($AI612=1,0,MAX($O612,$M612-SUMIFS(TblApplications[RAM IKS libérable (Go)],TblApplications[Cluster IKS source],$F612,TblApplications[Action],"À migrer",TblApplications[Mois prov (calc)],"&lt;="&amp;$E612)-SUMIFS(TblApplications[RAM IKS libérable (Go)],TblApplications[Cluster IKS source],$F612,TblApplications[Action],"À décommissionner",TblApplications[Mois lib (calc)],"&lt;="&amp;$E612)))))</f>
        <v/>
      </c>
      <c r="Z612" s="14" t="str">
        <f aca="false">IF($D612&lt;&gt;1,"",IF($AI612=1,0,MAX($J612,ROUNDUP(MAX($X612/$H612,$Y612/$I612),0))))</f>
        <v/>
      </c>
      <c r="AA612" s="84" t="str">
        <f aca="false">IF($D612&lt;&gt;1,"",IF(p_mode="Nœud",$Z612*$K612,$X612*IF($G612="IKS",p_iks_cpu,p_roks_cpu)+$Y612*IF($G612="IKS",p_iks_ram,p_roks_ram))*p_facteur)</f>
        <v/>
      </c>
      <c r="AB612" s="14" t="str">
        <f aca="false">IF($D612&lt;&gt;1,"",MAX($J612,ROUNDUP(MAX($L612/$H612,$M612/$I612),0)))</f>
        <v/>
      </c>
      <c r="AC612" s="84" t="str">
        <f aca="false">IF($D612&lt;&gt;1,"",IF(p_mode="Nœud",$AB612*$K612,$L612*IF($G612="IKS",p_iks_cpu,p_roks_cpu)+$M612*IF($G612="IKS",p_iks_ram,p_roks_ram))*p_facteur)</f>
        <v/>
      </c>
      <c r="AD612" s="14" t="str">
        <f aca="false">IF($D612&lt;&gt;1,"",IF(AND($G612="IKS",$AI612&lt;&gt;1,OR($L612-$P612&lt;$N612,$M612-$Q612&lt;$O612)),1,0))</f>
        <v/>
      </c>
      <c r="AE612" s="14" t="str">
        <f aca="false">IF($D612&lt;&gt;1,"",IF(AND($G612="ROKS",$T612&gt;p_maxworkers),1,0))</f>
        <v/>
      </c>
      <c r="AF612" s="14" t="str">
        <f aca="false">IF($D612&lt;&gt;1,"",IF(INDEX(TblClusters[Environnement],$B612)="","(vide)",INDEX(TblClusters[Environnement],$B612)))</f>
        <v/>
      </c>
      <c r="AG612" s="14" t="str">
        <f aca="false">IF($D612&lt;&gt;1,"",$R612+p_poidsram*$S612)</f>
        <v/>
      </c>
      <c r="AH612" s="14" t="str">
        <f aca="false">IF($D612&lt;&gt;1,"",IFERROR($W612/$AG612,0))</f>
        <v/>
      </c>
      <c r="AI612" s="14" t="str">
        <f aca="false">IF($D612&lt;&gt;1,"",IF(AND($G612="IKS",ISNUMBER(INDEX(TblClusters[Fermeture retenue],$B612))),IF($E612&gt;=INDEX(TblClusters[Fermeture retenue],$B612),1,0),0))</f>
        <v/>
      </c>
    </row>
    <row r="613" customFormat="false" ht="15" hidden="false" customHeight="false" outlineLevel="0" collapsed="false">
      <c r="A613" s="14" t="n">
        <v>608</v>
      </c>
      <c r="B613" s="14" t="n">
        <f aca="false">INT(($A613-1)/36)+1</f>
        <v>17</v>
      </c>
      <c r="C613" s="14" t="n">
        <f aca="false">MOD($A613-1,36)+1</f>
        <v>32</v>
      </c>
      <c r="D613" s="14" t="n">
        <f aca="false">IF($C613&gt;p_horizon,0,IFERROR(IF(AND(INDEX(TblClusters[Cluster],$B613)&lt;&gt;"",ISNUMBER(INDEX(TblClusters[CPU initial (vCPU)],$B613)),ISNUMBER(INDEX(TblClusters[CPU min (vCPU)],$B613)),OR(INDEX(TblClusters[Plateforme],$B613)="IKS",INDEX(TblClusters[Plateforme],$B613)="ROKS")),1,0),0))</f>
        <v>0</v>
      </c>
      <c r="E613" s="83" t="str">
        <f aca="false">IF($D613=1,EDATE(p_debut,$C613-1),"")</f>
        <v/>
      </c>
      <c r="F613" s="14" t="str">
        <f aca="false">IF($D613=1,INDEX(TblClusters[Cluster],$B613),"")</f>
        <v/>
      </c>
      <c r="G613" s="14" t="str">
        <f aca="false">IF($D613=1,INDEX(TblClusters[Plateforme],$B613),"")</f>
        <v/>
      </c>
      <c r="H613" s="14" t="str">
        <f aca="false">IF($D613=1,INDEX(TblClusters[vCPU par nœud],$B613),"")</f>
        <v/>
      </c>
      <c r="I613" s="14" t="str">
        <f aca="false">IF($D613=1,INDEX(TblClusters[RAM par nœud (Go)],$B613),"")</f>
        <v/>
      </c>
      <c r="J613" s="14" t="str">
        <f aca="false">IF($D613=1,INDEX(TblClusters[Workers min],$B613),"")</f>
        <v/>
      </c>
      <c r="K613" s="84" t="str">
        <f aca="false">IF($D613=1,INDEX(TblClusters[Tarif par nœud],$B613),"")</f>
        <v/>
      </c>
      <c r="L613" s="14" t="str">
        <f aca="false">IF($D613=1,INDEX(TblClusters[CPU initial (vCPU)],$B613),"")</f>
        <v/>
      </c>
      <c r="M613" s="14" t="str">
        <f aca="false">IF($D613=1,INDEX(TblClusters[RAM initiale (Go)],$B613),"")</f>
        <v/>
      </c>
      <c r="N613" s="14" t="str">
        <f aca="false">IF($D613=1,INDEX(TblClusters[CPU min (vCPU)],$B613),"")</f>
        <v/>
      </c>
      <c r="O613" s="14" t="str">
        <f aca="false">IF($D613=1,INDEX(TblClusters[RAM min (Go)],$B613),"")</f>
        <v/>
      </c>
      <c r="P613" s="14" t="str">
        <f aca="false">IF($D613&lt;&gt;1,"",IF($G613="ROKS",SUMIFS(TblApplications[Besoin ROKS CPU (vCPU)],TblApplications[Cluster ROKS cible],$F613,TblApplications[Action],"À migrer",TblApplications[Déjà incluse ROKS],"Non",TblApplications[Mois prov (calc)],"&lt;="&amp;$E613),SUMIFS(TblApplications[CPU IKS libérable (vCPU)],TblApplications[Cluster IKS source],$F613,TblApplications[Mois lib (calc)],"&lt;="&amp;$E613)))</f>
        <v/>
      </c>
      <c r="Q613" s="14" t="str">
        <f aca="false">IF($D613&lt;&gt;1,"",IF($G613="ROKS",SUMIFS(TblApplications[Besoin ROKS RAM (Go)],TblApplications[Cluster ROKS cible],$F613,TblApplications[Action],"À migrer",TblApplications[Déjà incluse ROKS],"Non",TblApplications[Mois prov (calc)],"&lt;="&amp;$E613),SUMIFS(TblApplications[RAM IKS libérable (Go)],TblApplications[Cluster IKS source],$F613,TblApplications[Mois lib (calc)],"&lt;="&amp;$E613)))</f>
        <v/>
      </c>
      <c r="R613" s="14" t="str">
        <f aca="false">IF($D613&lt;&gt;1,"",IF($G613="ROKS",$L613+$P613,IF($AI613=1,0,MAX($N613,$L613-$P613))))</f>
        <v/>
      </c>
      <c r="S613" s="14" t="str">
        <f aca="false">IF($D613&lt;&gt;1,"",IF($G613="ROKS",$M613+$Q613,IF($AI613=1,0,MAX($O613,$M613-$Q613))))</f>
        <v/>
      </c>
      <c r="T613" s="14" t="str">
        <f aca="false">IF($D613&lt;&gt;1,"",IF($AI613=1,0,MAX($J613,ROUNDUP(MAX($R613/$H613,$S613/$I613),0))))</f>
        <v/>
      </c>
      <c r="U613" s="14" t="str">
        <f aca="false">IF($D613&lt;&gt;1,"",IF(p_mode="Nœud",$T613*$H613,$R613))</f>
        <v/>
      </c>
      <c r="V613" s="14" t="str">
        <f aca="false">IF($D613&lt;&gt;1,"",IF(p_mode="Nœud",$T613*$I613,$S613))</f>
        <v/>
      </c>
      <c r="W613" s="84" t="str">
        <f aca="false">IF($D613&lt;&gt;1,"",IF(p_mode="Nœud",$T613*$K613,$R613*IF($G613="IKS",p_iks_cpu,p_roks_cpu)+$S613*IF($G613="IKS",p_iks_ram,p_roks_ram))*p_facteur)</f>
        <v/>
      </c>
      <c r="X613" s="14" t="str">
        <f aca="false">IF($D613&lt;&gt;1,"",IF($G613="ROKS",$R613,IF($AI613=1,0,MAX($N613,$L613-SUMIFS(TblApplications[CPU IKS libérable (vCPU)],TblApplications[Cluster IKS source],$F613,TblApplications[Action],"À migrer",TblApplications[Mois prov (calc)],"&lt;="&amp;$E613)-SUMIFS(TblApplications[CPU IKS libérable (vCPU)],TblApplications[Cluster IKS source],$F613,TblApplications[Action],"À décommissionner",TblApplications[Mois lib (calc)],"&lt;="&amp;$E613)))))</f>
        <v/>
      </c>
      <c r="Y613" s="14" t="str">
        <f aca="false">IF($D613&lt;&gt;1,"",IF($G613="ROKS",$S613,IF($AI613=1,0,MAX($O613,$M613-SUMIFS(TblApplications[RAM IKS libérable (Go)],TblApplications[Cluster IKS source],$F613,TblApplications[Action],"À migrer",TblApplications[Mois prov (calc)],"&lt;="&amp;$E613)-SUMIFS(TblApplications[RAM IKS libérable (Go)],TblApplications[Cluster IKS source],$F613,TblApplications[Action],"À décommissionner",TblApplications[Mois lib (calc)],"&lt;="&amp;$E613)))))</f>
        <v/>
      </c>
      <c r="Z613" s="14" t="str">
        <f aca="false">IF($D613&lt;&gt;1,"",IF($AI613=1,0,MAX($J613,ROUNDUP(MAX($X613/$H613,$Y613/$I613),0))))</f>
        <v/>
      </c>
      <c r="AA613" s="84" t="str">
        <f aca="false">IF($D613&lt;&gt;1,"",IF(p_mode="Nœud",$Z613*$K613,$X613*IF($G613="IKS",p_iks_cpu,p_roks_cpu)+$Y613*IF($G613="IKS",p_iks_ram,p_roks_ram))*p_facteur)</f>
        <v/>
      </c>
      <c r="AB613" s="14" t="str">
        <f aca="false">IF($D613&lt;&gt;1,"",MAX($J613,ROUNDUP(MAX($L613/$H613,$M613/$I613),0)))</f>
        <v/>
      </c>
      <c r="AC613" s="84" t="str">
        <f aca="false">IF($D613&lt;&gt;1,"",IF(p_mode="Nœud",$AB613*$K613,$L613*IF($G613="IKS",p_iks_cpu,p_roks_cpu)+$M613*IF($G613="IKS",p_iks_ram,p_roks_ram))*p_facteur)</f>
        <v/>
      </c>
      <c r="AD613" s="14" t="str">
        <f aca="false">IF($D613&lt;&gt;1,"",IF(AND($G613="IKS",$AI613&lt;&gt;1,OR($L613-$P613&lt;$N613,$M613-$Q613&lt;$O613)),1,0))</f>
        <v/>
      </c>
      <c r="AE613" s="14" t="str">
        <f aca="false">IF($D613&lt;&gt;1,"",IF(AND($G613="ROKS",$T613&gt;p_maxworkers),1,0))</f>
        <v/>
      </c>
      <c r="AF613" s="14" t="str">
        <f aca="false">IF($D613&lt;&gt;1,"",IF(INDEX(TblClusters[Environnement],$B613)="","(vide)",INDEX(TblClusters[Environnement],$B613)))</f>
        <v/>
      </c>
      <c r="AG613" s="14" t="str">
        <f aca="false">IF($D613&lt;&gt;1,"",$R613+p_poidsram*$S613)</f>
        <v/>
      </c>
      <c r="AH613" s="14" t="str">
        <f aca="false">IF($D613&lt;&gt;1,"",IFERROR($W613/$AG613,0))</f>
        <v/>
      </c>
      <c r="AI613" s="14" t="str">
        <f aca="false">IF($D613&lt;&gt;1,"",IF(AND($G613="IKS",ISNUMBER(INDEX(TblClusters[Fermeture retenue],$B613))),IF($E613&gt;=INDEX(TblClusters[Fermeture retenue],$B613),1,0),0))</f>
        <v/>
      </c>
    </row>
    <row r="614" customFormat="false" ht="15" hidden="false" customHeight="false" outlineLevel="0" collapsed="false">
      <c r="A614" s="14" t="n">
        <v>609</v>
      </c>
      <c r="B614" s="14" t="n">
        <f aca="false">INT(($A614-1)/36)+1</f>
        <v>17</v>
      </c>
      <c r="C614" s="14" t="n">
        <f aca="false">MOD($A614-1,36)+1</f>
        <v>33</v>
      </c>
      <c r="D614" s="14" t="n">
        <f aca="false">IF($C614&gt;p_horizon,0,IFERROR(IF(AND(INDEX(TblClusters[Cluster],$B614)&lt;&gt;"",ISNUMBER(INDEX(TblClusters[CPU initial (vCPU)],$B614)),ISNUMBER(INDEX(TblClusters[CPU min (vCPU)],$B614)),OR(INDEX(TblClusters[Plateforme],$B614)="IKS",INDEX(TblClusters[Plateforme],$B614)="ROKS")),1,0),0))</f>
        <v>0</v>
      </c>
      <c r="E614" s="83" t="str">
        <f aca="false">IF($D614=1,EDATE(p_debut,$C614-1),"")</f>
        <v/>
      </c>
      <c r="F614" s="14" t="str">
        <f aca="false">IF($D614=1,INDEX(TblClusters[Cluster],$B614),"")</f>
        <v/>
      </c>
      <c r="G614" s="14" t="str">
        <f aca="false">IF($D614=1,INDEX(TblClusters[Plateforme],$B614),"")</f>
        <v/>
      </c>
      <c r="H614" s="14" t="str">
        <f aca="false">IF($D614=1,INDEX(TblClusters[vCPU par nœud],$B614),"")</f>
        <v/>
      </c>
      <c r="I614" s="14" t="str">
        <f aca="false">IF($D614=1,INDEX(TblClusters[RAM par nœud (Go)],$B614),"")</f>
        <v/>
      </c>
      <c r="J614" s="14" t="str">
        <f aca="false">IF($D614=1,INDEX(TblClusters[Workers min],$B614),"")</f>
        <v/>
      </c>
      <c r="K614" s="84" t="str">
        <f aca="false">IF($D614=1,INDEX(TblClusters[Tarif par nœud],$B614),"")</f>
        <v/>
      </c>
      <c r="L614" s="14" t="str">
        <f aca="false">IF($D614=1,INDEX(TblClusters[CPU initial (vCPU)],$B614),"")</f>
        <v/>
      </c>
      <c r="M614" s="14" t="str">
        <f aca="false">IF($D614=1,INDEX(TblClusters[RAM initiale (Go)],$B614),"")</f>
        <v/>
      </c>
      <c r="N614" s="14" t="str">
        <f aca="false">IF($D614=1,INDEX(TblClusters[CPU min (vCPU)],$B614),"")</f>
        <v/>
      </c>
      <c r="O614" s="14" t="str">
        <f aca="false">IF($D614=1,INDEX(TblClusters[RAM min (Go)],$B614),"")</f>
        <v/>
      </c>
      <c r="P614" s="14" t="str">
        <f aca="false">IF($D614&lt;&gt;1,"",IF($G614="ROKS",SUMIFS(TblApplications[Besoin ROKS CPU (vCPU)],TblApplications[Cluster ROKS cible],$F614,TblApplications[Action],"À migrer",TblApplications[Déjà incluse ROKS],"Non",TblApplications[Mois prov (calc)],"&lt;="&amp;$E614),SUMIFS(TblApplications[CPU IKS libérable (vCPU)],TblApplications[Cluster IKS source],$F614,TblApplications[Mois lib (calc)],"&lt;="&amp;$E614)))</f>
        <v/>
      </c>
      <c r="Q614" s="14" t="str">
        <f aca="false">IF($D614&lt;&gt;1,"",IF($G614="ROKS",SUMIFS(TblApplications[Besoin ROKS RAM (Go)],TblApplications[Cluster ROKS cible],$F614,TblApplications[Action],"À migrer",TblApplications[Déjà incluse ROKS],"Non",TblApplications[Mois prov (calc)],"&lt;="&amp;$E614),SUMIFS(TblApplications[RAM IKS libérable (Go)],TblApplications[Cluster IKS source],$F614,TblApplications[Mois lib (calc)],"&lt;="&amp;$E614)))</f>
        <v/>
      </c>
      <c r="R614" s="14" t="str">
        <f aca="false">IF($D614&lt;&gt;1,"",IF($G614="ROKS",$L614+$P614,IF($AI614=1,0,MAX($N614,$L614-$P614))))</f>
        <v/>
      </c>
      <c r="S614" s="14" t="str">
        <f aca="false">IF($D614&lt;&gt;1,"",IF($G614="ROKS",$M614+$Q614,IF($AI614=1,0,MAX($O614,$M614-$Q614))))</f>
        <v/>
      </c>
      <c r="T614" s="14" t="str">
        <f aca="false">IF($D614&lt;&gt;1,"",IF($AI614=1,0,MAX($J614,ROUNDUP(MAX($R614/$H614,$S614/$I614),0))))</f>
        <v/>
      </c>
      <c r="U614" s="14" t="str">
        <f aca="false">IF($D614&lt;&gt;1,"",IF(p_mode="Nœud",$T614*$H614,$R614))</f>
        <v/>
      </c>
      <c r="V614" s="14" t="str">
        <f aca="false">IF($D614&lt;&gt;1,"",IF(p_mode="Nœud",$T614*$I614,$S614))</f>
        <v/>
      </c>
      <c r="W614" s="84" t="str">
        <f aca="false">IF($D614&lt;&gt;1,"",IF(p_mode="Nœud",$T614*$K614,$R614*IF($G614="IKS",p_iks_cpu,p_roks_cpu)+$S614*IF($G614="IKS",p_iks_ram,p_roks_ram))*p_facteur)</f>
        <v/>
      </c>
      <c r="X614" s="14" t="str">
        <f aca="false">IF($D614&lt;&gt;1,"",IF($G614="ROKS",$R614,IF($AI614=1,0,MAX($N614,$L614-SUMIFS(TblApplications[CPU IKS libérable (vCPU)],TblApplications[Cluster IKS source],$F614,TblApplications[Action],"À migrer",TblApplications[Mois prov (calc)],"&lt;="&amp;$E614)-SUMIFS(TblApplications[CPU IKS libérable (vCPU)],TblApplications[Cluster IKS source],$F614,TblApplications[Action],"À décommissionner",TblApplications[Mois lib (calc)],"&lt;="&amp;$E614)))))</f>
        <v/>
      </c>
      <c r="Y614" s="14" t="str">
        <f aca="false">IF($D614&lt;&gt;1,"",IF($G614="ROKS",$S614,IF($AI614=1,0,MAX($O614,$M614-SUMIFS(TblApplications[RAM IKS libérable (Go)],TblApplications[Cluster IKS source],$F614,TblApplications[Action],"À migrer",TblApplications[Mois prov (calc)],"&lt;="&amp;$E614)-SUMIFS(TblApplications[RAM IKS libérable (Go)],TblApplications[Cluster IKS source],$F614,TblApplications[Action],"À décommissionner",TblApplications[Mois lib (calc)],"&lt;="&amp;$E614)))))</f>
        <v/>
      </c>
      <c r="Z614" s="14" t="str">
        <f aca="false">IF($D614&lt;&gt;1,"",IF($AI614=1,0,MAX($J614,ROUNDUP(MAX($X614/$H614,$Y614/$I614),0))))</f>
        <v/>
      </c>
      <c r="AA614" s="84" t="str">
        <f aca="false">IF($D614&lt;&gt;1,"",IF(p_mode="Nœud",$Z614*$K614,$X614*IF($G614="IKS",p_iks_cpu,p_roks_cpu)+$Y614*IF($G614="IKS",p_iks_ram,p_roks_ram))*p_facteur)</f>
        <v/>
      </c>
      <c r="AB614" s="14" t="str">
        <f aca="false">IF($D614&lt;&gt;1,"",MAX($J614,ROUNDUP(MAX($L614/$H614,$M614/$I614),0)))</f>
        <v/>
      </c>
      <c r="AC614" s="84" t="str">
        <f aca="false">IF($D614&lt;&gt;1,"",IF(p_mode="Nœud",$AB614*$K614,$L614*IF($G614="IKS",p_iks_cpu,p_roks_cpu)+$M614*IF($G614="IKS",p_iks_ram,p_roks_ram))*p_facteur)</f>
        <v/>
      </c>
      <c r="AD614" s="14" t="str">
        <f aca="false">IF($D614&lt;&gt;1,"",IF(AND($G614="IKS",$AI614&lt;&gt;1,OR($L614-$P614&lt;$N614,$M614-$Q614&lt;$O614)),1,0))</f>
        <v/>
      </c>
      <c r="AE614" s="14" t="str">
        <f aca="false">IF($D614&lt;&gt;1,"",IF(AND($G614="ROKS",$T614&gt;p_maxworkers),1,0))</f>
        <v/>
      </c>
      <c r="AF614" s="14" t="str">
        <f aca="false">IF($D614&lt;&gt;1,"",IF(INDEX(TblClusters[Environnement],$B614)="","(vide)",INDEX(TblClusters[Environnement],$B614)))</f>
        <v/>
      </c>
      <c r="AG614" s="14" t="str">
        <f aca="false">IF($D614&lt;&gt;1,"",$R614+p_poidsram*$S614)</f>
        <v/>
      </c>
      <c r="AH614" s="14" t="str">
        <f aca="false">IF($D614&lt;&gt;1,"",IFERROR($W614/$AG614,0))</f>
        <v/>
      </c>
      <c r="AI614" s="14" t="str">
        <f aca="false">IF($D614&lt;&gt;1,"",IF(AND($G614="IKS",ISNUMBER(INDEX(TblClusters[Fermeture retenue],$B614))),IF($E614&gt;=INDEX(TblClusters[Fermeture retenue],$B614),1,0),0))</f>
        <v/>
      </c>
    </row>
    <row r="615" customFormat="false" ht="15" hidden="false" customHeight="false" outlineLevel="0" collapsed="false">
      <c r="A615" s="14" t="n">
        <v>610</v>
      </c>
      <c r="B615" s="14" t="n">
        <f aca="false">INT(($A615-1)/36)+1</f>
        <v>17</v>
      </c>
      <c r="C615" s="14" t="n">
        <f aca="false">MOD($A615-1,36)+1</f>
        <v>34</v>
      </c>
      <c r="D615" s="14" t="n">
        <f aca="false">IF($C615&gt;p_horizon,0,IFERROR(IF(AND(INDEX(TblClusters[Cluster],$B615)&lt;&gt;"",ISNUMBER(INDEX(TblClusters[CPU initial (vCPU)],$B615)),ISNUMBER(INDEX(TblClusters[CPU min (vCPU)],$B615)),OR(INDEX(TblClusters[Plateforme],$B615)="IKS",INDEX(TblClusters[Plateforme],$B615)="ROKS")),1,0),0))</f>
        <v>0</v>
      </c>
      <c r="E615" s="83" t="str">
        <f aca="false">IF($D615=1,EDATE(p_debut,$C615-1),"")</f>
        <v/>
      </c>
      <c r="F615" s="14" t="str">
        <f aca="false">IF($D615=1,INDEX(TblClusters[Cluster],$B615),"")</f>
        <v/>
      </c>
      <c r="G615" s="14" t="str">
        <f aca="false">IF($D615=1,INDEX(TblClusters[Plateforme],$B615),"")</f>
        <v/>
      </c>
      <c r="H615" s="14" t="str">
        <f aca="false">IF($D615=1,INDEX(TblClusters[vCPU par nœud],$B615),"")</f>
        <v/>
      </c>
      <c r="I615" s="14" t="str">
        <f aca="false">IF($D615=1,INDEX(TblClusters[RAM par nœud (Go)],$B615),"")</f>
        <v/>
      </c>
      <c r="J615" s="14" t="str">
        <f aca="false">IF($D615=1,INDEX(TblClusters[Workers min],$B615),"")</f>
        <v/>
      </c>
      <c r="K615" s="84" t="str">
        <f aca="false">IF($D615=1,INDEX(TblClusters[Tarif par nœud],$B615),"")</f>
        <v/>
      </c>
      <c r="L615" s="14" t="str">
        <f aca="false">IF($D615=1,INDEX(TblClusters[CPU initial (vCPU)],$B615),"")</f>
        <v/>
      </c>
      <c r="M615" s="14" t="str">
        <f aca="false">IF($D615=1,INDEX(TblClusters[RAM initiale (Go)],$B615),"")</f>
        <v/>
      </c>
      <c r="N615" s="14" t="str">
        <f aca="false">IF($D615=1,INDEX(TblClusters[CPU min (vCPU)],$B615),"")</f>
        <v/>
      </c>
      <c r="O615" s="14" t="str">
        <f aca="false">IF($D615=1,INDEX(TblClusters[RAM min (Go)],$B615),"")</f>
        <v/>
      </c>
      <c r="P615" s="14" t="str">
        <f aca="false">IF($D615&lt;&gt;1,"",IF($G615="ROKS",SUMIFS(TblApplications[Besoin ROKS CPU (vCPU)],TblApplications[Cluster ROKS cible],$F615,TblApplications[Action],"À migrer",TblApplications[Déjà incluse ROKS],"Non",TblApplications[Mois prov (calc)],"&lt;="&amp;$E615),SUMIFS(TblApplications[CPU IKS libérable (vCPU)],TblApplications[Cluster IKS source],$F615,TblApplications[Mois lib (calc)],"&lt;="&amp;$E615)))</f>
        <v/>
      </c>
      <c r="Q615" s="14" t="str">
        <f aca="false">IF($D615&lt;&gt;1,"",IF($G615="ROKS",SUMIFS(TblApplications[Besoin ROKS RAM (Go)],TblApplications[Cluster ROKS cible],$F615,TblApplications[Action],"À migrer",TblApplications[Déjà incluse ROKS],"Non",TblApplications[Mois prov (calc)],"&lt;="&amp;$E615),SUMIFS(TblApplications[RAM IKS libérable (Go)],TblApplications[Cluster IKS source],$F615,TblApplications[Mois lib (calc)],"&lt;="&amp;$E615)))</f>
        <v/>
      </c>
      <c r="R615" s="14" t="str">
        <f aca="false">IF($D615&lt;&gt;1,"",IF($G615="ROKS",$L615+$P615,IF($AI615=1,0,MAX($N615,$L615-$P615))))</f>
        <v/>
      </c>
      <c r="S615" s="14" t="str">
        <f aca="false">IF($D615&lt;&gt;1,"",IF($G615="ROKS",$M615+$Q615,IF($AI615=1,0,MAX($O615,$M615-$Q615))))</f>
        <v/>
      </c>
      <c r="T615" s="14" t="str">
        <f aca="false">IF($D615&lt;&gt;1,"",IF($AI615=1,0,MAX($J615,ROUNDUP(MAX($R615/$H615,$S615/$I615),0))))</f>
        <v/>
      </c>
      <c r="U615" s="14" t="str">
        <f aca="false">IF($D615&lt;&gt;1,"",IF(p_mode="Nœud",$T615*$H615,$R615))</f>
        <v/>
      </c>
      <c r="V615" s="14" t="str">
        <f aca="false">IF($D615&lt;&gt;1,"",IF(p_mode="Nœud",$T615*$I615,$S615))</f>
        <v/>
      </c>
      <c r="W615" s="84" t="str">
        <f aca="false">IF($D615&lt;&gt;1,"",IF(p_mode="Nœud",$T615*$K615,$R615*IF($G615="IKS",p_iks_cpu,p_roks_cpu)+$S615*IF($G615="IKS",p_iks_ram,p_roks_ram))*p_facteur)</f>
        <v/>
      </c>
      <c r="X615" s="14" t="str">
        <f aca="false">IF($D615&lt;&gt;1,"",IF($G615="ROKS",$R615,IF($AI615=1,0,MAX($N615,$L615-SUMIFS(TblApplications[CPU IKS libérable (vCPU)],TblApplications[Cluster IKS source],$F615,TblApplications[Action],"À migrer",TblApplications[Mois prov (calc)],"&lt;="&amp;$E615)-SUMIFS(TblApplications[CPU IKS libérable (vCPU)],TblApplications[Cluster IKS source],$F615,TblApplications[Action],"À décommissionner",TblApplications[Mois lib (calc)],"&lt;="&amp;$E615)))))</f>
        <v/>
      </c>
      <c r="Y615" s="14" t="str">
        <f aca="false">IF($D615&lt;&gt;1,"",IF($G615="ROKS",$S615,IF($AI615=1,0,MAX($O615,$M615-SUMIFS(TblApplications[RAM IKS libérable (Go)],TblApplications[Cluster IKS source],$F615,TblApplications[Action],"À migrer",TblApplications[Mois prov (calc)],"&lt;="&amp;$E615)-SUMIFS(TblApplications[RAM IKS libérable (Go)],TblApplications[Cluster IKS source],$F615,TblApplications[Action],"À décommissionner",TblApplications[Mois lib (calc)],"&lt;="&amp;$E615)))))</f>
        <v/>
      </c>
      <c r="Z615" s="14" t="str">
        <f aca="false">IF($D615&lt;&gt;1,"",IF($AI615=1,0,MAX($J615,ROUNDUP(MAX($X615/$H615,$Y615/$I615),0))))</f>
        <v/>
      </c>
      <c r="AA615" s="84" t="str">
        <f aca="false">IF($D615&lt;&gt;1,"",IF(p_mode="Nœud",$Z615*$K615,$X615*IF($G615="IKS",p_iks_cpu,p_roks_cpu)+$Y615*IF($G615="IKS",p_iks_ram,p_roks_ram))*p_facteur)</f>
        <v/>
      </c>
      <c r="AB615" s="14" t="str">
        <f aca="false">IF($D615&lt;&gt;1,"",MAX($J615,ROUNDUP(MAX($L615/$H615,$M615/$I615),0)))</f>
        <v/>
      </c>
      <c r="AC615" s="84" t="str">
        <f aca="false">IF($D615&lt;&gt;1,"",IF(p_mode="Nœud",$AB615*$K615,$L615*IF($G615="IKS",p_iks_cpu,p_roks_cpu)+$M615*IF($G615="IKS",p_iks_ram,p_roks_ram))*p_facteur)</f>
        <v/>
      </c>
      <c r="AD615" s="14" t="str">
        <f aca="false">IF($D615&lt;&gt;1,"",IF(AND($G615="IKS",$AI615&lt;&gt;1,OR($L615-$P615&lt;$N615,$M615-$Q615&lt;$O615)),1,0))</f>
        <v/>
      </c>
      <c r="AE615" s="14" t="str">
        <f aca="false">IF($D615&lt;&gt;1,"",IF(AND($G615="ROKS",$T615&gt;p_maxworkers),1,0))</f>
        <v/>
      </c>
      <c r="AF615" s="14" t="str">
        <f aca="false">IF($D615&lt;&gt;1,"",IF(INDEX(TblClusters[Environnement],$B615)="","(vide)",INDEX(TblClusters[Environnement],$B615)))</f>
        <v/>
      </c>
      <c r="AG615" s="14" t="str">
        <f aca="false">IF($D615&lt;&gt;1,"",$R615+p_poidsram*$S615)</f>
        <v/>
      </c>
      <c r="AH615" s="14" t="str">
        <f aca="false">IF($D615&lt;&gt;1,"",IFERROR($W615/$AG615,0))</f>
        <v/>
      </c>
      <c r="AI615" s="14" t="str">
        <f aca="false">IF($D615&lt;&gt;1,"",IF(AND($G615="IKS",ISNUMBER(INDEX(TblClusters[Fermeture retenue],$B615))),IF($E615&gt;=INDEX(TblClusters[Fermeture retenue],$B615),1,0),0))</f>
        <v/>
      </c>
    </row>
    <row r="616" customFormat="false" ht="15" hidden="false" customHeight="false" outlineLevel="0" collapsed="false">
      <c r="A616" s="14" t="n">
        <v>611</v>
      </c>
      <c r="B616" s="14" t="n">
        <f aca="false">INT(($A616-1)/36)+1</f>
        <v>17</v>
      </c>
      <c r="C616" s="14" t="n">
        <f aca="false">MOD($A616-1,36)+1</f>
        <v>35</v>
      </c>
      <c r="D616" s="14" t="n">
        <f aca="false">IF($C616&gt;p_horizon,0,IFERROR(IF(AND(INDEX(TblClusters[Cluster],$B616)&lt;&gt;"",ISNUMBER(INDEX(TblClusters[CPU initial (vCPU)],$B616)),ISNUMBER(INDEX(TblClusters[CPU min (vCPU)],$B616)),OR(INDEX(TblClusters[Plateforme],$B616)="IKS",INDEX(TblClusters[Plateforme],$B616)="ROKS")),1,0),0))</f>
        <v>0</v>
      </c>
      <c r="E616" s="83" t="str">
        <f aca="false">IF($D616=1,EDATE(p_debut,$C616-1),"")</f>
        <v/>
      </c>
      <c r="F616" s="14" t="str">
        <f aca="false">IF($D616=1,INDEX(TblClusters[Cluster],$B616),"")</f>
        <v/>
      </c>
      <c r="G616" s="14" t="str">
        <f aca="false">IF($D616=1,INDEX(TblClusters[Plateforme],$B616),"")</f>
        <v/>
      </c>
      <c r="H616" s="14" t="str">
        <f aca="false">IF($D616=1,INDEX(TblClusters[vCPU par nœud],$B616),"")</f>
        <v/>
      </c>
      <c r="I616" s="14" t="str">
        <f aca="false">IF($D616=1,INDEX(TblClusters[RAM par nœud (Go)],$B616),"")</f>
        <v/>
      </c>
      <c r="J616" s="14" t="str">
        <f aca="false">IF($D616=1,INDEX(TblClusters[Workers min],$B616),"")</f>
        <v/>
      </c>
      <c r="K616" s="84" t="str">
        <f aca="false">IF($D616=1,INDEX(TblClusters[Tarif par nœud],$B616),"")</f>
        <v/>
      </c>
      <c r="L616" s="14" t="str">
        <f aca="false">IF($D616=1,INDEX(TblClusters[CPU initial (vCPU)],$B616),"")</f>
        <v/>
      </c>
      <c r="M616" s="14" t="str">
        <f aca="false">IF($D616=1,INDEX(TblClusters[RAM initiale (Go)],$B616),"")</f>
        <v/>
      </c>
      <c r="N616" s="14" t="str">
        <f aca="false">IF($D616=1,INDEX(TblClusters[CPU min (vCPU)],$B616),"")</f>
        <v/>
      </c>
      <c r="O616" s="14" t="str">
        <f aca="false">IF($D616=1,INDEX(TblClusters[RAM min (Go)],$B616),"")</f>
        <v/>
      </c>
      <c r="P616" s="14" t="str">
        <f aca="false">IF($D616&lt;&gt;1,"",IF($G616="ROKS",SUMIFS(TblApplications[Besoin ROKS CPU (vCPU)],TblApplications[Cluster ROKS cible],$F616,TblApplications[Action],"À migrer",TblApplications[Déjà incluse ROKS],"Non",TblApplications[Mois prov (calc)],"&lt;="&amp;$E616),SUMIFS(TblApplications[CPU IKS libérable (vCPU)],TblApplications[Cluster IKS source],$F616,TblApplications[Mois lib (calc)],"&lt;="&amp;$E616)))</f>
        <v/>
      </c>
      <c r="Q616" s="14" t="str">
        <f aca="false">IF($D616&lt;&gt;1,"",IF($G616="ROKS",SUMIFS(TblApplications[Besoin ROKS RAM (Go)],TblApplications[Cluster ROKS cible],$F616,TblApplications[Action],"À migrer",TblApplications[Déjà incluse ROKS],"Non",TblApplications[Mois prov (calc)],"&lt;="&amp;$E616),SUMIFS(TblApplications[RAM IKS libérable (Go)],TblApplications[Cluster IKS source],$F616,TblApplications[Mois lib (calc)],"&lt;="&amp;$E616)))</f>
        <v/>
      </c>
      <c r="R616" s="14" t="str">
        <f aca="false">IF($D616&lt;&gt;1,"",IF($G616="ROKS",$L616+$P616,IF($AI616=1,0,MAX($N616,$L616-$P616))))</f>
        <v/>
      </c>
      <c r="S616" s="14" t="str">
        <f aca="false">IF($D616&lt;&gt;1,"",IF($G616="ROKS",$M616+$Q616,IF($AI616=1,0,MAX($O616,$M616-$Q616))))</f>
        <v/>
      </c>
      <c r="T616" s="14" t="str">
        <f aca="false">IF($D616&lt;&gt;1,"",IF($AI616=1,0,MAX($J616,ROUNDUP(MAX($R616/$H616,$S616/$I616),0))))</f>
        <v/>
      </c>
      <c r="U616" s="14" t="str">
        <f aca="false">IF($D616&lt;&gt;1,"",IF(p_mode="Nœud",$T616*$H616,$R616))</f>
        <v/>
      </c>
      <c r="V616" s="14" t="str">
        <f aca="false">IF($D616&lt;&gt;1,"",IF(p_mode="Nœud",$T616*$I616,$S616))</f>
        <v/>
      </c>
      <c r="W616" s="84" t="str">
        <f aca="false">IF($D616&lt;&gt;1,"",IF(p_mode="Nœud",$T616*$K616,$R616*IF($G616="IKS",p_iks_cpu,p_roks_cpu)+$S616*IF($G616="IKS",p_iks_ram,p_roks_ram))*p_facteur)</f>
        <v/>
      </c>
      <c r="X616" s="14" t="str">
        <f aca="false">IF($D616&lt;&gt;1,"",IF($G616="ROKS",$R616,IF($AI616=1,0,MAX($N616,$L616-SUMIFS(TblApplications[CPU IKS libérable (vCPU)],TblApplications[Cluster IKS source],$F616,TblApplications[Action],"À migrer",TblApplications[Mois prov (calc)],"&lt;="&amp;$E616)-SUMIFS(TblApplications[CPU IKS libérable (vCPU)],TblApplications[Cluster IKS source],$F616,TblApplications[Action],"À décommissionner",TblApplications[Mois lib (calc)],"&lt;="&amp;$E616)))))</f>
        <v/>
      </c>
      <c r="Y616" s="14" t="str">
        <f aca="false">IF($D616&lt;&gt;1,"",IF($G616="ROKS",$S616,IF($AI616=1,0,MAX($O616,$M616-SUMIFS(TblApplications[RAM IKS libérable (Go)],TblApplications[Cluster IKS source],$F616,TblApplications[Action],"À migrer",TblApplications[Mois prov (calc)],"&lt;="&amp;$E616)-SUMIFS(TblApplications[RAM IKS libérable (Go)],TblApplications[Cluster IKS source],$F616,TblApplications[Action],"À décommissionner",TblApplications[Mois lib (calc)],"&lt;="&amp;$E616)))))</f>
        <v/>
      </c>
      <c r="Z616" s="14" t="str">
        <f aca="false">IF($D616&lt;&gt;1,"",IF($AI616=1,0,MAX($J616,ROUNDUP(MAX($X616/$H616,$Y616/$I616),0))))</f>
        <v/>
      </c>
      <c r="AA616" s="84" t="str">
        <f aca="false">IF($D616&lt;&gt;1,"",IF(p_mode="Nœud",$Z616*$K616,$X616*IF($G616="IKS",p_iks_cpu,p_roks_cpu)+$Y616*IF($G616="IKS",p_iks_ram,p_roks_ram))*p_facteur)</f>
        <v/>
      </c>
      <c r="AB616" s="14" t="str">
        <f aca="false">IF($D616&lt;&gt;1,"",MAX($J616,ROUNDUP(MAX($L616/$H616,$M616/$I616),0)))</f>
        <v/>
      </c>
      <c r="AC616" s="84" t="str">
        <f aca="false">IF($D616&lt;&gt;1,"",IF(p_mode="Nœud",$AB616*$K616,$L616*IF($G616="IKS",p_iks_cpu,p_roks_cpu)+$M616*IF($G616="IKS",p_iks_ram,p_roks_ram))*p_facteur)</f>
        <v/>
      </c>
      <c r="AD616" s="14" t="str">
        <f aca="false">IF($D616&lt;&gt;1,"",IF(AND($G616="IKS",$AI616&lt;&gt;1,OR($L616-$P616&lt;$N616,$M616-$Q616&lt;$O616)),1,0))</f>
        <v/>
      </c>
      <c r="AE616" s="14" t="str">
        <f aca="false">IF($D616&lt;&gt;1,"",IF(AND($G616="ROKS",$T616&gt;p_maxworkers),1,0))</f>
        <v/>
      </c>
      <c r="AF616" s="14" t="str">
        <f aca="false">IF($D616&lt;&gt;1,"",IF(INDEX(TblClusters[Environnement],$B616)="","(vide)",INDEX(TblClusters[Environnement],$B616)))</f>
        <v/>
      </c>
      <c r="AG616" s="14" t="str">
        <f aca="false">IF($D616&lt;&gt;1,"",$R616+p_poidsram*$S616)</f>
        <v/>
      </c>
      <c r="AH616" s="14" t="str">
        <f aca="false">IF($D616&lt;&gt;1,"",IFERROR($W616/$AG616,0))</f>
        <v/>
      </c>
      <c r="AI616" s="14" t="str">
        <f aca="false">IF($D616&lt;&gt;1,"",IF(AND($G616="IKS",ISNUMBER(INDEX(TblClusters[Fermeture retenue],$B616))),IF($E616&gt;=INDEX(TblClusters[Fermeture retenue],$B616),1,0),0))</f>
        <v/>
      </c>
    </row>
    <row r="617" customFormat="false" ht="15" hidden="false" customHeight="false" outlineLevel="0" collapsed="false">
      <c r="A617" s="14" t="n">
        <v>612</v>
      </c>
      <c r="B617" s="14" t="n">
        <f aca="false">INT(($A617-1)/36)+1</f>
        <v>17</v>
      </c>
      <c r="C617" s="14" t="n">
        <f aca="false">MOD($A617-1,36)+1</f>
        <v>36</v>
      </c>
      <c r="D617" s="14" t="n">
        <f aca="false">IF($C617&gt;p_horizon,0,IFERROR(IF(AND(INDEX(TblClusters[Cluster],$B617)&lt;&gt;"",ISNUMBER(INDEX(TblClusters[CPU initial (vCPU)],$B617)),ISNUMBER(INDEX(TblClusters[CPU min (vCPU)],$B617)),OR(INDEX(TblClusters[Plateforme],$B617)="IKS",INDEX(TblClusters[Plateforme],$B617)="ROKS")),1,0),0))</f>
        <v>0</v>
      </c>
      <c r="E617" s="83" t="str">
        <f aca="false">IF($D617=1,EDATE(p_debut,$C617-1),"")</f>
        <v/>
      </c>
      <c r="F617" s="14" t="str">
        <f aca="false">IF($D617=1,INDEX(TblClusters[Cluster],$B617),"")</f>
        <v/>
      </c>
      <c r="G617" s="14" t="str">
        <f aca="false">IF($D617=1,INDEX(TblClusters[Plateforme],$B617),"")</f>
        <v/>
      </c>
      <c r="H617" s="14" t="str">
        <f aca="false">IF($D617=1,INDEX(TblClusters[vCPU par nœud],$B617),"")</f>
        <v/>
      </c>
      <c r="I617" s="14" t="str">
        <f aca="false">IF($D617=1,INDEX(TblClusters[RAM par nœud (Go)],$B617),"")</f>
        <v/>
      </c>
      <c r="J617" s="14" t="str">
        <f aca="false">IF($D617=1,INDEX(TblClusters[Workers min],$B617),"")</f>
        <v/>
      </c>
      <c r="K617" s="84" t="str">
        <f aca="false">IF($D617=1,INDEX(TblClusters[Tarif par nœud],$B617),"")</f>
        <v/>
      </c>
      <c r="L617" s="14" t="str">
        <f aca="false">IF($D617=1,INDEX(TblClusters[CPU initial (vCPU)],$B617),"")</f>
        <v/>
      </c>
      <c r="M617" s="14" t="str">
        <f aca="false">IF($D617=1,INDEX(TblClusters[RAM initiale (Go)],$B617),"")</f>
        <v/>
      </c>
      <c r="N617" s="14" t="str">
        <f aca="false">IF($D617=1,INDEX(TblClusters[CPU min (vCPU)],$B617),"")</f>
        <v/>
      </c>
      <c r="O617" s="14" t="str">
        <f aca="false">IF($D617=1,INDEX(TblClusters[RAM min (Go)],$B617),"")</f>
        <v/>
      </c>
      <c r="P617" s="14" t="str">
        <f aca="false">IF($D617&lt;&gt;1,"",IF($G617="ROKS",SUMIFS(TblApplications[Besoin ROKS CPU (vCPU)],TblApplications[Cluster ROKS cible],$F617,TblApplications[Action],"À migrer",TblApplications[Déjà incluse ROKS],"Non",TblApplications[Mois prov (calc)],"&lt;="&amp;$E617),SUMIFS(TblApplications[CPU IKS libérable (vCPU)],TblApplications[Cluster IKS source],$F617,TblApplications[Mois lib (calc)],"&lt;="&amp;$E617)))</f>
        <v/>
      </c>
      <c r="Q617" s="14" t="str">
        <f aca="false">IF($D617&lt;&gt;1,"",IF($G617="ROKS",SUMIFS(TblApplications[Besoin ROKS RAM (Go)],TblApplications[Cluster ROKS cible],$F617,TblApplications[Action],"À migrer",TblApplications[Déjà incluse ROKS],"Non",TblApplications[Mois prov (calc)],"&lt;="&amp;$E617),SUMIFS(TblApplications[RAM IKS libérable (Go)],TblApplications[Cluster IKS source],$F617,TblApplications[Mois lib (calc)],"&lt;="&amp;$E617)))</f>
        <v/>
      </c>
      <c r="R617" s="14" t="str">
        <f aca="false">IF($D617&lt;&gt;1,"",IF($G617="ROKS",$L617+$P617,IF($AI617=1,0,MAX($N617,$L617-$P617))))</f>
        <v/>
      </c>
      <c r="S617" s="14" t="str">
        <f aca="false">IF($D617&lt;&gt;1,"",IF($G617="ROKS",$M617+$Q617,IF($AI617=1,0,MAX($O617,$M617-$Q617))))</f>
        <v/>
      </c>
      <c r="T617" s="14" t="str">
        <f aca="false">IF($D617&lt;&gt;1,"",IF($AI617=1,0,MAX($J617,ROUNDUP(MAX($R617/$H617,$S617/$I617),0))))</f>
        <v/>
      </c>
      <c r="U617" s="14" t="str">
        <f aca="false">IF($D617&lt;&gt;1,"",IF(p_mode="Nœud",$T617*$H617,$R617))</f>
        <v/>
      </c>
      <c r="V617" s="14" t="str">
        <f aca="false">IF($D617&lt;&gt;1,"",IF(p_mode="Nœud",$T617*$I617,$S617))</f>
        <v/>
      </c>
      <c r="W617" s="84" t="str">
        <f aca="false">IF($D617&lt;&gt;1,"",IF(p_mode="Nœud",$T617*$K617,$R617*IF($G617="IKS",p_iks_cpu,p_roks_cpu)+$S617*IF($G617="IKS",p_iks_ram,p_roks_ram))*p_facteur)</f>
        <v/>
      </c>
      <c r="X617" s="14" t="str">
        <f aca="false">IF($D617&lt;&gt;1,"",IF($G617="ROKS",$R617,IF($AI617=1,0,MAX($N617,$L617-SUMIFS(TblApplications[CPU IKS libérable (vCPU)],TblApplications[Cluster IKS source],$F617,TblApplications[Action],"À migrer",TblApplications[Mois prov (calc)],"&lt;="&amp;$E617)-SUMIFS(TblApplications[CPU IKS libérable (vCPU)],TblApplications[Cluster IKS source],$F617,TblApplications[Action],"À décommissionner",TblApplications[Mois lib (calc)],"&lt;="&amp;$E617)))))</f>
        <v/>
      </c>
      <c r="Y617" s="14" t="str">
        <f aca="false">IF($D617&lt;&gt;1,"",IF($G617="ROKS",$S617,IF($AI617=1,0,MAX($O617,$M617-SUMIFS(TblApplications[RAM IKS libérable (Go)],TblApplications[Cluster IKS source],$F617,TblApplications[Action],"À migrer",TblApplications[Mois prov (calc)],"&lt;="&amp;$E617)-SUMIFS(TblApplications[RAM IKS libérable (Go)],TblApplications[Cluster IKS source],$F617,TblApplications[Action],"À décommissionner",TblApplications[Mois lib (calc)],"&lt;="&amp;$E617)))))</f>
        <v/>
      </c>
      <c r="Z617" s="14" t="str">
        <f aca="false">IF($D617&lt;&gt;1,"",IF($AI617=1,0,MAX($J617,ROUNDUP(MAX($X617/$H617,$Y617/$I617),0))))</f>
        <v/>
      </c>
      <c r="AA617" s="84" t="str">
        <f aca="false">IF($D617&lt;&gt;1,"",IF(p_mode="Nœud",$Z617*$K617,$X617*IF($G617="IKS",p_iks_cpu,p_roks_cpu)+$Y617*IF($G617="IKS",p_iks_ram,p_roks_ram))*p_facteur)</f>
        <v/>
      </c>
      <c r="AB617" s="14" t="str">
        <f aca="false">IF($D617&lt;&gt;1,"",MAX($J617,ROUNDUP(MAX($L617/$H617,$M617/$I617),0)))</f>
        <v/>
      </c>
      <c r="AC617" s="84" t="str">
        <f aca="false">IF($D617&lt;&gt;1,"",IF(p_mode="Nœud",$AB617*$K617,$L617*IF($G617="IKS",p_iks_cpu,p_roks_cpu)+$M617*IF($G617="IKS",p_iks_ram,p_roks_ram))*p_facteur)</f>
        <v/>
      </c>
      <c r="AD617" s="14" t="str">
        <f aca="false">IF($D617&lt;&gt;1,"",IF(AND($G617="IKS",$AI617&lt;&gt;1,OR($L617-$P617&lt;$N617,$M617-$Q617&lt;$O617)),1,0))</f>
        <v/>
      </c>
      <c r="AE617" s="14" t="str">
        <f aca="false">IF($D617&lt;&gt;1,"",IF(AND($G617="ROKS",$T617&gt;p_maxworkers),1,0))</f>
        <v/>
      </c>
      <c r="AF617" s="14" t="str">
        <f aca="false">IF($D617&lt;&gt;1,"",IF(INDEX(TblClusters[Environnement],$B617)="","(vide)",INDEX(TblClusters[Environnement],$B617)))</f>
        <v/>
      </c>
      <c r="AG617" s="14" t="str">
        <f aca="false">IF($D617&lt;&gt;1,"",$R617+p_poidsram*$S617)</f>
        <v/>
      </c>
      <c r="AH617" s="14" t="str">
        <f aca="false">IF($D617&lt;&gt;1,"",IFERROR($W617/$AG617,0))</f>
        <v/>
      </c>
      <c r="AI617" s="14" t="str">
        <f aca="false">IF($D617&lt;&gt;1,"",IF(AND($G617="IKS",ISNUMBER(INDEX(TblClusters[Fermeture retenue],$B617))),IF($E617&gt;=INDEX(TblClusters[Fermeture retenue],$B617),1,0),0))</f>
        <v/>
      </c>
    </row>
    <row r="618" customFormat="false" ht="15" hidden="false" customHeight="false" outlineLevel="0" collapsed="false">
      <c r="A618" s="14" t="n">
        <v>613</v>
      </c>
      <c r="B618" s="14" t="n">
        <f aca="false">INT(($A618-1)/36)+1</f>
        <v>18</v>
      </c>
      <c r="C618" s="14" t="n">
        <f aca="false">MOD($A618-1,36)+1</f>
        <v>1</v>
      </c>
      <c r="D618" s="14" t="n">
        <f aca="false">IF($C618&gt;p_horizon,0,IFERROR(IF(AND(INDEX(TblClusters[Cluster],$B618)&lt;&gt;"",ISNUMBER(INDEX(TblClusters[CPU initial (vCPU)],$B618)),ISNUMBER(INDEX(TblClusters[CPU min (vCPU)],$B618)),OR(INDEX(TblClusters[Plateforme],$B618)="IKS",INDEX(TblClusters[Plateforme],$B618)="ROKS")),1,0),0))</f>
        <v>0</v>
      </c>
      <c r="E618" s="83" t="str">
        <f aca="false">IF($D618=1,EDATE(p_debut,$C618-1),"")</f>
        <v/>
      </c>
      <c r="F618" s="14" t="str">
        <f aca="false">IF($D618=1,INDEX(TblClusters[Cluster],$B618),"")</f>
        <v/>
      </c>
      <c r="G618" s="14" t="str">
        <f aca="false">IF($D618=1,INDEX(TblClusters[Plateforme],$B618),"")</f>
        <v/>
      </c>
      <c r="H618" s="14" t="str">
        <f aca="false">IF($D618=1,INDEX(TblClusters[vCPU par nœud],$B618),"")</f>
        <v/>
      </c>
      <c r="I618" s="14" t="str">
        <f aca="false">IF($D618=1,INDEX(TblClusters[RAM par nœud (Go)],$B618),"")</f>
        <v/>
      </c>
      <c r="J618" s="14" t="str">
        <f aca="false">IF($D618=1,INDEX(TblClusters[Workers min],$B618),"")</f>
        <v/>
      </c>
      <c r="K618" s="84" t="str">
        <f aca="false">IF($D618=1,INDEX(TblClusters[Tarif par nœud],$B618),"")</f>
        <v/>
      </c>
      <c r="L618" s="14" t="str">
        <f aca="false">IF($D618=1,INDEX(TblClusters[CPU initial (vCPU)],$B618),"")</f>
        <v/>
      </c>
      <c r="M618" s="14" t="str">
        <f aca="false">IF($D618=1,INDEX(TblClusters[RAM initiale (Go)],$B618),"")</f>
        <v/>
      </c>
      <c r="N618" s="14" t="str">
        <f aca="false">IF($D618=1,INDEX(TblClusters[CPU min (vCPU)],$B618),"")</f>
        <v/>
      </c>
      <c r="O618" s="14" t="str">
        <f aca="false">IF($D618=1,INDEX(TblClusters[RAM min (Go)],$B618),"")</f>
        <v/>
      </c>
      <c r="P618" s="14" t="str">
        <f aca="false">IF($D618&lt;&gt;1,"",IF($G618="ROKS",SUMIFS(TblApplications[Besoin ROKS CPU (vCPU)],TblApplications[Cluster ROKS cible],$F618,TblApplications[Action],"À migrer",TblApplications[Déjà incluse ROKS],"Non",TblApplications[Mois prov (calc)],"&lt;="&amp;$E618),SUMIFS(TblApplications[CPU IKS libérable (vCPU)],TblApplications[Cluster IKS source],$F618,TblApplications[Mois lib (calc)],"&lt;="&amp;$E618)))</f>
        <v/>
      </c>
      <c r="Q618" s="14" t="str">
        <f aca="false">IF($D618&lt;&gt;1,"",IF($G618="ROKS",SUMIFS(TblApplications[Besoin ROKS RAM (Go)],TblApplications[Cluster ROKS cible],$F618,TblApplications[Action],"À migrer",TblApplications[Déjà incluse ROKS],"Non",TblApplications[Mois prov (calc)],"&lt;="&amp;$E618),SUMIFS(TblApplications[RAM IKS libérable (Go)],TblApplications[Cluster IKS source],$F618,TblApplications[Mois lib (calc)],"&lt;="&amp;$E618)))</f>
        <v/>
      </c>
      <c r="R618" s="14" t="str">
        <f aca="false">IF($D618&lt;&gt;1,"",IF($G618="ROKS",$L618+$P618,IF($AI618=1,0,MAX($N618,$L618-$P618))))</f>
        <v/>
      </c>
      <c r="S618" s="14" t="str">
        <f aca="false">IF($D618&lt;&gt;1,"",IF($G618="ROKS",$M618+$Q618,IF($AI618=1,0,MAX($O618,$M618-$Q618))))</f>
        <v/>
      </c>
      <c r="T618" s="14" t="str">
        <f aca="false">IF($D618&lt;&gt;1,"",IF($AI618=1,0,MAX($J618,ROUNDUP(MAX($R618/$H618,$S618/$I618),0))))</f>
        <v/>
      </c>
      <c r="U618" s="14" t="str">
        <f aca="false">IF($D618&lt;&gt;1,"",IF(p_mode="Nœud",$T618*$H618,$R618))</f>
        <v/>
      </c>
      <c r="V618" s="14" t="str">
        <f aca="false">IF($D618&lt;&gt;1,"",IF(p_mode="Nœud",$T618*$I618,$S618))</f>
        <v/>
      </c>
      <c r="W618" s="84" t="str">
        <f aca="false">IF($D618&lt;&gt;1,"",IF(p_mode="Nœud",$T618*$K618,$R618*IF($G618="IKS",p_iks_cpu,p_roks_cpu)+$S618*IF($G618="IKS",p_iks_ram,p_roks_ram))*p_facteur)</f>
        <v/>
      </c>
      <c r="X618" s="14" t="str">
        <f aca="false">IF($D618&lt;&gt;1,"",IF($G618="ROKS",$R618,IF($AI618=1,0,MAX($N618,$L618-SUMIFS(TblApplications[CPU IKS libérable (vCPU)],TblApplications[Cluster IKS source],$F618,TblApplications[Action],"À migrer",TblApplications[Mois prov (calc)],"&lt;="&amp;$E618)-SUMIFS(TblApplications[CPU IKS libérable (vCPU)],TblApplications[Cluster IKS source],$F618,TblApplications[Action],"À décommissionner",TblApplications[Mois lib (calc)],"&lt;="&amp;$E618)))))</f>
        <v/>
      </c>
      <c r="Y618" s="14" t="str">
        <f aca="false">IF($D618&lt;&gt;1,"",IF($G618="ROKS",$S618,IF($AI618=1,0,MAX($O618,$M618-SUMIFS(TblApplications[RAM IKS libérable (Go)],TblApplications[Cluster IKS source],$F618,TblApplications[Action],"À migrer",TblApplications[Mois prov (calc)],"&lt;="&amp;$E618)-SUMIFS(TblApplications[RAM IKS libérable (Go)],TblApplications[Cluster IKS source],$F618,TblApplications[Action],"À décommissionner",TblApplications[Mois lib (calc)],"&lt;="&amp;$E618)))))</f>
        <v/>
      </c>
      <c r="Z618" s="14" t="str">
        <f aca="false">IF($D618&lt;&gt;1,"",IF($AI618=1,0,MAX($J618,ROUNDUP(MAX($X618/$H618,$Y618/$I618),0))))</f>
        <v/>
      </c>
      <c r="AA618" s="84" t="str">
        <f aca="false">IF($D618&lt;&gt;1,"",IF(p_mode="Nœud",$Z618*$K618,$X618*IF($G618="IKS",p_iks_cpu,p_roks_cpu)+$Y618*IF($G618="IKS",p_iks_ram,p_roks_ram))*p_facteur)</f>
        <v/>
      </c>
      <c r="AB618" s="14" t="str">
        <f aca="false">IF($D618&lt;&gt;1,"",MAX($J618,ROUNDUP(MAX($L618/$H618,$M618/$I618),0)))</f>
        <v/>
      </c>
      <c r="AC618" s="84" t="str">
        <f aca="false">IF($D618&lt;&gt;1,"",IF(p_mode="Nœud",$AB618*$K618,$L618*IF($G618="IKS",p_iks_cpu,p_roks_cpu)+$M618*IF($G618="IKS",p_iks_ram,p_roks_ram))*p_facteur)</f>
        <v/>
      </c>
      <c r="AD618" s="14" t="str">
        <f aca="false">IF($D618&lt;&gt;1,"",IF(AND($G618="IKS",$AI618&lt;&gt;1,OR($L618-$P618&lt;$N618,$M618-$Q618&lt;$O618)),1,0))</f>
        <v/>
      </c>
      <c r="AE618" s="14" t="str">
        <f aca="false">IF($D618&lt;&gt;1,"",IF(AND($G618="ROKS",$T618&gt;p_maxworkers),1,0))</f>
        <v/>
      </c>
      <c r="AF618" s="14" t="str">
        <f aca="false">IF($D618&lt;&gt;1,"",IF(INDEX(TblClusters[Environnement],$B618)="","(vide)",INDEX(TblClusters[Environnement],$B618)))</f>
        <v/>
      </c>
      <c r="AG618" s="14" t="str">
        <f aca="false">IF($D618&lt;&gt;1,"",$R618+p_poidsram*$S618)</f>
        <v/>
      </c>
      <c r="AH618" s="14" t="str">
        <f aca="false">IF($D618&lt;&gt;1,"",IFERROR($W618/$AG618,0))</f>
        <v/>
      </c>
      <c r="AI618" s="14" t="str">
        <f aca="false">IF($D618&lt;&gt;1,"",IF(AND($G618="IKS",ISNUMBER(INDEX(TblClusters[Fermeture retenue],$B618))),IF($E618&gt;=INDEX(TblClusters[Fermeture retenue],$B618),1,0),0))</f>
        <v/>
      </c>
    </row>
    <row r="619" customFormat="false" ht="15" hidden="false" customHeight="false" outlineLevel="0" collapsed="false">
      <c r="A619" s="14" t="n">
        <v>614</v>
      </c>
      <c r="B619" s="14" t="n">
        <f aca="false">INT(($A619-1)/36)+1</f>
        <v>18</v>
      </c>
      <c r="C619" s="14" t="n">
        <f aca="false">MOD($A619-1,36)+1</f>
        <v>2</v>
      </c>
      <c r="D619" s="14" t="n">
        <f aca="false">IF($C619&gt;p_horizon,0,IFERROR(IF(AND(INDEX(TblClusters[Cluster],$B619)&lt;&gt;"",ISNUMBER(INDEX(TblClusters[CPU initial (vCPU)],$B619)),ISNUMBER(INDEX(TblClusters[CPU min (vCPU)],$B619)),OR(INDEX(TblClusters[Plateforme],$B619)="IKS",INDEX(TblClusters[Plateforme],$B619)="ROKS")),1,0),0))</f>
        <v>0</v>
      </c>
      <c r="E619" s="83" t="str">
        <f aca="false">IF($D619=1,EDATE(p_debut,$C619-1),"")</f>
        <v/>
      </c>
      <c r="F619" s="14" t="str">
        <f aca="false">IF($D619=1,INDEX(TblClusters[Cluster],$B619),"")</f>
        <v/>
      </c>
      <c r="G619" s="14" t="str">
        <f aca="false">IF($D619=1,INDEX(TblClusters[Plateforme],$B619),"")</f>
        <v/>
      </c>
      <c r="H619" s="14" t="str">
        <f aca="false">IF($D619=1,INDEX(TblClusters[vCPU par nœud],$B619),"")</f>
        <v/>
      </c>
      <c r="I619" s="14" t="str">
        <f aca="false">IF($D619=1,INDEX(TblClusters[RAM par nœud (Go)],$B619),"")</f>
        <v/>
      </c>
      <c r="J619" s="14" t="str">
        <f aca="false">IF($D619=1,INDEX(TblClusters[Workers min],$B619),"")</f>
        <v/>
      </c>
      <c r="K619" s="84" t="str">
        <f aca="false">IF($D619=1,INDEX(TblClusters[Tarif par nœud],$B619),"")</f>
        <v/>
      </c>
      <c r="L619" s="14" t="str">
        <f aca="false">IF($D619=1,INDEX(TblClusters[CPU initial (vCPU)],$B619),"")</f>
        <v/>
      </c>
      <c r="M619" s="14" t="str">
        <f aca="false">IF($D619=1,INDEX(TblClusters[RAM initiale (Go)],$B619),"")</f>
        <v/>
      </c>
      <c r="N619" s="14" t="str">
        <f aca="false">IF($D619=1,INDEX(TblClusters[CPU min (vCPU)],$B619),"")</f>
        <v/>
      </c>
      <c r="O619" s="14" t="str">
        <f aca="false">IF($D619=1,INDEX(TblClusters[RAM min (Go)],$B619),"")</f>
        <v/>
      </c>
      <c r="P619" s="14" t="str">
        <f aca="false">IF($D619&lt;&gt;1,"",IF($G619="ROKS",SUMIFS(TblApplications[Besoin ROKS CPU (vCPU)],TblApplications[Cluster ROKS cible],$F619,TblApplications[Action],"À migrer",TblApplications[Déjà incluse ROKS],"Non",TblApplications[Mois prov (calc)],"&lt;="&amp;$E619),SUMIFS(TblApplications[CPU IKS libérable (vCPU)],TblApplications[Cluster IKS source],$F619,TblApplications[Mois lib (calc)],"&lt;="&amp;$E619)))</f>
        <v/>
      </c>
      <c r="Q619" s="14" t="str">
        <f aca="false">IF($D619&lt;&gt;1,"",IF($G619="ROKS",SUMIFS(TblApplications[Besoin ROKS RAM (Go)],TblApplications[Cluster ROKS cible],$F619,TblApplications[Action],"À migrer",TblApplications[Déjà incluse ROKS],"Non",TblApplications[Mois prov (calc)],"&lt;="&amp;$E619),SUMIFS(TblApplications[RAM IKS libérable (Go)],TblApplications[Cluster IKS source],$F619,TblApplications[Mois lib (calc)],"&lt;="&amp;$E619)))</f>
        <v/>
      </c>
      <c r="R619" s="14" t="str">
        <f aca="false">IF($D619&lt;&gt;1,"",IF($G619="ROKS",$L619+$P619,IF($AI619=1,0,MAX($N619,$L619-$P619))))</f>
        <v/>
      </c>
      <c r="S619" s="14" t="str">
        <f aca="false">IF($D619&lt;&gt;1,"",IF($G619="ROKS",$M619+$Q619,IF($AI619=1,0,MAX($O619,$M619-$Q619))))</f>
        <v/>
      </c>
      <c r="T619" s="14" t="str">
        <f aca="false">IF($D619&lt;&gt;1,"",IF($AI619=1,0,MAX($J619,ROUNDUP(MAX($R619/$H619,$S619/$I619),0))))</f>
        <v/>
      </c>
      <c r="U619" s="14" t="str">
        <f aca="false">IF($D619&lt;&gt;1,"",IF(p_mode="Nœud",$T619*$H619,$R619))</f>
        <v/>
      </c>
      <c r="V619" s="14" t="str">
        <f aca="false">IF($D619&lt;&gt;1,"",IF(p_mode="Nœud",$T619*$I619,$S619))</f>
        <v/>
      </c>
      <c r="W619" s="84" t="str">
        <f aca="false">IF($D619&lt;&gt;1,"",IF(p_mode="Nœud",$T619*$K619,$R619*IF($G619="IKS",p_iks_cpu,p_roks_cpu)+$S619*IF($G619="IKS",p_iks_ram,p_roks_ram))*p_facteur)</f>
        <v/>
      </c>
      <c r="X619" s="14" t="str">
        <f aca="false">IF($D619&lt;&gt;1,"",IF($G619="ROKS",$R619,IF($AI619=1,0,MAX($N619,$L619-SUMIFS(TblApplications[CPU IKS libérable (vCPU)],TblApplications[Cluster IKS source],$F619,TblApplications[Action],"À migrer",TblApplications[Mois prov (calc)],"&lt;="&amp;$E619)-SUMIFS(TblApplications[CPU IKS libérable (vCPU)],TblApplications[Cluster IKS source],$F619,TblApplications[Action],"À décommissionner",TblApplications[Mois lib (calc)],"&lt;="&amp;$E619)))))</f>
        <v/>
      </c>
      <c r="Y619" s="14" t="str">
        <f aca="false">IF($D619&lt;&gt;1,"",IF($G619="ROKS",$S619,IF($AI619=1,0,MAX($O619,$M619-SUMIFS(TblApplications[RAM IKS libérable (Go)],TblApplications[Cluster IKS source],$F619,TblApplications[Action],"À migrer",TblApplications[Mois prov (calc)],"&lt;="&amp;$E619)-SUMIFS(TblApplications[RAM IKS libérable (Go)],TblApplications[Cluster IKS source],$F619,TblApplications[Action],"À décommissionner",TblApplications[Mois lib (calc)],"&lt;="&amp;$E619)))))</f>
        <v/>
      </c>
      <c r="Z619" s="14" t="str">
        <f aca="false">IF($D619&lt;&gt;1,"",IF($AI619=1,0,MAX($J619,ROUNDUP(MAX($X619/$H619,$Y619/$I619),0))))</f>
        <v/>
      </c>
      <c r="AA619" s="84" t="str">
        <f aca="false">IF($D619&lt;&gt;1,"",IF(p_mode="Nœud",$Z619*$K619,$X619*IF($G619="IKS",p_iks_cpu,p_roks_cpu)+$Y619*IF($G619="IKS",p_iks_ram,p_roks_ram))*p_facteur)</f>
        <v/>
      </c>
      <c r="AB619" s="14" t="str">
        <f aca="false">IF($D619&lt;&gt;1,"",MAX($J619,ROUNDUP(MAX($L619/$H619,$M619/$I619),0)))</f>
        <v/>
      </c>
      <c r="AC619" s="84" t="str">
        <f aca="false">IF($D619&lt;&gt;1,"",IF(p_mode="Nœud",$AB619*$K619,$L619*IF($G619="IKS",p_iks_cpu,p_roks_cpu)+$M619*IF($G619="IKS",p_iks_ram,p_roks_ram))*p_facteur)</f>
        <v/>
      </c>
      <c r="AD619" s="14" t="str">
        <f aca="false">IF($D619&lt;&gt;1,"",IF(AND($G619="IKS",$AI619&lt;&gt;1,OR($L619-$P619&lt;$N619,$M619-$Q619&lt;$O619)),1,0))</f>
        <v/>
      </c>
      <c r="AE619" s="14" t="str">
        <f aca="false">IF($D619&lt;&gt;1,"",IF(AND($G619="ROKS",$T619&gt;p_maxworkers),1,0))</f>
        <v/>
      </c>
      <c r="AF619" s="14" t="str">
        <f aca="false">IF($D619&lt;&gt;1,"",IF(INDEX(TblClusters[Environnement],$B619)="","(vide)",INDEX(TblClusters[Environnement],$B619)))</f>
        <v/>
      </c>
      <c r="AG619" s="14" t="str">
        <f aca="false">IF($D619&lt;&gt;1,"",$R619+p_poidsram*$S619)</f>
        <v/>
      </c>
      <c r="AH619" s="14" t="str">
        <f aca="false">IF($D619&lt;&gt;1,"",IFERROR($W619/$AG619,0))</f>
        <v/>
      </c>
      <c r="AI619" s="14" t="str">
        <f aca="false">IF($D619&lt;&gt;1,"",IF(AND($G619="IKS",ISNUMBER(INDEX(TblClusters[Fermeture retenue],$B619))),IF($E619&gt;=INDEX(TblClusters[Fermeture retenue],$B619),1,0),0))</f>
        <v/>
      </c>
    </row>
    <row r="620" customFormat="false" ht="15" hidden="false" customHeight="false" outlineLevel="0" collapsed="false">
      <c r="A620" s="14" t="n">
        <v>615</v>
      </c>
      <c r="B620" s="14" t="n">
        <f aca="false">INT(($A620-1)/36)+1</f>
        <v>18</v>
      </c>
      <c r="C620" s="14" t="n">
        <f aca="false">MOD($A620-1,36)+1</f>
        <v>3</v>
      </c>
      <c r="D620" s="14" t="n">
        <f aca="false">IF($C620&gt;p_horizon,0,IFERROR(IF(AND(INDEX(TblClusters[Cluster],$B620)&lt;&gt;"",ISNUMBER(INDEX(TblClusters[CPU initial (vCPU)],$B620)),ISNUMBER(INDEX(TblClusters[CPU min (vCPU)],$B620)),OR(INDEX(TblClusters[Plateforme],$B620)="IKS",INDEX(TblClusters[Plateforme],$B620)="ROKS")),1,0),0))</f>
        <v>0</v>
      </c>
      <c r="E620" s="83" t="str">
        <f aca="false">IF($D620=1,EDATE(p_debut,$C620-1),"")</f>
        <v/>
      </c>
      <c r="F620" s="14" t="str">
        <f aca="false">IF($D620=1,INDEX(TblClusters[Cluster],$B620),"")</f>
        <v/>
      </c>
      <c r="G620" s="14" t="str">
        <f aca="false">IF($D620=1,INDEX(TblClusters[Plateforme],$B620),"")</f>
        <v/>
      </c>
      <c r="H620" s="14" t="str">
        <f aca="false">IF($D620=1,INDEX(TblClusters[vCPU par nœud],$B620),"")</f>
        <v/>
      </c>
      <c r="I620" s="14" t="str">
        <f aca="false">IF($D620=1,INDEX(TblClusters[RAM par nœud (Go)],$B620),"")</f>
        <v/>
      </c>
      <c r="J620" s="14" t="str">
        <f aca="false">IF($D620=1,INDEX(TblClusters[Workers min],$B620),"")</f>
        <v/>
      </c>
      <c r="K620" s="84" t="str">
        <f aca="false">IF($D620=1,INDEX(TblClusters[Tarif par nœud],$B620),"")</f>
        <v/>
      </c>
      <c r="L620" s="14" t="str">
        <f aca="false">IF($D620=1,INDEX(TblClusters[CPU initial (vCPU)],$B620),"")</f>
        <v/>
      </c>
      <c r="M620" s="14" t="str">
        <f aca="false">IF($D620=1,INDEX(TblClusters[RAM initiale (Go)],$B620),"")</f>
        <v/>
      </c>
      <c r="N620" s="14" t="str">
        <f aca="false">IF($D620=1,INDEX(TblClusters[CPU min (vCPU)],$B620),"")</f>
        <v/>
      </c>
      <c r="O620" s="14" t="str">
        <f aca="false">IF($D620=1,INDEX(TblClusters[RAM min (Go)],$B620),"")</f>
        <v/>
      </c>
      <c r="P620" s="14" t="str">
        <f aca="false">IF($D620&lt;&gt;1,"",IF($G620="ROKS",SUMIFS(TblApplications[Besoin ROKS CPU (vCPU)],TblApplications[Cluster ROKS cible],$F620,TblApplications[Action],"À migrer",TblApplications[Déjà incluse ROKS],"Non",TblApplications[Mois prov (calc)],"&lt;="&amp;$E620),SUMIFS(TblApplications[CPU IKS libérable (vCPU)],TblApplications[Cluster IKS source],$F620,TblApplications[Mois lib (calc)],"&lt;="&amp;$E620)))</f>
        <v/>
      </c>
      <c r="Q620" s="14" t="str">
        <f aca="false">IF($D620&lt;&gt;1,"",IF($G620="ROKS",SUMIFS(TblApplications[Besoin ROKS RAM (Go)],TblApplications[Cluster ROKS cible],$F620,TblApplications[Action],"À migrer",TblApplications[Déjà incluse ROKS],"Non",TblApplications[Mois prov (calc)],"&lt;="&amp;$E620),SUMIFS(TblApplications[RAM IKS libérable (Go)],TblApplications[Cluster IKS source],$F620,TblApplications[Mois lib (calc)],"&lt;="&amp;$E620)))</f>
        <v/>
      </c>
      <c r="R620" s="14" t="str">
        <f aca="false">IF($D620&lt;&gt;1,"",IF($G620="ROKS",$L620+$P620,IF($AI620=1,0,MAX($N620,$L620-$P620))))</f>
        <v/>
      </c>
      <c r="S620" s="14" t="str">
        <f aca="false">IF($D620&lt;&gt;1,"",IF($G620="ROKS",$M620+$Q620,IF($AI620=1,0,MAX($O620,$M620-$Q620))))</f>
        <v/>
      </c>
      <c r="T620" s="14" t="str">
        <f aca="false">IF($D620&lt;&gt;1,"",IF($AI620=1,0,MAX($J620,ROUNDUP(MAX($R620/$H620,$S620/$I620),0))))</f>
        <v/>
      </c>
      <c r="U620" s="14" t="str">
        <f aca="false">IF($D620&lt;&gt;1,"",IF(p_mode="Nœud",$T620*$H620,$R620))</f>
        <v/>
      </c>
      <c r="V620" s="14" t="str">
        <f aca="false">IF($D620&lt;&gt;1,"",IF(p_mode="Nœud",$T620*$I620,$S620))</f>
        <v/>
      </c>
      <c r="W620" s="84" t="str">
        <f aca="false">IF($D620&lt;&gt;1,"",IF(p_mode="Nœud",$T620*$K620,$R620*IF($G620="IKS",p_iks_cpu,p_roks_cpu)+$S620*IF($G620="IKS",p_iks_ram,p_roks_ram))*p_facteur)</f>
        <v/>
      </c>
      <c r="X620" s="14" t="str">
        <f aca="false">IF($D620&lt;&gt;1,"",IF($G620="ROKS",$R620,IF($AI620=1,0,MAX($N620,$L620-SUMIFS(TblApplications[CPU IKS libérable (vCPU)],TblApplications[Cluster IKS source],$F620,TblApplications[Action],"À migrer",TblApplications[Mois prov (calc)],"&lt;="&amp;$E620)-SUMIFS(TblApplications[CPU IKS libérable (vCPU)],TblApplications[Cluster IKS source],$F620,TblApplications[Action],"À décommissionner",TblApplications[Mois lib (calc)],"&lt;="&amp;$E620)))))</f>
        <v/>
      </c>
      <c r="Y620" s="14" t="str">
        <f aca="false">IF($D620&lt;&gt;1,"",IF($G620="ROKS",$S620,IF($AI620=1,0,MAX($O620,$M620-SUMIFS(TblApplications[RAM IKS libérable (Go)],TblApplications[Cluster IKS source],$F620,TblApplications[Action],"À migrer",TblApplications[Mois prov (calc)],"&lt;="&amp;$E620)-SUMIFS(TblApplications[RAM IKS libérable (Go)],TblApplications[Cluster IKS source],$F620,TblApplications[Action],"À décommissionner",TblApplications[Mois lib (calc)],"&lt;="&amp;$E620)))))</f>
        <v/>
      </c>
      <c r="Z620" s="14" t="str">
        <f aca="false">IF($D620&lt;&gt;1,"",IF($AI620=1,0,MAX($J620,ROUNDUP(MAX($X620/$H620,$Y620/$I620),0))))</f>
        <v/>
      </c>
      <c r="AA620" s="84" t="str">
        <f aca="false">IF($D620&lt;&gt;1,"",IF(p_mode="Nœud",$Z620*$K620,$X620*IF($G620="IKS",p_iks_cpu,p_roks_cpu)+$Y620*IF($G620="IKS",p_iks_ram,p_roks_ram))*p_facteur)</f>
        <v/>
      </c>
      <c r="AB620" s="14" t="str">
        <f aca="false">IF($D620&lt;&gt;1,"",MAX($J620,ROUNDUP(MAX($L620/$H620,$M620/$I620),0)))</f>
        <v/>
      </c>
      <c r="AC620" s="84" t="str">
        <f aca="false">IF($D620&lt;&gt;1,"",IF(p_mode="Nœud",$AB620*$K620,$L620*IF($G620="IKS",p_iks_cpu,p_roks_cpu)+$M620*IF($G620="IKS",p_iks_ram,p_roks_ram))*p_facteur)</f>
        <v/>
      </c>
      <c r="AD620" s="14" t="str">
        <f aca="false">IF($D620&lt;&gt;1,"",IF(AND($G620="IKS",$AI620&lt;&gt;1,OR($L620-$P620&lt;$N620,$M620-$Q620&lt;$O620)),1,0))</f>
        <v/>
      </c>
      <c r="AE620" s="14" t="str">
        <f aca="false">IF($D620&lt;&gt;1,"",IF(AND($G620="ROKS",$T620&gt;p_maxworkers),1,0))</f>
        <v/>
      </c>
      <c r="AF620" s="14" t="str">
        <f aca="false">IF($D620&lt;&gt;1,"",IF(INDEX(TblClusters[Environnement],$B620)="","(vide)",INDEX(TblClusters[Environnement],$B620)))</f>
        <v/>
      </c>
      <c r="AG620" s="14" t="str">
        <f aca="false">IF($D620&lt;&gt;1,"",$R620+p_poidsram*$S620)</f>
        <v/>
      </c>
      <c r="AH620" s="14" t="str">
        <f aca="false">IF($D620&lt;&gt;1,"",IFERROR($W620/$AG620,0))</f>
        <v/>
      </c>
      <c r="AI620" s="14" t="str">
        <f aca="false">IF($D620&lt;&gt;1,"",IF(AND($G620="IKS",ISNUMBER(INDEX(TblClusters[Fermeture retenue],$B620))),IF($E620&gt;=INDEX(TblClusters[Fermeture retenue],$B620),1,0),0))</f>
        <v/>
      </c>
    </row>
    <row r="621" customFormat="false" ht="15" hidden="false" customHeight="false" outlineLevel="0" collapsed="false">
      <c r="A621" s="14" t="n">
        <v>616</v>
      </c>
      <c r="B621" s="14" t="n">
        <f aca="false">INT(($A621-1)/36)+1</f>
        <v>18</v>
      </c>
      <c r="C621" s="14" t="n">
        <f aca="false">MOD($A621-1,36)+1</f>
        <v>4</v>
      </c>
      <c r="D621" s="14" t="n">
        <f aca="false">IF($C621&gt;p_horizon,0,IFERROR(IF(AND(INDEX(TblClusters[Cluster],$B621)&lt;&gt;"",ISNUMBER(INDEX(TblClusters[CPU initial (vCPU)],$B621)),ISNUMBER(INDEX(TblClusters[CPU min (vCPU)],$B621)),OR(INDEX(TblClusters[Plateforme],$B621)="IKS",INDEX(TblClusters[Plateforme],$B621)="ROKS")),1,0),0))</f>
        <v>0</v>
      </c>
      <c r="E621" s="83" t="str">
        <f aca="false">IF($D621=1,EDATE(p_debut,$C621-1),"")</f>
        <v/>
      </c>
      <c r="F621" s="14" t="str">
        <f aca="false">IF($D621=1,INDEX(TblClusters[Cluster],$B621),"")</f>
        <v/>
      </c>
      <c r="G621" s="14" t="str">
        <f aca="false">IF($D621=1,INDEX(TblClusters[Plateforme],$B621),"")</f>
        <v/>
      </c>
      <c r="H621" s="14" t="str">
        <f aca="false">IF($D621=1,INDEX(TblClusters[vCPU par nœud],$B621),"")</f>
        <v/>
      </c>
      <c r="I621" s="14" t="str">
        <f aca="false">IF($D621=1,INDEX(TblClusters[RAM par nœud (Go)],$B621),"")</f>
        <v/>
      </c>
      <c r="J621" s="14" t="str">
        <f aca="false">IF($D621=1,INDEX(TblClusters[Workers min],$B621),"")</f>
        <v/>
      </c>
      <c r="K621" s="84" t="str">
        <f aca="false">IF($D621=1,INDEX(TblClusters[Tarif par nœud],$B621),"")</f>
        <v/>
      </c>
      <c r="L621" s="14" t="str">
        <f aca="false">IF($D621=1,INDEX(TblClusters[CPU initial (vCPU)],$B621),"")</f>
        <v/>
      </c>
      <c r="M621" s="14" t="str">
        <f aca="false">IF($D621=1,INDEX(TblClusters[RAM initiale (Go)],$B621),"")</f>
        <v/>
      </c>
      <c r="N621" s="14" t="str">
        <f aca="false">IF($D621=1,INDEX(TblClusters[CPU min (vCPU)],$B621),"")</f>
        <v/>
      </c>
      <c r="O621" s="14" t="str">
        <f aca="false">IF($D621=1,INDEX(TblClusters[RAM min (Go)],$B621),"")</f>
        <v/>
      </c>
      <c r="P621" s="14" t="str">
        <f aca="false">IF($D621&lt;&gt;1,"",IF($G621="ROKS",SUMIFS(TblApplications[Besoin ROKS CPU (vCPU)],TblApplications[Cluster ROKS cible],$F621,TblApplications[Action],"À migrer",TblApplications[Déjà incluse ROKS],"Non",TblApplications[Mois prov (calc)],"&lt;="&amp;$E621),SUMIFS(TblApplications[CPU IKS libérable (vCPU)],TblApplications[Cluster IKS source],$F621,TblApplications[Mois lib (calc)],"&lt;="&amp;$E621)))</f>
        <v/>
      </c>
      <c r="Q621" s="14" t="str">
        <f aca="false">IF($D621&lt;&gt;1,"",IF($G621="ROKS",SUMIFS(TblApplications[Besoin ROKS RAM (Go)],TblApplications[Cluster ROKS cible],$F621,TblApplications[Action],"À migrer",TblApplications[Déjà incluse ROKS],"Non",TblApplications[Mois prov (calc)],"&lt;="&amp;$E621),SUMIFS(TblApplications[RAM IKS libérable (Go)],TblApplications[Cluster IKS source],$F621,TblApplications[Mois lib (calc)],"&lt;="&amp;$E621)))</f>
        <v/>
      </c>
      <c r="R621" s="14" t="str">
        <f aca="false">IF($D621&lt;&gt;1,"",IF($G621="ROKS",$L621+$P621,IF($AI621=1,0,MAX($N621,$L621-$P621))))</f>
        <v/>
      </c>
      <c r="S621" s="14" t="str">
        <f aca="false">IF($D621&lt;&gt;1,"",IF($G621="ROKS",$M621+$Q621,IF($AI621=1,0,MAX($O621,$M621-$Q621))))</f>
        <v/>
      </c>
      <c r="T621" s="14" t="str">
        <f aca="false">IF($D621&lt;&gt;1,"",IF($AI621=1,0,MAX($J621,ROUNDUP(MAX($R621/$H621,$S621/$I621),0))))</f>
        <v/>
      </c>
      <c r="U621" s="14" t="str">
        <f aca="false">IF($D621&lt;&gt;1,"",IF(p_mode="Nœud",$T621*$H621,$R621))</f>
        <v/>
      </c>
      <c r="V621" s="14" t="str">
        <f aca="false">IF($D621&lt;&gt;1,"",IF(p_mode="Nœud",$T621*$I621,$S621))</f>
        <v/>
      </c>
      <c r="W621" s="84" t="str">
        <f aca="false">IF($D621&lt;&gt;1,"",IF(p_mode="Nœud",$T621*$K621,$R621*IF($G621="IKS",p_iks_cpu,p_roks_cpu)+$S621*IF($G621="IKS",p_iks_ram,p_roks_ram))*p_facteur)</f>
        <v/>
      </c>
      <c r="X621" s="14" t="str">
        <f aca="false">IF($D621&lt;&gt;1,"",IF($G621="ROKS",$R621,IF($AI621=1,0,MAX($N621,$L621-SUMIFS(TblApplications[CPU IKS libérable (vCPU)],TblApplications[Cluster IKS source],$F621,TblApplications[Action],"À migrer",TblApplications[Mois prov (calc)],"&lt;="&amp;$E621)-SUMIFS(TblApplications[CPU IKS libérable (vCPU)],TblApplications[Cluster IKS source],$F621,TblApplications[Action],"À décommissionner",TblApplications[Mois lib (calc)],"&lt;="&amp;$E621)))))</f>
        <v/>
      </c>
      <c r="Y621" s="14" t="str">
        <f aca="false">IF($D621&lt;&gt;1,"",IF($G621="ROKS",$S621,IF($AI621=1,0,MAX($O621,$M621-SUMIFS(TblApplications[RAM IKS libérable (Go)],TblApplications[Cluster IKS source],$F621,TblApplications[Action],"À migrer",TblApplications[Mois prov (calc)],"&lt;="&amp;$E621)-SUMIFS(TblApplications[RAM IKS libérable (Go)],TblApplications[Cluster IKS source],$F621,TblApplications[Action],"À décommissionner",TblApplications[Mois lib (calc)],"&lt;="&amp;$E621)))))</f>
        <v/>
      </c>
      <c r="Z621" s="14" t="str">
        <f aca="false">IF($D621&lt;&gt;1,"",IF($AI621=1,0,MAX($J621,ROUNDUP(MAX($X621/$H621,$Y621/$I621),0))))</f>
        <v/>
      </c>
      <c r="AA621" s="84" t="str">
        <f aca="false">IF($D621&lt;&gt;1,"",IF(p_mode="Nœud",$Z621*$K621,$X621*IF($G621="IKS",p_iks_cpu,p_roks_cpu)+$Y621*IF($G621="IKS",p_iks_ram,p_roks_ram))*p_facteur)</f>
        <v/>
      </c>
      <c r="AB621" s="14" t="str">
        <f aca="false">IF($D621&lt;&gt;1,"",MAX($J621,ROUNDUP(MAX($L621/$H621,$M621/$I621),0)))</f>
        <v/>
      </c>
      <c r="AC621" s="84" t="str">
        <f aca="false">IF($D621&lt;&gt;1,"",IF(p_mode="Nœud",$AB621*$K621,$L621*IF($G621="IKS",p_iks_cpu,p_roks_cpu)+$M621*IF($G621="IKS",p_iks_ram,p_roks_ram))*p_facteur)</f>
        <v/>
      </c>
      <c r="AD621" s="14" t="str">
        <f aca="false">IF($D621&lt;&gt;1,"",IF(AND($G621="IKS",$AI621&lt;&gt;1,OR($L621-$P621&lt;$N621,$M621-$Q621&lt;$O621)),1,0))</f>
        <v/>
      </c>
      <c r="AE621" s="14" t="str">
        <f aca="false">IF($D621&lt;&gt;1,"",IF(AND($G621="ROKS",$T621&gt;p_maxworkers),1,0))</f>
        <v/>
      </c>
      <c r="AF621" s="14" t="str">
        <f aca="false">IF($D621&lt;&gt;1,"",IF(INDEX(TblClusters[Environnement],$B621)="","(vide)",INDEX(TblClusters[Environnement],$B621)))</f>
        <v/>
      </c>
      <c r="AG621" s="14" t="str">
        <f aca="false">IF($D621&lt;&gt;1,"",$R621+p_poidsram*$S621)</f>
        <v/>
      </c>
      <c r="AH621" s="14" t="str">
        <f aca="false">IF($D621&lt;&gt;1,"",IFERROR($W621/$AG621,0))</f>
        <v/>
      </c>
      <c r="AI621" s="14" t="str">
        <f aca="false">IF($D621&lt;&gt;1,"",IF(AND($G621="IKS",ISNUMBER(INDEX(TblClusters[Fermeture retenue],$B621))),IF($E621&gt;=INDEX(TblClusters[Fermeture retenue],$B621),1,0),0))</f>
        <v/>
      </c>
    </row>
    <row r="622" customFormat="false" ht="15" hidden="false" customHeight="false" outlineLevel="0" collapsed="false">
      <c r="A622" s="14" t="n">
        <v>617</v>
      </c>
      <c r="B622" s="14" t="n">
        <f aca="false">INT(($A622-1)/36)+1</f>
        <v>18</v>
      </c>
      <c r="C622" s="14" t="n">
        <f aca="false">MOD($A622-1,36)+1</f>
        <v>5</v>
      </c>
      <c r="D622" s="14" t="n">
        <f aca="false">IF($C622&gt;p_horizon,0,IFERROR(IF(AND(INDEX(TblClusters[Cluster],$B622)&lt;&gt;"",ISNUMBER(INDEX(TblClusters[CPU initial (vCPU)],$B622)),ISNUMBER(INDEX(TblClusters[CPU min (vCPU)],$B622)),OR(INDEX(TblClusters[Plateforme],$B622)="IKS",INDEX(TblClusters[Plateforme],$B622)="ROKS")),1,0),0))</f>
        <v>0</v>
      </c>
      <c r="E622" s="83" t="str">
        <f aca="false">IF($D622=1,EDATE(p_debut,$C622-1),"")</f>
        <v/>
      </c>
      <c r="F622" s="14" t="str">
        <f aca="false">IF($D622=1,INDEX(TblClusters[Cluster],$B622),"")</f>
        <v/>
      </c>
      <c r="G622" s="14" t="str">
        <f aca="false">IF($D622=1,INDEX(TblClusters[Plateforme],$B622),"")</f>
        <v/>
      </c>
      <c r="H622" s="14" t="str">
        <f aca="false">IF($D622=1,INDEX(TblClusters[vCPU par nœud],$B622),"")</f>
        <v/>
      </c>
      <c r="I622" s="14" t="str">
        <f aca="false">IF($D622=1,INDEX(TblClusters[RAM par nœud (Go)],$B622),"")</f>
        <v/>
      </c>
      <c r="J622" s="14" t="str">
        <f aca="false">IF($D622=1,INDEX(TblClusters[Workers min],$B622),"")</f>
        <v/>
      </c>
      <c r="K622" s="84" t="str">
        <f aca="false">IF($D622=1,INDEX(TblClusters[Tarif par nœud],$B622),"")</f>
        <v/>
      </c>
      <c r="L622" s="14" t="str">
        <f aca="false">IF($D622=1,INDEX(TblClusters[CPU initial (vCPU)],$B622),"")</f>
        <v/>
      </c>
      <c r="M622" s="14" t="str">
        <f aca="false">IF($D622=1,INDEX(TblClusters[RAM initiale (Go)],$B622),"")</f>
        <v/>
      </c>
      <c r="N622" s="14" t="str">
        <f aca="false">IF($D622=1,INDEX(TblClusters[CPU min (vCPU)],$B622),"")</f>
        <v/>
      </c>
      <c r="O622" s="14" t="str">
        <f aca="false">IF($D622=1,INDEX(TblClusters[RAM min (Go)],$B622),"")</f>
        <v/>
      </c>
      <c r="P622" s="14" t="str">
        <f aca="false">IF($D622&lt;&gt;1,"",IF($G622="ROKS",SUMIFS(TblApplications[Besoin ROKS CPU (vCPU)],TblApplications[Cluster ROKS cible],$F622,TblApplications[Action],"À migrer",TblApplications[Déjà incluse ROKS],"Non",TblApplications[Mois prov (calc)],"&lt;="&amp;$E622),SUMIFS(TblApplications[CPU IKS libérable (vCPU)],TblApplications[Cluster IKS source],$F622,TblApplications[Mois lib (calc)],"&lt;="&amp;$E622)))</f>
        <v/>
      </c>
      <c r="Q622" s="14" t="str">
        <f aca="false">IF($D622&lt;&gt;1,"",IF($G622="ROKS",SUMIFS(TblApplications[Besoin ROKS RAM (Go)],TblApplications[Cluster ROKS cible],$F622,TblApplications[Action],"À migrer",TblApplications[Déjà incluse ROKS],"Non",TblApplications[Mois prov (calc)],"&lt;="&amp;$E622),SUMIFS(TblApplications[RAM IKS libérable (Go)],TblApplications[Cluster IKS source],$F622,TblApplications[Mois lib (calc)],"&lt;="&amp;$E622)))</f>
        <v/>
      </c>
      <c r="R622" s="14" t="str">
        <f aca="false">IF($D622&lt;&gt;1,"",IF($G622="ROKS",$L622+$P622,IF($AI622=1,0,MAX($N622,$L622-$P622))))</f>
        <v/>
      </c>
      <c r="S622" s="14" t="str">
        <f aca="false">IF($D622&lt;&gt;1,"",IF($G622="ROKS",$M622+$Q622,IF($AI622=1,0,MAX($O622,$M622-$Q622))))</f>
        <v/>
      </c>
      <c r="T622" s="14" t="str">
        <f aca="false">IF($D622&lt;&gt;1,"",IF($AI622=1,0,MAX($J622,ROUNDUP(MAX($R622/$H622,$S622/$I622),0))))</f>
        <v/>
      </c>
      <c r="U622" s="14" t="str">
        <f aca="false">IF($D622&lt;&gt;1,"",IF(p_mode="Nœud",$T622*$H622,$R622))</f>
        <v/>
      </c>
      <c r="V622" s="14" t="str">
        <f aca="false">IF($D622&lt;&gt;1,"",IF(p_mode="Nœud",$T622*$I622,$S622))</f>
        <v/>
      </c>
      <c r="W622" s="84" t="str">
        <f aca="false">IF($D622&lt;&gt;1,"",IF(p_mode="Nœud",$T622*$K622,$R622*IF($G622="IKS",p_iks_cpu,p_roks_cpu)+$S622*IF($G622="IKS",p_iks_ram,p_roks_ram))*p_facteur)</f>
        <v/>
      </c>
      <c r="X622" s="14" t="str">
        <f aca="false">IF($D622&lt;&gt;1,"",IF($G622="ROKS",$R622,IF($AI622=1,0,MAX($N622,$L622-SUMIFS(TblApplications[CPU IKS libérable (vCPU)],TblApplications[Cluster IKS source],$F622,TblApplications[Action],"À migrer",TblApplications[Mois prov (calc)],"&lt;="&amp;$E622)-SUMIFS(TblApplications[CPU IKS libérable (vCPU)],TblApplications[Cluster IKS source],$F622,TblApplications[Action],"À décommissionner",TblApplications[Mois lib (calc)],"&lt;="&amp;$E622)))))</f>
        <v/>
      </c>
      <c r="Y622" s="14" t="str">
        <f aca="false">IF($D622&lt;&gt;1,"",IF($G622="ROKS",$S622,IF($AI622=1,0,MAX($O622,$M622-SUMIFS(TblApplications[RAM IKS libérable (Go)],TblApplications[Cluster IKS source],$F622,TblApplications[Action],"À migrer",TblApplications[Mois prov (calc)],"&lt;="&amp;$E622)-SUMIFS(TblApplications[RAM IKS libérable (Go)],TblApplications[Cluster IKS source],$F622,TblApplications[Action],"À décommissionner",TblApplications[Mois lib (calc)],"&lt;="&amp;$E622)))))</f>
        <v/>
      </c>
      <c r="Z622" s="14" t="str">
        <f aca="false">IF($D622&lt;&gt;1,"",IF($AI622=1,0,MAX($J622,ROUNDUP(MAX($X622/$H622,$Y622/$I622),0))))</f>
        <v/>
      </c>
      <c r="AA622" s="84" t="str">
        <f aca="false">IF($D622&lt;&gt;1,"",IF(p_mode="Nœud",$Z622*$K622,$X622*IF($G622="IKS",p_iks_cpu,p_roks_cpu)+$Y622*IF($G622="IKS",p_iks_ram,p_roks_ram))*p_facteur)</f>
        <v/>
      </c>
      <c r="AB622" s="14" t="str">
        <f aca="false">IF($D622&lt;&gt;1,"",MAX($J622,ROUNDUP(MAX($L622/$H622,$M622/$I622),0)))</f>
        <v/>
      </c>
      <c r="AC622" s="84" t="str">
        <f aca="false">IF($D622&lt;&gt;1,"",IF(p_mode="Nœud",$AB622*$K622,$L622*IF($G622="IKS",p_iks_cpu,p_roks_cpu)+$M622*IF($G622="IKS",p_iks_ram,p_roks_ram))*p_facteur)</f>
        <v/>
      </c>
      <c r="AD622" s="14" t="str">
        <f aca="false">IF($D622&lt;&gt;1,"",IF(AND($G622="IKS",$AI622&lt;&gt;1,OR($L622-$P622&lt;$N622,$M622-$Q622&lt;$O622)),1,0))</f>
        <v/>
      </c>
      <c r="AE622" s="14" t="str">
        <f aca="false">IF($D622&lt;&gt;1,"",IF(AND($G622="ROKS",$T622&gt;p_maxworkers),1,0))</f>
        <v/>
      </c>
      <c r="AF622" s="14" t="str">
        <f aca="false">IF($D622&lt;&gt;1,"",IF(INDEX(TblClusters[Environnement],$B622)="","(vide)",INDEX(TblClusters[Environnement],$B622)))</f>
        <v/>
      </c>
      <c r="AG622" s="14" t="str">
        <f aca="false">IF($D622&lt;&gt;1,"",$R622+p_poidsram*$S622)</f>
        <v/>
      </c>
      <c r="AH622" s="14" t="str">
        <f aca="false">IF($D622&lt;&gt;1,"",IFERROR($W622/$AG622,0))</f>
        <v/>
      </c>
      <c r="AI622" s="14" t="str">
        <f aca="false">IF($D622&lt;&gt;1,"",IF(AND($G622="IKS",ISNUMBER(INDEX(TblClusters[Fermeture retenue],$B622))),IF($E622&gt;=INDEX(TblClusters[Fermeture retenue],$B622),1,0),0))</f>
        <v/>
      </c>
    </row>
    <row r="623" customFormat="false" ht="15" hidden="false" customHeight="false" outlineLevel="0" collapsed="false">
      <c r="A623" s="14" t="n">
        <v>618</v>
      </c>
      <c r="B623" s="14" t="n">
        <f aca="false">INT(($A623-1)/36)+1</f>
        <v>18</v>
      </c>
      <c r="C623" s="14" t="n">
        <f aca="false">MOD($A623-1,36)+1</f>
        <v>6</v>
      </c>
      <c r="D623" s="14" t="n">
        <f aca="false">IF($C623&gt;p_horizon,0,IFERROR(IF(AND(INDEX(TblClusters[Cluster],$B623)&lt;&gt;"",ISNUMBER(INDEX(TblClusters[CPU initial (vCPU)],$B623)),ISNUMBER(INDEX(TblClusters[CPU min (vCPU)],$B623)),OR(INDEX(TblClusters[Plateforme],$B623)="IKS",INDEX(TblClusters[Plateforme],$B623)="ROKS")),1,0),0))</f>
        <v>0</v>
      </c>
      <c r="E623" s="83" t="str">
        <f aca="false">IF($D623=1,EDATE(p_debut,$C623-1),"")</f>
        <v/>
      </c>
      <c r="F623" s="14" t="str">
        <f aca="false">IF($D623=1,INDEX(TblClusters[Cluster],$B623),"")</f>
        <v/>
      </c>
      <c r="G623" s="14" t="str">
        <f aca="false">IF($D623=1,INDEX(TblClusters[Plateforme],$B623),"")</f>
        <v/>
      </c>
      <c r="H623" s="14" t="str">
        <f aca="false">IF($D623=1,INDEX(TblClusters[vCPU par nœud],$B623),"")</f>
        <v/>
      </c>
      <c r="I623" s="14" t="str">
        <f aca="false">IF($D623=1,INDEX(TblClusters[RAM par nœud (Go)],$B623),"")</f>
        <v/>
      </c>
      <c r="J623" s="14" t="str">
        <f aca="false">IF($D623=1,INDEX(TblClusters[Workers min],$B623),"")</f>
        <v/>
      </c>
      <c r="K623" s="84" t="str">
        <f aca="false">IF($D623=1,INDEX(TblClusters[Tarif par nœud],$B623),"")</f>
        <v/>
      </c>
      <c r="L623" s="14" t="str">
        <f aca="false">IF($D623=1,INDEX(TblClusters[CPU initial (vCPU)],$B623),"")</f>
        <v/>
      </c>
      <c r="M623" s="14" t="str">
        <f aca="false">IF($D623=1,INDEX(TblClusters[RAM initiale (Go)],$B623),"")</f>
        <v/>
      </c>
      <c r="N623" s="14" t="str">
        <f aca="false">IF($D623=1,INDEX(TblClusters[CPU min (vCPU)],$B623),"")</f>
        <v/>
      </c>
      <c r="O623" s="14" t="str">
        <f aca="false">IF($D623=1,INDEX(TblClusters[RAM min (Go)],$B623),"")</f>
        <v/>
      </c>
      <c r="P623" s="14" t="str">
        <f aca="false">IF($D623&lt;&gt;1,"",IF($G623="ROKS",SUMIFS(TblApplications[Besoin ROKS CPU (vCPU)],TblApplications[Cluster ROKS cible],$F623,TblApplications[Action],"À migrer",TblApplications[Déjà incluse ROKS],"Non",TblApplications[Mois prov (calc)],"&lt;="&amp;$E623),SUMIFS(TblApplications[CPU IKS libérable (vCPU)],TblApplications[Cluster IKS source],$F623,TblApplications[Mois lib (calc)],"&lt;="&amp;$E623)))</f>
        <v/>
      </c>
      <c r="Q623" s="14" t="str">
        <f aca="false">IF($D623&lt;&gt;1,"",IF($G623="ROKS",SUMIFS(TblApplications[Besoin ROKS RAM (Go)],TblApplications[Cluster ROKS cible],$F623,TblApplications[Action],"À migrer",TblApplications[Déjà incluse ROKS],"Non",TblApplications[Mois prov (calc)],"&lt;="&amp;$E623),SUMIFS(TblApplications[RAM IKS libérable (Go)],TblApplications[Cluster IKS source],$F623,TblApplications[Mois lib (calc)],"&lt;="&amp;$E623)))</f>
        <v/>
      </c>
      <c r="R623" s="14" t="str">
        <f aca="false">IF($D623&lt;&gt;1,"",IF($G623="ROKS",$L623+$P623,IF($AI623=1,0,MAX($N623,$L623-$P623))))</f>
        <v/>
      </c>
      <c r="S623" s="14" t="str">
        <f aca="false">IF($D623&lt;&gt;1,"",IF($G623="ROKS",$M623+$Q623,IF($AI623=1,0,MAX($O623,$M623-$Q623))))</f>
        <v/>
      </c>
      <c r="T623" s="14" t="str">
        <f aca="false">IF($D623&lt;&gt;1,"",IF($AI623=1,0,MAX($J623,ROUNDUP(MAX($R623/$H623,$S623/$I623),0))))</f>
        <v/>
      </c>
      <c r="U623" s="14" t="str">
        <f aca="false">IF($D623&lt;&gt;1,"",IF(p_mode="Nœud",$T623*$H623,$R623))</f>
        <v/>
      </c>
      <c r="V623" s="14" t="str">
        <f aca="false">IF($D623&lt;&gt;1,"",IF(p_mode="Nœud",$T623*$I623,$S623))</f>
        <v/>
      </c>
      <c r="W623" s="84" t="str">
        <f aca="false">IF($D623&lt;&gt;1,"",IF(p_mode="Nœud",$T623*$K623,$R623*IF($G623="IKS",p_iks_cpu,p_roks_cpu)+$S623*IF($G623="IKS",p_iks_ram,p_roks_ram))*p_facteur)</f>
        <v/>
      </c>
      <c r="X623" s="14" t="str">
        <f aca="false">IF($D623&lt;&gt;1,"",IF($G623="ROKS",$R623,IF($AI623=1,0,MAX($N623,$L623-SUMIFS(TblApplications[CPU IKS libérable (vCPU)],TblApplications[Cluster IKS source],$F623,TblApplications[Action],"À migrer",TblApplications[Mois prov (calc)],"&lt;="&amp;$E623)-SUMIFS(TblApplications[CPU IKS libérable (vCPU)],TblApplications[Cluster IKS source],$F623,TblApplications[Action],"À décommissionner",TblApplications[Mois lib (calc)],"&lt;="&amp;$E623)))))</f>
        <v/>
      </c>
      <c r="Y623" s="14" t="str">
        <f aca="false">IF($D623&lt;&gt;1,"",IF($G623="ROKS",$S623,IF($AI623=1,0,MAX($O623,$M623-SUMIFS(TblApplications[RAM IKS libérable (Go)],TblApplications[Cluster IKS source],$F623,TblApplications[Action],"À migrer",TblApplications[Mois prov (calc)],"&lt;="&amp;$E623)-SUMIFS(TblApplications[RAM IKS libérable (Go)],TblApplications[Cluster IKS source],$F623,TblApplications[Action],"À décommissionner",TblApplications[Mois lib (calc)],"&lt;="&amp;$E623)))))</f>
        <v/>
      </c>
      <c r="Z623" s="14" t="str">
        <f aca="false">IF($D623&lt;&gt;1,"",IF($AI623=1,0,MAX($J623,ROUNDUP(MAX($X623/$H623,$Y623/$I623),0))))</f>
        <v/>
      </c>
      <c r="AA623" s="84" t="str">
        <f aca="false">IF($D623&lt;&gt;1,"",IF(p_mode="Nœud",$Z623*$K623,$X623*IF($G623="IKS",p_iks_cpu,p_roks_cpu)+$Y623*IF($G623="IKS",p_iks_ram,p_roks_ram))*p_facteur)</f>
        <v/>
      </c>
      <c r="AB623" s="14" t="str">
        <f aca="false">IF($D623&lt;&gt;1,"",MAX($J623,ROUNDUP(MAX($L623/$H623,$M623/$I623),0)))</f>
        <v/>
      </c>
      <c r="AC623" s="84" t="str">
        <f aca="false">IF($D623&lt;&gt;1,"",IF(p_mode="Nœud",$AB623*$K623,$L623*IF($G623="IKS",p_iks_cpu,p_roks_cpu)+$M623*IF($G623="IKS",p_iks_ram,p_roks_ram))*p_facteur)</f>
        <v/>
      </c>
      <c r="AD623" s="14" t="str">
        <f aca="false">IF($D623&lt;&gt;1,"",IF(AND($G623="IKS",$AI623&lt;&gt;1,OR($L623-$P623&lt;$N623,$M623-$Q623&lt;$O623)),1,0))</f>
        <v/>
      </c>
      <c r="AE623" s="14" t="str">
        <f aca="false">IF($D623&lt;&gt;1,"",IF(AND($G623="ROKS",$T623&gt;p_maxworkers),1,0))</f>
        <v/>
      </c>
      <c r="AF623" s="14" t="str">
        <f aca="false">IF($D623&lt;&gt;1,"",IF(INDEX(TblClusters[Environnement],$B623)="","(vide)",INDEX(TblClusters[Environnement],$B623)))</f>
        <v/>
      </c>
      <c r="AG623" s="14" t="str">
        <f aca="false">IF($D623&lt;&gt;1,"",$R623+p_poidsram*$S623)</f>
        <v/>
      </c>
      <c r="AH623" s="14" t="str">
        <f aca="false">IF($D623&lt;&gt;1,"",IFERROR($W623/$AG623,0))</f>
        <v/>
      </c>
      <c r="AI623" s="14" t="str">
        <f aca="false">IF($D623&lt;&gt;1,"",IF(AND($G623="IKS",ISNUMBER(INDEX(TblClusters[Fermeture retenue],$B623))),IF($E623&gt;=INDEX(TblClusters[Fermeture retenue],$B623),1,0),0))</f>
        <v/>
      </c>
    </row>
    <row r="624" customFormat="false" ht="15" hidden="false" customHeight="false" outlineLevel="0" collapsed="false">
      <c r="A624" s="14" t="n">
        <v>619</v>
      </c>
      <c r="B624" s="14" t="n">
        <f aca="false">INT(($A624-1)/36)+1</f>
        <v>18</v>
      </c>
      <c r="C624" s="14" t="n">
        <f aca="false">MOD($A624-1,36)+1</f>
        <v>7</v>
      </c>
      <c r="D624" s="14" t="n">
        <f aca="false">IF($C624&gt;p_horizon,0,IFERROR(IF(AND(INDEX(TblClusters[Cluster],$B624)&lt;&gt;"",ISNUMBER(INDEX(TblClusters[CPU initial (vCPU)],$B624)),ISNUMBER(INDEX(TblClusters[CPU min (vCPU)],$B624)),OR(INDEX(TblClusters[Plateforme],$B624)="IKS",INDEX(TblClusters[Plateforme],$B624)="ROKS")),1,0),0))</f>
        <v>0</v>
      </c>
      <c r="E624" s="83" t="str">
        <f aca="false">IF($D624=1,EDATE(p_debut,$C624-1),"")</f>
        <v/>
      </c>
      <c r="F624" s="14" t="str">
        <f aca="false">IF($D624=1,INDEX(TblClusters[Cluster],$B624),"")</f>
        <v/>
      </c>
      <c r="G624" s="14" t="str">
        <f aca="false">IF($D624=1,INDEX(TblClusters[Plateforme],$B624),"")</f>
        <v/>
      </c>
      <c r="H624" s="14" t="str">
        <f aca="false">IF($D624=1,INDEX(TblClusters[vCPU par nœud],$B624),"")</f>
        <v/>
      </c>
      <c r="I624" s="14" t="str">
        <f aca="false">IF($D624=1,INDEX(TblClusters[RAM par nœud (Go)],$B624),"")</f>
        <v/>
      </c>
      <c r="J624" s="14" t="str">
        <f aca="false">IF($D624=1,INDEX(TblClusters[Workers min],$B624),"")</f>
        <v/>
      </c>
      <c r="K624" s="84" t="str">
        <f aca="false">IF($D624=1,INDEX(TblClusters[Tarif par nœud],$B624),"")</f>
        <v/>
      </c>
      <c r="L624" s="14" t="str">
        <f aca="false">IF($D624=1,INDEX(TblClusters[CPU initial (vCPU)],$B624),"")</f>
        <v/>
      </c>
      <c r="M624" s="14" t="str">
        <f aca="false">IF($D624=1,INDEX(TblClusters[RAM initiale (Go)],$B624),"")</f>
        <v/>
      </c>
      <c r="N624" s="14" t="str">
        <f aca="false">IF($D624=1,INDEX(TblClusters[CPU min (vCPU)],$B624),"")</f>
        <v/>
      </c>
      <c r="O624" s="14" t="str">
        <f aca="false">IF($D624=1,INDEX(TblClusters[RAM min (Go)],$B624),"")</f>
        <v/>
      </c>
      <c r="P624" s="14" t="str">
        <f aca="false">IF($D624&lt;&gt;1,"",IF($G624="ROKS",SUMIFS(TblApplications[Besoin ROKS CPU (vCPU)],TblApplications[Cluster ROKS cible],$F624,TblApplications[Action],"À migrer",TblApplications[Déjà incluse ROKS],"Non",TblApplications[Mois prov (calc)],"&lt;="&amp;$E624),SUMIFS(TblApplications[CPU IKS libérable (vCPU)],TblApplications[Cluster IKS source],$F624,TblApplications[Mois lib (calc)],"&lt;="&amp;$E624)))</f>
        <v/>
      </c>
      <c r="Q624" s="14" t="str">
        <f aca="false">IF($D624&lt;&gt;1,"",IF($G624="ROKS",SUMIFS(TblApplications[Besoin ROKS RAM (Go)],TblApplications[Cluster ROKS cible],$F624,TblApplications[Action],"À migrer",TblApplications[Déjà incluse ROKS],"Non",TblApplications[Mois prov (calc)],"&lt;="&amp;$E624),SUMIFS(TblApplications[RAM IKS libérable (Go)],TblApplications[Cluster IKS source],$F624,TblApplications[Mois lib (calc)],"&lt;="&amp;$E624)))</f>
        <v/>
      </c>
      <c r="R624" s="14" t="str">
        <f aca="false">IF($D624&lt;&gt;1,"",IF($G624="ROKS",$L624+$P624,IF($AI624=1,0,MAX($N624,$L624-$P624))))</f>
        <v/>
      </c>
      <c r="S624" s="14" t="str">
        <f aca="false">IF($D624&lt;&gt;1,"",IF($G624="ROKS",$M624+$Q624,IF($AI624=1,0,MAX($O624,$M624-$Q624))))</f>
        <v/>
      </c>
      <c r="T624" s="14" t="str">
        <f aca="false">IF($D624&lt;&gt;1,"",IF($AI624=1,0,MAX($J624,ROUNDUP(MAX($R624/$H624,$S624/$I624),0))))</f>
        <v/>
      </c>
      <c r="U624" s="14" t="str">
        <f aca="false">IF($D624&lt;&gt;1,"",IF(p_mode="Nœud",$T624*$H624,$R624))</f>
        <v/>
      </c>
      <c r="V624" s="14" t="str">
        <f aca="false">IF($D624&lt;&gt;1,"",IF(p_mode="Nœud",$T624*$I624,$S624))</f>
        <v/>
      </c>
      <c r="W624" s="84" t="str">
        <f aca="false">IF($D624&lt;&gt;1,"",IF(p_mode="Nœud",$T624*$K624,$R624*IF($G624="IKS",p_iks_cpu,p_roks_cpu)+$S624*IF($G624="IKS",p_iks_ram,p_roks_ram))*p_facteur)</f>
        <v/>
      </c>
      <c r="X624" s="14" t="str">
        <f aca="false">IF($D624&lt;&gt;1,"",IF($G624="ROKS",$R624,IF($AI624=1,0,MAX($N624,$L624-SUMIFS(TblApplications[CPU IKS libérable (vCPU)],TblApplications[Cluster IKS source],$F624,TblApplications[Action],"À migrer",TblApplications[Mois prov (calc)],"&lt;="&amp;$E624)-SUMIFS(TblApplications[CPU IKS libérable (vCPU)],TblApplications[Cluster IKS source],$F624,TblApplications[Action],"À décommissionner",TblApplications[Mois lib (calc)],"&lt;="&amp;$E624)))))</f>
        <v/>
      </c>
      <c r="Y624" s="14" t="str">
        <f aca="false">IF($D624&lt;&gt;1,"",IF($G624="ROKS",$S624,IF($AI624=1,0,MAX($O624,$M624-SUMIFS(TblApplications[RAM IKS libérable (Go)],TblApplications[Cluster IKS source],$F624,TblApplications[Action],"À migrer",TblApplications[Mois prov (calc)],"&lt;="&amp;$E624)-SUMIFS(TblApplications[RAM IKS libérable (Go)],TblApplications[Cluster IKS source],$F624,TblApplications[Action],"À décommissionner",TblApplications[Mois lib (calc)],"&lt;="&amp;$E624)))))</f>
        <v/>
      </c>
      <c r="Z624" s="14" t="str">
        <f aca="false">IF($D624&lt;&gt;1,"",IF($AI624=1,0,MAX($J624,ROUNDUP(MAX($X624/$H624,$Y624/$I624),0))))</f>
        <v/>
      </c>
      <c r="AA624" s="84" t="str">
        <f aca="false">IF($D624&lt;&gt;1,"",IF(p_mode="Nœud",$Z624*$K624,$X624*IF($G624="IKS",p_iks_cpu,p_roks_cpu)+$Y624*IF($G624="IKS",p_iks_ram,p_roks_ram))*p_facteur)</f>
        <v/>
      </c>
      <c r="AB624" s="14" t="str">
        <f aca="false">IF($D624&lt;&gt;1,"",MAX($J624,ROUNDUP(MAX($L624/$H624,$M624/$I624),0)))</f>
        <v/>
      </c>
      <c r="AC624" s="84" t="str">
        <f aca="false">IF($D624&lt;&gt;1,"",IF(p_mode="Nœud",$AB624*$K624,$L624*IF($G624="IKS",p_iks_cpu,p_roks_cpu)+$M624*IF($G624="IKS",p_iks_ram,p_roks_ram))*p_facteur)</f>
        <v/>
      </c>
      <c r="AD624" s="14" t="str">
        <f aca="false">IF($D624&lt;&gt;1,"",IF(AND($G624="IKS",$AI624&lt;&gt;1,OR($L624-$P624&lt;$N624,$M624-$Q624&lt;$O624)),1,0))</f>
        <v/>
      </c>
      <c r="AE624" s="14" t="str">
        <f aca="false">IF($D624&lt;&gt;1,"",IF(AND($G624="ROKS",$T624&gt;p_maxworkers),1,0))</f>
        <v/>
      </c>
      <c r="AF624" s="14" t="str">
        <f aca="false">IF($D624&lt;&gt;1,"",IF(INDEX(TblClusters[Environnement],$B624)="","(vide)",INDEX(TblClusters[Environnement],$B624)))</f>
        <v/>
      </c>
      <c r="AG624" s="14" t="str">
        <f aca="false">IF($D624&lt;&gt;1,"",$R624+p_poidsram*$S624)</f>
        <v/>
      </c>
      <c r="AH624" s="14" t="str">
        <f aca="false">IF($D624&lt;&gt;1,"",IFERROR($W624/$AG624,0))</f>
        <v/>
      </c>
      <c r="AI624" s="14" t="str">
        <f aca="false">IF($D624&lt;&gt;1,"",IF(AND($G624="IKS",ISNUMBER(INDEX(TblClusters[Fermeture retenue],$B624))),IF($E624&gt;=INDEX(TblClusters[Fermeture retenue],$B624),1,0),0))</f>
        <v/>
      </c>
    </row>
    <row r="625" customFormat="false" ht="15" hidden="false" customHeight="false" outlineLevel="0" collapsed="false">
      <c r="A625" s="14" t="n">
        <v>620</v>
      </c>
      <c r="B625" s="14" t="n">
        <f aca="false">INT(($A625-1)/36)+1</f>
        <v>18</v>
      </c>
      <c r="C625" s="14" t="n">
        <f aca="false">MOD($A625-1,36)+1</f>
        <v>8</v>
      </c>
      <c r="D625" s="14" t="n">
        <f aca="false">IF($C625&gt;p_horizon,0,IFERROR(IF(AND(INDEX(TblClusters[Cluster],$B625)&lt;&gt;"",ISNUMBER(INDEX(TblClusters[CPU initial (vCPU)],$B625)),ISNUMBER(INDEX(TblClusters[CPU min (vCPU)],$B625)),OR(INDEX(TblClusters[Plateforme],$B625)="IKS",INDEX(TblClusters[Plateforme],$B625)="ROKS")),1,0),0))</f>
        <v>0</v>
      </c>
      <c r="E625" s="83" t="str">
        <f aca="false">IF($D625=1,EDATE(p_debut,$C625-1),"")</f>
        <v/>
      </c>
      <c r="F625" s="14" t="str">
        <f aca="false">IF($D625=1,INDEX(TblClusters[Cluster],$B625),"")</f>
        <v/>
      </c>
      <c r="G625" s="14" t="str">
        <f aca="false">IF($D625=1,INDEX(TblClusters[Plateforme],$B625),"")</f>
        <v/>
      </c>
      <c r="H625" s="14" t="str">
        <f aca="false">IF($D625=1,INDEX(TblClusters[vCPU par nœud],$B625),"")</f>
        <v/>
      </c>
      <c r="I625" s="14" t="str">
        <f aca="false">IF($D625=1,INDEX(TblClusters[RAM par nœud (Go)],$B625),"")</f>
        <v/>
      </c>
      <c r="J625" s="14" t="str">
        <f aca="false">IF($D625=1,INDEX(TblClusters[Workers min],$B625),"")</f>
        <v/>
      </c>
      <c r="K625" s="84" t="str">
        <f aca="false">IF($D625=1,INDEX(TblClusters[Tarif par nœud],$B625),"")</f>
        <v/>
      </c>
      <c r="L625" s="14" t="str">
        <f aca="false">IF($D625=1,INDEX(TblClusters[CPU initial (vCPU)],$B625),"")</f>
        <v/>
      </c>
      <c r="M625" s="14" t="str">
        <f aca="false">IF($D625=1,INDEX(TblClusters[RAM initiale (Go)],$B625),"")</f>
        <v/>
      </c>
      <c r="N625" s="14" t="str">
        <f aca="false">IF($D625=1,INDEX(TblClusters[CPU min (vCPU)],$B625),"")</f>
        <v/>
      </c>
      <c r="O625" s="14" t="str">
        <f aca="false">IF($D625=1,INDEX(TblClusters[RAM min (Go)],$B625),"")</f>
        <v/>
      </c>
      <c r="P625" s="14" t="str">
        <f aca="false">IF($D625&lt;&gt;1,"",IF($G625="ROKS",SUMIFS(TblApplications[Besoin ROKS CPU (vCPU)],TblApplications[Cluster ROKS cible],$F625,TblApplications[Action],"À migrer",TblApplications[Déjà incluse ROKS],"Non",TblApplications[Mois prov (calc)],"&lt;="&amp;$E625),SUMIFS(TblApplications[CPU IKS libérable (vCPU)],TblApplications[Cluster IKS source],$F625,TblApplications[Mois lib (calc)],"&lt;="&amp;$E625)))</f>
        <v/>
      </c>
      <c r="Q625" s="14" t="str">
        <f aca="false">IF($D625&lt;&gt;1,"",IF($G625="ROKS",SUMIFS(TblApplications[Besoin ROKS RAM (Go)],TblApplications[Cluster ROKS cible],$F625,TblApplications[Action],"À migrer",TblApplications[Déjà incluse ROKS],"Non",TblApplications[Mois prov (calc)],"&lt;="&amp;$E625),SUMIFS(TblApplications[RAM IKS libérable (Go)],TblApplications[Cluster IKS source],$F625,TblApplications[Mois lib (calc)],"&lt;="&amp;$E625)))</f>
        <v/>
      </c>
      <c r="R625" s="14" t="str">
        <f aca="false">IF($D625&lt;&gt;1,"",IF($G625="ROKS",$L625+$P625,IF($AI625=1,0,MAX($N625,$L625-$P625))))</f>
        <v/>
      </c>
      <c r="S625" s="14" t="str">
        <f aca="false">IF($D625&lt;&gt;1,"",IF($G625="ROKS",$M625+$Q625,IF($AI625=1,0,MAX($O625,$M625-$Q625))))</f>
        <v/>
      </c>
      <c r="T625" s="14" t="str">
        <f aca="false">IF($D625&lt;&gt;1,"",IF($AI625=1,0,MAX($J625,ROUNDUP(MAX($R625/$H625,$S625/$I625),0))))</f>
        <v/>
      </c>
      <c r="U625" s="14" t="str">
        <f aca="false">IF($D625&lt;&gt;1,"",IF(p_mode="Nœud",$T625*$H625,$R625))</f>
        <v/>
      </c>
      <c r="V625" s="14" t="str">
        <f aca="false">IF($D625&lt;&gt;1,"",IF(p_mode="Nœud",$T625*$I625,$S625))</f>
        <v/>
      </c>
      <c r="W625" s="84" t="str">
        <f aca="false">IF($D625&lt;&gt;1,"",IF(p_mode="Nœud",$T625*$K625,$R625*IF($G625="IKS",p_iks_cpu,p_roks_cpu)+$S625*IF($G625="IKS",p_iks_ram,p_roks_ram))*p_facteur)</f>
        <v/>
      </c>
      <c r="X625" s="14" t="str">
        <f aca="false">IF($D625&lt;&gt;1,"",IF($G625="ROKS",$R625,IF($AI625=1,0,MAX($N625,$L625-SUMIFS(TblApplications[CPU IKS libérable (vCPU)],TblApplications[Cluster IKS source],$F625,TblApplications[Action],"À migrer",TblApplications[Mois prov (calc)],"&lt;="&amp;$E625)-SUMIFS(TblApplications[CPU IKS libérable (vCPU)],TblApplications[Cluster IKS source],$F625,TblApplications[Action],"À décommissionner",TblApplications[Mois lib (calc)],"&lt;="&amp;$E625)))))</f>
        <v/>
      </c>
      <c r="Y625" s="14" t="str">
        <f aca="false">IF($D625&lt;&gt;1,"",IF($G625="ROKS",$S625,IF($AI625=1,0,MAX($O625,$M625-SUMIFS(TblApplications[RAM IKS libérable (Go)],TblApplications[Cluster IKS source],$F625,TblApplications[Action],"À migrer",TblApplications[Mois prov (calc)],"&lt;="&amp;$E625)-SUMIFS(TblApplications[RAM IKS libérable (Go)],TblApplications[Cluster IKS source],$F625,TblApplications[Action],"À décommissionner",TblApplications[Mois lib (calc)],"&lt;="&amp;$E625)))))</f>
        <v/>
      </c>
      <c r="Z625" s="14" t="str">
        <f aca="false">IF($D625&lt;&gt;1,"",IF($AI625=1,0,MAX($J625,ROUNDUP(MAX($X625/$H625,$Y625/$I625),0))))</f>
        <v/>
      </c>
      <c r="AA625" s="84" t="str">
        <f aca="false">IF($D625&lt;&gt;1,"",IF(p_mode="Nœud",$Z625*$K625,$X625*IF($G625="IKS",p_iks_cpu,p_roks_cpu)+$Y625*IF($G625="IKS",p_iks_ram,p_roks_ram))*p_facteur)</f>
        <v/>
      </c>
      <c r="AB625" s="14" t="str">
        <f aca="false">IF($D625&lt;&gt;1,"",MAX($J625,ROUNDUP(MAX($L625/$H625,$M625/$I625),0)))</f>
        <v/>
      </c>
      <c r="AC625" s="84" t="str">
        <f aca="false">IF($D625&lt;&gt;1,"",IF(p_mode="Nœud",$AB625*$K625,$L625*IF($G625="IKS",p_iks_cpu,p_roks_cpu)+$M625*IF($G625="IKS",p_iks_ram,p_roks_ram))*p_facteur)</f>
        <v/>
      </c>
      <c r="AD625" s="14" t="str">
        <f aca="false">IF($D625&lt;&gt;1,"",IF(AND($G625="IKS",$AI625&lt;&gt;1,OR($L625-$P625&lt;$N625,$M625-$Q625&lt;$O625)),1,0))</f>
        <v/>
      </c>
      <c r="AE625" s="14" t="str">
        <f aca="false">IF($D625&lt;&gt;1,"",IF(AND($G625="ROKS",$T625&gt;p_maxworkers),1,0))</f>
        <v/>
      </c>
      <c r="AF625" s="14" t="str">
        <f aca="false">IF($D625&lt;&gt;1,"",IF(INDEX(TblClusters[Environnement],$B625)="","(vide)",INDEX(TblClusters[Environnement],$B625)))</f>
        <v/>
      </c>
      <c r="AG625" s="14" t="str">
        <f aca="false">IF($D625&lt;&gt;1,"",$R625+p_poidsram*$S625)</f>
        <v/>
      </c>
      <c r="AH625" s="14" t="str">
        <f aca="false">IF($D625&lt;&gt;1,"",IFERROR($W625/$AG625,0))</f>
        <v/>
      </c>
      <c r="AI625" s="14" t="str">
        <f aca="false">IF($D625&lt;&gt;1,"",IF(AND($G625="IKS",ISNUMBER(INDEX(TblClusters[Fermeture retenue],$B625))),IF($E625&gt;=INDEX(TblClusters[Fermeture retenue],$B625),1,0),0))</f>
        <v/>
      </c>
    </row>
    <row r="626" customFormat="false" ht="15" hidden="false" customHeight="false" outlineLevel="0" collapsed="false">
      <c r="A626" s="14" t="n">
        <v>621</v>
      </c>
      <c r="B626" s="14" t="n">
        <f aca="false">INT(($A626-1)/36)+1</f>
        <v>18</v>
      </c>
      <c r="C626" s="14" t="n">
        <f aca="false">MOD($A626-1,36)+1</f>
        <v>9</v>
      </c>
      <c r="D626" s="14" t="n">
        <f aca="false">IF($C626&gt;p_horizon,0,IFERROR(IF(AND(INDEX(TblClusters[Cluster],$B626)&lt;&gt;"",ISNUMBER(INDEX(TblClusters[CPU initial (vCPU)],$B626)),ISNUMBER(INDEX(TblClusters[CPU min (vCPU)],$B626)),OR(INDEX(TblClusters[Plateforme],$B626)="IKS",INDEX(TblClusters[Plateforme],$B626)="ROKS")),1,0),0))</f>
        <v>0</v>
      </c>
      <c r="E626" s="83" t="str">
        <f aca="false">IF($D626=1,EDATE(p_debut,$C626-1),"")</f>
        <v/>
      </c>
      <c r="F626" s="14" t="str">
        <f aca="false">IF($D626=1,INDEX(TblClusters[Cluster],$B626),"")</f>
        <v/>
      </c>
      <c r="G626" s="14" t="str">
        <f aca="false">IF($D626=1,INDEX(TblClusters[Plateforme],$B626),"")</f>
        <v/>
      </c>
      <c r="H626" s="14" t="str">
        <f aca="false">IF($D626=1,INDEX(TblClusters[vCPU par nœud],$B626),"")</f>
        <v/>
      </c>
      <c r="I626" s="14" t="str">
        <f aca="false">IF($D626=1,INDEX(TblClusters[RAM par nœud (Go)],$B626),"")</f>
        <v/>
      </c>
      <c r="J626" s="14" t="str">
        <f aca="false">IF($D626=1,INDEX(TblClusters[Workers min],$B626),"")</f>
        <v/>
      </c>
      <c r="K626" s="84" t="str">
        <f aca="false">IF($D626=1,INDEX(TblClusters[Tarif par nœud],$B626),"")</f>
        <v/>
      </c>
      <c r="L626" s="14" t="str">
        <f aca="false">IF($D626=1,INDEX(TblClusters[CPU initial (vCPU)],$B626),"")</f>
        <v/>
      </c>
      <c r="M626" s="14" t="str">
        <f aca="false">IF($D626=1,INDEX(TblClusters[RAM initiale (Go)],$B626),"")</f>
        <v/>
      </c>
      <c r="N626" s="14" t="str">
        <f aca="false">IF($D626=1,INDEX(TblClusters[CPU min (vCPU)],$B626),"")</f>
        <v/>
      </c>
      <c r="O626" s="14" t="str">
        <f aca="false">IF($D626=1,INDEX(TblClusters[RAM min (Go)],$B626),"")</f>
        <v/>
      </c>
      <c r="P626" s="14" t="str">
        <f aca="false">IF($D626&lt;&gt;1,"",IF($G626="ROKS",SUMIFS(TblApplications[Besoin ROKS CPU (vCPU)],TblApplications[Cluster ROKS cible],$F626,TblApplications[Action],"À migrer",TblApplications[Déjà incluse ROKS],"Non",TblApplications[Mois prov (calc)],"&lt;="&amp;$E626),SUMIFS(TblApplications[CPU IKS libérable (vCPU)],TblApplications[Cluster IKS source],$F626,TblApplications[Mois lib (calc)],"&lt;="&amp;$E626)))</f>
        <v/>
      </c>
      <c r="Q626" s="14" t="str">
        <f aca="false">IF($D626&lt;&gt;1,"",IF($G626="ROKS",SUMIFS(TblApplications[Besoin ROKS RAM (Go)],TblApplications[Cluster ROKS cible],$F626,TblApplications[Action],"À migrer",TblApplications[Déjà incluse ROKS],"Non",TblApplications[Mois prov (calc)],"&lt;="&amp;$E626),SUMIFS(TblApplications[RAM IKS libérable (Go)],TblApplications[Cluster IKS source],$F626,TblApplications[Mois lib (calc)],"&lt;="&amp;$E626)))</f>
        <v/>
      </c>
      <c r="R626" s="14" t="str">
        <f aca="false">IF($D626&lt;&gt;1,"",IF($G626="ROKS",$L626+$P626,IF($AI626=1,0,MAX($N626,$L626-$P626))))</f>
        <v/>
      </c>
      <c r="S626" s="14" t="str">
        <f aca="false">IF($D626&lt;&gt;1,"",IF($G626="ROKS",$M626+$Q626,IF($AI626=1,0,MAX($O626,$M626-$Q626))))</f>
        <v/>
      </c>
      <c r="T626" s="14" t="str">
        <f aca="false">IF($D626&lt;&gt;1,"",IF($AI626=1,0,MAX($J626,ROUNDUP(MAX($R626/$H626,$S626/$I626),0))))</f>
        <v/>
      </c>
      <c r="U626" s="14" t="str">
        <f aca="false">IF($D626&lt;&gt;1,"",IF(p_mode="Nœud",$T626*$H626,$R626))</f>
        <v/>
      </c>
      <c r="V626" s="14" t="str">
        <f aca="false">IF($D626&lt;&gt;1,"",IF(p_mode="Nœud",$T626*$I626,$S626))</f>
        <v/>
      </c>
      <c r="W626" s="84" t="str">
        <f aca="false">IF($D626&lt;&gt;1,"",IF(p_mode="Nœud",$T626*$K626,$R626*IF($G626="IKS",p_iks_cpu,p_roks_cpu)+$S626*IF($G626="IKS",p_iks_ram,p_roks_ram))*p_facteur)</f>
        <v/>
      </c>
      <c r="X626" s="14" t="str">
        <f aca="false">IF($D626&lt;&gt;1,"",IF($G626="ROKS",$R626,IF($AI626=1,0,MAX($N626,$L626-SUMIFS(TblApplications[CPU IKS libérable (vCPU)],TblApplications[Cluster IKS source],$F626,TblApplications[Action],"À migrer",TblApplications[Mois prov (calc)],"&lt;="&amp;$E626)-SUMIFS(TblApplications[CPU IKS libérable (vCPU)],TblApplications[Cluster IKS source],$F626,TblApplications[Action],"À décommissionner",TblApplications[Mois lib (calc)],"&lt;="&amp;$E626)))))</f>
        <v/>
      </c>
      <c r="Y626" s="14" t="str">
        <f aca="false">IF($D626&lt;&gt;1,"",IF($G626="ROKS",$S626,IF($AI626=1,0,MAX($O626,$M626-SUMIFS(TblApplications[RAM IKS libérable (Go)],TblApplications[Cluster IKS source],$F626,TblApplications[Action],"À migrer",TblApplications[Mois prov (calc)],"&lt;="&amp;$E626)-SUMIFS(TblApplications[RAM IKS libérable (Go)],TblApplications[Cluster IKS source],$F626,TblApplications[Action],"À décommissionner",TblApplications[Mois lib (calc)],"&lt;="&amp;$E626)))))</f>
        <v/>
      </c>
      <c r="Z626" s="14" t="str">
        <f aca="false">IF($D626&lt;&gt;1,"",IF($AI626=1,0,MAX($J626,ROUNDUP(MAX($X626/$H626,$Y626/$I626),0))))</f>
        <v/>
      </c>
      <c r="AA626" s="84" t="str">
        <f aca="false">IF($D626&lt;&gt;1,"",IF(p_mode="Nœud",$Z626*$K626,$X626*IF($G626="IKS",p_iks_cpu,p_roks_cpu)+$Y626*IF($G626="IKS",p_iks_ram,p_roks_ram))*p_facteur)</f>
        <v/>
      </c>
      <c r="AB626" s="14" t="str">
        <f aca="false">IF($D626&lt;&gt;1,"",MAX($J626,ROUNDUP(MAX($L626/$H626,$M626/$I626),0)))</f>
        <v/>
      </c>
      <c r="AC626" s="84" t="str">
        <f aca="false">IF($D626&lt;&gt;1,"",IF(p_mode="Nœud",$AB626*$K626,$L626*IF($G626="IKS",p_iks_cpu,p_roks_cpu)+$M626*IF($G626="IKS",p_iks_ram,p_roks_ram))*p_facteur)</f>
        <v/>
      </c>
      <c r="AD626" s="14" t="str">
        <f aca="false">IF($D626&lt;&gt;1,"",IF(AND($G626="IKS",$AI626&lt;&gt;1,OR($L626-$P626&lt;$N626,$M626-$Q626&lt;$O626)),1,0))</f>
        <v/>
      </c>
      <c r="AE626" s="14" t="str">
        <f aca="false">IF($D626&lt;&gt;1,"",IF(AND($G626="ROKS",$T626&gt;p_maxworkers),1,0))</f>
        <v/>
      </c>
      <c r="AF626" s="14" t="str">
        <f aca="false">IF($D626&lt;&gt;1,"",IF(INDEX(TblClusters[Environnement],$B626)="","(vide)",INDEX(TblClusters[Environnement],$B626)))</f>
        <v/>
      </c>
      <c r="AG626" s="14" t="str">
        <f aca="false">IF($D626&lt;&gt;1,"",$R626+p_poidsram*$S626)</f>
        <v/>
      </c>
      <c r="AH626" s="14" t="str">
        <f aca="false">IF($D626&lt;&gt;1,"",IFERROR($W626/$AG626,0))</f>
        <v/>
      </c>
      <c r="AI626" s="14" t="str">
        <f aca="false">IF($D626&lt;&gt;1,"",IF(AND($G626="IKS",ISNUMBER(INDEX(TblClusters[Fermeture retenue],$B626))),IF($E626&gt;=INDEX(TblClusters[Fermeture retenue],$B626),1,0),0))</f>
        <v/>
      </c>
    </row>
    <row r="627" customFormat="false" ht="15" hidden="false" customHeight="false" outlineLevel="0" collapsed="false">
      <c r="A627" s="14" t="n">
        <v>622</v>
      </c>
      <c r="B627" s="14" t="n">
        <f aca="false">INT(($A627-1)/36)+1</f>
        <v>18</v>
      </c>
      <c r="C627" s="14" t="n">
        <f aca="false">MOD($A627-1,36)+1</f>
        <v>10</v>
      </c>
      <c r="D627" s="14" t="n">
        <f aca="false">IF($C627&gt;p_horizon,0,IFERROR(IF(AND(INDEX(TblClusters[Cluster],$B627)&lt;&gt;"",ISNUMBER(INDEX(TblClusters[CPU initial (vCPU)],$B627)),ISNUMBER(INDEX(TblClusters[CPU min (vCPU)],$B627)),OR(INDEX(TblClusters[Plateforme],$B627)="IKS",INDEX(TblClusters[Plateforme],$B627)="ROKS")),1,0),0))</f>
        <v>0</v>
      </c>
      <c r="E627" s="83" t="str">
        <f aca="false">IF($D627=1,EDATE(p_debut,$C627-1),"")</f>
        <v/>
      </c>
      <c r="F627" s="14" t="str">
        <f aca="false">IF($D627=1,INDEX(TblClusters[Cluster],$B627),"")</f>
        <v/>
      </c>
      <c r="G627" s="14" t="str">
        <f aca="false">IF($D627=1,INDEX(TblClusters[Plateforme],$B627),"")</f>
        <v/>
      </c>
      <c r="H627" s="14" t="str">
        <f aca="false">IF($D627=1,INDEX(TblClusters[vCPU par nœud],$B627),"")</f>
        <v/>
      </c>
      <c r="I627" s="14" t="str">
        <f aca="false">IF($D627=1,INDEX(TblClusters[RAM par nœud (Go)],$B627),"")</f>
        <v/>
      </c>
      <c r="J627" s="14" t="str">
        <f aca="false">IF($D627=1,INDEX(TblClusters[Workers min],$B627),"")</f>
        <v/>
      </c>
      <c r="K627" s="84" t="str">
        <f aca="false">IF($D627=1,INDEX(TblClusters[Tarif par nœud],$B627),"")</f>
        <v/>
      </c>
      <c r="L627" s="14" t="str">
        <f aca="false">IF($D627=1,INDEX(TblClusters[CPU initial (vCPU)],$B627),"")</f>
        <v/>
      </c>
      <c r="M627" s="14" t="str">
        <f aca="false">IF($D627=1,INDEX(TblClusters[RAM initiale (Go)],$B627),"")</f>
        <v/>
      </c>
      <c r="N627" s="14" t="str">
        <f aca="false">IF($D627=1,INDEX(TblClusters[CPU min (vCPU)],$B627),"")</f>
        <v/>
      </c>
      <c r="O627" s="14" t="str">
        <f aca="false">IF($D627=1,INDEX(TblClusters[RAM min (Go)],$B627),"")</f>
        <v/>
      </c>
      <c r="P627" s="14" t="str">
        <f aca="false">IF($D627&lt;&gt;1,"",IF($G627="ROKS",SUMIFS(TblApplications[Besoin ROKS CPU (vCPU)],TblApplications[Cluster ROKS cible],$F627,TblApplications[Action],"À migrer",TblApplications[Déjà incluse ROKS],"Non",TblApplications[Mois prov (calc)],"&lt;="&amp;$E627),SUMIFS(TblApplications[CPU IKS libérable (vCPU)],TblApplications[Cluster IKS source],$F627,TblApplications[Mois lib (calc)],"&lt;="&amp;$E627)))</f>
        <v/>
      </c>
      <c r="Q627" s="14" t="str">
        <f aca="false">IF($D627&lt;&gt;1,"",IF($G627="ROKS",SUMIFS(TblApplications[Besoin ROKS RAM (Go)],TblApplications[Cluster ROKS cible],$F627,TblApplications[Action],"À migrer",TblApplications[Déjà incluse ROKS],"Non",TblApplications[Mois prov (calc)],"&lt;="&amp;$E627),SUMIFS(TblApplications[RAM IKS libérable (Go)],TblApplications[Cluster IKS source],$F627,TblApplications[Mois lib (calc)],"&lt;="&amp;$E627)))</f>
        <v/>
      </c>
      <c r="R627" s="14" t="str">
        <f aca="false">IF($D627&lt;&gt;1,"",IF($G627="ROKS",$L627+$P627,IF($AI627=1,0,MAX($N627,$L627-$P627))))</f>
        <v/>
      </c>
      <c r="S627" s="14" t="str">
        <f aca="false">IF($D627&lt;&gt;1,"",IF($G627="ROKS",$M627+$Q627,IF($AI627=1,0,MAX($O627,$M627-$Q627))))</f>
        <v/>
      </c>
      <c r="T627" s="14" t="str">
        <f aca="false">IF($D627&lt;&gt;1,"",IF($AI627=1,0,MAX($J627,ROUNDUP(MAX($R627/$H627,$S627/$I627),0))))</f>
        <v/>
      </c>
      <c r="U627" s="14" t="str">
        <f aca="false">IF($D627&lt;&gt;1,"",IF(p_mode="Nœud",$T627*$H627,$R627))</f>
        <v/>
      </c>
      <c r="V627" s="14" t="str">
        <f aca="false">IF($D627&lt;&gt;1,"",IF(p_mode="Nœud",$T627*$I627,$S627))</f>
        <v/>
      </c>
      <c r="W627" s="84" t="str">
        <f aca="false">IF($D627&lt;&gt;1,"",IF(p_mode="Nœud",$T627*$K627,$R627*IF($G627="IKS",p_iks_cpu,p_roks_cpu)+$S627*IF($G627="IKS",p_iks_ram,p_roks_ram))*p_facteur)</f>
        <v/>
      </c>
      <c r="X627" s="14" t="str">
        <f aca="false">IF($D627&lt;&gt;1,"",IF($G627="ROKS",$R627,IF($AI627=1,0,MAX($N627,$L627-SUMIFS(TblApplications[CPU IKS libérable (vCPU)],TblApplications[Cluster IKS source],$F627,TblApplications[Action],"À migrer",TblApplications[Mois prov (calc)],"&lt;="&amp;$E627)-SUMIFS(TblApplications[CPU IKS libérable (vCPU)],TblApplications[Cluster IKS source],$F627,TblApplications[Action],"À décommissionner",TblApplications[Mois lib (calc)],"&lt;="&amp;$E627)))))</f>
        <v/>
      </c>
      <c r="Y627" s="14" t="str">
        <f aca="false">IF($D627&lt;&gt;1,"",IF($G627="ROKS",$S627,IF($AI627=1,0,MAX($O627,$M627-SUMIFS(TblApplications[RAM IKS libérable (Go)],TblApplications[Cluster IKS source],$F627,TblApplications[Action],"À migrer",TblApplications[Mois prov (calc)],"&lt;="&amp;$E627)-SUMIFS(TblApplications[RAM IKS libérable (Go)],TblApplications[Cluster IKS source],$F627,TblApplications[Action],"À décommissionner",TblApplications[Mois lib (calc)],"&lt;="&amp;$E627)))))</f>
        <v/>
      </c>
      <c r="Z627" s="14" t="str">
        <f aca="false">IF($D627&lt;&gt;1,"",IF($AI627=1,0,MAX($J627,ROUNDUP(MAX($X627/$H627,$Y627/$I627),0))))</f>
        <v/>
      </c>
      <c r="AA627" s="84" t="str">
        <f aca="false">IF($D627&lt;&gt;1,"",IF(p_mode="Nœud",$Z627*$K627,$X627*IF($G627="IKS",p_iks_cpu,p_roks_cpu)+$Y627*IF($G627="IKS",p_iks_ram,p_roks_ram))*p_facteur)</f>
        <v/>
      </c>
      <c r="AB627" s="14" t="str">
        <f aca="false">IF($D627&lt;&gt;1,"",MAX($J627,ROUNDUP(MAX($L627/$H627,$M627/$I627),0)))</f>
        <v/>
      </c>
      <c r="AC627" s="84" t="str">
        <f aca="false">IF($D627&lt;&gt;1,"",IF(p_mode="Nœud",$AB627*$K627,$L627*IF($G627="IKS",p_iks_cpu,p_roks_cpu)+$M627*IF($G627="IKS",p_iks_ram,p_roks_ram))*p_facteur)</f>
        <v/>
      </c>
      <c r="AD627" s="14" t="str">
        <f aca="false">IF($D627&lt;&gt;1,"",IF(AND($G627="IKS",$AI627&lt;&gt;1,OR($L627-$P627&lt;$N627,$M627-$Q627&lt;$O627)),1,0))</f>
        <v/>
      </c>
      <c r="AE627" s="14" t="str">
        <f aca="false">IF($D627&lt;&gt;1,"",IF(AND($G627="ROKS",$T627&gt;p_maxworkers),1,0))</f>
        <v/>
      </c>
      <c r="AF627" s="14" t="str">
        <f aca="false">IF($D627&lt;&gt;1,"",IF(INDEX(TblClusters[Environnement],$B627)="","(vide)",INDEX(TblClusters[Environnement],$B627)))</f>
        <v/>
      </c>
      <c r="AG627" s="14" t="str">
        <f aca="false">IF($D627&lt;&gt;1,"",$R627+p_poidsram*$S627)</f>
        <v/>
      </c>
      <c r="AH627" s="14" t="str">
        <f aca="false">IF($D627&lt;&gt;1,"",IFERROR($W627/$AG627,0))</f>
        <v/>
      </c>
      <c r="AI627" s="14" t="str">
        <f aca="false">IF($D627&lt;&gt;1,"",IF(AND($G627="IKS",ISNUMBER(INDEX(TblClusters[Fermeture retenue],$B627))),IF($E627&gt;=INDEX(TblClusters[Fermeture retenue],$B627),1,0),0))</f>
        <v/>
      </c>
    </row>
    <row r="628" customFormat="false" ht="15" hidden="false" customHeight="false" outlineLevel="0" collapsed="false">
      <c r="A628" s="14" t="n">
        <v>623</v>
      </c>
      <c r="B628" s="14" t="n">
        <f aca="false">INT(($A628-1)/36)+1</f>
        <v>18</v>
      </c>
      <c r="C628" s="14" t="n">
        <f aca="false">MOD($A628-1,36)+1</f>
        <v>11</v>
      </c>
      <c r="D628" s="14" t="n">
        <f aca="false">IF($C628&gt;p_horizon,0,IFERROR(IF(AND(INDEX(TblClusters[Cluster],$B628)&lt;&gt;"",ISNUMBER(INDEX(TblClusters[CPU initial (vCPU)],$B628)),ISNUMBER(INDEX(TblClusters[CPU min (vCPU)],$B628)),OR(INDEX(TblClusters[Plateforme],$B628)="IKS",INDEX(TblClusters[Plateforme],$B628)="ROKS")),1,0),0))</f>
        <v>0</v>
      </c>
      <c r="E628" s="83" t="str">
        <f aca="false">IF($D628=1,EDATE(p_debut,$C628-1),"")</f>
        <v/>
      </c>
      <c r="F628" s="14" t="str">
        <f aca="false">IF($D628=1,INDEX(TblClusters[Cluster],$B628),"")</f>
        <v/>
      </c>
      <c r="G628" s="14" t="str">
        <f aca="false">IF($D628=1,INDEX(TblClusters[Plateforme],$B628),"")</f>
        <v/>
      </c>
      <c r="H628" s="14" t="str">
        <f aca="false">IF($D628=1,INDEX(TblClusters[vCPU par nœud],$B628),"")</f>
        <v/>
      </c>
      <c r="I628" s="14" t="str">
        <f aca="false">IF($D628=1,INDEX(TblClusters[RAM par nœud (Go)],$B628),"")</f>
        <v/>
      </c>
      <c r="J628" s="14" t="str">
        <f aca="false">IF($D628=1,INDEX(TblClusters[Workers min],$B628),"")</f>
        <v/>
      </c>
      <c r="K628" s="84" t="str">
        <f aca="false">IF($D628=1,INDEX(TblClusters[Tarif par nœud],$B628),"")</f>
        <v/>
      </c>
      <c r="L628" s="14" t="str">
        <f aca="false">IF($D628=1,INDEX(TblClusters[CPU initial (vCPU)],$B628),"")</f>
        <v/>
      </c>
      <c r="M628" s="14" t="str">
        <f aca="false">IF($D628=1,INDEX(TblClusters[RAM initiale (Go)],$B628),"")</f>
        <v/>
      </c>
      <c r="N628" s="14" t="str">
        <f aca="false">IF($D628=1,INDEX(TblClusters[CPU min (vCPU)],$B628),"")</f>
        <v/>
      </c>
      <c r="O628" s="14" t="str">
        <f aca="false">IF($D628=1,INDEX(TblClusters[RAM min (Go)],$B628),"")</f>
        <v/>
      </c>
      <c r="P628" s="14" t="str">
        <f aca="false">IF($D628&lt;&gt;1,"",IF($G628="ROKS",SUMIFS(TblApplications[Besoin ROKS CPU (vCPU)],TblApplications[Cluster ROKS cible],$F628,TblApplications[Action],"À migrer",TblApplications[Déjà incluse ROKS],"Non",TblApplications[Mois prov (calc)],"&lt;="&amp;$E628),SUMIFS(TblApplications[CPU IKS libérable (vCPU)],TblApplications[Cluster IKS source],$F628,TblApplications[Mois lib (calc)],"&lt;="&amp;$E628)))</f>
        <v/>
      </c>
      <c r="Q628" s="14" t="str">
        <f aca="false">IF($D628&lt;&gt;1,"",IF($G628="ROKS",SUMIFS(TblApplications[Besoin ROKS RAM (Go)],TblApplications[Cluster ROKS cible],$F628,TblApplications[Action],"À migrer",TblApplications[Déjà incluse ROKS],"Non",TblApplications[Mois prov (calc)],"&lt;="&amp;$E628),SUMIFS(TblApplications[RAM IKS libérable (Go)],TblApplications[Cluster IKS source],$F628,TblApplications[Mois lib (calc)],"&lt;="&amp;$E628)))</f>
        <v/>
      </c>
      <c r="R628" s="14" t="str">
        <f aca="false">IF($D628&lt;&gt;1,"",IF($G628="ROKS",$L628+$P628,IF($AI628=1,0,MAX($N628,$L628-$P628))))</f>
        <v/>
      </c>
      <c r="S628" s="14" t="str">
        <f aca="false">IF($D628&lt;&gt;1,"",IF($G628="ROKS",$M628+$Q628,IF($AI628=1,0,MAX($O628,$M628-$Q628))))</f>
        <v/>
      </c>
      <c r="T628" s="14" t="str">
        <f aca="false">IF($D628&lt;&gt;1,"",IF($AI628=1,0,MAX($J628,ROUNDUP(MAX($R628/$H628,$S628/$I628),0))))</f>
        <v/>
      </c>
      <c r="U628" s="14" t="str">
        <f aca="false">IF($D628&lt;&gt;1,"",IF(p_mode="Nœud",$T628*$H628,$R628))</f>
        <v/>
      </c>
      <c r="V628" s="14" t="str">
        <f aca="false">IF($D628&lt;&gt;1,"",IF(p_mode="Nœud",$T628*$I628,$S628))</f>
        <v/>
      </c>
      <c r="W628" s="84" t="str">
        <f aca="false">IF($D628&lt;&gt;1,"",IF(p_mode="Nœud",$T628*$K628,$R628*IF($G628="IKS",p_iks_cpu,p_roks_cpu)+$S628*IF($G628="IKS",p_iks_ram,p_roks_ram))*p_facteur)</f>
        <v/>
      </c>
      <c r="X628" s="14" t="str">
        <f aca="false">IF($D628&lt;&gt;1,"",IF($G628="ROKS",$R628,IF($AI628=1,0,MAX($N628,$L628-SUMIFS(TblApplications[CPU IKS libérable (vCPU)],TblApplications[Cluster IKS source],$F628,TblApplications[Action],"À migrer",TblApplications[Mois prov (calc)],"&lt;="&amp;$E628)-SUMIFS(TblApplications[CPU IKS libérable (vCPU)],TblApplications[Cluster IKS source],$F628,TblApplications[Action],"À décommissionner",TblApplications[Mois lib (calc)],"&lt;="&amp;$E628)))))</f>
        <v/>
      </c>
      <c r="Y628" s="14" t="str">
        <f aca="false">IF($D628&lt;&gt;1,"",IF($G628="ROKS",$S628,IF($AI628=1,0,MAX($O628,$M628-SUMIFS(TblApplications[RAM IKS libérable (Go)],TblApplications[Cluster IKS source],$F628,TblApplications[Action],"À migrer",TblApplications[Mois prov (calc)],"&lt;="&amp;$E628)-SUMIFS(TblApplications[RAM IKS libérable (Go)],TblApplications[Cluster IKS source],$F628,TblApplications[Action],"À décommissionner",TblApplications[Mois lib (calc)],"&lt;="&amp;$E628)))))</f>
        <v/>
      </c>
      <c r="Z628" s="14" t="str">
        <f aca="false">IF($D628&lt;&gt;1,"",IF($AI628=1,0,MAX($J628,ROUNDUP(MAX($X628/$H628,$Y628/$I628),0))))</f>
        <v/>
      </c>
      <c r="AA628" s="84" t="str">
        <f aca="false">IF($D628&lt;&gt;1,"",IF(p_mode="Nœud",$Z628*$K628,$X628*IF($G628="IKS",p_iks_cpu,p_roks_cpu)+$Y628*IF($G628="IKS",p_iks_ram,p_roks_ram))*p_facteur)</f>
        <v/>
      </c>
      <c r="AB628" s="14" t="str">
        <f aca="false">IF($D628&lt;&gt;1,"",MAX($J628,ROUNDUP(MAX($L628/$H628,$M628/$I628),0)))</f>
        <v/>
      </c>
      <c r="AC628" s="84" t="str">
        <f aca="false">IF($D628&lt;&gt;1,"",IF(p_mode="Nœud",$AB628*$K628,$L628*IF($G628="IKS",p_iks_cpu,p_roks_cpu)+$M628*IF($G628="IKS",p_iks_ram,p_roks_ram))*p_facteur)</f>
        <v/>
      </c>
      <c r="AD628" s="14" t="str">
        <f aca="false">IF($D628&lt;&gt;1,"",IF(AND($G628="IKS",$AI628&lt;&gt;1,OR($L628-$P628&lt;$N628,$M628-$Q628&lt;$O628)),1,0))</f>
        <v/>
      </c>
      <c r="AE628" s="14" t="str">
        <f aca="false">IF($D628&lt;&gt;1,"",IF(AND($G628="ROKS",$T628&gt;p_maxworkers),1,0))</f>
        <v/>
      </c>
      <c r="AF628" s="14" t="str">
        <f aca="false">IF($D628&lt;&gt;1,"",IF(INDEX(TblClusters[Environnement],$B628)="","(vide)",INDEX(TblClusters[Environnement],$B628)))</f>
        <v/>
      </c>
      <c r="AG628" s="14" t="str">
        <f aca="false">IF($D628&lt;&gt;1,"",$R628+p_poidsram*$S628)</f>
        <v/>
      </c>
      <c r="AH628" s="14" t="str">
        <f aca="false">IF($D628&lt;&gt;1,"",IFERROR($W628/$AG628,0))</f>
        <v/>
      </c>
      <c r="AI628" s="14" t="str">
        <f aca="false">IF($D628&lt;&gt;1,"",IF(AND($G628="IKS",ISNUMBER(INDEX(TblClusters[Fermeture retenue],$B628))),IF($E628&gt;=INDEX(TblClusters[Fermeture retenue],$B628),1,0),0))</f>
        <v/>
      </c>
    </row>
    <row r="629" customFormat="false" ht="15" hidden="false" customHeight="false" outlineLevel="0" collapsed="false">
      <c r="A629" s="14" t="n">
        <v>624</v>
      </c>
      <c r="B629" s="14" t="n">
        <f aca="false">INT(($A629-1)/36)+1</f>
        <v>18</v>
      </c>
      <c r="C629" s="14" t="n">
        <f aca="false">MOD($A629-1,36)+1</f>
        <v>12</v>
      </c>
      <c r="D629" s="14" t="n">
        <f aca="false">IF($C629&gt;p_horizon,0,IFERROR(IF(AND(INDEX(TblClusters[Cluster],$B629)&lt;&gt;"",ISNUMBER(INDEX(TblClusters[CPU initial (vCPU)],$B629)),ISNUMBER(INDEX(TblClusters[CPU min (vCPU)],$B629)),OR(INDEX(TblClusters[Plateforme],$B629)="IKS",INDEX(TblClusters[Plateforme],$B629)="ROKS")),1,0),0))</f>
        <v>0</v>
      </c>
      <c r="E629" s="83" t="str">
        <f aca="false">IF($D629=1,EDATE(p_debut,$C629-1),"")</f>
        <v/>
      </c>
      <c r="F629" s="14" t="str">
        <f aca="false">IF($D629=1,INDEX(TblClusters[Cluster],$B629),"")</f>
        <v/>
      </c>
      <c r="G629" s="14" t="str">
        <f aca="false">IF($D629=1,INDEX(TblClusters[Plateforme],$B629),"")</f>
        <v/>
      </c>
      <c r="H629" s="14" t="str">
        <f aca="false">IF($D629=1,INDEX(TblClusters[vCPU par nœud],$B629),"")</f>
        <v/>
      </c>
      <c r="I629" s="14" t="str">
        <f aca="false">IF($D629=1,INDEX(TblClusters[RAM par nœud (Go)],$B629),"")</f>
        <v/>
      </c>
      <c r="J629" s="14" t="str">
        <f aca="false">IF($D629=1,INDEX(TblClusters[Workers min],$B629),"")</f>
        <v/>
      </c>
      <c r="K629" s="84" t="str">
        <f aca="false">IF($D629=1,INDEX(TblClusters[Tarif par nœud],$B629),"")</f>
        <v/>
      </c>
      <c r="L629" s="14" t="str">
        <f aca="false">IF($D629=1,INDEX(TblClusters[CPU initial (vCPU)],$B629),"")</f>
        <v/>
      </c>
      <c r="M629" s="14" t="str">
        <f aca="false">IF($D629=1,INDEX(TblClusters[RAM initiale (Go)],$B629),"")</f>
        <v/>
      </c>
      <c r="N629" s="14" t="str">
        <f aca="false">IF($D629=1,INDEX(TblClusters[CPU min (vCPU)],$B629),"")</f>
        <v/>
      </c>
      <c r="O629" s="14" t="str">
        <f aca="false">IF($D629=1,INDEX(TblClusters[RAM min (Go)],$B629),"")</f>
        <v/>
      </c>
      <c r="P629" s="14" t="str">
        <f aca="false">IF($D629&lt;&gt;1,"",IF($G629="ROKS",SUMIFS(TblApplications[Besoin ROKS CPU (vCPU)],TblApplications[Cluster ROKS cible],$F629,TblApplications[Action],"À migrer",TblApplications[Déjà incluse ROKS],"Non",TblApplications[Mois prov (calc)],"&lt;="&amp;$E629),SUMIFS(TblApplications[CPU IKS libérable (vCPU)],TblApplications[Cluster IKS source],$F629,TblApplications[Mois lib (calc)],"&lt;="&amp;$E629)))</f>
        <v/>
      </c>
      <c r="Q629" s="14" t="str">
        <f aca="false">IF($D629&lt;&gt;1,"",IF($G629="ROKS",SUMIFS(TblApplications[Besoin ROKS RAM (Go)],TblApplications[Cluster ROKS cible],$F629,TblApplications[Action],"À migrer",TblApplications[Déjà incluse ROKS],"Non",TblApplications[Mois prov (calc)],"&lt;="&amp;$E629),SUMIFS(TblApplications[RAM IKS libérable (Go)],TblApplications[Cluster IKS source],$F629,TblApplications[Mois lib (calc)],"&lt;="&amp;$E629)))</f>
        <v/>
      </c>
      <c r="R629" s="14" t="str">
        <f aca="false">IF($D629&lt;&gt;1,"",IF($G629="ROKS",$L629+$P629,IF($AI629=1,0,MAX($N629,$L629-$P629))))</f>
        <v/>
      </c>
      <c r="S629" s="14" t="str">
        <f aca="false">IF($D629&lt;&gt;1,"",IF($G629="ROKS",$M629+$Q629,IF($AI629=1,0,MAX($O629,$M629-$Q629))))</f>
        <v/>
      </c>
      <c r="T629" s="14" t="str">
        <f aca="false">IF($D629&lt;&gt;1,"",IF($AI629=1,0,MAX($J629,ROUNDUP(MAX($R629/$H629,$S629/$I629),0))))</f>
        <v/>
      </c>
      <c r="U629" s="14" t="str">
        <f aca="false">IF($D629&lt;&gt;1,"",IF(p_mode="Nœud",$T629*$H629,$R629))</f>
        <v/>
      </c>
      <c r="V629" s="14" t="str">
        <f aca="false">IF($D629&lt;&gt;1,"",IF(p_mode="Nœud",$T629*$I629,$S629))</f>
        <v/>
      </c>
      <c r="W629" s="84" t="str">
        <f aca="false">IF($D629&lt;&gt;1,"",IF(p_mode="Nœud",$T629*$K629,$R629*IF($G629="IKS",p_iks_cpu,p_roks_cpu)+$S629*IF($G629="IKS",p_iks_ram,p_roks_ram))*p_facteur)</f>
        <v/>
      </c>
      <c r="X629" s="14" t="str">
        <f aca="false">IF($D629&lt;&gt;1,"",IF($G629="ROKS",$R629,IF($AI629=1,0,MAX($N629,$L629-SUMIFS(TblApplications[CPU IKS libérable (vCPU)],TblApplications[Cluster IKS source],$F629,TblApplications[Action],"À migrer",TblApplications[Mois prov (calc)],"&lt;="&amp;$E629)-SUMIFS(TblApplications[CPU IKS libérable (vCPU)],TblApplications[Cluster IKS source],$F629,TblApplications[Action],"À décommissionner",TblApplications[Mois lib (calc)],"&lt;="&amp;$E629)))))</f>
        <v/>
      </c>
      <c r="Y629" s="14" t="str">
        <f aca="false">IF($D629&lt;&gt;1,"",IF($G629="ROKS",$S629,IF($AI629=1,0,MAX($O629,$M629-SUMIFS(TblApplications[RAM IKS libérable (Go)],TblApplications[Cluster IKS source],$F629,TblApplications[Action],"À migrer",TblApplications[Mois prov (calc)],"&lt;="&amp;$E629)-SUMIFS(TblApplications[RAM IKS libérable (Go)],TblApplications[Cluster IKS source],$F629,TblApplications[Action],"À décommissionner",TblApplications[Mois lib (calc)],"&lt;="&amp;$E629)))))</f>
        <v/>
      </c>
      <c r="Z629" s="14" t="str">
        <f aca="false">IF($D629&lt;&gt;1,"",IF($AI629=1,0,MAX($J629,ROUNDUP(MAX($X629/$H629,$Y629/$I629),0))))</f>
        <v/>
      </c>
      <c r="AA629" s="84" t="str">
        <f aca="false">IF($D629&lt;&gt;1,"",IF(p_mode="Nœud",$Z629*$K629,$X629*IF($G629="IKS",p_iks_cpu,p_roks_cpu)+$Y629*IF($G629="IKS",p_iks_ram,p_roks_ram))*p_facteur)</f>
        <v/>
      </c>
      <c r="AB629" s="14" t="str">
        <f aca="false">IF($D629&lt;&gt;1,"",MAX($J629,ROUNDUP(MAX($L629/$H629,$M629/$I629),0)))</f>
        <v/>
      </c>
      <c r="AC629" s="84" t="str">
        <f aca="false">IF($D629&lt;&gt;1,"",IF(p_mode="Nœud",$AB629*$K629,$L629*IF($G629="IKS",p_iks_cpu,p_roks_cpu)+$M629*IF($G629="IKS",p_iks_ram,p_roks_ram))*p_facteur)</f>
        <v/>
      </c>
      <c r="AD629" s="14" t="str">
        <f aca="false">IF($D629&lt;&gt;1,"",IF(AND($G629="IKS",$AI629&lt;&gt;1,OR($L629-$P629&lt;$N629,$M629-$Q629&lt;$O629)),1,0))</f>
        <v/>
      </c>
      <c r="AE629" s="14" t="str">
        <f aca="false">IF($D629&lt;&gt;1,"",IF(AND($G629="ROKS",$T629&gt;p_maxworkers),1,0))</f>
        <v/>
      </c>
      <c r="AF629" s="14" t="str">
        <f aca="false">IF($D629&lt;&gt;1,"",IF(INDEX(TblClusters[Environnement],$B629)="","(vide)",INDEX(TblClusters[Environnement],$B629)))</f>
        <v/>
      </c>
      <c r="AG629" s="14" t="str">
        <f aca="false">IF($D629&lt;&gt;1,"",$R629+p_poidsram*$S629)</f>
        <v/>
      </c>
      <c r="AH629" s="14" t="str">
        <f aca="false">IF($D629&lt;&gt;1,"",IFERROR($W629/$AG629,0))</f>
        <v/>
      </c>
      <c r="AI629" s="14" t="str">
        <f aca="false">IF($D629&lt;&gt;1,"",IF(AND($G629="IKS",ISNUMBER(INDEX(TblClusters[Fermeture retenue],$B629))),IF($E629&gt;=INDEX(TblClusters[Fermeture retenue],$B629),1,0),0))</f>
        <v/>
      </c>
    </row>
    <row r="630" customFormat="false" ht="15" hidden="false" customHeight="false" outlineLevel="0" collapsed="false">
      <c r="A630" s="14" t="n">
        <v>625</v>
      </c>
      <c r="B630" s="14" t="n">
        <f aca="false">INT(($A630-1)/36)+1</f>
        <v>18</v>
      </c>
      <c r="C630" s="14" t="n">
        <f aca="false">MOD($A630-1,36)+1</f>
        <v>13</v>
      </c>
      <c r="D630" s="14" t="n">
        <f aca="false">IF($C630&gt;p_horizon,0,IFERROR(IF(AND(INDEX(TblClusters[Cluster],$B630)&lt;&gt;"",ISNUMBER(INDEX(TblClusters[CPU initial (vCPU)],$B630)),ISNUMBER(INDEX(TblClusters[CPU min (vCPU)],$B630)),OR(INDEX(TblClusters[Plateforme],$B630)="IKS",INDEX(TblClusters[Plateforme],$B630)="ROKS")),1,0),0))</f>
        <v>0</v>
      </c>
      <c r="E630" s="83" t="str">
        <f aca="false">IF($D630=1,EDATE(p_debut,$C630-1),"")</f>
        <v/>
      </c>
      <c r="F630" s="14" t="str">
        <f aca="false">IF($D630=1,INDEX(TblClusters[Cluster],$B630),"")</f>
        <v/>
      </c>
      <c r="G630" s="14" t="str">
        <f aca="false">IF($D630=1,INDEX(TblClusters[Plateforme],$B630),"")</f>
        <v/>
      </c>
      <c r="H630" s="14" t="str">
        <f aca="false">IF($D630=1,INDEX(TblClusters[vCPU par nœud],$B630),"")</f>
        <v/>
      </c>
      <c r="I630" s="14" t="str">
        <f aca="false">IF($D630=1,INDEX(TblClusters[RAM par nœud (Go)],$B630),"")</f>
        <v/>
      </c>
      <c r="J630" s="14" t="str">
        <f aca="false">IF($D630=1,INDEX(TblClusters[Workers min],$B630),"")</f>
        <v/>
      </c>
      <c r="K630" s="84" t="str">
        <f aca="false">IF($D630=1,INDEX(TblClusters[Tarif par nœud],$B630),"")</f>
        <v/>
      </c>
      <c r="L630" s="14" t="str">
        <f aca="false">IF($D630=1,INDEX(TblClusters[CPU initial (vCPU)],$B630),"")</f>
        <v/>
      </c>
      <c r="M630" s="14" t="str">
        <f aca="false">IF($D630=1,INDEX(TblClusters[RAM initiale (Go)],$B630),"")</f>
        <v/>
      </c>
      <c r="N630" s="14" t="str">
        <f aca="false">IF($D630=1,INDEX(TblClusters[CPU min (vCPU)],$B630),"")</f>
        <v/>
      </c>
      <c r="O630" s="14" t="str">
        <f aca="false">IF($D630=1,INDEX(TblClusters[RAM min (Go)],$B630),"")</f>
        <v/>
      </c>
      <c r="P630" s="14" t="str">
        <f aca="false">IF($D630&lt;&gt;1,"",IF($G630="ROKS",SUMIFS(TblApplications[Besoin ROKS CPU (vCPU)],TblApplications[Cluster ROKS cible],$F630,TblApplications[Action],"À migrer",TblApplications[Déjà incluse ROKS],"Non",TblApplications[Mois prov (calc)],"&lt;="&amp;$E630),SUMIFS(TblApplications[CPU IKS libérable (vCPU)],TblApplications[Cluster IKS source],$F630,TblApplications[Mois lib (calc)],"&lt;="&amp;$E630)))</f>
        <v/>
      </c>
      <c r="Q630" s="14" t="str">
        <f aca="false">IF($D630&lt;&gt;1,"",IF($G630="ROKS",SUMIFS(TblApplications[Besoin ROKS RAM (Go)],TblApplications[Cluster ROKS cible],$F630,TblApplications[Action],"À migrer",TblApplications[Déjà incluse ROKS],"Non",TblApplications[Mois prov (calc)],"&lt;="&amp;$E630),SUMIFS(TblApplications[RAM IKS libérable (Go)],TblApplications[Cluster IKS source],$F630,TblApplications[Mois lib (calc)],"&lt;="&amp;$E630)))</f>
        <v/>
      </c>
      <c r="R630" s="14" t="str">
        <f aca="false">IF($D630&lt;&gt;1,"",IF($G630="ROKS",$L630+$P630,IF($AI630=1,0,MAX($N630,$L630-$P630))))</f>
        <v/>
      </c>
      <c r="S630" s="14" t="str">
        <f aca="false">IF($D630&lt;&gt;1,"",IF($G630="ROKS",$M630+$Q630,IF($AI630=1,0,MAX($O630,$M630-$Q630))))</f>
        <v/>
      </c>
      <c r="T630" s="14" t="str">
        <f aca="false">IF($D630&lt;&gt;1,"",IF($AI630=1,0,MAX($J630,ROUNDUP(MAX($R630/$H630,$S630/$I630),0))))</f>
        <v/>
      </c>
      <c r="U630" s="14" t="str">
        <f aca="false">IF($D630&lt;&gt;1,"",IF(p_mode="Nœud",$T630*$H630,$R630))</f>
        <v/>
      </c>
      <c r="V630" s="14" t="str">
        <f aca="false">IF($D630&lt;&gt;1,"",IF(p_mode="Nœud",$T630*$I630,$S630))</f>
        <v/>
      </c>
      <c r="W630" s="84" t="str">
        <f aca="false">IF($D630&lt;&gt;1,"",IF(p_mode="Nœud",$T630*$K630,$R630*IF($G630="IKS",p_iks_cpu,p_roks_cpu)+$S630*IF($G630="IKS",p_iks_ram,p_roks_ram))*p_facteur)</f>
        <v/>
      </c>
      <c r="X630" s="14" t="str">
        <f aca="false">IF($D630&lt;&gt;1,"",IF($G630="ROKS",$R630,IF($AI630=1,0,MAX($N630,$L630-SUMIFS(TblApplications[CPU IKS libérable (vCPU)],TblApplications[Cluster IKS source],$F630,TblApplications[Action],"À migrer",TblApplications[Mois prov (calc)],"&lt;="&amp;$E630)-SUMIFS(TblApplications[CPU IKS libérable (vCPU)],TblApplications[Cluster IKS source],$F630,TblApplications[Action],"À décommissionner",TblApplications[Mois lib (calc)],"&lt;="&amp;$E630)))))</f>
        <v/>
      </c>
      <c r="Y630" s="14" t="str">
        <f aca="false">IF($D630&lt;&gt;1,"",IF($G630="ROKS",$S630,IF($AI630=1,0,MAX($O630,$M630-SUMIFS(TblApplications[RAM IKS libérable (Go)],TblApplications[Cluster IKS source],$F630,TblApplications[Action],"À migrer",TblApplications[Mois prov (calc)],"&lt;="&amp;$E630)-SUMIFS(TblApplications[RAM IKS libérable (Go)],TblApplications[Cluster IKS source],$F630,TblApplications[Action],"À décommissionner",TblApplications[Mois lib (calc)],"&lt;="&amp;$E630)))))</f>
        <v/>
      </c>
      <c r="Z630" s="14" t="str">
        <f aca="false">IF($D630&lt;&gt;1,"",IF($AI630=1,0,MAX($J630,ROUNDUP(MAX($X630/$H630,$Y630/$I630),0))))</f>
        <v/>
      </c>
      <c r="AA630" s="84" t="str">
        <f aca="false">IF($D630&lt;&gt;1,"",IF(p_mode="Nœud",$Z630*$K630,$X630*IF($G630="IKS",p_iks_cpu,p_roks_cpu)+$Y630*IF($G630="IKS",p_iks_ram,p_roks_ram))*p_facteur)</f>
        <v/>
      </c>
      <c r="AB630" s="14" t="str">
        <f aca="false">IF($D630&lt;&gt;1,"",MAX($J630,ROUNDUP(MAX($L630/$H630,$M630/$I630),0)))</f>
        <v/>
      </c>
      <c r="AC630" s="84" t="str">
        <f aca="false">IF($D630&lt;&gt;1,"",IF(p_mode="Nœud",$AB630*$K630,$L630*IF($G630="IKS",p_iks_cpu,p_roks_cpu)+$M630*IF($G630="IKS",p_iks_ram,p_roks_ram))*p_facteur)</f>
        <v/>
      </c>
      <c r="AD630" s="14" t="str">
        <f aca="false">IF($D630&lt;&gt;1,"",IF(AND($G630="IKS",$AI630&lt;&gt;1,OR($L630-$P630&lt;$N630,$M630-$Q630&lt;$O630)),1,0))</f>
        <v/>
      </c>
      <c r="AE630" s="14" t="str">
        <f aca="false">IF($D630&lt;&gt;1,"",IF(AND($G630="ROKS",$T630&gt;p_maxworkers),1,0))</f>
        <v/>
      </c>
      <c r="AF630" s="14" t="str">
        <f aca="false">IF($D630&lt;&gt;1,"",IF(INDEX(TblClusters[Environnement],$B630)="","(vide)",INDEX(TblClusters[Environnement],$B630)))</f>
        <v/>
      </c>
      <c r="AG630" s="14" t="str">
        <f aca="false">IF($D630&lt;&gt;1,"",$R630+p_poidsram*$S630)</f>
        <v/>
      </c>
      <c r="AH630" s="14" t="str">
        <f aca="false">IF($D630&lt;&gt;1,"",IFERROR($W630/$AG630,0))</f>
        <v/>
      </c>
      <c r="AI630" s="14" t="str">
        <f aca="false">IF($D630&lt;&gt;1,"",IF(AND($G630="IKS",ISNUMBER(INDEX(TblClusters[Fermeture retenue],$B630))),IF($E630&gt;=INDEX(TblClusters[Fermeture retenue],$B630),1,0),0))</f>
        <v/>
      </c>
    </row>
    <row r="631" customFormat="false" ht="15" hidden="false" customHeight="false" outlineLevel="0" collapsed="false">
      <c r="A631" s="14" t="n">
        <v>626</v>
      </c>
      <c r="B631" s="14" t="n">
        <f aca="false">INT(($A631-1)/36)+1</f>
        <v>18</v>
      </c>
      <c r="C631" s="14" t="n">
        <f aca="false">MOD($A631-1,36)+1</f>
        <v>14</v>
      </c>
      <c r="D631" s="14" t="n">
        <f aca="false">IF($C631&gt;p_horizon,0,IFERROR(IF(AND(INDEX(TblClusters[Cluster],$B631)&lt;&gt;"",ISNUMBER(INDEX(TblClusters[CPU initial (vCPU)],$B631)),ISNUMBER(INDEX(TblClusters[CPU min (vCPU)],$B631)),OR(INDEX(TblClusters[Plateforme],$B631)="IKS",INDEX(TblClusters[Plateforme],$B631)="ROKS")),1,0),0))</f>
        <v>0</v>
      </c>
      <c r="E631" s="83" t="str">
        <f aca="false">IF($D631=1,EDATE(p_debut,$C631-1),"")</f>
        <v/>
      </c>
      <c r="F631" s="14" t="str">
        <f aca="false">IF($D631=1,INDEX(TblClusters[Cluster],$B631),"")</f>
        <v/>
      </c>
      <c r="G631" s="14" t="str">
        <f aca="false">IF($D631=1,INDEX(TblClusters[Plateforme],$B631),"")</f>
        <v/>
      </c>
      <c r="H631" s="14" t="str">
        <f aca="false">IF($D631=1,INDEX(TblClusters[vCPU par nœud],$B631),"")</f>
        <v/>
      </c>
      <c r="I631" s="14" t="str">
        <f aca="false">IF($D631=1,INDEX(TblClusters[RAM par nœud (Go)],$B631),"")</f>
        <v/>
      </c>
      <c r="J631" s="14" t="str">
        <f aca="false">IF($D631=1,INDEX(TblClusters[Workers min],$B631),"")</f>
        <v/>
      </c>
      <c r="K631" s="84" t="str">
        <f aca="false">IF($D631=1,INDEX(TblClusters[Tarif par nœud],$B631),"")</f>
        <v/>
      </c>
      <c r="L631" s="14" t="str">
        <f aca="false">IF($D631=1,INDEX(TblClusters[CPU initial (vCPU)],$B631),"")</f>
        <v/>
      </c>
      <c r="M631" s="14" t="str">
        <f aca="false">IF($D631=1,INDEX(TblClusters[RAM initiale (Go)],$B631),"")</f>
        <v/>
      </c>
      <c r="N631" s="14" t="str">
        <f aca="false">IF($D631=1,INDEX(TblClusters[CPU min (vCPU)],$B631),"")</f>
        <v/>
      </c>
      <c r="O631" s="14" t="str">
        <f aca="false">IF($D631=1,INDEX(TblClusters[RAM min (Go)],$B631),"")</f>
        <v/>
      </c>
      <c r="P631" s="14" t="str">
        <f aca="false">IF($D631&lt;&gt;1,"",IF($G631="ROKS",SUMIFS(TblApplications[Besoin ROKS CPU (vCPU)],TblApplications[Cluster ROKS cible],$F631,TblApplications[Action],"À migrer",TblApplications[Déjà incluse ROKS],"Non",TblApplications[Mois prov (calc)],"&lt;="&amp;$E631),SUMIFS(TblApplications[CPU IKS libérable (vCPU)],TblApplications[Cluster IKS source],$F631,TblApplications[Mois lib (calc)],"&lt;="&amp;$E631)))</f>
        <v/>
      </c>
      <c r="Q631" s="14" t="str">
        <f aca="false">IF($D631&lt;&gt;1,"",IF($G631="ROKS",SUMIFS(TblApplications[Besoin ROKS RAM (Go)],TblApplications[Cluster ROKS cible],$F631,TblApplications[Action],"À migrer",TblApplications[Déjà incluse ROKS],"Non",TblApplications[Mois prov (calc)],"&lt;="&amp;$E631),SUMIFS(TblApplications[RAM IKS libérable (Go)],TblApplications[Cluster IKS source],$F631,TblApplications[Mois lib (calc)],"&lt;="&amp;$E631)))</f>
        <v/>
      </c>
      <c r="R631" s="14" t="str">
        <f aca="false">IF($D631&lt;&gt;1,"",IF($G631="ROKS",$L631+$P631,IF($AI631=1,0,MAX($N631,$L631-$P631))))</f>
        <v/>
      </c>
      <c r="S631" s="14" t="str">
        <f aca="false">IF($D631&lt;&gt;1,"",IF($G631="ROKS",$M631+$Q631,IF($AI631=1,0,MAX($O631,$M631-$Q631))))</f>
        <v/>
      </c>
      <c r="T631" s="14" t="str">
        <f aca="false">IF($D631&lt;&gt;1,"",IF($AI631=1,0,MAX($J631,ROUNDUP(MAX($R631/$H631,$S631/$I631),0))))</f>
        <v/>
      </c>
      <c r="U631" s="14" t="str">
        <f aca="false">IF($D631&lt;&gt;1,"",IF(p_mode="Nœud",$T631*$H631,$R631))</f>
        <v/>
      </c>
      <c r="V631" s="14" t="str">
        <f aca="false">IF($D631&lt;&gt;1,"",IF(p_mode="Nœud",$T631*$I631,$S631))</f>
        <v/>
      </c>
      <c r="W631" s="84" t="str">
        <f aca="false">IF($D631&lt;&gt;1,"",IF(p_mode="Nœud",$T631*$K631,$R631*IF($G631="IKS",p_iks_cpu,p_roks_cpu)+$S631*IF($G631="IKS",p_iks_ram,p_roks_ram))*p_facteur)</f>
        <v/>
      </c>
      <c r="X631" s="14" t="str">
        <f aca="false">IF($D631&lt;&gt;1,"",IF($G631="ROKS",$R631,IF($AI631=1,0,MAX($N631,$L631-SUMIFS(TblApplications[CPU IKS libérable (vCPU)],TblApplications[Cluster IKS source],$F631,TblApplications[Action],"À migrer",TblApplications[Mois prov (calc)],"&lt;="&amp;$E631)-SUMIFS(TblApplications[CPU IKS libérable (vCPU)],TblApplications[Cluster IKS source],$F631,TblApplications[Action],"À décommissionner",TblApplications[Mois lib (calc)],"&lt;="&amp;$E631)))))</f>
        <v/>
      </c>
      <c r="Y631" s="14" t="str">
        <f aca="false">IF($D631&lt;&gt;1,"",IF($G631="ROKS",$S631,IF($AI631=1,0,MAX($O631,$M631-SUMIFS(TblApplications[RAM IKS libérable (Go)],TblApplications[Cluster IKS source],$F631,TblApplications[Action],"À migrer",TblApplications[Mois prov (calc)],"&lt;="&amp;$E631)-SUMIFS(TblApplications[RAM IKS libérable (Go)],TblApplications[Cluster IKS source],$F631,TblApplications[Action],"À décommissionner",TblApplications[Mois lib (calc)],"&lt;="&amp;$E631)))))</f>
        <v/>
      </c>
      <c r="Z631" s="14" t="str">
        <f aca="false">IF($D631&lt;&gt;1,"",IF($AI631=1,0,MAX($J631,ROUNDUP(MAX($X631/$H631,$Y631/$I631),0))))</f>
        <v/>
      </c>
      <c r="AA631" s="84" t="str">
        <f aca="false">IF($D631&lt;&gt;1,"",IF(p_mode="Nœud",$Z631*$K631,$X631*IF($G631="IKS",p_iks_cpu,p_roks_cpu)+$Y631*IF($G631="IKS",p_iks_ram,p_roks_ram))*p_facteur)</f>
        <v/>
      </c>
      <c r="AB631" s="14" t="str">
        <f aca="false">IF($D631&lt;&gt;1,"",MAX($J631,ROUNDUP(MAX($L631/$H631,$M631/$I631),0)))</f>
        <v/>
      </c>
      <c r="AC631" s="84" t="str">
        <f aca="false">IF($D631&lt;&gt;1,"",IF(p_mode="Nœud",$AB631*$K631,$L631*IF($G631="IKS",p_iks_cpu,p_roks_cpu)+$M631*IF($G631="IKS",p_iks_ram,p_roks_ram))*p_facteur)</f>
        <v/>
      </c>
      <c r="AD631" s="14" t="str">
        <f aca="false">IF($D631&lt;&gt;1,"",IF(AND($G631="IKS",$AI631&lt;&gt;1,OR($L631-$P631&lt;$N631,$M631-$Q631&lt;$O631)),1,0))</f>
        <v/>
      </c>
      <c r="AE631" s="14" t="str">
        <f aca="false">IF($D631&lt;&gt;1,"",IF(AND($G631="ROKS",$T631&gt;p_maxworkers),1,0))</f>
        <v/>
      </c>
      <c r="AF631" s="14" t="str">
        <f aca="false">IF($D631&lt;&gt;1,"",IF(INDEX(TblClusters[Environnement],$B631)="","(vide)",INDEX(TblClusters[Environnement],$B631)))</f>
        <v/>
      </c>
      <c r="AG631" s="14" t="str">
        <f aca="false">IF($D631&lt;&gt;1,"",$R631+p_poidsram*$S631)</f>
        <v/>
      </c>
      <c r="AH631" s="14" t="str">
        <f aca="false">IF($D631&lt;&gt;1,"",IFERROR($W631/$AG631,0))</f>
        <v/>
      </c>
      <c r="AI631" s="14" t="str">
        <f aca="false">IF($D631&lt;&gt;1,"",IF(AND($G631="IKS",ISNUMBER(INDEX(TblClusters[Fermeture retenue],$B631))),IF($E631&gt;=INDEX(TblClusters[Fermeture retenue],$B631),1,0),0))</f>
        <v/>
      </c>
    </row>
    <row r="632" customFormat="false" ht="15" hidden="false" customHeight="false" outlineLevel="0" collapsed="false">
      <c r="A632" s="14" t="n">
        <v>627</v>
      </c>
      <c r="B632" s="14" t="n">
        <f aca="false">INT(($A632-1)/36)+1</f>
        <v>18</v>
      </c>
      <c r="C632" s="14" t="n">
        <f aca="false">MOD($A632-1,36)+1</f>
        <v>15</v>
      </c>
      <c r="D632" s="14" t="n">
        <f aca="false">IF($C632&gt;p_horizon,0,IFERROR(IF(AND(INDEX(TblClusters[Cluster],$B632)&lt;&gt;"",ISNUMBER(INDEX(TblClusters[CPU initial (vCPU)],$B632)),ISNUMBER(INDEX(TblClusters[CPU min (vCPU)],$B632)),OR(INDEX(TblClusters[Plateforme],$B632)="IKS",INDEX(TblClusters[Plateforme],$B632)="ROKS")),1,0),0))</f>
        <v>0</v>
      </c>
      <c r="E632" s="83" t="str">
        <f aca="false">IF($D632=1,EDATE(p_debut,$C632-1),"")</f>
        <v/>
      </c>
      <c r="F632" s="14" t="str">
        <f aca="false">IF($D632=1,INDEX(TblClusters[Cluster],$B632),"")</f>
        <v/>
      </c>
      <c r="G632" s="14" t="str">
        <f aca="false">IF($D632=1,INDEX(TblClusters[Plateforme],$B632),"")</f>
        <v/>
      </c>
      <c r="H632" s="14" t="str">
        <f aca="false">IF($D632=1,INDEX(TblClusters[vCPU par nœud],$B632),"")</f>
        <v/>
      </c>
      <c r="I632" s="14" t="str">
        <f aca="false">IF($D632=1,INDEX(TblClusters[RAM par nœud (Go)],$B632),"")</f>
        <v/>
      </c>
      <c r="J632" s="14" t="str">
        <f aca="false">IF($D632=1,INDEX(TblClusters[Workers min],$B632),"")</f>
        <v/>
      </c>
      <c r="K632" s="84" t="str">
        <f aca="false">IF($D632=1,INDEX(TblClusters[Tarif par nœud],$B632),"")</f>
        <v/>
      </c>
      <c r="L632" s="14" t="str">
        <f aca="false">IF($D632=1,INDEX(TblClusters[CPU initial (vCPU)],$B632),"")</f>
        <v/>
      </c>
      <c r="M632" s="14" t="str">
        <f aca="false">IF($D632=1,INDEX(TblClusters[RAM initiale (Go)],$B632),"")</f>
        <v/>
      </c>
      <c r="N632" s="14" t="str">
        <f aca="false">IF($D632=1,INDEX(TblClusters[CPU min (vCPU)],$B632),"")</f>
        <v/>
      </c>
      <c r="O632" s="14" t="str">
        <f aca="false">IF($D632=1,INDEX(TblClusters[RAM min (Go)],$B632),"")</f>
        <v/>
      </c>
      <c r="P632" s="14" t="str">
        <f aca="false">IF($D632&lt;&gt;1,"",IF($G632="ROKS",SUMIFS(TblApplications[Besoin ROKS CPU (vCPU)],TblApplications[Cluster ROKS cible],$F632,TblApplications[Action],"À migrer",TblApplications[Déjà incluse ROKS],"Non",TblApplications[Mois prov (calc)],"&lt;="&amp;$E632),SUMIFS(TblApplications[CPU IKS libérable (vCPU)],TblApplications[Cluster IKS source],$F632,TblApplications[Mois lib (calc)],"&lt;="&amp;$E632)))</f>
        <v/>
      </c>
      <c r="Q632" s="14" t="str">
        <f aca="false">IF($D632&lt;&gt;1,"",IF($G632="ROKS",SUMIFS(TblApplications[Besoin ROKS RAM (Go)],TblApplications[Cluster ROKS cible],$F632,TblApplications[Action],"À migrer",TblApplications[Déjà incluse ROKS],"Non",TblApplications[Mois prov (calc)],"&lt;="&amp;$E632),SUMIFS(TblApplications[RAM IKS libérable (Go)],TblApplications[Cluster IKS source],$F632,TblApplications[Mois lib (calc)],"&lt;="&amp;$E632)))</f>
        <v/>
      </c>
      <c r="R632" s="14" t="str">
        <f aca="false">IF($D632&lt;&gt;1,"",IF($G632="ROKS",$L632+$P632,IF($AI632=1,0,MAX($N632,$L632-$P632))))</f>
        <v/>
      </c>
      <c r="S632" s="14" t="str">
        <f aca="false">IF($D632&lt;&gt;1,"",IF($G632="ROKS",$M632+$Q632,IF($AI632=1,0,MAX($O632,$M632-$Q632))))</f>
        <v/>
      </c>
      <c r="T632" s="14" t="str">
        <f aca="false">IF($D632&lt;&gt;1,"",IF($AI632=1,0,MAX($J632,ROUNDUP(MAX($R632/$H632,$S632/$I632),0))))</f>
        <v/>
      </c>
      <c r="U632" s="14" t="str">
        <f aca="false">IF($D632&lt;&gt;1,"",IF(p_mode="Nœud",$T632*$H632,$R632))</f>
        <v/>
      </c>
      <c r="V632" s="14" t="str">
        <f aca="false">IF($D632&lt;&gt;1,"",IF(p_mode="Nœud",$T632*$I632,$S632))</f>
        <v/>
      </c>
      <c r="W632" s="84" t="str">
        <f aca="false">IF($D632&lt;&gt;1,"",IF(p_mode="Nœud",$T632*$K632,$R632*IF($G632="IKS",p_iks_cpu,p_roks_cpu)+$S632*IF($G632="IKS",p_iks_ram,p_roks_ram))*p_facteur)</f>
        <v/>
      </c>
      <c r="X632" s="14" t="str">
        <f aca="false">IF($D632&lt;&gt;1,"",IF($G632="ROKS",$R632,IF($AI632=1,0,MAX($N632,$L632-SUMIFS(TblApplications[CPU IKS libérable (vCPU)],TblApplications[Cluster IKS source],$F632,TblApplications[Action],"À migrer",TblApplications[Mois prov (calc)],"&lt;="&amp;$E632)-SUMIFS(TblApplications[CPU IKS libérable (vCPU)],TblApplications[Cluster IKS source],$F632,TblApplications[Action],"À décommissionner",TblApplications[Mois lib (calc)],"&lt;="&amp;$E632)))))</f>
        <v/>
      </c>
      <c r="Y632" s="14" t="str">
        <f aca="false">IF($D632&lt;&gt;1,"",IF($G632="ROKS",$S632,IF($AI632=1,0,MAX($O632,$M632-SUMIFS(TblApplications[RAM IKS libérable (Go)],TblApplications[Cluster IKS source],$F632,TblApplications[Action],"À migrer",TblApplications[Mois prov (calc)],"&lt;="&amp;$E632)-SUMIFS(TblApplications[RAM IKS libérable (Go)],TblApplications[Cluster IKS source],$F632,TblApplications[Action],"À décommissionner",TblApplications[Mois lib (calc)],"&lt;="&amp;$E632)))))</f>
        <v/>
      </c>
      <c r="Z632" s="14" t="str">
        <f aca="false">IF($D632&lt;&gt;1,"",IF($AI632=1,0,MAX($J632,ROUNDUP(MAX($X632/$H632,$Y632/$I632),0))))</f>
        <v/>
      </c>
      <c r="AA632" s="84" t="str">
        <f aca="false">IF($D632&lt;&gt;1,"",IF(p_mode="Nœud",$Z632*$K632,$X632*IF($G632="IKS",p_iks_cpu,p_roks_cpu)+$Y632*IF($G632="IKS",p_iks_ram,p_roks_ram))*p_facteur)</f>
        <v/>
      </c>
      <c r="AB632" s="14" t="str">
        <f aca="false">IF($D632&lt;&gt;1,"",MAX($J632,ROUNDUP(MAX($L632/$H632,$M632/$I632),0)))</f>
        <v/>
      </c>
      <c r="AC632" s="84" t="str">
        <f aca="false">IF($D632&lt;&gt;1,"",IF(p_mode="Nœud",$AB632*$K632,$L632*IF($G632="IKS",p_iks_cpu,p_roks_cpu)+$M632*IF($G632="IKS",p_iks_ram,p_roks_ram))*p_facteur)</f>
        <v/>
      </c>
      <c r="AD632" s="14" t="str">
        <f aca="false">IF($D632&lt;&gt;1,"",IF(AND($G632="IKS",$AI632&lt;&gt;1,OR($L632-$P632&lt;$N632,$M632-$Q632&lt;$O632)),1,0))</f>
        <v/>
      </c>
      <c r="AE632" s="14" t="str">
        <f aca="false">IF($D632&lt;&gt;1,"",IF(AND($G632="ROKS",$T632&gt;p_maxworkers),1,0))</f>
        <v/>
      </c>
      <c r="AF632" s="14" t="str">
        <f aca="false">IF($D632&lt;&gt;1,"",IF(INDEX(TblClusters[Environnement],$B632)="","(vide)",INDEX(TblClusters[Environnement],$B632)))</f>
        <v/>
      </c>
      <c r="AG632" s="14" t="str">
        <f aca="false">IF($D632&lt;&gt;1,"",$R632+p_poidsram*$S632)</f>
        <v/>
      </c>
      <c r="AH632" s="14" t="str">
        <f aca="false">IF($D632&lt;&gt;1,"",IFERROR($W632/$AG632,0))</f>
        <v/>
      </c>
      <c r="AI632" s="14" t="str">
        <f aca="false">IF($D632&lt;&gt;1,"",IF(AND($G632="IKS",ISNUMBER(INDEX(TblClusters[Fermeture retenue],$B632))),IF($E632&gt;=INDEX(TblClusters[Fermeture retenue],$B632),1,0),0))</f>
        <v/>
      </c>
    </row>
    <row r="633" customFormat="false" ht="15" hidden="false" customHeight="false" outlineLevel="0" collapsed="false">
      <c r="A633" s="14" t="n">
        <v>628</v>
      </c>
      <c r="B633" s="14" t="n">
        <f aca="false">INT(($A633-1)/36)+1</f>
        <v>18</v>
      </c>
      <c r="C633" s="14" t="n">
        <f aca="false">MOD($A633-1,36)+1</f>
        <v>16</v>
      </c>
      <c r="D633" s="14" t="n">
        <f aca="false">IF($C633&gt;p_horizon,0,IFERROR(IF(AND(INDEX(TblClusters[Cluster],$B633)&lt;&gt;"",ISNUMBER(INDEX(TblClusters[CPU initial (vCPU)],$B633)),ISNUMBER(INDEX(TblClusters[CPU min (vCPU)],$B633)),OR(INDEX(TblClusters[Plateforme],$B633)="IKS",INDEX(TblClusters[Plateforme],$B633)="ROKS")),1,0),0))</f>
        <v>0</v>
      </c>
      <c r="E633" s="83" t="str">
        <f aca="false">IF($D633=1,EDATE(p_debut,$C633-1),"")</f>
        <v/>
      </c>
      <c r="F633" s="14" t="str">
        <f aca="false">IF($D633=1,INDEX(TblClusters[Cluster],$B633),"")</f>
        <v/>
      </c>
      <c r="G633" s="14" t="str">
        <f aca="false">IF($D633=1,INDEX(TblClusters[Plateforme],$B633),"")</f>
        <v/>
      </c>
      <c r="H633" s="14" t="str">
        <f aca="false">IF($D633=1,INDEX(TblClusters[vCPU par nœud],$B633),"")</f>
        <v/>
      </c>
      <c r="I633" s="14" t="str">
        <f aca="false">IF($D633=1,INDEX(TblClusters[RAM par nœud (Go)],$B633),"")</f>
        <v/>
      </c>
      <c r="J633" s="14" t="str">
        <f aca="false">IF($D633=1,INDEX(TblClusters[Workers min],$B633),"")</f>
        <v/>
      </c>
      <c r="K633" s="84" t="str">
        <f aca="false">IF($D633=1,INDEX(TblClusters[Tarif par nœud],$B633),"")</f>
        <v/>
      </c>
      <c r="L633" s="14" t="str">
        <f aca="false">IF($D633=1,INDEX(TblClusters[CPU initial (vCPU)],$B633),"")</f>
        <v/>
      </c>
      <c r="M633" s="14" t="str">
        <f aca="false">IF($D633=1,INDEX(TblClusters[RAM initiale (Go)],$B633),"")</f>
        <v/>
      </c>
      <c r="N633" s="14" t="str">
        <f aca="false">IF($D633=1,INDEX(TblClusters[CPU min (vCPU)],$B633),"")</f>
        <v/>
      </c>
      <c r="O633" s="14" t="str">
        <f aca="false">IF($D633=1,INDEX(TblClusters[RAM min (Go)],$B633),"")</f>
        <v/>
      </c>
      <c r="P633" s="14" t="str">
        <f aca="false">IF($D633&lt;&gt;1,"",IF($G633="ROKS",SUMIFS(TblApplications[Besoin ROKS CPU (vCPU)],TblApplications[Cluster ROKS cible],$F633,TblApplications[Action],"À migrer",TblApplications[Déjà incluse ROKS],"Non",TblApplications[Mois prov (calc)],"&lt;="&amp;$E633),SUMIFS(TblApplications[CPU IKS libérable (vCPU)],TblApplications[Cluster IKS source],$F633,TblApplications[Mois lib (calc)],"&lt;="&amp;$E633)))</f>
        <v/>
      </c>
      <c r="Q633" s="14" t="str">
        <f aca="false">IF($D633&lt;&gt;1,"",IF($G633="ROKS",SUMIFS(TblApplications[Besoin ROKS RAM (Go)],TblApplications[Cluster ROKS cible],$F633,TblApplications[Action],"À migrer",TblApplications[Déjà incluse ROKS],"Non",TblApplications[Mois prov (calc)],"&lt;="&amp;$E633),SUMIFS(TblApplications[RAM IKS libérable (Go)],TblApplications[Cluster IKS source],$F633,TblApplications[Mois lib (calc)],"&lt;="&amp;$E633)))</f>
        <v/>
      </c>
      <c r="R633" s="14" t="str">
        <f aca="false">IF($D633&lt;&gt;1,"",IF($G633="ROKS",$L633+$P633,IF($AI633=1,0,MAX($N633,$L633-$P633))))</f>
        <v/>
      </c>
      <c r="S633" s="14" t="str">
        <f aca="false">IF($D633&lt;&gt;1,"",IF($G633="ROKS",$M633+$Q633,IF($AI633=1,0,MAX($O633,$M633-$Q633))))</f>
        <v/>
      </c>
      <c r="T633" s="14" t="str">
        <f aca="false">IF($D633&lt;&gt;1,"",IF($AI633=1,0,MAX($J633,ROUNDUP(MAX($R633/$H633,$S633/$I633),0))))</f>
        <v/>
      </c>
      <c r="U633" s="14" t="str">
        <f aca="false">IF($D633&lt;&gt;1,"",IF(p_mode="Nœud",$T633*$H633,$R633))</f>
        <v/>
      </c>
      <c r="V633" s="14" t="str">
        <f aca="false">IF($D633&lt;&gt;1,"",IF(p_mode="Nœud",$T633*$I633,$S633))</f>
        <v/>
      </c>
      <c r="W633" s="84" t="str">
        <f aca="false">IF($D633&lt;&gt;1,"",IF(p_mode="Nœud",$T633*$K633,$R633*IF($G633="IKS",p_iks_cpu,p_roks_cpu)+$S633*IF($G633="IKS",p_iks_ram,p_roks_ram))*p_facteur)</f>
        <v/>
      </c>
      <c r="X633" s="14" t="str">
        <f aca="false">IF($D633&lt;&gt;1,"",IF($G633="ROKS",$R633,IF($AI633=1,0,MAX($N633,$L633-SUMIFS(TblApplications[CPU IKS libérable (vCPU)],TblApplications[Cluster IKS source],$F633,TblApplications[Action],"À migrer",TblApplications[Mois prov (calc)],"&lt;="&amp;$E633)-SUMIFS(TblApplications[CPU IKS libérable (vCPU)],TblApplications[Cluster IKS source],$F633,TblApplications[Action],"À décommissionner",TblApplications[Mois lib (calc)],"&lt;="&amp;$E633)))))</f>
        <v/>
      </c>
      <c r="Y633" s="14" t="str">
        <f aca="false">IF($D633&lt;&gt;1,"",IF($G633="ROKS",$S633,IF($AI633=1,0,MAX($O633,$M633-SUMIFS(TblApplications[RAM IKS libérable (Go)],TblApplications[Cluster IKS source],$F633,TblApplications[Action],"À migrer",TblApplications[Mois prov (calc)],"&lt;="&amp;$E633)-SUMIFS(TblApplications[RAM IKS libérable (Go)],TblApplications[Cluster IKS source],$F633,TblApplications[Action],"À décommissionner",TblApplications[Mois lib (calc)],"&lt;="&amp;$E633)))))</f>
        <v/>
      </c>
      <c r="Z633" s="14" t="str">
        <f aca="false">IF($D633&lt;&gt;1,"",IF($AI633=1,0,MAX($J633,ROUNDUP(MAX($X633/$H633,$Y633/$I633),0))))</f>
        <v/>
      </c>
      <c r="AA633" s="84" t="str">
        <f aca="false">IF($D633&lt;&gt;1,"",IF(p_mode="Nœud",$Z633*$K633,$X633*IF($G633="IKS",p_iks_cpu,p_roks_cpu)+$Y633*IF($G633="IKS",p_iks_ram,p_roks_ram))*p_facteur)</f>
        <v/>
      </c>
      <c r="AB633" s="14" t="str">
        <f aca="false">IF($D633&lt;&gt;1,"",MAX($J633,ROUNDUP(MAX($L633/$H633,$M633/$I633),0)))</f>
        <v/>
      </c>
      <c r="AC633" s="84" t="str">
        <f aca="false">IF($D633&lt;&gt;1,"",IF(p_mode="Nœud",$AB633*$K633,$L633*IF($G633="IKS",p_iks_cpu,p_roks_cpu)+$M633*IF($G633="IKS",p_iks_ram,p_roks_ram))*p_facteur)</f>
        <v/>
      </c>
      <c r="AD633" s="14" t="str">
        <f aca="false">IF($D633&lt;&gt;1,"",IF(AND($G633="IKS",$AI633&lt;&gt;1,OR($L633-$P633&lt;$N633,$M633-$Q633&lt;$O633)),1,0))</f>
        <v/>
      </c>
      <c r="AE633" s="14" t="str">
        <f aca="false">IF($D633&lt;&gt;1,"",IF(AND($G633="ROKS",$T633&gt;p_maxworkers),1,0))</f>
        <v/>
      </c>
      <c r="AF633" s="14" t="str">
        <f aca="false">IF($D633&lt;&gt;1,"",IF(INDEX(TblClusters[Environnement],$B633)="","(vide)",INDEX(TblClusters[Environnement],$B633)))</f>
        <v/>
      </c>
      <c r="AG633" s="14" t="str">
        <f aca="false">IF($D633&lt;&gt;1,"",$R633+p_poidsram*$S633)</f>
        <v/>
      </c>
      <c r="AH633" s="14" t="str">
        <f aca="false">IF($D633&lt;&gt;1,"",IFERROR($W633/$AG633,0))</f>
        <v/>
      </c>
      <c r="AI633" s="14" t="str">
        <f aca="false">IF($D633&lt;&gt;1,"",IF(AND($G633="IKS",ISNUMBER(INDEX(TblClusters[Fermeture retenue],$B633))),IF($E633&gt;=INDEX(TblClusters[Fermeture retenue],$B633),1,0),0))</f>
        <v/>
      </c>
    </row>
    <row r="634" customFormat="false" ht="15" hidden="false" customHeight="false" outlineLevel="0" collapsed="false">
      <c r="A634" s="14" t="n">
        <v>629</v>
      </c>
      <c r="B634" s="14" t="n">
        <f aca="false">INT(($A634-1)/36)+1</f>
        <v>18</v>
      </c>
      <c r="C634" s="14" t="n">
        <f aca="false">MOD($A634-1,36)+1</f>
        <v>17</v>
      </c>
      <c r="D634" s="14" t="n">
        <f aca="false">IF($C634&gt;p_horizon,0,IFERROR(IF(AND(INDEX(TblClusters[Cluster],$B634)&lt;&gt;"",ISNUMBER(INDEX(TblClusters[CPU initial (vCPU)],$B634)),ISNUMBER(INDEX(TblClusters[CPU min (vCPU)],$B634)),OR(INDEX(TblClusters[Plateforme],$B634)="IKS",INDEX(TblClusters[Plateforme],$B634)="ROKS")),1,0),0))</f>
        <v>0</v>
      </c>
      <c r="E634" s="83" t="str">
        <f aca="false">IF($D634=1,EDATE(p_debut,$C634-1),"")</f>
        <v/>
      </c>
      <c r="F634" s="14" t="str">
        <f aca="false">IF($D634=1,INDEX(TblClusters[Cluster],$B634),"")</f>
        <v/>
      </c>
      <c r="G634" s="14" t="str">
        <f aca="false">IF($D634=1,INDEX(TblClusters[Plateforme],$B634),"")</f>
        <v/>
      </c>
      <c r="H634" s="14" t="str">
        <f aca="false">IF($D634=1,INDEX(TblClusters[vCPU par nœud],$B634),"")</f>
        <v/>
      </c>
      <c r="I634" s="14" t="str">
        <f aca="false">IF($D634=1,INDEX(TblClusters[RAM par nœud (Go)],$B634),"")</f>
        <v/>
      </c>
      <c r="J634" s="14" t="str">
        <f aca="false">IF($D634=1,INDEX(TblClusters[Workers min],$B634),"")</f>
        <v/>
      </c>
      <c r="K634" s="84" t="str">
        <f aca="false">IF($D634=1,INDEX(TblClusters[Tarif par nœud],$B634),"")</f>
        <v/>
      </c>
      <c r="L634" s="14" t="str">
        <f aca="false">IF($D634=1,INDEX(TblClusters[CPU initial (vCPU)],$B634),"")</f>
        <v/>
      </c>
      <c r="M634" s="14" t="str">
        <f aca="false">IF($D634=1,INDEX(TblClusters[RAM initiale (Go)],$B634),"")</f>
        <v/>
      </c>
      <c r="N634" s="14" t="str">
        <f aca="false">IF($D634=1,INDEX(TblClusters[CPU min (vCPU)],$B634),"")</f>
        <v/>
      </c>
      <c r="O634" s="14" t="str">
        <f aca="false">IF($D634=1,INDEX(TblClusters[RAM min (Go)],$B634),"")</f>
        <v/>
      </c>
      <c r="P634" s="14" t="str">
        <f aca="false">IF($D634&lt;&gt;1,"",IF($G634="ROKS",SUMIFS(TblApplications[Besoin ROKS CPU (vCPU)],TblApplications[Cluster ROKS cible],$F634,TblApplications[Action],"À migrer",TblApplications[Déjà incluse ROKS],"Non",TblApplications[Mois prov (calc)],"&lt;="&amp;$E634),SUMIFS(TblApplications[CPU IKS libérable (vCPU)],TblApplications[Cluster IKS source],$F634,TblApplications[Mois lib (calc)],"&lt;="&amp;$E634)))</f>
        <v/>
      </c>
      <c r="Q634" s="14" t="str">
        <f aca="false">IF($D634&lt;&gt;1,"",IF($G634="ROKS",SUMIFS(TblApplications[Besoin ROKS RAM (Go)],TblApplications[Cluster ROKS cible],$F634,TblApplications[Action],"À migrer",TblApplications[Déjà incluse ROKS],"Non",TblApplications[Mois prov (calc)],"&lt;="&amp;$E634),SUMIFS(TblApplications[RAM IKS libérable (Go)],TblApplications[Cluster IKS source],$F634,TblApplications[Mois lib (calc)],"&lt;="&amp;$E634)))</f>
        <v/>
      </c>
      <c r="R634" s="14" t="str">
        <f aca="false">IF($D634&lt;&gt;1,"",IF($G634="ROKS",$L634+$P634,IF($AI634=1,0,MAX($N634,$L634-$P634))))</f>
        <v/>
      </c>
      <c r="S634" s="14" t="str">
        <f aca="false">IF($D634&lt;&gt;1,"",IF($G634="ROKS",$M634+$Q634,IF($AI634=1,0,MAX($O634,$M634-$Q634))))</f>
        <v/>
      </c>
      <c r="T634" s="14" t="str">
        <f aca="false">IF($D634&lt;&gt;1,"",IF($AI634=1,0,MAX($J634,ROUNDUP(MAX($R634/$H634,$S634/$I634),0))))</f>
        <v/>
      </c>
      <c r="U634" s="14" t="str">
        <f aca="false">IF($D634&lt;&gt;1,"",IF(p_mode="Nœud",$T634*$H634,$R634))</f>
        <v/>
      </c>
      <c r="V634" s="14" t="str">
        <f aca="false">IF($D634&lt;&gt;1,"",IF(p_mode="Nœud",$T634*$I634,$S634))</f>
        <v/>
      </c>
      <c r="W634" s="84" t="str">
        <f aca="false">IF($D634&lt;&gt;1,"",IF(p_mode="Nœud",$T634*$K634,$R634*IF($G634="IKS",p_iks_cpu,p_roks_cpu)+$S634*IF($G634="IKS",p_iks_ram,p_roks_ram))*p_facteur)</f>
        <v/>
      </c>
      <c r="X634" s="14" t="str">
        <f aca="false">IF($D634&lt;&gt;1,"",IF($G634="ROKS",$R634,IF($AI634=1,0,MAX($N634,$L634-SUMIFS(TblApplications[CPU IKS libérable (vCPU)],TblApplications[Cluster IKS source],$F634,TblApplications[Action],"À migrer",TblApplications[Mois prov (calc)],"&lt;="&amp;$E634)-SUMIFS(TblApplications[CPU IKS libérable (vCPU)],TblApplications[Cluster IKS source],$F634,TblApplications[Action],"À décommissionner",TblApplications[Mois lib (calc)],"&lt;="&amp;$E634)))))</f>
        <v/>
      </c>
      <c r="Y634" s="14" t="str">
        <f aca="false">IF($D634&lt;&gt;1,"",IF($G634="ROKS",$S634,IF($AI634=1,0,MAX($O634,$M634-SUMIFS(TblApplications[RAM IKS libérable (Go)],TblApplications[Cluster IKS source],$F634,TblApplications[Action],"À migrer",TblApplications[Mois prov (calc)],"&lt;="&amp;$E634)-SUMIFS(TblApplications[RAM IKS libérable (Go)],TblApplications[Cluster IKS source],$F634,TblApplications[Action],"À décommissionner",TblApplications[Mois lib (calc)],"&lt;="&amp;$E634)))))</f>
        <v/>
      </c>
      <c r="Z634" s="14" t="str">
        <f aca="false">IF($D634&lt;&gt;1,"",IF($AI634=1,0,MAX($J634,ROUNDUP(MAX($X634/$H634,$Y634/$I634),0))))</f>
        <v/>
      </c>
      <c r="AA634" s="84" t="str">
        <f aca="false">IF($D634&lt;&gt;1,"",IF(p_mode="Nœud",$Z634*$K634,$X634*IF($G634="IKS",p_iks_cpu,p_roks_cpu)+$Y634*IF($G634="IKS",p_iks_ram,p_roks_ram))*p_facteur)</f>
        <v/>
      </c>
      <c r="AB634" s="14" t="str">
        <f aca="false">IF($D634&lt;&gt;1,"",MAX($J634,ROUNDUP(MAX($L634/$H634,$M634/$I634),0)))</f>
        <v/>
      </c>
      <c r="AC634" s="84" t="str">
        <f aca="false">IF($D634&lt;&gt;1,"",IF(p_mode="Nœud",$AB634*$K634,$L634*IF($G634="IKS",p_iks_cpu,p_roks_cpu)+$M634*IF($G634="IKS",p_iks_ram,p_roks_ram))*p_facteur)</f>
        <v/>
      </c>
      <c r="AD634" s="14" t="str">
        <f aca="false">IF($D634&lt;&gt;1,"",IF(AND($G634="IKS",$AI634&lt;&gt;1,OR($L634-$P634&lt;$N634,$M634-$Q634&lt;$O634)),1,0))</f>
        <v/>
      </c>
      <c r="AE634" s="14" t="str">
        <f aca="false">IF($D634&lt;&gt;1,"",IF(AND($G634="ROKS",$T634&gt;p_maxworkers),1,0))</f>
        <v/>
      </c>
      <c r="AF634" s="14" t="str">
        <f aca="false">IF($D634&lt;&gt;1,"",IF(INDEX(TblClusters[Environnement],$B634)="","(vide)",INDEX(TblClusters[Environnement],$B634)))</f>
        <v/>
      </c>
      <c r="AG634" s="14" t="str">
        <f aca="false">IF($D634&lt;&gt;1,"",$R634+p_poidsram*$S634)</f>
        <v/>
      </c>
      <c r="AH634" s="14" t="str">
        <f aca="false">IF($D634&lt;&gt;1,"",IFERROR($W634/$AG634,0))</f>
        <v/>
      </c>
      <c r="AI634" s="14" t="str">
        <f aca="false">IF($D634&lt;&gt;1,"",IF(AND($G634="IKS",ISNUMBER(INDEX(TblClusters[Fermeture retenue],$B634))),IF($E634&gt;=INDEX(TblClusters[Fermeture retenue],$B634),1,0),0))</f>
        <v/>
      </c>
    </row>
    <row r="635" customFormat="false" ht="15" hidden="false" customHeight="false" outlineLevel="0" collapsed="false">
      <c r="A635" s="14" t="n">
        <v>630</v>
      </c>
      <c r="B635" s="14" t="n">
        <f aca="false">INT(($A635-1)/36)+1</f>
        <v>18</v>
      </c>
      <c r="C635" s="14" t="n">
        <f aca="false">MOD($A635-1,36)+1</f>
        <v>18</v>
      </c>
      <c r="D635" s="14" t="n">
        <f aca="false">IF($C635&gt;p_horizon,0,IFERROR(IF(AND(INDEX(TblClusters[Cluster],$B635)&lt;&gt;"",ISNUMBER(INDEX(TblClusters[CPU initial (vCPU)],$B635)),ISNUMBER(INDEX(TblClusters[CPU min (vCPU)],$B635)),OR(INDEX(TblClusters[Plateforme],$B635)="IKS",INDEX(TblClusters[Plateforme],$B635)="ROKS")),1,0),0))</f>
        <v>0</v>
      </c>
      <c r="E635" s="83" t="str">
        <f aca="false">IF($D635=1,EDATE(p_debut,$C635-1),"")</f>
        <v/>
      </c>
      <c r="F635" s="14" t="str">
        <f aca="false">IF($D635=1,INDEX(TblClusters[Cluster],$B635),"")</f>
        <v/>
      </c>
      <c r="G635" s="14" t="str">
        <f aca="false">IF($D635=1,INDEX(TblClusters[Plateforme],$B635),"")</f>
        <v/>
      </c>
      <c r="H635" s="14" t="str">
        <f aca="false">IF($D635=1,INDEX(TblClusters[vCPU par nœud],$B635),"")</f>
        <v/>
      </c>
      <c r="I635" s="14" t="str">
        <f aca="false">IF($D635=1,INDEX(TblClusters[RAM par nœud (Go)],$B635),"")</f>
        <v/>
      </c>
      <c r="J635" s="14" t="str">
        <f aca="false">IF($D635=1,INDEX(TblClusters[Workers min],$B635),"")</f>
        <v/>
      </c>
      <c r="K635" s="84" t="str">
        <f aca="false">IF($D635=1,INDEX(TblClusters[Tarif par nœud],$B635),"")</f>
        <v/>
      </c>
      <c r="L635" s="14" t="str">
        <f aca="false">IF($D635=1,INDEX(TblClusters[CPU initial (vCPU)],$B635),"")</f>
        <v/>
      </c>
      <c r="M635" s="14" t="str">
        <f aca="false">IF($D635=1,INDEX(TblClusters[RAM initiale (Go)],$B635),"")</f>
        <v/>
      </c>
      <c r="N635" s="14" t="str">
        <f aca="false">IF($D635=1,INDEX(TblClusters[CPU min (vCPU)],$B635),"")</f>
        <v/>
      </c>
      <c r="O635" s="14" t="str">
        <f aca="false">IF($D635=1,INDEX(TblClusters[RAM min (Go)],$B635),"")</f>
        <v/>
      </c>
      <c r="P635" s="14" t="str">
        <f aca="false">IF($D635&lt;&gt;1,"",IF($G635="ROKS",SUMIFS(TblApplications[Besoin ROKS CPU (vCPU)],TblApplications[Cluster ROKS cible],$F635,TblApplications[Action],"À migrer",TblApplications[Déjà incluse ROKS],"Non",TblApplications[Mois prov (calc)],"&lt;="&amp;$E635),SUMIFS(TblApplications[CPU IKS libérable (vCPU)],TblApplications[Cluster IKS source],$F635,TblApplications[Mois lib (calc)],"&lt;="&amp;$E635)))</f>
        <v/>
      </c>
      <c r="Q635" s="14" t="str">
        <f aca="false">IF($D635&lt;&gt;1,"",IF($G635="ROKS",SUMIFS(TblApplications[Besoin ROKS RAM (Go)],TblApplications[Cluster ROKS cible],$F635,TblApplications[Action],"À migrer",TblApplications[Déjà incluse ROKS],"Non",TblApplications[Mois prov (calc)],"&lt;="&amp;$E635),SUMIFS(TblApplications[RAM IKS libérable (Go)],TblApplications[Cluster IKS source],$F635,TblApplications[Mois lib (calc)],"&lt;="&amp;$E635)))</f>
        <v/>
      </c>
      <c r="R635" s="14" t="str">
        <f aca="false">IF($D635&lt;&gt;1,"",IF($G635="ROKS",$L635+$P635,IF($AI635=1,0,MAX($N635,$L635-$P635))))</f>
        <v/>
      </c>
      <c r="S635" s="14" t="str">
        <f aca="false">IF($D635&lt;&gt;1,"",IF($G635="ROKS",$M635+$Q635,IF($AI635=1,0,MAX($O635,$M635-$Q635))))</f>
        <v/>
      </c>
      <c r="T635" s="14" t="str">
        <f aca="false">IF($D635&lt;&gt;1,"",IF($AI635=1,0,MAX($J635,ROUNDUP(MAX($R635/$H635,$S635/$I635),0))))</f>
        <v/>
      </c>
      <c r="U635" s="14" t="str">
        <f aca="false">IF($D635&lt;&gt;1,"",IF(p_mode="Nœud",$T635*$H635,$R635))</f>
        <v/>
      </c>
      <c r="V635" s="14" t="str">
        <f aca="false">IF($D635&lt;&gt;1,"",IF(p_mode="Nœud",$T635*$I635,$S635))</f>
        <v/>
      </c>
      <c r="W635" s="84" t="str">
        <f aca="false">IF($D635&lt;&gt;1,"",IF(p_mode="Nœud",$T635*$K635,$R635*IF($G635="IKS",p_iks_cpu,p_roks_cpu)+$S635*IF($G635="IKS",p_iks_ram,p_roks_ram))*p_facteur)</f>
        <v/>
      </c>
      <c r="X635" s="14" t="str">
        <f aca="false">IF($D635&lt;&gt;1,"",IF($G635="ROKS",$R635,IF($AI635=1,0,MAX($N635,$L635-SUMIFS(TblApplications[CPU IKS libérable (vCPU)],TblApplications[Cluster IKS source],$F635,TblApplications[Action],"À migrer",TblApplications[Mois prov (calc)],"&lt;="&amp;$E635)-SUMIFS(TblApplications[CPU IKS libérable (vCPU)],TblApplications[Cluster IKS source],$F635,TblApplications[Action],"À décommissionner",TblApplications[Mois lib (calc)],"&lt;="&amp;$E635)))))</f>
        <v/>
      </c>
      <c r="Y635" s="14" t="str">
        <f aca="false">IF($D635&lt;&gt;1,"",IF($G635="ROKS",$S635,IF($AI635=1,0,MAX($O635,$M635-SUMIFS(TblApplications[RAM IKS libérable (Go)],TblApplications[Cluster IKS source],$F635,TblApplications[Action],"À migrer",TblApplications[Mois prov (calc)],"&lt;="&amp;$E635)-SUMIFS(TblApplications[RAM IKS libérable (Go)],TblApplications[Cluster IKS source],$F635,TblApplications[Action],"À décommissionner",TblApplications[Mois lib (calc)],"&lt;="&amp;$E635)))))</f>
        <v/>
      </c>
      <c r="Z635" s="14" t="str">
        <f aca="false">IF($D635&lt;&gt;1,"",IF($AI635=1,0,MAX($J635,ROUNDUP(MAX($X635/$H635,$Y635/$I635),0))))</f>
        <v/>
      </c>
      <c r="AA635" s="84" t="str">
        <f aca="false">IF($D635&lt;&gt;1,"",IF(p_mode="Nœud",$Z635*$K635,$X635*IF($G635="IKS",p_iks_cpu,p_roks_cpu)+$Y635*IF($G635="IKS",p_iks_ram,p_roks_ram))*p_facteur)</f>
        <v/>
      </c>
      <c r="AB635" s="14" t="str">
        <f aca="false">IF($D635&lt;&gt;1,"",MAX($J635,ROUNDUP(MAX($L635/$H635,$M635/$I635),0)))</f>
        <v/>
      </c>
      <c r="AC635" s="84" t="str">
        <f aca="false">IF($D635&lt;&gt;1,"",IF(p_mode="Nœud",$AB635*$K635,$L635*IF($G635="IKS",p_iks_cpu,p_roks_cpu)+$M635*IF($G635="IKS",p_iks_ram,p_roks_ram))*p_facteur)</f>
        <v/>
      </c>
      <c r="AD635" s="14" t="str">
        <f aca="false">IF($D635&lt;&gt;1,"",IF(AND($G635="IKS",$AI635&lt;&gt;1,OR($L635-$P635&lt;$N635,$M635-$Q635&lt;$O635)),1,0))</f>
        <v/>
      </c>
      <c r="AE635" s="14" t="str">
        <f aca="false">IF($D635&lt;&gt;1,"",IF(AND($G635="ROKS",$T635&gt;p_maxworkers),1,0))</f>
        <v/>
      </c>
      <c r="AF635" s="14" t="str">
        <f aca="false">IF($D635&lt;&gt;1,"",IF(INDEX(TblClusters[Environnement],$B635)="","(vide)",INDEX(TblClusters[Environnement],$B635)))</f>
        <v/>
      </c>
      <c r="AG635" s="14" t="str">
        <f aca="false">IF($D635&lt;&gt;1,"",$R635+p_poidsram*$S635)</f>
        <v/>
      </c>
      <c r="AH635" s="14" t="str">
        <f aca="false">IF($D635&lt;&gt;1,"",IFERROR($W635/$AG635,0))</f>
        <v/>
      </c>
      <c r="AI635" s="14" t="str">
        <f aca="false">IF($D635&lt;&gt;1,"",IF(AND($G635="IKS",ISNUMBER(INDEX(TblClusters[Fermeture retenue],$B635))),IF($E635&gt;=INDEX(TblClusters[Fermeture retenue],$B635),1,0),0))</f>
        <v/>
      </c>
    </row>
    <row r="636" customFormat="false" ht="15" hidden="false" customHeight="false" outlineLevel="0" collapsed="false">
      <c r="A636" s="14" t="n">
        <v>631</v>
      </c>
      <c r="B636" s="14" t="n">
        <f aca="false">INT(($A636-1)/36)+1</f>
        <v>18</v>
      </c>
      <c r="C636" s="14" t="n">
        <f aca="false">MOD($A636-1,36)+1</f>
        <v>19</v>
      </c>
      <c r="D636" s="14" t="n">
        <f aca="false">IF($C636&gt;p_horizon,0,IFERROR(IF(AND(INDEX(TblClusters[Cluster],$B636)&lt;&gt;"",ISNUMBER(INDEX(TblClusters[CPU initial (vCPU)],$B636)),ISNUMBER(INDEX(TblClusters[CPU min (vCPU)],$B636)),OR(INDEX(TblClusters[Plateforme],$B636)="IKS",INDEX(TblClusters[Plateforme],$B636)="ROKS")),1,0),0))</f>
        <v>0</v>
      </c>
      <c r="E636" s="83" t="str">
        <f aca="false">IF($D636=1,EDATE(p_debut,$C636-1),"")</f>
        <v/>
      </c>
      <c r="F636" s="14" t="str">
        <f aca="false">IF($D636=1,INDEX(TblClusters[Cluster],$B636),"")</f>
        <v/>
      </c>
      <c r="G636" s="14" t="str">
        <f aca="false">IF($D636=1,INDEX(TblClusters[Plateforme],$B636),"")</f>
        <v/>
      </c>
      <c r="H636" s="14" t="str">
        <f aca="false">IF($D636=1,INDEX(TblClusters[vCPU par nœud],$B636),"")</f>
        <v/>
      </c>
      <c r="I636" s="14" t="str">
        <f aca="false">IF($D636=1,INDEX(TblClusters[RAM par nœud (Go)],$B636),"")</f>
        <v/>
      </c>
      <c r="J636" s="14" t="str">
        <f aca="false">IF($D636=1,INDEX(TblClusters[Workers min],$B636),"")</f>
        <v/>
      </c>
      <c r="K636" s="84" t="str">
        <f aca="false">IF($D636=1,INDEX(TblClusters[Tarif par nœud],$B636),"")</f>
        <v/>
      </c>
      <c r="L636" s="14" t="str">
        <f aca="false">IF($D636=1,INDEX(TblClusters[CPU initial (vCPU)],$B636),"")</f>
        <v/>
      </c>
      <c r="M636" s="14" t="str">
        <f aca="false">IF($D636=1,INDEX(TblClusters[RAM initiale (Go)],$B636),"")</f>
        <v/>
      </c>
      <c r="N636" s="14" t="str">
        <f aca="false">IF($D636=1,INDEX(TblClusters[CPU min (vCPU)],$B636),"")</f>
        <v/>
      </c>
      <c r="O636" s="14" t="str">
        <f aca="false">IF($D636=1,INDEX(TblClusters[RAM min (Go)],$B636),"")</f>
        <v/>
      </c>
      <c r="P636" s="14" t="str">
        <f aca="false">IF($D636&lt;&gt;1,"",IF($G636="ROKS",SUMIFS(TblApplications[Besoin ROKS CPU (vCPU)],TblApplications[Cluster ROKS cible],$F636,TblApplications[Action],"À migrer",TblApplications[Déjà incluse ROKS],"Non",TblApplications[Mois prov (calc)],"&lt;="&amp;$E636),SUMIFS(TblApplications[CPU IKS libérable (vCPU)],TblApplications[Cluster IKS source],$F636,TblApplications[Mois lib (calc)],"&lt;="&amp;$E636)))</f>
        <v/>
      </c>
      <c r="Q636" s="14" t="str">
        <f aca="false">IF($D636&lt;&gt;1,"",IF($G636="ROKS",SUMIFS(TblApplications[Besoin ROKS RAM (Go)],TblApplications[Cluster ROKS cible],$F636,TblApplications[Action],"À migrer",TblApplications[Déjà incluse ROKS],"Non",TblApplications[Mois prov (calc)],"&lt;="&amp;$E636),SUMIFS(TblApplications[RAM IKS libérable (Go)],TblApplications[Cluster IKS source],$F636,TblApplications[Mois lib (calc)],"&lt;="&amp;$E636)))</f>
        <v/>
      </c>
      <c r="R636" s="14" t="str">
        <f aca="false">IF($D636&lt;&gt;1,"",IF($G636="ROKS",$L636+$P636,IF($AI636=1,0,MAX($N636,$L636-$P636))))</f>
        <v/>
      </c>
      <c r="S636" s="14" t="str">
        <f aca="false">IF($D636&lt;&gt;1,"",IF($G636="ROKS",$M636+$Q636,IF($AI636=1,0,MAX($O636,$M636-$Q636))))</f>
        <v/>
      </c>
      <c r="T636" s="14" t="str">
        <f aca="false">IF($D636&lt;&gt;1,"",IF($AI636=1,0,MAX($J636,ROUNDUP(MAX($R636/$H636,$S636/$I636),0))))</f>
        <v/>
      </c>
      <c r="U636" s="14" t="str">
        <f aca="false">IF($D636&lt;&gt;1,"",IF(p_mode="Nœud",$T636*$H636,$R636))</f>
        <v/>
      </c>
      <c r="V636" s="14" t="str">
        <f aca="false">IF($D636&lt;&gt;1,"",IF(p_mode="Nœud",$T636*$I636,$S636))</f>
        <v/>
      </c>
      <c r="W636" s="84" t="str">
        <f aca="false">IF($D636&lt;&gt;1,"",IF(p_mode="Nœud",$T636*$K636,$R636*IF($G636="IKS",p_iks_cpu,p_roks_cpu)+$S636*IF($G636="IKS",p_iks_ram,p_roks_ram))*p_facteur)</f>
        <v/>
      </c>
      <c r="X636" s="14" t="str">
        <f aca="false">IF($D636&lt;&gt;1,"",IF($G636="ROKS",$R636,IF($AI636=1,0,MAX($N636,$L636-SUMIFS(TblApplications[CPU IKS libérable (vCPU)],TblApplications[Cluster IKS source],$F636,TblApplications[Action],"À migrer",TblApplications[Mois prov (calc)],"&lt;="&amp;$E636)-SUMIFS(TblApplications[CPU IKS libérable (vCPU)],TblApplications[Cluster IKS source],$F636,TblApplications[Action],"À décommissionner",TblApplications[Mois lib (calc)],"&lt;="&amp;$E636)))))</f>
        <v/>
      </c>
      <c r="Y636" s="14" t="str">
        <f aca="false">IF($D636&lt;&gt;1,"",IF($G636="ROKS",$S636,IF($AI636=1,0,MAX($O636,$M636-SUMIFS(TblApplications[RAM IKS libérable (Go)],TblApplications[Cluster IKS source],$F636,TblApplications[Action],"À migrer",TblApplications[Mois prov (calc)],"&lt;="&amp;$E636)-SUMIFS(TblApplications[RAM IKS libérable (Go)],TblApplications[Cluster IKS source],$F636,TblApplications[Action],"À décommissionner",TblApplications[Mois lib (calc)],"&lt;="&amp;$E636)))))</f>
        <v/>
      </c>
      <c r="Z636" s="14" t="str">
        <f aca="false">IF($D636&lt;&gt;1,"",IF($AI636=1,0,MAX($J636,ROUNDUP(MAX($X636/$H636,$Y636/$I636),0))))</f>
        <v/>
      </c>
      <c r="AA636" s="84" t="str">
        <f aca="false">IF($D636&lt;&gt;1,"",IF(p_mode="Nœud",$Z636*$K636,$X636*IF($G636="IKS",p_iks_cpu,p_roks_cpu)+$Y636*IF($G636="IKS",p_iks_ram,p_roks_ram))*p_facteur)</f>
        <v/>
      </c>
      <c r="AB636" s="14" t="str">
        <f aca="false">IF($D636&lt;&gt;1,"",MAX($J636,ROUNDUP(MAX($L636/$H636,$M636/$I636),0)))</f>
        <v/>
      </c>
      <c r="AC636" s="84" t="str">
        <f aca="false">IF($D636&lt;&gt;1,"",IF(p_mode="Nœud",$AB636*$K636,$L636*IF($G636="IKS",p_iks_cpu,p_roks_cpu)+$M636*IF($G636="IKS",p_iks_ram,p_roks_ram))*p_facteur)</f>
        <v/>
      </c>
      <c r="AD636" s="14" t="str">
        <f aca="false">IF($D636&lt;&gt;1,"",IF(AND($G636="IKS",$AI636&lt;&gt;1,OR($L636-$P636&lt;$N636,$M636-$Q636&lt;$O636)),1,0))</f>
        <v/>
      </c>
      <c r="AE636" s="14" t="str">
        <f aca="false">IF($D636&lt;&gt;1,"",IF(AND($G636="ROKS",$T636&gt;p_maxworkers),1,0))</f>
        <v/>
      </c>
      <c r="AF636" s="14" t="str">
        <f aca="false">IF($D636&lt;&gt;1,"",IF(INDEX(TblClusters[Environnement],$B636)="","(vide)",INDEX(TblClusters[Environnement],$B636)))</f>
        <v/>
      </c>
      <c r="AG636" s="14" t="str">
        <f aca="false">IF($D636&lt;&gt;1,"",$R636+p_poidsram*$S636)</f>
        <v/>
      </c>
      <c r="AH636" s="14" t="str">
        <f aca="false">IF($D636&lt;&gt;1,"",IFERROR($W636/$AG636,0))</f>
        <v/>
      </c>
      <c r="AI636" s="14" t="str">
        <f aca="false">IF($D636&lt;&gt;1,"",IF(AND($G636="IKS",ISNUMBER(INDEX(TblClusters[Fermeture retenue],$B636))),IF($E636&gt;=INDEX(TblClusters[Fermeture retenue],$B636),1,0),0))</f>
        <v/>
      </c>
    </row>
    <row r="637" customFormat="false" ht="15" hidden="false" customHeight="false" outlineLevel="0" collapsed="false">
      <c r="A637" s="14" t="n">
        <v>632</v>
      </c>
      <c r="B637" s="14" t="n">
        <f aca="false">INT(($A637-1)/36)+1</f>
        <v>18</v>
      </c>
      <c r="C637" s="14" t="n">
        <f aca="false">MOD($A637-1,36)+1</f>
        <v>20</v>
      </c>
      <c r="D637" s="14" t="n">
        <f aca="false">IF($C637&gt;p_horizon,0,IFERROR(IF(AND(INDEX(TblClusters[Cluster],$B637)&lt;&gt;"",ISNUMBER(INDEX(TblClusters[CPU initial (vCPU)],$B637)),ISNUMBER(INDEX(TblClusters[CPU min (vCPU)],$B637)),OR(INDEX(TblClusters[Plateforme],$B637)="IKS",INDEX(TblClusters[Plateforme],$B637)="ROKS")),1,0),0))</f>
        <v>0</v>
      </c>
      <c r="E637" s="83" t="str">
        <f aca="false">IF($D637=1,EDATE(p_debut,$C637-1),"")</f>
        <v/>
      </c>
      <c r="F637" s="14" t="str">
        <f aca="false">IF($D637=1,INDEX(TblClusters[Cluster],$B637),"")</f>
        <v/>
      </c>
      <c r="G637" s="14" t="str">
        <f aca="false">IF($D637=1,INDEX(TblClusters[Plateforme],$B637),"")</f>
        <v/>
      </c>
      <c r="H637" s="14" t="str">
        <f aca="false">IF($D637=1,INDEX(TblClusters[vCPU par nœud],$B637),"")</f>
        <v/>
      </c>
      <c r="I637" s="14" t="str">
        <f aca="false">IF($D637=1,INDEX(TblClusters[RAM par nœud (Go)],$B637),"")</f>
        <v/>
      </c>
      <c r="J637" s="14" t="str">
        <f aca="false">IF($D637=1,INDEX(TblClusters[Workers min],$B637),"")</f>
        <v/>
      </c>
      <c r="K637" s="84" t="str">
        <f aca="false">IF($D637=1,INDEX(TblClusters[Tarif par nœud],$B637),"")</f>
        <v/>
      </c>
      <c r="L637" s="14" t="str">
        <f aca="false">IF($D637=1,INDEX(TblClusters[CPU initial (vCPU)],$B637),"")</f>
        <v/>
      </c>
      <c r="M637" s="14" t="str">
        <f aca="false">IF($D637=1,INDEX(TblClusters[RAM initiale (Go)],$B637),"")</f>
        <v/>
      </c>
      <c r="N637" s="14" t="str">
        <f aca="false">IF($D637=1,INDEX(TblClusters[CPU min (vCPU)],$B637),"")</f>
        <v/>
      </c>
      <c r="O637" s="14" t="str">
        <f aca="false">IF($D637=1,INDEX(TblClusters[RAM min (Go)],$B637),"")</f>
        <v/>
      </c>
      <c r="P637" s="14" t="str">
        <f aca="false">IF($D637&lt;&gt;1,"",IF($G637="ROKS",SUMIFS(TblApplications[Besoin ROKS CPU (vCPU)],TblApplications[Cluster ROKS cible],$F637,TblApplications[Action],"À migrer",TblApplications[Déjà incluse ROKS],"Non",TblApplications[Mois prov (calc)],"&lt;="&amp;$E637),SUMIFS(TblApplications[CPU IKS libérable (vCPU)],TblApplications[Cluster IKS source],$F637,TblApplications[Mois lib (calc)],"&lt;="&amp;$E637)))</f>
        <v/>
      </c>
      <c r="Q637" s="14" t="str">
        <f aca="false">IF($D637&lt;&gt;1,"",IF($G637="ROKS",SUMIFS(TblApplications[Besoin ROKS RAM (Go)],TblApplications[Cluster ROKS cible],$F637,TblApplications[Action],"À migrer",TblApplications[Déjà incluse ROKS],"Non",TblApplications[Mois prov (calc)],"&lt;="&amp;$E637),SUMIFS(TblApplications[RAM IKS libérable (Go)],TblApplications[Cluster IKS source],$F637,TblApplications[Mois lib (calc)],"&lt;="&amp;$E637)))</f>
        <v/>
      </c>
      <c r="R637" s="14" t="str">
        <f aca="false">IF($D637&lt;&gt;1,"",IF($G637="ROKS",$L637+$P637,IF($AI637=1,0,MAX($N637,$L637-$P637))))</f>
        <v/>
      </c>
      <c r="S637" s="14" t="str">
        <f aca="false">IF($D637&lt;&gt;1,"",IF($G637="ROKS",$M637+$Q637,IF($AI637=1,0,MAX($O637,$M637-$Q637))))</f>
        <v/>
      </c>
      <c r="T637" s="14" t="str">
        <f aca="false">IF($D637&lt;&gt;1,"",IF($AI637=1,0,MAX($J637,ROUNDUP(MAX($R637/$H637,$S637/$I637),0))))</f>
        <v/>
      </c>
      <c r="U637" s="14" t="str">
        <f aca="false">IF($D637&lt;&gt;1,"",IF(p_mode="Nœud",$T637*$H637,$R637))</f>
        <v/>
      </c>
      <c r="V637" s="14" t="str">
        <f aca="false">IF($D637&lt;&gt;1,"",IF(p_mode="Nœud",$T637*$I637,$S637))</f>
        <v/>
      </c>
      <c r="W637" s="84" t="str">
        <f aca="false">IF($D637&lt;&gt;1,"",IF(p_mode="Nœud",$T637*$K637,$R637*IF($G637="IKS",p_iks_cpu,p_roks_cpu)+$S637*IF($G637="IKS",p_iks_ram,p_roks_ram))*p_facteur)</f>
        <v/>
      </c>
      <c r="X637" s="14" t="str">
        <f aca="false">IF($D637&lt;&gt;1,"",IF($G637="ROKS",$R637,IF($AI637=1,0,MAX($N637,$L637-SUMIFS(TblApplications[CPU IKS libérable (vCPU)],TblApplications[Cluster IKS source],$F637,TblApplications[Action],"À migrer",TblApplications[Mois prov (calc)],"&lt;="&amp;$E637)-SUMIFS(TblApplications[CPU IKS libérable (vCPU)],TblApplications[Cluster IKS source],$F637,TblApplications[Action],"À décommissionner",TblApplications[Mois lib (calc)],"&lt;="&amp;$E637)))))</f>
        <v/>
      </c>
      <c r="Y637" s="14" t="str">
        <f aca="false">IF($D637&lt;&gt;1,"",IF($G637="ROKS",$S637,IF($AI637=1,0,MAX($O637,$M637-SUMIFS(TblApplications[RAM IKS libérable (Go)],TblApplications[Cluster IKS source],$F637,TblApplications[Action],"À migrer",TblApplications[Mois prov (calc)],"&lt;="&amp;$E637)-SUMIFS(TblApplications[RAM IKS libérable (Go)],TblApplications[Cluster IKS source],$F637,TblApplications[Action],"À décommissionner",TblApplications[Mois lib (calc)],"&lt;="&amp;$E637)))))</f>
        <v/>
      </c>
      <c r="Z637" s="14" t="str">
        <f aca="false">IF($D637&lt;&gt;1,"",IF($AI637=1,0,MAX($J637,ROUNDUP(MAX($X637/$H637,$Y637/$I637),0))))</f>
        <v/>
      </c>
      <c r="AA637" s="84" t="str">
        <f aca="false">IF($D637&lt;&gt;1,"",IF(p_mode="Nœud",$Z637*$K637,$X637*IF($G637="IKS",p_iks_cpu,p_roks_cpu)+$Y637*IF($G637="IKS",p_iks_ram,p_roks_ram))*p_facteur)</f>
        <v/>
      </c>
      <c r="AB637" s="14" t="str">
        <f aca="false">IF($D637&lt;&gt;1,"",MAX($J637,ROUNDUP(MAX($L637/$H637,$M637/$I637),0)))</f>
        <v/>
      </c>
      <c r="AC637" s="84" t="str">
        <f aca="false">IF($D637&lt;&gt;1,"",IF(p_mode="Nœud",$AB637*$K637,$L637*IF($G637="IKS",p_iks_cpu,p_roks_cpu)+$M637*IF($G637="IKS",p_iks_ram,p_roks_ram))*p_facteur)</f>
        <v/>
      </c>
      <c r="AD637" s="14" t="str">
        <f aca="false">IF($D637&lt;&gt;1,"",IF(AND($G637="IKS",$AI637&lt;&gt;1,OR($L637-$P637&lt;$N637,$M637-$Q637&lt;$O637)),1,0))</f>
        <v/>
      </c>
      <c r="AE637" s="14" t="str">
        <f aca="false">IF($D637&lt;&gt;1,"",IF(AND($G637="ROKS",$T637&gt;p_maxworkers),1,0))</f>
        <v/>
      </c>
      <c r="AF637" s="14" t="str">
        <f aca="false">IF($D637&lt;&gt;1,"",IF(INDEX(TblClusters[Environnement],$B637)="","(vide)",INDEX(TblClusters[Environnement],$B637)))</f>
        <v/>
      </c>
      <c r="AG637" s="14" t="str">
        <f aca="false">IF($D637&lt;&gt;1,"",$R637+p_poidsram*$S637)</f>
        <v/>
      </c>
      <c r="AH637" s="14" t="str">
        <f aca="false">IF($D637&lt;&gt;1,"",IFERROR($W637/$AG637,0))</f>
        <v/>
      </c>
      <c r="AI637" s="14" t="str">
        <f aca="false">IF($D637&lt;&gt;1,"",IF(AND($G637="IKS",ISNUMBER(INDEX(TblClusters[Fermeture retenue],$B637))),IF($E637&gt;=INDEX(TblClusters[Fermeture retenue],$B637),1,0),0))</f>
        <v/>
      </c>
    </row>
    <row r="638" customFormat="false" ht="15" hidden="false" customHeight="false" outlineLevel="0" collapsed="false">
      <c r="A638" s="14" t="n">
        <v>633</v>
      </c>
      <c r="B638" s="14" t="n">
        <f aca="false">INT(($A638-1)/36)+1</f>
        <v>18</v>
      </c>
      <c r="C638" s="14" t="n">
        <f aca="false">MOD($A638-1,36)+1</f>
        <v>21</v>
      </c>
      <c r="D638" s="14" t="n">
        <f aca="false">IF($C638&gt;p_horizon,0,IFERROR(IF(AND(INDEX(TblClusters[Cluster],$B638)&lt;&gt;"",ISNUMBER(INDEX(TblClusters[CPU initial (vCPU)],$B638)),ISNUMBER(INDEX(TblClusters[CPU min (vCPU)],$B638)),OR(INDEX(TblClusters[Plateforme],$B638)="IKS",INDEX(TblClusters[Plateforme],$B638)="ROKS")),1,0),0))</f>
        <v>0</v>
      </c>
      <c r="E638" s="83" t="str">
        <f aca="false">IF($D638=1,EDATE(p_debut,$C638-1),"")</f>
        <v/>
      </c>
      <c r="F638" s="14" t="str">
        <f aca="false">IF($D638=1,INDEX(TblClusters[Cluster],$B638),"")</f>
        <v/>
      </c>
      <c r="G638" s="14" t="str">
        <f aca="false">IF($D638=1,INDEX(TblClusters[Plateforme],$B638),"")</f>
        <v/>
      </c>
      <c r="H638" s="14" t="str">
        <f aca="false">IF($D638=1,INDEX(TblClusters[vCPU par nœud],$B638),"")</f>
        <v/>
      </c>
      <c r="I638" s="14" t="str">
        <f aca="false">IF($D638=1,INDEX(TblClusters[RAM par nœud (Go)],$B638),"")</f>
        <v/>
      </c>
      <c r="J638" s="14" t="str">
        <f aca="false">IF($D638=1,INDEX(TblClusters[Workers min],$B638),"")</f>
        <v/>
      </c>
      <c r="K638" s="84" t="str">
        <f aca="false">IF($D638=1,INDEX(TblClusters[Tarif par nœud],$B638),"")</f>
        <v/>
      </c>
      <c r="L638" s="14" t="str">
        <f aca="false">IF($D638=1,INDEX(TblClusters[CPU initial (vCPU)],$B638),"")</f>
        <v/>
      </c>
      <c r="M638" s="14" t="str">
        <f aca="false">IF($D638=1,INDEX(TblClusters[RAM initiale (Go)],$B638),"")</f>
        <v/>
      </c>
      <c r="N638" s="14" t="str">
        <f aca="false">IF($D638=1,INDEX(TblClusters[CPU min (vCPU)],$B638),"")</f>
        <v/>
      </c>
      <c r="O638" s="14" t="str">
        <f aca="false">IF($D638=1,INDEX(TblClusters[RAM min (Go)],$B638),"")</f>
        <v/>
      </c>
      <c r="P638" s="14" t="str">
        <f aca="false">IF($D638&lt;&gt;1,"",IF($G638="ROKS",SUMIFS(TblApplications[Besoin ROKS CPU (vCPU)],TblApplications[Cluster ROKS cible],$F638,TblApplications[Action],"À migrer",TblApplications[Déjà incluse ROKS],"Non",TblApplications[Mois prov (calc)],"&lt;="&amp;$E638),SUMIFS(TblApplications[CPU IKS libérable (vCPU)],TblApplications[Cluster IKS source],$F638,TblApplications[Mois lib (calc)],"&lt;="&amp;$E638)))</f>
        <v/>
      </c>
      <c r="Q638" s="14" t="str">
        <f aca="false">IF($D638&lt;&gt;1,"",IF($G638="ROKS",SUMIFS(TblApplications[Besoin ROKS RAM (Go)],TblApplications[Cluster ROKS cible],$F638,TblApplications[Action],"À migrer",TblApplications[Déjà incluse ROKS],"Non",TblApplications[Mois prov (calc)],"&lt;="&amp;$E638),SUMIFS(TblApplications[RAM IKS libérable (Go)],TblApplications[Cluster IKS source],$F638,TblApplications[Mois lib (calc)],"&lt;="&amp;$E638)))</f>
        <v/>
      </c>
      <c r="R638" s="14" t="str">
        <f aca="false">IF($D638&lt;&gt;1,"",IF($G638="ROKS",$L638+$P638,IF($AI638=1,0,MAX($N638,$L638-$P638))))</f>
        <v/>
      </c>
      <c r="S638" s="14" t="str">
        <f aca="false">IF($D638&lt;&gt;1,"",IF($G638="ROKS",$M638+$Q638,IF($AI638=1,0,MAX($O638,$M638-$Q638))))</f>
        <v/>
      </c>
      <c r="T638" s="14" t="str">
        <f aca="false">IF($D638&lt;&gt;1,"",IF($AI638=1,0,MAX($J638,ROUNDUP(MAX($R638/$H638,$S638/$I638),0))))</f>
        <v/>
      </c>
      <c r="U638" s="14" t="str">
        <f aca="false">IF($D638&lt;&gt;1,"",IF(p_mode="Nœud",$T638*$H638,$R638))</f>
        <v/>
      </c>
      <c r="V638" s="14" t="str">
        <f aca="false">IF($D638&lt;&gt;1,"",IF(p_mode="Nœud",$T638*$I638,$S638))</f>
        <v/>
      </c>
      <c r="W638" s="84" t="str">
        <f aca="false">IF($D638&lt;&gt;1,"",IF(p_mode="Nœud",$T638*$K638,$R638*IF($G638="IKS",p_iks_cpu,p_roks_cpu)+$S638*IF($G638="IKS",p_iks_ram,p_roks_ram))*p_facteur)</f>
        <v/>
      </c>
      <c r="X638" s="14" t="str">
        <f aca="false">IF($D638&lt;&gt;1,"",IF($G638="ROKS",$R638,IF($AI638=1,0,MAX($N638,$L638-SUMIFS(TblApplications[CPU IKS libérable (vCPU)],TblApplications[Cluster IKS source],$F638,TblApplications[Action],"À migrer",TblApplications[Mois prov (calc)],"&lt;="&amp;$E638)-SUMIFS(TblApplications[CPU IKS libérable (vCPU)],TblApplications[Cluster IKS source],$F638,TblApplications[Action],"À décommissionner",TblApplications[Mois lib (calc)],"&lt;="&amp;$E638)))))</f>
        <v/>
      </c>
      <c r="Y638" s="14" t="str">
        <f aca="false">IF($D638&lt;&gt;1,"",IF($G638="ROKS",$S638,IF($AI638=1,0,MAX($O638,$M638-SUMIFS(TblApplications[RAM IKS libérable (Go)],TblApplications[Cluster IKS source],$F638,TblApplications[Action],"À migrer",TblApplications[Mois prov (calc)],"&lt;="&amp;$E638)-SUMIFS(TblApplications[RAM IKS libérable (Go)],TblApplications[Cluster IKS source],$F638,TblApplications[Action],"À décommissionner",TblApplications[Mois lib (calc)],"&lt;="&amp;$E638)))))</f>
        <v/>
      </c>
      <c r="Z638" s="14" t="str">
        <f aca="false">IF($D638&lt;&gt;1,"",IF($AI638=1,0,MAX($J638,ROUNDUP(MAX($X638/$H638,$Y638/$I638),0))))</f>
        <v/>
      </c>
      <c r="AA638" s="84" t="str">
        <f aca="false">IF($D638&lt;&gt;1,"",IF(p_mode="Nœud",$Z638*$K638,$X638*IF($G638="IKS",p_iks_cpu,p_roks_cpu)+$Y638*IF($G638="IKS",p_iks_ram,p_roks_ram))*p_facteur)</f>
        <v/>
      </c>
      <c r="AB638" s="14" t="str">
        <f aca="false">IF($D638&lt;&gt;1,"",MAX($J638,ROUNDUP(MAX($L638/$H638,$M638/$I638),0)))</f>
        <v/>
      </c>
      <c r="AC638" s="84" t="str">
        <f aca="false">IF($D638&lt;&gt;1,"",IF(p_mode="Nœud",$AB638*$K638,$L638*IF($G638="IKS",p_iks_cpu,p_roks_cpu)+$M638*IF($G638="IKS",p_iks_ram,p_roks_ram))*p_facteur)</f>
        <v/>
      </c>
      <c r="AD638" s="14" t="str">
        <f aca="false">IF($D638&lt;&gt;1,"",IF(AND($G638="IKS",$AI638&lt;&gt;1,OR($L638-$P638&lt;$N638,$M638-$Q638&lt;$O638)),1,0))</f>
        <v/>
      </c>
      <c r="AE638" s="14" t="str">
        <f aca="false">IF($D638&lt;&gt;1,"",IF(AND($G638="ROKS",$T638&gt;p_maxworkers),1,0))</f>
        <v/>
      </c>
      <c r="AF638" s="14" t="str">
        <f aca="false">IF($D638&lt;&gt;1,"",IF(INDEX(TblClusters[Environnement],$B638)="","(vide)",INDEX(TblClusters[Environnement],$B638)))</f>
        <v/>
      </c>
      <c r="AG638" s="14" t="str">
        <f aca="false">IF($D638&lt;&gt;1,"",$R638+p_poidsram*$S638)</f>
        <v/>
      </c>
      <c r="AH638" s="14" t="str">
        <f aca="false">IF($D638&lt;&gt;1,"",IFERROR($W638/$AG638,0))</f>
        <v/>
      </c>
      <c r="AI638" s="14" t="str">
        <f aca="false">IF($D638&lt;&gt;1,"",IF(AND($G638="IKS",ISNUMBER(INDEX(TblClusters[Fermeture retenue],$B638))),IF($E638&gt;=INDEX(TblClusters[Fermeture retenue],$B638),1,0),0))</f>
        <v/>
      </c>
    </row>
    <row r="639" customFormat="false" ht="15" hidden="false" customHeight="false" outlineLevel="0" collapsed="false">
      <c r="A639" s="14" t="n">
        <v>634</v>
      </c>
      <c r="B639" s="14" t="n">
        <f aca="false">INT(($A639-1)/36)+1</f>
        <v>18</v>
      </c>
      <c r="C639" s="14" t="n">
        <f aca="false">MOD($A639-1,36)+1</f>
        <v>22</v>
      </c>
      <c r="D639" s="14" t="n">
        <f aca="false">IF($C639&gt;p_horizon,0,IFERROR(IF(AND(INDEX(TblClusters[Cluster],$B639)&lt;&gt;"",ISNUMBER(INDEX(TblClusters[CPU initial (vCPU)],$B639)),ISNUMBER(INDEX(TblClusters[CPU min (vCPU)],$B639)),OR(INDEX(TblClusters[Plateforme],$B639)="IKS",INDEX(TblClusters[Plateforme],$B639)="ROKS")),1,0),0))</f>
        <v>0</v>
      </c>
      <c r="E639" s="83" t="str">
        <f aca="false">IF($D639=1,EDATE(p_debut,$C639-1),"")</f>
        <v/>
      </c>
      <c r="F639" s="14" t="str">
        <f aca="false">IF($D639=1,INDEX(TblClusters[Cluster],$B639),"")</f>
        <v/>
      </c>
      <c r="G639" s="14" t="str">
        <f aca="false">IF($D639=1,INDEX(TblClusters[Plateforme],$B639),"")</f>
        <v/>
      </c>
      <c r="H639" s="14" t="str">
        <f aca="false">IF($D639=1,INDEX(TblClusters[vCPU par nœud],$B639),"")</f>
        <v/>
      </c>
      <c r="I639" s="14" t="str">
        <f aca="false">IF($D639=1,INDEX(TblClusters[RAM par nœud (Go)],$B639),"")</f>
        <v/>
      </c>
      <c r="J639" s="14" t="str">
        <f aca="false">IF($D639=1,INDEX(TblClusters[Workers min],$B639),"")</f>
        <v/>
      </c>
      <c r="K639" s="84" t="str">
        <f aca="false">IF($D639=1,INDEX(TblClusters[Tarif par nœud],$B639),"")</f>
        <v/>
      </c>
      <c r="L639" s="14" t="str">
        <f aca="false">IF($D639=1,INDEX(TblClusters[CPU initial (vCPU)],$B639),"")</f>
        <v/>
      </c>
      <c r="M639" s="14" t="str">
        <f aca="false">IF($D639=1,INDEX(TblClusters[RAM initiale (Go)],$B639),"")</f>
        <v/>
      </c>
      <c r="N639" s="14" t="str">
        <f aca="false">IF($D639=1,INDEX(TblClusters[CPU min (vCPU)],$B639),"")</f>
        <v/>
      </c>
      <c r="O639" s="14" t="str">
        <f aca="false">IF($D639=1,INDEX(TblClusters[RAM min (Go)],$B639),"")</f>
        <v/>
      </c>
      <c r="P639" s="14" t="str">
        <f aca="false">IF($D639&lt;&gt;1,"",IF($G639="ROKS",SUMIFS(TblApplications[Besoin ROKS CPU (vCPU)],TblApplications[Cluster ROKS cible],$F639,TblApplications[Action],"À migrer",TblApplications[Déjà incluse ROKS],"Non",TblApplications[Mois prov (calc)],"&lt;="&amp;$E639),SUMIFS(TblApplications[CPU IKS libérable (vCPU)],TblApplications[Cluster IKS source],$F639,TblApplications[Mois lib (calc)],"&lt;="&amp;$E639)))</f>
        <v/>
      </c>
      <c r="Q639" s="14" t="str">
        <f aca="false">IF($D639&lt;&gt;1,"",IF($G639="ROKS",SUMIFS(TblApplications[Besoin ROKS RAM (Go)],TblApplications[Cluster ROKS cible],$F639,TblApplications[Action],"À migrer",TblApplications[Déjà incluse ROKS],"Non",TblApplications[Mois prov (calc)],"&lt;="&amp;$E639),SUMIFS(TblApplications[RAM IKS libérable (Go)],TblApplications[Cluster IKS source],$F639,TblApplications[Mois lib (calc)],"&lt;="&amp;$E639)))</f>
        <v/>
      </c>
      <c r="R639" s="14" t="str">
        <f aca="false">IF($D639&lt;&gt;1,"",IF($G639="ROKS",$L639+$P639,IF($AI639=1,0,MAX($N639,$L639-$P639))))</f>
        <v/>
      </c>
      <c r="S639" s="14" t="str">
        <f aca="false">IF($D639&lt;&gt;1,"",IF($G639="ROKS",$M639+$Q639,IF($AI639=1,0,MAX($O639,$M639-$Q639))))</f>
        <v/>
      </c>
      <c r="T639" s="14" t="str">
        <f aca="false">IF($D639&lt;&gt;1,"",IF($AI639=1,0,MAX($J639,ROUNDUP(MAX($R639/$H639,$S639/$I639),0))))</f>
        <v/>
      </c>
      <c r="U639" s="14" t="str">
        <f aca="false">IF($D639&lt;&gt;1,"",IF(p_mode="Nœud",$T639*$H639,$R639))</f>
        <v/>
      </c>
      <c r="V639" s="14" t="str">
        <f aca="false">IF($D639&lt;&gt;1,"",IF(p_mode="Nœud",$T639*$I639,$S639))</f>
        <v/>
      </c>
      <c r="W639" s="84" t="str">
        <f aca="false">IF($D639&lt;&gt;1,"",IF(p_mode="Nœud",$T639*$K639,$R639*IF($G639="IKS",p_iks_cpu,p_roks_cpu)+$S639*IF($G639="IKS",p_iks_ram,p_roks_ram))*p_facteur)</f>
        <v/>
      </c>
      <c r="X639" s="14" t="str">
        <f aca="false">IF($D639&lt;&gt;1,"",IF($G639="ROKS",$R639,IF($AI639=1,0,MAX($N639,$L639-SUMIFS(TblApplications[CPU IKS libérable (vCPU)],TblApplications[Cluster IKS source],$F639,TblApplications[Action],"À migrer",TblApplications[Mois prov (calc)],"&lt;="&amp;$E639)-SUMIFS(TblApplications[CPU IKS libérable (vCPU)],TblApplications[Cluster IKS source],$F639,TblApplications[Action],"À décommissionner",TblApplications[Mois lib (calc)],"&lt;="&amp;$E639)))))</f>
        <v/>
      </c>
      <c r="Y639" s="14" t="str">
        <f aca="false">IF($D639&lt;&gt;1,"",IF($G639="ROKS",$S639,IF($AI639=1,0,MAX($O639,$M639-SUMIFS(TblApplications[RAM IKS libérable (Go)],TblApplications[Cluster IKS source],$F639,TblApplications[Action],"À migrer",TblApplications[Mois prov (calc)],"&lt;="&amp;$E639)-SUMIFS(TblApplications[RAM IKS libérable (Go)],TblApplications[Cluster IKS source],$F639,TblApplications[Action],"À décommissionner",TblApplications[Mois lib (calc)],"&lt;="&amp;$E639)))))</f>
        <v/>
      </c>
      <c r="Z639" s="14" t="str">
        <f aca="false">IF($D639&lt;&gt;1,"",IF($AI639=1,0,MAX($J639,ROUNDUP(MAX($X639/$H639,$Y639/$I639),0))))</f>
        <v/>
      </c>
      <c r="AA639" s="84" t="str">
        <f aca="false">IF($D639&lt;&gt;1,"",IF(p_mode="Nœud",$Z639*$K639,$X639*IF($G639="IKS",p_iks_cpu,p_roks_cpu)+$Y639*IF($G639="IKS",p_iks_ram,p_roks_ram))*p_facteur)</f>
        <v/>
      </c>
      <c r="AB639" s="14" t="str">
        <f aca="false">IF($D639&lt;&gt;1,"",MAX($J639,ROUNDUP(MAX($L639/$H639,$M639/$I639),0)))</f>
        <v/>
      </c>
      <c r="AC639" s="84" t="str">
        <f aca="false">IF($D639&lt;&gt;1,"",IF(p_mode="Nœud",$AB639*$K639,$L639*IF($G639="IKS",p_iks_cpu,p_roks_cpu)+$M639*IF($G639="IKS",p_iks_ram,p_roks_ram))*p_facteur)</f>
        <v/>
      </c>
      <c r="AD639" s="14" t="str">
        <f aca="false">IF($D639&lt;&gt;1,"",IF(AND($G639="IKS",$AI639&lt;&gt;1,OR($L639-$P639&lt;$N639,$M639-$Q639&lt;$O639)),1,0))</f>
        <v/>
      </c>
      <c r="AE639" s="14" t="str">
        <f aca="false">IF($D639&lt;&gt;1,"",IF(AND($G639="ROKS",$T639&gt;p_maxworkers),1,0))</f>
        <v/>
      </c>
      <c r="AF639" s="14" t="str">
        <f aca="false">IF($D639&lt;&gt;1,"",IF(INDEX(TblClusters[Environnement],$B639)="","(vide)",INDEX(TblClusters[Environnement],$B639)))</f>
        <v/>
      </c>
      <c r="AG639" s="14" t="str">
        <f aca="false">IF($D639&lt;&gt;1,"",$R639+p_poidsram*$S639)</f>
        <v/>
      </c>
      <c r="AH639" s="14" t="str">
        <f aca="false">IF($D639&lt;&gt;1,"",IFERROR($W639/$AG639,0))</f>
        <v/>
      </c>
      <c r="AI639" s="14" t="str">
        <f aca="false">IF($D639&lt;&gt;1,"",IF(AND($G639="IKS",ISNUMBER(INDEX(TblClusters[Fermeture retenue],$B639))),IF($E639&gt;=INDEX(TblClusters[Fermeture retenue],$B639),1,0),0))</f>
        <v/>
      </c>
    </row>
    <row r="640" customFormat="false" ht="15" hidden="false" customHeight="false" outlineLevel="0" collapsed="false">
      <c r="A640" s="14" t="n">
        <v>635</v>
      </c>
      <c r="B640" s="14" t="n">
        <f aca="false">INT(($A640-1)/36)+1</f>
        <v>18</v>
      </c>
      <c r="C640" s="14" t="n">
        <f aca="false">MOD($A640-1,36)+1</f>
        <v>23</v>
      </c>
      <c r="D640" s="14" t="n">
        <f aca="false">IF($C640&gt;p_horizon,0,IFERROR(IF(AND(INDEX(TblClusters[Cluster],$B640)&lt;&gt;"",ISNUMBER(INDEX(TblClusters[CPU initial (vCPU)],$B640)),ISNUMBER(INDEX(TblClusters[CPU min (vCPU)],$B640)),OR(INDEX(TblClusters[Plateforme],$B640)="IKS",INDEX(TblClusters[Plateforme],$B640)="ROKS")),1,0),0))</f>
        <v>0</v>
      </c>
      <c r="E640" s="83" t="str">
        <f aca="false">IF($D640=1,EDATE(p_debut,$C640-1),"")</f>
        <v/>
      </c>
      <c r="F640" s="14" t="str">
        <f aca="false">IF($D640=1,INDEX(TblClusters[Cluster],$B640),"")</f>
        <v/>
      </c>
      <c r="G640" s="14" t="str">
        <f aca="false">IF($D640=1,INDEX(TblClusters[Plateforme],$B640),"")</f>
        <v/>
      </c>
      <c r="H640" s="14" t="str">
        <f aca="false">IF($D640=1,INDEX(TblClusters[vCPU par nœud],$B640),"")</f>
        <v/>
      </c>
      <c r="I640" s="14" t="str">
        <f aca="false">IF($D640=1,INDEX(TblClusters[RAM par nœud (Go)],$B640),"")</f>
        <v/>
      </c>
      <c r="J640" s="14" t="str">
        <f aca="false">IF($D640=1,INDEX(TblClusters[Workers min],$B640),"")</f>
        <v/>
      </c>
      <c r="K640" s="84" t="str">
        <f aca="false">IF($D640=1,INDEX(TblClusters[Tarif par nœud],$B640),"")</f>
        <v/>
      </c>
      <c r="L640" s="14" t="str">
        <f aca="false">IF($D640=1,INDEX(TblClusters[CPU initial (vCPU)],$B640),"")</f>
        <v/>
      </c>
      <c r="M640" s="14" t="str">
        <f aca="false">IF($D640=1,INDEX(TblClusters[RAM initiale (Go)],$B640),"")</f>
        <v/>
      </c>
      <c r="N640" s="14" t="str">
        <f aca="false">IF($D640=1,INDEX(TblClusters[CPU min (vCPU)],$B640),"")</f>
        <v/>
      </c>
      <c r="O640" s="14" t="str">
        <f aca="false">IF($D640=1,INDEX(TblClusters[RAM min (Go)],$B640),"")</f>
        <v/>
      </c>
      <c r="P640" s="14" t="str">
        <f aca="false">IF($D640&lt;&gt;1,"",IF($G640="ROKS",SUMIFS(TblApplications[Besoin ROKS CPU (vCPU)],TblApplications[Cluster ROKS cible],$F640,TblApplications[Action],"À migrer",TblApplications[Déjà incluse ROKS],"Non",TblApplications[Mois prov (calc)],"&lt;="&amp;$E640),SUMIFS(TblApplications[CPU IKS libérable (vCPU)],TblApplications[Cluster IKS source],$F640,TblApplications[Mois lib (calc)],"&lt;="&amp;$E640)))</f>
        <v/>
      </c>
      <c r="Q640" s="14" t="str">
        <f aca="false">IF($D640&lt;&gt;1,"",IF($G640="ROKS",SUMIFS(TblApplications[Besoin ROKS RAM (Go)],TblApplications[Cluster ROKS cible],$F640,TblApplications[Action],"À migrer",TblApplications[Déjà incluse ROKS],"Non",TblApplications[Mois prov (calc)],"&lt;="&amp;$E640),SUMIFS(TblApplications[RAM IKS libérable (Go)],TblApplications[Cluster IKS source],$F640,TblApplications[Mois lib (calc)],"&lt;="&amp;$E640)))</f>
        <v/>
      </c>
      <c r="R640" s="14" t="str">
        <f aca="false">IF($D640&lt;&gt;1,"",IF($G640="ROKS",$L640+$P640,IF($AI640=1,0,MAX($N640,$L640-$P640))))</f>
        <v/>
      </c>
      <c r="S640" s="14" t="str">
        <f aca="false">IF($D640&lt;&gt;1,"",IF($G640="ROKS",$M640+$Q640,IF($AI640=1,0,MAX($O640,$M640-$Q640))))</f>
        <v/>
      </c>
      <c r="T640" s="14" t="str">
        <f aca="false">IF($D640&lt;&gt;1,"",IF($AI640=1,0,MAX($J640,ROUNDUP(MAX($R640/$H640,$S640/$I640),0))))</f>
        <v/>
      </c>
      <c r="U640" s="14" t="str">
        <f aca="false">IF($D640&lt;&gt;1,"",IF(p_mode="Nœud",$T640*$H640,$R640))</f>
        <v/>
      </c>
      <c r="V640" s="14" t="str">
        <f aca="false">IF($D640&lt;&gt;1,"",IF(p_mode="Nœud",$T640*$I640,$S640))</f>
        <v/>
      </c>
      <c r="W640" s="84" t="str">
        <f aca="false">IF($D640&lt;&gt;1,"",IF(p_mode="Nœud",$T640*$K640,$R640*IF($G640="IKS",p_iks_cpu,p_roks_cpu)+$S640*IF($G640="IKS",p_iks_ram,p_roks_ram))*p_facteur)</f>
        <v/>
      </c>
      <c r="X640" s="14" t="str">
        <f aca="false">IF($D640&lt;&gt;1,"",IF($G640="ROKS",$R640,IF($AI640=1,0,MAX($N640,$L640-SUMIFS(TblApplications[CPU IKS libérable (vCPU)],TblApplications[Cluster IKS source],$F640,TblApplications[Action],"À migrer",TblApplications[Mois prov (calc)],"&lt;="&amp;$E640)-SUMIFS(TblApplications[CPU IKS libérable (vCPU)],TblApplications[Cluster IKS source],$F640,TblApplications[Action],"À décommissionner",TblApplications[Mois lib (calc)],"&lt;="&amp;$E640)))))</f>
        <v/>
      </c>
      <c r="Y640" s="14" t="str">
        <f aca="false">IF($D640&lt;&gt;1,"",IF($G640="ROKS",$S640,IF($AI640=1,0,MAX($O640,$M640-SUMIFS(TblApplications[RAM IKS libérable (Go)],TblApplications[Cluster IKS source],$F640,TblApplications[Action],"À migrer",TblApplications[Mois prov (calc)],"&lt;="&amp;$E640)-SUMIFS(TblApplications[RAM IKS libérable (Go)],TblApplications[Cluster IKS source],$F640,TblApplications[Action],"À décommissionner",TblApplications[Mois lib (calc)],"&lt;="&amp;$E640)))))</f>
        <v/>
      </c>
      <c r="Z640" s="14" t="str">
        <f aca="false">IF($D640&lt;&gt;1,"",IF($AI640=1,0,MAX($J640,ROUNDUP(MAX($X640/$H640,$Y640/$I640),0))))</f>
        <v/>
      </c>
      <c r="AA640" s="84" t="str">
        <f aca="false">IF($D640&lt;&gt;1,"",IF(p_mode="Nœud",$Z640*$K640,$X640*IF($G640="IKS",p_iks_cpu,p_roks_cpu)+$Y640*IF($G640="IKS",p_iks_ram,p_roks_ram))*p_facteur)</f>
        <v/>
      </c>
      <c r="AB640" s="14" t="str">
        <f aca="false">IF($D640&lt;&gt;1,"",MAX($J640,ROUNDUP(MAX($L640/$H640,$M640/$I640),0)))</f>
        <v/>
      </c>
      <c r="AC640" s="84" t="str">
        <f aca="false">IF($D640&lt;&gt;1,"",IF(p_mode="Nœud",$AB640*$K640,$L640*IF($G640="IKS",p_iks_cpu,p_roks_cpu)+$M640*IF($G640="IKS",p_iks_ram,p_roks_ram))*p_facteur)</f>
        <v/>
      </c>
      <c r="AD640" s="14" t="str">
        <f aca="false">IF($D640&lt;&gt;1,"",IF(AND($G640="IKS",$AI640&lt;&gt;1,OR($L640-$P640&lt;$N640,$M640-$Q640&lt;$O640)),1,0))</f>
        <v/>
      </c>
      <c r="AE640" s="14" t="str">
        <f aca="false">IF($D640&lt;&gt;1,"",IF(AND($G640="ROKS",$T640&gt;p_maxworkers),1,0))</f>
        <v/>
      </c>
      <c r="AF640" s="14" t="str">
        <f aca="false">IF($D640&lt;&gt;1,"",IF(INDEX(TblClusters[Environnement],$B640)="","(vide)",INDEX(TblClusters[Environnement],$B640)))</f>
        <v/>
      </c>
      <c r="AG640" s="14" t="str">
        <f aca="false">IF($D640&lt;&gt;1,"",$R640+p_poidsram*$S640)</f>
        <v/>
      </c>
      <c r="AH640" s="14" t="str">
        <f aca="false">IF($D640&lt;&gt;1,"",IFERROR($W640/$AG640,0))</f>
        <v/>
      </c>
      <c r="AI640" s="14" t="str">
        <f aca="false">IF($D640&lt;&gt;1,"",IF(AND($G640="IKS",ISNUMBER(INDEX(TblClusters[Fermeture retenue],$B640))),IF($E640&gt;=INDEX(TblClusters[Fermeture retenue],$B640),1,0),0))</f>
        <v/>
      </c>
    </row>
    <row r="641" customFormat="false" ht="15" hidden="false" customHeight="false" outlineLevel="0" collapsed="false">
      <c r="A641" s="14" t="n">
        <v>636</v>
      </c>
      <c r="B641" s="14" t="n">
        <f aca="false">INT(($A641-1)/36)+1</f>
        <v>18</v>
      </c>
      <c r="C641" s="14" t="n">
        <f aca="false">MOD($A641-1,36)+1</f>
        <v>24</v>
      </c>
      <c r="D641" s="14" t="n">
        <f aca="false">IF($C641&gt;p_horizon,0,IFERROR(IF(AND(INDEX(TblClusters[Cluster],$B641)&lt;&gt;"",ISNUMBER(INDEX(TblClusters[CPU initial (vCPU)],$B641)),ISNUMBER(INDEX(TblClusters[CPU min (vCPU)],$B641)),OR(INDEX(TblClusters[Plateforme],$B641)="IKS",INDEX(TblClusters[Plateforme],$B641)="ROKS")),1,0),0))</f>
        <v>0</v>
      </c>
      <c r="E641" s="83" t="str">
        <f aca="false">IF($D641=1,EDATE(p_debut,$C641-1),"")</f>
        <v/>
      </c>
      <c r="F641" s="14" t="str">
        <f aca="false">IF($D641=1,INDEX(TblClusters[Cluster],$B641),"")</f>
        <v/>
      </c>
      <c r="G641" s="14" t="str">
        <f aca="false">IF($D641=1,INDEX(TblClusters[Plateforme],$B641),"")</f>
        <v/>
      </c>
      <c r="H641" s="14" t="str">
        <f aca="false">IF($D641=1,INDEX(TblClusters[vCPU par nœud],$B641),"")</f>
        <v/>
      </c>
      <c r="I641" s="14" t="str">
        <f aca="false">IF($D641=1,INDEX(TblClusters[RAM par nœud (Go)],$B641),"")</f>
        <v/>
      </c>
      <c r="J641" s="14" t="str">
        <f aca="false">IF($D641=1,INDEX(TblClusters[Workers min],$B641),"")</f>
        <v/>
      </c>
      <c r="K641" s="84" t="str">
        <f aca="false">IF($D641=1,INDEX(TblClusters[Tarif par nœud],$B641),"")</f>
        <v/>
      </c>
      <c r="L641" s="14" t="str">
        <f aca="false">IF($D641=1,INDEX(TblClusters[CPU initial (vCPU)],$B641),"")</f>
        <v/>
      </c>
      <c r="M641" s="14" t="str">
        <f aca="false">IF($D641=1,INDEX(TblClusters[RAM initiale (Go)],$B641),"")</f>
        <v/>
      </c>
      <c r="N641" s="14" t="str">
        <f aca="false">IF($D641=1,INDEX(TblClusters[CPU min (vCPU)],$B641),"")</f>
        <v/>
      </c>
      <c r="O641" s="14" t="str">
        <f aca="false">IF($D641=1,INDEX(TblClusters[RAM min (Go)],$B641),"")</f>
        <v/>
      </c>
      <c r="P641" s="14" t="str">
        <f aca="false">IF($D641&lt;&gt;1,"",IF($G641="ROKS",SUMIFS(TblApplications[Besoin ROKS CPU (vCPU)],TblApplications[Cluster ROKS cible],$F641,TblApplications[Action],"À migrer",TblApplications[Déjà incluse ROKS],"Non",TblApplications[Mois prov (calc)],"&lt;="&amp;$E641),SUMIFS(TblApplications[CPU IKS libérable (vCPU)],TblApplications[Cluster IKS source],$F641,TblApplications[Mois lib (calc)],"&lt;="&amp;$E641)))</f>
        <v/>
      </c>
      <c r="Q641" s="14" t="str">
        <f aca="false">IF($D641&lt;&gt;1,"",IF($G641="ROKS",SUMIFS(TblApplications[Besoin ROKS RAM (Go)],TblApplications[Cluster ROKS cible],$F641,TblApplications[Action],"À migrer",TblApplications[Déjà incluse ROKS],"Non",TblApplications[Mois prov (calc)],"&lt;="&amp;$E641),SUMIFS(TblApplications[RAM IKS libérable (Go)],TblApplications[Cluster IKS source],$F641,TblApplications[Mois lib (calc)],"&lt;="&amp;$E641)))</f>
        <v/>
      </c>
      <c r="R641" s="14" t="str">
        <f aca="false">IF($D641&lt;&gt;1,"",IF($G641="ROKS",$L641+$P641,IF($AI641=1,0,MAX($N641,$L641-$P641))))</f>
        <v/>
      </c>
      <c r="S641" s="14" t="str">
        <f aca="false">IF($D641&lt;&gt;1,"",IF($G641="ROKS",$M641+$Q641,IF($AI641=1,0,MAX($O641,$M641-$Q641))))</f>
        <v/>
      </c>
      <c r="T641" s="14" t="str">
        <f aca="false">IF($D641&lt;&gt;1,"",IF($AI641=1,0,MAX($J641,ROUNDUP(MAX($R641/$H641,$S641/$I641),0))))</f>
        <v/>
      </c>
      <c r="U641" s="14" t="str">
        <f aca="false">IF($D641&lt;&gt;1,"",IF(p_mode="Nœud",$T641*$H641,$R641))</f>
        <v/>
      </c>
      <c r="V641" s="14" t="str">
        <f aca="false">IF($D641&lt;&gt;1,"",IF(p_mode="Nœud",$T641*$I641,$S641))</f>
        <v/>
      </c>
      <c r="W641" s="84" t="str">
        <f aca="false">IF($D641&lt;&gt;1,"",IF(p_mode="Nœud",$T641*$K641,$R641*IF($G641="IKS",p_iks_cpu,p_roks_cpu)+$S641*IF($G641="IKS",p_iks_ram,p_roks_ram))*p_facteur)</f>
        <v/>
      </c>
      <c r="X641" s="14" t="str">
        <f aca="false">IF($D641&lt;&gt;1,"",IF($G641="ROKS",$R641,IF($AI641=1,0,MAX($N641,$L641-SUMIFS(TblApplications[CPU IKS libérable (vCPU)],TblApplications[Cluster IKS source],$F641,TblApplications[Action],"À migrer",TblApplications[Mois prov (calc)],"&lt;="&amp;$E641)-SUMIFS(TblApplications[CPU IKS libérable (vCPU)],TblApplications[Cluster IKS source],$F641,TblApplications[Action],"À décommissionner",TblApplications[Mois lib (calc)],"&lt;="&amp;$E641)))))</f>
        <v/>
      </c>
      <c r="Y641" s="14" t="str">
        <f aca="false">IF($D641&lt;&gt;1,"",IF($G641="ROKS",$S641,IF($AI641=1,0,MAX($O641,$M641-SUMIFS(TblApplications[RAM IKS libérable (Go)],TblApplications[Cluster IKS source],$F641,TblApplications[Action],"À migrer",TblApplications[Mois prov (calc)],"&lt;="&amp;$E641)-SUMIFS(TblApplications[RAM IKS libérable (Go)],TblApplications[Cluster IKS source],$F641,TblApplications[Action],"À décommissionner",TblApplications[Mois lib (calc)],"&lt;="&amp;$E641)))))</f>
        <v/>
      </c>
      <c r="Z641" s="14" t="str">
        <f aca="false">IF($D641&lt;&gt;1,"",IF($AI641=1,0,MAX($J641,ROUNDUP(MAX($X641/$H641,$Y641/$I641),0))))</f>
        <v/>
      </c>
      <c r="AA641" s="84" t="str">
        <f aca="false">IF($D641&lt;&gt;1,"",IF(p_mode="Nœud",$Z641*$K641,$X641*IF($G641="IKS",p_iks_cpu,p_roks_cpu)+$Y641*IF($G641="IKS",p_iks_ram,p_roks_ram))*p_facteur)</f>
        <v/>
      </c>
      <c r="AB641" s="14" t="str">
        <f aca="false">IF($D641&lt;&gt;1,"",MAX($J641,ROUNDUP(MAX($L641/$H641,$M641/$I641),0)))</f>
        <v/>
      </c>
      <c r="AC641" s="84" t="str">
        <f aca="false">IF($D641&lt;&gt;1,"",IF(p_mode="Nœud",$AB641*$K641,$L641*IF($G641="IKS",p_iks_cpu,p_roks_cpu)+$M641*IF($G641="IKS",p_iks_ram,p_roks_ram))*p_facteur)</f>
        <v/>
      </c>
      <c r="AD641" s="14" t="str">
        <f aca="false">IF($D641&lt;&gt;1,"",IF(AND($G641="IKS",$AI641&lt;&gt;1,OR($L641-$P641&lt;$N641,$M641-$Q641&lt;$O641)),1,0))</f>
        <v/>
      </c>
      <c r="AE641" s="14" t="str">
        <f aca="false">IF($D641&lt;&gt;1,"",IF(AND($G641="ROKS",$T641&gt;p_maxworkers),1,0))</f>
        <v/>
      </c>
      <c r="AF641" s="14" t="str">
        <f aca="false">IF($D641&lt;&gt;1,"",IF(INDEX(TblClusters[Environnement],$B641)="","(vide)",INDEX(TblClusters[Environnement],$B641)))</f>
        <v/>
      </c>
      <c r="AG641" s="14" t="str">
        <f aca="false">IF($D641&lt;&gt;1,"",$R641+p_poidsram*$S641)</f>
        <v/>
      </c>
      <c r="AH641" s="14" t="str">
        <f aca="false">IF($D641&lt;&gt;1,"",IFERROR($W641/$AG641,0))</f>
        <v/>
      </c>
      <c r="AI641" s="14" t="str">
        <f aca="false">IF($D641&lt;&gt;1,"",IF(AND($G641="IKS",ISNUMBER(INDEX(TblClusters[Fermeture retenue],$B641))),IF($E641&gt;=INDEX(TblClusters[Fermeture retenue],$B641),1,0),0))</f>
        <v/>
      </c>
    </row>
    <row r="642" customFormat="false" ht="15" hidden="false" customHeight="false" outlineLevel="0" collapsed="false">
      <c r="A642" s="14" t="n">
        <v>637</v>
      </c>
      <c r="B642" s="14" t="n">
        <f aca="false">INT(($A642-1)/36)+1</f>
        <v>18</v>
      </c>
      <c r="C642" s="14" t="n">
        <f aca="false">MOD($A642-1,36)+1</f>
        <v>25</v>
      </c>
      <c r="D642" s="14" t="n">
        <f aca="false">IF($C642&gt;p_horizon,0,IFERROR(IF(AND(INDEX(TblClusters[Cluster],$B642)&lt;&gt;"",ISNUMBER(INDEX(TblClusters[CPU initial (vCPU)],$B642)),ISNUMBER(INDEX(TblClusters[CPU min (vCPU)],$B642)),OR(INDEX(TblClusters[Plateforme],$B642)="IKS",INDEX(TblClusters[Plateforme],$B642)="ROKS")),1,0),0))</f>
        <v>0</v>
      </c>
      <c r="E642" s="83" t="str">
        <f aca="false">IF($D642=1,EDATE(p_debut,$C642-1),"")</f>
        <v/>
      </c>
      <c r="F642" s="14" t="str">
        <f aca="false">IF($D642=1,INDEX(TblClusters[Cluster],$B642),"")</f>
        <v/>
      </c>
      <c r="G642" s="14" t="str">
        <f aca="false">IF($D642=1,INDEX(TblClusters[Plateforme],$B642),"")</f>
        <v/>
      </c>
      <c r="H642" s="14" t="str">
        <f aca="false">IF($D642=1,INDEX(TblClusters[vCPU par nœud],$B642),"")</f>
        <v/>
      </c>
      <c r="I642" s="14" t="str">
        <f aca="false">IF($D642=1,INDEX(TblClusters[RAM par nœud (Go)],$B642),"")</f>
        <v/>
      </c>
      <c r="J642" s="14" t="str">
        <f aca="false">IF($D642=1,INDEX(TblClusters[Workers min],$B642),"")</f>
        <v/>
      </c>
      <c r="K642" s="84" t="str">
        <f aca="false">IF($D642=1,INDEX(TblClusters[Tarif par nœud],$B642),"")</f>
        <v/>
      </c>
      <c r="L642" s="14" t="str">
        <f aca="false">IF($D642=1,INDEX(TblClusters[CPU initial (vCPU)],$B642),"")</f>
        <v/>
      </c>
      <c r="M642" s="14" t="str">
        <f aca="false">IF($D642=1,INDEX(TblClusters[RAM initiale (Go)],$B642),"")</f>
        <v/>
      </c>
      <c r="N642" s="14" t="str">
        <f aca="false">IF($D642=1,INDEX(TblClusters[CPU min (vCPU)],$B642),"")</f>
        <v/>
      </c>
      <c r="O642" s="14" t="str">
        <f aca="false">IF($D642=1,INDEX(TblClusters[RAM min (Go)],$B642),"")</f>
        <v/>
      </c>
      <c r="P642" s="14" t="str">
        <f aca="false">IF($D642&lt;&gt;1,"",IF($G642="ROKS",SUMIFS(TblApplications[Besoin ROKS CPU (vCPU)],TblApplications[Cluster ROKS cible],$F642,TblApplications[Action],"À migrer",TblApplications[Déjà incluse ROKS],"Non",TblApplications[Mois prov (calc)],"&lt;="&amp;$E642),SUMIFS(TblApplications[CPU IKS libérable (vCPU)],TblApplications[Cluster IKS source],$F642,TblApplications[Mois lib (calc)],"&lt;="&amp;$E642)))</f>
        <v/>
      </c>
      <c r="Q642" s="14" t="str">
        <f aca="false">IF($D642&lt;&gt;1,"",IF($G642="ROKS",SUMIFS(TblApplications[Besoin ROKS RAM (Go)],TblApplications[Cluster ROKS cible],$F642,TblApplications[Action],"À migrer",TblApplications[Déjà incluse ROKS],"Non",TblApplications[Mois prov (calc)],"&lt;="&amp;$E642),SUMIFS(TblApplications[RAM IKS libérable (Go)],TblApplications[Cluster IKS source],$F642,TblApplications[Mois lib (calc)],"&lt;="&amp;$E642)))</f>
        <v/>
      </c>
      <c r="R642" s="14" t="str">
        <f aca="false">IF($D642&lt;&gt;1,"",IF($G642="ROKS",$L642+$P642,IF($AI642=1,0,MAX($N642,$L642-$P642))))</f>
        <v/>
      </c>
      <c r="S642" s="14" t="str">
        <f aca="false">IF($D642&lt;&gt;1,"",IF($G642="ROKS",$M642+$Q642,IF($AI642=1,0,MAX($O642,$M642-$Q642))))</f>
        <v/>
      </c>
      <c r="T642" s="14" t="str">
        <f aca="false">IF($D642&lt;&gt;1,"",IF($AI642=1,0,MAX($J642,ROUNDUP(MAX($R642/$H642,$S642/$I642),0))))</f>
        <v/>
      </c>
      <c r="U642" s="14" t="str">
        <f aca="false">IF($D642&lt;&gt;1,"",IF(p_mode="Nœud",$T642*$H642,$R642))</f>
        <v/>
      </c>
      <c r="V642" s="14" t="str">
        <f aca="false">IF($D642&lt;&gt;1,"",IF(p_mode="Nœud",$T642*$I642,$S642))</f>
        <v/>
      </c>
      <c r="W642" s="84" t="str">
        <f aca="false">IF($D642&lt;&gt;1,"",IF(p_mode="Nœud",$T642*$K642,$R642*IF($G642="IKS",p_iks_cpu,p_roks_cpu)+$S642*IF($G642="IKS",p_iks_ram,p_roks_ram))*p_facteur)</f>
        <v/>
      </c>
      <c r="X642" s="14" t="str">
        <f aca="false">IF($D642&lt;&gt;1,"",IF($G642="ROKS",$R642,IF($AI642=1,0,MAX($N642,$L642-SUMIFS(TblApplications[CPU IKS libérable (vCPU)],TblApplications[Cluster IKS source],$F642,TblApplications[Action],"À migrer",TblApplications[Mois prov (calc)],"&lt;="&amp;$E642)-SUMIFS(TblApplications[CPU IKS libérable (vCPU)],TblApplications[Cluster IKS source],$F642,TblApplications[Action],"À décommissionner",TblApplications[Mois lib (calc)],"&lt;="&amp;$E642)))))</f>
        <v/>
      </c>
      <c r="Y642" s="14" t="str">
        <f aca="false">IF($D642&lt;&gt;1,"",IF($G642="ROKS",$S642,IF($AI642=1,0,MAX($O642,$M642-SUMIFS(TblApplications[RAM IKS libérable (Go)],TblApplications[Cluster IKS source],$F642,TblApplications[Action],"À migrer",TblApplications[Mois prov (calc)],"&lt;="&amp;$E642)-SUMIFS(TblApplications[RAM IKS libérable (Go)],TblApplications[Cluster IKS source],$F642,TblApplications[Action],"À décommissionner",TblApplications[Mois lib (calc)],"&lt;="&amp;$E642)))))</f>
        <v/>
      </c>
      <c r="Z642" s="14" t="str">
        <f aca="false">IF($D642&lt;&gt;1,"",IF($AI642=1,0,MAX($J642,ROUNDUP(MAX($X642/$H642,$Y642/$I642),0))))</f>
        <v/>
      </c>
      <c r="AA642" s="84" t="str">
        <f aca="false">IF($D642&lt;&gt;1,"",IF(p_mode="Nœud",$Z642*$K642,$X642*IF($G642="IKS",p_iks_cpu,p_roks_cpu)+$Y642*IF($G642="IKS",p_iks_ram,p_roks_ram))*p_facteur)</f>
        <v/>
      </c>
      <c r="AB642" s="14" t="str">
        <f aca="false">IF($D642&lt;&gt;1,"",MAX($J642,ROUNDUP(MAX($L642/$H642,$M642/$I642),0)))</f>
        <v/>
      </c>
      <c r="AC642" s="84" t="str">
        <f aca="false">IF($D642&lt;&gt;1,"",IF(p_mode="Nœud",$AB642*$K642,$L642*IF($G642="IKS",p_iks_cpu,p_roks_cpu)+$M642*IF($G642="IKS",p_iks_ram,p_roks_ram))*p_facteur)</f>
        <v/>
      </c>
      <c r="AD642" s="14" t="str">
        <f aca="false">IF($D642&lt;&gt;1,"",IF(AND($G642="IKS",$AI642&lt;&gt;1,OR($L642-$P642&lt;$N642,$M642-$Q642&lt;$O642)),1,0))</f>
        <v/>
      </c>
      <c r="AE642" s="14" t="str">
        <f aca="false">IF($D642&lt;&gt;1,"",IF(AND($G642="ROKS",$T642&gt;p_maxworkers),1,0))</f>
        <v/>
      </c>
      <c r="AF642" s="14" t="str">
        <f aca="false">IF($D642&lt;&gt;1,"",IF(INDEX(TblClusters[Environnement],$B642)="","(vide)",INDEX(TblClusters[Environnement],$B642)))</f>
        <v/>
      </c>
      <c r="AG642" s="14" t="str">
        <f aca="false">IF($D642&lt;&gt;1,"",$R642+p_poidsram*$S642)</f>
        <v/>
      </c>
      <c r="AH642" s="14" t="str">
        <f aca="false">IF($D642&lt;&gt;1,"",IFERROR($W642/$AG642,0))</f>
        <v/>
      </c>
      <c r="AI642" s="14" t="str">
        <f aca="false">IF($D642&lt;&gt;1,"",IF(AND($G642="IKS",ISNUMBER(INDEX(TblClusters[Fermeture retenue],$B642))),IF($E642&gt;=INDEX(TblClusters[Fermeture retenue],$B642),1,0),0))</f>
        <v/>
      </c>
    </row>
    <row r="643" customFormat="false" ht="15" hidden="false" customHeight="false" outlineLevel="0" collapsed="false">
      <c r="A643" s="14" t="n">
        <v>638</v>
      </c>
      <c r="B643" s="14" t="n">
        <f aca="false">INT(($A643-1)/36)+1</f>
        <v>18</v>
      </c>
      <c r="C643" s="14" t="n">
        <f aca="false">MOD($A643-1,36)+1</f>
        <v>26</v>
      </c>
      <c r="D643" s="14" t="n">
        <f aca="false">IF($C643&gt;p_horizon,0,IFERROR(IF(AND(INDEX(TblClusters[Cluster],$B643)&lt;&gt;"",ISNUMBER(INDEX(TblClusters[CPU initial (vCPU)],$B643)),ISNUMBER(INDEX(TblClusters[CPU min (vCPU)],$B643)),OR(INDEX(TblClusters[Plateforme],$B643)="IKS",INDEX(TblClusters[Plateforme],$B643)="ROKS")),1,0),0))</f>
        <v>0</v>
      </c>
      <c r="E643" s="83" t="str">
        <f aca="false">IF($D643=1,EDATE(p_debut,$C643-1),"")</f>
        <v/>
      </c>
      <c r="F643" s="14" t="str">
        <f aca="false">IF($D643=1,INDEX(TblClusters[Cluster],$B643),"")</f>
        <v/>
      </c>
      <c r="G643" s="14" t="str">
        <f aca="false">IF($D643=1,INDEX(TblClusters[Plateforme],$B643),"")</f>
        <v/>
      </c>
      <c r="H643" s="14" t="str">
        <f aca="false">IF($D643=1,INDEX(TblClusters[vCPU par nœud],$B643),"")</f>
        <v/>
      </c>
      <c r="I643" s="14" t="str">
        <f aca="false">IF($D643=1,INDEX(TblClusters[RAM par nœud (Go)],$B643),"")</f>
        <v/>
      </c>
      <c r="J643" s="14" t="str">
        <f aca="false">IF($D643=1,INDEX(TblClusters[Workers min],$B643),"")</f>
        <v/>
      </c>
      <c r="K643" s="84" t="str">
        <f aca="false">IF($D643=1,INDEX(TblClusters[Tarif par nœud],$B643),"")</f>
        <v/>
      </c>
      <c r="L643" s="14" t="str">
        <f aca="false">IF($D643=1,INDEX(TblClusters[CPU initial (vCPU)],$B643),"")</f>
        <v/>
      </c>
      <c r="M643" s="14" t="str">
        <f aca="false">IF($D643=1,INDEX(TblClusters[RAM initiale (Go)],$B643),"")</f>
        <v/>
      </c>
      <c r="N643" s="14" t="str">
        <f aca="false">IF($D643=1,INDEX(TblClusters[CPU min (vCPU)],$B643),"")</f>
        <v/>
      </c>
      <c r="O643" s="14" t="str">
        <f aca="false">IF($D643=1,INDEX(TblClusters[RAM min (Go)],$B643),"")</f>
        <v/>
      </c>
      <c r="P643" s="14" t="str">
        <f aca="false">IF($D643&lt;&gt;1,"",IF($G643="ROKS",SUMIFS(TblApplications[Besoin ROKS CPU (vCPU)],TblApplications[Cluster ROKS cible],$F643,TblApplications[Action],"À migrer",TblApplications[Déjà incluse ROKS],"Non",TblApplications[Mois prov (calc)],"&lt;="&amp;$E643),SUMIFS(TblApplications[CPU IKS libérable (vCPU)],TblApplications[Cluster IKS source],$F643,TblApplications[Mois lib (calc)],"&lt;="&amp;$E643)))</f>
        <v/>
      </c>
      <c r="Q643" s="14" t="str">
        <f aca="false">IF($D643&lt;&gt;1,"",IF($G643="ROKS",SUMIFS(TblApplications[Besoin ROKS RAM (Go)],TblApplications[Cluster ROKS cible],$F643,TblApplications[Action],"À migrer",TblApplications[Déjà incluse ROKS],"Non",TblApplications[Mois prov (calc)],"&lt;="&amp;$E643),SUMIFS(TblApplications[RAM IKS libérable (Go)],TblApplications[Cluster IKS source],$F643,TblApplications[Mois lib (calc)],"&lt;="&amp;$E643)))</f>
        <v/>
      </c>
      <c r="R643" s="14" t="str">
        <f aca="false">IF($D643&lt;&gt;1,"",IF($G643="ROKS",$L643+$P643,IF($AI643=1,0,MAX($N643,$L643-$P643))))</f>
        <v/>
      </c>
      <c r="S643" s="14" t="str">
        <f aca="false">IF($D643&lt;&gt;1,"",IF($G643="ROKS",$M643+$Q643,IF($AI643=1,0,MAX($O643,$M643-$Q643))))</f>
        <v/>
      </c>
      <c r="T643" s="14" t="str">
        <f aca="false">IF($D643&lt;&gt;1,"",IF($AI643=1,0,MAX($J643,ROUNDUP(MAX($R643/$H643,$S643/$I643),0))))</f>
        <v/>
      </c>
      <c r="U643" s="14" t="str">
        <f aca="false">IF($D643&lt;&gt;1,"",IF(p_mode="Nœud",$T643*$H643,$R643))</f>
        <v/>
      </c>
      <c r="V643" s="14" t="str">
        <f aca="false">IF($D643&lt;&gt;1,"",IF(p_mode="Nœud",$T643*$I643,$S643))</f>
        <v/>
      </c>
      <c r="W643" s="84" t="str">
        <f aca="false">IF($D643&lt;&gt;1,"",IF(p_mode="Nœud",$T643*$K643,$R643*IF($G643="IKS",p_iks_cpu,p_roks_cpu)+$S643*IF($G643="IKS",p_iks_ram,p_roks_ram))*p_facteur)</f>
        <v/>
      </c>
      <c r="X643" s="14" t="str">
        <f aca="false">IF($D643&lt;&gt;1,"",IF($G643="ROKS",$R643,IF($AI643=1,0,MAX($N643,$L643-SUMIFS(TblApplications[CPU IKS libérable (vCPU)],TblApplications[Cluster IKS source],$F643,TblApplications[Action],"À migrer",TblApplications[Mois prov (calc)],"&lt;="&amp;$E643)-SUMIFS(TblApplications[CPU IKS libérable (vCPU)],TblApplications[Cluster IKS source],$F643,TblApplications[Action],"À décommissionner",TblApplications[Mois lib (calc)],"&lt;="&amp;$E643)))))</f>
        <v/>
      </c>
      <c r="Y643" s="14" t="str">
        <f aca="false">IF($D643&lt;&gt;1,"",IF($G643="ROKS",$S643,IF($AI643=1,0,MAX($O643,$M643-SUMIFS(TblApplications[RAM IKS libérable (Go)],TblApplications[Cluster IKS source],$F643,TblApplications[Action],"À migrer",TblApplications[Mois prov (calc)],"&lt;="&amp;$E643)-SUMIFS(TblApplications[RAM IKS libérable (Go)],TblApplications[Cluster IKS source],$F643,TblApplications[Action],"À décommissionner",TblApplications[Mois lib (calc)],"&lt;="&amp;$E643)))))</f>
        <v/>
      </c>
      <c r="Z643" s="14" t="str">
        <f aca="false">IF($D643&lt;&gt;1,"",IF($AI643=1,0,MAX($J643,ROUNDUP(MAX($X643/$H643,$Y643/$I643),0))))</f>
        <v/>
      </c>
      <c r="AA643" s="84" t="str">
        <f aca="false">IF($D643&lt;&gt;1,"",IF(p_mode="Nœud",$Z643*$K643,$X643*IF($G643="IKS",p_iks_cpu,p_roks_cpu)+$Y643*IF($G643="IKS",p_iks_ram,p_roks_ram))*p_facteur)</f>
        <v/>
      </c>
      <c r="AB643" s="14" t="str">
        <f aca="false">IF($D643&lt;&gt;1,"",MAX($J643,ROUNDUP(MAX($L643/$H643,$M643/$I643),0)))</f>
        <v/>
      </c>
      <c r="AC643" s="84" t="str">
        <f aca="false">IF($D643&lt;&gt;1,"",IF(p_mode="Nœud",$AB643*$K643,$L643*IF($G643="IKS",p_iks_cpu,p_roks_cpu)+$M643*IF($G643="IKS",p_iks_ram,p_roks_ram))*p_facteur)</f>
        <v/>
      </c>
      <c r="AD643" s="14" t="str">
        <f aca="false">IF($D643&lt;&gt;1,"",IF(AND($G643="IKS",$AI643&lt;&gt;1,OR($L643-$P643&lt;$N643,$M643-$Q643&lt;$O643)),1,0))</f>
        <v/>
      </c>
      <c r="AE643" s="14" t="str">
        <f aca="false">IF($D643&lt;&gt;1,"",IF(AND($G643="ROKS",$T643&gt;p_maxworkers),1,0))</f>
        <v/>
      </c>
      <c r="AF643" s="14" t="str">
        <f aca="false">IF($D643&lt;&gt;1,"",IF(INDEX(TblClusters[Environnement],$B643)="","(vide)",INDEX(TblClusters[Environnement],$B643)))</f>
        <v/>
      </c>
      <c r="AG643" s="14" t="str">
        <f aca="false">IF($D643&lt;&gt;1,"",$R643+p_poidsram*$S643)</f>
        <v/>
      </c>
      <c r="AH643" s="14" t="str">
        <f aca="false">IF($D643&lt;&gt;1,"",IFERROR($W643/$AG643,0))</f>
        <v/>
      </c>
      <c r="AI643" s="14" t="str">
        <f aca="false">IF($D643&lt;&gt;1,"",IF(AND($G643="IKS",ISNUMBER(INDEX(TblClusters[Fermeture retenue],$B643))),IF($E643&gt;=INDEX(TblClusters[Fermeture retenue],$B643),1,0),0))</f>
        <v/>
      </c>
    </row>
    <row r="644" customFormat="false" ht="15" hidden="false" customHeight="false" outlineLevel="0" collapsed="false">
      <c r="A644" s="14" t="n">
        <v>639</v>
      </c>
      <c r="B644" s="14" t="n">
        <f aca="false">INT(($A644-1)/36)+1</f>
        <v>18</v>
      </c>
      <c r="C644" s="14" t="n">
        <f aca="false">MOD($A644-1,36)+1</f>
        <v>27</v>
      </c>
      <c r="D644" s="14" t="n">
        <f aca="false">IF($C644&gt;p_horizon,0,IFERROR(IF(AND(INDEX(TblClusters[Cluster],$B644)&lt;&gt;"",ISNUMBER(INDEX(TblClusters[CPU initial (vCPU)],$B644)),ISNUMBER(INDEX(TblClusters[CPU min (vCPU)],$B644)),OR(INDEX(TblClusters[Plateforme],$B644)="IKS",INDEX(TblClusters[Plateforme],$B644)="ROKS")),1,0),0))</f>
        <v>0</v>
      </c>
      <c r="E644" s="83" t="str">
        <f aca="false">IF($D644=1,EDATE(p_debut,$C644-1),"")</f>
        <v/>
      </c>
      <c r="F644" s="14" t="str">
        <f aca="false">IF($D644=1,INDEX(TblClusters[Cluster],$B644),"")</f>
        <v/>
      </c>
      <c r="G644" s="14" t="str">
        <f aca="false">IF($D644=1,INDEX(TblClusters[Plateforme],$B644),"")</f>
        <v/>
      </c>
      <c r="H644" s="14" t="str">
        <f aca="false">IF($D644=1,INDEX(TblClusters[vCPU par nœud],$B644),"")</f>
        <v/>
      </c>
      <c r="I644" s="14" t="str">
        <f aca="false">IF($D644=1,INDEX(TblClusters[RAM par nœud (Go)],$B644),"")</f>
        <v/>
      </c>
      <c r="J644" s="14" t="str">
        <f aca="false">IF($D644=1,INDEX(TblClusters[Workers min],$B644),"")</f>
        <v/>
      </c>
      <c r="K644" s="84" t="str">
        <f aca="false">IF($D644=1,INDEX(TblClusters[Tarif par nœud],$B644),"")</f>
        <v/>
      </c>
      <c r="L644" s="14" t="str">
        <f aca="false">IF($D644=1,INDEX(TblClusters[CPU initial (vCPU)],$B644),"")</f>
        <v/>
      </c>
      <c r="M644" s="14" t="str">
        <f aca="false">IF($D644=1,INDEX(TblClusters[RAM initiale (Go)],$B644),"")</f>
        <v/>
      </c>
      <c r="N644" s="14" t="str">
        <f aca="false">IF($D644=1,INDEX(TblClusters[CPU min (vCPU)],$B644),"")</f>
        <v/>
      </c>
      <c r="O644" s="14" t="str">
        <f aca="false">IF($D644=1,INDEX(TblClusters[RAM min (Go)],$B644),"")</f>
        <v/>
      </c>
      <c r="P644" s="14" t="str">
        <f aca="false">IF($D644&lt;&gt;1,"",IF($G644="ROKS",SUMIFS(TblApplications[Besoin ROKS CPU (vCPU)],TblApplications[Cluster ROKS cible],$F644,TblApplications[Action],"À migrer",TblApplications[Déjà incluse ROKS],"Non",TblApplications[Mois prov (calc)],"&lt;="&amp;$E644),SUMIFS(TblApplications[CPU IKS libérable (vCPU)],TblApplications[Cluster IKS source],$F644,TblApplications[Mois lib (calc)],"&lt;="&amp;$E644)))</f>
        <v/>
      </c>
      <c r="Q644" s="14" t="str">
        <f aca="false">IF($D644&lt;&gt;1,"",IF($G644="ROKS",SUMIFS(TblApplications[Besoin ROKS RAM (Go)],TblApplications[Cluster ROKS cible],$F644,TblApplications[Action],"À migrer",TblApplications[Déjà incluse ROKS],"Non",TblApplications[Mois prov (calc)],"&lt;="&amp;$E644),SUMIFS(TblApplications[RAM IKS libérable (Go)],TblApplications[Cluster IKS source],$F644,TblApplications[Mois lib (calc)],"&lt;="&amp;$E644)))</f>
        <v/>
      </c>
      <c r="R644" s="14" t="str">
        <f aca="false">IF($D644&lt;&gt;1,"",IF($G644="ROKS",$L644+$P644,IF($AI644=1,0,MAX($N644,$L644-$P644))))</f>
        <v/>
      </c>
      <c r="S644" s="14" t="str">
        <f aca="false">IF($D644&lt;&gt;1,"",IF($G644="ROKS",$M644+$Q644,IF($AI644=1,0,MAX($O644,$M644-$Q644))))</f>
        <v/>
      </c>
      <c r="T644" s="14" t="str">
        <f aca="false">IF($D644&lt;&gt;1,"",IF($AI644=1,0,MAX($J644,ROUNDUP(MAX($R644/$H644,$S644/$I644),0))))</f>
        <v/>
      </c>
      <c r="U644" s="14" t="str">
        <f aca="false">IF($D644&lt;&gt;1,"",IF(p_mode="Nœud",$T644*$H644,$R644))</f>
        <v/>
      </c>
      <c r="V644" s="14" t="str">
        <f aca="false">IF($D644&lt;&gt;1,"",IF(p_mode="Nœud",$T644*$I644,$S644))</f>
        <v/>
      </c>
      <c r="W644" s="84" t="str">
        <f aca="false">IF($D644&lt;&gt;1,"",IF(p_mode="Nœud",$T644*$K644,$R644*IF($G644="IKS",p_iks_cpu,p_roks_cpu)+$S644*IF($G644="IKS",p_iks_ram,p_roks_ram))*p_facteur)</f>
        <v/>
      </c>
      <c r="X644" s="14" t="str">
        <f aca="false">IF($D644&lt;&gt;1,"",IF($G644="ROKS",$R644,IF($AI644=1,0,MAX($N644,$L644-SUMIFS(TblApplications[CPU IKS libérable (vCPU)],TblApplications[Cluster IKS source],$F644,TblApplications[Action],"À migrer",TblApplications[Mois prov (calc)],"&lt;="&amp;$E644)-SUMIFS(TblApplications[CPU IKS libérable (vCPU)],TblApplications[Cluster IKS source],$F644,TblApplications[Action],"À décommissionner",TblApplications[Mois lib (calc)],"&lt;="&amp;$E644)))))</f>
        <v/>
      </c>
      <c r="Y644" s="14" t="str">
        <f aca="false">IF($D644&lt;&gt;1,"",IF($G644="ROKS",$S644,IF($AI644=1,0,MAX($O644,$M644-SUMIFS(TblApplications[RAM IKS libérable (Go)],TblApplications[Cluster IKS source],$F644,TblApplications[Action],"À migrer",TblApplications[Mois prov (calc)],"&lt;="&amp;$E644)-SUMIFS(TblApplications[RAM IKS libérable (Go)],TblApplications[Cluster IKS source],$F644,TblApplications[Action],"À décommissionner",TblApplications[Mois lib (calc)],"&lt;="&amp;$E644)))))</f>
        <v/>
      </c>
      <c r="Z644" s="14" t="str">
        <f aca="false">IF($D644&lt;&gt;1,"",IF($AI644=1,0,MAX($J644,ROUNDUP(MAX($X644/$H644,$Y644/$I644),0))))</f>
        <v/>
      </c>
      <c r="AA644" s="84" t="str">
        <f aca="false">IF($D644&lt;&gt;1,"",IF(p_mode="Nœud",$Z644*$K644,$X644*IF($G644="IKS",p_iks_cpu,p_roks_cpu)+$Y644*IF($G644="IKS",p_iks_ram,p_roks_ram))*p_facteur)</f>
        <v/>
      </c>
      <c r="AB644" s="14" t="str">
        <f aca="false">IF($D644&lt;&gt;1,"",MAX($J644,ROUNDUP(MAX($L644/$H644,$M644/$I644),0)))</f>
        <v/>
      </c>
      <c r="AC644" s="84" t="str">
        <f aca="false">IF($D644&lt;&gt;1,"",IF(p_mode="Nœud",$AB644*$K644,$L644*IF($G644="IKS",p_iks_cpu,p_roks_cpu)+$M644*IF($G644="IKS",p_iks_ram,p_roks_ram))*p_facteur)</f>
        <v/>
      </c>
      <c r="AD644" s="14" t="str">
        <f aca="false">IF($D644&lt;&gt;1,"",IF(AND($G644="IKS",$AI644&lt;&gt;1,OR($L644-$P644&lt;$N644,$M644-$Q644&lt;$O644)),1,0))</f>
        <v/>
      </c>
      <c r="AE644" s="14" t="str">
        <f aca="false">IF($D644&lt;&gt;1,"",IF(AND($G644="ROKS",$T644&gt;p_maxworkers),1,0))</f>
        <v/>
      </c>
      <c r="AF644" s="14" t="str">
        <f aca="false">IF($D644&lt;&gt;1,"",IF(INDEX(TblClusters[Environnement],$B644)="","(vide)",INDEX(TblClusters[Environnement],$B644)))</f>
        <v/>
      </c>
      <c r="AG644" s="14" t="str">
        <f aca="false">IF($D644&lt;&gt;1,"",$R644+p_poidsram*$S644)</f>
        <v/>
      </c>
      <c r="AH644" s="14" t="str">
        <f aca="false">IF($D644&lt;&gt;1,"",IFERROR($W644/$AG644,0))</f>
        <v/>
      </c>
      <c r="AI644" s="14" t="str">
        <f aca="false">IF($D644&lt;&gt;1,"",IF(AND($G644="IKS",ISNUMBER(INDEX(TblClusters[Fermeture retenue],$B644))),IF($E644&gt;=INDEX(TblClusters[Fermeture retenue],$B644),1,0),0))</f>
        <v/>
      </c>
    </row>
    <row r="645" customFormat="false" ht="15" hidden="false" customHeight="false" outlineLevel="0" collapsed="false">
      <c r="A645" s="14" t="n">
        <v>640</v>
      </c>
      <c r="B645" s="14" t="n">
        <f aca="false">INT(($A645-1)/36)+1</f>
        <v>18</v>
      </c>
      <c r="C645" s="14" t="n">
        <f aca="false">MOD($A645-1,36)+1</f>
        <v>28</v>
      </c>
      <c r="D645" s="14" t="n">
        <f aca="false">IF($C645&gt;p_horizon,0,IFERROR(IF(AND(INDEX(TblClusters[Cluster],$B645)&lt;&gt;"",ISNUMBER(INDEX(TblClusters[CPU initial (vCPU)],$B645)),ISNUMBER(INDEX(TblClusters[CPU min (vCPU)],$B645)),OR(INDEX(TblClusters[Plateforme],$B645)="IKS",INDEX(TblClusters[Plateforme],$B645)="ROKS")),1,0),0))</f>
        <v>0</v>
      </c>
      <c r="E645" s="83" t="str">
        <f aca="false">IF($D645=1,EDATE(p_debut,$C645-1),"")</f>
        <v/>
      </c>
      <c r="F645" s="14" t="str">
        <f aca="false">IF($D645=1,INDEX(TblClusters[Cluster],$B645),"")</f>
        <v/>
      </c>
      <c r="G645" s="14" t="str">
        <f aca="false">IF($D645=1,INDEX(TblClusters[Plateforme],$B645),"")</f>
        <v/>
      </c>
      <c r="H645" s="14" t="str">
        <f aca="false">IF($D645=1,INDEX(TblClusters[vCPU par nœud],$B645),"")</f>
        <v/>
      </c>
      <c r="I645" s="14" t="str">
        <f aca="false">IF($D645=1,INDEX(TblClusters[RAM par nœud (Go)],$B645),"")</f>
        <v/>
      </c>
      <c r="J645" s="14" t="str">
        <f aca="false">IF($D645=1,INDEX(TblClusters[Workers min],$B645),"")</f>
        <v/>
      </c>
      <c r="K645" s="84" t="str">
        <f aca="false">IF($D645=1,INDEX(TblClusters[Tarif par nœud],$B645),"")</f>
        <v/>
      </c>
      <c r="L645" s="14" t="str">
        <f aca="false">IF($D645=1,INDEX(TblClusters[CPU initial (vCPU)],$B645),"")</f>
        <v/>
      </c>
      <c r="M645" s="14" t="str">
        <f aca="false">IF($D645=1,INDEX(TblClusters[RAM initiale (Go)],$B645),"")</f>
        <v/>
      </c>
      <c r="N645" s="14" t="str">
        <f aca="false">IF($D645=1,INDEX(TblClusters[CPU min (vCPU)],$B645),"")</f>
        <v/>
      </c>
      <c r="O645" s="14" t="str">
        <f aca="false">IF($D645=1,INDEX(TblClusters[RAM min (Go)],$B645),"")</f>
        <v/>
      </c>
      <c r="P645" s="14" t="str">
        <f aca="false">IF($D645&lt;&gt;1,"",IF($G645="ROKS",SUMIFS(TblApplications[Besoin ROKS CPU (vCPU)],TblApplications[Cluster ROKS cible],$F645,TblApplications[Action],"À migrer",TblApplications[Déjà incluse ROKS],"Non",TblApplications[Mois prov (calc)],"&lt;="&amp;$E645),SUMIFS(TblApplications[CPU IKS libérable (vCPU)],TblApplications[Cluster IKS source],$F645,TblApplications[Mois lib (calc)],"&lt;="&amp;$E645)))</f>
        <v/>
      </c>
      <c r="Q645" s="14" t="str">
        <f aca="false">IF($D645&lt;&gt;1,"",IF($G645="ROKS",SUMIFS(TblApplications[Besoin ROKS RAM (Go)],TblApplications[Cluster ROKS cible],$F645,TblApplications[Action],"À migrer",TblApplications[Déjà incluse ROKS],"Non",TblApplications[Mois prov (calc)],"&lt;="&amp;$E645),SUMIFS(TblApplications[RAM IKS libérable (Go)],TblApplications[Cluster IKS source],$F645,TblApplications[Mois lib (calc)],"&lt;="&amp;$E645)))</f>
        <v/>
      </c>
      <c r="R645" s="14" t="str">
        <f aca="false">IF($D645&lt;&gt;1,"",IF($G645="ROKS",$L645+$P645,IF($AI645=1,0,MAX($N645,$L645-$P645))))</f>
        <v/>
      </c>
      <c r="S645" s="14" t="str">
        <f aca="false">IF($D645&lt;&gt;1,"",IF($G645="ROKS",$M645+$Q645,IF($AI645=1,0,MAX($O645,$M645-$Q645))))</f>
        <v/>
      </c>
      <c r="T645" s="14" t="str">
        <f aca="false">IF($D645&lt;&gt;1,"",IF($AI645=1,0,MAX($J645,ROUNDUP(MAX($R645/$H645,$S645/$I645),0))))</f>
        <v/>
      </c>
      <c r="U645" s="14" t="str">
        <f aca="false">IF($D645&lt;&gt;1,"",IF(p_mode="Nœud",$T645*$H645,$R645))</f>
        <v/>
      </c>
      <c r="V645" s="14" t="str">
        <f aca="false">IF($D645&lt;&gt;1,"",IF(p_mode="Nœud",$T645*$I645,$S645))</f>
        <v/>
      </c>
      <c r="W645" s="84" t="str">
        <f aca="false">IF($D645&lt;&gt;1,"",IF(p_mode="Nœud",$T645*$K645,$R645*IF($G645="IKS",p_iks_cpu,p_roks_cpu)+$S645*IF($G645="IKS",p_iks_ram,p_roks_ram))*p_facteur)</f>
        <v/>
      </c>
      <c r="X645" s="14" t="str">
        <f aca="false">IF($D645&lt;&gt;1,"",IF($G645="ROKS",$R645,IF($AI645=1,0,MAX($N645,$L645-SUMIFS(TblApplications[CPU IKS libérable (vCPU)],TblApplications[Cluster IKS source],$F645,TblApplications[Action],"À migrer",TblApplications[Mois prov (calc)],"&lt;="&amp;$E645)-SUMIFS(TblApplications[CPU IKS libérable (vCPU)],TblApplications[Cluster IKS source],$F645,TblApplications[Action],"À décommissionner",TblApplications[Mois lib (calc)],"&lt;="&amp;$E645)))))</f>
        <v/>
      </c>
      <c r="Y645" s="14" t="str">
        <f aca="false">IF($D645&lt;&gt;1,"",IF($G645="ROKS",$S645,IF($AI645=1,0,MAX($O645,$M645-SUMIFS(TblApplications[RAM IKS libérable (Go)],TblApplications[Cluster IKS source],$F645,TblApplications[Action],"À migrer",TblApplications[Mois prov (calc)],"&lt;="&amp;$E645)-SUMIFS(TblApplications[RAM IKS libérable (Go)],TblApplications[Cluster IKS source],$F645,TblApplications[Action],"À décommissionner",TblApplications[Mois lib (calc)],"&lt;="&amp;$E645)))))</f>
        <v/>
      </c>
      <c r="Z645" s="14" t="str">
        <f aca="false">IF($D645&lt;&gt;1,"",IF($AI645=1,0,MAX($J645,ROUNDUP(MAX($X645/$H645,$Y645/$I645),0))))</f>
        <v/>
      </c>
      <c r="AA645" s="84" t="str">
        <f aca="false">IF($D645&lt;&gt;1,"",IF(p_mode="Nœud",$Z645*$K645,$X645*IF($G645="IKS",p_iks_cpu,p_roks_cpu)+$Y645*IF($G645="IKS",p_iks_ram,p_roks_ram))*p_facteur)</f>
        <v/>
      </c>
      <c r="AB645" s="14" t="str">
        <f aca="false">IF($D645&lt;&gt;1,"",MAX($J645,ROUNDUP(MAX($L645/$H645,$M645/$I645),0)))</f>
        <v/>
      </c>
      <c r="AC645" s="84" t="str">
        <f aca="false">IF($D645&lt;&gt;1,"",IF(p_mode="Nœud",$AB645*$K645,$L645*IF($G645="IKS",p_iks_cpu,p_roks_cpu)+$M645*IF($G645="IKS",p_iks_ram,p_roks_ram))*p_facteur)</f>
        <v/>
      </c>
      <c r="AD645" s="14" t="str">
        <f aca="false">IF($D645&lt;&gt;1,"",IF(AND($G645="IKS",$AI645&lt;&gt;1,OR($L645-$P645&lt;$N645,$M645-$Q645&lt;$O645)),1,0))</f>
        <v/>
      </c>
      <c r="AE645" s="14" t="str">
        <f aca="false">IF($D645&lt;&gt;1,"",IF(AND($G645="ROKS",$T645&gt;p_maxworkers),1,0))</f>
        <v/>
      </c>
      <c r="AF645" s="14" t="str">
        <f aca="false">IF($D645&lt;&gt;1,"",IF(INDEX(TblClusters[Environnement],$B645)="","(vide)",INDEX(TblClusters[Environnement],$B645)))</f>
        <v/>
      </c>
      <c r="AG645" s="14" t="str">
        <f aca="false">IF($D645&lt;&gt;1,"",$R645+p_poidsram*$S645)</f>
        <v/>
      </c>
      <c r="AH645" s="14" t="str">
        <f aca="false">IF($D645&lt;&gt;1,"",IFERROR($W645/$AG645,0))</f>
        <v/>
      </c>
      <c r="AI645" s="14" t="str">
        <f aca="false">IF($D645&lt;&gt;1,"",IF(AND($G645="IKS",ISNUMBER(INDEX(TblClusters[Fermeture retenue],$B645))),IF($E645&gt;=INDEX(TblClusters[Fermeture retenue],$B645),1,0),0))</f>
        <v/>
      </c>
    </row>
    <row r="646" customFormat="false" ht="15" hidden="false" customHeight="false" outlineLevel="0" collapsed="false">
      <c r="A646" s="14" t="n">
        <v>641</v>
      </c>
      <c r="B646" s="14" t="n">
        <f aca="false">INT(($A646-1)/36)+1</f>
        <v>18</v>
      </c>
      <c r="C646" s="14" t="n">
        <f aca="false">MOD($A646-1,36)+1</f>
        <v>29</v>
      </c>
      <c r="D646" s="14" t="n">
        <f aca="false">IF($C646&gt;p_horizon,0,IFERROR(IF(AND(INDEX(TblClusters[Cluster],$B646)&lt;&gt;"",ISNUMBER(INDEX(TblClusters[CPU initial (vCPU)],$B646)),ISNUMBER(INDEX(TblClusters[CPU min (vCPU)],$B646)),OR(INDEX(TblClusters[Plateforme],$B646)="IKS",INDEX(TblClusters[Plateforme],$B646)="ROKS")),1,0),0))</f>
        <v>0</v>
      </c>
      <c r="E646" s="83" t="str">
        <f aca="false">IF($D646=1,EDATE(p_debut,$C646-1),"")</f>
        <v/>
      </c>
      <c r="F646" s="14" t="str">
        <f aca="false">IF($D646=1,INDEX(TblClusters[Cluster],$B646),"")</f>
        <v/>
      </c>
      <c r="G646" s="14" t="str">
        <f aca="false">IF($D646=1,INDEX(TblClusters[Plateforme],$B646),"")</f>
        <v/>
      </c>
      <c r="H646" s="14" t="str">
        <f aca="false">IF($D646=1,INDEX(TblClusters[vCPU par nœud],$B646),"")</f>
        <v/>
      </c>
      <c r="I646" s="14" t="str">
        <f aca="false">IF($D646=1,INDEX(TblClusters[RAM par nœud (Go)],$B646),"")</f>
        <v/>
      </c>
      <c r="J646" s="14" t="str">
        <f aca="false">IF($D646=1,INDEX(TblClusters[Workers min],$B646),"")</f>
        <v/>
      </c>
      <c r="K646" s="84" t="str">
        <f aca="false">IF($D646=1,INDEX(TblClusters[Tarif par nœud],$B646),"")</f>
        <v/>
      </c>
      <c r="L646" s="14" t="str">
        <f aca="false">IF($D646=1,INDEX(TblClusters[CPU initial (vCPU)],$B646),"")</f>
        <v/>
      </c>
      <c r="M646" s="14" t="str">
        <f aca="false">IF($D646=1,INDEX(TblClusters[RAM initiale (Go)],$B646),"")</f>
        <v/>
      </c>
      <c r="N646" s="14" t="str">
        <f aca="false">IF($D646=1,INDEX(TblClusters[CPU min (vCPU)],$B646),"")</f>
        <v/>
      </c>
      <c r="O646" s="14" t="str">
        <f aca="false">IF($D646=1,INDEX(TblClusters[RAM min (Go)],$B646),"")</f>
        <v/>
      </c>
      <c r="P646" s="14" t="str">
        <f aca="false">IF($D646&lt;&gt;1,"",IF($G646="ROKS",SUMIFS(TblApplications[Besoin ROKS CPU (vCPU)],TblApplications[Cluster ROKS cible],$F646,TblApplications[Action],"À migrer",TblApplications[Déjà incluse ROKS],"Non",TblApplications[Mois prov (calc)],"&lt;="&amp;$E646),SUMIFS(TblApplications[CPU IKS libérable (vCPU)],TblApplications[Cluster IKS source],$F646,TblApplications[Mois lib (calc)],"&lt;="&amp;$E646)))</f>
        <v/>
      </c>
      <c r="Q646" s="14" t="str">
        <f aca="false">IF($D646&lt;&gt;1,"",IF($G646="ROKS",SUMIFS(TblApplications[Besoin ROKS RAM (Go)],TblApplications[Cluster ROKS cible],$F646,TblApplications[Action],"À migrer",TblApplications[Déjà incluse ROKS],"Non",TblApplications[Mois prov (calc)],"&lt;="&amp;$E646),SUMIFS(TblApplications[RAM IKS libérable (Go)],TblApplications[Cluster IKS source],$F646,TblApplications[Mois lib (calc)],"&lt;="&amp;$E646)))</f>
        <v/>
      </c>
      <c r="R646" s="14" t="str">
        <f aca="false">IF($D646&lt;&gt;1,"",IF($G646="ROKS",$L646+$P646,IF($AI646=1,0,MAX($N646,$L646-$P646))))</f>
        <v/>
      </c>
      <c r="S646" s="14" t="str">
        <f aca="false">IF($D646&lt;&gt;1,"",IF($G646="ROKS",$M646+$Q646,IF($AI646=1,0,MAX($O646,$M646-$Q646))))</f>
        <v/>
      </c>
      <c r="T646" s="14" t="str">
        <f aca="false">IF($D646&lt;&gt;1,"",IF($AI646=1,0,MAX($J646,ROUNDUP(MAX($R646/$H646,$S646/$I646),0))))</f>
        <v/>
      </c>
      <c r="U646" s="14" t="str">
        <f aca="false">IF($D646&lt;&gt;1,"",IF(p_mode="Nœud",$T646*$H646,$R646))</f>
        <v/>
      </c>
      <c r="V646" s="14" t="str">
        <f aca="false">IF($D646&lt;&gt;1,"",IF(p_mode="Nœud",$T646*$I646,$S646))</f>
        <v/>
      </c>
      <c r="W646" s="84" t="str">
        <f aca="false">IF($D646&lt;&gt;1,"",IF(p_mode="Nœud",$T646*$K646,$R646*IF($G646="IKS",p_iks_cpu,p_roks_cpu)+$S646*IF($G646="IKS",p_iks_ram,p_roks_ram))*p_facteur)</f>
        <v/>
      </c>
      <c r="X646" s="14" t="str">
        <f aca="false">IF($D646&lt;&gt;1,"",IF($G646="ROKS",$R646,IF($AI646=1,0,MAX($N646,$L646-SUMIFS(TblApplications[CPU IKS libérable (vCPU)],TblApplications[Cluster IKS source],$F646,TblApplications[Action],"À migrer",TblApplications[Mois prov (calc)],"&lt;="&amp;$E646)-SUMIFS(TblApplications[CPU IKS libérable (vCPU)],TblApplications[Cluster IKS source],$F646,TblApplications[Action],"À décommissionner",TblApplications[Mois lib (calc)],"&lt;="&amp;$E646)))))</f>
        <v/>
      </c>
      <c r="Y646" s="14" t="str">
        <f aca="false">IF($D646&lt;&gt;1,"",IF($G646="ROKS",$S646,IF($AI646=1,0,MAX($O646,$M646-SUMIFS(TblApplications[RAM IKS libérable (Go)],TblApplications[Cluster IKS source],$F646,TblApplications[Action],"À migrer",TblApplications[Mois prov (calc)],"&lt;="&amp;$E646)-SUMIFS(TblApplications[RAM IKS libérable (Go)],TblApplications[Cluster IKS source],$F646,TblApplications[Action],"À décommissionner",TblApplications[Mois lib (calc)],"&lt;="&amp;$E646)))))</f>
        <v/>
      </c>
      <c r="Z646" s="14" t="str">
        <f aca="false">IF($D646&lt;&gt;1,"",IF($AI646=1,0,MAX($J646,ROUNDUP(MAX($X646/$H646,$Y646/$I646),0))))</f>
        <v/>
      </c>
      <c r="AA646" s="84" t="str">
        <f aca="false">IF($D646&lt;&gt;1,"",IF(p_mode="Nœud",$Z646*$K646,$X646*IF($G646="IKS",p_iks_cpu,p_roks_cpu)+$Y646*IF($G646="IKS",p_iks_ram,p_roks_ram))*p_facteur)</f>
        <v/>
      </c>
      <c r="AB646" s="14" t="str">
        <f aca="false">IF($D646&lt;&gt;1,"",MAX($J646,ROUNDUP(MAX($L646/$H646,$M646/$I646),0)))</f>
        <v/>
      </c>
      <c r="AC646" s="84" t="str">
        <f aca="false">IF($D646&lt;&gt;1,"",IF(p_mode="Nœud",$AB646*$K646,$L646*IF($G646="IKS",p_iks_cpu,p_roks_cpu)+$M646*IF($G646="IKS",p_iks_ram,p_roks_ram))*p_facteur)</f>
        <v/>
      </c>
      <c r="AD646" s="14" t="str">
        <f aca="false">IF($D646&lt;&gt;1,"",IF(AND($G646="IKS",$AI646&lt;&gt;1,OR($L646-$P646&lt;$N646,$M646-$Q646&lt;$O646)),1,0))</f>
        <v/>
      </c>
      <c r="AE646" s="14" t="str">
        <f aca="false">IF($D646&lt;&gt;1,"",IF(AND($G646="ROKS",$T646&gt;p_maxworkers),1,0))</f>
        <v/>
      </c>
      <c r="AF646" s="14" t="str">
        <f aca="false">IF($D646&lt;&gt;1,"",IF(INDEX(TblClusters[Environnement],$B646)="","(vide)",INDEX(TblClusters[Environnement],$B646)))</f>
        <v/>
      </c>
      <c r="AG646" s="14" t="str">
        <f aca="false">IF($D646&lt;&gt;1,"",$R646+p_poidsram*$S646)</f>
        <v/>
      </c>
      <c r="AH646" s="14" t="str">
        <f aca="false">IF($D646&lt;&gt;1,"",IFERROR($W646/$AG646,0))</f>
        <v/>
      </c>
      <c r="AI646" s="14" t="str">
        <f aca="false">IF($D646&lt;&gt;1,"",IF(AND($G646="IKS",ISNUMBER(INDEX(TblClusters[Fermeture retenue],$B646))),IF($E646&gt;=INDEX(TblClusters[Fermeture retenue],$B646),1,0),0))</f>
        <v/>
      </c>
    </row>
    <row r="647" customFormat="false" ht="15" hidden="false" customHeight="false" outlineLevel="0" collapsed="false">
      <c r="A647" s="14" t="n">
        <v>642</v>
      </c>
      <c r="B647" s="14" t="n">
        <f aca="false">INT(($A647-1)/36)+1</f>
        <v>18</v>
      </c>
      <c r="C647" s="14" t="n">
        <f aca="false">MOD($A647-1,36)+1</f>
        <v>30</v>
      </c>
      <c r="D647" s="14" t="n">
        <f aca="false">IF($C647&gt;p_horizon,0,IFERROR(IF(AND(INDEX(TblClusters[Cluster],$B647)&lt;&gt;"",ISNUMBER(INDEX(TblClusters[CPU initial (vCPU)],$B647)),ISNUMBER(INDEX(TblClusters[CPU min (vCPU)],$B647)),OR(INDEX(TblClusters[Plateforme],$B647)="IKS",INDEX(TblClusters[Plateforme],$B647)="ROKS")),1,0),0))</f>
        <v>0</v>
      </c>
      <c r="E647" s="83" t="str">
        <f aca="false">IF($D647=1,EDATE(p_debut,$C647-1),"")</f>
        <v/>
      </c>
      <c r="F647" s="14" t="str">
        <f aca="false">IF($D647=1,INDEX(TblClusters[Cluster],$B647),"")</f>
        <v/>
      </c>
      <c r="G647" s="14" t="str">
        <f aca="false">IF($D647=1,INDEX(TblClusters[Plateforme],$B647),"")</f>
        <v/>
      </c>
      <c r="H647" s="14" t="str">
        <f aca="false">IF($D647=1,INDEX(TblClusters[vCPU par nœud],$B647),"")</f>
        <v/>
      </c>
      <c r="I647" s="14" t="str">
        <f aca="false">IF($D647=1,INDEX(TblClusters[RAM par nœud (Go)],$B647),"")</f>
        <v/>
      </c>
      <c r="J647" s="14" t="str">
        <f aca="false">IF($D647=1,INDEX(TblClusters[Workers min],$B647),"")</f>
        <v/>
      </c>
      <c r="K647" s="84" t="str">
        <f aca="false">IF($D647=1,INDEX(TblClusters[Tarif par nœud],$B647),"")</f>
        <v/>
      </c>
      <c r="L647" s="14" t="str">
        <f aca="false">IF($D647=1,INDEX(TblClusters[CPU initial (vCPU)],$B647),"")</f>
        <v/>
      </c>
      <c r="M647" s="14" t="str">
        <f aca="false">IF($D647=1,INDEX(TblClusters[RAM initiale (Go)],$B647),"")</f>
        <v/>
      </c>
      <c r="N647" s="14" t="str">
        <f aca="false">IF($D647=1,INDEX(TblClusters[CPU min (vCPU)],$B647),"")</f>
        <v/>
      </c>
      <c r="O647" s="14" t="str">
        <f aca="false">IF($D647=1,INDEX(TblClusters[RAM min (Go)],$B647),"")</f>
        <v/>
      </c>
      <c r="P647" s="14" t="str">
        <f aca="false">IF($D647&lt;&gt;1,"",IF($G647="ROKS",SUMIFS(TblApplications[Besoin ROKS CPU (vCPU)],TblApplications[Cluster ROKS cible],$F647,TblApplications[Action],"À migrer",TblApplications[Déjà incluse ROKS],"Non",TblApplications[Mois prov (calc)],"&lt;="&amp;$E647),SUMIFS(TblApplications[CPU IKS libérable (vCPU)],TblApplications[Cluster IKS source],$F647,TblApplications[Mois lib (calc)],"&lt;="&amp;$E647)))</f>
        <v/>
      </c>
      <c r="Q647" s="14" t="str">
        <f aca="false">IF($D647&lt;&gt;1,"",IF($G647="ROKS",SUMIFS(TblApplications[Besoin ROKS RAM (Go)],TblApplications[Cluster ROKS cible],$F647,TblApplications[Action],"À migrer",TblApplications[Déjà incluse ROKS],"Non",TblApplications[Mois prov (calc)],"&lt;="&amp;$E647),SUMIFS(TblApplications[RAM IKS libérable (Go)],TblApplications[Cluster IKS source],$F647,TblApplications[Mois lib (calc)],"&lt;="&amp;$E647)))</f>
        <v/>
      </c>
      <c r="R647" s="14" t="str">
        <f aca="false">IF($D647&lt;&gt;1,"",IF($G647="ROKS",$L647+$P647,IF($AI647=1,0,MAX($N647,$L647-$P647))))</f>
        <v/>
      </c>
      <c r="S647" s="14" t="str">
        <f aca="false">IF($D647&lt;&gt;1,"",IF($G647="ROKS",$M647+$Q647,IF($AI647=1,0,MAX($O647,$M647-$Q647))))</f>
        <v/>
      </c>
      <c r="T647" s="14" t="str">
        <f aca="false">IF($D647&lt;&gt;1,"",IF($AI647=1,0,MAX($J647,ROUNDUP(MAX($R647/$H647,$S647/$I647),0))))</f>
        <v/>
      </c>
      <c r="U647" s="14" t="str">
        <f aca="false">IF($D647&lt;&gt;1,"",IF(p_mode="Nœud",$T647*$H647,$R647))</f>
        <v/>
      </c>
      <c r="V647" s="14" t="str">
        <f aca="false">IF($D647&lt;&gt;1,"",IF(p_mode="Nœud",$T647*$I647,$S647))</f>
        <v/>
      </c>
      <c r="W647" s="84" t="str">
        <f aca="false">IF($D647&lt;&gt;1,"",IF(p_mode="Nœud",$T647*$K647,$R647*IF($G647="IKS",p_iks_cpu,p_roks_cpu)+$S647*IF($G647="IKS",p_iks_ram,p_roks_ram))*p_facteur)</f>
        <v/>
      </c>
      <c r="X647" s="14" t="str">
        <f aca="false">IF($D647&lt;&gt;1,"",IF($G647="ROKS",$R647,IF($AI647=1,0,MAX($N647,$L647-SUMIFS(TblApplications[CPU IKS libérable (vCPU)],TblApplications[Cluster IKS source],$F647,TblApplications[Action],"À migrer",TblApplications[Mois prov (calc)],"&lt;="&amp;$E647)-SUMIFS(TblApplications[CPU IKS libérable (vCPU)],TblApplications[Cluster IKS source],$F647,TblApplications[Action],"À décommissionner",TblApplications[Mois lib (calc)],"&lt;="&amp;$E647)))))</f>
        <v/>
      </c>
      <c r="Y647" s="14" t="str">
        <f aca="false">IF($D647&lt;&gt;1,"",IF($G647="ROKS",$S647,IF($AI647=1,0,MAX($O647,$M647-SUMIFS(TblApplications[RAM IKS libérable (Go)],TblApplications[Cluster IKS source],$F647,TblApplications[Action],"À migrer",TblApplications[Mois prov (calc)],"&lt;="&amp;$E647)-SUMIFS(TblApplications[RAM IKS libérable (Go)],TblApplications[Cluster IKS source],$F647,TblApplications[Action],"À décommissionner",TblApplications[Mois lib (calc)],"&lt;="&amp;$E647)))))</f>
        <v/>
      </c>
      <c r="Z647" s="14" t="str">
        <f aca="false">IF($D647&lt;&gt;1,"",IF($AI647=1,0,MAX($J647,ROUNDUP(MAX($X647/$H647,$Y647/$I647),0))))</f>
        <v/>
      </c>
      <c r="AA647" s="84" t="str">
        <f aca="false">IF($D647&lt;&gt;1,"",IF(p_mode="Nœud",$Z647*$K647,$X647*IF($G647="IKS",p_iks_cpu,p_roks_cpu)+$Y647*IF($G647="IKS",p_iks_ram,p_roks_ram))*p_facteur)</f>
        <v/>
      </c>
      <c r="AB647" s="14" t="str">
        <f aca="false">IF($D647&lt;&gt;1,"",MAX($J647,ROUNDUP(MAX($L647/$H647,$M647/$I647),0)))</f>
        <v/>
      </c>
      <c r="AC647" s="84" t="str">
        <f aca="false">IF($D647&lt;&gt;1,"",IF(p_mode="Nœud",$AB647*$K647,$L647*IF($G647="IKS",p_iks_cpu,p_roks_cpu)+$M647*IF($G647="IKS",p_iks_ram,p_roks_ram))*p_facteur)</f>
        <v/>
      </c>
      <c r="AD647" s="14" t="str">
        <f aca="false">IF($D647&lt;&gt;1,"",IF(AND($G647="IKS",$AI647&lt;&gt;1,OR($L647-$P647&lt;$N647,$M647-$Q647&lt;$O647)),1,0))</f>
        <v/>
      </c>
      <c r="AE647" s="14" t="str">
        <f aca="false">IF($D647&lt;&gt;1,"",IF(AND($G647="ROKS",$T647&gt;p_maxworkers),1,0))</f>
        <v/>
      </c>
      <c r="AF647" s="14" t="str">
        <f aca="false">IF($D647&lt;&gt;1,"",IF(INDEX(TblClusters[Environnement],$B647)="","(vide)",INDEX(TblClusters[Environnement],$B647)))</f>
        <v/>
      </c>
      <c r="AG647" s="14" t="str">
        <f aca="false">IF($D647&lt;&gt;1,"",$R647+p_poidsram*$S647)</f>
        <v/>
      </c>
      <c r="AH647" s="14" t="str">
        <f aca="false">IF($D647&lt;&gt;1,"",IFERROR($W647/$AG647,0))</f>
        <v/>
      </c>
      <c r="AI647" s="14" t="str">
        <f aca="false">IF($D647&lt;&gt;1,"",IF(AND($G647="IKS",ISNUMBER(INDEX(TblClusters[Fermeture retenue],$B647))),IF($E647&gt;=INDEX(TblClusters[Fermeture retenue],$B647),1,0),0))</f>
        <v/>
      </c>
    </row>
    <row r="648" customFormat="false" ht="15" hidden="false" customHeight="false" outlineLevel="0" collapsed="false">
      <c r="A648" s="14" t="n">
        <v>643</v>
      </c>
      <c r="B648" s="14" t="n">
        <f aca="false">INT(($A648-1)/36)+1</f>
        <v>18</v>
      </c>
      <c r="C648" s="14" t="n">
        <f aca="false">MOD($A648-1,36)+1</f>
        <v>31</v>
      </c>
      <c r="D648" s="14" t="n">
        <f aca="false">IF($C648&gt;p_horizon,0,IFERROR(IF(AND(INDEX(TblClusters[Cluster],$B648)&lt;&gt;"",ISNUMBER(INDEX(TblClusters[CPU initial (vCPU)],$B648)),ISNUMBER(INDEX(TblClusters[CPU min (vCPU)],$B648)),OR(INDEX(TblClusters[Plateforme],$B648)="IKS",INDEX(TblClusters[Plateforme],$B648)="ROKS")),1,0),0))</f>
        <v>0</v>
      </c>
      <c r="E648" s="83" t="str">
        <f aca="false">IF($D648=1,EDATE(p_debut,$C648-1),"")</f>
        <v/>
      </c>
      <c r="F648" s="14" t="str">
        <f aca="false">IF($D648=1,INDEX(TblClusters[Cluster],$B648),"")</f>
        <v/>
      </c>
      <c r="G648" s="14" t="str">
        <f aca="false">IF($D648=1,INDEX(TblClusters[Plateforme],$B648),"")</f>
        <v/>
      </c>
      <c r="H648" s="14" t="str">
        <f aca="false">IF($D648=1,INDEX(TblClusters[vCPU par nœud],$B648),"")</f>
        <v/>
      </c>
      <c r="I648" s="14" t="str">
        <f aca="false">IF($D648=1,INDEX(TblClusters[RAM par nœud (Go)],$B648),"")</f>
        <v/>
      </c>
      <c r="J648" s="14" t="str">
        <f aca="false">IF($D648=1,INDEX(TblClusters[Workers min],$B648),"")</f>
        <v/>
      </c>
      <c r="K648" s="84" t="str">
        <f aca="false">IF($D648=1,INDEX(TblClusters[Tarif par nœud],$B648),"")</f>
        <v/>
      </c>
      <c r="L648" s="14" t="str">
        <f aca="false">IF($D648=1,INDEX(TblClusters[CPU initial (vCPU)],$B648),"")</f>
        <v/>
      </c>
      <c r="M648" s="14" t="str">
        <f aca="false">IF($D648=1,INDEX(TblClusters[RAM initiale (Go)],$B648),"")</f>
        <v/>
      </c>
      <c r="N648" s="14" t="str">
        <f aca="false">IF($D648=1,INDEX(TblClusters[CPU min (vCPU)],$B648),"")</f>
        <v/>
      </c>
      <c r="O648" s="14" t="str">
        <f aca="false">IF($D648=1,INDEX(TblClusters[RAM min (Go)],$B648),"")</f>
        <v/>
      </c>
      <c r="P648" s="14" t="str">
        <f aca="false">IF($D648&lt;&gt;1,"",IF($G648="ROKS",SUMIFS(TblApplications[Besoin ROKS CPU (vCPU)],TblApplications[Cluster ROKS cible],$F648,TblApplications[Action],"À migrer",TblApplications[Déjà incluse ROKS],"Non",TblApplications[Mois prov (calc)],"&lt;="&amp;$E648),SUMIFS(TblApplications[CPU IKS libérable (vCPU)],TblApplications[Cluster IKS source],$F648,TblApplications[Mois lib (calc)],"&lt;="&amp;$E648)))</f>
        <v/>
      </c>
      <c r="Q648" s="14" t="str">
        <f aca="false">IF($D648&lt;&gt;1,"",IF($G648="ROKS",SUMIFS(TblApplications[Besoin ROKS RAM (Go)],TblApplications[Cluster ROKS cible],$F648,TblApplications[Action],"À migrer",TblApplications[Déjà incluse ROKS],"Non",TblApplications[Mois prov (calc)],"&lt;="&amp;$E648),SUMIFS(TblApplications[RAM IKS libérable (Go)],TblApplications[Cluster IKS source],$F648,TblApplications[Mois lib (calc)],"&lt;="&amp;$E648)))</f>
        <v/>
      </c>
      <c r="R648" s="14" t="str">
        <f aca="false">IF($D648&lt;&gt;1,"",IF($G648="ROKS",$L648+$P648,IF($AI648=1,0,MAX($N648,$L648-$P648))))</f>
        <v/>
      </c>
      <c r="S648" s="14" t="str">
        <f aca="false">IF($D648&lt;&gt;1,"",IF($G648="ROKS",$M648+$Q648,IF($AI648=1,0,MAX($O648,$M648-$Q648))))</f>
        <v/>
      </c>
      <c r="T648" s="14" t="str">
        <f aca="false">IF($D648&lt;&gt;1,"",IF($AI648=1,0,MAX($J648,ROUNDUP(MAX($R648/$H648,$S648/$I648),0))))</f>
        <v/>
      </c>
      <c r="U648" s="14" t="str">
        <f aca="false">IF($D648&lt;&gt;1,"",IF(p_mode="Nœud",$T648*$H648,$R648))</f>
        <v/>
      </c>
      <c r="V648" s="14" t="str">
        <f aca="false">IF($D648&lt;&gt;1,"",IF(p_mode="Nœud",$T648*$I648,$S648))</f>
        <v/>
      </c>
      <c r="W648" s="84" t="str">
        <f aca="false">IF($D648&lt;&gt;1,"",IF(p_mode="Nœud",$T648*$K648,$R648*IF($G648="IKS",p_iks_cpu,p_roks_cpu)+$S648*IF($G648="IKS",p_iks_ram,p_roks_ram))*p_facteur)</f>
        <v/>
      </c>
      <c r="X648" s="14" t="str">
        <f aca="false">IF($D648&lt;&gt;1,"",IF($G648="ROKS",$R648,IF($AI648=1,0,MAX($N648,$L648-SUMIFS(TblApplications[CPU IKS libérable (vCPU)],TblApplications[Cluster IKS source],$F648,TblApplications[Action],"À migrer",TblApplications[Mois prov (calc)],"&lt;="&amp;$E648)-SUMIFS(TblApplications[CPU IKS libérable (vCPU)],TblApplications[Cluster IKS source],$F648,TblApplications[Action],"À décommissionner",TblApplications[Mois lib (calc)],"&lt;="&amp;$E648)))))</f>
        <v/>
      </c>
      <c r="Y648" s="14" t="str">
        <f aca="false">IF($D648&lt;&gt;1,"",IF($G648="ROKS",$S648,IF($AI648=1,0,MAX($O648,$M648-SUMIFS(TblApplications[RAM IKS libérable (Go)],TblApplications[Cluster IKS source],$F648,TblApplications[Action],"À migrer",TblApplications[Mois prov (calc)],"&lt;="&amp;$E648)-SUMIFS(TblApplications[RAM IKS libérable (Go)],TblApplications[Cluster IKS source],$F648,TblApplications[Action],"À décommissionner",TblApplications[Mois lib (calc)],"&lt;="&amp;$E648)))))</f>
        <v/>
      </c>
      <c r="Z648" s="14" t="str">
        <f aca="false">IF($D648&lt;&gt;1,"",IF($AI648=1,0,MAX($J648,ROUNDUP(MAX($X648/$H648,$Y648/$I648),0))))</f>
        <v/>
      </c>
      <c r="AA648" s="84" t="str">
        <f aca="false">IF($D648&lt;&gt;1,"",IF(p_mode="Nœud",$Z648*$K648,$X648*IF($G648="IKS",p_iks_cpu,p_roks_cpu)+$Y648*IF($G648="IKS",p_iks_ram,p_roks_ram))*p_facteur)</f>
        <v/>
      </c>
      <c r="AB648" s="14" t="str">
        <f aca="false">IF($D648&lt;&gt;1,"",MAX($J648,ROUNDUP(MAX($L648/$H648,$M648/$I648),0)))</f>
        <v/>
      </c>
      <c r="AC648" s="84" t="str">
        <f aca="false">IF($D648&lt;&gt;1,"",IF(p_mode="Nœud",$AB648*$K648,$L648*IF($G648="IKS",p_iks_cpu,p_roks_cpu)+$M648*IF($G648="IKS",p_iks_ram,p_roks_ram))*p_facteur)</f>
        <v/>
      </c>
      <c r="AD648" s="14" t="str">
        <f aca="false">IF($D648&lt;&gt;1,"",IF(AND($G648="IKS",$AI648&lt;&gt;1,OR($L648-$P648&lt;$N648,$M648-$Q648&lt;$O648)),1,0))</f>
        <v/>
      </c>
      <c r="AE648" s="14" t="str">
        <f aca="false">IF($D648&lt;&gt;1,"",IF(AND($G648="ROKS",$T648&gt;p_maxworkers),1,0))</f>
        <v/>
      </c>
      <c r="AF648" s="14" t="str">
        <f aca="false">IF($D648&lt;&gt;1,"",IF(INDEX(TblClusters[Environnement],$B648)="","(vide)",INDEX(TblClusters[Environnement],$B648)))</f>
        <v/>
      </c>
      <c r="AG648" s="14" t="str">
        <f aca="false">IF($D648&lt;&gt;1,"",$R648+p_poidsram*$S648)</f>
        <v/>
      </c>
      <c r="AH648" s="14" t="str">
        <f aca="false">IF($D648&lt;&gt;1,"",IFERROR($W648/$AG648,0))</f>
        <v/>
      </c>
      <c r="AI648" s="14" t="str">
        <f aca="false">IF($D648&lt;&gt;1,"",IF(AND($G648="IKS",ISNUMBER(INDEX(TblClusters[Fermeture retenue],$B648))),IF($E648&gt;=INDEX(TblClusters[Fermeture retenue],$B648),1,0),0))</f>
        <v/>
      </c>
    </row>
    <row r="649" customFormat="false" ht="15" hidden="false" customHeight="false" outlineLevel="0" collapsed="false">
      <c r="A649" s="14" t="n">
        <v>644</v>
      </c>
      <c r="B649" s="14" t="n">
        <f aca="false">INT(($A649-1)/36)+1</f>
        <v>18</v>
      </c>
      <c r="C649" s="14" t="n">
        <f aca="false">MOD($A649-1,36)+1</f>
        <v>32</v>
      </c>
      <c r="D649" s="14" t="n">
        <f aca="false">IF($C649&gt;p_horizon,0,IFERROR(IF(AND(INDEX(TblClusters[Cluster],$B649)&lt;&gt;"",ISNUMBER(INDEX(TblClusters[CPU initial (vCPU)],$B649)),ISNUMBER(INDEX(TblClusters[CPU min (vCPU)],$B649)),OR(INDEX(TblClusters[Plateforme],$B649)="IKS",INDEX(TblClusters[Plateforme],$B649)="ROKS")),1,0),0))</f>
        <v>0</v>
      </c>
      <c r="E649" s="83" t="str">
        <f aca="false">IF($D649=1,EDATE(p_debut,$C649-1),"")</f>
        <v/>
      </c>
      <c r="F649" s="14" t="str">
        <f aca="false">IF($D649=1,INDEX(TblClusters[Cluster],$B649),"")</f>
        <v/>
      </c>
      <c r="G649" s="14" t="str">
        <f aca="false">IF($D649=1,INDEX(TblClusters[Plateforme],$B649),"")</f>
        <v/>
      </c>
      <c r="H649" s="14" t="str">
        <f aca="false">IF($D649=1,INDEX(TblClusters[vCPU par nœud],$B649),"")</f>
        <v/>
      </c>
      <c r="I649" s="14" t="str">
        <f aca="false">IF($D649=1,INDEX(TblClusters[RAM par nœud (Go)],$B649),"")</f>
        <v/>
      </c>
      <c r="J649" s="14" t="str">
        <f aca="false">IF($D649=1,INDEX(TblClusters[Workers min],$B649),"")</f>
        <v/>
      </c>
      <c r="K649" s="84" t="str">
        <f aca="false">IF($D649=1,INDEX(TblClusters[Tarif par nœud],$B649),"")</f>
        <v/>
      </c>
      <c r="L649" s="14" t="str">
        <f aca="false">IF($D649=1,INDEX(TblClusters[CPU initial (vCPU)],$B649),"")</f>
        <v/>
      </c>
      <c r="M649" s="14" t="str">
        <f aca="false">IF($D649=1,INDEX(TblClusters[RAM initiale (Go)],$B649),"")</f>
        <v/>
      </c>
      <c r="N649" s="14" t="str">
        <f aca="false">IF($D649=1,INDEX(TblClusters[CPU min (vCPU)],$B649),"")</f>
        <v/>
      </c>
      <c r="O649" s="14" t="str">
        <f aca="false">IF($D649=1,INDEX(TblClusters[RAM min (Go)],$B649),"")</f>
        <v/>
      </c>
      <c r="P649" s="14" t="str">
        <f aca="false">IF($D649&lt;&gt;1,"",IF($G649="ROKS",SUMIFS(TblApplications[Besoin ROKS CPU (vCPU)],TblApplications[Cluster ROKS cible],$F649,TblApplications[Action],"À migrer",TblApplications[Déjà incluse ROKS],"Non",TblApplications[Mois prov (calc)],"&lt;="&amp;$E649),SUMIFS(TblApplications[CPU IKS libérable (vCPU)],TblApplications[Cluster IKS source],$F649,TblApplications[Mois lib (calc)],"&lt;="&amp;$E649)))</f>
        <v/>
      </c>
      <c r="Q649" s="14" t="str">
        <f aca="false">IF($D649&lt;&gt;1,"",IF($G649="ROKS",SUMIFS(TblApplications[Besoin ROKS RAM (Go)],TblApplications[Cluster ROKS cible],$F649,TblApplications[Action],"À migrer",TblApplications[Déjà incluse ROKS],"Non",TblApplications[Mois prov (calc)],"&lt;="&amp;$E649),SUMIFS(TblApplications[RAM IKS libérable (Go)],TblApplications[Cluster IKS source],$F649,TblApplications[Mois lib (calc)],"&lt;="&amp;$E649)))</f>
        <v/>
      </c>
      <c r="R649" s="14" t="str">
        <f aca="false">IF($D649&lt;&gt;1,"",IF($G649="ROKS",$L649+$P649,IF($AI649=1,0,MAX($N649,$L649-$P649))))</f>
        <v/>
      </c>
      <c r="S649" s="14" t="str">
        <f aca="false">IF($D649&lt;&gt;1,"",IF($G649="ROKS",$M649+$Q649,IF($AI649=1,0,MAX($O649,$M649-$Q649))))</f>
        <v/>
      </c>
      <c r="T649" s="14" t="str">
        <f aca="false">IF($D649&lt;&gt;1,"",IF($AI649=1,0,MAX($J649,ROUNDUP(MAX($R649/$H649,$S649/$I649),0))))</f>
        <v/>
      </c>
      <c r="U649" s="14" t="str">
        <f aca="false">IF($D649&lt;&gt;1,"",IF(p_mode="Nœud",$T649*$H649,$R649))</f>
        <v/>
      </c>
      <c r="V649" s="14" t="str">
        <f aca="false">IF($D649&lt;&gt;1,"",IF(p_mode="Nœud",$T649*$I649,$S649))</f>
        <v/>
      </c>
      <c r="W649" s="84" t="str">
        <f aca="false">IF($D649&lt;&gt;1,"",IF(p_mode="Nœud",$T649*$K649,$R649*IF($G649="IKS",p_iks_cpu,p_roks_cpu)+$S649*IF($G649="IKS",p_iks_ram,p_roks_ram))*p_facteur)</f>
        <v/>
      </c>
      <c r="X649" s="14" t="str">
        <f aca="false">IF($D649&lt;&gt;1,"",IF($G649="ROKS",$R649,IF($AI649=1,0,MAX($N649,$L649-SUMIFS(TblApplications[CPU IKS libérable (vCPU)],TblApplications[Cluster IKS source],$F649,TblApplications[Action],"À migrer",TblApplications[Mois prov (calc)],"&lt;="&amp;$E649)-SUMIFS(TblApplications[CPU IKS libérable (vCPU)],TblApplications[Cluster IKS source],$F649,TblApplications[Action],"À décommissionner",TblApplications[Mois lib (calc)],"&lt;="&amp;$E649)))))</f>
        <v/>
      </c>
      <c r="Y649" s="14" t="str">
        <f aca="false">IF($D649&lt;&gt;1,"",IF($G649="ROKS",$S649,IF($AI649=1,0,MAX($O649,$M649-SUMIFS(TblApplications[RAM IKS libérable (Go)],TblApplications[Cluster IKS source],$F649,TblApplications[Action],"À migrer",TblApplications[Mois prov (calc)],"&lt;="&amp;$E649)-SUMIFS(TblApplications[RAM IKS libérable (Go)],TblApplications[Cluster IKS source],$F649,TblApplications[Action],"À décommissionner",TblApplications[Mois lib (calc)],"&lt;="&amp;$E649)))))</f>
        <v/>
      </c>
      <c r="Z649" s="14" t="str">
        <f aca="false">IF($D649&lt;&gt;1,"",IF($AI649=1,0,MAX($J649,ROUNDUP(MAX($X649/$H649,$Y649/$I649),0))))</f>
        <v/>
      </c>
      <c r="AA649" s="84" t="str">
        <f aca="false">IF($D649&lt;&gt;1,"",IF(p_mode="Nœud",$Z649*$K649,$X649*IF($G649="IKS",p_iks_cpu,p_roks_cpu)+$Y649*IF($G649="IKS",p_iks_ram,p_roks_ram))*p_facteur)</f>
        <v/>
      </c>
      <c r="AB649" s="14" t="str">
        <f aca="false">IF($D649&lt;&gt;1,"",MAX($J649,ROUNDUP(MAX($L649/$H649,$M649/$I649),0)))</f>
        <v/>
      </c>
      <c r="AC649" s="84" t="str">
        <f aca="false">IF($D649&lt;&gt;1,"",IF(p_mode="Nœud",$AB649*$K649,$L649*IF($G649="IKS",p_iks_cpu,p_roks_cpu)+$M649*IF($G649="IKS",p_iks_ram,p_roks_ram))*p_facteur)</f>
        <v/>
      </c>
      <c r="AD649" s="14" t="str">
        <f aca="false">IF($D649&lt;&gt;1,"",IF(AND($G649="IKS",$AI649&lt;&gt;1,OR($L649-$P649&lt;$N649,$M649-$Q649&lt;$O649)),1,0))</f>
        <v/>
      </c>
      <c r="AE649" s="14" t="str">
        <f aca="false">IF($D649&lt;&gt;1,"",IF(AND($G649="ROKS",$T649&gt;p_maxworkers),1,0))</f>
        <v/>
      </c>
      <c r="AF649" s="14" t="str">
        <f aca="false">IF($D649&lt;&gt;1,"",IF(INDEX(TblClusters[Environnement],$B649)="","(vide)",INDEX(TblClusters[Environnement],$B649)))</f>
        <v/>
      </c>
      <c r="AG649" s="14" t="str">
        <f aca="false">IF($D649&lt;&gt;1,"",$R649+p_poidsram*$S649)</f>
        <v/>
      </c>
      <c r="AH649" s="14" t="str">
        <f aca="false">IF($D649&lt;&gt;1,"",IFERROR($W649/$AG649,0))</f>
        <v/>
      </c>
      <c r="AI649" s="14" t="str">
        <f aca="false">IF($D649&lt;&gt;1,"",IF(AND($G649="IKS",ISNUMBER(INDEX(TblClusters[Fermeture retenue],$B649))),IF($E649&gt;=INDEX(TblClusters[Fermeture retenue],$B649),1,0),0))</f>
        <v/>
      </c>
    </row>
    <row r="650" customFormat="false" ht="15" hidden="false" customHeight="false" outlineLevel="0" collapsed="false">
      <c r="A650" s="14" t="n">
        <v>645</v>
      </c>
      <c r="B650" s="14" t="n">
        <f aca="false">INT(($A650-1)/36)+1</f>
        <v>18</v>
      </c>
      <c r="C650" s="14" t="n">
        <f aca="false">MOD($A650-1,36)+1</f>
        <v>33</v>
      </c>
      <c r="D650" s="14" t="n">
        <f aca="false">IF($C650&gt;p_horizon,0,IFERROR(IF(AND(INDEX(TblClusters[Cluster],$B650)&lt;&gt;"",ISNUMBER(INDEX(TblClusters[CPU initial (vCPU)],$B650)),ISNUMBER(INDEX(TblClusters[CPU min (vCPU)],$B650)),OR(INDEX(TblClusters[Plateforme],$B650)="IKS",INDEX(TblClusters[Plateforme],$B650)="ROKS")),1,0),0))</f>
        <v>0</v>
      </c>
      <c r="E650" s="83" t="str">
        <f aca="false">IF($D650=1,EDATE(p_debut,$C650-1),"")</f>
        <v/>
      </c>
      <c r="F650" s="14" t="str">
        <f aca="false">IF($D650=1,INDEX(TblClusters[Cluster],$B650),"")</f>
        <v/>
      </c>
      <c r="G650" s="14" t="str">
        <f aca="false">IF($D650=1,INDEX(TblClusters[Plateforme],$B650),"")</f>
        <v/>
      </c>
      <c r="H650" s="14" t="str">
        <f aca="false">IF($D650=1,INDEX(TblClusters[vCPU par nœud],$B650),"")</f>
        <v/>
      </c>
      <c r="I650" s="14" t="str">
        <f aca="false">IF($D650=1,INDEX(TblClusters[RAM par nœud (Go)],$B650),"")</f>
        <v/>
      </c>
      <c r="J650" s="14" t="str">
        <f aca="false">IF($D650=1,INDEX(TblClusters[Workers min],$B650),"")</f>
        <v/>
      </c>
      <c r="K650" s="84" t="str">
        <f aca="false">IF($D650=1,INDEX(TblClusters[Tarif par nœud],$B650),"")</f>
        <v/>
      </c>
      <c r="L650" s="14" t="str">
        <f aca="false">IF($D650=1,INDEX(TblClusters[CPU initial (vCPU)],$B650),"")</f>
        <v/>
      </c>
      <c r="M650" s="14" t="str">
        <f aca="false">IF($D650=1,INDEX(TblClusters[RAM initiale (Go)],$B650),"")</f>
        <v/>
      </c>
      <c r="N650" s="14" t="str">
        <f aca="false">IF($D650=1,INDEX(TblClusters[CPU min (vCPU)],$B650),"")</f>
        <v/>
      </c>
      <c r="O650" s="14" t="str">
        <f aca="false">IF($D650=1,INDEX(TblClusters[RAM min (Go)],$B650),"")</f>
        <v/>
      </c>
      <c r="P650" s="14" t="str">
        <f aca="false">IF($D650&lt;&gt;1,"",IF($G650="ROKS",SUMIFS(TblApplications[Besoin ROKS CPU (vCPU)],TblApplications[Cluster ROKS cible],$F650,TblApplications[Action],"À migrer",TblApplications[Déjà incluse ROKS],"Non",TblApplications[Mois prov (calc)],"&lt;="&amp;$E650),SUMIFS(TblApplications[CPU IKS libérable (vCPU)],TblApplications[Cluster IKS source],$F650,TblApplications[Mois lib (calc)],"&lt;="&amp;$E650)))</f>
        <v/>
      </c>
      <c r="Q650" s="14" t="str">
        <f aca="false">IF($D650&lt;&gt;1,"",IF($G650="ROKS",SUMIFS(TblApplications[Besoin ROKS RAM (Go)],TblApplications[Cluster ROKS cible],$F650,TblApplications[Action],"À migrer",TblApplications[Déjà incluse ROKS],"Non",TblApplications[Mois prov (calc)],"&lt;="&amp;$E650),SUMIFS(TblApplications[RAM IKS libérable (Go)],TblApplications[Cluster IKS source],$F650,TblApplications[Mois lib (calc)],"&lt;="&amp;$E650)))</f>
        <v/>
      </c>
      <c r="R650" s="14" t="str">
        <f aca="false">IF($D650&lt;&gt;1,"",IF($G650="ROKS",$L650+$P650,IF($AI650=1,0,MAX($N650,$L650-$P650))))</f>
        <v/>
      </c>
      <c r="S650" s="14" t="str">
        <f aca="false">IF($D650&lt;&gt;1,"",IF($G650="ROKS",$M650+$Q650,IF($AI650=1,0,MAX($O650,$M650-$Q650))))</f>
        <v/>
      </c>
      <c r="T650" s="14" t="str">
        <f aca="false">IF($D650&lt;&gt;1,"",IF($AI650=1,0,MAX($J650,ROUNDUP(MAX($R650/$H650,$S650/$I650),0))))</f>
        <v/>
      </c>
      <c r="U650" s="14" t="str">
        <f aca="false">IF($D650&lt;&gt;1,"",IF(p_mode="Nœud",$T650*$H650,$R650))</f>
        <v/>
      </c>
      <c r="V650" s="14" t="str">
        <f aca="false">IF($D650&lt;&gt;1,"",IF(p_mode="Nœud",$T650*$I650,$S650))</f>
        <v/>
      </c>
      <c r="W650" s="84" t="str">
        <f aca="false">IF($D650&lt;&gt;1,"",IF(p_mode="Nœud",$T650*$K650,$R650*IF($G650="IKS",p_iks_cpu,p_roks_cpu)+$S650*IF($G650="IKS",p_iks_ram,p_roks_ram))*p_facteur)</f>
        <v/>
      </c>
      <c r="X650" s="14" t="str">
        <f aca="false">IF($D650&lt;&gt;1,"",IF($G650="ROKS",$R650,IF($AI650=1,0,MAX($N650,$L650-SUMIFS(TblApplications[CPU IKS libérable (vCPU)],TblApplications[Cluster IKS source],$F650,TblApplications[Action],"À migrer",TblApplications[Mois prov (calc)],"&lt;="&amp;$E650)-SUMIFS(TblApplications[CPU IKS libérable (vCPU)],TblApplications[Cluster IKS source],$F650,TblApplications[Action],"À décommissionner",TblApplications[Mois lib (calc)],"&lt;="&amp;$E650)))))</f>
        <v/>
      </c>
      <c r="Y650" s="14" t="str">
        <f aca="false">IF($D650&lt;&gt;1,"",IF($G650="ROKS",$S650,IF($AI650=1,0,MAX($O650,$M650-SUMIFS(TblApplications[RAM IKS libérable (Go)],TblApplications[Cluster IKS source],$F650,TblApplications[Action],"À migrer",TblApplications[Mois prov (calc)],"&lt;="&amp;$E650)-SUMIFS(TblApplications[RAM IKS libérable (Go)],TblApplications[Cluster IKS source],$F650,TblApplications[Action],"À décommissionner",TblApplications[Mois lib (calc)],"&lt;="&amp;$E650)))))</f>
        <v/>
      </c>
      <c r="Z650" s="14" t="str">
        <f aca="false">IF($D650&lt;&gt;1,"",IF($AI650=1,0,MAX($J650,ROUNDUP(MAX($X650/$H650,$Y650/$I650),0))))</f>
        <v/>
      </c>
      <c r="AA650" s="84" t="str">
        <f aca="false">IF($D650&lt;&gt;1,"",IF(p_mode="Nœud",$Z650*$K650,$X650*IF($G650="IKS",p_iks_cpu,p_roks_cpu)+$Y650*IF($G650="IKS",p_iks_ram,p_roks_ram))*p_facteur)</f>
        <v/>
      </c>
      <c r="AB650" s="14" t="str">
        <f aca="false">IF($D650&lt;&gt;1,"",MAX($J650,ROUNDUP(MAX($L650/$H650,$M650/$I650),0)))</f>
        <v/>
      </c>
      <c r="AC650" s="84" t="str">
        <f aca="false">IF($D650&lt;&gt;1,"",IF(p_mode="Nœud",$AB650*$K650,$L650*IF($G650="IKS",p_iks_cpu,p_roks_cpu)+$M650*IF($G650="IKS",p_iks_ram,p_roks_ram))*p_facteur)</f>
        <v/>
      </c>
      <c r="AD650" s="14" t="str">
        <f aca="false">IF($D650&lt;&gt;1,"",IF(AND($G650="IKS",$AI650&lt;&gt;1,OR($L650-$P650&lt;$N650,$M650-$Q650&lt;$O650)),1,0))</f>
        <v/>
      </c>
      <c r="AE650" s="14" t="str">
        <f aca="false">IF($D650&lt;&gt;1,"",IF(AND($G650="ROKS",$T650&gt;p_maxworkers),1,0))</f>
        <v/>
      </c>
      <c r="AF650" s="14" t="str">
        <f aca="false">IF($D650&lt;&gt;1,"",IF(INDEX(TblClusters[Environnement],$B650)="","(vide)",INDEX(TblClusters[Environnement],$B650)))</f>
        <v/>
      </c>
      <c r="AG650" s="14" t="str">
        <f aca="false">IF($D650&lt;&gt;1,"",$R650+p_poidsram*$S650)</f>
        <v/>
      </c>
      <c r="AH650" s="14" t="str">
        <f aca="false">IF($D650&lt;&gt;1,"",IFERROR($W650/$AG650,0))</f>
        <v/>
      </c>
      <c r="AI650" s="14" t="str">
        <f aca="false">IF($D650&lt;&gt;1,"",IF(AND($G650="IKS",ISNUMBER(INDEX(TblClusters[Fermeture retenue],$B650))),IF($E650&gt;=INDEX(TblClusters[Fermeture retenue],$B650),1,0),0))</f>
        <v/>
      </c>
    </row>
    <row r="651" customFormat="false" ht="15" hidden="false" customHeight="false" outlineLevel="0" collapsed="false">
      <c r="A651" s="14" t="n">
        <v>646</v>
      </c>
      <c r="B651" s="14" t="n">
        <f aca="false">INT(($A651-1)/36)+1</f>
        <v>18</v>
      </c>
      <c r="C651" s="14" t="n">
        <f aca="false">MOD($A651-1,36)+1</f>
        <v>34</v>
      </c>
      <c r="D651" s="14" t="n">
        <f aca="false">IF($C651&gt;p_horizon,0,IFERROR(IF(AND(INDEX(TblClusters[Cluster],$B651)&lt;&gt;"",ISNUMBER(INDEX(TblClusters[CPU initial (vCPU)],$B651)),ISNUMBER(INDEX(TblClusters[CPU min (vCPU)],$B651)),OR(INDEX(TblClusters[Plateforme],$B651)="IKS",INDEX(TblClusters[Plateforme],$B651)="ROKS")),1,0),0))</f>
        <v>0</v>
      </c>
      <c r="E651" s="83" t="str">
        <f aca="false">IF($D651=1,EDATE(p_debut,$C651-1),"")</f>
        <v/>
      </c>
      <c r="F651" s="14" t="str">
        <f aca="false">IF($D651=1,INDEX(TblClusters[Cluster],$B651),"")</f>
        <v/>
      </c>
      <c r="G651" s="14" t="str">
        <f aca="false">IF($D651=1,INDEX(TblClusters[Plateforme],$B651),"")</f>
        <v/>
      </c>
      <c r="H651" s="14" t="str">
        <f aca="false">IF($D651=1,INDEX(TblClusters[vCPU par nœud],$B651),"")</f>
        <v/>
      </c>
      <c r="I651" s="14" t="str">
        <f aca="false">IF($D651=1,INDEX(TblClusters[RAM par nœud (Go)],$B651),"")</f>
        <v/>
      </c>
      <c r="J651" s="14" t="str">
        <f aca="false">IF($D651=1,INDEX(TblClusters[Workers min],$B651),"")</f>
        <v/>
      </c>
      <c r="K651" s="84" t="str">
        <f aca="false">IF($D651=1,INDEX(TblClusters[Tarif par nœud],$B651),"")</f>
        <v/>
      </c>
      <c r="L651" s="14" t="str">
        <f aca="false">IF($D651=1,INDEX(TblClusters[CPU initial (vCPU)],$B651),"")</f>
        <v/>
      </c>
      <c r="M651" s="14" t="str">
        <f aca="false">IF($D651=1,INDEX(TblClusters[RAM initiale (Go)],$B651),"")</f>
        <v/>
      </c>
      <c r="N651" s="14" t="str">
        <f aca="false">IF($D651=1,INDEX(TblClusters[CPU min (vCPU)],$B651),"")</f>
        <v/>
      </c>
      <c r="O651" s="14" t="str">
        <f aca="false">IF($D651=1,INDEX(TblClusters[RAM min (Go)],$B651),"")</f>
        <v/>
      </c>
      <c r="P651" s="14" t="str">
        <f aca="false">IF($D651&lt;&gt;1,"",IF($G651="ROKS",SUMIFS(TblApplications[Besoin ROKS CPU (vCPU)],TblApplications[Cluster ROKS cible],$F651,TblApplications[Action],"À migrer",TblApplications[Déjà incluse ROKS],"Non",TblApplications[Mois prov (calc)],"&lt;="&amp;$E651),SUMIFS(TblApplications[CPU IKS libérable (vCPU)],TblApplications[Cluster IKS source],$F651,TblApplications[Mois lib (calc)],"&lt;="&amp;$E651)))</f>
        <v/>
      </c>
      <c r="Q651" s="14" t="str">
        <f aca="false">IF($D651&lt;&gt;1,"",IF($G651="ROKS",SUMIFS(TblApplications[Besoin ROKS RAM (Go)],TblApplications[Cluster ROKS cible],$F651,TblApplications[Action],"À migrer",TblApplications[Déjà incluse ROKS],"Non",TblApplications[Mois prov (calc)],"&lt;="&amp;$E651),SUMIFS(TblApplications[RAM IKS libérable (Go)],TblApplications[Cluster IKS source],$F651,TblApplications[Mois lib (calc)],"&lt;="&amp;$E651)))</f>
        <v/>
      </c>
      <c r="R651" s="14" t="str">
        <f aca="false">IF($D651&lt;&gt;1,"",IF($G651="ROKS",$L651+$P651,IF($AI651=1,0,MAX($N651,$L651-$P651))))</f>
        <v/>
      </c>
      <c r="S651" s="14" t="str">
        <f aca="false">IF($D651&lt;&gt;1,"",IF($G651="ROKS",$M651+$Q651,IF($AI651=1,0,MAX($O651,$M651-$Q651))))</f>
        <v/>
      </c>
      <c r="T651" s="14" t="str">
        <f aca="false">IF($D651&lt;&gt;1,"",IF($AI651=1,0,MAX($J651,ROUNDUP(MAX($R651/$H651,$S651/$I651),0))))</f>
        <v/>
      </c>
      <c r="U651" s="14" t="str">
        <f aca="false">IF($D651&lt;&gt;1,"",IF(p_mode="Nœud",$T651*$H651,$R651))</f>
        <v/>
      </c>
      <c r="V651" s="14" t="str">
        <f aca="false">IF($D651&lt;&gt;1,"",IF(p_mode="Nœud",$T651*$I651,$S651))</f>
        <v/>
      </c>
      <c r="W651" s="84" t="str">
        <f aca="false">IF($D651&lt;&gt;1,"",IF(p_mode="Nœud",$T651*$K651,$R651*IF($G651="IKS",p_iks_cpu,p_roks_cpu)+$S651*IF($G651="IKS",p_iks_ram,p_roks_ram))*p_facteur)</f>
        <v/>
      </c>
      <c r="X651" s="14" t="str">
        <f aca="false">IF($D651&lt;&gt;1,"",IF($G651="ROKS",$R651,IF($AI651=1,0,MAX($N651,$L651-SUMIFS(TblApplications[CPU IKS libérable (vCPU)],TblApplications[Cluster IKS source],$F651,TblApplications[Action],"À migrer",TblApplications[Mois prov (calc)],"&lt;="&amp;$E651)-SUMIFS(TblApplications[CPU IKS libérable (vCPU)],TblApplications[Cluster IKS source],$F651,TblApplications[Action],"À décommissionner",TblApplications[Mois lib (calc)],"&lt;="&amp;$E651)))))</f>
        <v/>
      </c>
      <c r="Y651" s="14" t="str">
        <f aca="false">IF($D651&lt;&gt;1,"",IF($G651="ROKS",$S651,IF($AI651=1,0,MAX($O651,$M651-SUMIFS(TblApplications[RAM IKS libérable (Go)],TblApplications[Cluster IKS source],$F651,TblApplications[Action],"À migrer",TblApplications[Mois prov (calc)],"&lt;="&amp;$E651)-SUMIFS(TblApplications[RAM IKS libérable (Go)],TblApplications[Cluster IKS source],$F651,TblApplications[Action],"À décommissionner",TblApplications[Mois lib (calc)],"&lt;="&amp;$E651)))))</f>
        <v/>
      </c>
      <c r="Z651" s="14" t="str">
        <f aca="false">IF($D651&lt;&gt;1,"",IF($AI651=1,0,MAX($J651,ROUNDUP(MAX($X651/$H651,$Y651/$I651),0))))</f>
        <v/>
      </c>
      <c r="AA651" s="84" t="str">
        <f aca="false">IF($D651&lt;&gt;1,"",IF(p_mode="Nœud",$Z651*$K651,$X651*IF($G651="IKS",p_iks_cpu,p_roks_cpu)+$Y651*IF($G651="IKS",p_iks_ram,p_roks_ram))*p_facteur)</f>
        <v/>
      </c>
      <c r="AB651" s="14" t="str">
        <f aca="false">IF($D651&lt;&gt;1,"",MAX($J651,ROUNDUP(MAX($L651/$H651,$M651/$I651),0)))</f>
        <v/>
      </c>
      <c r="AC651" s="84" t="str">
        <f aca="false">IF($D651&lt;&gt;1,"",IF(p_mode="Nœud",$AB651*$K651,$L651*IF($G651="IKS",p_iks_cpu,p_roks_cpu)+$M651*IF($G651="IKS",p_iks_ram,p_roks_ram))*p_facteur)</f>
        <v/>
      </c>
      <c r="AD651" s="14" t="str">
        <f aca="false">IF($D651&lt;&gt;1,"",IF(AND($G651="IKS",$AI651&lt;&gt;1,OR($L651-$P651&lt;$N651,$M651-$Q651&lt;$O651)),1,0))</f>
        <v/>
      </c>
      <c r="AE651" s="14" t="str">
        <f aca="false">IF($D651&lt;&gt;1,"",IF(AND($G651="ROKS",$T651&gt;p_maxworkers),1,0))</f>
        <v/>
      </c>
      <c r="AF651" s="14" t="str">
        <f aca="false">IF($D651&lt;&gt;1,"",IF(INDEX(TblClusters[Environnement],$B651)="","(vide)",INDEX(TblClusters[Environnement],$B651)))</f>
        <v/>
      </c>
      <c r="AG651" s="14" t="str">
        <f aca="false">IF($D651&lt;&gt;1,"",$R651+p_poidsram*$S651)</f>
        <v/>
      </c>
      <c r="AH651" s="14" t="str">
        <f aca="false">IF($D651&lt;&gt;1,"",IFERROR($W651/$AG651,0))</f>
        <v/>
      </c>
      <c r="AI651" s="14" t="str">
        <f aca="false">IF($D651&lt;&gt;1,"",IF(AND($G651="IKS",ISNUMBER(INDEX(TblClusters[Fermeture retenue],$B651))),IF($E651&gt;=INDEX(TblClusters[Fermeture retenue],$B651),1,0),0))</f>
        <v/>
      </c>
    </row>
    <row r="652" customFormat="false" ht="15" hidden="false" customHeight="false" outlineLevel="0" collapsed="false">
      <c r="A652" s="14" t="n">
        <v>647</v>
      </c>
      <c r="B652" s="14" t="n">
        <f aca="false">INT(($A652-1)/36)+1</f>
        <v>18</v>
      </c>
      <c r="C652" s="14" t="n">
        <f aca="false">MOD($A652-1,36)+1</f>
        <v>35</v>
      </c>
      <c r="D652" s="14" t="n">
        <f aca="false">IF($C652&gt;p_horizon,0,IFERROR(IF(AND(INDEX(TblClusters[Cluster],$B652)&lt;&gt;"",ISNUMBER(INDEX(TblClusters[CPU initial (vCPU)],$B652)),ISNUMBER(INDEX(TblClusters[CPU min (vCPU)],$B652)),OR(INDEX(TblClusters[Plateforme],$B652)="IKS",INDEX(TblClusters[Plateforme],$B652)="ROKS")),1,0),0))</f>
        <v>0</v>
      </c>
      <c r="E652" s="83" t="str">
        <f aca="false">IF($D652=1,EDATE(p_debut,$C652-1),"")</f>
        <v/>
      </c>
      <c r="F652" s="14" t="str">
        <f aca="false">IF($D652=1,INDEX(TblClusters[Cluster],$B652),"")</f>
        <v/>
      </c>
      <c r="G652" s="14" t="str">
        <f aca="false">IF($D652=1,INDEX(TblClusters[Plateforme],$B652),"")</f>
        <v/>
      </c>
      <c r="H652" s="14" t="str">
        <f aca="false">IF($D652=1,INDEX(TblClusters[vCPU par nœud],$B652),"")</f>
        <v/>
      </c>
      <c r="I652" s="14" t="str">
        <f aca="false">IF($D652=1,INDEX(TblClusters[RAM par nœud (Go)],$B652),"")</f>
        <v/>
      </c>
      <c r="J652" s="14" t="str">
        <f aca="false">IF($D652=1,INDEX(TblClusters[Workers min],$B652),"")</f>
        <v/>
      </c>
      <c r="K652" s="84" t="str">
        <f aca="false">IF($D652=1,INDEX(TblClusters[Tarif par nœud],$B652),"")</f>
        <v/>
      </c>
      <c r="L652" s="14" t="str">
        <f aca="false">IF($D652=1,INDEX(TblClusters[CPU initial (vCPU)],$B652),"")</f>
        <v/>
      </c>
      <c r="M652" s="14" t="str">
        <f aca="false">IF($D652=1,INDEX(TblClusters[RAM initiale (Go)],$B652),"")</f>
        <v/>
      </c>
      <c r="N652" s="14" t="str">
        <f aca="false">IF($D652=1,INDEX(TblClusters[CPU min (vCPU)],$B652),"")</f>
        <v/>
      </c>
      <c r="O652" s="14" t="str">
        <f aca="false">IF($D652=1,INDEX(TblClusters[RAM min (Go)],$B652),"")</f>
        <v/>
      </c>
      <c r="P652" s="14" t="str">
        <f aca="false">IF($D652&lt;&gt;1,"",IF($G652="ROKS",SUMIFS(TblApplications[Besoin ROKS CPU (vCPU)],TblApplications[Cluster ROKS cible],$F652,TblApplications[Action],"À migrer",TblApplications[Déjà incluse ROKS],"Non",TblApplications[Mois prov (calc)],"&lt;="&amp;$E652),SUMIFS(TblApplications[CPU IKS libérable (vCPU)],TblApplications[Cluster IKS source],$F652,TblApplications[Mois lib (calc)],"&lt;="&amp;$E652)))</f>
        <v/>
      </c>
      <c r="Q652" s="14" t="str">
        <f aca="false">IF($D652&lt;&gt;1,"",IF($G652="ROKS",SUMIFS(TblApplications[Besoin ROKS RAM (Go)],TblApplications[Cluster ROKS cible],$F652,TblApplications[Action],"À migrer",TblApplications[Déjà incluse ROKS],"Non",TblApplications[Mois prov (calc)],"&lt;="&amp;$E652),SUMIFS(TblApplications[RAM IKS libérable (Go)],TblApplications[Cluster IKS source],$F652,TblApplications[Mois lib (calc)],"&lt;="&amp;$E652)))</f>
        <v/>
      </c>
      <c r="R652" s="14" t="str">
        <f aca="false">IF($D652&lt;&gt;1,"",IF($G652="ROKS",$L652+$P652,IF($AI652=1,0,MAX($N652,$L652-$P652))))</f>
        <v/>
      </c>
      <c r="S652" s="14" t="str">
        <f aca="false">IF($D652&lt;&gt;1,"",IF($G652="ROKS",$M652+$Q652,IF($AI652=1,0,MAX($O652,$M652-$Q652))))</f>
        <v/>
      </c>
      <c r="T652" s="14" t="str">
        <f aca="false">IF($D652&lt;&gt;1,"",IF($AI652=1,0,MAX($J652,ROUNDUP(MAX($R652/$H652,$S652/$I652),0))))</f>
        <v/>
      </c>
      <c r="U652" s="14" t="str">
        <f aca="false">IF($D652&lt;&gt;1,"",IF(p_mode="Nœud",$T652*$H652,$R652))</f>
        <v/>
      </c>
      <c r="V652" s="14" t="str">
        <f aca="false">IF($D652&lt;&gt;1,"",IF(p_mode="Nœud",$T652*$I652,$S652))</f>
        <v/>
      </c>
      <c r="W652" s="84" t="str">
        <f aca="false">IF($D652&lt;&gt;1,"",IF(p_mode="Nœud",$T652*$K652,$R652*IF($G652="IKS",p_iks_cpu,p_roks_cpu)+$S652*IF($G652="IKS",p_iks_ram,p_roks_ram))*p_facteur)</f>
        <v/>
      </c>
      <c r="X652" s="14" t="str">
        <f aca="false">IF($D652&lt;&gt;1,"",IF($G652="ROKS",$R652,IF($AI652=1,0,MAX($N652,$L652-SUMIFS(TblApplications[CPU IKS libérable (vCPU)],TblApplications[Cluster IKS source],$F652,TblApplications[Action],"À migrer",TblApplications[Mois prov (calc)],"&lt;="&amp;$E652)-SUMIFS(TblApplications[CPU IKS libérable (vCPU)],TblApplications[Cluster IKS source],$F652,TblApplications[Action],"À décommissionner",TblApplications[Mois lib (calc)],"&lt;="&amp;$E652)))))</f>
        <v/>
      </c>
      <c r="Y652" s="14" t="str">
        <f aca="false">IF($D652&lt;&gt;1,"",IF($G652="ROKS",$S652,IF($AI652=1,0,MAX($O652,$M652-SUMIFS(TblApplications[RAM IKS libérable (Go)],TblApplications[Cluster IKS source],$F652,TblApplications[Action],"À migrer",TblApplications[Mois prov (calc)],"&lt;="&amp;$E652)-SUMIFS(TblApplications[RAM IKS libérable (Go)],TblApplications[Cluster IKS source],$F652,TblApplications[Action],"À décommissionner",TblApplications[Mois lib (calc)],"&lt;="&amp;$E652)))))</f>
        <v/>
      </c>
      <c r="Z652" s="14" t="str">
        <f aca="false">IF($D652&lt;&gt;1,"",IF($AI652=1,0,MAX($J652,ROUNDUP(MAX($X652/$H652,$Y652/$I652),0))))</f>
        <v/>
      </c>
      <c r="AA652" s="84" t="str">
        <f aca="false">IF($D652&lt;&gt;1,"",IF(p_mode="Nœud",$Z652*$K652,$X652*IF($G652="IKS",p_iks_cpu,p_roks_cpu)+$Y652*IF($G652="IKS",p_iks_ram,p_roks_ram))*p_facteur)</f>
        <v/>
      </c>
      <c r="AB652" s="14" t="str">
        <f aca="false">IF($D652&lt;&gt;1,"",MAX($J652,ROUNDUP(MAX($L652/$H652,$M652/$I652),0)))</f>
        <v/>
      </c>
      <c r="AC652" s="84" t="str">
        <f aca="false">IF($D652&lt;&gt;1,"",IF(p_mode="Nœud",$AB652*$K652,$L652*IF($G652="IKS",p_iks_cpu,p_roks_cpu)+$M652*IF($G652="IKS",p_iks_ram,p_roks_ram))*p_facteur)</f>
        <v/>
      </c>
      <c r="AD652" s="14" t="str">
        <f aca="false">IF($D652&lt;&gt;1,"",IF(AND($G652="IKS",$AI652&lt;&gt;1,OR($L652-$P652&lt;$N652,$M652-$Q652&lt;$O652)),1,0))</f>
        <v/>
      </c>
      <c r="AE652" s="14" t="str">
        <f aca="false">IF($D652&lt;&gt;1,"",IF(AND($G652="ROKS",$T652&gt;p_maxworkers),1,0))</f>
        <v/>
      </c>
      <c r="AF652" s="14" t="str">
        <f aca="false">IF($D652&lt;&gt;1,"",IF(INDEX(TblClusters[Environnement],$B652)="","(vide)",INDEX(TblClusters[Environnement],$B652)))</f>
        <v/>
      </c>
      <c r="AG652" s="14" t="str">
        <f aca="false">IF($D652&lt;&gt;1,"",$R652+p_poidsram*$S652)</f>
        <v/>
      </c>
      <c r="AH652" s="14" t="str">
        <f aca="false">IF($D652&lt;&gt;1,"",IFERROR($W652/$AG652,0))</f>
        <v/>
      </c>
      <c r="AI652" s="14" t="str">
        <f aca="false">IF($D652&lt;&gt;1,"",IF(AND($G652="IKS",ISNUMBER(INDEX(TblClusters[Fermeture retenue],$B652))),IF($E652&gt;=INDEX(TblClusters[Fermeture retenue],$B652),1,0),0))</f>
        <v/>
      </c>
    </row>
    <row r="653" customFormat="false" ht="15" hidden="false" customHeight="false" outlineLevel="0" collapsed="false">
      <c r="A653" s="14" t="n">
        <v>648</v>
      </c>
      <c r="B653" s="14" t="n">
        <f aca="false">INT(($A653-1)/36)+1</f>
        <v>18</v>
      </c>
      <c r="C653" s="14" t="n">
        <f aca="false">MOD($A653-1,36)+1</f>
        <v>36</v>
      </c>
      <c r="D653" s="14" t="n">
        <f aca="false">IF($C653&gt;p_horizon,0,IFERROR(IF(AND(INDEX(TblClusters[Cluster],$B653)&lt;&gt;"",ISNUMBER(INDEX(TblClusters[CPU initial (vCPU)],$B653)),ISNUMBER(INDEX(TblClusters[CPU min (vCPU)],$B653)),OR(INDEX(TblClusters[Plateforme],$B653)="IKS",INDEX(TblClusters[Plateforme],$B653)="ROKS")),1,0),0))</f>
        <v>0</v>
      </c>
      <c r="E653" s="83" t="str">
        <f aca="false">IF($D653=1,EDATE(p_debut,$C653-1),"")</f>
        <v/>
      </c>
      <c r="F653" s="14" t="str">
        <f aca="false">IF($D653=1,INDEX(TblClusters[Cluster],$B653),"")</f>
        <v/>
      </c>
      <c r="G653" s="14" t="str">
        <f aca="false">IF($D653=1,INDEX(TblClusters[Plateforme],$B653),"")</f>
        <v/>
      </c>
      <c r="H653" s="14" t="str">
        <f aca="false">IF($D653=1,INDEX(TblClusters[vCPU par nœud],$B653),"")</f>
        <v/>
      </c>
      <c r="I653" s="14" t="str">
        <f aca="false">IF($D653=1,INDEX(TblClusters[RAM par nœud (Go)],$B653),"")</f>
        <v/>
      </c>
      <c r="J653" s="14" t="str">
        <f aca="false">IF($D653=1,INDEX(TblClusters[Workers min],$B653),"")</f>
        <v/>
      </c>
      <c r="K653" s="84" t="str">
        <f aca="false">IF($D653=1,INDEX(TblClusters[Tarif par nœud],$B653),"")</f>
        <v/>
      </c>
      <c r="L653" s="14" t="str">
        <f aca="false">IF($D653=1,INDEX(TblClusters[CPU initial (vCPU)],$B653),"")</f>
        <v/>
      </c>
      <c r="M653" s="14" t="str">
        <f aca="false">IF($D653=1,INDEX(TblClusters[RAM initiale (Go)],$B653),"")</f>
        <v/>
      </c>
      <c r="N653" s="14" t="str">
        <f aca="false">IF($D653=1,INDEX(TblClusters[CPU min (vCPU)],$B653),"")</f>
        <v/>
      </c>
      <c r="O653" s="14" t="str">
        <f aca="false">IF($D653=1,INDEX(TblClusters[RAM min (Go)],$B653),"")</f>
        <v/>
      </c>
      <c r="P653" s="14" t="str">
        <f aca="false">IF($D653&lt;&gt;1,"",IF($G653="ROKS",SUMIFS(TblApplications[Besoin ROKS CPU (vCPU)],TblApplications[Cluster ROKS cible],$F653,TblApplications[Action],"À migrer",TblApplications[Déjà incluse ROKS],"Non",TblApplications[Mois prov (calc)],"&lt;="&amp;$E653),SUMIFS(TblApplications[CPU IKS libérable (vCPU)],TblApplications[Cluster IKS source],$F653,TblApplications[Mois lib (calc)],"&lt;="&amp;$E653)))</f>
        <v/>
      </c>
      <c r="Q653" s="14" t="str">
        <f aca="false">IF($D653&lt;&gt;1,"",IF($G653="ROKS",SUMIFS(TblApplications[Besoin ROKS RAM (Go)],TblApplications[Cluster ROKS cible],$F653,TblApplications[Action],"À migrer",TblApplications[Déjà incluse ROKS],"Non",TblApplications[Mois prov (calc)],"&lt;="&amp;$E653),SUMIFS(TblApplications[RAM IKS libérable (Go)],TblApplications[Cluster IKS source],$F653,TblApplications[Mois lib (calc)],"&lt;="&amp;$E653)))</f>
        <v/>
      </c>
      <c r="R653" s="14" t="str">
        <f aca="false">IF($D653&lt;&gt;1,"",IF($G653="ROKS",$L653+$P653,IF($AI653=1,0,MAX($N653,$L653-$P653))))</f>
        <v/>
      </c>
      <c r="S653" s="14" t="str">
        <f aca="false">IF($D653&lt;&gt;1,"",IF($G653="ROKS",$M653+$Q653,IF($AI653=1,0,MAX($O653,$M653-$Q653))))</f>
        <v/>
      </c>
      <c r="T653" s="14" t="str">
        <f aca="false">IF($D653&lt;&gt;1,"",IF($AI653=1,0,MAX($J653,ROUNDUP(MAX($R653/$H653,$S653/$I653),0))))</f>
        <v/>
      </c>
      <c r="U653" s="14" t="str">
        <f aca="false">IF($D653&lt;&gt;1,"",IF(p_mode="Nœud",$T653*$H653,$R653))</f>
        <v/>
      </c>
      <c r="V653" s="14" t="str">
        <f aca="false">IF($D653&lt;&gt;1,"",IF(p_mode="Nœud",$T653*$I653,$S653))</f>
        <v/>
      </c>
      <c r="W653" s="84" t="str">
        <f aca="false">IF($D653&lt;&gt;1,"",IF(p_mode="Nœud",$T653*$K653,$R653*IF($G653="IKS",p_iks_cpu,p_roks_cpu)+$S653*IF($G653="IKS",p_iks_ram,p_roks_ram))*p_facteur)</f>
        <v/>
      </c>
      <c r="X653" s="14" t="str">
        <f aca="false">IF($D653&lt;&gt;1,"",IF($G653="ROKS",$R653,IF($AI653=1,0,MAX($N653,$L653-SUMIFS(TblApplications[CPU IKS libérable (vCPU)],TblApplications[Cluster IKS source],$F653,TblApplications[Action],"À migrer",TblApplications[Mois prov (calc)],"&lt;="&amp;$E653)-SUMIFS(TblApplications[CPU IKS libérable (vCPU)],TblApplications[Cluster IKS source],$F653,TblApplications[Action],"À décommissionner",TblApplications[Mois lib (calc)],"&lt;="&amp;$E653)))))</f>
        <v/>
      </c>
      <c r="Y653" s="14" t="str">
        <f aca="false">IF($D653&lt;&gt;1,"",IF($G653="ROKS",$S653,IF($AI653=1,0,MAX($O653,$M653-SUMIFS(TblApplications[RAM IKS libérable (Go)],TblApplications[Cluster IKS source],$F653,TblApplications[Action],"À migrer",TblApplications[Mois prov (calc)],"&lt;="&amp;$E653)-SUMIFS(TblApplications[RAM IKS libérable (Go)],TblApplications[Cluster IKS source],$F653,TblApplications[Action],"À décommissionner",TblApplications[Mois lib (calc)],"&lt;="&amp;$E653)))))</f>
        <v/>
      </c>
      <c r="Z653" s="14" t="str">
        <f aca="false">IF($D653&lt;&gt;1,"",IF($AI653=1,0,MAX($J653,ROUNDUP(MAX($X653/$H653,$Y653/$I653),0))))</f>
        <v/>
      </c>
      <c r="AA653" s="84" t="str">
        <f aca="false">IF($D653&lt;&gt;1,"",IF(p_mode="Nœud",$Z653*$K653,$X653*IF($G653="IKS",p_iks_cpu,p_roks_cpu)+$Y653*IF($G653="IKS",p_iks_ram,p_roks_ram))*p_facteur)</f>
        <v/>
      </c>
      <c r="AB653" s="14" t="str">
        <f aca="false">IF($D653&lt;&gt;1,"",MAX($J653,ROUNDUP(MAX($L653/$H653,$M653/$I653),0)))</f>
        <v/>
      </c>
      <c r="AC653" s="84" t="str">
        <f aca="false">IF($D653&lt;&gt;1,"",IF(p_mode="Nœud",$AB653*$K653,$L653*IF($G653="IKS",p_iks_cpu,p_roks_cpu)+$M653*IF($G653="IKS",p_iks_ram,p_roks_ram))*p_facteur)</f>
        <v/>
      </c>
      <c r="AD653" s="14" t="str">
        <f aca="false">IF($D653&lt;&gt;1,"",IF(AND($G653="IKS",$AI653&lt;&gt;1,OR($L653-$P653&lt;$N653,$M653-$Q653&lt;$O653)),1,0))</f>
        <v/>
      </c>
      <c r="AE653" s="14" t="str">
        <f aca="false">IF($D653&lt;&gt;1,"",IF(AND($G653="ROKS",$T653&gt;p_maxworkers),1,0))</f>
        <v/>
      </c>
      <c r="AF653" s="14" t="str">
        <f aca="false">IF($D653&lt;&gt;1,"",IF(INDEX(TblClusters[Environnement],$B653)="","(vide)",INDEX(TblClusters[Environnement],$B653)))</f>
        <v/>
      </c>
      <c r="AG653" s="14" t="str">
        <f aca="false">IF($D653&lt;&gt;1,"",$R653+p_poidsram*$S653)</f>
        <v/>
      </c>
      <c r="AH653" s="14" t="str">
        <f aca="false">IF($D653&lt;&gt;1,"",IFERROR($W653/$AG653,0))</f>
        <v/>
      </c>
      <c r="AI653" s="14" t="str">
        <f aca="false">IF($D653&lt;&gt;1,"",IF(AND($G653="IKS",ISNUMBER(INDEX(TblClusters[Fermeture retenue],$B653))),IF($E653&gt;=INDEX(TblClusters[Fermeture retenue],$B653),1,0),0))</f>
        <v/>
      </c>
    </row>
    <row r="654" customFormat="false" ht="15" hidden="false" customHeight="false" outlineLevel="0" collapsed="false">
      <c r="A654" s="14" t="n">
        <v>649</v>
      </c>
      <c r="B654" s="14" t="n">
        <f aca="false">INT(($A654-1)/36)+1</f>
        <v>19</v>
      </c>
      <c r="C654" s="14" t="n">
        <f aca="false">MOD($A654-1,36)+1</f>
        <v>1</v>
      </c>
      <c r="D654" s="14" t="n">
        <f aca="false">IF($C654&gt;p_horizon,0,IFERROR(IF(AND(INDEX(TblClusters[Cluster],$B654)&lt;&gt;"",ISNUMBER(INDEX(TblClusters[CPU initial (vCPU)],$B654)),ISNUMBER(INDEX(TblClusters[CPU min (vCPU)],$B654)),OR(INDEX(TblClusters[Plateforme],$B654)="IKS",INDEX(TblClusters[Plateforme],$B654)="ROKS")),1,0),0))</f>
        <v>0</v>
      </c>
      <c r="E654" s="83" t="str">
        <f aca="false">IF($D654=1,EDATE(p_debut,$C654-1),"")</f>
        <v/>
      </c>
      <c r="F654" s="14" t="str">
        <f aca="false">IF($D654=1,INDEX(TblClusters[Cluster],$B654),"")</f>
        <v/>
      </c>
      <c r="G654" s="14" t="str">
        <f aca="false">IF($D654=1,INDEX(TblClusters[Plateforme],$B654),"")</f>
        <v/>
      </c>
      <c r="H654" s="14" t="str">
        <f aca="false">IF($D654=1,INDEX(TblClusters[vCPU par nœud],$B654),"")</f>
        <v/>
      </c>
      <c r="I654" s="14" t="str">
        <f aca="false">IF($D654=1,INDEX(TblClusters[RAM par nœud (Go)],$B654),"")</f>
        <v/>
      </c>
      <c r="J654" s="14" t="str">
        <f aca="false">IF($D654=1,INDEX(TblClusters[Workers min],$B654),"")</f>
        <v/>
      </c>
      <c r="K654" s="84" t="str">
        <f aca="false">IF($D654=1,INDEX(TblClusters[Tarif par nœud],$B654),"")</f>
        <v/>
      </c>
      <c r="L654" s="14" t="str">
        <f aca="false">IF($D654=1,INDEX(TblClusters[CPU initial (vCPU)],$B654),"")</f>
        <v/>
      </c>
      <c r="M654" s="14" t="str">
        <f aca="false">IF($D654=1,INDEX(TblClusters[RAM initiale (Go)],$B654),"")</f>
        <v/>
      </c>
      <c r="N654" s="14" t="str">
        <f aca="false">IF($D654=1,INDEX(TblClusters[CPU min (vCPU)],$B654),"")</f>
        <v/>
      </c>
      <c r="O654" s="14" t="str">
        <f aca="false">IF($D654=1,INDEX(TblClusters[RAM min (Go)],$B654),"")</f>
        <v/>
      </c>
      <c r="P654" s="14" t="str">
        <f aca="false">IF($D654&lt;&gt;1,"",IF($G654="ROKS",SUMIFS(TblApplications[Besoin ROKS CPU (vCPU)],TblApplications[Cluster ROKS cible],$F654,TblApplications[Action],"À migrer",TblApplications[Déjà incluse ROKS],"Non",TblApplications[Mois prov (calc)],"&lt;="&amp;$E654),SUMIFS(TblApplications[CPU IKS libérable (vCPU)],TblApplications[Cluster IKS source],$F654,TblApplications[Mois lib (calc)],"&lt;="&amp;$E654)))</f>
        <v/>
      </c>
      <c r="Q654" s="14" t="str">
        <f aca="false">IF($D654&lt;&gt;1,"",IF($G654="ROKS",SUMIFS(TblApplications[Besoin ROKS RAM (Go)],TblApplications[Cluster ROKS cible],$F654,TblApplications[Action],"À migrer",TblApplications[Déjà incluse ROKS],"Non",TblApplications[Mois prov (calc)],"&lt;="&amp;$E654),SUMIFS(TblApplications[RAM IKS libérable (Go)],TblApplications[Cluster IKS source],$F654,TblApplications[Mois lib (calc)],"&lt;="&amp;$E654)))</f>
        <v/>
      </c>
      <c r="R654" s="14" t="str">
        <f aca="false">IF($D654&lt;&gt;1,"",IF($G654="ROKS",$L654+$P654,IF($AI654=1,0,MAX($N654,$L654-$P654))))</f>
        <v/>
      </c>
      <c r="S654" s="14" t="str">
        <f aca="false">IF($D654&lt;&gt;1,"",IF($G654="ROKS",$M654+$Q654,IF($AI654=1,0,MAX($O654,$M654-$Q654))))</f>
        <v/>
      </c>
      <c r="T654" s="14" t="str">
        <f aca="false">IF($D654&lt;&gt;1,"",IF($AI654=1,0,MAX($J654,ROUNDUP(MAX($R654/$H654,$S654/$I654),0))))</f>
        <v/>
      </c>
      <c r="U654" s="14" t="str">
        <f aca="false">IF($D654&lt;&gt;1,"",IF(p_mode="Nœud",$T654*$H654,$R654))</f>
        <v/>
      </c>
      <c r="V654" s="14" t="str">
        <f aca="false">IF($D654&lt;&gt;1,"",IF(p_mode="Nœud",$T654*$I654,$S654))</f>
        <v/>
      </c>
      <c r="W654" s="84" t="str">
        <f aca="false">IF($D654&lt;&gt;1,"",IF(p_mode="Nœud",$T654*$K654,$R654*IF($G654="IKS",p_iks_cpu,p_roks_cpu)+$S654*IF($G654="IKS",p_iks_ram,p_roks_ram))*p_facteur)</f>
        <v/>
      </c>
      <c r="X654" s="14" t="str">
        <f aca="false">IF($D654&lt;&gt;1,"",IF($G654="ROKS",$R654,IF($AI654=1,0,MAX($N654,$L654-SUMIFS(TblApplications[CPU IKS libérable (vCPU)],TblApplications[Cluster IKS source],$F654,TblApplications[Action],"À migrer",TblApplications[Mois prov (calc)],"&lt;="&amp;$E654)-SUMIFS(TblApplications[CPU IKS libérable (vCPU)],TblApplications[Cluster IKS source],$F654,TblApplications[Action],"À décommissionner",TblApplications[Mois lib (calc)],"&lt;="&amp;$E654)))))</f>
        <v/>
      </c>
      <c r="Y654" s="14" t="str">
        <f aca="false">IF($D654&lt;&gt;1,"",IF($G654="ROKS",$S654,IF($AI654=1,0,MAX($O654,$M654-SUMIFS(TblApplications[RAM IKS libérable (Go)],TblApplications[Cluster IKS source],$F654,TblApplications[Action],"À migrer",TblApplications[Mois prov (calc)],"&lt;="&amp;$E654)-SUMIFS(TblApplications[RAM IKS libérable (Go)],TblApplications[Cluster IKS source],$F654,TblApplications[Action],"À décommissionner",TblApplications[Mois lib (calc)],"&lt;="&amp;$E654)))))</f>
        <v/>
      </c>
      <c r="Z654" s="14" t="str">
        <f aca="false">IF($D654&lt;&gt;1,"",IF($AI654=1,0,MAX($J654,ROUNDUP(MAX($X654/$H654,$Y654/$I654),0))))</f>
        <v/>
      </c>
      <c r="AA654" s="84" t="str">
        <f aca="false">IF($D654&lt;&gt;1,"",IF(p_mode="Nœud",$Z654*$K654,$X654*IF($G654="IKS",p_iks_cpu,p_roks_cpu)+$Y654*IF($G654="IKS",p_iks_ram,p_roks_ram))*p_facteur)</f>
        <v/>
      </c>
      <c r="AB654" s="14" t="str">
        <f aca="false">IF($D654&lt;&gt;1,"",MAX($J654,ROUNDUP(MAX($L654/$H654,$M654/$I654),0)))</f>
        <v/>
      </c>
      <c r="AC654" s="84" t="str">
        <f aca="false">IF($D654&lt;&gt;1,"",IF(p_mode="Nœud",$AB654*$K654,$L654*IF($G654="IKS",p_iks_cpu,p_roks_cpu)+$M654*IF($G654="IKS",p_iks_ram,p_roks_ram))*p_facteur)</f>
        <v/>
      </c>
      <c r="AD654" s="14" t="str">
        <f aca="false">IF($D654&lt;&gt;1,"",IF(AND($G654="IKS",$AI654&lt;&gt;1,OR($L654-$P654&lt;$N654,$M654-$Q654&lt;$O654)),1,0))</f>
        <v/>
      </c>
      <c r="AE654" s="14" t="str">
        <f aca="false">IF($D654&lt;&gt;1,"",IF(AND($G654="ROKS",$T654&gt;p_maxworkers),1,0))</f>
        <v/>
      </c>
      <c r="AF654" s="14" t="str">
        <f aca="false">IF($D654&lt;&gt;1,"",IF(INDEX(TblClusters[Environnement],$B654)="","(vide)",INDEX(TblClusters[Environnement],$B654)))</f>
        <v/>
      </c>
      <c r="AG654" s="14" t="str">
        <f aca="false">IF($D654&lt;&gt;1,"",$R654+p_poidsram*$S654)</f>
        <v/>
      </c>
      <c r="AH654" s="14" t="str">
        <f aca="false">IF($D654&lt;&gt;1,"",IFERROR($W654/$AG654,0))</f>
        <v/>
      </c>
      <c r="AI654" s="14" t="str">
        <f aca="false">IF($D654&lt;&gt;1,"",IF(AND($G654="IKS",ISNUMBER(INDEX(TblClusters[Fermeture retenue],$B654))),IF($E654&gt;=INDEX(TblClusters[Fermeture retenue],$B654),1,0),0))</f>
        <v/>
      </c>
    </row>
    <row r="655" customFormat="false" ht="15" hidden="false" customHeight="false" outlineLevel="0" collapsed="false">
      <c r="A655" s="14" t="n">
        <v>650</v>
      </c>
      <c r="B655" s="14" t="n">
        <f aca="false">INT(($A655-1)/36)+1</f>
        <v>19</v>
      </c>
      <c r="C655" s="14" t="n">
        <f aca="false">MOD($A655-1,36)+1</f>
        <v>2</v>
      </c>
      <c r="D655" s="14" t="n">
        <f aca="false">IF($C655&gt;p_horizon,0,IFERROR(IF(AND(INDEX(TblClusters[Cluster],$B655)&lt;&gt;"",ISNUMBER(INDEX(TblClusters[CPU initial (vCPU)],$B655)),ISNUMBER(INDEX(TblClusters[CPU min (vCPU)],$B655)),OR(INDEX(TblClusters[Plateforme],$B655)="IKS",INDEX(TblClusters[Plateforme],$B655)="ROKS")),1,0),0))</f>
        <v>0</v>
      </c>
      <c r="E655" s="83" t="str">
        <f aca="false">IF($D655=1,EDATE(p_debut,$C655-1),"")</f>
        <v/>
      </c>
      <c r="F655" s="14" t="str">
        <f aca="false">IF($D655=1,INDEX(TblClusters[Cluster],$B655),"")</f>
        <v/>
      </c>
      <c r="G655" s="14" t="str">
        <f aca="false">IF($D655=1,INDEX(TblClusters[Plateforme],$B655),"")</f>
        <v/>
      </c>
      <c r="H655" s="14" t="str">
        <f aca="false">IF($D655=1,INDEX(TblClusters[vCPU par nœud],$B655),"")</f>
        <v/>
      </c>
      <c r="I655" s="14" t="str">
        <f aca="false">IF($D655=1,INDEX(TblClusters[RAM par nœud (Go)],$B655),"")</f>
        <v/>
      </c>
      <c r="J655" s="14" t="str">
        <f aca="false">IF($D655=1,INDEX(TblClusters[Workers min],$B655),"")</f>
        <v/>
      </c>
      <c r="K655" s="84" t="str">
        <f aca="false">IF($D655=1,INDEX(TblClusters[Tarif par nœud],$B655),"")</f>
        <v/>
      </c>
      <c r="L655" s="14" t="str">
        <f aca="false">IF($D655=1,INDEX(TblClusters[CPU initial (vCPU)],$B655),"")</f>
        <v/>
      </c>
      <c r="M655" s="14" t="str">
        <f aca="false">IF($D655=1,INDEX(TblClusters[RAM initiale (Go)],$B655),"")</f>
        <v/>
      </c>
      <c r="N655" s="14" t="str">
        <f aca="false">IF($D655=1,INDEX(TblClusters[CPU min (vCPU)],$B655),"")</f>
        <v/>
      </c>
      <c r="O655" s="14" t="str">
        <f aca="false">IF($D655=1,INDEX(TblClusters[RAM min (Go)],$B655),"")</f>
        <v/>
      </c>
      <c r="P655" s="14" t="str">
        <f aca="false">IF($D655&lt;&gt;1,"",IF($G655="ROKS",SUMIFS(TblApplications[Besoin ROKS CPU (vCPU)],TblApplications[Cluster ROKS cible],$F655,TblApplications[Action],"À migrer",TblApplications[Déjà incluse ROKS],"Non",TblApplications[Mois prov (calc)],"&lt;="&amp;$E655),SUMIFS(TblApplications[CPU IKS libérable (vCPU)],TblApplications[Cluster IKS source],$F655,TblApplications[Mois lib (calc)],"&lt;="&amp;$E655)))</f>
        <v/>
      </c>
      <c r="Q655" s="14" t="str">
        <f aca="false">IF($D655&lt;&gt;1,"",IF($G655="ROKS",SUMIFS(TblApplications[Besoin ROKS RAM (Go)],TblApplications[Cluster ROKS cible],$F655,TblApplications[Action],"À migrer",TblApplications[Déjà incluse ROKS],"Non",TblApplications[Mois prov (calc)],"&lt;="&amp;$E655),SUMIFS(TblApplications[RAM IKS libérable (Go)],TblApplications[Cluster IKS source],$F655,TblApplications[Mois lib (calc)],"&lt;="&amp;$E655)))</f>
        <v/>
      </c>
      <c r="R655" s="14" t="str">
        <f aca="false">IF($D655&lt;&gt;1,"",IF($G655="ROKS",$L655+$P655,IF($AI655=1,0,MAX($N655,$L655-$P655))))</f>
        <v/>
      </c>
      <c r="S655" s="14" t="str">
        <f aca="false">IF($D655&lt;&gt;1,"",IF($G655="ROKS",$M655+$Q655,IF($AI655=1,0,MAX($O655,$M655-$Q655))))</f>
        <v/>
      </c>
      <c r="T655" s="14" t="str">
        <f aca="false">IF($D655&lt;&gt;1,"",IF($AI655=1,0,MAX($J655,ROUNDUP(MAX($R655/$H655,$S655/$I655),0))))</f>
        <v/>
      </c>
      <c r="U655" s="14" t="str">
        <f aca="false">IF($D655&lt;&gt;1,"",IF(p_mode="Nœud",$T655*$H655,$R655))</f>
        <v/>
      </c>
      <c r="V655" s="14" t="str">
        <f aca="false">IF($D655&lt;&gt;1,"",IF(p_mode="Nœud",$T655*$I655,$S655))</f>
        <v/>
      </c>
      <c r="W655" s="84" t="str">
        <f aca="false">IF($D655&lt;&gt;1,"",IF(p_mode="Nœud",$T655*$K655,$R655*IF($G655="IKS",p_iks_cpu,p_roks_cpu)+$S655*IF($G655="IKS",p_iks_ram,p_roks_ram))*p_facteur)</f>
        <v/>
      </c>
      <c r="X655" s="14" t="str">
        <f aca="false">IF($D655&lt;&gt;1,"",IF($G655="ROKS",$R655,IF($AI655=1,0,MAX($N655,$L655-SUMIFS(TblApplications[CPU IKS libérable (vCPU)],TblApplications[Cluster IKS source],$F655,TblApplications[Action],"À migrer",TblApplications[Mois prov (calc)],"&lt;="&amp;$E655)-SUMIFS(TblApplications[CPU IKS libérable (vCPU)],TblApplications[Cluster IKS source],$F655,TblApplications[Action],"À décommissionner",TblApplications[Mois lib (calc)],"&lt;="&amp;$E655)))))</f>
        <v/>
      </c>
      <c r="Y655" s="14" t="str">
        <f aca="false">IF($D655&lt;&gt;1,"",IF($G655="ROKS",$S655,IF($AI655=1,0,MAX($O655,$M655-SUMIFS(TblApplications[RAM IKS libérable (Go)],TblApplications[Cluster IKS source],$F655,TblApplications[Action],"À migrer",TblApplications[Mois prov (calc)],"&lt;="&amp;$E655)-SUMIFS(TblApplications[RAM IKS libérable (Go)],TblApplications[Cluster IKS source],$F655,TblApplications[Action],"À décommissionner",TblApplications[Mois lib (calc)],"&lt;="&amp;$E655)))))</f>
        <v/>
      </c>
      <c r="Z655" s="14" t="str">
        <f aca="false">IF($D655&lt;&gt;1,"",IF($AI655=1,0,MAX($J655,ROUNDUP(MAX($X655/$H655,$Y655/$I655),0))))</f>
        <v/>
      </c>
      <c r="AA655" s="84" t="str">
        <f aca="false">IF($D655&lt;&gt;1,"",IF(p_mode="Nœud",$Z655*$K655,$X655*IF($G655="IKS",p_iks_cpu,p_roks_cpu)+$Y655*IF($G655="IKS",p_iks_ram,p_roks_ram))*p_facteur)</f>
        <v/>
      </c>
      <c r="AB655" s="14" t="str">
        <f aca="false">IF($D655&lt;&gt;1,"",MAX($J655,ROUNDUP(MAX($L655/$H655,$M655/$I655),0)))</f>
        <v/>
      </c>
      <c r="AC655" s="84" t="str">
        <f aca="false">IF($D655&lt;&gt;1,"",IF(p_mode="Nœud",$AB655*$K655,$L655*IF($G655="IKS",p_iks_cpu,p_roks_cpu)+$M655*IF($G655="IKS",p_iks_ram,p_roks_ram))*p_facteur)</f>
        <v/>
      </c>
      <c r="AD655" s="14" t="str">
        <f aca="false">IF($D655&lt;&gt;1,"",IF(AND($G655="IKS",$AI655&lt;&gt;1,OR($L655-$P655&lt;$N655,$M655-$Q655&lt;$O655)),1,0))</f>
        <v/>
      </c>
      <c r="AE655" s="14" t="str">
        <f aca="false">IF($D655&lt;&gt;1,"",IF(AND($G655="ROKS",$T655&gt;p_maxworkers),1,0))</f>
        <v/>
      </c>
      <c r="AF655" s="14" t="str">
        <f aca="false">IF($D655&lt;&gt;1,"",IF(INDEX(TblClusters[Environnement],$B655)="","(vide)",INDEX(TblClusters[Environnement],$B655)))</f>
        <v/>
      </c>
      <c r="AG655" s="14" t="str">
        <f aca="false">IF($D655&lt;&gt;1,"",$R655+p_poidsram*$S655)</f>
        <v/>
      </c>
      <c r="AH655" s="14" t="str">
        <f aca="false">IF($D655&lt;&gt;1,"",IFERROR($W655/$AG655,0))</f>
        <v/>
      </c>
      <c r="AI655" s="14" t="str">
        <f aca="false">IF($D655&lt;&gt;1,"",IF(AND($G655="IKS",ISNUMBER(INDEX(TblClusters[Fermeture retenue],$B655))),IF($E655&gt;=INDEX(TblClusters[Fermeture retenue],$B655),1,0),0))</f>
        <v/>
      </c>
    </row>
    <row r="656" customFormat="false" ht="15" hidden="false" customHeight="false" outlineLevel="0" collapsed="false">
      <c r="A656" s="14" t="n">
        <v>651</v>
      </c>
      <c r="B656" s="14" t="n">
        <f aca="false">INT(($A656-1)/36)+1</f>
        <v>19</v>
      </c>
      <c r="C656" s="14" t="n">
        <f aca="false">MOD($A656-1,36)+1</f>
        <v>3</v>
      </c>
      <c r="D656" s="14" t="n">
        <f aca="false">IF($C656&gt;p_horizon,0,IFERROR(IF(AND(INDEX(TblClusters[Cluster],$B656)&lt;&gt;"",ISNUMBER(INDEX(TblClusters[CPU initial (vCPU)],$B656)),ISNUMBER(INDEX(TblClusters[CPU min (vCPU)],$B656)),OR(INDEX(TblClusters[Plateforme],$B656)="IKS",INDEX(TblClusters[Plateforme],$B656)="ROKS")),1,0),0))</f>
        <v>0</v>
      </c>
      <c r="E656" s="83" t="str">
        <f aca="false">IF($D656=1,EDATE(p_debut,$C656-1),"")</f>
        <v/>
      </c>
      <c r="F656" s="14" t="str">
        <f aca="false">IF($D656=1,INDEX(TblClusters[Cluster],$B656),"")</f>
        <v/>
      </c>
      <c r="G656" s="14" t="str">
        <f aca="false">IF($D656=1,INDEX(TblClusters[Plateforme],$B656),"")</f>
        <v/>
      </c>
      <c r="H656" s="14" t="str">
        <f aca="false">IF($D656=1,INDEX(TblClusters[vCPU par nœud],$B656),"")</f>
        <v/>
      </c>
      <c r="I656" s="14" t="str">
        <f aca="false">IF($D656=1,INDEX(TblClusters[RAM par nœud (Go)],$B656),"")</f>
        <v/>
      </c>
      <c r="J656" s="14" t="str">
        <f aca="false">IF($D656=1,INDEX(TblClusters[Workers min],$B656),"")</f>
        <v/>
      </c>
      <c r="K656" s="84" t="str">
        <f aca="false">IF($D656=1,INDEX(TblClusters[Tarif par nœud],$B656),"")</f>
        <v/>
      </c>
      <c r="L656" s="14" t="str">
        <f aca="false">IF($D656=1,INDEX(TblClusters[CPU initial (vCPU)],$B656),"")</f>
        <v/>
      </c>
      <c r="M656" s="14" t="str">
        <f aca="false">IF($D656=1,INDEX(TblClusters[RAM initiale (Go)],$B656),"")</f>
        <v/>
      </c>
      <c r="N656" s="14" t="str">
        <f aca="false">IF($D656=1,INDEX(TblClusters[CPU min (vCPU)],$B656),"")</f>
        <v/>
      </c>
      <c r="O656" s="14" t="str">
        <f aca="false">IF($D656=1,INDEX(TblClusters[RAM min (Go)],$B656),"")</f>
        <v/>
      </c>
      <c r="P656" s="14" t="str">
        <f aca="false">IF($D656&lt;&gt;1,"",IF($G656="ROKS",SUMIFS(TblApplications[Besoin ROKS CPU (vCPU)],TblApplications[Cluster ROKS cible],$F656,TblApplications[Action],"À migrer",TblApplications[Déjà incluse ROKS],"Non",TblApplications[Mois prov (calc)],"&lt;="&amp;$E656),SUMIFS(TblApplications[CPU IKS libérable (vCPU)],TblApplications[Cluster IKS source],$F656,TblApplications[Mois lib (calc)],"&lt;="&amp;$E656)))</f>
        <v/>
      </c>
      <c r="Q656" s="14" t="str">
        <f aca="false">IF($D656&lt;&gt;1,"",IF($G656="ROKS",SUMIFS(TblApplications[Besoin ROKS RAM (Go)],TblApplications[Cluster ROKS cible],$F656,TblApplications[Action],"À migrer",TblApplications[Déjà incluse ROKS],"Non",TblApplications[Mois prov (calc)],"&lt;="&amp;$E656),SUMIFS(TblApplications[RAM IKS libérable (Go)],TblApplications[Cluster IKS source],$F656,TblApplications[Mois lib (calc)],"&lt;="&amp;$E656)))</f>
        <v/>
      </c>
      <c r="R656" s="14" t="str">
        <f aca="false">IF($D656&lt;&gt;1,"",IF($G656="ROKS",$L656+$P656,IF($AI656=1,0,MAX($N656,$L656-$P656))))</f>
        <v/>
      </c>
      <c r="S656" s="14" t="str">
        <f aca="false">IF($D656&lt;&gt;1,"",IF($G656="ROKS",$M656+$Q656,IF($AI656=1,0,MAX($O656,$M656-$Q656))))</f>
        <v/>
      </c>
      <c r="T656" s="14" t="str">
        <f aca="false">IF($D656&lt;&gt;1,"",IF($AI656=1,0,MAX($J656,ROUNDUP(MAX($R656/$H656,$S656/$I656),0))))</f>
        <v/>
      </c>
      <c r="U656" s="14" t="str">
        <f aca="false">IF($D656&lt;&gt;1,"",IF(p_mode="Nœud",$T656*$H656,$R656))</f>
        <v/>
      </c>
      <c r="V656" s="14" t="str">
        <f aca="false">IF($D656&lt;&gt;1,"",IF(p_mode="Nœud",$T656*$I656,$S656))</f>
        <v/>
      </c>
      <c r="W656" s="84" t="str">
        <f aca="false">IF($D656&lt;&gt;1,"",IF(p_mode="Nœud",$T656*$K656,$R656*IF($G656="IKS",p_iks_cpu,p_roks_cpu)+$S656*IF($G656="IKS",p_iks_ram,p_roks_ram))*p_facteur)</f>
        <v/>
      </c>
      <c r="X656" s="14" t="str">
        <f aca="false">IF($D656&lt;&gt;1,"",IF($G656="ROKS",$R656,IF($AI656=1,0,MAX($N656,$L656-SUMIFS(TblApplications[CPU IKS libérable (vCPU)],TblApplications[Cluster IKS source],$F656,TblApplications[Action],"À migrer",TblApplications[Mois prov (calc)],"&lt;="&amp;$E656)-SUMIFS(TblApplications[CPU IKS libérable (vCPU)],TblApplications[Cluster IKS source],$F656,TblApplications[Action],"À décommissionner",TblApplications[Mois lib (calc)],"&lt;="&amp;$E656)))))</f>
        <v/>
      </c>
      <c r="Y656" s="14" t="str">
        <f aca="false">IF($D656&lt;&gt;1,"",IF($G656="ROKS",$S656,IF($AI656=1,0,MAX($O656,$M656-SUMIFS(TblApplications[RAM IKS libérable (Go)],TblApplications[Cluster IKS source],$F656,TblApplications[Action],"À migrer",TblApplications[Mois prov (calc)],"&lt;="&amp;$E656)-SUMIFS(TblApplications[RAM IKS libérable (Go)],TblApplications[Cluster IKS source],$F656,TblApplications[Action],"À décommissionner",TblApplications[Mois lib (calc)],"&lt;="&amp;$E656)))))</f>
        <v/>
      </c>
      <c r="Z656" s="14" t="str">
        <f aca="false">IF($D656&lt;&gt;1,"",IF($AI656=1,0,MAX($J656,ROUNDUP(MAX($X656/$H656,$Y656/$I656),0))))</f>
        <v/>
      </c>
      <c r="AA656" s="84" t="str">
        <f aca="false">IF($D656&lt;&gt;1,"",IF(p_mode="Nœud",$Z656*$K656,$X656*IF($G656="IKS",p_iks_cpu,p_roks_cpu)+$Y656*IF($G656="IKS",p_iks_ram,p_roks_ram))*p_facteur)</f>
        <v/>
      </c>
      <c r="AB656" s="14" t="str">
        <f aca="false">IF($D656&lt;&gt;1,"",MAX($J656,ROUNDUP(MAX($L656/$H656,$M656/$I656),0)))</f>
        <v/>
      </c>
      <c r="AC656" s="84" t="str">
        <f aca="false">IF($D656&lt;&gt;1,"",IF(p_mode="Nœud",$AB656*$K656,$L656*IF($G656="IKS",p_iks_cpu,p_roks_cpu)+$M656*IF($G656="IKS",p_iks_ram,p_roks_ram))*p_facteur)</f>
        <v/>
      </c>
      <c r="AD656" s="14" t="str">
        <f aca="false">IF($D656&lt;&gt;1,"",IF(AND($G656="IKS",$AI656&lt;&gt;1,OR($L656-$P656&lt;$N656,$M656-$Q656&lt;$O656)),1,0))</f>
        <v/>
      </c>
      <c r="AE656" s="14" t="str">
        <f aca="false">IF($D656&lt;&gt;1,"",IF(AND($G656="ROKS",$T656&gt;p_maxworkers),1,0))</f>
        <v/>
      </c>
      <c r="AF656" s="14" t="str">
        <f aca="false">IF($D656&lt;&gt;1,"",IF(INDEX(TblClusters[Environnement],$B656)="","(vide)",INDEX(TblClusters[Environnement],$B656)))</f>
        <v/>
      </c>
      <c r="AG656" s="14" t="str">
        <f aca="false">IF($D656&lt;&gt;1,"",$R656+p_poidsram*$S656)</f>
        <v/>
      </c>
      <c r="AH656" s="14" t="str">
        <f aca="false">IF($D656&lt;&gt;1,"",IFERROR($W656/$AG656,0))</f>
        <v/>
      </c>
      <c r="AI656" s="14" t="str">
        <f aca="false">IF($D656&lt;&gt;1,"",IF(AND($G656="IKS",ISNUMBER(INDEX(TblClusters[Fermeture retenue],$B656))),IF($E656&gt;=INDEX(TblClusters[Fermeture retenue],$B656),1,0),0))</f>
        <v/>
      </c>
    </row>
    <row r="657" customFormat="false" ht="15" hidden="false" customHeight="false" outlineLevel="0" collapsed="false">
      <c r="A657" s="14" t="n">
        <v>652</v>
      </c>
      <c r="B657" s="14" t="n">
        <f aca="false">INT(($A657-1)/36)+1</f>
        <v>19</v>
      </c>
      <c r="C657" s="14" t="n">
        <f aca="false">MOD($A657-1,36)+1</f>
        <v>4</v>
      </c>
      <c r="D657" s="14" t="n">
        <f aca="false">IF($C657&gt;p_horizon,0,IFERROR(IF(AND(INDEX(TblClusters[Cluster],$B657)&lt;&gt;"",ISNUMBER(INDEX(TblClusters[CPU initial (vCPU)],$B657)),ISNUMBER(INDEX(TblClusters[CPU min (vCPU)],$B657)),OR(INDEX(TblClusters[Plateforme],$B657)="IKS",INDEX(TblClusters[Plateforme],$B657)="ROKS")),1,0),0))</f>
        <v>0</v>
      </c>
      <c r="E657" s="83" t="str">
        <f aca="false">IF($D657=1,EDATE(p_debut,$C657-1),"")</f>
        <v/>
      </c>
      <c r="F657" s="14" t="str">
        <f aca="false">IF($D657=1,INDEX(TblClusters[Cluster],$B657),"")</f>
        <v/>
      </c>
      <c r="G657" s="14" t="str">
        <f aca="false">IF($D657=1,INDEX(TblClusters[Plateforme],$B657),"")</f>
        <v/>
      </c>
      <c r="H657" s="14" t="str">
        <f aca="false">IF($D657=1,INDEX(TblClusters[vCPU par nœud],$B657),"")</f>
        <v/>
      </c>
      <c r="I657" s="14" t="str">
        <f aca="false">IF($D657=1,INDEX(TblClusters[RAM par nœud (Go)],$B657),"")</f>
        <v/>
      </c>
      <c r="J657" s="14" t="str">
        <f aca="false">IF($D657=1,INDEX(TblClusters[Workers min],$B657),"")</f>
        <v/>
      </c>
      <c r="K657" s="84" t="str">
        <f aca="false">IF($D657=1,INDEX(TblClusters[Tarif par nœud],$B657),"")</f>
        <v/>
      </c>
      <c r="L657" s="14" t="str">
        <f aca="false">IF($D657=1,INDEX(TblClusters[CPU initial (vCPU)],$B657),"")</f>
        <v/>
      </c>
      <c r="M657" s="14" t="str">
        <f aca="false">IF($D657=1,INDEX(TblClusters[RAM initiale (Go)],$B657),"")</f>
        <v/>
      </c>
      <c r="N657" s="14" t="str">
        <f aca="false">IF($D657=1,INDEX(TblClusters[CPU min (vCPU)],$B657),"")</f>
        <v/>
      </c>
      <c r="O657" s="14" t="str">
        <f aca="false">IF($D657=1,INDEX(TblClusters[RAM min (Go)],$B657),"")</f>
        <v/>
      </c>
      <c r="P657" s="14" t="str">
        <f aca="false">IF($D657&lt;&gt;1,"",IF($G657="ROKS",SUMIFS(TblApplications[Besoin ROKS CPU (vCPU)],TblApplications[Cluster ROKS cible],$F657,TblApplications[Action],"À migrer",TblApplications[Déjà incluse ROKS],"Non",TblApplications[Mois prov (calc)],"&lt;="&amp;$E657),SUMIFS(TblApplications[CPU IKS libérable (vCPU)],TblApplications[Cluster IKS source],$F657,TblApplications[Mois lib (calc)],"&lt;="&amp;$E657)))</f>
        <v/>
      </c>
      <c r="Q657" s="14" t="str">
        <f aca="false">IF($D657&lt;&gt;1,"",IF($G657="ROKS",SUMIFS(TblApplications[Besoin ROKS RAM (Go)],TblApplications[Cluster ROKS cible],$F657,TblApplications[Action],"À migrer",TblApplications[Déjà incluse ROKS],"Non",TblApplications[Mois prov (calc)],"&lt;="&amp;$E657),SUMIFS(TblApplications[RAM IKS libérable (Go)],TblApplications[Cluster IKS source],$F657,TblApplications[Mois lib (calc)],"&lt;="&amp;$E657)))</f>
        <v/>
      </c>
      <c r="R657" s="14" t="str">
        <f aca="false">IF($D657&lt;&gt;1,"",IF($G657="ROKS",$L657+$P657,IF($AI657=1,0,MAX($N657,$L657-$P657))))</f>
        <v/>
      </c>
      <c r="S657" s="14" t="str">
        <f aca="false">IF($D657&lt;&gt;1,"",IF($G657="ROKS",$M657+$Q657,IF($AI657=1,0,MAX($O657,$M657-$Q657))))</f>
        <v/>
      </c>
      <c r="T657" s="14" t="str">
        <f aca="false">IF($D657&lt;&gt;1,"",IF($AI657=1,0,MAX($J657,ROUNDUP(MAX($R657/$H657,$S657/$I657),0))))</f>
        <v/>
      </c>
      <c r="U657" s="14" t="str">
        <f aca="false">IF($D657&lt;&gt;1,"",IF(p_mode="Nœud",$T657*$H657,$R657))</f>
        <v/>
      </c>
      <c r="V657" s="14" t="str">
        <f aca="false">IF($D657&lt;&gt;1,"",IF(p_mode="Nœud",$T657*$I657,$S657))</f>
        <v/>
      </c>
      <c r="W657" s="84" t="str">
        <f aca="false">IF($D657&lt;&gt;1,"",IF(p_mode="Nœud",$T657*$K657,$R657*IF($G657="IKS",p_iks_cpu,p_roks_cpu)+$S657*IF($G657="IKS",p_iks_ram,p_roks_ram))*p_facteur)</f>
        <v/>
      </c>
      <c r="X657" s="14" t="str">
        <f aca="false">IF($D657&lt;&gt;1,"",IF($G657="ROKS",$R657,IF($AI657=1,0,MAX($N657,$L657-SUMIFS(TblApplications[CPU IKS libérable (vCPU)],TblApplications[Cluster IKS source],$F657,TblApplications[Action],"À migrer",TblApplications[Mois prov (calc)],"&lt;="&amp;$E657)-SUMIFS(TblApplications[CPU IKS libérable (vCPU)],TblApplications[Cluster IKS source],$F657,TblApplications[Action],"À décommissionner",TblApplications[Mois lib (calc)],"&lt;="&amp;$E657)))))</f>
        <v/>
      </c>
      <c r="Y657" s="14" t="str">
        <f aca="false">IF($D657&lt;&gt;1,"",IF($G657="ROKS",$S657,IF($AI657=1,0,MAX($O657,$M657-SUMIFS(TblApplications[RAM IKS libérable (Go)],TblApplications[Cluster IKS source],$F657,TblApplications[Action],"À migrer",TblApplications[Mois prov (calc)],"&lt;="&amp;$E657)-SUMIFS(TblApplications[RAM IKS libérable (Go)],TblApplications[Cluster IKS source],$F657,TblApplications[Action],"À décommissionner",TblApplications[Mois lib (calc)],"&lt;="&amp;$E657)))))</f>
        <v/>
      </c>
      <c r="Z657" s="14" t="str">
        <f aca="false">IF($D657&lt;&gt;1,"",IF($AI657=1,0,MAX($J657,ROUNDUP(MAX($X657/$H657,$Y657/$I657),0))))</f>
        <v/>
      </c>
      <c r="AA657" s="84" t="str">
        <f aca="false">IF($D657&lt;&gt;1,"",IF(p_mode="Nœud",$Z657*$K657,$X657*IF($G657="IKS",p_iks_cpu,p_roks_cpu)+$Y657*IF($G657="IKS",p_iks_ram,p_roks_ram))*p_facteur)</f>
        <v/>
      </c>
      <c r="AB657" s="14" t="str">
        <f aca="false">IF($D657&lt;&gt;1,"",MAX($J657,ROUNDUP(MAX($L657/$H657,$M657/$I657),0)))</f>
        <v/>
      </c>
      <c r="AC657" s="84" t="str">
        <f aca="false">IF($D657&lt;&gt;1,"",IF(p_mode="Nœud",$AB657*$K657,$L657*IF($G657="IKS",p_iks_cpu,p_roks_cpu)+$M657*IF($G657="IKS",p_iks_ram,p_roks_ram))*p_facteur)</f>
        <v/>
      </c>
      <c r="AD657" s="14" t="str">
        <f aca="false">IF($D657&lt;&gt;1,"",IF(AND($G657="IKS",$AI657&lt;&gt;1,OR($L657-$P657&lt;$N657,$M657-$Q657&lt;$O657)),1,0))</f>
        <v/>
      </c>
      <c r="AE657" s="14" t="str">
        <f aca="false">IF($D657&lt;&gt;1,"",IF(AND($G657="ROKS",$T657&gt;p_maxworkers),1,0))</f>
        <v/>
      </c>
      <c r="AF657" s="14" t="str">
        <f aca="false">IF($D657&lt;&gt;1,"",IF(INDEX(TblClusters[Environnement],$B657)="","(vide)",INDEX(TblClusters[Environnement],$B657)))</f>
        <v/>
      </c>
      <c r="AG657" s="14" t="str">
        <f aca="false">IF($D657&lt;&gt;1,"",$R657+p_poidsram*$S657)</f>
        <v/>
      </c>
      <c r="AH657" s="14" t="str">
        <f aca="false">IF($D657&lt;&gt;1,"",IFERROR($W657/$AG657,0))</f>
        <v/>
      </c>
      <c r="AI657" s="14" t="str">
        <f aca="false">IF($D657&lt;&gt;1,"",IF(AND($G657="IKS",ISNUMBER(INDEX(TblClusters[Fermeture retenue],$B657))),IF($E657&gt;=INDEX(TblClusters[Fermeture retenue],$B657),1,0),0))</f>
        <v/>
      </c>
    </row>
    <row r="658" customFormat="false" ht="15" hidden="false" customHeight="false" outlineLevel="0" collapsed="false">
      <c r="A658" s="14" t="n">
        <v>653</v>
      </c>
      <c r="B658" s="14" t="n">
        <f aca="false">INT(($A658-1)/36)+1</f>
        <v>19</v>
      </c>
      <c r="C658" s="14" t="n">
        <f aca="false">MOD($A658-1,36)+1</f>
        <v>5</v>
      </c>
      <c r="D658" s="14" t="n">
        <f aca="false">IF($C658&gt;p_horizon,0,IFERROR(IF(AND(INDEX(TblClusters[Cluster],$B658)&lt;&gt;"",ISNUMBER(INDEX(TblClusters[CPU initial (vCPU)],$B658)),ISNUMBER(INDEX(TblClusters[CPU min (vCPU)],$B658)),OR(INDEX(TblClusters[Plateforme],$B658)="IKS",INDEX(TblClusters[Plateforme],$B658)="ROKS")),1,0),0))</f>
        <v>0</v>
      </c>
      <c r="E658" s="83" t="str">
        <f aca="false">IF($D658=1,EDATE(p_debut,$C658-1),"")</f>
        <v/>
      </c>
      <c r="F658" s="14" t="str">
        <f aca="false">IF($D658=1,INDEX(TblClusters[Cluster],$B658),"")</f>
        <v/>
      </c>
      <c r="G658" s="14" t="str">
        <f aca="false">IF($D658=1,INDEX(TblClusters[Plateforme],$B658),"")</f>
        <v/>
      </c>
      <c r="H658" s="14" t="str">
        <f aca="false">IF($D658=1,INDEX(TblClusters[vCPU par nœud],$B658),"")</f>
        <v/>
      </c>
      <c r="I658" s="14" t="str">
        <f aca="false">IF($D658=1,INDEX(TblClusters[RAM par nœud (Go)],$B658),"")</f>
        <v/>
      </c>
      <c r="J658" s="14" t="str">
        <f aca="false">IF($D658=1,INDEX(TblClusters[Workers min],$B658),"")</f>
        <v/>
      </c>
      <c r="K658" s="84" t="str">
        <f aca="false">IF($D658=1,INDEX(TblClusters[Tarif par nœud],$B658),"")</f>
        <v/>
      </c>
      <c r="L658" s="14" t="str">
        <f aca="false">IF($D658=1,INDEX(TblClusters[CPU initial (vCPU)],$B658),"")</f>
        <v/>
      </c>
      <c r="M658" s="14" t="str">
        <f aca="false">IF($D658=1,INDEX(TblClusters[RAM initiale (Go)],$B658),"")</f>
        <v/>
      </c>
      <c r="N658" s="14" t="str">
        <f aca="false">IF($D658=1,INDEX(TblClusters[CPU min (vCPU)],$B658),"")</f>
        <v/>
      </c>
      <c r="O658" s="14" t="str">
        <f aca="false">IF($D658=1,INDEX(TblClusters[RAM min (Go)],$B658),"")</f>
        <v/>
      </c>
      <c r="P658" s="14" t="str">
        <f aca="false">IF($D658&lt;&gt;1,"",IF($G658="ROKS",SUMIFS(TblApplications[Besoin ROKS CPU (vCPU)],TblApplications[Cluster ROKS cible],$F658,TblApplications[Action],"À migrer",TblApplications[Déjà incluse ROKS],"Non",TblApplications[Mois prov (calc)],"&lt;="&amp;$E658),SUMIFS(TblApplications[CPU IKS libérable (vCPU)],TblApplications[Cluster IKS source],$F658,TblApplications[Mois lib (calc)],"&lt;="&amp;$E658)))</f>
        <v/>
      </c>
      <c r="Q658" s="14" t="str">
        <f aca="false">IF($D658&lt;&gt;1,"",IF($G658="ROKS",SUMIFS(TblApplications[Besoin ROKS RAM (Go)],TblApplications[Cluster ROKS cible],$F658,TblApplications[Action],"À migrer",TblApplications[Déjà incluse ROKS],"Non",TblApplications[Mois prov (calc)],"&lt;="&amp;$E658),SUMIFS(TblApplications[RAM IKS libérable (Go)],TblApplications[Cluster IKS source],$F658,TblApplications[Mois lib (calc)],"&lt;="&amp;$E658)))</f>
        <v/>
      </c>
      <c r="R658" s="14" t="str">
        <f aca="false">IF($D658&lt;&gt;1,"",IF($G658="ROKS",$L658+$P658,IF($AI658=1,0,MAX($N658,$L658-$P658))))</f>
        <v/>
      </c>
      <c r="S658" s="14" t="str">
        <f aca="false">IF($D658&lt;&gt;1,"",IF($G658="ROKS",$M658+$Q658,IF($AI658=1,0,MAX($O658,$M658-$Q658))))</f>
        <v/>
      </c>
      <c r="T658" s="14" t="str">
        <f aca="false">IF($D658&lt;&gt;1,"",IF($AI658=1,0,MAX($J658,ROUNDUP(MAX($R658/$H658,$S658/$I658),0))))</f>
        <v/>
      </c>
      <c r="U658" s="14" t="str">
        <f aca="false">IF($D658&lt;&gt;1,"",IF(p_mode="Nœud",$T658*$H658,$R658))</f>
        <v/>
      </c>
      <c r="V658" s="14" t="str">
        <f aca="false">IF($D658&lt;&gt;1,"",IF(p_mode="Nœud",$T658*$I658,$S658))</f>
        <v/>
      </c>
      <c r="W658" s="84" t="str">
        <f aca="false">IF($D658&lt;&gt;1,"",IF(p_mode="Nœud",$T658*$K658,$R658*IF($G658="IKS",p_iks_cpu,p_roks_cpu)+$S658*IF($G658="IKS",p_iks_ram,p_roks_ram))*p_facteur)</f>
        <v/>
      </c>
      <c r="X658" s="14" t="str">
        <f aca="false">IF($D658&lt;&gt;1,"",IF($G658="ROKS",$R658,IF($AI658=1,0,MAX($N658,$L658-SUMIFS(TblApplications[CPU IKS libérable (vCPU)],TblApplications[Cluster IKS source],$F658,TblApplications[Action],"À migrer",TblApplications[Mois prov (calc)],"&lt;="&amp;$E658)-SUMIFS(TblApplications[CPU IKS libérable (vCPU)],TblApplications[Cluster IKS source],$F658,TblApplications[Action],"À décommissionner",TblApplications[Mois lib (calc)],"&lt;="&amp;$E658)))))</f>
        <v/>
      </c>
      <c r="Y658" s="14" t="str">
        <f aca="false">IF($D658&lt;&gt;1,"",IF($G658="ROKS",$S658,IF($AI658=1,0,MAX($O658,$M658-SUMIFS(TblApplications[RAM IKS libérable (Go)],TblApplications[Cluster IKS source],$F658,TblApplications[Action],"À migrer",TblApplications[Mois prov (calc)],"&lt;="&amp;$E658)-SUMIFS(TblApplications[RAM IKS libérable (Go)],TblApplications[Cluster IKS source],$F658,TblApplications[Action],"À décommissionner",TblApplications[Mois lib (calc)],"&lt;="&amp;$E658)))))</f>
        <v/>
      </c>
      <c r="Z658" s="14" t="str">
        <f aca="false">IF($D658&lt;&gt;1,"",IF($AI658=1,0,MAX($J658,ROUNDUP(MAX($X658/$H658,$Y658/$I658),0))))</f>
        <v/>
      </c>
      <c r="AA658" s="84" t="str">
        <f aca="false">IF($D658&lt;&gt;1,"",IF(p_mode="Nœud",$Z658*$K658,$X658*IF($G658="IKS",p_iks_cpu,p_roks_cpu)+$Y658*IF($G658="IKS",p_iks_ram,p_roks_ram))*p_facteur)</f>
        <v/>
      </c>
      <c r="AB658" s="14" t="str">
        <f aca="false">IF($D658&lt;&gt;1,"",MAX($J658,ROUNDUP(MAX($L658/$H658,$M658/$I658),0)))</f>
        <v/>
      </c>
      <c r="AC658" s="84" t="str">
        <f aca="false">IF($D658&lt;&gt;1,"",IF(p_mode="Nœud",$AB658*$K658,$L658*IF($G658="IKS",p_iks_cpu,p_roks_cpu)+$M658*IF($G658="IKS",p_iks_ram,p_roks_ram))*p_facteur)</f>
        <v/>
      </c>
      <c r="AD658" s="14" t="str">
        <f aca="false">IF($D658&lt;&gt;1,"",IF(AND($G658="IKS",$AI658&lt;&gt;1,OR($L658-$P658&lt;$N658,$M658-$Q658&lt;$O658)),1,0))</f>
        <v/>
      </c>
      <c r="AE658" s="14" t="str">
        <f aca="false">IF($D658&lt;&gt;1,"",IF(AND($G658="ROKS",$T658&gt;p_maxworkers),1,0))</f>
        <v/>
      </c>
      <c r="AF658" s="14" t="str">
        <f aca="false">IF($D658&lt;&gt;1,"",IF(INDEX(TblClusters[Environnement],$B658)="","(vide)",INDEX(TblClusters[Environnement],$B658)))</f>
        <v/>
      </c>
      <c r="AG658" s="14" t="str">
        <f aca="false">IF($D658&lt;&gt;1,"",$R658+p_poidsram*$S658)</f>
        <v/>
      </c>
      <c r="AH658" s="14" t="str">
        <f aca="false">IF($D658&lt;&gt;1,"",IFERROR($W658/$AG658,0))</f>
        <v/>
      </c>
      <c r="AI658" s="14" t="str">
        <f aca="false">IF($D658&lt;&gt;1,"",IF(AND($G658="IKS",ISNUMBER(INDEX(TblClusters[Fermeture retenue],$B658))),IF($E658&gt;=INDEX(TblClusters[Fermeture retenue],$B658),1,0),0))</f>
        <v/>
      </c>
    </row>
    <row r="659" customFormat="false" ht="15" hidden="false" customHeight="false" outlineLevel="0" collapsed="false">
      <c r="A659" s="14" t="n">
        <v>654</v>
      </c>
      <c r="B659" s="14" t="n">
        <f aca="false">INT(($A659-1)/36)+1</f>
        <v>19</v>
      </c>
      <c r="C659" s="14" t="n">
        <f aca="false">MOD($A659-1,36)+1</f>
        <v>6</v>
      </c>
      <c r="D659" s="14" t="n">
        <f aca="false">IF($C659&gt;p_horizon,0,IFERROR(IF(AND(INDEX(TblClusters[Cluster],$B659)&lt;&gt;"",ISNUMBER(INDEX(TblClusters[CPU initial (vCPU)],$B659)),ISNUMBER(INDEX(TblClusters[CPU min (vCPU)],$B659)),OR(INDEX(TblClusters[Plateforme],$B659)="IKS",INDEX(TblClusters[Plateforme],$B659)="ROKS")),1,0),0))</f>
        <v>0</v>
      </c>
      <c r="E659" s="83" t="str">
        <f aca="false">IF($D659=1,EDATE(p_debut,$C659-1),"")</f>
        <v/>
      </c>
      <c r="F659" s="14" t="str">
        <f aca="false">IF($D659=1,INDEX(TblClusters[Cluster],$B659),"")</f>
        <v/>
      </c>
      <c r="G659" s="14" t="str">
        <f aca="false">IF($D659=1,INDEX(TblClusters[Plateforme],$B659),"")</f>
        <v/>
      </c>
      <c r="H659" s="14" t="str">
        <f aca="false">IF($D659=1,INDEX(TblClusters[vCPU par nœud],$B659),"")</f>
        <v/>
      </c>
      <c r="I659" s="14" t="str">
        <f aca="false">IF($D659=1,INDEX(TblClusters[RAM par nœud (Go)],$B659),"")</f>
        <v/>
      </c>
      <c r="J659" s="14" t="str">
        <f aca="false">IF($D659=1,INDEX(TblClusters[Workers min],$B659),"")</f>
        <v/>
      </c>
      <c r="K659" s="84" t="str">
        <f aca="false">IF($D659=1,INDEX(TblClusters[Tarif par nœud],$B659),"")</f>
        <v/>
      </c>
      <c r="L659" s="14" t="str">
        <f aca="false">IF($D659=1,INDEX(TblClusters[CPU initial (vCPU)],$B659),"")</f>
        <v/>
      </c>
      <c r="M659" s="14" t="str">
        <f aca="false">IF($D659=1,INDEX(TblClusters[RAM initiale (Go)],$B659),"")</f>
        <v/>
      </c>
      <c r="N659" s="14" t="str">
        <f aca="false">IF($D659=1,INDEX(TblClusters[CPU min (vCPU)],$B659),"")</f>
        <v/>
      </c>
      <c r="O659" s="14" t="str">
        <f aca="false">IF($D659=1,INDEX(TblClusters[RAM min (Go)],$B659),"")</f>
        <v/>
      </c>
      <c r="P659" s="14" t="str">
        <f aca="false">IF($D659&lt;&gt;1,"",IF($G659="ROKS",SUMIFS(TblApplications[Besoin ROKS CPU (vCPU)],TblApplications[Cluster ROKS cible],$F659,TblApplications[Action],"À migrer",TblApplications[Déjà incluse ROKS],"Non",TblApplications[Mois prov (calc)],"&lt;="&amp;$E659),SUMIFS(TblApplications[CPU IKS libérable (vCPU)],TblApplications[Cluster IKS source],$F659,TblApplications[Mois lib (calc)],"&lt;="&amp;$E659)))</f>
        <v/>
      </c>
      <c r="Q659" s="14" t="str">
        <f aca="false">IF($D659&lt;&gt;1,"",IF($G659="ROKS",SUMIFS(TblApplications[Besoin ROKS RAM (Go)],TblApplications[Cluster ROKS cible],$F659,TblApplications[Action],"À migrer",TblApplications[Déjà incluse ROKS],"Non",TblApplications[Mois prov (calc)],"&lt;="&amp;$E659),SUMIFS(TblApplications[RAM IKS libérable (Go)],TblApplications[Cluster IKS source],$F659,TblApplications[Mois lib (calc)],"&lt;="&amp;$E659)))</f>
        <v/>
      </c>
      <c r="R659" s="14" t="str">
        <f aca="false">IF($D659&lt;&gt;1,"",IF($G659="ROKS",$L659+$P659,IF($AI659=1,0,MAX($N659,$L659-$P659))))</f>
        <v/>
      </c>
      <c r="S659" s="14" t="str">
        <f aca="false">IF($D659&lt;&gt;1,"",IF($G659="ROKS",$M659+$Q659,IF($AI659=1,0,MAX($O659,$M659-$Q659))))</f>
        <v/>
      </c>
      <c r="T659" s="14" t="str">
        <f aca="false">IF($D659&lt;&gt;1,"",IF($AI659=1,0,MAX($J659,ROUNDUP(MAX($R659/$H659,$S659/$I659),0))))</f>
        <v/>
      </c>
      <c r="U659" s="14" t="str">
        <f aca="false">IF($D659&lt;&gt;1,"",IF(p_mode="Nœud",$T659*$H659,$R659))</f>
        <v/>
      </c>
      <c r="V659" s="14" t="str">
        <f aca="false">IF($D659&lt;&gt;1,"",IF(p_mode="Nœud",$T659*$I659,$S659))</f>
        <v/>
      </c>
      <c r="W659" s="84" t="str">
        <f aca="false">IF($D659&lt;&gt;1,"",IF(p_mode="Nœud",$T659*$K659,$R659*IF($G659="IKS",p_iks_cpu,p_roks_cpu)+$S659*IF($G659="IKS",p_iks_ram,p_roks_ram))*p_facteur)</f>
        <v/>
      </c>
      <c r="X659" s="14" t="str">
        <f aca="false">IF($D659&lt;&gt;1,"",IF($G659="ROKS",$R659,IF($AI659=1,0,MAX($N659,$L659-SUMIFS(TblApplications[CPU IKS libérable (vCPU)],TblApplications[Cluster IKS source],$F659,TblApplications[Action],"À migrer",TblApplications[Mois prov (calc)],"&lt;="&amp;$E659)-SUMIFS(TblApplications[CPU IKS libérable (vCPU)],TblApplications[Cluster IKS source],$F659,TblApplications[Action],"À décommissionner",TblApplications[Mois lib (calc)],"&lt;="&amp;$E659)))))</f>
        <v/>
      </c>
      <c r="Y659" s="14" t="str">
        <f aca="false">IF($D659&lt;&gt;1,"",IF($G659="ROKS",$S659,IF($AI659=1,0,MAX($O659,$M659-SUMIFS(TblApplications[RAM IKS libérable (Go)],TblApplications[Cluster IKS source],$F659,TblApplications[Action],"À migrer",TblApplications[Mois prov (calc)],"&lt;="&amp;$E659)-SUMIFS(TblApplications[RAM IKS libérable (Go)],TblApplications[Cluster IKS source],$F659,TblApplications[Action],"À décommissionner",TblApplications[Mois lib (calc)],"&lt;="&amp;$E659)))))</f>
        <v/>
      </c>
      <c r="Z659" s="14" t="str">
        <f aca="false">IF($D659&lt;&gt;1,"",IF($AI659=1,0,MAX($J659,ROUNDUP(MAX($X659/$H659,$Y659/$I659),0))))</f>
        <v/>
      </c>
      <c r="AA659" s="84" t="str">
        <f aca="false">IF($D659&lt;&gt;1,"",IF(p_mode="Nœud",$Z659*$K659,$X659*IF($G659="IKS",p_iks_cpu,p_roks_cpu)+$Y659*IF($G659="IKS",p_iks_ram,p_roks_ram))*p_facteur)</f>
        <v/>
      </c>
      <c r="AB659" s="14" t="str">
        <f aca="false">IF($D659&lt;&gt;1,"",MAX($J659,ROUNDUP(MAX($L659/$H659,$M659/$I659),0)))</f>
        <v/>
      </c>
      <c r="AC659" s="84" t="str">
        <f aca="false">IF($D659&lt;&gt;1,"",IF(p_mode="Nœud",$AB659*$K659,$L659*IF($G659="IKS",p_iks_cpu,p_roks_cpu)+$M659*IF($G659="IKS",p_iks_ram,p_roks_ram))*p_facteur)</f>
        <v/>
      </c>
      <c r="AD659" s="14" t="str">
        <f aca="false">IF($D659&lt;&gt;1,"",IF(AND($G659="IKS",$AI659&lt;&gt;1,OR($L659-$P659&lt;$N659,$M659-$Q659&lt;$O659)),1,0))</f>
        <v/>
      </c>
      <c r="AE659" s="14" t="str">
        <f aca="false">IF($D659&lt;&gt;1,"",IF(AND($G659="ROKS",$T659&gt;p_maxworkers),1,0))</f>
        <v/>
      </c>
      <c r="AF659" s="14" t="str">
        <f aca="false">IF($D659&lt;&gt;1,"",IF(INDEX(TblClusters[Environnement],$B659)="","(vide)",INDEX(TblClusters[Environnement],$B659)))</f>
        <v/>
      </c>
      <c r="AG659" s="14" t="str">
        <f aca="false">IF($D659&lt;&gt;1,"",$R659+p_poidsram*$S659)</f>
        <v/>
      </c>
      <c r="AH659" s="14" t="str">
        <f aca="false">IF($D659&lt;&gt;1,"",IFERROR($W659/$AG659,0))</f>
        <v/>
      </c>
      <c r="AI659" s="14" t="str">
        <f aca="false">IF($D659&lt;&gt;1,"",IF(AND($G659="IKS",ISNUMBER(INDEX(TblClusters[Fermeture retenue],$B659))),IF($E659&gt;=INDEX(TblClusters[Fermeture retenue],$B659),1,0),0))</f>
        <v/>
      </c>
    </row>
    <row r="660" customFormat="false" ht="15" hidden="false" customHeight="false" outlineLevel="0" collapsed="false">
      <c r="A660" s="14" t="n">
        <v>655</v>
      </c>
      <c r="B660" s="14" t="n">
        <f aca="false">INT(($A660-1)/36)+1</f>
        <v>19</v>
      </c>
      <c r="C660" s="14" t="n">
        <f aca="false">MOD($A660-1,36)+1</f>
        <v>7</v>
      </c>
      <c r="D660" s="14" t="n">
        <f aca="false">IF($C660&gt;p_horizon,0,IFERROR(IF(AND(INDEX(TblClusters[Cluster],$B660)&lt;&gt;"",ISNUMBER(INDEX(TblClusters[CPU initial (vCPU)],$B660)),ISNUMBER(INDEX(TblClusters[CPU min (vCPU)],$B660)),OR(INDEX(TblClusters[Plateforme],$B660)="IKS",INDEX(TblClusters[Plateforme],$B660)="ROKS")),1,0),0))</f>
        <v>0</v>
      </c>
      <c r="E660" s="83" t="str">
        <f aca="false">IF($D660=1,EDATE(p_debut,$C660-1),"")</f>
        <v/>
      </c>
      <c r="F660" s="14" t="str">
        <f aca="false">IF($D660=1,INDEX(TblClusters[Cluster],$B660),"")</f>
        <v/>
      </c>
      <c r="G660" s="14" t="str">
        <f aca="false">IF($D660=1,INDEX(TblClusters[Plateforme],$B660),"")</f>
        <v/>
      </c>
      <c r="H660" s="14" t="str">
        <f aca="false">IF($D660=1,INDEX(TblClusters[vCPU par nœud],$B660),"")</f>
        <v/>
      </c>
      <c r="I660" s="14" t="str">
        <f aca="false">IF($D660=1,INDEX(TblClusters[RAM par nœud (Go)],$B660),"")</f>
        <v/>
      </c>
      <c r="J660" s="14" t="str">
        <f aca="false">IF($D660=1,INDEX(TblClusters[Workers min],$B660),"")</f>
        <v/>
      </c>
      <c r="K660" s="84" t="str">
        <f aca="false">IF($D660=1,INDEX(TblClusters[Tarif par nœud],$B660),"")</f>
        <v/>
      </c>
      <c r="L660" s="14" t="str">
        <f aca="false">IF($D660=1,INDEX(TblClusters[CPU initial (vCPU)],$B660),"")</f>
        <v/>
      </c>
      <c r="M660" s="14" t="str">
        <f aca="false">IF($D660=1,INDEX(TblClusters[RAM initiale (Go)],$B660),"")</f>
        <v/>
      </c>
      <c r="N660" s="14" t="str">
        <f aca="false">IF($D660=1,INDEX(TblClusters[CPU min (vCPU)],$B660),"")</f>
        <v/>
      </c>
      <c r="O660" s="14" t="str">
        <f aca="false">IF($D660=1,INDEX(TblClusters[RAM min (Go)],$B660),"")</f>
        <v/>
      </c>
      <c r="P660" s="14" t="str">
        <f aca="false">IF($D660&lt;&gt;1,"",IF($G660="ROKS",SUMIFS(TblApplications[Besoin ROKS CPU (vCPU)],TblApplications[Cluster ROKS cible],$F660,TblApplications[Action],"À migrer",TblApplications[Déjà incluse ROKS],"Non",TblApplications[Mois prov (calc)],"&lt;="&amp;$E660),SUMIFS(TblApplications[CPU IKS libérable (vCPU)],TblApplications[Cluster IKS source],$F660,TblApplications[Mois lib (calc)],"&lt;="&amp;$E660)))</f>
        <v/>
      </c>
      <c r="Q660" s="14" t="str">
        <f aca="false">IF($D660&lt;&gt;1,"",IF($G660="ROKS",SUMIFS(TblApplications[Besoin ROKS RAM (Go)],TblApplications[Cluster ROKS cible],$F660,TblApplications[Action],"À migrer",TblApplications[Déjà incluse ROKS],"Non",TblApplications[Mois prov (calc)],"&lt;="&amp;$E660),SUMIFS(TblApplications[RAM IKS libérable (Go)],TblApplications[Cluster IKS source],$F660,TblApplications[Mois lib (calc)],"&lt;="&amp;$E660)))</f>
        <v/>
      </c>
      <c r="R660" s="14" t="str">
        <f aca="false">IF($D660&lt;&gt;1,"",IF($G660="ROKS",$L660+$P660,IF($AI660=1,0,MAX($N660,$L660-$P660))))</f>
        <v/>
      </c>
      <c r="S660" s="14" t="str">
        <f aca="false">IF($D660&lt;&gt;1,"",IF($G660="ROKS",$M660+$Q660,IF($AI660=1,0,MAX($O660,$M660-$Q660))))</f>
        <v/>
      </c>
      <c r="T660" s="14" t="str">
        <f aca="false">IF($D660&lt;&gt;1,"",IF($AI660=1,0,MAX($J660,ROUNDUP(MAX($R660/$H660,$S660/$I660),0))))</f>
        <v/>
      </c>
      <c r="U660" s="14" t="str">
        <f aca="false">IF($D660&lt;&gt;1,"",IF(p_mode="Nœud",$T660*$H660,$R660))</f>
        <v/>
      </c>
      <c r="V660" s="14" t="str">
        <f aca="false">IF($D660&lt;&gt;1,"",IF(p_mode="Nœud",$T660*$I660,$S660))</f>
        <v/>
      </c>
      <c r="W660" s="84" t="str">
        <f aca="false">IF($D660&lt;&gt;1,"",IF(p_mode="Nœud",$T660*$K660,$R660*IF($G660="IKS",p_iks_cpu,p_roks_cpu)+$S660*IF($G660="IKS",p_iks_ram,p_roks_ram))*p_facteur)</f>
        <v/>
      </c>
      <c r="X660" s="14" t="str">
        <f aca="false">IF($D660&lt;&gt;1,"",IF($G660="ROKS",$R660,IF($AI660=1,0,MAX($N660,$L660-SUMIFS(TblApplications[CPU IKS libérable (vCPU)],TblApplications[Cluster IKS source],$F660,TblApplications[Action],"À migrer",TblApplications[Mois prov (calc)],"&lt;="&amp;$E660)-SUMIFS(TblApplications[CPU IKS libérable (vCPU)],TblApplications[Cluster IKS source],$F660,TblApplications[Action],"À décommissionner",TblApplications[Mois lib (calc)],"&lt;="&amp;$E660)))))</f>
        <v/>
      </c>
      <c r="Y660" s="14" t="str">
        <f aca="false">IF($D660&lt;&gt;1,"",IF($G660="ROKS",$S660,IF($AI660=1,0,MAX($O660,$M660-SUMIFS(TblApplications[RAM IKS libérable (Go)],TblApplications[Cluster IKS source],$F660,TblApplications[Action],"À migrer",TblApplications[Mois prov (calc)],"&lt;="&amp;$E660)-SUMIFS(TblApplications[RAM IKS libérable (Go)],TblApplications[Cluster IKS source],$F660,TblApplications[Action],"À décommissionner",TblApplications[Mois lib (calc)],"&lt;="&amp;$E660)))))</f>
        <v/>
      </c>
      <c r="Z660" s="14" t="str">
        <f aca="false">IF($D660&lt;&gt;1,"",IF($AI660=1,0,MAX($J660,ROUNDUP(MAX($X660/$H660,$Y660/$I660),0))))</f>
        <v/>
      </c>
      <c r="AA660" s="84" t="str">
        <f aca="false">IF($D660&lt;&gt;1,"",IF(p_mode="Nœud",$Z660*$K660,$X660*IF($G660="IKS",p_iks_cpu,p_roks_cpu)+$Y660*IF($G660="IKS",p_iks_ram,p_roks_ram))*p_facteur)</f>
        <v/>
      </c>
      <c r="AB660" s="14" t="str">
        <f aca="false">IF($D660&lt;&gt;1,"",MAX($J660,ROUNDUP(MAX($L660/$H660,$M660/$I660),0)))</f>
        <v/>
      </c>
      <c r="AC660" s="84" t="str">
        <f aca="false">IF($D660&lt;&gt;1,"",IF(p_mode="Nœud",$AB660*$K660,$L660*IF($G660="IKS",p_iks_cpu,p_roks_cpu)+$M660*IF($G660="IKS",p_iks_ram,p_roks_ram))*p_facteur)</f>
        <v/>
      </c>
      <c r="AD660" s="14" t="str">
        <f aca="false">IF($D660&lt;&gt;1,"",IF(AND($G660="IKS",$AI660&lt;&gt;1,OR($L660-$P660&lt;$N660,$M660-$Q660&lt;$O660)),1,0))</f>
        <v/>
      </c>
      <c r="AE660" s="14" t="str">
        <f aca="false">IF($D660&lt;&gt;1,"",IF(AND($G660="ROKS",$T660&gt;p_maxworkers),1,0))</f>
        <v/>
      </c>
      <c r="AF660" s="14" t="str">
        <f aca="false">IF($D660&lt;&gt;1,"",IF(INDEX(TblClusters[Environnement],$B660)="","(vide)",INDEX(TblClusters[Environnement],$B660)))</f>
        <v/>
      </c>
      <c r="AG660" s="14" t="str">
        <f aca="false">IF($D660&lt;&gt;1,"",$R660+p_poidsram*$S660)</f>
        <v/>
      </c>
      <c r="AH660" s="14" t="str">
        <f aca="false">IF($D660&lt;&gt;1,"",IFERROR($W660/$AG660,0))</f>
        <v/>
      </c>
      <c r="AI660" s="14" t="str">
        <f aca="false">IF($D660&lt;&gt;1,"",IF(AND($G660="IKS",ISNUMBER(INDEX(TblClusters[Fermeture retenue],$B660))),IF($E660&gt;=INDEX(TblClusters[Fermeture retenue],$B660),1,0),0))</f>
        <v/>
      </c>
    </row>
    <row r="661" customFormat="false" ht="15" hidden="false" customHeight="false" outlineLevel="0" collapsed="false">
      <c r="A661" s="14" t="n">
        <v>656</v>
      </c>
      <c r="B661" s="14" t="n">
        <f aca="false">INT(($A661-1)/36)+1</f>
        <v>19</v>
      </c>
      <c r="C661" s="14" t="n">
        <f aca="false">MOD($A661-1,36)+1</f>
        <v>8</v>
      </c>
      <c r="D661" s="14" t="n">
        <f aca="false">IF($C661&gt;p_horizon,0,IFERROR(IF(AND(INDEX(TblClusters[Cluster],$B661)&lt;&gt;"",ISNUMBER(INDEX(TblClusters[CPU initial (vCPU)],$B661)),ISNUMBER(INDEX(TblClusters[CPU min (vCPU)],$B661)),OR(INDEX(TblClusters[Plateforme],$B661)="IKS",INDEX(TblClusters[Plateforme],$B661)="ROKS")),1,0),0))</f>
        <v>0</v>
      </c>
      <c r="E661" s="83" t="str">
        <f aca="false">IF($D661=1,EDATE(p_debut,$C661-1),"")</f>
        <v/>
      </c>
      <c r="F661" s="14" t="str">
        <f aca="false">IF($D661=1,INDEX(TblClusters[Cluster],$B661),"")</f>
        <v/>
      </c>
      <c r="G661" s="14" t="str">
        <f aca="false">IF($D661=1,INDEX(TblClusters[Plateforme],$B661),"")</f>
        <v/>
      </c>
      <c r="H661" s="14" t="str">
        <f aca="false">IF($D661=1,INDEX(TblClusters[vCPU par nœud],$B661),"")</f>
        <v/>
      </c>
      <c r="I661" s="14" t="str">
        <f aca="false">IF($D661=1,INDEX(TblClusters[RAM par nœud (Go)],$B661),"")</f>
        <v/>
      </c>
      <c r="J661" s="14" t="str">
        <f aca="false">IF($D661=1,INDEX(TblClusters[Workers min],$B661),"")</f>
        <v/>
      </c>
      <c r="K661" s="84" t="str">
        <f aca="false">IF($D661=1,INDEX(TblClusters[Tarif par nœud],$B661),"")</f>
        <v/>
      </c>
      <c r="L661" s="14" t="str">
        <f aca="false">IF($D661=1,INDEX(TblClusters[CPU initial (vCPU)],$B661),"")</f>
        <v/>
      </c>
      <c r="M661" s="14" t="str">
        <f aca="false">IF($D661=1,INDEX(TblClusters[RAM initiale (Go)],$B661),"")</f>
        <v/>
      </c>
      <c r="N661" s="14" t="str">
        <f aca="false">IF($D661=1,INDEX(TblClusters[CPU min (vCPU)],$B661),"")</f>
        <v/>
      </c>
      <c r="O661" s="14" t="str">
        <f aca="false">IF($D661=1,INDEX(TblClusters[RAM min (Go)],$B661),"")</f>
        <v/>
      </c>
      <c r="P661" s="14" t="str">
        <f aca="false">IF($D661&lt;&gt;1,"",IF($G661="ROKS",SUMIFS(TblApplications[Besoin ROKS CPU (vCPU)],TblApplications[Cluster ROKS cible],$F661,TblApplications[Action],"À migrer",TblApplications[Déjà incluse ROKS],"Non",TblApplications[Mois prov (calc)],"&lt;="&amp;$E661),SUMIFS(TblApplications[CPU IKS libérable (vCPU)],TblApplications[Cluster IKS source],$F661,TblApplications[Mois lib (calc)],"&lt;="&amp;$E661)))</f>
        <v/>
      </c>
      <c r="Q661" s="14" t="str">
        <f aca="false">IF($D661&lt;&gt;1,"",IF($G661="ROKS",SUMIFS(TblApplications[Besoin ROKS RAM (Go)],TblApplications[Cluster ROKS cible],$F661,TblApplications[Action],"À migrer",TblApplications[Déjà incluse ROKS],"Non",TblApplications[Mois prov (calc)],"&lt;="&amp;$E661),SUMIFS(TblApplications[RAM IKS libérable (Go)],TblApplications[Cluster IKS source],$F661,TblApplications[Mois lib (calc)],"&lt;="&amp;$E661)))</f>
        <v/>
      </c>
      <c r="R661" s="14" t="str">
        <f aca="false">IF($D661&lt;&gt;1,"",IF($G661="ROKS",$L661+$P661,IF($AI661=1,0,MAX($N661,$L661-$P661))))</f>
        <v/>
      </c>
      <c r="S661" s="14" t="str">
        <f aca="false">IF($D661&lt;&gt;1,"",IF($G661="ROKS",$M661+$Q661,IF($AI661=1,0,MAX($O661,$M661-$Q661))))</f>
        <v/>
      </c>
      <c r="T661" s="14" t="str">
        <f aca="false">IF($D661&lt;&gt;1,"",IF($AI661=1,0,MAX($J661,ROUNDUP(MAX($R661/$H661,$S661/$I661),0))))</f>
        <v/>
      </c>
      <c r="U661" s="14" t="str">
        <f aca="false">IF($D661&lt;&gt;1,"",IF(p_mode="Nœud",$T661*$H661,$R661))</f>
        <v/>
      </c>
      <c r="V661" s="14" t="str">
        <f aca="false">IF($D661&lt;&gt;1,"",IF(p_mode="Nœud",$T661*$I661,$S661))</f>
        <v/>
      </c>
      <c r="W661" s="84" t="str">
        <f aca="false">IF($D661&lt;&gt;1,"",IF(p_mode="Nœud",$T661*$K661,$R661*IF($G661="IKS",p_iks_cpu,p_roks_cpu)+$S661*IF($G661="IKS",p_iks_ram,p_roks_ram))*p_facteur)</f>
        <v/>
      </c>
      <c r="X661" s="14" t="str">
        <f aca="false">IF($D661&lt;&gt;1,"",IF($G661="ROKS",$R661,IF($AI661=1,0,MAX($N661,$L661-SUMIFS(TblApplications[CPU IKS libérable (vCPU)],TblApplications[Cluster IKS source],$F661,TblApplications[Action],"À migrer",TblApplications[Mois prov (calc)],"&lt;="&amp;$E661)-SUMIFS(TblApplications[CPU IKS libérable (vCPU)],TblApplications[Cluster IKS source],$F661,TblApplications[Action],"À décommissionner",TblApplications[Mois lib (calc)],"&lt;="&amp;$E661)))))</f>
        <v/>
      </c>
      <c r="Y661" s="14" t="str">
        <f aca="false">IF($D661&lt;&gt;1,"",IF($G661="ROKS",$S661,IF($AI661=1,0,MAX($O661,$M661-SUMIFS(TblApplications[RAM IKS libérable (Go)],TblApplications[Cluster IKS source],$F661,TblApplications[Action],"À migrer",TblApplications[Mois prov (calc)],"&lt;="&amp;$E661)-SUMIFS(TblApplications[RAM IKS libérable (Go)],TblApplications[Cluster IKS source],$F661,TblApplications[Action],"À décommissionner",TblApplications[Mois lib (calc)],"&lt;="&amp;$E661)))))</f>
        <v/>
      </c>
      <c r="Z661" s="14" t="str">
        <f aca="false">IF($D661&lt;&gt;1,"",IF($AI661=1,0,MAX($J661,ROUNDUP(MAX($X661/$H661,$Y661/$I661),0))))</f>
        <v/>
      </c>
      <c r="AA661" s="84" t="str">
        <f aca="false">IF($D661&lt;&gt;1,"",IF(p_mode="Nœud",$Z661*$K661,$X661*IF($G661="IKS",p_iks_cpu,p_roks_cpu)+$Y661*IF($G661="IKS",p_iks_ram,p_roks_ram))*p_facteur)</f>
        <v/>
      </c>
      <c r="AB661" s="14" t="str">
        <f aca="false">IF($D661&lt;&gt;1,"",MAX($J661,ROUNDUP(MAX($L661/$H661,$M661/$I661),0)))</f>
        <v/>
      </c>
      <c r="AC661" s="84" t="str">
        <f aca="false">IF($D661&lt;&gt;1,"",IF(p_mode="Nœud",$AB661*$K661,$L661*IF($G661="IKS",p_iks_cpu,p_roks_cpu)+$M661*IF($G661="IKS",p_iks_ram,p_roks_ram))*p_facteur)</f>
        <v/>
      </c>
      <c r="AD661" s="14" t="str">
        <f aca="false">IF($D661&lt;&gt;1,"",IF(AND($G661="IKS",$AI661&lt;&gt;1,OR($L661-$P661&lt;$N661,$M661-$Q661&lt;$O661)),1,0))</f>
        <v/>
      </c>
      <c r="AE661" s="14" t="str">
        <f aca="false">IF($D661&lt;&gt;1,"",IF(AND($G661="ROKS",$T661&gt;p_maxworkers),1,0))</f>
        <v/>
      </c>
      <c r="AF661" s="14" t="str">
        <f aca="false">IF($D661&lt;&gt;1,"",IF(INDEX(TblClusters[Environnement],$B661)="","(vide)",INDEX(TblClusters[Environnement],$B661)))</f>
        <v/>
      </c>
      <c r="AG661" s="14" t="str">
        <f aca="false">IF($D661&lt;&gt;1,"",$R661+p_poidsram*$S661)</f>
        <v/>
      </c>
      <c r="AH661" s="14" t="str">
        <f aca="false">IF($D661&lt;&gt;1,"",IFERROR($W661/$AG661,0))</f>
        <v/>
      </c>
      <c r="AI661" s="14" t="str">
        <f aca="false">IF($D661&lt;&gt;1,"",IF(AND($G661="IKS",ISNUMBER(INDEX(TblClusters[Fermeture retenue],$B661))),IF($E661&gt;=INDEX(TblClusters[Fermeture retenue],$B661),1,0),0))</f>
        <v/>
      </c>
    </row>
    <row r="662" customFormat="false" ht="15" hidden="false" customHeight="false" outlineLevel="0" collapsed="false">
      <c r="A662" s="14" t="n">
        <v>657</v>
      </c>
      <c r="B662" s="14" t="n">
        <f aca="false">INT(($A662-1)/36)+1</f>
        <v>19</v>
      </c>
      <c r="C662" s="14" t="n">
        <f aca="false">MOD($A662-1,36)+1</f>
        <v>9</v>
      </c>
      <c r="D662" s="14" t="n">
        <f aca="false">IF($C662&gt;p_horizon,0,IFERROR(IF(AND(INDEX(TblClusters[Cluster],$B662)&lt;&gt;"",ISNUMBER(INDEX(TblClusters[CPU initial (vCPU)],$B662)),ISNUMBER(INDEX(TblClusters[CPU min (vCPU)],$B662)),OR(INDEX(TblClusters[Plateforme],$B662)="IKS",INDEX(TblClusters[Plateforme],$B662)="ROKS")),1,0),0))</f>
        <v>0</v>
      </c>
      <c r="E662" s="83" t="str">
        <f aca="false">IF($D662=1,EDATE(p_debut,$C662-1),"")</f>
        <v/>
      </c>
      <c r="F662" s="14" t="str">
        <f aca="false">IF($D662=1,INDEX(TblClusters[Cluster],$B662),"")</f>
        <v/>
      </c>
      <c r="G662" s="14" t="str">
        <f aca="false">IF($D662=1,INDEX(TblClusters[Plateforme],$B662),"")</f>
        <v/>
      </c>
      <c r="H662" s="14" t="str">
        <f aca="false">IF($D662=1,INDEX(TblClusters[vCPU par nœud],$B662),"")</f>
        <v/>
      </c>
      <c r="I662" s="14" t="str">
        <f aca="false">IF($D662=1,INDEX(TblClusters[RAM par nœud (Go)],$B662),"")</f>
        <v/>
      </c>
      <c r="J662" s="14" t="str">
        <f aca="false">IF($D662=1,INDEX(TblClusters[Workers min],$B662),"")</f>
        <v/>
      </c>
      <c r="K662" s="84" t="str">
        <f aca="false">IF($D662=1,INDEX(TblClusters[Tarif par nœud],$B662),"")</f>
        <v/>
      </c>
      <c r="L662" s="14" t="str">
        <f aca="false">IF($D662=1,INDEX(TblClusters[CPU initial (vCPU)],$B662),"")</f>
        <v/>
      </c>
      <c r="M662" s="14" t="str">
        <f aca="false">IF($D662=1,INDEX(TblClusters[RAM initiale (Go)],$B662),"")</f>
        <v/>
      </c>
      <c r="N662" s="14" t="str">
        <f aca="false">IF($D662=1,INDEX(TblClusters[CPU min (vCPU)],$B662),"")</f>
        <v/>
      </c>
      <c r="O662" s="14" t="str">
        <f aca="false">IF($D662=1,INDEX(TblClusters[RAM min (Go)],$B662),"")</f>
        <v/>
      </c>
      <c r="P662" s="14" t="str">
        <f aca="false">IF($D662&lt;&gt;1,"",IF($G662="ROKS",SUMIFS(TblApplications[Besoin ROKS CPU (vCPU)],TblApplications[Cluster ROKS cible],$F662,TblApplications[Action],"À migrer",TblApplications[Déjà incluse ROKS],"Non",TblApplications[Mois prov (calc)],"&lt;="&amp;$E662),SUMIFS(TblApplications[CPU IKS libérable (vCPU)],TblApplications[Cluster IKS source],$F662,TblApplications[Mois lib (calc)],"&lt;="&amp;$E662)))</f>
        <v/>
      </c>
      <c r="Q662" s="14" t="str">
        <f aca="false">IF($D662&lt;&gt;1,"",IF($G662="ROKS",SUMIFS(TblApplications[Besoin ROKS RAM (Go)],TblApplications[Cluster ROKS cible],$F662,TblApplications[Action],"À migrer",TblApplications[Déjà incluse ROKS],"Non",TblApplications[Mois prov (calc)],"&lt;="&amp;$E662),SUMIFS(TblApplications[RAM IKS libérable (Go)],TblApplications[Cluster IKS source],$F662,TblApplications[Mois lib (calc)],"&lt;="&amp;$E662)))</f>
        <v/>
      </c>
      <c r="R662" s="14" t="str">
        <f aca="false">IF($D662&lt;&gt;1,"",IF($G662="ROKS",$L662+$P662,IF($AI662=1,0,MAX($N662,$L662-$P662))))</f>
        <v/>
      </c>
      <c r="S662" s="14" t="str">
        <f aca="false">IF($D662&lt;&gt;1,"",IF($G662="ROKS",$M662+$Q662,IF($AI662=1,0,MAX($O662,$M662-$Q662))))</f>
        <v/>
      </c>
      <c r="T662" s="14" t="str">
        <f aca="false">IF($D662&lt;&gt;1,"",IF($AI662=1,0,MAX($J662,ROUNDUP(MAX($R662/$H662,$S662/$I662),0))))</f>
        <v/>
      </c>
      <c r="U662" s="14" t="str">
        <f aca="false">IF($D662&lt;&gt;1,"",IF(p_mode="Nœud",$T662*$H662,$R662))</f>
        <v/>
      </c>
      <c r="V662" s="14" t="str">
        <f aca="false">IF($D662&lt;&gt;1,"",IF(p_mode="Nœud",$T662*$I662,$S662))</f>
        <v/>
      </c>
      <c r="W662" s="84" t="str">
        <f aca="false">IF($D662&lt;&gt;1,"",IF(p_mode="Nœud",$T662*$K662,$R662*IF($G662="IKS",p_iks_cpu,p_roks_cpu)+$S662*IF($G662="IKS",p_iks_ram,p_roks_ram))*p_facteur)</f>
        <v/>
      </c>
      <c r="X662" s="14" t="str">
        <f aca="false">IF($D662&lt;&gt;1,"",IF($G662="ROKS",$R662,IF($AI662=1,0,MAX($N662,$L662-SUMIFS(TblApplications[CPU IKS libérable (vCPU)],TblApplications[Cluster IKS source],$F662,TblApplications[Action],"À migrer",TblApplications[Mois prov (calc)],"&lt;="&amp;$E662)-SUMIFS(TblApplications[CPU IKS libérable (vCPU)],TblApplications[Cluster IKS source],$F662,TblApplications[Action],"À décommissionner",TblApplications[Mois lib (calc)],"&lt;="&amp;$E662)))))</f>
        <v/>
      </c>
      <c r="Y662" s="14" t="str">
        <f aca="false">IF($D662&lt;&gt;1,"",IF($G662="ROKS",$S662,IF($AI662=1,0,MAX($O662,$M662-SUMIFS(TblApplications[RAM IKS libérable (Go)],TblApplications[Cluster IKS source],$F662,TblApplications[Action],"À migrer",TblApplications[Mois prov (calc)],"&lt;="&amp;$E662)-SUMIFS(TblApplications[RAM IKS libérable (Go)],TblApplications[Cluster IKS source],$F662,TblApplications[Action],"À décommissionner",TblApplications[Mois lib (calc)],"&lt;="&amp;$E662)))))</f>
        <v/>
      </c>
      <c r="Z662" s="14" t="str">
        <f aca="false">IF($D662&lt;&gt;1,"",IF($AI662=1,0,MAX($J662,ROUNDUP(MAX($X662/$H662,$Y662/$I662),0))))</f>
        <v/>
      </c>
      <c r="AA662" s="84" t="str">
        <f aca="false">IF($D662&lt;&gt;1,"",IF(p_mode="Nœud",$Z662*$K662,$X662*IF($G662="IKS",p_iks_cpu,p_roks_cpu)+$Y662*IF($G662="IKS",p_iks_ram,p_roks_ram))*p_facteur)</f>
        <v/>
      </c>
      <c r="AB662" s="14" t="str">
        <f aca="false">IF($D662&lt;&gt;1,"",MAX($J662,ROUNDUP(MAX($L662/$H662,$M662/$I662),0)))</f>
        <v/>
      </c>
      <c r="AC662" s="84" t="str">
        <f aca="false">IF($D662&lt;&gt;1,"",IF(p_mode="Nœud",$AB662*$K662,$L662*IF($G662="IKS",p_iks_cpu,p_roks_cpu)+$M662*IF($G662="IKS",p_iks_ram,p_roks_ram))*p_facteur)</f>
        <v/>
      </c>
      <c r="AD662" s="14" t="str">
        <f aca="false">IF($D662&lt;&gt;1,"",IF(AND($G662="IKS",$AI662&lt;&gt;1,OR($L662-$P662&lt;$N662,$M662-$Q662&lt;$O662)),1,0))</f>
        <v/>
      </c>
      <c r="AE662" s="14" t="str">
        <f aca="false">IF($D662&lt;&gt;1,"",IF(AND($G662="ROKS",$T662&gt;p_maxworkers),1,0))</f>
        <v/>
      </c>
      <c r="AF662" s="14" t="str">
        <f aca="false">IF($D662&lt;&gt;1,"",IF(INDEX(TblClusters[Environnement],$B662)="","(vide)",INDEX(TblClusters[Environnement],$B662)))</f>
        <v/>
      </c>
      <c r="AG662" s="14" t="str">
        <f aca="false">IF($D662&lt;&gt;1,"",$R662+p_poidsram*$S662)</f>
        <v/>
      </c>
      <c r="AH662" s="14" t="str">
        <f aca="false">IF($D662&lt;&gt;1,"",IFERROR($W662/$AG662,0))</f>
        <v/>
      </c>
      <c r="AI662" s="14" t="str">
        <f aca="false">IF($D662&lt;&gt;1,"",IF(AND($G662="IKS",ISNUMBER(INDEX(TblClusters[Fermeture retenue],$B662))),IF($E662&gt;=INDEX(TblClusters[Fermeture retenue],$B662),1,0),0))</f>
        <v/>
      </c>
    </row>
    <row r="663" customFormat="false" ht="15" hidden="false" customHeight="false" outlineLevel="0" collapsed="false">
      <c r="A663" s="14" t="n">
        <v>658</v>
      </c>
      <c r="B663" s="14" t="n">
        <f aca="false">INT(($A663-1)/36)+1</f>
        <v>19</v>
      </c>
      <c r="C663" s="14" t="n">
        <f aca="false">MOD($A663-1,36)+1</f>
        <v>10</v>
      </c>
      <c r="D663" s="14" t="n">
        <f aca="false">IF($C663&gt;p_horizon,0,IFERROR(IF(AND(INDEX(TblClusters[Cluster],$B663)&lt;&gt;"",ISNUMBER(INDEX(TblClusters[CPU initial (vCPU)],$B663)),ISNUMBER(INDEX(TblClusters[CPU min (vCPU)],$B663)),OR(INDEX(TblClusters[Plateforme],$B663)="IKS",INDEX(TblClusters[Plateforme],$B663)="ROKS")),1,0),0))</f>
        <v>0</v>
      </c>
      <c r="E663" s="83" t="str">
        <f aca="false">IF($D663=1,EDATE(p_debut,$C663-1),"")</f>
        <v/>
      </c>
      <c r="F663" s="14" t="str">
        <f aca="false">IF($D663=1,INDEX(TblClusters[Cluster],$B663),"")</f>
        <v/>
      </c>
      <c r="G663" s="14" t="str">
        <f aca="false">IF($D663=1,INDEX(TblClusters[Plateforme],$B663),"")</f>
        <v/>
      </c>
      <c r="H663" s="14" t="str">
        <f aca="false">IF($D663=1,INDEX(TblClusters[vCPU par nœud],$B663),"")</f>
        <v/>
      </c>
      <c r="I663" s="14" t="str">
        <f aca="false">IF($D663=1,INDEX(TblClusters[RAM par nœud (Go)],$B663),"")</f>
        <v/>
      </c>
      <c r="J663" s="14" t="str">
        <f aca="false">IF($D663=1,INDEX(TblClusters[Workers min],$B663),"")</f>
        <v/>
      </c>
      <c r="K663" s="84" t="str">
        <f aca="false">IF($D663=1,INDEX(TblClusters[Tarif par nœud],$B663),"")</f>
        <v/>
      </c>
      <c r="L663" s="14" t="str">
        <f aca="false">IF($D663=1,INDEX(TblClusters[CPU initial (vCPU)],$B663),"")</f>
        <v/>
      </c>
      <c r="M663" s="14" t="str">
        <f aca="false">IF($D663=1,INDEX(TblClusters[RAM initiale (Go)],$B663),"")</f>
        <v/>
      </c>
      <c r="N663" s="14" t="str">
        <f aca="false">IF($D663=1,INDEX(TblClusters[CPU min (vCPU)],$B663),"")</f>
        <v/>
      </c>
      <c r="O663" s="14" t="str">
        <f aca="false">IF($D663=1,INDEX(TblClusters[RAM min (Go)],$B663),"")</f>
        <v/>
      </c>
      <c r="P663" s="14" t="str">
        <f aca="false">IF($D663&lt;&gt;1,"",IF($G663="ROKS",SUMIFS(TblApplications[Besoin ROKS CPU (vCPU)],TblApplications[Cluster ROKS cible],$F663,TblApplications[Action],"À migrer",TblApplications[Déjà incluse ROKS],"Non",TblApplications[Mois prov (calc)],"&lt;="&amp;$E663),SUMIFS(TblApplications[CPU IKS libérable (vCPU)],TblApplications[Cluster IKS source],$F663,TblApplications[Mois lib (calc)],"&lt;="&amp;$E663)))</f>
        <v/>
      </c>
      <c r="Q663" s="14" t="str">
        <f aca="false">IF($D663&lt;&gt;1,"",IF($G663="ROKS",SUMIFS(TblApplications[Besoin ROKS RAM (Go)],TblApplications[Cluster ROKS cible],$F663,TblApplications[Action],"À migrer",TblApplications[Déjà incluse ROKS],"Non",TblApplications[Mois prov (calc)],"&lt;="&amp;$E663),SUMIFS(TblApplications[RAM IKS libérable (Go)],TblApplications[Cluster IKS source],$F663,TblApplications[Mois lib (calc)],"&lt;="&amp;$E663)))</f>
        <v/>
      </c>
      <c r="R663" s="14" t="str">
        <f aca="false">IF($D663&lt;&gt;1,"",IF($G663="ROKS",$L663+$P663,IF($AI663=1,0,MAX($N663,$L663-$P663))))</f>
        <v/>
      </c>
      <c r="S663" s="14" t="str">
        <f aca="false">IF($D663&lt;&gt;1,"",IF($G663="ROKS",$M663+$Q663,IF($AI663=1,0,MAX($O663,$M663-$Q663))))</f>
        <v/>
      </c>
      <c r="T663" s="14" t="str">
        <f aca="false">IF($D663&lt;&gt;1,"",IF($AI663=1,0,MAX($J663,ROUNDUP(MAX($R663/$H663,$S663/$I663),0))))</f>
        <v/>
      </c>
      <c r="U663" s="14" t="str">
        <f aca="false">IF($D663&lt;&gt;1,"",IF(p_mode="Nœud",$T663*$H663,$R663))</f>
        <v/>
      </c>
      <c r="V663" s="14" t="str">
        <f aca="false">IF($D663&lt;&gt;1,"",IF(p_mode="Nœud",$T663*$I663,$S663))</f>
        <v/>
      </c>
      <c r="W663" s="84" t="str">
        <f aca="false">IF($D663&lt;&gt;1,"",IF(p_mode="Nœud",$T663*$K663,$R663*IF($G663="IKS",p_iks_cpu,p_roks_cpu)+$S663*IF($G663="IKS",p_iks_ram,p_roks_ram))*p_facteur)</f>
        <v/>
      </c>
      <c r="X663" s="14" t="str">
        <f aca="false">IF($D663&lt;&gt;1,"",IF($G663="ROKS",$R663,IF($AI663=1,0,MAX($N663,$L663-SUMIFS(TblApplications[CPU IKS libérable (vCPU)],TblApplications[Cluster IKS source],$F663,TblApplications[Action],"À migrer",TblApplications[Mois prov (calc)],"&lt;="&amp;$E663)-SUMIFS(TblApplications[CPU IKS libérable (vCPU)],TblApplications[Cluster IKS source],$F663,TblApplications[Action],"À décommissionner",TblApplications[Mois lib (calc)],"&lt;="&amp;$E663)))))</f>
        <v/>
      </c>
      <c r="Y663" s="14" t="str">
        <f aca="false">IF($D663&lt;&gt;1,"",IF($G663="ROKS",$S663,IF($AI663=1,0,MAX($O663,$M663-SUMIFS(TblApplications[RAM IKS libérable (Go)],TblApplications[Cluster IKS source],$F663,TblApplications[Action],"À migrer",TblApplications[Mois prov (calc)],"&lt;="&amp;$E663)-SUMIFS(TblApplications[RAM IKS libérable (Go)],TblApplications[Cluster IKS source],$F663,TblApplications[Action],"À décommissionner",TblApplications[Mois lib (calc)],"&lt;="&amp;$E663)))))</f>
        <v/>
      </c>
      <c r="Z663" s="14" t="str">
        <f aca="false">IF($D663&lt;&gt;1,"",IF($AI663=1,0,MAX($J663,ROUNDUP(MAX($X663/$H663,$Y663/$I663),0))))</f>
        <v/>
      </c>
      <c r="AA663" s="84" t="str">
        <f aca="false">IF($D663&lt;&gt;1,"",IF(p_mode="Nœud",$Z663*$K663,$X663*IF($G663="IKS",p_iks_cpu,p_roks_cpu)+$Y663*IF($G663="IKS",p_iks_ram,p_roks_ram))*p_facteur)</f>
        <v/>
      </c>
      <c r="AB663" s="14" t="str">
        <f aca="false">IF($D663&lt;&gt;1,"",MAX($J663,ROUNDUP(MAX($L663/$H663,$M663/$I663),0)))</f>
        <v/>
      </c>
      <c r="AC663" s="84" t="str">
        <f aca="false">IF($D663&lt;&gt;1,"",IF(p_mode="Nœud",$AB663*$K663,$L663*IF($G663="IKS",p_iks_cpu,p_roks_cpu)+$M663*IF($G663="IKS",p_iks_ram,p_roks_ram))*p_facteur)</f>
        <v/>
      </c>
      <c r="AD663" s="14" t="str">
        <f aca="false">IF($D663&lt;&gt;1,"",IF(AND($G663="IKS",$AI663&lt;&gt;1,OR($L663-$P663&lt;$N663,$M663-$Q663&lt;$O663)),1,0))</f>
        <v/>
      </c>
      <c r="AE663" s="14" t="str">
        <f aca="false">IF($D663&lt;&gt;1,"",IF(AND($G663="ROKS",$T663&gt;p_maxworkers),1,0))</f>
        <v/>
      </c>
      <c r="AF663" s="14" t="str">
        <f aca="false">IF($D663&lt;&gt;1,"",IF(INDEX(TblClusters[Environnement],$B663)="","(vide)",INDEX(TblClusters[Environnement],$B663)))</f>
        <v/>
      </c>
      <c r="AG663" s="14" t="str">
        <f aca="false">IF($D663&lt;&gt;1,"",$R663+p_poidsram*$S663)</f>
        <v/>
      </c>
      <c r="AH663" s="14" t="str">
        <f aca="false">IF($D663&lt;&gt;1,"",IFERROR($W663/$AG663,0))</f>
        <v/>
      </c>
      <c r="AI663" s="14" t="str">
        <f aca="false">IF($D663&lt;&gt;1,"",IF(AND($G663="IKS",ISNUMBER(INDEX(TblClusters[Fermeture retenue],$B663))),IF($E663&gt;=INDEX(TblClusters[Fermeture retenue],$B663),1,0),0))</f>
        <v/>
      </c>
    </row>
    <row r="664" customFormat="false" ht="15" hidden="false" customHeight="false" outlineLevel="0" collapsed="false">
      <c r="A664" s="14" t="n">
        <v>659</v>
      </c>
      <c r="B664" s="14" t="n">
        <f aca="false">INT(($A664-1)/36)+1</f>
        <v>19</v>
      </c>
      <c r="C664" s="14" t="n">
        <f aca="false">MOD($A664-1,36)+1</f>
        <v>11</v>
      </c>
      <c r="D664" s="14" t="n">
        <f aca="false">IF($C664&gt;p_horizon,0,IFERROR(IF(AND(INDEX(TblClusters[Cluster],$B664)&lt;&gt;"",ISNUMBER(INDEX(TblClusters[CPU initial (vCPU)],$B664)),ISNUMBER(INDEX(TblClusters[CPU min (vCPU)],$B664)),OR(INDEX(TblClusters[Plateforme],$B664)="IKS",INDEX(TblClusters[Plateforme],$B664)="ROKS")),1,0),0))</f>
        <v>0</v>
      </c>
      <c r="E664" s="83" t="str">
        <f aca="false">IF($D664=1,EDATE(p_debut,$C664-1),"")</f>
        <v/>
      </c>
      <c r="F664" s="14" t="str">
        <f aca="false">IF($D664=1,INDEX(TblClusters[Cluster],$B664),"")</f>
        <v/>
      </c>
      <c r="G664" s="14" t="str">
        <f aca="false">IF($D664=1,INDEX(TblClusters[Plateforme],$B664),"")</f>
        <v/>
      </c>
      <c r="H664" s="14" t="str">
        <f aca="false">IF($D664=1,INDEX(TblClusters[vCPU par nœud],$B664),"")</f>
        <v/>
      </c>
      <c r="I664" s="14" t="str">
        <f aca="false">IF($D664=1,INDEX(TblClusters[RAM par nœud (Go)],$B664),"")</f>
        <v/>
      </c>
      <c r="J664" s="14" t="str">
        <f aca="false">IF($D664=1,INDEX(TblClusters[Workers min],$B664),"")</f>
        <v/>
      </c>
      <c r="K664" s="84" t="str">
        <f aca="false">IF($D664=1,INDEX(TblClusters[Tarif par nœud],$B664),"")</f>
        <v/>
      </c>
      <c r="L664" s="14" t="str">
        <f aca="false">IF($D664=1,INDEX(TblClusters[CPU initial (vCPU)],$B664),"")</f>
        <v/>
      </c>
      <c r="M664" s="14" t="str">
        <f aca="false">IF($D664=1,INDEX(TblClusters[RAM initiale (Go)],$B664),"")</f>
        <v/>
      </c>
      <c r="N664" s="14" t="str">
        <f aca="false">IF($D664=1,INDEX(TblClusters[CPU min (vCPU)],$B664),"")</f>
        <v/>
      </c>
      <c r="O664" s="14" t="str">
        <f aca="false">IF($D664=1,INDEX(TblClusters[RAM min (Go)],$B664),"")</f>
        <v/>
      </c>
      <c r="P664" s="14" t="str">
        <f aca="false">IF($D664&lt;&gt;1,"",IF($G664="ROKS",SUMIFS(TblApplications[Besoin ROKS CPU (vCPU)],TblApplications[Cluster ROKS cible],$F664,TblApplications[Action],"À migrer",TblApplications[Déjà incluse ROKS],"Non",TblApplications[Mois prov (calc)],"&lt;="&amp;$E664),SUMIFS(TblApplications[CPU IKS libérable (vCPU)],TblApplications[Cluster IKS source],$F664,TblApplications[Mois lib (calc)],"&lt;="&amp;$E664)))</f>
        <v/>
      </c>
      <c r="Q664" s="14" t="str">
        <f aca="false">IF($D664&lt;&gt;1,"",IF($G664="ROKS",SUMIFS(TblApplications[Besoin ROKS RAM (Go)],TblApplications[Cluster ROKS cible],$F664,TblApplications[Action],"À migrer",TblApplications[Déjà incluse ROKS],"Non",TblApplications[Mois prov (calc)],"&lt;="&amp;$E664),SUMIFS(TblApplications[RAM IKS libérable (Go)],TblApplications[Cluster IKS source],$F664,TblApplications[Mois lib (calc)],"&lt;="&amp;$E664)))</f>
        <v/>
      </c>
      <c r="R664" s="14" t="str">
        <f aca="false">IF($D664&lt;&gt;1,"",IF($G664="ROKS",$L664+$P664,IF($AI664=1,0,MAX($N664,$L664-$P664))))</f>
        <v/>
      </c>
      <c r="S664" s="14" t="str">
        <f aca="false">IF($D664&lt;&gt;1,"",IF($G664="ROKS",$M664+$Q664,IF($AI664=1,0,MAX($O664,$M664-$Q664))))</f>
        <v/>
      </c>
      <c r="T664" s="14" t="str">
        <f aca="false">IF($D664&lt;&gt;1,"",IF($AI664=1,0,MAX($J664,ROUNDUP(MAX($R664/$H664,$S664/$I664),0))))</f>
        <v/>
      </c>
      <c r="U664" s="14" t="str">
        <f aca="false">IF($D664&lt;&gt;1,"",IF(p_mode="Nœud",$T664*$H664,$R664))</f>
        <v/>
      </c>
      <c r="V664" s="14" t="str">
        <f aca="false">IF($D664&lt;&gt;1,"",IF(p_mode="Nœud",$T664*$I664,$S664))</f>
        <v/>
      </c>
      <c r="W664" s="84" t="str">
        <f aca="false">IF($D664&lt;&gt;1,"",IF(p_mode="Nœud",$T664*$K664,$R664*IF($G664="IKS",p_iks_cpu,p_roks_cpu)+$S664*IF($G664="IKS",p_iks_ram,p_roks_ram))*p_facteur)</f>
        <v/>
      </c>
      <c r="X664" s="14" t="str">
        <f aca="false">IF($D664&lt;&gt;1,"",IF($G664="ROKS",$R664,IF($AI664=1,0,MAX($N664,$L664-SUMIFS(TblApplications[CPU IKS libérable (vCPU)],TblApplications[Cluster IKS source],$F664,TblApplications[Action],"À migrer",TblApplications[Mois prov (calc)],"&lt;="&amp;$E664)-SUMIFS(TblApplications[CPU IKS libérable (vCPU)],TblApplications[Cluster IKS source],$F664,TblApplications[Action],"À décommissionner",TblApplications[Mois lib (calc)],"&lt;="&amp;$E664)))))</f>
        <v/>
      </c>
      <c r="Y664" s="14" t="str">
        <f aca="false">IF($D664&lt;&gt;1,"",IF($G664="ROKS",$S664,IF($AI664=1,0,MAX($O664,$M664-SUMIFS(TblApplications[RAM IKS libérable (Go)],TblApplications[Cluster IKS source],$F664,TblApplications[Action],"À migrer",TblApplications[Mois prov (calc)],"&lt;="&amp;$E664)-SUMIFS(TblApplications[RAM IKS libérable (Go)],TblApplications[Cluster IKS source],$F664,TblApplications[Action],"À décommissionner",TblApplications[Mois lib (calc)],"&lt;="&amp;$E664)))))</f>
        <v/>
      </c>
      <c r="Z664" s="14" t="str">
        <f aca="false">IF($D664&lt;&gt;1,"",IF($AI664=1,0,MAX($J664,ROUNDUP(MAX($X664/$H664,$Y664/$I664),0))))</f>
        <v/>
      </c>
      <c r="AA664" s="84" t="str">
        <f aca="false">IF($D664&lt;&gt;1,"",IF(p_mode="Nœud",$Z664*$K664,$X664*IF($G664="IKS",p_iks_cpu,p_roks_cpu)+$Y664*IF($G664="IKS",p_iks_ram,p_roks_ram))*p_facteur)</f>
        <v/>
      </c>
      <c r="AB664" s="14" t="str">
        <f aca="false">IF($D664&lt;&gt;1,"",MAX($J664,ROUNDUP(MAX($L664/$H664,$M664/$I664),0)))</f>
        <v/>
      </c>
      <c r="AC664" s="84" t="str">
        <f aca="false">IF($D664&lt;&gt;1,"",IF(p_mode="Nœud",$AB664*$K664,$L664*IF($G664="IKS",p_iks_cpu,p_roks_cpu)+$M664*IF($G664="IKS",p_iks_ram,p_roks_ram))*p_facteur)</f>
        <v/>
      </c>
      <c r="AD664" s="14" t="str">
        <f aca="false">IF($D664&lt;&gt;1,"",IF(AND($G664="IKS",$AI664&lt;&gt;1,OR($L664-$P664&lt;$N664,$M664-$Q664&lt;$O664)),1,0))</f>
        <v/>
      </c>
      <c r="AE664" s="14" t="str">
        <f aca="false">IF($D664&lt;&gt;1,"",IF(AND($G664="ROKS",$T664&gt;p_maxworkers),1,0))</f>
        <v/>
      </c>
      <c r="AF664" s="14" t="str">
        <f aca="false">IF($D664&lt;&gt;1,"",IF(INDEX(TblClusters[Environnement],$B664)="","(vide)",INDEX(TblClusters[Environnement],$B664)))</f>
        <v/>
      </c>
      <c r="AG664" s="14" t="str">
        <f aca="false">IF($D664&lt;&gt;1,"",$R664+p_poidsram*$S664)</f>
        <v/>
      </c>
      <c r="AH664" s="14" t="str">
        <f aca="false">IF($D664&lt;&gt;1,"",IFERROR($W664/$AG664,0))</f>
        <v/>
      </c>
      <c r="AI664" s="14" t="str">
        <f aca="false">IF($D664&lt;&gt;1,"",IF(AND($G664="IKS",ISNUMBER(INDEX(TblClusters[Fermeture retenue],$B664))),IF($E664&gt;=INDEX(TblClusters[Fermeture retenue],$B664),1,0),0))</f>
        <v/>
      </c>
    </row>
    <row r="665" customFormat="false" ht="15" hidden="false" customHeight="false" outlineLevel="0" collapsed="false">
      <c r="A665" s="14" t="n">
        <v>660</v>
      </c>
      <c r="B665" s="14" t="n">
        <f aca="false">INT(($A665-1)/36)+1</f>
        <v>19</v>
      </c>
      <c r="C665" s="14" t="n">
        <f aca="false">MOD($A665-1,36)+1</f>
        <v>12</v>
      </c>
      <c r="D665" s="14" t="n">
        <f aca="false">IF($C665&gt;p_horizon,0,IFERROR(IF(AND(INDEX(TblClusters[Cluster],$B665)&lt;&gt;"",ISNUMBER(INDEX(TblClusters[CPU initial (vCPU)],$B665)),ISNUMBER(INDEX(TblClusters[CPU min (vCPU)],$B665)),OR(INDEX(TblClusters[Plateforme],$B665)="IKS",INDEX(TblClusters[Plateforme],$B665)="ROKS")),1,0),0))</f>
        <v>0</v>
      </c>
      <c r="E665" s="83" t="str">
        <f aca="false">IF($D665=1,EDATE(p_debut,$C665-1),"")</f>
        <v/>
      </c>
      <c r="F665" s="14" t="str">
        <f aca="false">IF($D665=1,INDEX(TblClusters[Cluster],$B665),"")</f>
        <v/>
      </c>
      <c r="G665" s="14" t="str">
        <f aca="false">IF($D665=1,INDEX(TblClusters[Plateforme],$B665),"")</f>
        <v/>
      </c>
      <c r="H665" s="14" t="str">
        <f aca="false">IF($D665=1,INDEX(TblClusters[vCPU par nœud],$B665),"")</f>
        <v/>
      </c>
      <c r="I665" s="14" t="str">
        <f aca="false">IF($D665=1,INDEX(TblClusters[RAM par nœud (Go)],$B665),"")</f>
        <v/>
      </c>
      <c r="J665" s="14" t="str">
        <f aca="false">IF($D665=1,INDEX(TblClusters[Workers min],$B665),"")</f>
        <v/>
      </c>
      <c r="K665" s="84" t="str">
        <f aca="false">IF($D665=1,INDEX(TblClusters[Tarif par nœud],$B665),"")</f>
        <v/>
      </c>
      <c r="L665" s="14" t="str">
        <f aca="false">IF($D665=1,INDEX(TblClusters[CPU initial (vCPU)],$B665),"")</f>
        <v/>
      </c>
      <c r="M665" s="14" t="str">
        <f aca="false">IF($D665=1,INDEX(TblClusters[RAM initiale (Go)],$B665),"")</f>
        <v/>
      </c>
      <c r="N665" s="14" t="str">
        <f aca="false">IF($D665=1,INDEX(TblClusters[CPU min (vCPU)],$B665),"")</f>
        <v/>
      </c>
      <c r="O665" s="14" t="str">
        <f aca="false">IF($D665=1,INDEX(TblClusters[RAM min (Go)],$B665),"")</f>
        <v/>
      </c>
      <c r="P665" s="14" t="str">
        <f aca="false">IF($D665&lt;&gt;1,"",IF($G665="ROKS",SUMIFS(TblApplications[Besoin ROKS CPU (vCPU)],TblApplications[Cluster ROKS cible],$F665,TblApplications[Action],"À migrer",TblApplications[Déjà incluse ROKS],"Non",TblApplications[Mois prov (calc)],"&lt;="&amp;$E665),SUMIFS(TblApplications[CPU IKS libérable (vCPU)],TblApplications[Cluster IKS source],$F665,TblApplications[Mois lib (calc)],"&lt;="&amp;$E665)))</f>
        <v/>
      </c>
      <c r="Q665" s="14" t="str">
        <f aca="false">IF($D665&lt;&gt;1,"",IF($G665="ROKS",SUMIFS(TblApplications[Besoin ROKS RAM (Go)],TblApplications[Cluster ROKS cible],$F665,TblApplications[Action],"À migrer",TblApplications[Déjà incluse ROKS],"Non",TblApplications[Mois prov (calc)],"&lt;="&amp;$E665),SUMIFS(TblApplications[RAM IKS libérable (Go)],TblApplications[Cluster IKS source],$F665,TblApplications[Mois lib (calc)],"&lt;="&amp;$E665)))</f>
        <v/>
      </c>
      <c r="R665" s="14" t="str">
        <f aca="false">IF($D665&lt;&gt;1,"",IF($G665="ROKS",$L665+$P665,IF($AI665=1,0,MAX($N665,$L665-$P665))))</f>
        <v/>
      </c>
      <c r="S665" s="14" t="str">
        <f aca="false">IF($D665&lt;&gt;1,"",IF($G665="ROKS",$M665+$Q665,IF($AI665=1,0,MAX($O665,$M665-$Q665))))</f>
        <v/>
      </c>
      <c r="T665" s="14" t="str">
        <f aca="false">IF($D665&lt;&gt;1,"",IF($AI665=1,0,MAX($J665,ROUNDUP(MAX($R665/$H665,$S665/$I665),0))))</f>
        <v/>
      </c>
      <c r="U665" s="14" t="str">
        <f aca="false">IF($D665&lt;&gt;1,"",IF(p_mode="Nœud",$T665*$H665,$R665))</f>
        <v/>
      </c>
      <c r="V665" s="14" t="str">
        <f aca="false">IF($D665&lt;&gt;1,"",IF(p_mode="Nœud",$T665*$I665,$S665))</f>
        <v/>
      </c>
      <c r="W665" s="84" t="str">
        <f aca="false">IF($D665&lt;&gt;1,"",IF(p_mode="Nœud",$T665*$K665,$R665*IF($G665="IKS",p_iks_cpu,p_roks_cpu)+$S665*IF($G665="IKS",p_iks_ram,p_roks_ram))*p_facteur)</f>
        <v/>
      </c>
      <c r="X665" s="14" t="str">
        <f aca="false">IF($D665&lt;&gt;1,"",IF($G665="ROKS",$R665,IF($AI665=1,0,MAX($N665,$L665-SUMIFS(TblApplications[CPU IKS libérable (vCPU)],TblApplications[Cluster IKS source],$F665,TblApplications[Action],"À migrer",TblApplications[Mois prov (calc)],"&lt;="&amp;$E665)-SUMIFS(TblApplications[CPU IKS libérable (vCPU)],TblApplications[Cluster IKS source],$F665,TblApplications[Action],"À décommissionner",TblApplications[Mois lib (calc)],"&lt;="&amp;$E665)))))</f>
        <v/>
      </c>
      <c r="Y665" s="14" t="str">
        <f aca="false">IF($D665&lt;&gt;1,"",IF($G665="ROKS",$S665,IF($AI665=1,0,MAX($O665,$M665-SUMIFS(TblApplications[RAM IKS libérable (Go)],TblApplications[Cluster IKS source],$F665,TblApplications[Action],"À migrer",TblApplications[Mois prov (calc)],"&lt;="&amp;$E665)-SUMIFS(TblApplications[RAM IKS libérable (Go)],TblApplications[Cluster IKS source],$F665,TblApplications[Action],"À décommissionner",TblApplications[Mois lib (calc)],"&lt;="&amp;$E665)))))</f>
        <v/>
      </c>
      <c r="Z665" s="14" t="str">
        <f aca="false">IF($D665&lt;&gt;1,"",IF($AI665=1,0,MAX($J665,ROUNDUP(MAX($X665/$H665,$Y665/$I665),0))))</f>
        <v/>
      </c>
      <c r="AA665" s="84" t="str">
        <f aca="false">IF($D665&lt;&gt;1,"",IF(p_mode="Nœud",$Z665*$K665,$X665*IF($G665="IKS",p_iks_cpu,p_roks_cpu)+$Y665*IF($G665="IKS",p_iks_ram,p_roks_ram))*p_facteur)</f>
        <v/>
      </c>
      <c r="AB665" s="14" t="str">
        <f aca="false">IF($D665&lt;&gt;1,"",MAX($J665,ROUNDUP(MAX($L665/$H665,$M665/$I665),0)))</f>
        <v/>
      </c>
      <c r="AC665" s="84" t="str">
        <f aca="false">IF($D665&lt;&gt;1,"",IF(p_mode="Nœud",$AB665*$K665,$L665*IF($G665="IKS",p_iks_cpu,p_roks_cpu)+$M665*IF($G665="IKS",p_iks_ram,p_roks_ram))*p_facteur)</f>
        <v/>
      </c>
      <c r="AD665" s="14" t="str">
        <f aca="false">IF($D665&lt;&gt;1,"",IF(AND($G665="IKS",$AI665&lt;&gt;1,OR($L665-$P665&lt;$N665,$M665-$Q665&lt;$O665)),1,0))</f>
        <v/>
      </c>
      <c r="AE665" s="14" t="str">
        <f aca="false">IF($D665&lt;&gt;1,"",IF(AND($G665="ROKS",$T665&gt;p_maxworkers),1,0))</f>
        <v/>
      </c>
      <c r="AF665" s="14" t="str">
        <f aca="false">IF($D665&lt;&gt;1,"",IF(INDEX(TblClusters[Environnement],$B665)="","(vide)",INDEX(TblClusters[Environnement],$B665)))</f>
        <v/>
      </c>
      <c r="AG665" s="14" t="str">
        <f aca="false">IF($D665&lt;&gt;1,"",$R665+p_poidsram*$S665)</f>
        <v/>
      </c>
      <c r="AH665" s="14" t="str">
        <f aca="false">IF($D665&lt;&gt;1,"",IFERROR($W665/$AG665,0))</f>
        <v/>
      </c>
      <c r="AI665" s="14" t="str">
        <f aca="false">IF($D665&lt;&gt;1,"",IF(AND($G665="IKS",ISNUMBER(INDEX(TblClusters[Fermeture retenue],$B665))),IF($E665&gt;=INDEX(TblClusters[Fermeture retenue],$B665),1,0),0))</f>
        <v/>
      </c>
    </row>
    <row r="666" customFormat="false" ht="15" hidden="false" customHeight="false" outlineLevel="0" collapsed="false">
      <c r="A666" s="14" t="n">
        <v>661</v>
      </c>
      <c r="B666" s="14" t="n">
        <f aca="false">INT(($A666-1)/36)+1</f>
        <v>19</v>
      </c>
      <c r="C666" s="14" t="n">
        <f aca="false">MOD($A666-1,36)+1</f>
        <v>13</v>
      </c>
      <c r="D666" s="14" t="n">
        <f aca="false">IF($C666&gt;p_horizon,0,IFERROR(IF(AND(INDEX(TblClusters[Cluster],$B666)&lt;&gt;"",ISNUMBER(INDEX(TblClusters[CPU initial (vCPU)],$B666)),ISNUMBER(INDEX(TblClusters[CPU min (vCPU)],$B666)),OR(INDEX(TblClusters[Plateforme],$B666)="IKS",INDEX(TblClusters[Plateforme],$B666)="ROKS")),1,0),0))</f>
        <v>0</v>
      </c>
      <c r="E666" s="83" t="str">
        <f aca="false">IF($D666=1,EDATE(p_debut,$C666-1),"")</f>
        <v/>
      </c>
      <c r="F666" s="14" t="str">
        <f aca="false">IF($D666=1,INDEX(TblClusters[Cluster],$B666),"")</f>
        <v/>
      </c>
      <c r="G666" s="14" t="str">
        <f aca="false">IF($D666=1,INDEX(TblClusters[Plateforme],$B666),"")</f>
        <v/>
      </c>
      <c r="H666" s="14" t="str">
        <f aca="false">IF($D666=1,INDEX(TblClusters[vCPU par nœud],$B666),"")</f>
        <v/>
      </c>
      <c r="I666" s="14" t="str">
        <f aca="false">IF($D666=1,INDEX(TblClusters[RAM par nœud (Go)],$B666),"")</f>
        <v/>
      </c>
      <c r="J666" s="14" t="str">
        <f aca="false">IF($D666=1,INDEX(TblClusters[Workers min],$B666),"")</f>
        <v/>
      </c>
      <c r="K666" s="84" t="str">
        <f aca="false">IF($D666=1,INDEX(TblClusters[Tarif par nœud],$B666),"")</f>
        <v/>
      </c>
      <c r="L666" s="14" t="str">
        <f aca="false">IF($D666=1,INDEX(TblClusters[CPU initial (vCPU)],$B666),"")</f>
        <v/>
      </c>
      <c r="M666" s="14" t="str">
        <f aca="false">IF($D666=1,INDEX(TblClusters[RAM initiale (Go)],$B666),"")</f>
        <v/>
      </c>
      <c r="N666" s="14" t="str">
        <f aca="false">IF($D666=1,INDEX(TblClusters[CPU min (vCPU)],$B666),"")</f>
        <v/>
      </c>
      <c r="O666" s="14" t="str">
        <f aca="false">IF($D666=1,INDEX(TblClusters[RAM min (Go)],$B666),"")</f>
        <v/>
      </c>
      <c r="P666" s="14" t="str">
        <f aca="false">IF($D666&lt;&gt;1,"",IF($G666="ROKS",SUMIFS(TblApplications[Besoin ROKS CPU (vCPU)],TblApplications[Cluster ROKS cible],$F666,TblApplications[Action],"À migrer",TblApplications[Déjà incluse ROKS],"Non",TblApplications[Mois prov (calc)],"&lt;="&amp;$E666),SUMIFS(TblApplications[CPU IKS libérable (vCPU)],TblApplications[Cluster IKS source],$F666,TblApplications[Mois lib (calc)],"&lt;="&amp;$E666)))</f>
        <v/>
      </c>
      <c r="Q666" s="14" t="str">
        <f aca="false">IF($D666&lt;&gt;1,"",IF($G666="ROKS",SUMIFS(TblApplications[Besoin ROKS RAM (Go)],TblApplications[Cluster ROKS cible],$F666,TblApplications[Action],"À migrer",TblApplications[Déjà incluse ROKS],"Non",TblApplications[Mois prov (calc)],"&lt;="&amp;$E666),SUMIFS(TblApplications[RAM IKS libérable (Go)],TblApplications[Cluster IKS source],$F666,TblApplications[Mois lib (calc)],"&lt;="&amp;$E666)))</f>
        <v/>
      </c>
      <c r="R666" s="14" t="str">
        <f aca="false">IF($D666&lt;&gt;1,"",IF($G666="ROKS",$L666+$P666,IF($AI666=1,0,MAX($N666,$L666-$P666))))</f>
        <v/>
      </c>
      <c r="S666" s="14" t="str">
        <f aca="false">IF($D666&lt;&gt;1,"",IF($G666="ROKS",$M666+$Q666,IF($AI666=1,0,MAX($O666,$M666-$Q666))))</f>
        <v/>
      </c>
      <c r="T666" s="14" t="str">
        <f aca="false">IF($D666&lt;&gt;1,"",IF($AI666=1,0,MAX($J666,ROUNDUP(MAX($R666/$H666,$S666/$I666),0))))</f>
        <v/>
      </c>
      <c r="U666" s="14" t="str">
        <f aca="false">IF($D666&lt;&gt;1,"",IF(p_mode="Nœud",$T666*$H666,$R666))</f>
        <v/>
      </c>
      <c r="V666" s="14" t="str">
        <f aca="false">IF($D666&lt;&gt;1,"",IF(p_mode="Nœud",$T666*$I666,$S666))</f>
        <v/>
      </c>
      <c r="W666" s="84" t="str">
        <f aca="false">IF($D666&lt;&gt;1,"",IF(p_mode="Nœud",$T666*$K666,$R666*IF($G666="IKS",p_iks_cpu,p_roks_cpu)+$S666*IF($G666="IKS",p_iks_ram,p_roks_ram))*p_facteur)</f>
        <v/>
      </c>
      <c r="X666" s="14" t="str">
        <f aca="false">IF($D666&lt;&gt;1,"",IF($G666="ROKS",$R666,IF($AI666=1,0,MAX($N666,$L666-SUMIFS(TblApplications[CPU IKS libérable (vCPU)],TblApplications[Cluster IKS source],$F666,TblApplications[Action],"À migrer",TblApplications[Mois prov (calc)],"&lt;="&amp;$E666)-SUMIFS(TblApplications[CPU IKS libérable (vCPU)],TblApplications[Cluster IKS source],$F666,TblApplications[Action],"À décommissionner",TblApplications[Mois lib (calc)],"&lt;="&amp;$E666)))))</f>
        <v/>
      </c>
      <c r="Y666" s="14" t="str">
        <f aca="false">IF($D666&lt;&gt;1,"",IF($G666="ROKS",$S666,IF($AI666=1,0,MAX($O666,$M666-SUMIFS(TblApplications[RAM IKS libérable (Go)],TblApplications[Cluster IKS source],$F666,TblApplications[Action],"À migrer",TblApplications[Mois prov (calc)],"&lt;="&amp;$E666)-SUMIFS(TblApplications[RAM IKS libérable (Go)],TblApplications[Cluster IKS source],$F666,TblApplications[Action],"À décommissionner",TblApplications[Mois lib (calc)],"&lt;="&amp;$E666)))))</f>
        <v/>
      </c>
      <c r="Z666" s="14" t="str">
        <f aca="false">IF($D666&lt;&gt;1,"",IF($AI666=1,0,MAX($J666,ROUNDUP(MAX($X666/$H666,$Y666/$I666),0))))</f>
        <v/>
      </c>
      <c r="AA666" s="84" t="str">
        <f aca="false">IF($D666&lt;&gt;1,"",IF(p_mode="Nœud",$Z666*$K666,$X666*IF($G666="IKS",p_iks_cpu,p_roks_cpu)+$Y666*IF($G666="IKS",p_iks_ram,p_roks_ram))*p_facteur)</f>
        <v/>
      </c>
      <c r="AB666" s="14" t="str">
        <f aca="false">IF($D666&lt;&gt;1,"",MAX($J666,ROUNDUP(MAX($L666/$H666,$M666/$I666),0)))</f>
        <v/>
      </c>
      <c r="AC666" s="84" t="str">
        <f aca="false">IF($D666&lt;&gt;1,"",IF(p_mode="Nœud",$AB666*$K666,$L666*IF($G666="IKS",p_iks_cpu,p_roks_cpu)+$M666*IF($G666="IKS",p_iks_ram,p_roks_ram))*p_facteur)</f>
        <v/>
      </c>
      <c r="AD666" s="14" t="str">
        <f aca="false">IF($D666&lt;&gt;1,"",IF(AND($G666="IKS",$AI666&lt;&gt;1,OR($L666-$P666&lt;$N666,$M666-$Q666&lt;$O666)),1,0))</f>
        <v/>
      </c>
      <c r="AE666" s="14" t="str">
        <f aca="false">IF($D666&lt;&gt;1,"",IF(AND($G666="ROKS",$T666&gt;p_maxworkers),1,0))</f>
        <v/>
      </c>
      <c r="AF666" s="14" t="str">
        <f aca="false">IF($D666&lt;&gt;1,"",IF(INDEX(TblClusters[Environnement],$B666)="","(vide)",INDEX(TblClusters[Environnement],$B666)))</f>
        <v/>
      </c>
      <c r="AG666" s="14" t="str">
        <f aca="false">IF($D666&lt;&gt;1,"",$R666+p_poidsram*$S666)</f>
        <v/>
      </c>
      <c r="AH666" s="14" t="str">
        <f aca="false">IF($D666&lt;&gt;1,"",IFERROR($W666/$AG666,0))</f>
        <v/>
      </c>
      <c r="AI666" s="14" t="str">
        <f aca="false">IF($D666&lt;&gt;1,"",IF(AND($G666="IKS",ISNUMBER(INDEX(TblClusters[Fermeture retenue],$B666))),IF($E666&gt;=INDEX(TblClusters[Fermeture retenue],$B666),1,0),0))</f>
        <v/>
      </c>
    </row>
    <row r="667" customFormat="false" ht="15" hidden="false" customHeight="false" outlineLevel="0" collapsed="false">
      <c r="A667" s="14" t="n">
        <v>662</v>
      </c>
      <c r="B667" s="14" t="n">
        <f aca="false">INT(($A667-1)/36)+1</f>
        <v>19</v>
      </c>
      <c r="C667" s="14" t="n">
        <f aca="false">MOD($A667-1,36)+1</f>
        <v>14</v>
      </c>
      <c r="D667" s="14" t="n">
        <f aca="false">IF($C667&gt;p_horizon,0,IFERROR(IF(AND(INDEX(TblClusters[Cluster],$B667)&lt;&gt;"",ISNUMBER(INDEX(TblClusters[CPU initial (vCPU)],$B667)),ISNUMBER(INDEX(TblClusters[CPU min (vCPU)],$B667)),OR(INDEX(TblClusters[Plateforme],$B667)="IKS",INDEX(TblClusters[Plateforme],$B667)="ROKS")),1,0),0))</f>
        <v>0</v>
      </c>
      <c r="E667" s="83" t="str">
        <f aca="false">IF($D667=1,EDATE(p_debut,$C667-1),"")</f>
        <v/>
      </c>
      <c r="F667" s="14" t="str">
        <f aca="false">IF($D667=1,INDEX(TblClusters[Cluster],$B667),"")</f>
        <v/>
      </c>
      <c r="G667" s="14" t="str">
        <f aca="false">IF($D667=1,INDEX(TblClusters[Plateforme],$B667),"")</f>
        <v/>
      </c>
      <c r="H667" s="14" t="str">
        <f aca="false">IF($D667=1,INDEX(TblClusters[vCPU par nœud],$B667),"")</f>
        <v/>
      </c>
      <c r="I667" s="14" t="str">
        <f aca="false">IF($D667=1,INDEX(TblClusters[RAM par nœud (Go)],$B667),"")</f>
        <v/>
      </c>
      <c r="J667" s="14" t="str">
        <f aca="false">IF($D667=1,INDEX(TblClusters[Workers min],$B667),"")</f>
        <v/>
      </c>
      <c r="K667" s="84" t="str">
        <f aca="false">IF($D667=1,INDEX(TblClusters[Tarif par nœud],$B667),"")</f>
        <v/>
      </c>
      <c r="L667" s="14" t="str">
        <f aca="false">IF($D667=1,INDEX(TblClusters[CPU initial (vCPU)],$B667),"")</f>
        <v/>
      </c>
      <c r="M667" s="14" t="str">
        <f aca="false">IF($D667=1,INDEX(TblClusters[RAM initiale (Go)],$B667),"")</f>
        <v/>
      </c>
      <c r="N667" s="14" t="str">
        <f aca="false">IF($D667=1,INDEX(TblClusters[CPU min (vCPU)],$B667),"")</f>
        <v/>
      </c>
      <c r="O667" s="14" t="str">
        <f aca="false">IF($D667=1,INDEX(TblClusters[RAM min (Go)],$B667),"")</f>
        <v/>
      </c>
      <c r="P667" s="14" t="str">
        <f aca="false">IF($D667&lt;&gt;1,"",IF($G667="ROKS",SUMIFS(TblApplications[Besoin ROKS CPU (vCPU)],TblApplications[Cluster ROKS cible],$F667,TblApplications[Action],"À migrer",TblApplications[Déjà incluse ROKS],"Non",TblApplications[Mois prov (calc)],"&lt;="&amp;$E667),SUMIFS(TblApplications[CPU IKS libérable (vCPU)],TblApplications[Cluster IKS source],$F667,TblApplications[Mois lib (calc)],"&lt;="&amp;$E667)))</f>
        <v/>
      </c>
      <c r="Q667" s="14" t="str">
        <f aca="false">IF($D667&lt;&gt;1,"",IF($G667="ROKS",SUMIFS(TblApplications[Besoin ROKS RAM (Go)],TblApplications[Cluster ROKS cible],$F667,TblApplications[Action],"À migrer",TblApplications[Déjà incluse ROKS],"Non",TblApplications[Mois prov (calc)],"&lt;="&amp;$E667),SUMIFS(TblApplications[RAM IKS libérable (Go)],TblApplications[Cluster IKS source],$F667,TblApplications[Mois lib (calc)],"&lt;="&amp;$E667)))</f>
        <v/>
      </c>
      <c r="R667" s="14" t="str">
        <f aca="false">IF($D667&lt;&gt;1,"",IF($G667="ROKS",$L667+$P667,IF($AI667=1,0,MAX($N667,$L667-$P667))))</f>
        <v/>
      </c>
      <c r="S667" s="14" t="str">
        <f aca="false">IF($D667&lt;&gt;1,"",IF($G667="ROKS",$M667+$Q667,IF($AI667=1,0,MAX($O667,$M667-$Q667))))</f>
        <v/>
      </c>
      <c r="T667" s="14" t="str">
        <f aca="false">IF($D667&lt;&gt;1,"",IF($AI667=1,0,MAX($J667,ROUNDUP(MAX($R667/$H667,$S667/$I667),0))))</f>
        <v/>
      </c>
      <c r="U667" s="14" t="str">
        <f aca="false">IF($D667&lt;&gt;1,"",IF(p_mode="Nœud",$T667*$H667,$R667))</f>
        <v/>
      </c>
      <c r="V667" s="14" t="str">
        <f aca="false">IF($D667&lt;&gt;1,"",IF(p_mode="Nœud",$T667*$I667,$S667))</f>
        <v/>
      </c>
      <c r="W667" s="84" t="str">
        <f aca="false">IF($D667&lt;&gt;1,"",IF(p_mode="Nœud",$T667*$K667,$R667*IF($G667="IKS",p_iks_cpu,p_roks_cpu)+$S667*IF($G667="IKS",p_iks_ram,p_roks_ram))*p_facteur)</f>
        <v/>
      </c>
      <c r="X667" s="14" t="str">
        <f aca="false">IF($D667&lt;&gt;1,"",IF($G667="ROKS",$R667,IF($AI667=1,0,MAX($N667,$L667-SUMIFS(TblApplications[CPU IKS libérable (vCPU)],TblApplications[Cluster IKS source],$F667,TblApplications[Action],"À migrer",TblApplications[Mois prov (calc)],"&lt;="&amp;$E667)-SUMIFS(TblApplications[CPU IKS libérable (vCPU)],TblApplications[Cluster IKS source],$F667,TblApplications[Action],"À décommissionner",TblApplications[Mois lib (calc)],"&lt;="&amp;$E667)))))</f>
        <v/>
      </c>
      <c r="Y667" s="14" t="str">
        <f aca="false">IF($D667&lt;&gt;1,"",IF($G667="ROKS",$S667,IF($AI667=1,0,MAX($O667,$M667-SUMIFS(TblApplications[RAM IKS libérable (Go)],TblApplications[Cluster IKS source],$F667,TblApplications[Action],"À migrer",TblApplications[Mois prov (calc)],"&lt;="&amp;$E667)-SUMIFS(TblApplications[RAM IKS libérable (Go)],TblApplications[Cluster IKS source],$F667,TblApplications[Action],"À décommissionner",TblApplications[Mois lib (calc)],"&lt;="&amp;$E667)))))</f>
        <v/>
      </c>
      <c r="Z667" s="14" t="str">
        <f aca="false">IF($D667&lt;&gt;1,"",IF($AI667=1,0,MAX($J667,ROUNDUP(MAX($X667/$H667,$Y667/$I667),0))))</f>
        <v/>
      </c>
      <c r="AA667" s="84" t="str">
        <f aca="false">IF($D667&lt;&gt;1,"",IF(p_mode="Nœud",$Z667*$K667,$X667*IF($G667="IKS",p_iks_cpu,p_roks_cpu)+$Y667*IF($G667="IKS",p_iks_ram,p_roks_ram))*p_facteur)</f>
        <v/>
      </c>
      <c r="AB667" s="14" t="str">
        <f aca="false">IF($D667&lt;&gt;1,"",MAX($J667,ROUNDUP(MAX($L667/$H667,$M667/$I667),0)))</f>
        <v/>
      </c>
      <c r="AC667" s="84" t="str">
        <f aca="false">IF($D667&lt;&gt;1,"",IF(p_mode="Nœud",$AB667*$K667,$L667*IF($G667="IKS",p_iks_cpu,p_roks_cpu)+$M667*IF($G667="IKS",p_iks_ram,p_roks_ram))*p_facteur)</f>
        <v/>
      </c>
      <c r="AD667" s="14" t="str">
        <f aca="false">IF($D667&lt;&gt;1,"",IF(AND($G667="IKS",$AI667&lt;&gt;1,OR($L667-$P667&lt;$N667,$M667-$Q667&lt;$O667)),1,0))</f>
        <v/>
      </c>
      <c r="AE667" s="14" t="str">
        <f aca="false">IF($D667&lt;&gt;1,"",IF(AND($G667="ROKS",$T667&gt;p_maxworkers),1,0))</f>
        <v/>
      </c>
      <c r="AF667" s="14" t="str">
        <f aca="false">IF($D667&lt;&gt;1,"",IF(INDEX(TblClusters[Environnement],$B667)="","(vide)",INDEX(TblClusters[Environnement],$B667)))</f>
        <v/>
      </c>
      <c r="AG667" s="14" t="str">
        <f aca="false">IF($D667&lt;&gt;1,"",$R667+p_poidsram*$S667)</f>
        <v/>
      </c>
      <c r="AH667" s="14" t="str">
        <f aca="false">IF($D667&lt;&gt;1,"",IFERROR($W667/$AG667,0))</f>
        <v/>
      </c>
      <c r="AI667" s="14" t="str">
        <f aca="false">IF($D667&lt;&gt;1,"",IF(AND($G667="IKS",ISNUMBER(INDEX(TblClusters[Fermeture retenue],$B667))),IF($E667&gt;=INDEX(TblClusters[Fermeture retenue],$B667),1,0),0))</f>
        <v/>
      </c>
    </row>
    <row r="668" customFormat="false" ht="15" hidden="false" customHeight="false" outlineLevel="0" collapsed="false">
      <c r="A668" s="14" t="n">
        <v>663</v>
      </c>
      <c r="B668" s="14" t="n">
        <f aca="false">INT(($A668-1)/36)+1</f>
        <v>19</v>
      </c>
      <c r="C668" s="14" t="n">
        <f aca="false">MOD($A668-1,36)+1</f>
        <v>15</v>
      </c>
      <c r="D668" s="14" t="n">
        <f aca="false">IF($C668&gt;p_horizon,0,IFERROR(IF(AND(INDEX(TblClusters[Cluster],$B668)&lt;&gt;"",ISNUMBER(INDEX(TblClusters[CPU initial (vCPU)],$B668)),ISNUMBER(INDEX(TblClusters[CPU min (vCPU)],$B668)),OR(INDEX(TblClusters[Plateforme],$B668)="IKS",INDEX(TblClusters[Plateforme],$B668)="ROKS")),1,0),0))</f>
        <v>0</v>
      </c>
      <c r="E668" s="83" t="str">
        <f aca="false">IF($D668=1,EDATE(p_debut,$C668-1),"")</f>
        <v/>
      </c>
      <c r="F668" s="14" t="str">
        <f aca="false">IF($D668=1,INDEX(TblClusters[Cluster],$B668),"")</f>
        <v/>
      </c>
      <c r="G668" s="14" t="str">
        <f aca="false">IF($D668=1,INDEX(TblClusters[Plateforme],$B668),"")</f>
        <v/>
      </c>
      <c r="H668" s="14" t="str">
        <f aca="false">IF($D668=1,INDEX(TblClusters[vCPU par nœud],$B668),"")</f>
        <v/>
      </c>
      <c r="I668" s="14" t="str">
        <f aca="false">IF($D668=1,INDEX(TblClusters[RAM par nœud (Go)],$B668),"")</f>
        <v/>
      </c>
      <c r="J668" s="14" t="str">
        <f aca="false">IF($D668=1,INDEX(TblClusters[Workers min],$B668),"")</f>
        <v/>
      </c>
      <c r="K668" s="84" t="str">
        <f aca="false">IF($D668=1,INDEX(TblClusters[Tarif par nœud],$B668),"")</f>
        <v/>
      </c>
      <c r="L668" s="14" t="str">
        <f aca="false">IF($D668=1,INDEX(TblClusters[CPU initial (vCPU)],$B668),"")</f>
        <v/>
      </c>
      <c r="M668" s="14" t="str">
        <f aca="false">IF($D668=1,INDEX(TblClusters[RAM initiale (Go)],$B668),"")</f>
        <v/>
      </c>
      <c r="N668" s="14" t="str">
        <f aca="false">IF($D668=1,INDEX(TblClusters[CPU min (vCPU)],$B668),"")</f>
        <v/>
      </c>
      <c r="O668" s="14" t="str">
        <f aca="false">IF($D668=1,INDEX(TblClusters[RAM min (Go)],$B668),"")</f>
        <v/>
      </c>
      <c r="P668" s="14" t="str">
        <f aca="false">IF($D668&lt;&gt;1,"",IF($G668="ROKS",SUMIFS(TblApplications[Besoin ROKS CPU (vCPU)],TblApplications[Cluster ROKS cible],$F668,TblApplications[Action],"À migrer",TblApplications[Déjà incluse ROKS],"Non",TblApplications[Mois prov (calc)],"&lt;="&amp;$E668),SUMIFS(TblApplications[CPU IKS libérable (vCPU)],TblApplications[Cluster IKS source],$F668,TblApplications[Mois lib (calc)],"&lt;="&amp;$E668)))</f>
        <v/>
      </c>
      <c r="Q668" s="14" t="str">
        <f aca="false">IF($D668&lt;&gt;1,"",IF($G668="ROKS",SUMIFS(TblApplications[Besoin ROKS RAM (Go)],TblApplications[Cluster ROKS cible],$F668,TblApplications[Action],"À migrer",TblApplications[Déjà incluse ROKS],"Non",TblApplications[Mois prov (calc)],"&lt;="&amp;$E668),SUMIFS(TblApplications[RAM IKS libérable (Go)],TblApplications[Cluster IKS source],$F668,TblApplications[Mois lib (calc)],"&lt;="&amp;$E668)))</f>
        <v/>
      </c>
      <c r="R668" s="14" t="str">
        <f aca="false">IF($D668&lt;&gt;1,"",IF($G668="ROKS",$L668+$P668,IF($AI668=1,0,MAX($N668,$L668-$P668))))</f>
        <v/>
      </c>
      <c r="S668" s="14" t="str">
        <f aca="false">IF($D668&lt;&gt;1,"",IF($G668="ROKS",$M668+$Q668,IF($AI668=1,0,MAX($O668,$M668-$Q668))))</f>
        <v/>
      </c>
      <c r="T668" s="14" t="str">
        <f aca="false">IF($D668&lt;&gt;1,"",IF($AI668=1,0,MAX($J668,ROUNDUP(MAX($R668/$H668,$S668/$I668),0))))</f>
        <v/>
      </c>
      <c r="U668" s="14" t="str">
        <f aca="false">IF($D668&lt;&gt;1,"",IF(p_mode="Nœud",$T668*$H668,$R668))</f>
        <v/>
      </c>
      <c r="V668" s="14" t="str">
        <f aca="false">IF($D668&lt;&gt;1,"",IF(p_mode="Nœud",$T668*$I668,$S668))</f>
        <v/>
      </c>
      <c r="W668" s="84" t="str">
        <f aca="false">IF($D668&lt;&gt;1,"",IF(p_mode="Nœud",$T668*$K668,$R668*IF($G668="IKS",p_iks_cpu,p_roks_cpu)+$S668*IF($G668="IKS",p_iks_ram,p_roks_ram))*p_facteur)</f>
        <v/>
      </c>
      <c r="X668" s="14" t="str">
        <f aca="false">IF($D668&lt;&gt;1,"",IF($G668="ROKS",$R668,IF($AI668=1,0,MAX($N668,$L668-SUMIFS(TblApplications[CPU IKS libérable (vCPU)],TblApplications[Cluster IKS source],$F668,TblApplications[Action],"À migrer",TblApplications[Mois prov (calc)],"&lt;="&amp;$E668)-SUMIFS(TblApplications[CPU IKS libérable (vCPU)],TblApplications[Cluster IKS source],$F668,TblApplications[Action],"À décommissionner",TblApplications[Mois lib (calc)],"&lt;="&amp;$E668)))))</f>
        <v/>
      </c>
      <c r="Y668" s="14" t="str">
        <f aca="false">IF($D668&lt;&gt;1,"",IF($G668="ROKS",$S668,IF($AI668=1,0,MAX($O668,$M668-SUMIFS(TblApplications[RAM IKS libérable (Go)],TblApplications[Cluster IKS source],$F668,TblApplications[Action],"À migrer",TblApplications[Mois prov (calc)],"&lt;="&amp;$E668)-SUMIFS(TblApplications[RAM IKS libérable (Go)],TblApplications[Cluster IKS source],$F668,TblApplications[Action],"À décommissionner",TblApplications[Mois lib (calc)],"&lt;="&amp;$E668)))))</f>
        <v/>
      </c>
      <c r="Z668" s="14" t="str">
        <f aca="false">IF($D668&lt;&gt;1,"",IF($AI668=1,0,MAX($J668,ROUNDUP(MAX($X668/$H668,$Y668/$I668),0))))</f>
        <v/>
      </c>
      <c r="AA668" s="84" t="str">
        <f aca="false">IF($D668&lt;&gt;1,"",IF(p_mode="Nœud",$Z668*$K668,$X668*IF($G668="IKS",p_iks_cpu,p_roks_cpu)+$Y668*IF($G668="IKS",p_iks_ram,p_roks_ram))*p_facteur)</f>
        <v/>
      </c>
      <c r="AB668" s="14" t="str">
        <f aca="false">IF($D668&lt;&gt;1,"",MAX($J668,ROUNDUP(MAX($L668/$H668,$M668/$I668),0)))</f>
        <v/>
      </c>
      <c r="AC668" s="84" t="str">
        <f aca="false">IF($D668&lt;&gt;1,"",IF(p_mode="Nœud",$AB668*$K668,$L668*IF($G668="IKS",p_iks_cpu,p_roks_cpu)+$M668*IF($G668="IKS",p_iks_ram,p_roks_ram))*p_facteur)</f>
        <v/>
      </c>
      <c r="AD668" s="14" t="str">
        <f aca="false">IF($D668&lt;&gt;1,"",IF(AND($G668="IKS",$AI668&lt;&gt;1,OR($L668-$P668&lt;$N668,$M668-$Q668&lt;$O668)),1,0))</f>
        <v/>
      </c>
      <c r="AE668" s="14" t="str">
        <f aca="false">IF($D668&lt;&gt;1,"",IF(AND($G668="ROKS",$T668&gt;p_maxworkers),1,0))</f>
        <v/>
      </c>
      <c r="AF668" s="14" t="str">
        <f aca="false">IF($D668&lt;&gt;1,"",IF(INDEX(TblClusters[Environnement],$B668)="","(vide)",INDEX(TblClusters[Environnement],$B668)))</f>
        <v/>
      </c>
      <c r="AG668" s="14" t="str">
        <f aca="false">IF($D668&lt;&gt;1,"",$R668+p_poidsram*$S668)</f>
        <v/>
      </c>
      <c r="AH668" s="14" t="str">
        <f aca="false">IF($D668&lt;&gt;1,"",IFERROR($W668/$AG668,0))</f>
        <v/>
      </c>
      <c r="AI668" s="14" t="str">
        <f aca="false">IF($D668&lt;&gt;1,"",IF(AND($G668="IKS",ISNUMBER(INDEX(TblClusters[Fermeture retenue],$B668))),IF($E668&gt;=INDEX(TblClusters[Fermeture retenue],$B668),1,0),0))</f>
        <v/>
      </c>
    </row>
    <row r="669" customFormat="false" ht="15" hidden="false" customHeight="false" outlineLevel="0" collapsed="false">
      <c r="A669" s="14" t="n">
        <v>664</v>
      </c>
      <c r="B669" s="14" t="n">
        <f aca="false">INT(($A669-1)/36)+1</f>
        <v>19</v>
      </c>
      <c r="C669" s="14" t="n">
        <f aca="false">MOD($A669-1,36)+1</f>
        <v>16</v>
      </c>
      <c r="D669" s="14" t="n">
        <f aca="false">IF($C669&gt;p_horizon,0,IFERROR(IF(AND(INDEX(TblClusters[Cluster],$B669)&lt;&gt;"",ISNUMBER(INDEX(TblClusters[CPU initial (vCPU)],$B669)),ISNUMBER(INDEX(TblClusters[CPU min (vCPU)],$B669)),OR(INDEX(TblClusters[Plateforme],$B669)="IKS",INDEX(TblClusters[Plateforme],$B669)="ROKS")),1,0),0))</f>
        <v>0</v>
      </c>
      <c r="E669" s="83" t="str">
        <f aca="false">IF($D669=1,EDATE(p_debut,$C669-1),"")</f>
        <v/>
      </c>
      <c r="F669" s="14" t="str">
        <f aca="false">IF($D669=1,INDEX(TblClusters[Cluster],$B669),"")</f>
        <v/>
      </c>
      <c r="G669" s="14" t="str">
        <f aca="false">IF($D669=1,INDEX(TblClusters[Plateforme],$B669),"")</f>
        <v/>
      </c>
      <c r="H669" s="14" t="str">
        <f aca="false">IF($D669=1,INDEX(TblClusters[vCPU par nœud],$B669),"")</f>
        <v/>
      </c>
      <c r="I669" s="14" t="str">
        <f aca="false">IF($D669=1,INDEX(TblClusters[RAM par nœud (Go)],$B669),"")</f>
        <v/>
      </c>
      <c r="J669" s="14" t="str">
        <f aca="false">IF($D669=1,INDEX(TblClusters[Workers min],$B669),"")</f>
        <v/>
      </c>
      <c r="K669" s="84" t="str">
        <f aca="false">IF($D669=1,INDEX(TblClusters[Tarif par nœud],$B669),"")</f>
        <v/>
      </c>
      <c r="L669" s="14" t="str">
        <f aca="false">IF($D669=1,INDEX(TblClusters[CPU initial (vCPU)],$B669),"")</f>
        <v/>
      </c>
      <c r="M669" s="14" t="str">
        <f aca="false">IF($D669=1,INDEX(TblClusters[RAM initiale (Go)],$B669),"")</f>
        <v/>
      </c>
      <c r="N669" s="14" t="str">
        <f aca="false">IF($D669=1,INDEX(TblClusters[CPU min (vCPU)],$B669),"")</f>
        <v/>
      </c>
      <c r="O669" s="14" t="str">
        <f aca="false">IF($D669=1,INDEX(TblClusters[RAM min (Go)],$B669),"")</f>
        <v/>
      </c>
      <c r="P669" s="14" t="str">
        <f aca="false">IF($D669&lt;&gt;1,"",IF($G669="ROKS",SUMIFS(TblApplications[Besoin ROKS CPU (vCPU)],TblApplications[Cluster ROKS cible],$F669,TblApplications[Action],"À migrer",TblApplications[Déjà incluse ROKS],"Non",TblApplications[Mois prov (calc)],"&lt;="&amp;$E669),SUMIFS(TblApplications[CPU IKS libérable (vCPU)],TblApplications[Cluster IKS source],$F669,TblApplications[Mois lib (calc)],"&lt;="&amp;$E669)))</f>
        <v/>
      </c>
      <c r="Q669" s="14" t="str">
        <f aca="false">IF($D669&lt;&gt;1,"",IF($G669="ROKS",SUMIFS(TblApplications[Besoin ROKS RAM (Go)],TblApplications[Cluster ROKS cible],$F669,TblApplications[Action],"À migrer",TblApplications[Déjà incluse ROKS],"Non",TblApplications[Mois prov (calc)],"&lt;="&amp;$E669),SUMIFS(TblApplications[RAM IKS libérable (Go)],TblApplications[Cluster IKS source],$F669,TblApplications[Mois lib (calc)],"&lt;="&amp;$E669)))</f>
        <v/>
      </c>
      <c r="R669" s="14" t="str">
        <f aca="false">IF($D669&lt;&gt;1,"",IF($G669="ROKS",$L669+$P669,IF($AI669=1,0,MAX($N669,$L669-$P669))))</f>
        <v/>
      </c>
      <c r="S669" s="14" t="str">
        <f aca="false">IF($D669&lt;&gt;1,"",IF($G669="ROKS",$M669+$Q669,IF($AI669=1,0,MAX($O669,$M669-$Q669))))</f>
        <v/>
      </c>
      <c r="T669" s="14" t="str">
        <f aca="false">IF($D669&lt;&gt;1,"",IF($AI669=1,0,MAX($J669,ROUNDUP(MAX($R669/$H669,$S669/$I669),0))))</f>
        <v/>
      </c>
      <c r="U669" s="14" t="str">
        <f aca="false">IF($D669&lt;&gt;1,"",IF(p_mode="Nœud",$T669*$H669,$R669))</f>
        <v/>
      </c>
      <c r="V669" s="14" t="str">
        <f aca="false">IF($D669&lt;&gt;1,"",IF(p_mode="Nœud",$T669*$I669,$S669))</f>
        <v/>
      </c>
      <c r="W669" s="84" t="str">
        <f aca="false">IF($D669&lt;&gt;1,"",IF(p_mode="Nœud",$T669*$K669,$R669*IF($G669="IKS",p_iks_cpu,p_roks_cpu)+$S669*IF($G669="IKS",p_iks_ram,p_roks_ram))*p_facteur)</f>
        <v/>
      </c>
      <c r="X669" s="14" t="str">
        <f aca="false">IF($D669&lt;&gt;1,"",IF($G669="ROKS",$R669,IF($AI669=1,0,MAX($N669,$L669-SUMIFS(TblApplications[CPU IKS libérable (vCPU)],TblApplications[Cluster IKS source],$F669,TblApplications[Action],"À migrer",TblApplications[Mois prov (calc)],"&lt;="&amp;$E669)-SUMIFS(TblApplications[CPU IKS libérable (vCPU)],TblApplications[Cluster IKS source],$F669,TblApplications[Action],"À décommissionner",TblApplications[Mois lib (calc)],"&lt;="&amp;$E669)))))</f>
        <v/>
      </c>
      <c r="Y669" s="14" t="str">
        <f aca="false">IF($D669&lt;&gt;1,"",IF($G669="ROKS",$S669,IF($AI669=1,0,MAX($O669,$M669-SUMIFS(TblApplications[RAM IKS libérable (Go)],TblApplications[Cluster IKS source],$F669,TblApplications[Action],"À migrer",TblApplications[Mois prov (calc)],"&lt;="&amp;$E669)-SUMIFS(TblApplications[RAM IKS libérable (Go)],TblApplications[Cluster IKS source],$F669,TblApplications[Action],"À décommissionner",TblApplications[Mois lib (calc)],"&lt;="&amp;$E669)))))</f>
        <v/>
      </c>
      <c r="Z669" s="14" t="str">
        <f aca="false">IF($D669&lt;&gt;1,"",IF($AI669=1,0,MAX($J669,ROUNDUP(MAX($X669/$H669,$Y669/$I669),0))))</f>
        <v/>
      </c>
      <c r="AA669" s="84" t="str">
        <f aca="false">IF($D669&lt;&gt;1,"",IF(p_mode="Nœud",$Z669*$K669,$X669*IF($G669="IKS",p_iks_cpu,p_roks_cpu)+$Y669*IF($G669="IKS",p_iks_ram,p_roks_ram))*p_facteur)</f>
        <v/>
      </c>
      <c r="AB669" s="14" t="str">
        <f aca="false">IF($D669&lt;&gt;1,"",MAX($J669,ROUNDUP(MAX($L669/$H669,$M669/$I669),0)))</f>
        <v/>
      </c>
      <c r="AC669" s="84" t="str">
        <f aca="false">IF($D669&lt;&gt;1,"",IF(p_mode="Nœud",$AB669*$K669,$L669*IF($G669="IKS",p_iks_cpu,p_roks_cpu)+$M669*IF($G669="IKS",p_iks_ram,p_roks_ram))*p_facteur)</f>
        <v/>
      </c>
      <c r="AD669" s="14" t="str">
        <f aca="false">IF($D669&lt;&gt;1,"",IF(AND($G669="IKS",$AI669&lt;&gt;1,OR($L669-$P669&lt;$N669,$M669-$Q669&lt;$O669)),1,0))</f>
        <v/>
      </c>
      <c r="AE669" s="14" t="str">
        <f aca="false">IF($D669&lt;&gt;1,"",IF(AND($G669="ROKS",$T669&gt;p_maxworkers),1,0))</f>
        <v/>
      </c>
      <c r="AF669" s="14" t="str">
        <f aca="false">IF($D669&lt;&gt;1,"",IF(INDEX(TblClusters[Environnement],$B669)="","(vide)",INDEX(TblClusters[Environnement],$B669)))</f>
        <v/>
      </c>
      <c r="AG669" s="14" t="str">
        <f aca="false">IF($D669&lt;&gt;1,"",$R669+p_poidsram*$S669)</f>
        <v/>
      </c>
      <c r="AH669" s="14" t="str">
        <f aca="false">IF($D669&lt;&gt;1,"",IFERROR($W669/$AG669,0))</f>
        <v/>
      </c>
      <c r="AI669" s="14" t="str">
        <f aca="false">IF($D669&lt;&gt;1,"",IF(AND($G669="IKS",ISNUMBER(INDEX(TblClusters[Fermeture retenue],$B669))),IF($E669&gt;=INDEX(TblClusters[Fermeture retenue],$B669),1,0),0))</f>
        <v/>
      </c>
    </row>
    <row r="670" customFormat="false" ht="15" hidden="false" customHeight="false" outlineLevel="0" collapsed="false">
      <c r="A670" s="14" t="n">
        <v>665</v>
      </c>
      <c r="B670" s="14" t="n">
        <f aca="false">INT(($A670-1)/36)+1</f>
        <v>19</v>
      </c>
      <c r="C670" s="14" t="n">
        <f aca="false">MOD($A670-1,36)+1</f>
        <v>17</v>
      </c>
      <c r="D670" s="14" t="n">
        <f aca="false">IF($C670&gt;p_horizon,0,IFERROR(IF(AND(INDEX(TblClusters[Cluster],$B670)&lt;&gt;"",ISNUMBER(INDEX(TblClusters[CPU initial (vCPU)],$B670)),ISNUMBER(INDEX(TblClusters[CPU min (vCPU)],$B670)),OR(INDEX(TblClusters[Plateforme],$B670)="IKS",INDEX(TblClusters[Plateforme],$B670)="ROKS")),1,0),0))</f>
        <v>0</v>
      </c>
      <c r="E670" s="83" t="str">
        <f aca="false">IF($D670=1,EDATE(p_debut,$C670-1),"")</f>
        <v/>
      </c>
      <c r="F670" s="14" t="str">
        <f aca="false">IF($D670=1,INDEX(TblClusters[Cluster],$B670),"")</f>
        <v/>
      </c>
      <c r="G670" s="14" t="str">
        <f aca="false">IF($D670=1,INDEX(TblClusters[Plateforme],$B670),"")</f>
        <v/>
      </c>
      <c r="H670" s="14" t="str">
        <f aca="false">IF($D670=1,INDEX(TblClusters[vCPU par nœud],$B670),"")</f>
        <v/>
      </c>
      <c r="I670" s="14" t="str">
        <f aca="false">IF($D670=1,INDEX(TblClusters[RAM par nœud (Go)],$B670),"")</f>
        <v/>
      </c>
      <c r="J670" s="14" t="str">
        <f aca="false">IF($D670=1,INDEX(TblClusters[Workers min],$B670),"")</f>
        <v/>
      </c>
      <c r="K670" s="84" t="str">
        <f aca="false">IF($D670=1,INDEX(TblClusters[Tarif par nœud],$B670),"")</f>
        <v/>
      </c>
      <c r="L670" s="14" t="str">
        <f aca="false">IF($D670=1,INDEX(TblClusters[CPU initial (vCPU)],$B670),"")</f>
        <v/>
      </c>
      <c r="M670" s="14" t="str">
        <f aca="false">IF($D670=1,INDEX(TblClusters[RAM initiale (Go)],$B670),"")</f>
        <v/>
      </c>
      <c r="N670" s="14" t="str">
        <f aca="false">IF($D670=1,INDEX(TblClusters[CPU min (vCPU)],$B670),"")</f>
        <v/>
      </c>
      <c r="O670" s="14" t="str">
        <f aca="false">IF($D670=1,INDEX(TblClusters[RAM min (Go)],$B670),"")</f>
        <v/>
      </c>
      <c r="P670" s="14" t="str">
        <f aca="false">IF($D670&lt;&gt;1,"",IF($G670="ROKS",SUMIFS(TblApplications[Besoin ROKS CPU (vCPU)],TblApplications[Cluster ROKS cible],$F670,TblApplications[Action],"À migrer",TblApplications[Déjà incluse ROKS],"Non",TblApplications[Mois prov (calc)],"&lt;="&amp;$E670),SUMIFS(TblApplications[CPU IKS libérable (vCPU)],TblApplications[Cluster IKS source],$F670,TblApplications[Mois lib (calc)],"&lt;="&amp;$E670)))</f>
        <v/>
      </c>
      <c r="Q670" s="14" t="str">
        <f aca="false">IF($D670&lt;&gt;1,"",IF($G670="ROKS",SUMIFS(TblApplications[Besoin ROKS RAM (Go)],TblApplications[Cluster ROKS cible],$F670,TblApplications[Action],"À migrer",TblApplications[Déjà incluse ROKS],"Non",TblApplications[Mois prov (calc)],"&lt;="&amp;$E670),SUMIFS(TblApplications[RAM IKS libérable (Go)],TblApplications[Cluster IKS source],$F670,TblApplications[Mois lib (calc)],"&lt;="&amp;$E670)))</f>
        <v/>
      </c>
      <c r="R670" s="14" t="str">
        <f aca="false">IF($D670&lt;&gt;1,"",IF($G670="ROKS",$L670+$P670,IF($AI670=1,0,MAX($N670,$L670-$P670))))</f>
        <v/>
      </c>
      <c r="S670" s="14" t="str">
        <f aca="false">IF($D670&lt;&gt;1,"",IF($G670="ROKS",$M670+$Q670,IF($AI670=1,0,MAX($O670,$M670-$Q670))))</f>
        <v/>
      </c>
      <c r="T670" s="14" t="str">
        <f aca="false">IF($D670&lt;&gt;1,"",IF($AI670=1,0,MAX($J670,ROUNDUP(MAX($R670/$H670,$S670/$I670),0))))</f>
        <v/>
      </c>
      <c r="U670" s="14" t="str">
        <f aca="false">IF($D670&lt;&gt;1,"",IF(p_mode="Nœud",$T670*$H670,$R670))</f>
        <v/>
      </c>
      <c r="V670" s="14" t="str">
        <f aca="false">IF($D670&lt;&gt;1,"",IF(p_mode="Nœud",$T670*$I670,$S670))</f>
        <v/>
      </c>
      <c r="W670" s="84" t="str">
        <f aca="false">IF($D670&lt;&gt;1,"",IF(p_mode="Nœud",$T670*$K670,$R670*IF($G670="IKS",p_iks_cpu,p_roks_cpu)+$S670*IF($G670="IKS",p_iks_ram,p_roks_ram))*p_facteur)</f>
        <v/>
      </c>
      <c r="X670" s="14" t="str">
        <f aca="false">IF($D670&lt;&gt;1,"",IF($G670="ROKS",$R670,IF($AI670=1,0,MAX($N670,$L670-SUMIFS(TblApplications[CPU IKS libérable (vCPU)],TblApplications[Cluster IKS source],$F670,TblApplications[Action],"À migrer",TblApplications[Mois prov (calc)],"&lt;="&amp;$E670)-SUMIFS(TblApplications[CPU IKS libérable (vCPU)],TblApplications[Cluster IKS source],$F670,TblApplications[Action],"À décommissionner",TblApplications[Mois lib (calc)],"&lt;="&amp;$E670)))))</f>
        <v/>
      </c>
      <c r="Y670" s="14" t="str">
        <f aca="false">IF($D670&lt;&gt;1,"",IF($G670="ROKS",$S670,IF($AI670=1,0,MAX($O670,$M670-SUMIFS(TblApplications[RAM IKS libérable (Go)],TblApplications[Cluster IKS source],$F670,TblApplications[Action],"À migrer",TblApplications[Mois prov (calc)],"&lt;="&amp;$E670)-SUMIFS(TblApplications[RAM IKS libérable (Go)],TblApplications[Cluster IKS source],$F670,TblApplications[Action],"À décommissionner",TblApplications[Mois lib (calc)],"&lt;="&amp;$E670)))))</f>
        <v/>
      </c>
      <c r="Z670" s="14" t="str">
        <f aca="false">IF($D670&lt;&gt;1,"",IF($AI670=1,0,MAX($J670,ROUNDUP(MAX($X670/$H670,$Y670/$I670),0))))</f>
        <v/>
      </c>
      <c r="AA670" s="84" t="str">
        <f aca="false">IF($D670&lt;&gt;1,"",IF(p_mode="Nœud",$Z670*$K670,$X670*IF($G670="IKS",p_iks_cpu,p_roks_cpu)+$Y670*IF($G670="IKS",p_iks_ram,p_roks_ram))*p_facteur)</f>
        <v/>
      </c>
      <c r="AB670" s="14" t="str">
        <f aca="false">IF($D670&lt;&gt;1,"",MAX($J670,ROUNDUP(MAX($L670/$H670,$M670/$I670),0)))</f>
        <v/>
      </c>
      <c r="AC670" s="84" t="str">
        <f aca="false">IF($D670&lt;&gt;1,"",IF(p_mode="Nœud",$AB670*$K670,$L670*IF($G670="IKS",p_iks_cpu,p_roks_cpu)+$M670*IF($G670="IKS",p_iks_ram,p_roks_ram))*p_facteur)</f>
        <v/>
      </c>
      <c r="AD670" s="14" t="str">
        <f aca="false">IF($D670&lt;&gt;1,"",IF(AND($G670="IKS",$AI670&lt;&gt;1,OR($L670-$P670&lt;$N670,$M670-$Q670&lt;$O670)),1,0))</f>
        <v/>
      </c>
      <c r="AE670" s="14" t="str">
        <f aca="false">IF($D670&lt;&gt;1,"",IF(AND($G670="ROKS",$T670&gt;p_maxworkers),1,0))</f>
        <v/>
      </c>
      <c r="AF670" s="14" t="str">
        <f aca="false">IF($D670&lt;&gt;1,"",IF(INDEX(TblClusters[Environnement],$B670)="","(vide)",INDEX(TblClusters[Environnement],$B670)))</f>
        <v/>
      </c>
      <c r="AG670" s="14" t="str">
        <f aca="false">IF($D670&lt;&gt;1,"",$R670+p_poidsram*$S670)</f>
        <v/>
      </c>
      <c r="AH670" s="14" t="str">
        <f aca="false">IF($D670&lt;&gt;1,"",IFERROR($W670/$AG670,0))</f>
        <v/>
      </c>
      <c r="AI670" s="14" t="str">
        <f aca="false">IF($D670&lt;&gt;1,"",IF(AND($G670="IKS",ISNUMBER(INDEX(TblClusters[Fermeture retenue],$B670))),IF($E670&gt;=INDEX(TblClusters[Fermeture retenue],$B670),1,0),0))</f>
        <v/>
      </c>
    </row>
    <row r="671" customFormat="false" ht="15" hidden="false" customHeight="false" outlineLevel="0" collapsed="false">
      <c r="A671" s="14" t="n">
        <v>666</v>
      </c>
      <c r="B671" s="14" t="n">
        <f aca="false">INT(($A671-1)/36)+1</f>
        <v>19</v>
      </c>
      <c r="C671" s="14" t="n">
        <f aca="false">MOD($A671-1,36)+1</f>
        <v>18</v>
      </c>
      <c r="D671" s="14" t="n">
        <f aca="false">IF($C671&gt;p_horizon,0,IFERROR(IF(AND(INDEX(TblClusters[Cluster],$B671)&lt;&gt;"",ISNUMBER(INDEX(TblClusters[CPU initial (vCPU)],$B671)),ISNUMBER(INDEX(TblClusters[CPU min (vCPU)],$B671)),OR(INDEX(TblClusters[Plateforme],$B671)="IKS",INDEX(TblClusters[Plateforme],$B671)="ROKS")),1,0),0))</f>
        <v>0</v>
      </c>
      <c r="E671" s="83" t="str">
        <f aca="false">IF($D671=1,EDATE(p_debut,$C671-1),"")</f>
        <v/>
      </c>
      <c r="F671" s="14" t="str">
        <f aca="false">IF($D671=1,INDEX(TblClusters[Cluster],$B671),"")</f>
        <v/>
      </c>
      <c r="G671" s="14" t="str">
        <f aca="false">IF($D671=1,INDEX(TblClusters[Plateforme],$B671),"")</f>
        <v/>
      </c>
      <c r="H671" s="14" t="str">
        <f aca="false">IF($D671=1,INDEX(TblClusters[vCPU par nœud],$B671),"")</f>
        <v/>
      </c>
      <c r="I671" s="14" t="str">
        <f aca="false">IF($D671=1,INDEX(TblClusters[RAM par nœud (Go)],$B671),"")</f>
        <v/>
      </c>
      <c r="J671" s="14" t="str">
        <f aca="false">IF($D671=1,INDEX(TblClusters[Workers min],$B671),"")</f>
        <v/>
      </c>
      <c r="K671" s="84" t="str">
        <f aca="false">IF($D671=1,INDEX(TblClusters[Tarif par nœud],$B671),"")</f>
        <v/>
      </c>
      <c r="L671" s="14" t="str">
        <f aca="false">IF($D671=1,INDEX(TblClusters[CPU initial (vCPU)],$B671),"")</f>
        <v/>
      </c>
      <c r="M671" s="14" t="str">
        <f aca="false">IF($D671=1,INDEX(TblClusters[RAM initiale (Go)],$B671),"")</f>
        <v/>
      </c>
      <c r="N671" s="14" t="str">
        <f aca="false">IF($D671=1,INDEX(TblClusters[CPU min (vCPU)],$B671),"")</f>
        <v/>
      </c>
      <c r="O671" s="14" t="str">
        <f aca="false">IF($D671=1,INDEX(TblClusters[RAM min (Go)],$B671),"")</f>
        <v/>
      </c>
      <c r="P671" s="14" t="str">
        <f aca="false">IF($D671&lt;&gt;1,"",IF($G671="ROKS",SUMIFS(TblApplications[Besoin ROKS CPU (vCPU)],TblApplications[Cluster ROKS cible],$F671,TblApplications[Action],"À migrer",TblApplications[Déjà incluse ROKS],"Non",TblApplications[Mois prov (calc)],"&lt;="&amp;$E671),SUMIFS(TblApplications[CPU IKS libérable (vCPU)],TblApplications[Cluster IKS source],$F671,TblApplications[Mois lib (calc)],"&lt;="&amp;$E671)))</f>
        <v/>
      </c>
      <c r="Q671" s="14" t="str">
        <f aca="false">IF($D671&lt;&gt;1,"",IF($G671="ROKS",SUMIFS(TblApplications[Besoin ROKS RAM (Go)],TblApplications[Cluster ROKS cible],$F671,TblApplications[Action],"À migrer",TblApplications[Déjà incluse ROKS],"Non",TblApplications[Mois prov (calc)],"&lt;="&amp;$E671),SUMIFS(TblApplications[RAM IKS libérable (Go)],TblApplications[Cluster IKS source],$F671,TblApplications[Mois lib (calc)],"&lt;="&amp;$E671)))</f>
        <v/>
      </c>
      <c r="R671" s="14" t="str">
        <f aca="false">IF($D671&lt;&gt;1,"",IF($G671="ROKS",$L671+$P671,IF($AI671=1,0,MAX($N671,$L671-$P671))))</f>
        <v/>
      </c>
      <c r="S671" s="14" t="str">
        <f aca="false">IF($D671&lt;&gt;1,"",IF($G671="ROKS",$M671+$Q671,IF($AI671=1,0,MAX($O671,$M671-$Q671))))</f>
        <v/>
      </c>
      <c r="T671" s="14" t="str">
        <f aca="false">IF($D671&lt;&gt;1,"",IF($AI671=1,0,MAX($J671,ROUNDUP(MAX($R671/$H671,$S671/$I671),0))))</f>
        <v/>
      </c>
      <c r="U671" s="14" t="str">
        <f aca="false">IF($D671&lt;&gt;1,"",IF(p_mode="Nœud",$T671*$H671,$R671))</f>
        <v/>
      </c>
      <c r="V671" s="14" t="str">
        <f aca="false">IF($D671&lt;&gt;1,"",IF(p_mode="Nœud",$T671*$I671,$S671))</f>
        <v/>
      </c>
      <c r="W671" s="84" t="str">
        <f aca="false">IF($D671&lt;&gt;1,"",IF(p_mode="Nœud",$T671*$K671,$R671*IF($G671="IKS",p_iks_cpu,p_roks_cpu)+$S671*IF($G671="IKS",p_iks_ram,p_roks_ram))*p_facteur)</f>
        <v/>
      </c>
      <c r="X671" s="14" t="str">
        <f aca="false">IF($D671&lt;&gt;1,"",IF($G671="ROKS",$R671,IF($AI671=1,0,MAX($N671,$L671-SUMIFS(TblApplications[CPU IKS libérable (vCPU)],TblApplications[Cluster IKS source],$F671,TblApplications[Action],"À migrer",TblApplications[Mois prov (calc)],"&lt;="&amp;$E671)-SUMIFS(TblApplications[CPU IKS libérable (vCPU)],TblApplications[Cluster IKS source],$F671,TblApplications[Action],"À décommissionner",TblApplications[Mois lib (calc)],"&lt;="&amp;$E671)))))</f>
        <v/>
      </c>
      <c r="Y671" s="14" t="str">
        <f aca="false">IF($D671&lt;&gt;1,"",IF($G671="ROKS",$S671,IF($AI671=1,0,MAX($O671,$M671-SUMIFS(TblApplications[RAM IKS libérable (Go)],TblApplications[Cluster IKS source],$F671,TblApplications[Action],"À migrer",TblApplications[Mois prov (calc)],"&lt;="&amp;$E671)-SUMIFS(TblApplications[RAM IKS libérable (Go)],TblApplications[Cluster IKS source],$F671,TblApplications[Action],"À décommissionner",TblApplications[Mois lib (calc)],"&lt;="&amp;$E671)))))</f>
        <v/>
      </c>
      <c r="Z671" s="14" t="str">
        <f aca="false">IF($D671&lt;&gt;1,"",IF($AI671=1,0,MAX($J671,ROUNDUP(MAX($X671/$H671,$Y671/$I671),0))))</f>
        <v/>
      </c>
      <c r="AA671" s="84" t="str">
        <f aca="false">IF($D671&lt;&gt;1,"",IF(p_mode="Nœud",$Z671*$K671,$X671*IF($G671="IKS",p_iks_cpu,p_roks_cpu)+$Y671*IF($G671="IKS",p_iks_ram,p_roks_ram))*p_facteur)</f>
        <v/>
      </c>
      <c r="AB671" s="14" t="str">
        <f aca="false">IF($D671&lt;&gt;1,"",MAX($J671,ROUNDUP(MAX($L671/$H671,$M671/$I671),0)))</f>
        <v/>
      </c>
      <c r="AC671" s="84" t="str">
        <f aca="false">IF($D671&lt;&gt;1,"",IF(p_mode="Nœud",$AB671*$K671,$L671*IF($G671="IKS",p_iks_cpu,p_roks_cpu)+$M671*IF($G671="IKS",p_iks_ram,p_roks_ram))*p_facteur)</f>
        <v/>
      </c>
      <c r="AD671" s="14" t="str">
        <f aca="false">IF($D671&lt;&gt;1,"",IF(AND($G671="IKS",$AI671&lt;&gt;1,OR($L671-$P671&lt;$N671,$M671-$Q671&lt;$O671)),1,0))</f>
        <v/>
      </c>
      <c r="AE671" s="14" t="str">
        <f aca="false">IF($D671&lt;&gt;1,"",IF(AND($G671="ROKS",$T671&gt;p_maxworkers),1,0))</f>
        <v/>
      </c>
      <c r="AF671" s="14" t="str">
        <f aca="false">IF($D671&lt;&gt;1,"",IF(INDEX(TblClusters[Environnement],$B671)="","(vide)",INDEX(TblClusters[Environnement],$B671)))</f>
        <v/>
      </c>
      <c r="AG671" s="14" t="str">
        <f aca="false">IF($D671&lt;&gt;1,"",$R671+p_poidsram*$S671)</f>
        <v/>
      </c>
      <c r="AH671" s="14" t="str">
        <f aca="false">IF($D671&lt;&gt;1,"",IFERROR($W671/$AG671,0))</f>
        <v/>
      </c>
      <c r="AI671" s="14" t="str">
        <f aca="false">IF($D671&lt;&gt;1,"",IF(AND($G671="IKS",ISNUMBER(INDEX(TblClusters[Fermeture retenue],$B671))),IF($E671&gt;=INDEX(TblClusters[Fermeture retenue],$B671),1,0),0))</f>
        <v/>
      </c>
    </row>
    <row r="672" customFormat="false" ht="15" hidden="false" customHeight="false" outlineLevel="0" collapsed="false">
      <c r="A672" s="14" t="n">
        <v>667</v>
      </c>
      <c r="B672" s="14" t="n">
        <f aca="false">INT(($A672-1)/36)+1</f>
        <v>19</v>
      </c>
      <c r="C672" s="14" t="n">
        <f aca="false">MOD($A672-1,36)+1</f>
        <v>19</v>
      </c>
      <c r="D672" s="14" t="n">
        <f aca="false">IF($C672&gt;p_horizon,0,IFERROR(IF(AND(INDEX(TblClusters[Cluster],$B672)&lt;&gt;"",ISNUMBER(INDEX(TblClusters[CPU initial (vCPU)],$B672)),ISNUMBER(INDEX(TblClusters[CPU min (vCPU)],$B672)),OR(INDEX(TblClusters[Plateforme],$B672)="IKS",INDEX(TblClusters[Plateforme],$B672)="ROKS")),1,0),0))</f>
        <v>0</v>
      </c>
      <c r="E672" s="83" t="str">
        <f aca="false">IF($D672=1,EDATE(p_debut,$C672-1),"")</f>
        <v/>
      </c>
      <c r="F672" s="14" t="str">
        <f aca="false">IF($D672=1,INDEX(TblClusters[Cluster],$B672),"")</f>
        <v/>
      </c>
      <c r="G672" s="14" t="str">
        <f aca="false">IF($D672=1,INDEX(TblClusters[Plateforme],$B672),"")</f>
        <v/>
      </c>
      <c r="H672" s="14" t="str">
        <f aca="false">IF($D672=1,INDEX(TblClusters[vCPU par nœud],$B672),"")</f>
        <v/>
      </c>
      <c r="I672" s="14" t="str">
        <f aca="false">IF($D672=1,INDEX(TblClusters[RAM par nœud (Go)],$B672),"")</f>
        <v/>
      </c>
      <c r="J672" s="14" t="str">
        <f aca="false">IF($D672=1,INDEX(TblClusters[Workers min],$B672),"")</f>
        <v/>
      </c>
      <c r="K672" s="84" t="str">
        <f aca="false">IF($D672=1,INDEX(TblClusters[Tarif par nœud],$B672),"")</f>
        <v/>
      </c>
      <c r="L672" s="14" t="str">
        <f aca="false">IF($D672=1,INDEX(TblClusters[CPU initial (vCPU)],$B672),"")</f>
        <v/>
      </c>
      <c r="M672" s="14" t="str">
        <f aca="false">IF($D672=1,INDEX(TblClusters[RAM initiale (Go)],$B672),"")</f>
        <v/>
      </c>
      <c r="N672" s="14" t="str">
        <f aca="false">IF($D672=1,INDEX(TblClusters[CPU min (vCPU)],$B672),"")</f>
        <v/>
      </c>
      <c r="O672" s="14" t="str">
        <f aca="false">IF($D672=1,INDEX(TblClusters[RAM min (Go)],$B672),"")</f>
        <v/>
      </c>
      <c r="P672" s="14" t="str">
        <f aca="false">IF($D672&lt;&gt;1,"",IF($G672="ROKS",SUMIFS(TblApplications[Besoin ROKS CPU (vCPU)],TblApplications[Cluster ROKS cible],$F672,TblApplications[Action],"À migrer",TblApplications[Déjà incluse ROKS],"Non",TblApplications[Mois prov (calc)],"&lt;="&amp;$E672),SUMIFS(TblApplications[CPU IKS libérable (vCPU)],TblApplications[Cluster IKS source],$F672,TblApplications[Mois lib (calc)],"&lt;="&amp;$E672)))</f>
        <v/>
      </c>
      <c r="Q672" s="14" t="str">
        <f aca="false">IF($D672&lt;&gt;1,"",IF($G672="ROKS",SUMIFS(TblApplications[Besoin ROKS RAM (Go)],TblApplications[Cluster ROKS cible],$F672,TblApplications[Action],"À migrer",TblApplications[Déjà incluse ROKS],"Non",TblApplications[Mois prov (calc)],"&lt;="&amp;$E672),SUMIFS(TblApplications[RAM IKS libérable (Go)],TblApplications[Cluster IKS source],$F672,TblApplications[Mois lib (calc)],"&lt;="&amp;$E672)))</f>
        <v/>
      </c>
      <c r="R672" s="14" t="str">
        <f aca="false">IF($D672&lt;&gt;1,"",IF($G672="ROKS",$L672+$P672,IF($AI672=1,0,MAX($N672,$L672-$P672))))</f>
        <v/>
      </c>
      <c r="S672" s="14" t="str">
        <f aca="false">IF($D672&lt;&gt;1,"",IF($G672="ROKS",$M672+$Q672,IF($AI672=1,0,MAX($O672,$M672-$Q672))))</f>
        <v/>
      </c>
      <c r="T672" s="14" t="str">
        <f aca="false">IF($D672&lt;&gt;1,"",IF($AI672=1,0,MAX($J672,ROUNDUP(MAX($R672/$H672,$S672/$I672),0))))</f>
        <v/>
      </c>
      <c r="U672" s="14" t="str">
        <f aca="false">IF($D672&lt;&gt;1,"",IF(p_mode="Nœud",$T672*$H672,$R672))</f>
        <v/>
      </c>
      <c r="V672" s="14" t="str">
        <f aca="false">IF($D672&lt;&gt;1,"",IF(p_mode="Nœud",$T672*$I672,$S672))</f>
        <v/>
      </c>
      <c r="W672" s="84" t="str">
        <f aca="false">IF($D672&lt;&gt;1,"",IF(p_mode="Nœud",$T672*$K672,$R672*IF($G672="IKS",p_iks_cpu,p_roks_cpu)+$S672*IF($G672="IKS",p_iks_ram,p_roks_ram))*p_facteur)</f>
        <v/>
      </c>
      <c r="X672" s="14" t="str">
        <f aca="false">IF($D672&lt;&gt;1,"",IF($G672="ROKS",$R672,IF($AI672=1,0,MAX($N672,$L672-SUMIFS(TblApplications[CPU IKS libérable (vCPU)],TblApplications[Cluster IKS source],$F672,TblApplications[Action],"À migrer",TblApplications[Mois prov (calc)],"&lt;="&amp;$E672)-SUMIFS(TblApplications[CPU IKS libérable (vCPU)],TblApplications[Cluster IKS source],$F672,TblApplications[Action],"À décommissionner",TblApplications[Mois lib (calc)],"&lt;="&amp;$E672)))))</f>
        <v/>
      </c>
      <c r="Y672" s="14" t="str">
        <f aca="false">IF($D672&lt;&gt;1,"",IF($G672="ROKS",$S672,IF($AI672=1,0,MAX($O672,$M672-SUMIFS(TblApplications[RAM IKS libérable (Go)],TblApplications[Cluster IKS source],$F672,TblApplications[Action],"À migrer",TblApplications[Mois prov (calc)],"&lt;="&amp;$E672)-SUMIFS(TblApplications[RAM IKS libérable (Go)],TblApplications[Cluster IKS source],$F672,TblApplications[Action],"À décommissionner",TblApplications[Mois lib (calc)],"&lt;="&amp;$E672)))))</f>
        <v/>
      </c>
      <c r="Z672" s="14" t="str">
        <f aca="false">IF($D672&lt;&gt;1,"",IF($AI672=1,0,MAX($J672,ROUNDUP(MAX($X672/$H672,$Y672/$I672),0))))</f>
        <v/>
      </c>
      <c r="AA672" s="84" t="str">
        <f aca="false">IF($D672&lt;&gt;1,"",IF(p_mode="Nœud",$Z672*$K672,$X672*IF($G672="IKS",p_iks_cpu,p_roks_cpu)+$Y672*IF($G672="IKS",p_iks_ram,p_roks_ram))*p_facteur)</f>
        <v/>
      </c>
      <c r="AB672" s="14" t="str">
        <f aca="false">IF($D672&lt;&gt;1,"",MAX($J672,ROUNDUP(MAX($L672/$H672,$M672/$I672),0)))</f>
        <v/>
      </c>
      <c r="AC672" s="84" t="str">
        <f aca="false">IF($D672&lt;&gt;1,"",IF(p_mode="Nœud",$AB672*$K672,$L672*IF($G672="IKS",p_iks_cpu,p_roks_cpu)+$M672*IF($G672="IKS",p_iks_ram,p_roks_ram))*p_facteur)</f>
        <v/>
      </c>
      <c r="AD672" s="14" t="str">
        <f aca="false">IF($D672&lt;&gt;1,"",IF(AND($G672="IKS",$AI672&lt;&gt;1,OR($L672-$P672&lt;$N672,$M672-$Q672&lt;$O672)),1,0))</f>
        <v/>
      </c>
      <c r="AE672" s="14" t="str">
        <f aca="false">IF($D672&lt;&gt;1,"",IF(AND($G672="ROKS",$T672&gt;p_maxworkers),1,0))</f>
        <v/>
      </c>
      <c r="AF672" s="14" t="str">
        <f aca="false">IF($D672&lt;&gt;1,"",IF(INDEX(TblClusters[Environnement],$B672)="","(vide)",INDEX(TblClusters[Environnement],$B672)))</f>
        <v/>
      </c>
      <c r="AG672" s="14" t="str">
        <f aca="false">IF($D672&lt;&gt;1,"",$R672+p_poidsram*$S672)</f>
        <v/>
      </c>
      <c r="AH672" s="14" t="str">
        <f aca="false">IF($D672&lt;&gt;1,"",IFERROR($W672/$AG672,0))</f>
        <v/>
      </c>
      <c r="AI672" s="14" t="str">
        <f aca="false">IF($D672&lt;&gt;1,"",IF(AND($G672="IKS",ISNUMBER(INDEX(TblClusters[Fermeture retenue],$B672))),IF($E672&gt;=INDEX(TblClusters[Fermeture retenue],$B672),1,0),0))</f>
        <v/>
      </c>
    </row>
    <row r="673" customFormat="false" ht="15" hidden="false" customHeight="false" outlineLevel="0" collapsed="false">
      <c r="A673" s="14" t="n">
        <v>668</v>
      </c>
      <c r="B673" s="14" t="n">
        <f aca="false">INT(($A673-1)/36)+1</f>
        <v>19</v>
      </c>
      <c r="C673" s="14" t="n">
        <f aca="false">MOD($A673-1,36)+1</f>
        <v>20</v>
      </c>
      <c r="D673" s="14" t="n">
        <f aca="false">IF($C673&gt;p_horizon,0,IFERROR(IF(AND(INDEX(TblClusters[Cluster],$B673)&lt;&gt;"",ISNUMBER(INDEX(TblClusters[CPU initial (vCPU)],$B673)),ISNUMBER(INDEX(TblClusters[CPU min (vCPU)],$B673)),OR(INDEX(TblClusters[Plateforme],$B673)="IKS",INDEX(TblClusters[Plateforme],$B673)="ROKS")),1,0),0))</f>
        <v>0</v>
      </c>
      <c r="E673" s="83" t="str">
        <f aca="false">IF($D673=1,EDATE(p_debut,$C673-1),"")</f>
        <v/>
      </c>
      <c r="F673" s="14" t="str">
        <f aca="false">IF($D673=1,INDEX(TblClusters[Cluster],$B673),"")</f>
        <v/>
      </c>
      <c r="G673" s="14" t="str">
        <f aca="false">IF($D673=1,INDEX(TblClusters[Plateforme],$B673),"")</f>
        <v/>
      </c>
      <c r="H673" s="14" t="str">
        <f aca="false">IF($D673=1,INDEX(TblClusters[vCPU par nœud],$B673),"")</f>
        <v/>
      </c>
      <c r="I673" s="14" t="str">
        <f aca="false">IF($D673=1,INDEX(TblClusters[RAM par nœud (Go)],$B673),"")</f>
        <v/>
      </c>
      <c r="J673" s="14" t="str">
        <f aca="false">IF($D673=1,INDEX(TblClusters[Workers min],$B673),"")</f>
        <v/>
      </c>
      <c r="K673" s="84" t="str">
        <f aca="false">IF($D673=1,INDEX(TblClusters[Tarif par nœud],$B673),"")</f>
        <v/>
      </c>
      <c r="L673" s="14" t="str">
        <f aca="false">IF($D673=1,INDEX(TblClusters[CPU initial (vCPU)],$B673),"")</f>
        <v/>
      </c>
      <c r="M673" s="14" t="str">
        <f aca="false">IF($D673=1,INDEX(TblClusters[RAM initiale (Go)],$B673),"")</f>
        <v/>
      </c>
      <c r="N673" s="14" t="str">
        <f aca="false">IF($D673=1,INDEX(TblClusters[CPU min (vCPU)],$B673),"")</f>
        <v/>
      </c>
      <c r="O673" s="14" t="str">
        <f aca="false">IF($D673=1,INDEX(TblClusters[RAM min (Go)],$B673),"")</f>
        <v/>
      </c>
      <c r="P673" s="14" t="str">
        <f aca="false">IF($D673&lt;&gt;1,"",IF($G673="ROKS",SUMIFS(TblApplications[Besoin ROKS CPU (vCPU)],TblApplications[Cluster ROKS cible],$F673,TblApplications[Action],"À migrer",TblApplications[Déjà incluse ROKS],"Non",TblApplications[Mois prov (calc)],"&lt;="&amp;$E673),SUMIFS(TblApplications[CPU IKS libérable (vCPU)],TblApplications[Cluster IKS source],$F673,TblApplications[Mois lib (calc)],"&lt;="&amp;$E673)))</f>
        <v/>
      </c>
      <c r="Q673" s="14" t="str">
        <f aca="false">IF($D673&lt;&gt;1,"",IF($G673="ROKS",SUMIFS(TblApplications[Besoin ROKS RAM (Go)],TblApplications[Cluster ROKS cible],$F673,TblApplications[Action],"À migrer",TblApplications[Déjà incluse ROKS],"Non",TblApplications[Mois prov (calc)],"&lt;="&amp;$E673),SUMIFS(TblApplications[RAM IKS libérable (Go)],TblApplications[Cluster IKS source],$F673,TblApplications[Mois lib (calc)],"&lt;="&amp;$E673)))</f>
        <v/>
      </c>
      <c r="R673" s="14" t="str">
        <f aca="false">IF($D673&lt;&gt;1,"",IF($G673="ROKS",$L673+$P673,IF($AI673=1,0,MAX($N673,$L673-$P673))))</f>
        <v/>
      </c>
      <c r="S673" s="14" t="str">
        <f aca="false">IF($D673&lt;&gt;1,"",IF($G673="ROKS",$M673+$Q673,IF($AI673=1,0,MAX($O673,$M673-$Q673))))</f>
        <v/>
      </c>
      <c r="T673" s="14" t="str">
        <f aca="false">IF($D673&lt;&gt;1,"",IF($AI673=1,0,MAX($J673,ROUNDUP(MAX($R673/$H673,$S673/$I673),0))))</f>
        <v/>
      </c>
      <c r="U673" s="14" t="str">
        <f aca="false">IF($D673&lt;&gt;1,"",IF(p_mode="Nœud",$T673*$H673,$R673))</f>
        <v/>
      </c>
      <c r="V673" s="14" t="str">
        <f aca="false">IF($D673&lt;&gt;1,"",IF(p_mode="Nœud",$T673*$I673,$S673))</f>
        <v/>
      </c>
      <c r="W673" s="84" t="str">
        <f aca="false">IF($D673&lt;&gt;1,"",IF(p_mode="Nœud",$T673*$K673,$R673*IF($G673="IKS",p_iks_cpu,p_roks_cpu)+$S673*IF($G673="IKS",p_iks_ram,p_roks_ram))*p_facteur)</f>
        <v/>
      </c>
      <c r="X673" s="14" t="str">
        <f aca="false">IF($D673&lt;&gt;1,"",IF($G673="ROKS",$R673,IF($AI673=1,0,MAX($N673,$L673-SUMIFS(TblApplications[CPU IKS libérable (vCPU)],TblApplications[Cluster IKS source],$F673,TblApplications[Action],"À migrer",TblApplications[Mois prov (calc)],"&lt;="&amp;$E673)-SUMIFS(TblApplications[CPU IKS libérable (vCPU)],TblApplications[Cluster IKS source],$F673,TblApplications[Action],"À décommissionner",TblApplications[Mois lib (calc)],"&lt;="&amp;$E673)))))</f>
        <v/>
      </c>
      <c r="Y673" s="14" t="str">
        <f aca="false">IF($D673&lt;&gt;1,"",IF($G673="ROKS",$S673,IF($AI673=1,0,MAX($O673,$M673-SUMIFS(TblApplications[RAM IKS libérable (Go)],TblApplications[Cluster IKS source],$F673,TblApplications[Action],"À migrer",TblApplications[Mois prov (calc)],"&lt;="&amp;$E673)-SUMIFS(TblApplications[RAM IKS libérable (Go)],TblApplications[Cluster IKS source],$F673,TblApplications[Action],"À décommissionner",TblApplications[Mois lib (calc)],"&lt;="&amp;$E673)))))</f>
        <v/>
      </c>
      <c r="Z673" s="14" t="str">
        <f aca="false">IF($D673&lt;&gt;1,"",IF($AI673=1,0,MAX($J673,ROUNDUP(MAX($X673/$H673,$Y673/$I673),0))))</f>
        <v/>
      </c>
      <c r="AA673" s="84" t="str">
        <f aca="false">IF($D673&lt;&gt;1,"",IF(p_mode="Nœud",$Z673*$K673,$X673*IF($G673="IKS",p_iks_cpu,p_roks_cpu)+$Y673*IF($G673="IKS",p_iks_ram,p_roks_ram))*p_facteur)</f>
        <v/>
      </c>
      <c r="AB673" s="14" t="str">
        <f aca="false">IF($D673&lt;&gt;1,"",MAX($J673,ROUNDUP(MAX($L673/$H673,$M673/$I673),0)))</f>
        <v/>
      </c>
      <c r="AC673" s="84" t="str">
        <f aca="false">IF($D673&lt;&gt;1,"",IF(p_mode="Nœud",$AB673*$K673,$L673*IF($G673="IKS",p_iks_cpu,p_roks_cpu)+$M673*IF($G673="IKS",p_iks_ram,p_roks_ram))*p_facteur)</f>
        <v/>
      </c>
      <c r="AD673" s="14" t="str">
        <f aca="false">IF($D673&lt;&gt;1,"",IF(AND($G673="IKS",$AI673&lt;&gt;1,OR($L673-$P673&lt;$N673,$M673-$Q673&lt;$O673)),1,0))</f>
        <v/>
      </c>
      <c r="AE673" s="14" t="str">
        <f aca="false">IF($D673&lt;&gt;1,"",IF(AND($G673="ROKS",$T673&gt;p_maxworkers),1,0))</f>
        <v/>
      </c>
      <c r="AF673" s="14" t="str">
        <f aca="false">IF($D673&lt;&gt;1,"",IF(INDEX(TblClusters[Environnement],$B673)="","(vide)",INDEX(TblClusters[Environnement],$B673)))</f>
        <v/>
      </c>
      <c r="AG673" s="14" t="str">
        <f aca="false">IF($D673&lt;&gt;1,"",$R673+p_poidsram*$S673)</f>
        <v/>
      </c>
      <c r="AH673" s="14" t="str">
        <f aca="false">IF($D673&lt;&gt;1,"",IFERROR($W673/$AG673,0))</f>
        <v/>
      </c>
      <c r="AI673" s="14" t="str">
        <f aca="false">IF($D673&lt;&gt;1,"",IF(AND($G673="IKS",ISNUMBER(INDEX(TblClusters[Fermeture retenue],$B673))),IF($E673&gt;=INDEX(TblClusters[Fermeture retenue],$B673),1,0),0))</f>
        <v/>
      </c>
    </row>
    <row r="674" customFormat="false" ht="15" hidden="false" customHeight="false" outlineLevel="0" collapsed="false">
      <c r="A674" s="14" t="n">
        <v>669</v>
      </c>
      <c r="B674" s="14" t="n">
        <f aca="false">INT(($A674-1)/36)+1</f>
        <v>19</v>
      </c>
      <c r="C674" s="14" t="n">
        <f aca="false">MOD($A674-1,36)+1</f>
        <v>21</v>
      </c>
      <c r="D674" s="14" t="n">
        <f aca="false">IF($C674&gt;p_horizon,0,IFERROR(IF(AND(INDEX(TblClusters[Cluster],$B674)&lt;&gt;"",ISNUMBER(INDEX(TblClusters[CPU initial (vCPU)],$B674)),ISNUMBER(INDEX(TblClusters[CPU min (vCPU)],$B674)),OR(INDEX(TblClusters[Plateforme],$B674)="IKS",INDEX(TblClusters[Plateforme],$B674)="ROKS")),1,0),0))</f>
        <v>0</v>
      </c>
      <c r="E674" s="83" t="str">
        <f aca="false">IF($D674=1,EDATE(p_debut,$C674-1),"")</f>
        <v/>
      </c>
      <c r="F674" s="14" t="str">
        <f aca="false">IF($D674=1,INDEX(TblClusters[Cluster],$B674),"")</f>
        <v/>
      </c>
      <c r="G674" s="14" t="str">
        <f aca="false">IF($D674=1,INDEX(TblClusters[Plateforme],$B674),"")</f>
        <v/>
      </c>
      <c r="H674" s="14" t="str">
        <f aca="false">IF($D674=1,INDEX(TblClusters[vCPU par nœud],$B674),"")</f>
        <v/>
      </c>
      <c r="I674" s="14" t="str">
        <f aca="false">IF($D674=1,INDEX(TblClusters[RAM par nœud (Go)],$B674),"")</f>
        <v/>
      </c>
      <c r="J674" s="14" t="str">
        <f aca="false">IF($D674=1,INDEX(TblClusters[Workers min],$B674),"")</f>
        <v/>
      </c>
      <c r="K674" s="84" t="str">
        <f aca="false">IF($D674=1,INDEX(TblClusters[Tarif par nœud],$B674),"")</f>
        <v/>
      </c>
      <c r="L674" s="14" t="str">
        <f aca="false">IF($D674=1,INDEX(TblClusters[CPU initial (vCPU)],$B674),"")</f>
        <v/>
      </c>
      <c r="M674" s="14" t="str">
        <f aca="false">IF($D674=1,INDEX(TblClusters[RAM initiale (Go)],$B674),"")</f>
        <v/>
      </c>
      <c r="N674" s="14" t="str">
        <f aca="false">IF($D674=1,INDEX(TblClusters[CPU min (vCPU)],$B674),"")</f>
        <v/>
      </c>
      <c r="O674" s="14" t="str">
        <f aca="false">IF($D674=1,INDEX(TblClusters[RAM min (Go)],$B674),"")</f>
        <v/>
      </c>
      <c r="P674" s="14" t="str">
        <f aca="false">IF($D674&lt;&gt;1,"",IF($G674="ROKS",SUMIFS(TblApplications[Besoin ROKS CPU (vCPU)],TblApplications[Cluster ROKS cible],$F674,TblApplications[Action],"À migrer",TblApplications[Déjà incluse ROKS],"Non",TblApplications[Mois prov (calc)],"&lt;="&amp;$E674),SUMIFS(TblApplications[CPU IKS libérable (vCPU)],TblApplications[Cluster IKS source],$F674,TblApplications[Mois lib (calc)],"&lt;="&amp;$E674)))</f>
        <v/>
      </c>
      <c r="Q674" s="14" t="str">
        <f aca="false">IF($D674&lt;&gt;1,"",IF($G674="ROKS",SUMIFS(TblApplications[Besoin ROKS RAM (Go)],TblApplications[Cluster ROKS cible],$F674,TblApplications[Action],"À migrer",TblApplications[Déjà incluse ROKS],"Non",TblApplications[Mois prov (calc)],"&lt;="&amp;$E674),SUMIFS(TblApplications[RAM IKS libérable (Go)],TblApplications[Cluster IKS source],$F674,TblApplications[Mois lib (calc)],"&lt;="&amp;$E674)))</f>
        <v/>
      </c>
      <c r="R674" s="14" t="str">
        <f aca="false">IF($D674&lt;&gt;1,"",IF($G674="ROKS",$L674+$P674,IF($AI674=1,0,MAX($N674,$L674-$P674))))</f>
        <v/>
      </c>
      <c r="S674" s="14" t="str">
        <f aca="false">IF($D674&lt;&gt;1,"",IF($G674="ROKS",$M674+$Q674,IF($AI674=1,0,MAX($O674,$M674-$Q674))))</f>
        <v/>
      </c>
      <c r="T674" s="14" t="str">
        <f aca="false">IF($D674&lt;&gt;1,"",IF($AI674=1,0,MAX($J674,ROUNDUP(MAX($R674/$H674,$S674/$I674),0))))</f>
        <v/>
      </c>
      <c r="U674" s="14" t="str">
        <f aca="false">IF($D674&lt;&gt;1,"",IF(p_mode="Nœud",$T674*$H674,$R674))</f>
        <v/>
      </c>
      <c r="V674" s="14" t="str">
        <f aca="false">IF($D674&lt;&gt;1,"",IF(p_mode="Nœud",$T674*$I674,$S674))</f>
        <v/>
      </c>
      <c r="W674" s="84" t="str">
        <f aca="false">IF($D674&lt;&gt;1,"",IF(p_mode="Nœud",$T674*$K674,$R674*IF($G674="IKS",p_iks_cpu,p_roks_cpu)+$S674*IF($G674="IKS",p_iks_ram,p_roks_ram))*p_facteur)</f>
        <v/>
      </c>
      <c r="X674" s="14" t="str">
        <f aca="false">IF($D674&lt;&gt;1,"",IF($G674="ROKS",$R674,IF($AI674=1,0,MAX($N674,$L674-SUMIFS(TblApplications[CPU IKS libérable (vCPU)],TblApplications[Cluster IKS source],$F674,TblApplications[Action],"À migrer",TblApplications[Mois prov (calc)],"&lt;="&amp;$E674)-SUMIFS(TblApplications[CPU IKS libérable (vCPU)],TblApplications[Cluster IKS source],$F674,TblApplications[Action],"À décommissionner",TblApplications[Mois lib (calc)],"&lt;="&amp;$E674)))))</f>
        <v/>
      </c>
      <c r="Y674" s="14" t="str">
        <f aca="false">IF($D674&lt;&gt;1,"",IF($G674="ROKS",$S674,IF($AI674=1,0,MAX($O674,$M674-SUMIFS(TblApplications[RAM IKS libérable (Go)],TblApplications[Cluster IKS source],$F674,TblApplications[Action],"À migrer",TblApplications[Mois prov (calc)],"&lt;="&amp;$E674)-SUMIFS(TblApplications[RAM IKS libérable (Go)],TblApplications[Cluster IKS source],$F674,TblApplications[Action],"À décommissionner",TblApplications[Mois lib (calc)],"&lt;="&amp;$E674)))))</f>
        <v/>
      </c>
      <c r="Z674" s="14" t="str">
        <f aca="false">IF($D674&lt;&gt;1,"",IF($AI674=1,0,MAX($J674,ROUNDUP(MAX($X674/$H674,$Y674/$I674),0))))</f>
        <v/>
      </c>
      <c r="AA674" s="84" t="str">
        <f aca="false">IF($D674&lt;&gt;1,"",IF(p_mode="Nœud",$Z674*$K674,$X674*IF($G674="IKS",p_iks_cpu,p_roks_cpu)+$Y674*IF($G674="IKS",p_iks_ram,p_roks_ram))*p_facteur)</f>
        <v/>
      </c>
      <c r="AB674" s="14" t="str">
        <f aca="false">IF($D674&lt;&gt;1,"",MAX($J674,ROUNDUP(MAX($L674/$H674,$M674/$I674),0)))</f>
        <v/>
      </c>
      <c r="AC674" s="84" t="str">
        <f aca="false">IF($D674&lt;&gt;1,"",IF(p_mode="Nœud",$AB674*$K674,$L674*IF($G674="IKS",p_iks_cpu,p_roks_cpu)+$M674*IF($G674="IKS",p_iks_ram,p_roks_ram))*p_facteur)</f>
        <v/>
      </c>
      <c r="AD674" s="14" t="str">
        <f aca="false">IF($D674&lt;&gt;1,"",IF(AND($G674="IKS",$AI674&lt;&gt;1,OR($L674-$P674&lt;$N674,$M674-$Q674&lt;$O674)),1,0))</f>
        <v/>
      </c>
      <c r="AE674" s="14" t="str">
        <f aca="false">IF($D674&lt;&gt;1,"",IF(AND($G674="ROKS",$T674&gt;p_maxworkers),1,0))</f>
        <v/>
      </c>
      <c r="AF674" s="14" t="str">
        <f aca="false">IF($D674&lt;&gt;1,"",IF(INDEX(TblClusters[Environnement],$B674)="","(vide)",INDEX(TblClusters[Environnement],$B674)))</f>
        <v/>
      </c>
      <c r="AG674" s="14" t="str">
        <f aca="false">IF($D674&lt;&gt;1,"",$R674+p_poidsram*$S674)</f>
        <v/>
      </c>
      <c r="AH674" s="14" t="str">
        <f aca="false">IF($D674&lt;&gt;1,"",IFERROR($W674/$AG674,0))</f>
        <v/>
      </c>
      <c r="AI674" s="14" t="str">
        <f aca="false">IF($D674&lt;&gt;1,"",IF(AND($G674="IKS",ISNUMBER(INDEX(TblClusters[Fermeture retenue],$B674))),IF($E674&gt;=INDEX(TblClusters[Fermeture retenue],$B674),1,0),0))</f>
        <v/>
      </c>
    </row>
    <row r="675" customFormat="false" ht="15" hidden="false" customHeight="false" outlineLevel="0" collapsed="false">
      <c r="A675" s="14" t="n">
        <v>670</v>
      </c>
      <c r="B675" s="14" t="n">
        <f aca="false">INT(($A675-1)/36)+1</f>
        <v>19</v>
      </c>
      <c r="C675" s="14" t="n">
        <f aca="false">MOD($A675-1,36)+1</f>
        <v>22</v>
      </c>
      <c r="D675" s="14" t="n">
        <f aca="false">IF($C675&gt;p_horizon,0,IFERROR(IF(AND(INDEX(TblClusters[Cluster],$B675)&lt;&gt;"",ISNUMBER(INDEX(TblClusters[CPU initial (vCPU)],$B675)),ISNUMBER(INDEX(TblClusters[CPU min (vCPU)],$B675)),OR(INDEX(TblClusters[Plateforme],$B675)="IKS",INDEX(TblClusters[Plateforme],$B675)="ROKS")),1,0),0))</f>
        <v>0</v>
      </c>
      <c r="E675" s="83" t="str">
        <f aca="false">IF($D675=1,EDATE(p_debut,$C675-1),"")</f>
        <v/>
      </c>
      <c r="F675" s="14" t="str">
        <f aca="false">IF($D675=1,INDEX(TblClusters[Cluster],$B675),"")</f>
        <v/>
      </c>
      <c r="G675" s="14" t="str">
        <f aca="false">IF($D675=1,INDEX(TblClusters[Plateforme],$B675),"")</f>
        <v/>
      </c>
      <c r="H675" s="14" t="str">
        <f aca="false">IF($D675=1,INDEX(TblClusters[vCPU par nœud],$B675),"")</f>
        <v/>
      </c>
      <c r="I675" s="14" t="str">
        <f aca="false">IF($D675=1,INDEX(TblClusters[RAM par nœud (Go)],$B675),"")</f>
        <v/>
      </c>
      <c r="J675" s="14" t="str">
        <f aca="false">IF($D675=1,INDEX(TblClusters[Workers min],$B675),"")</f>
        <v/>
      </c>
      <c r="K675" s="84" t="str">
        <f aca="false">IF($D675=1,INDEX(TblClusters[Tarif par nœud],$B675),"")</f>
        <v/>
      </c>
      <c r="L675" s="14" t="str">
        <f aca="false">IF($D675=1,INDEX(TblClusters[CPU initial (vCPU)],$B675),"")</f>
        <v/>
      </c>
      <c r="M675" s="14" t="str">
        <f aca="false">IF($D675=1,INDEX(TblClusters[RAM initiale (Go)],$B675),"")</f>
        <v/>
      </c>
      <c r="N675" s="14" t="str">
        <f aca="false">IF($D675=1,INDEX(TblClusters[CPU min (vCPU)],$B675),"")</f>
        <v/>
      </c>
      <c r="O675" s="14" t="str">
        <f aca="false">IF($D675=1,INDEX(TblClusters[RAM min (Go)],$B675),"")</f>
        <v/>
      </c>
      <c r="P675" s="14" t="str">
        <f aca="false">IF($D675&lt;&gt;1,"",IF($G675="ROKS",SUMIFS(TblApplications[Besoin ROKS CPU (vCPU)],TblApplications[Cluster ROKS cible],$F675,TblApplications[Action],"À migrer",TblApplications[Déjà incluse ROKS],"Non",TblApplications[Mois prov (calc)],"&lt;="&amp;$E675),SUMIFS(TblApplications[CPU IKS libérable (vCPU)],TblApplications[Cluster IKS source],$F675,TblApplications[Mois lib (calc)],"&lt;="&amp;$E675)))</f>
        <v/>
      </c>
      <c r="Q675" s="14" t="str">
        <f aca="false">IF($D675&lt;&gt;1,"",IF($G675="ROKS",SUMIFS(TblApplications[Besoin ROKS RAM (Go)],TblApplications[Cluster ROKS cible],$F675,TblApplications[Action],"À migrer",TblApplications[Déjà incluse ROKS],"Non",TblApplications[Mois prov (calc)],"&lt;="&amp;$E675),SUMIFS(TblApplications[RAM IKS libérable (Go)],TblApplications[Cluster IKS source],$F675,TblApplications[Mois lib (calc)],"&lt;="&amp;$E675)))</f>
        <v/>
      </c>
      <c r="R675" s="14" t="str">
        <f aca="false">IF($D675&lt;&gt;1,"",IF($G675="ROKS",$L675+$P675,IF($AI675=1,0,MAX($N675,$L675-$P675))))</f>
        <v/>
      </c>
      <c r="S675" s="14" t="str">
        <f aca="false">IF($D675&lt;&gt;1,"",IF($G675="ROKS",$M675+$Q675,IF($AI675=1,0,MAX($O675,$M675-$Q675))))</f>
        <v/>
      </c>
      <c r="T675" s="14" t="str">
        <f aca="false">IF($D675&lt;&gt;1,"",IF($AI675=1,0,MAX($J675,ROUNDUP(MAX($R675/$H675,$S675/$I675),0))))</f>
        <v/>
      </c>
      <c r="U675" s="14" t="str">
        <f aca="false">IF($D675&lt;&gt;1,"",IF(p_mode="Nœud",$T675*$H675,$R675))</f>
        <v/>
      </c>
      <c r="V675" s="14" t="str">
        <f aca="false">IF($D675&lt;&gt;1,"",IF(p_mode="Nœud",$T675*$I675,$S675))</f>
        <v/>
      </c>
      <c r="W675" s="84" t="str">
        <f aca="false">IF($D675&lt;&gt;1,"",IF(p_mode="Nœud",$T675*$K675,$R675*IF($G675="IKS",p_iks_cpu,p_roks_cpu)+$S675*IF($G675="IKS",p_iks_ram,p_roks_ram))*p_facteur)</f>
        <v/>
      </c>
      <c r="X675" s="14" t="str">
        <f aca="false">IF($D675&lt;&gt;1,"",IF($G675="ROKS",$R675,IF($AI675=1,0,MAX($N675,$L675-SUMIFS(TblApplications[CPU IKS libérable (vCPU)],TblApplications[Cluster IKS source],$F675,TblApplications[Action],"À migrer",TblApplications[Mois prov (calc)],"&lt;="&amp;$E675)-SUMIFS(TblApplications[CPU IKS libérable (vCPU)],TblApplications[Cluster IKS source],$F675,TblApplications[Action],"À décommissionner",TblApplications[Mois lib (calc)],"&lt;="&amp;$E675)))))</f>
        <v/>
      </c>
      <c r="Y675" s="14" t="str">
        <f aca="false">IF($D675&lt;&gt;1,"",IF($G675="ROKS",$S675,IF($AI675=1,0,MAX($O675,$M675-SUMIFS(TblApplications[RAM IKS libérable (Go)],TblApplications[Cluster IKS source],$F675,TblApplications[Action],"À migrer",TblApplications[Mois prov (calc)],"&lt;="&amp;$E675)-SUMIFS(TblApplications[RAM IKS libérable (Go)],TblApplications[Cluster IKS source],$F675,TblApplications[Action],"À décommissionner",TblApplications[Mois lib (calc)],"&lt;="&amp;$E675)))))</f>
        <v/>
      </c>
      <c r="Z675" s="14" t="str">
        <f aca="false">IF($D675&lt;&gt;1,"",IF($AI675=1,0,MAX($J675,ROUNDUP(MAX($X675/$H675,$Y675/$I675),0))))</f>
        <v/>
      </c>
      <c r="AA675" s="84" t="str">
        <f aca="false">IF($D675&lt;&gt;1,"",IF(p_mode="Nœud",$Z675*$K675,$X675*IF($G675="IKS",p_iks_cpu,p_roks_cpu)+$Y675*IF($G675="IKS",p_iks_ram,p_roks_ram))*p_facteur)</f>
        <v/>
      </c>
      <c r="AB675" s="14" t="str">
        <f aca="false">IF($D675&lt;&gt;1,"",MAX($J675,ROUNDUP(MAX($L675/$H675,$M675/$I675),0)))</f>
        <v/>
      </c>
      <c r="AC675" s="84" t="str">
        <f aca="false">IF($D675&lt;&gt;1,"",IF(p_mode="Nœud",$AB675*$K675,$L675*IF($G675="IKS",p_iks_cpu,p_roks_cpu)+$M675*IF($G675="IKS",p_iks_ram,p_roks_ram))*p_facteur)</f>
        <v/>
      </c>
      <c r="AD675" s="14" t="str">
        <f aca="false">IF($D675&lt;&gt;1,"",IF(AND($G675="IKS",$AI675&lt;&gt;1,OR($L675-$P675&lt;$N675,$M675-$Q675&lt;$O675)),1,0))</f>
        <v/>
      </c>
      <c r="AE675" s="14" t="str">
        <f aca="false">IF($D675&lt;&gt;1,"",IF(AND($G675="ROKS",$T675&gt;p_maxworkers),1,0))</f>
        <v/>
      </c>
      <c r="AF675" s="14" t="str">
        <f aca="false">IF($D675&lt;&gt;1,"",IF(INDEX(TblClusters[Environnement],$B675)="","(vide)",INDEX(TblClusters[Environnement],$B675)))</f>
        <v/>
      </c>
      <c r="AG675" s="14" t="str">
        <f aca="false">IF($D675&lt;&gt;1,"",$R675+p_poidsram*$S675)</f>
        <v/>
      </c>
      <c r="AH675" s="14" t="str">
        <f aca="false">IF($D675&lt;&gt;1,"",IFERROR($W675/$AG675,0))</f>
        <v/>
      </c>
      <c r="AI675" s="14" t="str">
        <f aca="false">IF($D675&lt;&gt;1,"",IF(AND($G675="IKS",ISNUMBER(INDEX(TblClusters[Fermeture retenue],$B675))),IF($E675&gt;=INDEX(TblClusters[Fermeture retenue],$B675),1,0),0))</f>
        <v/>
      </c>
    </row>
    <row r="676" customFormat="false" ht="15" hidden="false" customHeight="false" outlineLevel="0" collapsed="false">
      <c r="A676" s="14" t="n">
        <v>671</v>
      </c>
      <c r="B676" s="14" t="n">
        <f aca="false">INT(($A676-1)/36)+1</f>
        <v>19</v>
      </c>
      <c r="C676" s="14" t="n">
        <f aca="false">MOD($A676-1,36)+1</f>
        <v>23</v>
      </c>
      <c r="D676" s="14" t="n">
        <f aca="false">IF($C676&gt;p_horizon,0,IFERROR(IF(AND(INDEX(TblClusters[Cluster],$B676)&lt;&gt;"",ISNUMBER(INDEX(TblClusters[CPU initial (vCPU)],$B676)),ISNUMBER(INDEX(TblClusters[CPU min (vCPU)],$B676)),OR(INDEX(TblClusters[Plateforme],$B676)="IKS",INDEX(TblClusters[Plateforme],$B676)="ROKS")),1,0),0))</f>
        <v>0</v>
      </c>
      <c r="E676" s="83" t="str">
        <f aca="false">IF($D676=1,EDATE(p_debut,$C676-1),"")</f>
        <v/>
      </c>
      <c r="F676" s="14" t="str">
        <f aca="false">IF($D676=1,INDEX(TblClusters[Cluster],$B676),"")</f>
        <v/>
      </c>
      <c r="G676" s="14" t="str">
        <f aca="false">IF($D676=1,INDEX(TblClusters[Plateforme],$B676),"")</f>
        <v/>
      </c>
      <c r="H676" s="14" t="str">
        <f aca="false">IF($D676=1,INDEX(TblClusters[vCPU par nœud],$B676),"")</f>
        <v/>
      </c>
      <c r="I676" s="14" t="str">
        <f aca="false">IF($D676=1,INDEX(TblClusters[RAM par nœud (Go)],$B676),"")</f>
        <v/>
      </c>
      <c r="J676" s="14" t="str">
        <f aca="false">IF($D676=1,INDEX(TblClusters[Workers min],$B676),"")</f>
        <v/>
      </c>
      <c r="K676" s="84" t="str">
        <f aca="false">IF($D676=1,INDEX(TblClusters[Tarif par nœud],$B676),"")</f>
        <v/>
      </c>
      <c r="L676" s="14" t="str">
        <f aca="false">IF($D676=1,INDEX(TblClusters[CPU initial (vCPU)],$B676),"")</f>
        <v/>
      </c>
      <c r="M676" s="14" t="str">
        <f aca="false">IF($D676=1,INDEX(TblClusters[RAM initiale (Go)],$B676),"")</f>
        <v/>
      </c>
      <c r="N676" s="14" t="str">
        <f aca="false">IF($D676=1,INDEX(TblClusters[CPU min (vCPU)],$B676),"")</f>
        <v/>
      </c>
      <c r="O676" s="14" t="str">
        <f aca="false">IF($D676=1,INDEX(TblClusters[RAM min (Go)],$B676),"")</f>
        <v/>
      </c>
      <c r="P676" s="14" t="str">
        <f aca="false">IF($D676&lt;&gt;1,"",IF($G676="ROKS",SUMIFS(TblApplications[Besoin ROKS CPU (vCPU)],TblApplications[Cluster ROKS cible],$F676,TblApplications[Action],"À migrer",TblApplications[Déjà incluse ROKS],"Non",TblApplications[Mois prov (calc)],"&lt;="&amp;$E676),SUMIFS(TblApplications[CPU IKS libérable (vCPU)],TblApplications[Cluster IKS source],$F676,TblApplications[Mois lib (calc)],"&lt;="&amp;$E676)))</f>
        <v/>
      </c>
      <c r="Q676" s="14" t="str">
        <f aca="false">IF($D676&lt;&gt;1,"",IF($G676="ROKS",SUMIFS(TblApplications[Besoin ROKS RAM (Go)],TblApplications[Cluster ROKS cible],$F676,TblApplications[Action],"À migrer",TblApplications[Déjà incluse ROKS],"Non",TblApplications[Mois prov (calc)],"&lt;="&amp;$E676),SUMIFS(TblApplications[RAM IKS libérable (Go)],TblApplications[Cluster IKS source],$F676,TblApplications[Mois lib (calc)],"&lt;="&amp;$E676)))</f>
        <v/>
      </c>
      <c r="R676" s="14" t="str">
        <f aca="false">IF($D676&lt;&gt;1,"",IF($G676="ROKS",$L676+$P676,IF($AI676=1,0,MAX($N676,$L676-$P676))))</f>
        <v/>
      </c>
      <c r="S676" s="14" t="str">
        <f aca="false">IF($D676&lt;&gt;1,"",IF($G676="ROKS",$M676+$Q676,IF($AI676=1,0,MAX($O676,$M676-$Q676))))</f>
        <v/>
      </c>
      <c r="T676" s="14" t="str">
        <f aca="false">IF($D676&lt;&gt;1,"",IF($AI676=1,0,MAX($J676,ROUNDUP(MAX($R676/$H676,$S676/$I676),0))))</f>
        <v/>
      </c>
      <c r="U676" s="14" t="str">
        <f aca="false">IF($D676&lt;&gt;1,"",IF(p_mode="Nœud",$T676*$H676,$R676))</f>
        <v/>
      </c>
      <c r="V676" s="14" t="str">
        <f aca="false">IF($D676&lt;&gt;1,"",IF(p_mode="Nœud",$T676*$I676,$S676))</f>
        <v/>
      </c>
      <c r="W676" s="84" t="str">
        <f aca="false">IF($D676&lt;&gt;1,"",IF(p_mode="Nœud",$T676*$K676,$R676*IF($G676="IKS",p_iks_cpu,p_roks_cpu)+$S676*IF($G676="IKS",p_iks_ram,p_roks_ram))*p_facteur)</f>
        <v/>
      </c>
      <c r="X676" s="14" t="str">
        <f aca="false">IF($D676&lt;&gt;1,"",IF($G676="ROKS",$R676,IF($AI676=1,0,MAX($N676,$L676-SUMIFS(TblApplications[CPU IKS libérable (vCPU)],TblApplications[Cluster IKS source],$F676,TblApplications[Action],"À migrer",TblApplications[Mois prov (calc)],"&lt;="&amp;$E676)-SUMIFS(TblApplications[CPU IKS libérable (vCPU)],TblApplications[Cluster IKS source],$F676,TblApplications[Action],"À décommissionner",TblApplications[Mois lib (calc)],"&lt;="&amp;$E676)))))</f>
        <v/>
      </c>
      <c r="Y676" s="14" t="str">
        <f aca="false">IF($D676&lt;&gt;1,"",IF($G676="ROKS",$S676,IF($AI676=1,0,MAX($O676,$M676-SUMIFS(TblApplications[RAM IKS libérable (Go)],TblApplications[Cluster IKS source],$F676,TblApplications[Action],"À migrer",TblApplications[Mois prov (calc)],"&lt;="&amp;$E676)-SUMIFS(TblApplications[RAM IKS libérable (Go)],TblApplications[Cluster IKS source],$F676,TblApplications[Action],"À décommissionner",TblApplications[Mois lib (calc)],"&lt;="&amp;$E676)))))</f>
        <v/>
      </c>
      <c r="Z676" s="14" t="str">
        <f aca="false">IF($D676&lt;&gt;1,"",IF($AI676=1,0,MAX($J676,ROUNDUP(MAX($X676/$H676,$Y676/$I676),0))))</f>
        <v/>
      </c>
      <c r="AA676" s="84" t="str">
        <f aca="false">IF($D676&lt;&gt;1,"",IF(p_mode="Nœud",$Z676*$K676,$X676*IF($G676="IKS",p_iks_cpu,p_roks_cpu)+$Y676*IF($G676="IKS",p_iks_ram,p_roks_ram))*p_facteur)</f>
        <v/>
      </c>
      <c r="AB676" s="14" t="str">
        <f aca="false">IF($D676&lt;&gt;1,"",MAX($J676,ROUNDUP(MAX($L676/$H676,$M676/$I676),0)))</f>
        <v/>
      </c>
      <c r="AC676" s="84" t="str">
        <f aca="false">IF($D676&lt;&gt;1,"",IF(p_mode="Nœud",$AB676*$K676,$L676*IF($G676="IKS",p_iks_cpu,p_roks_cpu)+$M676*IF($G676="IKS",p_iks_ram,p_roks_ram))*p_facteur)</f>
        <v/>
      </c>
      <c r="AD676" s="14" t="str">
        <f aca="false">IF($D676&lt;&gt;1,"",IF(AND($G676="IKS",$AI676&lt;&gt;1,OR($L676-$P676&lt;$N676,$M676-$Q676&lt;$O676)),1,0))</f>
        <v/>
      </c>
      <c r="AE676" s="14" t="str">
        <f aca="false">IF($D676&lt;&gt;1,"",IF(AND($G676="ROKS",$T676&gt;p_maxworkers),1,0))</f>
        <v/>
      </c>
      <c r="AF676" s="14" t="str">
        <f aca="false">IF($D676&lt;&gt;1,"",IF(INDEX(TblClusters[Environnement],$B676)="","(vide)",INDEX(TblClusters[Environnement],$B676)))</f>
        <v/>
      </c>
      <c r="AG676" s="14" t="str">
        <f aca="false">IF($D676&lt;&gt;1,"",$R676+p_poidsram*$S676)</f>
        <v/>
      </c>
      <c r="AH676" s="14" t="str">
        <f aca="false">IF($D676&lt;&gt;1,"",IFERROR($W676/$AG676,0))</f>
        <v/>
      </c>
      <c r="AI676" s="14" t="str">
        <f aca="false">IF($D676&lt;&gt;1,"",IF(AND($G676="IKS",ISNUMBER(INDEX(TblClusters[Fermeture retenue],$B676))),IF($E676&gt;=INDEX(TblClusters[Fermeture retenue],$B676),1,0),0))</f>
        <v/>
      </c>
    </row>
    <row r="677" customFormat="false" ht="15" hidden="false" customHeight="false" outlineLevel="0" collapsed="false">
      <c r="A677" s="14" t="n">
        <v>672</v>
      </c>
      <c r="B677" s="14" t="n">
        <f aca="false">INT(($A677-1)/36)+1</f>
        <v>19</v>
      </c>
      <c r="C677" s="14" t="n">
        <f aca="false">MOD($A677-1,36)+1</f>
        <v>24</v>
      </c>
      <c r="D677" s="14" t="n">
        <f aca="false">IF($C677&gt;p_horizon,0,IFERROR(IF(AND(INDEX(TblClusters[Cluster],$B677)&lt;&gt;"",ISNUMBER(INDEX(TblClusters[CPU initial (vCPU)],$B677)),ISNUMBER(INDEX(TblClusters[CPU min (vCPU)],$B677)),OR(INDEX(TblClusters[Plateforme],$B677)="IKS",INDEX(TblClusters[Plateforme],$B677)="ROKS")),1,0),0))</f>
        <v>0</v>
      </c>
      <c r="E677" s="83" t="str">
        <f aca="false">IF($D677=1,EDATE(p_debut,$C677-1),"")</f>
        <v/>
      </c>
      <c r="F677" s="14" t="str">
        <f aca="false">IF($D677=1,INDEX(TblClusters[Cluster],$B677),"")</f>
        <v/>
      </c>
      <c r="G677" s="14" t="str">
        <f aca="false">IF($D677=1,INDEX(TblClusters[Plateforme],$B677),"")</f>
        <v/>
      </c>
      <c r="H677" s="14" t="str">
        <f aca="false">IF($D677=1,INDEX(TblClusters[vCPU par nœud],$B677),"")</f>
        <v/>
      </c>
      <c r="I677" s="14" t="str">
        <f aca="false">IF($D677=1,INDEX(TblClusters[RAM par nœud (Go)],$B677),"")</f>
        <v/>
      </c>
      <c r="J677" s="14" t="str">
        <f aca="false">IF($D677=1,INDEX(TblClusters[Workers min],$B677),"")</f>
        <v/>
      </c>
      <c r="K677" s="84" t="str">
        <f aca="false">IF($D677=1,INDEX(TblClusters[Tarif par nœud],$B677),"")</f>
        <v/>
      </c>
      <c r="L677" s="14" t="str">
        <f aca="false">IF($D677=1,INDEX(TblClusters[CPU initial (vCPU)],$B677),"")</f>
        <v/>
      </c>
      <c r="M677" s="14" t="str">
        <f aca="false">IF($D677=1,INDEX(TblClusters[RAM initiale (Go)],$B677),"")</f>
        <v/>
      </c>
      <c r="N677" s="14" t="str">
        <f aca="false">IF($D677=1,INDEX(TblClusters[CPU min (vCPU)],$B677),"")</f>
        <v/>
      </c>
      <c r="O677" s="14" t="str">
        <f aca="false">IF($D677=1,INDEX(TblClusters[RAM min (Go)],$B677),"")</f>
        <v/>
      </c>
      <c r="P677" s="14" t="str">
        <f aca="false">IF($D677&lt;&gt;1,"",IF($G677="ROKS",SUMIFS(TblApplications[Besoin ROKS CPU (vCPU)],TblApplications[Cluster ROKS cible],$F677,TblApplications[Action],"À migrer",TblApplications[Déjà incluse ROKS],"Non",TblApplications[Mois prov (calc)],"&lt;="&amp;$E677),SUMIFS(TblApplications[CPU IKS libérable (vCPU)],TblApplications[Cluster IKS source],$F677,TblApplications[Mois lib (calc)],"&lt;="&amp;$E677)))</f>
        <v/>
      </c>
      <c r="Q677" s="14" t="str">
        <f aca="false">IF($D677&lt;&gt;1,"",IF($G677="ROKS",SUMIFS(TblApplications[Besoin ROKS RAM (Go)],TblApplications[Cluster ROKS cible],$F677,TblApplications[Action],"À migrer",TblApplications[Déjà incluse ROKS],"Non",TblApplications[Mois prov (calc)],"&lt;="&amp;$E677),SUMIFS(TblApplications[RAM IKS libérable (Go)],TblApplications[Cluster IKS source],$F677,TblApplications[Mois lib (calc)],"&lt;="&amp;$E677)))</f>
        <v/>
      </c>
      <c r="R677" s="14" t="str">
        <f aca="false">IF($D677&lt;&gt;1,"",IF($G677="ROKS",$L677+$P677,IF($AI677=1,0,MAX($N677,$L677-$P677))))</f>
        <v/>
      </c>
      <c r="S677" s="14" t="str">
        <f aca="false">IF($D677&lt;&gt;1,"",IF($G677="ROKS",$M677+$Q677,IF($AI677=1,0,MAX($O677,$M677-$Q677))))</f>
        <v/>
      </c>
      <c r="T677" s="14" t="str">
        <f aca="false">IF($D677&lt;&gt;1,"",IF($AI677=1,0,MAX($J677,ROUNDUP(MAX($R677/$H677,$S677/$I677),0))))</f>
        <v/>
      </c>
      <c r="U677" s="14" t="str">
        <f aca="false">IF($D677&lt;&gt;1,"",IF(p_mode="Nœud",$T677*$H677,$R677))</f>
        <v/>
      </c>
      <c r="V677" s="14" t="str">
        <f aca="false">IF($D677&lt;&gt;1,"",IF(p_mode="Nœud",$T677*$I677,$S677))</f>
        <v/>
      </c>
      <c r="W677" s="84" t="str">
        <f aca="false">IF($D677&lt;&gt;1,"",IF(p_mode="Nœud",$T677*$K677,$R677*IF($G677="IKS",p_iks_cpu,p_roks_cpu)+$S677*IF($G677="IKS",p_iks_ram,p_roks_ram))*p_facteur)</f>
        <v/>
      </c>
      <c r="X677" s="14" t="str">
        <f aca="false">IF($D677&lt;&gt;1,"",IF($G677="ROKS",$R677,IF($AI677=1,0,MAX($N677,$L677-SUMIFS(TblApplications[CPU IKS libérable (vCPU)],TblApplications[Cluster IKS source],$F677,TblApplications[Action],"À migrer",TblApplications[Mois prov (calc)],"&lt;="&amp;$E677)-SUMIFS(TblApplications[CPU IKS libérable (vCPU)],TblApplications[Cluster IKS source],$F677,TblApplications[Action],"À décommissionner",TblApplications[Mois lib (calc)],"&lt;="&amp;$E677)))))</f>
        <v/>
      </c>
      <c r="Y677" s="14" t="str">
        <f aca="false">IF($D677&lt;&gt;1,"",IF($G677="ROKS",$S677,IF($AI677=1,0,MAX($O677,$M677-SUMIFS(TblApplications[RAM IKS libérable (Go)],TblApplications[Cluster IKS source],$F677,TblApplications[Action],"À migrer",TblApplications[Mois prov (calc)],"&lt;="&amp;$E677)-SUMIFS(TblApplications[RAM IKS libérable (Go)],TblApplications[Cluster IKS source],$F677,TblApplications[Action],"À décommissionner",TblApplications[Mois lib (calc)],"&lt;="&amp;$E677)))))</f>
        <v/>
      </c>
      <c r="Z677" s="14" t="str">
        <f aca="false">IF($D677&lt;&gt;1,"",IF($AI677=1,0,MAX($J677,ROUNDUP(MAX($X677/$H677,$Y677/$I677),0))))</f>
        <v/>
      </c>
      <c r="AA677" s="84" t="str">
        <f aca="false">IF($D677&lt;&gt;1,"",IF(p_mode="Nœud",$Z677*$K677,$X677*IF($G677="IKS",p_iks_cpu,p_roks_cpu)+$Y677*IF($G677="IKS",p_iks_ram,p_roks_ram))*p_facteur)</f>
        <v/>
      </c>
      <c r="AB677" s="14" t="str">
        <f aca="false">IF($D677&lt;&gt;1,"",MAX($J677,ROUNDUP(MAX($L677/$H677,$M677/$I677),0)))</f>
        <v/>
      </c>
      <c r="AC677" s="84" t="str">
        <f aca="false">IF($D677&lt;&gt;1,"",IF(p_mode="Nœud",$AB677*$K677,$L677*IF($G677="IKS",p_iks_cpu,p_roks_cpu)+$M677*IF($G677="IKS",p_iks_ram,p_roks_ram))*p_facteur)</f>
        <v/>
      </c>
      <c r="AD677" s="14" t="str">
        <f aca="false">IF($D677&lt;&gt;1,"",IF(AND($G677="IKS",$AI677&lt;&gt;1,OR($L677-$P677&lt;$N677,$M677-$Q677&lt;$O677)),1,0))</f>
        <v/>
      </c>
      <c r="AE677" s="14" t="str">
        <f aca="false">IF($D677&lt;&gt;1,"",IF(AND($G677="ROKS",$T677&gt;p_maxworkers),1,0))</f>
        <v/>
      </c>
      <c r="AF677" s="14" t="str">
        <f aca="false">IF($D677&lt;&gt;1,"",IF(INDEX(TblClusters[Environnement],$B677)="","(vide)",INDEX(TblClusters[Environnement],$B677)))</f>
        <v/>
      </c>
      <c r="AG677" s="14" t="str">
        <f aca="false">IF($D677&lt;&gt;1,"",$R677+p_poidsram*$S677)</f>
        <v/>
      </c>
      <c r="AH677" s="14" t="str">
        <f aca="false">IF($D677&lt;&gt;1,"",IFERROR($W677/$AG677,0))</f>
        <v/>
      </c>
      <c r="AI677" s="14" t="str">
        <f aca="false">IF($D677&lt;&gt;1,"",IF(AND($G677="IKS",ISNUMBER(INDEX(TblClusters[Fermeture retenue],$B677))),IF($E677&gt;=INDEX(TblClusters[Fermeture retenue],$B677),1,0),0))</f>
        <v/>
      </c>
    </row>
    <row r="678" customFormat="false" ht="15" hidden="false" customHeight="false" outlineLevel="0" collapsed="false">
      <c r="A678" s="14" t="n">
        <v>673</v>
      </c>
      <c r="B678" s="14" t="n">
        <f aca="false">INT(($A678-1)/36)+1</f>
        <v>19</v>
      </c>
      <c r="C678" s="14" t="n">
        <f aca="false">MOD($A678-1,36)+1</f>
        <v>25</v>
      </c>
      <c r="D678" s="14" t="n">
        <f aca="false">IF($C678&gt;p_horizon,0,IFERROR(IF(AND(INDEX(TblClusters[Cluster],$B678)&lt;&gt;"",ISNUMBER(INDEX(TblClusters[CPU initial (vCPU)],$B678)),ISNUMBER(INDEX(TblClusters[CPU min (vCPU)],$B678)),OR(INDEX(TblClusters[Plateforme],$B678)="IKS",INDEX(TblClusters[Plateforme],$B678)="ROKS")),1,0),0))</f>
        <v>0</v>
      </c>
      <c r="E678" s="83" t="str">
        <f aca="false">IF($D678=1,EDATE(p_debut,$C678-1),"")</f>
        <v/>
      </c>
      <c r="F678" s="14" t="str">
        <f aca="false">IF($D678=1,INDEX(TblClusters[Cluster],$B678),"")</f>
        <v/>
      </c>
      <c r="G678" s="14" t="str">
        <f aca="false">IF($D678=1,INDEX(TblClusters[Plateforme],$B678),"")</f>
        <v/>
      </c>
      <c r="H678" s="14" t="str">
        <f aca="false">IF($D678=1,INDEX(TblClusters[vCPU par nœud],$B678),"")</f>
        <v/>
      </c>
      <c r="I678" s="14" t="str">
        <f aca="false">IF($D678=1,INDEX(TblClusters[RAM par nœud (Go)],$B678),"")</f>
        <v/>
      </c>
      <c r="J678" s="14" t="str">
        <f aca="false">IF($D678=1,INDEX(TblClusters[Workers min],$B678),"")</f>
        <v/>
      </c>
      <c r="K678" s="84" t="str">
        <f aca="false">IF($D678=1,INDEX(TblClusters[Tarif par nœud],$B678),"")</f>
        <v/>
      </c>
      <c r="L678" s="14" t="str">
        <f aca="false">IF($D678=1,INDEX(TblClusters[CPU initial (vCPU)],$B678),"")</f>
        <v/>
      </c>
      <c r="M678" s="14" t="str">
        <f aca="false">IF($D678=1,INDEX(TblClusters[RAM initiale (Go)],$B678),"")</f>
        <v/>
      </c>
      <c r="N678" s="14" t="str">
        <f aca="false">IF($D678=1,INDEX(TblClusters[CPU min (vCPU)],$B678),"")</f>
        <v/>
      </c>
      <c r="O678" s="14" t="str">
        <f aca="false">IF($D678=1,INDEX(TblClusters[RAM min (Go)],$B678),"")</f>
        <v/>
      </c>
      <c r="P678" s="14" t="str">
        <f aca="false">IF($D678&lt;&gt;1,"",IF($G678="ROKS",SUMIFS(TblApplications[Besoin ROKS CPU (vCPU)],TblApplications[Cluster ROKS cible],$F678,TblApplications[Action],"À migrer",TblApplications[Déjà incluse ROKS],"Non",TblApplications[Mois prov (calc)],"&lt;="&amp;$E678),SUMIFS(TblApplications[CPU IKS libérable (vCPU)],TblApplications[Cluster IKS source],$F678,TblApplications[Mois lib (calc)],"&lt;="&amp;$E678)))</f>
        <v/>
      </c>
      <c r="Q678" s="14" t="str">
        <f aca="false">IF($D678&lt;&gt;1,"",IF($G678="ROKS",SUMIFS(TblApplications[Besoin ROKS RAM (Go)],TblApplications[Cluster ROKS cible],$F678,TblApplications[Action],"À migrer",TblApplications[Déjà incluse ROKS],"Non",TblApplications[Mois prov (calc)],"&lt;="&amp;$E678),SUMIFS(TblApplications[RAM IKS libérable (Go)],TblApplications[Cluster IKS source],$F678,TblApplications[Mois lib (calc)],"&lt;="&amp;$E678)))</f>
        <v/>
      </c>
      <c r="R678" s="14" t="str">
        <f aca="false">IF($D678&lt;&gt;1,"",IF($G678="ROKS",$L678+$P678,IF($AI678=1,0,MAX($N678,$L678-$P678))))</f>
        <v/>
      </c>
      <c r="S678" s="14" t="str">
        <f aca="false">IF($D678&lt;&gt;1,"",IF($G678="ROKS",$M678+$Q678,IF($AI678=1,0,MAX($O678,$M678-$Q678))))</f>
        <v/>
      </c>
      <c r="T678" s="14" t="str">
        <f aca="false">IF($D678&lt;&gt;1,"",IF($AI678=1,0,MAX($J678,ROUNDUP(MAX($R678/$H678,$S678/$I678),0))))</f>
        <v/>
      </c>
      <c r="U678" s="14" t="str">
        <f aca="false">IF($D678&lt;&gt;1,"",IF(p_mode="Nœud",$T678*$H678,$R678))</f>
        <v/>
      </c>
      <c r="V678" s="14" t="str">
        <f aca="false">IF($D678&lt;&gt;1,"",IF(p_mode="Nœud",$T678*$I678,$S678))</f>
        <v/>
      </c>
      <c r="W678" s="84" t="str">
        <f aca="false">IF($D678&lt;&gt;1,"",IF(p_mode="Nœud",$T678*$K678,$R678*IF($G678="IKS",p_iks_cpu,p_roks_cpu)+$S678*IF($G678="IKS",p_iks_ram,p_roks_ram))*p_facteur)</f>
        <v/>
      </c>
      <c r="X678" s="14" t="str">
        <f aca="false">IF($D678&lt;&gt;1,"",IF($G678="ROKS",$R678,IF($AI678=1,0,MAX($N678,$L678-SUMIFS(TblApplications[CPU IKS libérable (vCPU)],TblApplications[Cluster IKS source],$F678,TblApplications[Action],"À migrer",TblApplications[Mois prov (calc)],"&lt;="&amp;$E678)-SUMIFS(TblApplications[CPU IKS libérable (vCPU)],TblApplications[Cluster IKS source],$F678,TblApplications[Action],"À décommissionner",TblApplications[Mois lib (calc)],"&lt;="&amp;$E678)))))</f>
        <v/>
      </c>
      <c r="Y678" s="14" t="str">
        <f aca="false">IF($D678&lt;&gt;1,"",IF($G678="ROKS",$S678,IF($AI678=1,0,MAX($O678,$M678-SUMIFS(TblApplications[RAM IKS libérable (Go)],TblApplications[Cluster IKS source],$F678,TblApplications[Action],"À migrer",TblApplications[Mois prov (calc)],"&lt;="&amp;$E678)-SUMIFS(TblApplications[RAM IKS libérable (Go)],TblApplications[Cluster IKS source],$F678,TblApplications[Action],"À décommissionner",TblApplications[Mois lib (calc)],"&lt;="&amp;$E678)))))</f>
        <v/>
      </c>
      <c r="Z678" s="14" t="str">
        <f aca="false">IF($D678&lt;&gt;1,"",IF($AI678=1,0,MAX($J678,ROUNDUP(MAX($X678/$H678,$Y678/$I678),0))))</f>
        <v/>
      </c>
      <c r="AA678" s="84" t="str">
        <f aca="false">IF($D678&lt;&gt;1,"",IF(p_mode="Nœud",$Z678*$K678,$X678*IF($G678="IKS",p_iks_cpu,p_roks_cpu)+$Y678*IF($G678="IKS",p_iks_ram,p_roks_ram))*p_facteur)</f>
        <v/>
      </c>
      <c r="AB678" s="14" t="str">
        <f aca="false">IF($D678&lt;&gt;1,"",MAX($J678,ROUNDUP(MAX($L678/$H678,$M678/$I678),0)))</f>
        <v/>
      </c>
      <c r="AC678" s="84" t="str">
        <f aca="false">IF($D678&lt;&gt;1,"",IF(p_mode="Nœud",$AB678*$K678,$L678*IF($G678="IKS",p_iks_cpu,p_roks_cpu)+$M678*IF($G678="IKS",p_iks_ram,p_roks_ram))*p_facteur)</f>
        <v/>
      </c>
      <c r="AD678" s="14" t="str">
        <f aca="false">IF($D678&lt;&gt;1,"",IF(AND($G678="IKS",$AI678&lt;&gt;1,OR($L678-$P678&lt;$N678,$M678-$Q678&lt;$O678)),1,0))</f>
        <v/>
      </c>
      <c r="AE678" s="14" t="str">
        <f aca="false">IF($D678&lt;&gt;1,"",IF(AND($G678="ROKS",$T678&gt;p_maxworkers),1,0))</f>
        <v/>
      </c>
      <c r="AF678" s="14" t="str">
        <f aca="false">IF($D678&lt;&gt;1,"",IF(INDEX(TblClusters[Environnement],$B678)="","(vide)",INDEX(TblClusters[Environnement],$B678)))</f>
        <v/>
      </c>
      <c r="AG678" s="14" t="str">
        <f aca="false">IF($D678&lt;&gt;1,"",$R678+p_poidsram*$S678)</f>
        <v/>
      </c>
      <c r="AH678" s="14" t="str">
        <f aca="false">IF($D678&lt;&gt;1,"",IFERROR($W678/$AG678,0))</f>
        <v/>
      </c>
      <c r="AI678" s="14" t="str">
        <f aca="false">IF($D678&lt;&gt;1,"",IF(AND($G678="IKS",ISNUMBER(INDEX(TblClusters[Fermeture retenue],$B678))),IF($E678&gt;=INDEX(TblClusters[Fermeture retenue],$B678),1,0),0))</f>
        <v/>
      </c>
    </row>
    <row r="679" customFormat="false" ht="15" hidden="false" customHeight="false" outlineLevel="0" collapsed="false">
      <c r="A679" s="14" t="n">
        <v>674</v>
      </c>
      <c r="B679" s="14" t="n">
        <f aca="false">INT(($A679-1)/36)+1</f>
        <v>19</v>
      </c>
      <c r="C679" s="14" t="n">
        <f aca="false">MOD($A679-1,36)+1</f>
        <v>26</v>
      </c>
      <c r="D679" s="14" t="n">
        <f aca="false">IF($C679&gt;p_horizon,0,IFERROR(IF(AND(INDEX(TblClusters[Cluster],$B679)&lt;&gt;"",ISNUMBER(INDEX(TblClusters[CPU initial (vCPU)],$B679)),ISNUMBER(INDEX(TblClusters[CPU min (vCPU)],$B679)),OR(INDEX(TblClusters[Plateforme],$B679)="IKS",INDEX(TblClusters[Plateforme],$B679)="ROKS")),1,0),0))</f>
        <v>0</v>
      </c>
      <c r="E679" s="83" t="str">
        <f aca="false">IF($D679=1,EDATE(p_debut,$C679-1),"")</f>
        <v/>
      </c>
      <c r="F679" s="14" t="str">
        <f aca="false">IF($D679=1,INDEX(TblClusters[Cluster],$B679),"")</f>
        <v/>
      </c>
      <c r="G679" s="14" t="str">
        <f aca="false">IF($D679=1,INDEX(TblClusters[Plateforme],$B679),"")</f>
        <v/>
      </c>
      <c r="H679" s="14" t="str">
        <f aca="false">IF($D679=1,INDEX(TblClusters[vCPU par nœud],$B679),"")</f>
        <v/>
      </c>
      <c r="I679" s="14" t="str">
        <f aca="false">IF($D679=1,INDEX(TblClusters[RAM par nœud (Go)],$B679),"")</f>
        <v/>
      </c>
      <c r="J679" s="14" t="str">
        <f aca="false">IF($D679=1,INDEX(TblClusters[Workers min],$B679),"")</f>
        <v/>
      </c>
      <c r="K679" s="84" t="str">
        <f aca="false">IF($D679=1,INDEX(TblClusters[Tarif par nœud],$B679),"")</f>
        <v/>
      </c>
      <c r="L679" s="14" t="str">
        <f aca="false">IF($D679=1,INDEX(TblClusters[CPU initial (vCPU)],$B679),"")</f>
        <v/>
      </c>
      <c r="M679" s="14" t="str">
        <f aca="false">IF($D679=1,INDEX(TblClusters[RAM initiale (Go)],$B679),"")</f>
        <v/>
      </c>
      <c r="N679" s="14" t="str">
        <f aca="false">IF($D679=1,INDEX(TblClusters[CPU min (vCPU)],$B679),"")</f>
        <v/>
      </c>
      <c r="O679" s="14" t="str">
        <f aca="false">IF($D679=1,INDEX(TblClusters[RAM min (Go)],$B679),"")</f>
        <v/>
      </c>
      <c r="P679" s="14" t="str">
        <f aca="false">IF($D679&lt;&gt;1,"",IF($G679="ROKS",SUMIFS(TblApplications[Besoin ROKS CPU (vCPU)],TblApplications[Cluster ROKS cible],$F679,TblApplications[Action],"À migrer",TblApplications[Déjà incluse ROKS],"Non",TblApplications[Mois prov (calc)],"&lt;="&amp;$E679),SUMIFS(TblApplications[CPU IKS libérable (vCPU)],TblApplications[Cluster IKS source],$F679,TblApplications[Mois lib (calc)],"&lt;="&amp;$E679)))</f>
        <v/>
      </c>
      <c r="Q679" s="14" t="str">
        <f aca="false">IF($D679&lt;&gt;1,"",IF($G679="ROKS",SUMIFS(TblApplications[Besoin ROKS RAM (Go)],TblApplications[Cluster ROKS cible],$F679,TblApplications[Action],"À migrer",TblApplications[Déjà incluse ROKS],"Non",TblApplications[Mois prov (calc)],"&lt;="&amp;$E679),SUMIFS(TblApplications[RAM IKS libérable (Go)],TblApplications[Cluster IKS source],$F679,TblApplications[Mois lib (calc)],"&lt;="&amp;$E679)))</f>
        <v/>
      </c>
      <c r="R679" s="14" t="str">
        <f aca="false">IF($D679&lt;&gt;1,"",IF($G679="ROKS",$L679+$P679,IF($AI679=1,0,MAX($N679,$L679-$P679))))</f>
        <v/>
      </c>
      <c r="S679" s="14" t="str">
        <f aca="false">IF($D679&lt;&gt;1,"",IF($G679="ROKS",$M679+$Q679,IF($AI679=1,0,MAX($O679,$M679-$Q679))))</f>
        <v/>
      </c>
      <c r="T679" s="14" t="str">
        <f aca="false">IF($D679&lt;&gt;1,"",IF($AI679=1,0,MAX($J679,ROUNDUP(MAX($R679/$H679,$S679/$I679),0))))</f>
        <v/>
      </c>
      <c r="U679" s="14" t="str">
        <f aca="false">IF($D679&lt;&gt;1,"",IF(p_mode="Nœud",$T679*$H679,$R679))</f>
        <v/>
      </c>
      <c r="V679" s="14" t="str">
        <f aca="false">IF($D679&lt;&gt;1,"",IF(p_mode="Nœud",$T679*$I679,$S679))</f>
        <v/>
      </c>
      <c r="W679" s="84" t="str">
        <f aca="false">IF($D679&lt;&gt;1,"",IF(p_mode="Nœud",$T679*$K679,$R679*IF($G679="IKS",p_iks_cpu,p_roks_cpu)+$S679*IF($G679="IKS",p_iks_ram,p_roks_ram))*p_facteur)</f>
        <v/>
      </c>
      <c r="X679" s="14" t="str">
        <f aca="false">IF($D679&lt;&gt;1,"",IF($G679="ROKS",$R679,IF($AI679=1,0,MAX($N679,$L679-SUMIFS(TblApplications[CPU IKS libérable (vCPU)],TblApplications[Cluster IKS source],$F679,TblApplications[Action],"À migrer",TblApplications[Mois prov (calc)],"&lt;="&amp;$E679)-SUMIFS(TblApplications[CPU IKS libérable (vCPU)],TblApplications[Cluster IKS source],$F679,TblApplications[Action],"À décommissionner",TblApplications[Mois lib (calc)],"&lt;="&amp;$E679)))))</f>
        <v/>
      </c>
      <c r="Y679" s="14" t="str">
        <f aca="false">IF($D679&lt;&gt;1,"",IF($G679="ROKS",$S679,IF($AI679=1,0,MAX($O679,$M679-SUMIFS(TblApplications[RAM IKS libérable (Go)],TblApplications[Cluster IKS source],$F679,TblApplications[Action],"À migrer",TblApplications[Mois prov (calc)],"&lt;="&amp;$E679)-SUMIFS(TblApplications[RAM IKS libérable (Go)],TblApplications[Cluster IKS source],$F679,TblApplications[Action],"À décommissionner",TblApplications[Mois lib (calc)],"&lt;="&amp;$E679)))))</f>
        <v/>
      </c>
      <c r="Z679" s="14" t="str">
        <f aca="false">IF($D679&lt;&gt;1,"",IF($AI679=1,0,MAX($J679,ROUNDUP(MAX($X679/$H679,$Y679/$I679),0))))</f>
        <v/>
      </c>
      <c r="AA679" s="84" t="str">
        <f aca="false">IF($D679&lt;&gt;1,"",IF(p_mode="Nœud",$Z679*$K679,$X679*IF($G679="IKS",p_iks_cpu,p_roks_cpu)+$Y679*IF($G679="IKS",p_iks_ram,p_roks_ram))*p_facteur)</f>
        <v/>
      </c>
      <c r="AB679" s="14" t="str">
        <f aca="false">IF($D679&lt;&gt;1,"",MAX($J679,ROUNDUP(MAX($L679/$H679,$M679/$I679),0)))</f>
        <v/>
      </c>
      <c r="AC679" s="84" t="str">
        <f aca="false">IF($D679&lt;&gt;1,"",IF(p_mode="Nœud",$AB679*$K679,$L679*IF($G679="IKS",p_iks_cpu,p_roks_cpu)+$M679*IF($G679="IKS",p_iks_ram,p_roks_ram))*p_facteur)</f>
        <v/>
      </c>
      <c r="AD679" s="14" t="str">
        <f aca="false">IF($D679&lt;&gt;1,"",IF(AND($G679="IKS",$AI679&lt;&gt;1,OR($L679-$P679&lt;$N679,$M679-$Q679&lt;$O679)),1,0))</f>
        <v/>
      </c>
      <c r="AE679" s="14" t="str">
        <f aca="false">IF($D679&lt;&gt;1,"",IF(AND($G679="ROKS",$T679&gt;p_maxworkers),1,0))</f>
        <v/>
      </c>
      <c r="AF679" s="14" t="str">
        <f aca="false">IF($D679&lt;&gt;1,"",IF(INDEX(TblClusters[Environnement],$B679)="","(vide)",INDEX(TblClusters[Environnement],$B679)))</f>
        <v/>
      </c>
      <c r="AG679" s="14" t="str">
        <f aca="false">IF($D679&lt;&gt;1,"",$R679+p_poidsram*$S679)</f>
        <v/>
      </c>
      <c r="AH679" s="14" t="str">
        <f aca="false">IF($D679&lt;&gt;1,"",IFERROR($W679/$AG679,0))</f>
        <v/>
      </c>
      <c r="AI679" s="14" t="str">
        <f aca="false">IF($D679&lt;&gt;1,"",IF(AND($G679="IKS",ISNUMBER(INDEX(TblClusters[Fermeture retenue],$B679))),IF($E679&gt;=INDEX(TblClusters[Fermeture retenue],$B679),1,0),0))</f>
        <v/>
      </c>
    </row>
    <row r="680" customFormat="false" ht="15" hidden="false" customHeight="false" outlineLevel="0" collapsed="false">
      <c r="A680" s="14" t="n">
        <v>675</v>
      </c>
      <c r="B680" s="14" t="n">
        <f aca="false">INT(($A680-1)/36)+1</f>
        <v>19</v>
      </c>
      <c r="C680" s="14" t="n">
        <f aca="false">MOD($A680-1,36)+1</f>
        <v>27</v>
      </c>
      <c r="D680" s="14" t="n">
        <f aca="false">IF($C680&gt;p_horizon,0,IFERROR(IF(AND(INDEX(TblClusters[Cluster],$B680)&lt;&gt;"",ISNUMBER(INDEX(TblClusters[CPU initial (vCPU)],$B680)),ISNUMBER(INDEX(TblClusters[CPU min (vCPU)],$B680)),OR(INDEX(TblClusters[Plateforme],$B680)="IKS",INDEX(TblClusters[Plateforme],$B680)="ROKS")),1,0),0))</f>
        <v>0</v>
      </c>
      <c r="E680" s="83" t="str">
        <f aca="false">IF($D680=1,EDATE(p_debut,$C680-1),"")</f>
        <v/>
      </c>
      <c r="F680" s="14" t="str">
        <f aca="false">IF($D680=1,INDEX(TblClusters[Cluster],$B680),"")</f>
        <v/>
      </c>
      <c r="G680" s="14" t="str">
        <f aca="false">IF($D680=1,INDEX(TblClusters[Plateforme],$B680),"")</f>
        <v/>
      </c>
      <c r="H680" s="14" t="str">
        <f aca="false">IF($D680=1,INDEX(TblClusters[vCPU par nœud],$B680),"")</f>
        <v/>
      </c>
      <c r="I680" s="14" t="str">
        <f aca="false">IF($D680=1,INDEX(TblClusters[RAM par nœud (Go)],$B680),"")</f>
        <v/>
      </c>
      <c r="J680" s="14" t="str">
        <f aca="false">IF($D680=1,INDEX(TblClusters[Workers min],$B680),"")</f>
        <v/>
      </c>
      <c r="K680" s="84" t="str">
        <f aca="false">IF($D680=1,INDEX(TblClusters[Tarif par nœud],$B680),"")</f>
        <v/>
      </c>
      <c r="L680" s="14" t="str">
        <f aca="false">IF($D680=1,INDEX(TblClusters[CPU initial (vCPU)],$B680),"")</f>
        <v/>
      </c>
      <c r="M680" s="14" t="str">
        <f aca="false">IF($D680=1,INDEX(TblClusters[RAM initiale (Go)],$B680),"")</f>
        <v/>
      </c>
      <c r="N680" s="14" t="str">
        <f aca="false">IF($D680=1,INDEX(TblClusters[CPU min (vCPU)],$B680),"")</f>
        <v/>
      </c>
      <c r="O680" s="14" t="str">
        <f aca="false">IF($D680=1,INDEX(TblClusters[RAM min (Go)],$B680),"")</f>
        <v/>
      </c>
      <c r="P680" s="14" t="str">
        <f aca="false">IF($D680&lt;&gt;1,"",IF($G680="ROKS",SUMIFS(TblApplications[Besoin ROKS CPU (vCPU)],TblApplications[Cluster ROKS cible],$F680,TblApplications[Action],"À migrer",TblApplications[Déjà incluse ROKS],"Non",TblApplications[Mois prov (calc)],"&lt;="&amp;$E680),SUMIFS(TblApplications[CPU IKS libérable (vCPU)],TblApplications[Cluster IKS source],$F680,TblApplications[Mois lib (calc)],"&lt;="&amp;$E680)))</f>
        <v/>
      </c>
      <c r="Q680" s="14" t="str">
        <f aca="false">IF($D680&lt;&gt;1,"",IF($G680="ROKS",SUMIFS(TblApplications[Besoin ROKS RAM (Go)],TblApplications[Cluster ROKS cible],$F680,TblApplications[Action],"À migrer",TblApplications[Déjà incluse ROKS],"Non",TblApplications[Mois prov (calc)],"&lt;="&amp;$E680),SUMIFS(TblApplications[RAM IKS libérable (Go)],TblApplications[Cluster IKS source],$F680,TblApplications[Mois lib (calc)],"&lt;="&amp;$E680)))</f>
        <v/>
      </c>
      <c r="R680" s="14" t="str">
        <f aca="false">IF($D680&lt;&gt;1,"",IF($G680="ROKS",$L680+$P680,IF($AI680=1,0,MAX($N680,$L680-$P680))))</f>
        <v/>
      </c>
      <c r="S680" s="14" t="str">
        <f aca="false">IF($D680&lt;&gt;1,"",IF($G680="ROKS",$M680+$Q680,IF($AI680=1,0,MAX($O680,$M680-$Q680))))</f>
        <v/>
      </c>
      <c r="T680" s="14" t="str">
        <f aca="false">IF($D680&lt;&gt;1,"",IF($AI680=1,0,MAX($J680,ROUNDUP(MAX($R680/$H680,$S680/$I680),0))))</f>
        <v/>
      </c>
      <c r="U680" s="14" t="str">
        <f aca="false">IF($D680&lt;&gt;1,"",IF(p_mode="Nœud",$T680*$H680,$R680))</f>
        <v/>
      </c>
      <c r="V680" s="14" t="str">
        <f aca="false">IF($D680&lt;&gt;1,"",IF(p_mode="Nœud",$T680*$I680,$S680))</f>
        <v/>
      </c>
      <c r="W680" s="84" t="str">
        <f aca="false">IF($D680&lt;&gt;1,"",IF(p_mode="Nœud",$T680*$K680,$R680*IF($G680="IKS",p_iks_cpu,p_roks_cpu)+$S680*IF($G680="IKS",p_iks_ram,p_roks_ram))*p_facteur)</f>
        <v/>
      </c>
      <c r="X680" s="14" t="str">
        <f aca="false">IF($D680&lt;&gt;1,"",IF($G680="ROKS",$R680,IF($AI680=1,0,MAX($N680,$L680-SUMIFS(TblApplications[CPU IKS libérable (vCPU)],TblApplications[Cluster IKS source],$F680,TblApplications[Action],"À migrer",TblApplications[Mois prov (calc)],"&lt;="&amp;$E680)-SUMIFS(TblApplications[CPU IKS libérable (vCPU)],TblApplications[Cluster IKS source],$F680,TblApplications[Action],"À décommissionner",TblApplications[Mois lib (calc)],"&lt;="&amp;$E680)))))</f>
        <v/>
      </c>
      <c r="Y680" s="14" t="str">
        <f aca="false">IF($D680&lt;&gt;1,"",IF($G680="ROKS",$S680,IF($AI680=1,0,MAX($O680,$M680-SUMIFS(TblApplications[RAM IKS libérable (Go)],TblApplications[Cluster IKS source],$F680,TblApplications[Action],"À migrer",TblApplications[Mois prov (calc)],"&lt;="&amp;$E680)-SUMIFS(TblApplications[RAM IKS libérable (Go)],TblApplications[Cluster IKS source],$F680,TblApplications[Action],"À décommissionner",TblApplications[Mois lib (calc)],"&lt;="&amp;$E680)))))</f>
        <v/>
      </c>
      <c r="Z680" s="14" t="str">
        <f aca="false">IF($D680&lt;&gt;1,"",IF($AI680=1,0,MAX($J680,ROUNDUP(MAX($X680/$H680,$Y680/$I680),0))))</f>
        <v/>
      </c>
      <c r="AA680" s="84" t="str">
        <f aca="false">IF($D680&lt;&gt;1,"",IF(p_mode="Nœud",$Z680*$K680,$X680*IF($G680="IKS",p_iks_cpu,p_roks_cpu)+$Y680*IF($G680="IKS",p_iks_ram,p_roks_ram))*p_facteur)</f>
        <v/>
      </c>
      <c r="AB680" s="14" t="str">
        <f aca="false">IF($D680&lt;&gt;1,"",MAX($J680,ROUNDUP(MAX($L680/$H680,$M680/$I680),0)))</f>
        <v/>
      </c>
      <c r="AC680" s="84" t="str">
        <f aca="false">IF($D680&lt;&gt;1,"",IF(p_mode="Nœud",$AB680*$K680,$L680*IF($G680="IKS",p_iks_cpu,p_roks_cpu)+$M680*IF($G680="IKS",p_iks_ram,p_roks_ram))*p_facteur)</f>
        <v/>
      </c>
      <c r="AD680" s="14" t="str">
        <f aca="false">IF($D680&lt;&gt;1,"",IF(AND($G680="IKS",$AI680&lt;&gt;1,OR($L680-$P680&lt;$N680,$M680-$Q680&lt;$O680)),1,0))</f>
        <v/>
      </c>
      <c r="AE680" s="14" t="str">
        <f aca="false">IF($D680&lt;&gt;1,"",IF(AND($G680="ROKS",$T680&gt;p_maxworkers),1,0))</f>
        <v/>
      </c>
      <c r="AF680" s="14" t="str">
        <f aca="false">IF($D680&lt;&gt;1,"",IF(INDEX(TblClusters[Environnement],$B680)="","(vide)",INDEX(TblClusters[Environnement],$B680)))</f>
        <v/>
      </c>
      <c r="AG680" s="14" t="str">
        <f aca="false">IF($D680&lt;&gt;1,"",$R680+p_poidsram*$S680)</f>
        <v/>
      </c>
      <c r="AH680" s="14" t="str">
        <f aca="false">IF($D680&lt;&gt;1,"",IFERROR($W680/$AG680,0))</f>
        <v/>
      </c>
      <c r="AI680" s="14" t="str">
        <f aca="false">IF($D680&lt;&gt;1,"",IF(AND($G680="IKS",ISNUMBER(INDEX(TblClusters[Fermeture retenue],$B680))),IF($E680&gt;=INDEX(TblClusters[Fermeture retenue],$B680),1,0),0))</f>
        <v/>
      </c>
    </row>
    <row r="681" customFormat="false" ht="15" hidden="false" customHeight="false" outlineLevel="0" collapsed="false">
      <c r="A681" s="14" t="n">
        <v>676</v>
      </c>
      <c r="B681" s="14" t="n">
        <f aca="false">INT(($A681-1)/36)+1</f>
        <v>19</v>
      </c>
      <c r="C681" s="14" t="n">
        <f aca="false">MOD($A681-1,36)+1</f>
        <v>28</v>
      </c>
      <c r="D681" s="14" t="n">
        <f aca="false">IF($C681&gt;p_horizon,0,IFERROR(IF(AND(INDEX(TblClusters[Cluster],$B681)&lt;&gt;"",ISNUMBER(INDEX(TblClusters[CPU initial (vCPU)],$B681)),ISNUMBER(INDEX(TblClusters[CPU min (vCPU)],$B681)),OR(INDEX(TblClusters[Plateforme],$B681)="IKS",INDEX(TblClusters[Plateforme],$B681)="ROKS")),1,0),0))</f>
        <v>0</v>
      </c>
      <c r="E681" s="83" t="str">
        <f aca="false">IF($D681=1,EDATE(p_debut,$C681-1),"")</f>
        <v/>
      </c>
      <c r="F681" s="14" t="str">
        <f aca="false">IF($D681=1,INDEX(TblClusters[Cluster],$B681),"")</f>
        <v/>
      </c>
      <c r="G681" s="14" t="str">
        <f aca="false">IF($D681=1,INDEX(TblClusters[Plateforme],$B681),"")</f>
        <v/>
      </c>
      <c r="H681" s="14" t="str">
        <f aca="false">IF($D681=1,INDEX(TblClusters[vCPU par nœud],$B681),"")</f>
        <v/>
      </c>
      <c r="I681" s="14" t="str">
        <f aca="false">IF($D681=1,INDEX(TblClusters[RAM par nœud (Go)],$B681),"")</f>
        <v/>
      </c>
      <c r="J681" s="14" t="str">
        <f aca="false">IF($D681=1,INDEX(TblClusters[Workers min],$B681),"")</f>
        <v/>
      </c>
      <c r="K681" s="84" t="str">
        <f aca="false">IF($D681=1,INDEX(TblClusters[Tarif par nœud],$B681),"")</f>
        <v/>
      </c>
      <c r="L681" s="14" t="str">
        <f aca="false">IF($D681=1,INDEX(TblClusters[CPU initial (vCPU)],$B681),"")</f>
        <v/>
      </c>
      <c r="M681" s="14" t="str">
        <f aca="false">IF($D681=1,INDEX(TblClusters[RAM initiale (Go)],$B681),"")</f>
        <v/>
      </c>
      <c r="N681" s="14" t="str">
        <f aca="false">IF($D681=1,INDEX(TblClusters[CPU min (vCPU)],$B681),"")</f>
        <v/>
      </c>
      <c r="O681" s="14" t="str">
        <f aca="false">IF($D681=1,INDEX(TblClusters[RAM min (Go)],$B681),"")</f>
        <v/>
      </c>
      <c r="P681" s="14" t="str">
        <f aca="false">IF($D681&lt;&gt;1,"",IF($G681="ROKS",SUMIFS(TblApplications[Besoin ROKS CPU (vCPU)],TblApplications[Cluster ROKS cible],$F681,TblApplications[Action],"À migrer",TblApplications[Déjà incluse ROKS],"Non",TblApplications[Mois prov (calc)],"&lt;="&amp;$E681),SUMIFS(TblApplications[CPU IKS libérable (vCPU)],TblApplications[Cluster IKS source],$F681,TblApplications[Mois lib (calc)],"&lt;="&amp;$E681)))</f>
        <v/>
      </c>
      <c r="Q681" s="14" t="str">
        <f aca="false">IF($D681&lt;&gt;1,"",IF($G681="ROKS",SUMIFS(TblApplications[Besoin ROKS RAM (Go)],TblApplications[Cluster ROKS cible],$F681,TblApplications[Action],"À migrer",TblApplications[Déjà incluse ROKS],"Non",TblApplications[Mois prov (calc)],"&lt;="&amp;$E681),SUMIFS(TblApplications[RAM IKS libérable (Go)],TblApplications[Cluster IKS source],$F681,TblApplications[Mois lib (calc)],"&lt;="&amp;$E681)))</f>
        <v/>
      </c>
      <c r="R681" s="14" t="str">
        <f aca="false">IF($D681&lt;&gt;1,"",IF($G681="ROKS",$L681+$P681,IF($AI681=1,0,MAX($N681,$L681-$P681))))</f>
        <v/>
      </c>
      <c r="S681" s="14" t="str">
        <f aca="false">IF($D681&lt;&gt;1,"",IF($G681="ROKS",$M681+$Q681,IF($AI681=1,0,MAX($O681,$M681-$Q681))))</f>
        <v/>
      </c>
      <c r="T681" s="14" t="str">
        <f aca="false">IF($D681&lt;&gt;1,"",IF($AI681=1,0,MAX($J681,ROUNDUP(MAX($R681/$H681,$S681/$I681),0))))</f>
        <v/>
      </c>
      <c r="U681" s="14" t="str">
        <f aca="false">IF($D681&lt;&gt;1,"",IF(p_mode="Nœud",$T681*$H681,$R681))</f>
        <v/>
      </c>
      <c r="V681" s="14" t="str">
        <f aca="false">IF($D681&lt;&gt;1,"",IF(p_mode="Nœud",$T681*$I681,$S681))</f>
        <v/>
      </c>
      <c r="W681" s="84" t="str">
        <f aca="false">IF($D681&lt;&gt;1,"",IF(p_mode="Nœud",$T681*$K681,$R681*IF($G681="IKS",p_iks_cpu,p_roks_cpu)+$S681*IF($G681="IKS",p_iks_ram,p_roks_ram))*p_facteur)</f>
        <v/>
      </c>
      <c r="X681" s="14" t="str">
        <f aca="false">IF($D681&lt;&gt;1,"",IF($G681="ROKS",$R681,IF($AI681=1,0,MAX($N681,$L681-SUMIFS(TblApplications[CPU IKS libérable (vCPU)],TblApplications[Cluster IKS source],$F681,TblApplications[Action],"À migrer",TblApplications[Mois prov (calc)],"&lt;="&amp;$E681)-SUMIFS(TblApplications[CPU IKS libérable (vCPU)],TblApplications[Cluster IKS source],$F681,TblApplications[Action],"À décommissionner",TblApplications[Mois lib (calc)],"&lt;="&amp;$E681)))))</f>
        <v/>
      </c>
      <c r="Y681" s="14" t="str">
        <f aca="false">IF($D681&lt;&gt;1,"",IF($G681="ROKS",$S681,IF($AI681=1,0,MAX($O681,$M681-SUMIFS(TblApplications[RAM IKS libérable (Go)],TblApplications[Cluster IKS source],$F681,TblApplications[Action],"À migrer",TblApplications[Mois prov (calc)],"&lt;="&amp;$E681)-SUMIFS(TblApplications[RAM IKS libérable (Go)],TblApplications[Cluster IKS source],$F681,TblApplications[Action],"À décommissionner",TblApplications[Mois lib (calc)],"&lt;="&amp;$E681)))))</f>
        <v/>
      </c>
      <c r="Z681" s="14" t="str">
        <f aca="false">IF($D681&lt;&gt;1,"",IF($AI681=1,0,MAX($J681,ROUNDUP(MAX($X681/$H681,$Y681/$I681),0))))</f>
        <v/>
      </c>
      <c r="AA681" s="84" t="str">
        <f aca="false">IF($D681&lt;&gt;1,"",IF(p_mode="Nœud",$Z681*$K681,$X681*IF($G681="IKS",p_iks_cpu,p_roks_cpu)+$Y681*IF($G681="IKS",p_iks_ram,p_roks_ram))*p_facteur)</f>
        <v/>
      </c>
      <c r="AB681" s="14" t="str">
        <f aca="false">IF($D681&lt;&gt;1,"",MAX($J681,ROUNDUP(MAX($L681/$H681,$M681/$I681),0)))</f>
        <v/>
      </c>
      <c r="AC681" s="84" t="str">
        <f aca="false">IF($D681&lt;&gt;1,"",IF(p_mode="Nœud",$AB681*$K681,$L681*IF($G681="IKS",p_iks_cpu,p_roks_cpu)+$M681*IF($G681="IKS",p_iks_ram,p_roks_ram))*p_facteur)</f>
        <v/>
      </c>
      <c r="AD681" s="14" t="str">
        <f aca="false">IF($D681&lt;&gt;1,"",IF(AND($G681="IKS",$AI681&lt;&gt;1,OR($L681-$P681&lt;$N681,$M681-$Q681&lt;$O681)),1,0))</f>
        <v/>
      </c>
      <c r="AE681" s="14" t="str">
        <f aca="false">IF($D681&lt;&gt;1,"",IF(AND($G681="ROKS",$T681&gt;p_maxworkers),1,0))</f>
        <v/>
      </c>
      <c r="AF681" s="14" t="str">
        <f aca="false">IF($D681&lt;&gt;1,"",IF(INDEX(TblClusters[Environnement],$B681)="","(vide)",INDEX(TblClusters[Environnement],$B681)))</f>
        <v/>
      </c>
      <c r="AG681" s="14" t="str">
        <f aca="false">IF($D681&lt;&gt;1,"",$R681+p_poidsram*$S681)</f>
        <v/>
      </c>
      <c r="AH681" s="14" t="str">
        <f aca="false">IF($D681&lt;&gt;1,"",IFERROR($W681/$AG681,0))</f>
        <v/>
      </c>
      <c r="AI681" s="14" t="str">
        <f aca="false">IF($D681&lt;&gt;1,"",IF(AND($G681="IKS",ISNUMBER(INDEX(TblClusters[Fermeture retenue],$B681))),IF($E681&gt;=INDEX(TblClusters[Fermeture retenue],$B681),1,0),0))</f>
        <v/>
      </c>
    </row>
    <row r="682" customFormat="false" ht="15" hidden="false" customHeight="false" outlineLevel="0" collapsed="false">
      <c r="A682" s="14" t="n">
        <v>677</v>
      </c>
      <c r="B682" s="14" t="n">
        <f aca="false">INT(($A682-1)/36)+1</f>
        <v>19</v>
      </c>
      <c r="C682" s="14" t="n">
        <f aca="false">MOD($A682-1,36)+1</f>
        <v>29</v>
      </c>
      <c r="D682" s="14" t="n">
        <f aca="false">IF($C682&gt;p_horizon,0,IFERROR(IF(AND(INDEX(TblClusters[Cluster],$B682)&lt;&gt;"",ISNUMBER(INDEX(TblClusters[CPU initial (vCPU)],$B682)),ISNUMBER(INDEX(TblClusters[CPU min (vCPU)],$B682)),OR(INDEX(TblClusters[Plateforme],$B682)="IKS",INDEX(TblClusters[Plateforme],$B682)="ROKS")),1,0),0))</f>
        <v>0</v>
      </c>
      <c r="E682" s="83" t="str">
        <f aca="false">IF($D682=1,EDATE(p_debut,$C682-1),"")</f>
        <v/>
      </c>
      <c r="F682" s="14" t="str">
        <f aca="false">IF($D682=1,INDEX(TblClusters[Cluster],$B682),"")</f>
        <v/>
      </c>
      <c r="G682" s="14" t="str">
        <f aca="false">IF($D682=1,INDEX(TblClusters[Plateforme],$B682),"")</f>
        <v/>
      </c>
      <c r="H682" s="14" t="str">
        <f aca="false">IF($D682=1,INDEX(TblClusters[vCPU par nœud],$B682),"")</f>
        <v/>
      </c>
      <c r="I682" s="14" t="str">
        <f aca="false">IF($D682=1,INDEX(TblClusters[RAM par nœud (Go)],$B682),"")</f>
        <v/>
      </c>
      <c r="J682" s="14" t="str">
        <f aca="false">IF($D682=1,INDEX(TblClusters[Workers min],$B682),"")</f>
        <v/>
      </c>
      <c r="K682" s="84" t="str">
        <f aca="false">IF($D682=1,INDEX(TblClusters[Tarif par nœud],$B682),"")</f>
        <v/>
      </c>
      <c r="L682" s="14" t="str">
        <f aca="false">IF($D682=1,INDEX(TblClusters[CPU initial (vCPU)],$B682),"")</f>
        <v/>
      </c>
      <c r="M682" s="14" t="str">
        <f aca="false">IF($D682=1,INDEX(TblClusters[RAM initiale (Go)],$B682),"")</f>
        <v/>
      </c>
      <c r="N682" s="14" t="str">
        <f aca="false">IF($D682=1,INDEX(TblClusters[CPU min (vCPU)],$B682),"")</f>
        <v/>
      </c>
      <c r="O682" s="14" t="str">
        <f aca="false">IF($D682=1,INDEX(TblClusters[RAM min (Go)],$B682),"")</f>
        <v/>
      </c>
      <c r="P682" s="14" t="str">
        <f aca="false">IF($D682&lt;&gt;1,"",IF($G682="ROKS",SUMIFS(TblApplications[Besoin ROKS CPU (vCPU)],TblApplications[Cluster ROKS cible],$F682,TblApplications[Action],"À migrer",TblApplications[Déjà incluse ROKS],"Non",TblApplications[Mois prov (calc)],"&lt;="&amp;$E682),SUMIFS(TblApplications[CPU IKS libérable (vCPU)],TblApplications[Cluster IKS source],$F682,TblApplications[Mois lib (calc)],"&lt;="&amp;$E682)))</f>
        <v/>
      </c>
      <c r="Q682" s="14" t="str">
        <f aca="false">IF($D682&lt;&gt;1,"",IF($G682="ROKS",SUMIFS(TblApplications[Besoin ROKS RAM (Go)],TblApplications[Cluster ROKS cible],$F682,TblApplications[Action],"À migrer",TblApplications[Déjà incluse ROKS],"Non",TblApplications[Mois prov (calc)],"&lt;="&amp;$E682),SUMIFS(TblApplications[RAM IKS libérable (Go)],TblApplications[Cluster IKS source],$F682,TblApplications[Mois lib (calc)],"&lt;="&amp;$E682)))</f>
        <v/>
      </c>
      <c r="R682" s="14" t="str">
        <f aca="false">IF($D682&lt;&gt;1,"",IF($G682="ROKS",$L682+$P682,IF($AI682=1,0,MAX($N682,$L682-$P682))))</f>
        <v/>
      </c>
      <c r="S682" s="14" t="str">
        <f aca="false">IF($D682&lt;&gt;1,"",IF($G682="ROKS",$M682+$Q682,IF($AI682=1,0,MAX($O682,$M682-$Q682))))</f>
        <v/>
      </c>
      <c r="T682" s="14" t="str">
        <f aca="false">IF($D682&lt;&gt;1,"",IF($AI682=1,0,MAX($J682,ROUNDUP(MAX($R682/$H682,$S682/$I682),0))))</f>
        <v/>
      </c>
      <c r="U682" s="14" t="str">
        <f aca="false">IF($D682&lt;&gt;1,"",IF(p_mode="Nœud",$T682*$H682,$R682))</f>
        <v/>
      </c>
      <c r="V682" s="14" t="str">
        <f aca="false">IF($D682&lt;&gt;1,"",IF(p_mode="Nœud",$T682*$I682,$S682))</f>
        <v/>
      </c>
      <c r="W682" s="84" t="str">
        <f aca="false">IF($D682&lt;&gt;1,"",IF(p_mode="Nœud",$T682*$K682,$R682*IF($G682="IKS",p_iks_cpu,p_roks_cpu)+$S682*IF($G682="IKS",p_iks_ram,p_roks_ram))*p_facteur)</f>
        <v/>
      </c>
      <c r="X682" s="14" t="str">
        <f aca="false">IF($D682&lt;&gt;1,"",IF($G682="ROKS",$R682,IF($AI682=1,0,MAX($N682,$L682-SUMIFS(TblApplications[CPU IKS libérable (vCPU)],TblApplications[Cluster IKS source],$F682,TblApplications[Action],"À migrer",TblApplications[Mois prov (calc)],"&lt;="&amp;$E682)-SUMIFS(TblApplications[CPU IKS libérable (vCPU)],TblApplications[Cluster IKS source],$F682,TblApplications[Action],"À décommissionner",TblApplications[Mois lib (calc)],"&lt;="&amp;$E682)))))</f>
        <v/>
      </c>
      <c r="Y682" s="14" t="str">
        <f aca="false">IF($D682&lt;&gt;1,"",IF($G682="ROKS",$S682,IF($AI682=1,0,MAX($O682,$M682-SUMIFS(TblApplications[RAM IKS libérable (Go)],TblApplications[Cluster IKS source],$F682,TblApplications[Action],"À migrer",TblApplications[Mois prov (calc)],"&lt;="&amp;$E682)-SUMIFS(TblApplications[RAM IKS libérable (Go)],TblApplications[Cluster IKS source],$F682,TblApplications[Action],"À décommissionner",TblApplications[Mois lib (calc)],"&lt;="&amp;$E682)))))</f>
        <v/>
      </c>
      <c r="Z682" s="14" t="str">
        <f aca="false">IF($D682&lt;&gt;1,"",IF($AI682=1,0,MAX($J682,ROUNDUP(MAX($X682/$H682,$Y682/$I682),0))))</f>
        <v/>
      </c>
      <c r="AA682" s="84" t="str">
        <f aca="false">IF($D682&lt;&gt;1,"",IF(p_mode="Nœud",$Z682*$K682,$X682*IF($G682="IKS",p_iks_cpu,p_roks_cpu)+$Y682*IF($G682="IKS",p_iks_ram,p_roks_ram))*p_facteur)</f>
        <v/>
      </c>
      <c r="AB682" s="14" t="str">
        <f aca="false">IF($D682&lt;&gt;1,"",MAX($J682,ROUNDUP(MAX($L682/$H682,$M682/$I682),0)))</f>
        <v/>
      </c>
      <c r="AC682" s="84" t="str">
        <f aca="false">IF($D682&lt;&gt;1,"",IF(p_mode="Nœud",$AB682*$K682,$L682*IF($G682="IKS",p_iks_cpu,p_roks_cpu)+$M682*IF($G682="IKS",p_iks_ram,p_roks_ram))*p_facteur)</f>
        <v/>
      </c>
      <c r="AD682" s="14" t="str">
        <f aca="false">IF($D682&lt;&gt;1,"",IF(AND($G682="IKS",$AI682&lt;&gt;1,OR($L682-$P682&lt;$N682,$M682-$Q682&lt;$O682)),1,0))</f>
        <v/>
      </c>
      <c r="AE682" s="14" t="str">
        <f aca="false">IF($D682&lt;&gt;1,"",IF(AND($G682="ROKS",$T682&gt;p_maxworkers),1,0))</f>
        <v/>
      </c>
      <c r="AF682" s="14" t="str">
        <f aca="false">IF($D682&lt;&gt;1,"",IF(INDEX(TblClusters[Environnement],$B682)="","(vide)",INDEX(TblClusters[Environnement],$B682)))</f>
        <v/>
      </c>
      <c r="AG682" s="14" t="str">
        <f aca="false">IF($D682&lt;&gt;1,"",$R682+p_poidsram*$S682)</f>
        <v/>
      </c>
      <c r="AH682" s="14" t="str">
        <f aca="false">IF($D682&lt;&gt;1,"",IFERROR($W682/$AG682,0))</f>
        <v/>
      </c>
      <c r="AI682" s="14" t="str">
        <f aca="false">IF($D682&lt;&gt;1,"",IF(AND($G682="IKS",ISNUMBER(INDEX(TblClusters[Fermeture retenue],$B682))),IF($E682&gt;=INDEX(TblClusters[Fermeture retenue],$B682),1,0),0))</f>
        <v/>
      </c>
    </row>
    <row r="683" customFormat="false" ht="15" hidden="false" customHeight="false" outlineLevel="0" collapsed="false">
      <c r="A683" s="14" t="n">
        <v>678</v>
      </c>
      <c r="B683" s="14" t="n">
        <f aca="false">INT(($A683-1)/36)+1</f>
        <v>19</v>
      </c>
      <c r="C683" s="14" t="n">
        <f aca="false">MOD($A683-1,36)+1</f>
        <v>30</v>
      </c>
      <c r="D683" s="14" t="n">
        <f aca="false">IF($C683&gt;p_horizon,0,IFERROR(IF(AND(INDEX(TblClusters[Cluster],$B683)&lt;&gt;"",ISNUMBER(INDEX(TblClusters[CPU initial (vCPU)],$B683)),ISNUMBER(INDEX(TblClusters[CPU min (vCPU)],$B683)),OR(INDEX(TblClusters[Plateforme],$B683)="IKS",INDEX(TblClusters[Plateforme],$B683)="ROKS")),1,0),0))</f>
        <v>0</v>
      </c>
      <c r="E683" s="83" t="str">
        <f aca="false">IF($D683=1,EDATE(p_debut,$C683-1),"")</f>
        <v/>
      </c>
      <c r="F683" s="14" t="str">
        <f aca="false">IF($D683=1,INDEX(TblClusters[Cluster],$B683),"")</f>
        <v/>
      </c>
      <c r="G683" s="14" t="str">
        <f aca="false">IF($D683=1,INDEX(TblClusters[Plateforme],$B683),"")</f>
        <v/>
      </c>
      <c r="H683" s="14" t="str">
        <f aca="false">IF($D683=1,INDEX(TblClusters[vCPU par nœud],$B683),"")</f>
        <v/>
      </c>
      <c r="I683" s="14" t="str">
        <f aca="false">IF($D683=1,INDEX(TblClusters[RAM par nœud (Go)],$B683),"")</f>
        <v/>
      </c>
      <c r="J683" s="14" t="str">
        <f aca="false">IF($D683=1,INDEX(TblClusters[Workers min],$B683),"")</f>
        <v/>
      </c>
      <c r="K683" s="84" t="str">
        <f aca="false">IF($D683=1,INDEX(TblClusters[Tarif par nœud],$B683),"")</f>
        <v/>
      </c>
      <c r="L683" s="14" t="str">
        <f aca="false">IF($D683=1,INDEX(TblClusters[CPU initial (vCPU)],$B683),"")</f>
        <v/>
      </c>
      <c r="M683" s="14" t="str">
        <f aca="false">IF($D683=1,INDEX(TblClusters[RAM initiale (Go)],$B683),"")</f>
        <v/>
      </c>
      <c r="N683" s="14" t="str">
        <f aca="false">IF($D683=1,INDEX(TblClusters[CPU min (vCPU)],$B683),"")</f>
        <v/>
      </c>
      <c r="O683" s="14" t="str">
        <f aca="false">IF($D683=1,INDEX(TblClusters[RAM min (Go)],$B683),"")</f>
        <v/>
      </c>
      <c r="P683" s="14" t="str">
        <f aca="false">IF($D683&lt;&gt;1,"",IF($G683="ROKS",SUMIFS(TblApplications[Besoin ROKS CPU (vCPU)],TblApplications[Cluster ROKS cible],$F683,TblApplications[Action],"À migrer",TblApplications[Déjà incluse ROKS],"Non",TblApplications[Mois prov (calc)],"&lt;="&amp;$E683),SUMIFS(TblApplications[CPU IKS libérable (vCPU)],TblApplications[Cluster IKS source],$F683,TblApplications[Mois lib (calc)],"&lt;="&amp;$E683)))</f>
        <v/>
      </c>
      <c r="Q683" s="14" t="str">
        <f aca="false">IF($D683&lt;&gt;1,"",IF($G683="ROKS",SUMIFS(TblApplications[Besoin ROKS RAM (Go)],TblApplications[Cluster ROKS cible],$F683,TblApplications[Action],"À migrer",TblApplications[Déjà incluse ROKS],"Non",TblApplications[Mois prov (calc)],"&lt;="&amp;$E683),SUMIFS(TblApplications[RAM IKS libérable (Go)],TblApplications[Cluster IKS source],$F683,TblApplications[Mois lib (calc)],"&lt;="&amp;$E683)))</f>
        <v/>
      </c>
      <c r="R683" s="14" t="str">
        <f aca="false">IF($D683&lt;&gt;1,"",IF($G683="ROKS",$L683+$P683,IF($AI683=1,0,MAX($N683,$L683-$P683))))</f>
        <v/>
      </c>
      <c r="S683" s="14" t="str">
        <f aca="false">IF($D683&lt;&gt;1,"",IF($G683="ROKS",$M683+$Q683,IF($AI683=1,0,MAX($O683,$M683-$Q683))))</f>
        <v/>
      </c>
      <c r="T683" s="14" t="str">
        <f aca="false">IF($D683&lt;&gt;1,"",IF($AI683=1,0,MAX($J683,ROUNDUP(MAX($R683/$H683,$S683/$I683),0))))</f>
        <v/>
      </c>
      <c r="U683" s="14" t="str">
        <f aca="false">IF($D683&lt;&gt;1,"",IF(p_mode="Nœud",$T683*$H683,$R683))</f>
        <v/>
      </c>
      <c r="V683" s="14" t="str">
        <f aca="false">IF($D683&lt;&gt;1,"",IF(p_mode="Nœud",$T683*$I683,$S683))</f>
        <v/>
      </c>
      <c r="W683" s="84" t="str">
        <f aca="false">IF($D683&lt;&gt;1,"",IF(p_mode="Nœud",$T683*$K683,$R683*IF($G683="IKS",p_iks_cpu,p_roks_cpu)+$S683*IF($G683="IKS",p_iks_ram,p_roks_ram))*p_facteur)</f>
        <v/>
      </c>
      <c r="X683" s="14" t="str">
        <f aca="false">IF($D683&lt;&gt;1,"",IF($G683="ROKS",$R683,IF($AI683=1,0,MAX($N683,$L683-SUMIFS(TblApplications[CPU IKS libérable (vCPU)],TblApplications[Cluster IKS source],$F683,TblApplications[Action],"À migrer",TblApplications[Mois prov (calc)],"&lt;="&amp;$E683)-SUMIFS(TblApplications[CPU IKS libérable (vCPU)],TblApplications[Cluster IKS source],$F683,TblApplications[Action],"À décommissionner",TblApplications[Mois lib (calc)],"&lt;="&amp;$E683)))))</f>
        <v/>
      </c>
      <c r="Y683" s="14" t="str">
        <f aca="false">IF($D683&lt;&gt;1,"",IF($G683="ROKS",$S683,IF($AI683=1,0,MAX($O683,$M683-SUMIFS(TblApplications[RAM IKS libérable (Go)],TblApplications[Cluster IKS source],$F683,TblApplications[Action],"À migrer",TblApplications[Mois prov (calc)],"&lt;="&amp;$E683)-SUMIFS(TblApplications[RAM IKS libérable (Go)],TblApplications[Cluster IKS source],$F683,TblApplications[Action],"À décommissionner",TblApplications[Mois lib (calc)],"&lt;="&amp;$E683)))))</f>
        <v/>
      </c>
      <c r="Z683" s="14" t="str">
        <f aca="false">IF($D683&lt;&gt;1,"",IF($AI683=1,0,MAX($J683,ROUNDUP(MAX($X683/$H683,$Y683/$I683),0))))</f>
        <v/>
      </c>
      <c r="AA683" s="84" t="str">
        <f aca="false">IF($D683&lt;&gt;1,"",IF(p_mode="Nœud",$Z683*$K683,$X683*IF($G683="IKS",p_iks_cpu,p_roks_cpu)+$Y683*IF($G683="IKS",p_iks_ram,p_roks_ram))*p_facteur)</f>
        <v/>
      </c>
      <c r="AB683" s="14" t="str">
        <f aca="false">IF($D683&lt;&gt;1,"",MAX($J683,ROUNDUP(MAX($L683/$H683,$M683/$I683),0)))</f>
        <v/>
      </c>
      <c r="AC683" s="84" t="str">
        <f aca="false">IF($D683&lt;&gt;1,"",IF(p_mode="Nœud",$AB683*$K683,$L683*IF($G683="IKS",p_iks_cpu,p_roks_cpu)+$M683*IF($G683="IKS",p_iks_ram,p_roks_ram))*p_facteur)</f>
        <v/>
      </c>
      <c r="AD683" s="14" t="str">
        <f aca="false">IF($D683&lt;&gt;1,"",IF(AND($G683="IKS",$AI683&lt;&gt;1,OR($L683-$P683&lt;$N683,$M683-$Q683&lt;$O683)),1,0))</f>
        <v/>
      </c>
      <c r="AE683" s="14" t="str">
        <f aca="false">IF($D683&lt;&gt;1,"",IF(AND($G683="ROKS",$T683&gt;p_maxworkers),1,0))</f>
        <v/>
      </c>
      <c r="AF683" s="14" t="str">
        <f aca="false">IF($D683&lt;&gt;1,"",IF(INDEX(TblClusters[Environnement],$B683)="","(vide)",INDEX(TblClusters[Environnement],$B683)))</f>
        <v/>
      </c>
      <c r="AG683" s="14" t="str">
        <f aca="false">IF($D683&lt;&gt;1,"",$R683+p_poidsram*$S683)</f>
        <v/>
      </c>
      <c r="AH683" s="14" t="str">
        <f aca="false">IF($D683&lt;&gt;1,"",IFERROR($W683/$AG683,0))</f>
        <v/>
      </c>
      <c r="AI683" s="14" t="str">
        <f aca="false">IF($D683&lt;&gt;1,"",IF(AND($G683="IKS",ISNUMBER(INDEX(TblClusters[Fermeture retenue],$B683))),IF($E683&gt;=INDEX(TblClusters[Fermeture retenue],$B683),1,0),0))</f>
        <v/>
      </c>
    </row>
    <row r="684" customFormat="false" ht="15" hidden="false" customHeight="false" outlineLevel="0" collapsed="false">
      <c r="A684" s="14" t="n">
        <v>679</v>
      </c>
      <c r="B684" s="14" t="n">
        <f aca="false">INT(($A684-1)/36)+1</f>
        <v>19</v>
      </c>
      <c r="C684" s="14" t="n">
        <f aca="false">MOD($A684-1,36)+1</f>
        <v>31</v>
      </c>
      <c r="D684" s="14" t="n">
        <f aca="false">IF($C684&gt;p_horizon,0,IFERROR(IF(AND(INDEX(TblClusters[Cluster],$B684)&lt;&gt;"",ISNUMBER(INDEX(TblClusters[CPU initial (vCPU)],$B684)),ISNUMBER(INDEX(TblClusters[CPU min (vCPU)],$B684)),OR(INDEX(TblClusters[Plateforme],$B684)="IKS",INDEX(TblClusters[Plateforme],$B684)="ROKS")),1,0),0))</f>
        <v>0</v>
      </c>
      <c r="E684" s="83" t="str">
        <f aca="false">IF($D684=1,EDATE(p_debut,$C684-1),"")</f>
        <v/>
      </c>
      <c r="F684" s="14" t="str">
        <f aca="false">IF($D684=1,INDEX(TblClusters[Cluster],$B684),"")</f>
        <v/>
      </c>
      <c r="G684" s="14" t="str">
        <f aca="false">IF($D684=1,INDEX(TblClusters[Plateforme],$B684),"")</f>
        <v/>
      </c>
      <c r="H684" s="14" t="str">
        <f aca="false">IF($D684=1,INDEX(TblClusters[vCPU par nœud],$B684),"")</f>
        <v/>
      </c>
      <c r="I684" s="14" t="str">
        <f aca="false">IF($D684=1,INDEX(TblClusters[RAM par nœud (Go)],$B684),"")</f>
        <v/>
      </c>
      <c r="J684" s="14" t="str">
        <f aca="false">IF($D684=1,INDEX(TblClusters[Workers min],$B684),"")</f>
        <v/>
      </c>
      <c r="K684" s="84" t="str">
        <f aca="false">IF($D684=1,INDEX(TblClusters[Tarif par nœud],$B684),"")</f>
        <v/>
      </c>
      <c r="L684" s="14" t="str">
        <f aca="false">IF($D684=1,INDEX(TblClusters[CPU initial (vCPU)],$B684),"")</f>
        <v/>
      </c>
      <c r="M684" s="14" t="str">
        <f aca="false">IF($D684=1,INDEX(TblClusters[RAM initiale (Go)],$B684),"")</f>
        <v/>
      </c>
      <c r="N684" s="14" t="str">
        <f aca="false">IF($D684=1,INDEX(TblClusters[CPU min (vCPU)],$B684),"")</f>
        <v/>
      </c>
      <c r="O684" s="14" t="str">
        <f aca="false">IF($D684=1,INDEX(TblClusters[RAM min (Go)],$B684),"")</f>
        <v/>
      </c>
      <c r="P684" s="14" t="str">
        <f aca="false">IF($D684&lt;&gt;1,"",IF($G684="ROKS",SUMIFS(TblApplications[Besoin ROKS CPU (vCPU)],TblApplications[Cluster ROKS cible],$F684,TblApplications[Action],"À migrer",TblApplications[Déjà incluse ROKS],"Non",TblApplications[Mois prov (calc)],"&lt;="&amp;$E684),SUMIFS(TblApplications[CPU IKS libérable (vCPU)],TblApplications[Cluster IKS source],$F684,TblApplications[Mois lib (calc)],"&lt;="&amp;$E684)))</f>
        <v/>
      </c>
      <c r="Q684" s="14" t="str">
        <f aca="false">IF($D684&lt;&gt;1,"",IF($G684="ROKS",SUMIFS(TblApplications[Besoin ROKS RAM (Go)],TblApplications[Cluster ROKS cible],$F684,TblApplications[Action],"À migrer",TblApplications[Déjà incluse ROKS],"Non",TblApplications[Mois prov (calc)],"&lt;="&amp;$E684),SUMIFS(TblApplications[RAM IKS libérable (Go)],TblApplications[Cluster IKS source],$F684,TblApplications[Mois lib (calc)],"&lt;="&amp;$E684)))</f>
        <v/>
      </c>
      <c r="R684" s="14" t="str">
        <f aca="false">IF($D684&lt;&gt;1,"",IF($G684="ROKS",$L684+$P684,IF($AI684=1,0,MAX($N684,$L684-$P684))))</f>
        <v/>
      </c>
      <c r="S684" s="14" t="str">
        <f aca="false">IF($D684&lt;&gt;1,"",IF($G684="ROKS",$M684+$Q684,IF($AI684=1,0,MAX($O684,$M684-$Q684))))</f>
        <v/>
      </c>
      <c r="T684" s="14" t="str">
        <f aca="false">IF($D684&lt;&gt;1,"",IF($AI684=1,0,MAX($J684,ROUNDUP(MAX($R684/$H684,$S684/$I684),0))))</f>
        <v/>
      </c>
      <c r="U684" s="14" t="str">
        <f aca="false">IF($D684&lt;&gt;1,"",IF(p_mode="Nœud",$T684*$H684,$R684))</f>
        <v/>
      </c>
      <c r="V684" s="14" t="str">
        <f aca="false">IF($D684&lt;&gt;1,"",IF(p_mode="Nœud",$T684*$I684,$S684))</f>
        <v/>
      </c>
      <c r="W684" s="84" t="str">
        <f aca="false">IF($D684&lt;&gt;1,"",IF(p_mode="Nœud",$T684*$K684,$R684*IF($G684="IKS",p_iks_cpu,p_roks_cpu)+$S684*IF($G684="IKS",p_iks_ram,p_roks_ram))*p_facteur)</f>
        <v/>
      </c>
      <c r="X684" s="14" t="str">
        <f aca="false">IF($D684&lt;&gt;1,"",IF($G684="ROKS",$R684,IF($AI684=1,0,MAX($N684,$L684-SUMIFS(TblApplications[CPU IKS libérable (vCPU)],TblApplications[Cluster IKS source],$F684,TblApplications[Action],"À migrer",TblApplications[Mois prov (calc)],"&lt;="&amp;$E684)-SUMIFS(TblApplications[CPU IKS libérable (vCPU)],TblApplications[Cluster IKS source],$F684,TblApplications[Action],"À décommissionner",TblApplications[Mois lib (calc)],"&lt;="&amp;$E684)))))</f>
        <v/>
      </c>
      <c r="Y684" s="14" t="str">
        <f aca="false">IF($D684&lt;&gt;1,"",IF($G684="ROKS",$S684,IF($AI684=1,0,MAX($O684,$M684-SUMIFS(TblApplications[RAM IKS libérable (Go)],TblApplications[Cluster IKS source],$F684,TblApplications[Action],"À migrer",TblApplications[Mois prov (calc)],"&lt;="&amp;$E684)-SUMIFS(TblApplications[RAM IKS libérable (Go)],TblApplications[Cluster IKS source],$F684,TblApplications[Action],"À décommissionner",TblApplications[Mois lib (calc)],"&lt;="&amp;$E684)))))</f>
        <v/>
      </c>
      <c r="Z684" s="14" t="str">
        <f aca="false">IF($D684&lt;&gt;1,"",IF($AI684=1,0,MAX($J684,ROUNDUP(MAX($X684/$H684,$Y684/$I684),0))))</f>
        <v/>
      </c>
      <c r="AA684" s="84" t="str">
        <f aca="false">IF($D684&lt;&gt;1,"",IF(p_mode="Nœud",$Z684*$K684,$X684*IF($G684="IKS",p_iks_cpu,p_roks_cpu)+$Y684*IF($G684="IKS",p_iks_ram,p_roks_ram))*p_facteur)</f>
        <v/>
      </c>
      <c r="AB684" s="14" t="str">
        <f aca="false">IF($D684&lt;&gt;1,"",MAX($J684,ROUNDUP(MAX($L684/$H684,$M684/$I684),0)))</f>
        <v/>
      </c>
      <c r="AC684" s="84" t="str">
        <f aca="false">IF($D684&lt;&gt;1,"",IF(p_mode="Nœud",$AB684*$K684,$L684*IF($G684="IKS",p_iks_cpu,p_roks_cpu)+$M684*IF($G684="IKS",p_iks_ram,p_roks_ram))*p_facteur)</f>
        <v/>
      </c>
      <c r="AD684" s="14" t="str">
        <f aca="false">IF($D684&lt;&gt;1,"",IF(AND($G684="IKS",$AI684&lt;&gt;1,OR($L684-$P684&lt;$N684,$M684-$Q684&lt;$O684)),1,0))</f>
        <v/>
      </c>
      <c r="AE684" s="14" t="str">
        <f aca="false">IF($D684&lt;&gt;1,"",IF(AND($G684="ROKS",$T684&gt;p_maxworkers),1,0))</f>
        <v/>
      </c>
      <c r="AF684" s="14" t="str">
        <f aca="false">IF($D684&lt;&gt;1,"",IF(INDEX(TblClusters[Environnement],$B684)="","(vide)",INDEX(TblClusters[Environnement],$B684)))</f>
        <v/>
      </c>
      <c r="AG684" s="14" t="str">
        <f aca="false">IF($D684&lt;&gt;1,"",$R684+p_poidsram*$S684)</f>
        <v/>
      </c>
      <c r="AH684" s="14" t="str">
        <f aca="false">IF($D684&lt;&gt;1,"",IFERROR($W684/$AG684,0))</f>
        <v/>
      </c>
      <c r="AI684" s="14" t="str">
        <f aca="false">IF($D684&lt;&gt;1,"",IF(AND($G684="IKS",ISNUMBER(INDEX(TblClusters[Fermeture retenue],$B684))),IF($E684&gt;=INDEX(TblClusters[Fermeture retenue],$B684),1,0),0))</f>
        <v/>
      </c>
    </row>
    <row r="685" customFormat="false" ht="15" hidden="false" customHeight="false" outlineLevel="0" collapsed="false">
      <c r="A685" s="14" t="n">
        <v>680</v>
      </c>
      <c r="B685" s="14" t="n">
        <f aca="false">INT(($A685-1)/36)+1</f>
        <v>19</v>
      </c>
      <c r="C685" s="14" t="n">
        <f aca="false">MOD($A685-1,36)+1</f>
        <v>32</v>
      </c>
      <c r="D685" s="14" t="n">
        <f aca="false">IF($C685&gt;p_horizon,0,IFERROR(IF(AND(INDEX(TblClusters[Cluster],$B685)&lt;&gt;"",ISNUMBER(INDEX(TblClusters[CPU initial (vCPU)],$B685)),ISNUMBER(INDEX(TblClusters[CPU min (vCPU)],$B685)),OR(INDEX(TblClusters[Plateforme],$B685)="IKS",INDEX(TblClusters[Plateforme],$B685)="ROKS")),1,0),0))</f>
        <v>0</v>
      </c>
      <c r="E685" s="83" t="str">
        <f aca="false">IF($D685=1,EDATE(p_debut,$C685-1),"")</f>
        <v/>
      </c>
      <c r="F685" s="14" t="str">
        <f aca="false">IF($D685=1,INDEX(TblClusters[Cluster],$B685),"")</f>
        <v/>
      </c>
      <c r="G685" s="14" t="str">
        <f aca="false">IF($D685=1,INDEX(TblClusters[Plateforme],$B685),"")</f>
        <v/>
      </c>
      <c r="H685" s="14" t="str">
        <f aca="false">IF($D685=1,INDEX(TblClusters[vCPU par nœud],$B685),"")</f>
        <v/>
      </c>
      <c r="I685" s="14" t="str">
        <f aca="false">IF($D685=1,INDEX(TblClusters[RAM par nœud (Go)],$B685),"")</f>
        <v/>
      </c>
      <c r="J685" s="14" t="str">
        <f aca="false">IF($D685=1,INDEX(TblClusters[Workers min],$B685),"")</f>
        <v/>
      </c>
      <c r="K685" s="84" t="str">
        <f aca="false">IF($D685=1,INDEX(TblClusters[Tarif par nœud],$B685),"")</f>
        <v/>
      </c>
      <c r="L685" s="14" t="str">
        <f aca="false">IF($D685=1,INDEX(TblClusters[CPU initial (vCPU)],$B685),"")</f>
        <v/>
      </c>
      <c r="M685" s="14" t="str">
        <f aca="false">IF($D685=1,INDEX(TblClusters[RAM initiale (Go)],$B685),"")</f>
        <v/>
      </c>
      <c r="N685" s="14" t="str">
        <f aca="false">IF($D685=1,INDEX(TblClusters[CPU min (vCPU)],$B685),"")</f>
        <v/>
      </c>
      <c r="O685" s="14" t="str">
        <f aca="false">IF($D685=1,INDEX(TblClusters[RAM min (Go)],$B685),"")</f>
        <v/>
      </c>
      <c r="P685" s="14" t="str">
        <f aca="false">IF($D685&lt;&gt;1,"",IF($G685="ROKS",SUMIFS(TblApplications[Besoin ROKS CPU (vCPU)],TblApplications[Cluster ROKS cible],$F685,TblApplications[Action],"À migrer",TblApplications[Déjà incluse ROKS],"Non",TblApplications[Mois prov (calc)],"&lt;="&amp;$E685),SUMIFS(TblApplications[CPU IKS libérable (vCPU)],TblApplications[Cluster IKS source],$F685,TblApplications[Mois lib (calc)],"&lt;="&amp;$E685)))</f>
        <v/>
      </c>
      <c r="Q685" s="14" t="str">
        <f aca="false">IF($D685&lt;&gt;1,"",IF($G685="ROKS",SUMIFS(TblApplications[Besoin ROKS RAM (Go)],TblApplications[Cluster ROKS cible],$F685,TblApplications[Action],"À migrer",TblApplications[Déjà incluse ROKS],"Non",TblApplications[Mois prov (calc)],"&lt;="&amp;$E685),SUMIFS(TblApplications[RAM IKS libérable (Go)],TblApplications[Cluster IKS source],$F685,TblApplications[Mois lib (calc)],"&lt;="&amp;$E685)))</f>
        <v/>
      </c>
      <c r="R685" s="14" t="str">
        <f aca="false">IF($D685&lt;&gt;1,"",IF($G685="ROKS",$L685+$P685,IF($AI685=1,0,MAX($N685,$L685-$P685))))</f>
        <v/>
      </c>
      <c r="S685" s="14" t="str">
        <f aca="false">IF($D685&lt;&gt;1,"",IF($G685="ROKS",$M685+$Q685,IF($AI685=1,0,MAX($O685,$M685-$Q685))))</f>
        <v/>
      </c>
      <c r="T685" s="14" t="str">
        <f aca="false">IF($D685&lt;&gt;1,"",IF($AI685=1,0,MAX($J685,ROUNDUP(MAX($R685/$H685,$S685/$I685),0))))</f>
        <v/>
      </c>
      <c r="U685" s="14" t="str">
        <f aca="false">IF($D685&lt;&gt;1,"",IF(p_mode="Nœud",$T685*$H685,$R685))</f>
        <v/>
      </c>
      <c r="V685" s="14" t="str">
        <f aca="false">IF($D685&lt;&gt;1,"",IF(p_mode="Nœud",$T685*$I685,$S685))</f>
        <v/>
      </c>
      <c r="W685" s="84" t="str">
        <f aca="false">IF($D685&lt;&gt;1,"",IF(p_mode="Nœud",$T685*$K685,$R685*IF($G685="IKS",p_iks_cpu,p_roks_cpu)+$S685*IF($G685="IKS",p_iks_ram,p_roks_ram))*p_facteur)</f>
        <v/>
      </c>
      <c r="X685" s="14" t="str">
        <f aca="false">IF($D685&lt;&gt;1,"",IF($G685="ROKS",$R685,IF($AI685=1,0,MAX($N685,$L685-SUMIFS(TblApplications[CPU IKS libérable (vCPU)],TblApplications[Cluster IKS source],$F685,TblApplications[Action],"À migrer",TblApplications[Mois prov (calc)],"&lt;="&amp;$E685)-SUMIFS(TblApplications[CPU IKS libérable (vCPU)],TblApplications[Cluster IKS source],$F685,TblApplications[Action],"À décommissionner",TblApplications[Mois lib (calc)],"&lt;="&amp;$E685)))))</f>
        <v/>
      </c>
      <c r="Y685" s="14" t="str">
        <f aca="false">IF($D685&lt;&gt;1,"",IF($G685="ROKS",$S685,IF($AI685=1,0,MAX($O685,$M685-SUMIFS(TblApplications[RAM IKS libérable (Go)],TblApplications[Cluster IKS source],$F685,TblApplications[Action],"À migrer",TblApplications[Mois prov (calc)],"&lt;="&amp;$E685)-SUMIFS(TblApplications[RAM IKS libérable (Go)],TblApplications[Cluster IKS source],$F685,TblApplications[Action],"À décommissionner",TblApplications[Mois lib (calc)],"&lt;="&amp;$E685)))))</f>
        <v/>
      </c>
      <c r="Z685" s="14" t="str">
        <f aca="false">IF($D685&lt;&gt;1,"",IF($AI685=1,0,MAX($J685,ROUNDUP(MAX($X685/$H685,$Y685/$I685),0))))</f>
        <v/>
      </c>
      <c r="AA685" s="84" t="str">
        <f aca="false">IF($D685&lt;&gt;1,"",IF(p_mode="Nœud",$Z685*$K685,$X685*IF($G685="IKS",p_iks_cpu,p_roks_cpu)+$Y685*IF($G685="IKS",p_iks_ram,p_roks_ram))*p_facteur)</f>
        <v/>
      </c>
      <c r="AB685" s="14" t="str">
        <f aca="false">IF($D685&lt;&gt;1,"",MAX($J685,ROUNDUP(MAX($L685/$H685,$M685/$I685),0)))</f>
        <v/>
      </c>
      <c r="AC685" s="84" t="str">
        <f aca="false">IF($D685&lt;&gt;1,"",IF(p_mode="Nœud",$AB685*$K685,$L685*IF($G685="IKS",p_iks_cpu,p_roks_cpu)+$M685*IF($G685="IKS",p_iks_ram,p_roks_ram))*p_facteur)</f>
        <v/>
      </c>
      <c r="AD685" s="14" t="str">
        <f aca="false">IF($D685&lt;&gt;1,"",IF(AND($G685="IKS",$AI685&lt;&gt;1,OR($L685-$P685&lt;$N685,$M685-$Q685&lt;$O685)),1,0))</f>
        <v/>
      </c>
      <c r="AE685" s="14" t="str">
        <f aca="false">IF($D685&lt;&gt;1,"",IF(AND($G685="ROKS",$T685&gt;p_maxworkers),1,0))</f>
        <v/>
      </c>
      <c r="AF685" s="14" t="str">
        <f aca="false">IF($D685&lt;&gt;1,"",IF(INDEX(TblClusters[Environnement],$B685)="","(vide)",INDEX(TblClusters[Environnement],$B685)))</f>
        <v/>
      </c>
      <c r="AG685" s="14" t="str">
        <f aca="false">IF($D685&lt;&gt;1,"",$R685+p_poidsram*$S685)</f>
        <v/>
      </c>
      <c r="AH685" s="14" t="str">
        <f aca="false">IF($D685&lt;&gt;1,"",IFERROR($W685/$AG685,0))</f>
        <v/>
      </c>
      <c r="AI685" s="14" t="str">
        <f aca="false">IF($D685&lt;&gt;1,"",IF(AND($G685="IKS",ISNUMBER(INDEX(TblClusters[Fermeture retenue],$B685))),IF($E685&gt;=INDEX(TblClusters[Fermeture retenue],$B685),1,0),0))</f>
        <v/>
      </c>
    </row>
    <row r="686" customFormat="false" ht="15" hidden="false" customHeight="false" outlineLevel="0" collapsed="false">
      <c r="A686" s="14" t="n">
        <v>681</v>
      </c>
      <c r="B686" s="14" t="n">
        <f aca="false">INT(($A686-1)/36)+1</f>
        <v>19</v>
      </c>
      <c r="C686" s="14" t="n">
        <f aca="false">MOD($A686-1,36)+1</f>
        <v>33</v>
      </c>
      <c r="D686" s="14" t="n">
        <f aca="false">IF($C686&gt;p_horizon,0,IFERROR(IF(AND(INDEX(TblClusters[Cluster],$B686)&lt;&gt;"",ISNUMBER(INDEX(TblClusters[CPU initial (vCPU)],$B686)),ISNUMBER(INDEX(TblClusters[CPU min (vCPU)],$B686)),OR(INDEX(TblClusters[Plateforme],$B686)="IKS",INDEX(TblClusters[Plateforme],$B686)="ROKS")),1,0),0))</f>
        <v>0</v>
      </c>
      <c r="E686" s="83" t="str">
        <f aca="false">IF($D686=1,EDATE(p_debut,$C686-1),"")</f>
        <v/>
      </c>
      <c r="F686" s="14" t="str">
        <f aca="false">IF($D686=1,INDEX(TblClusters[Cluster],$B686),"")</f>
        <v/>
      </c>
      <c r="G686" s="14" t="str">
        <f aca="false">IF($D686=1,INDEX(TblClusters[Plateforme],$B686),"")</f>
        <v/>
      </c>
      <c r="H686" s="14" t="str">
        <f aca="false">IF($D686=1,INDEX(TblClusters[vCPU par nœud],$B686),"")</f>
        <v/>
      </c>
      <c r="I686" s="14" t="str">
        <f aca="false">IF($D686=1,INDEX(TblClusters[RAM par nœud (Go)],$B686),"")</f>
        <v/>
      </c>
      <c r="J686" s="14" t="str">
        <f aca="false">IF($D686=1,INDEX(TblClusters[Workers min],$B686),"")</f>
        <v/>
      </c>
      <c r="K686" s="84" t="str">
        <f aca="false">IF($D686=1,INDEX(TblClusters[Tarif par nœud],$B686),"")</f>
        <v/>
      </c>
      <c r="L686" s="14" t="str">
        <f aca="false">IF($D686=1,INDEX(TblClusters[CPU initial (vCPU)],$B686),"")</f>
        <v/>
      </c>
      <c r="M686" s="14" t="str">
        <f aca="false">IF($D686=1,INDEX(TblClusters[RAM initiale (Go)],$B686),"")</f>
        <v/>
      </c>
      <c r="N686" s="14" t="str">
        <f aca="false">IF($D686=1,INDEX(TblClusters[CPU min (vCPU)],$B686),"")</f>
        <v/>
      </c>
      <c r="O686" s="14" t="str">
        <f aca="false">IF($D686=1,INDEX(TblClusters[RAM min (Go)],$B686),"")</f>
        <v/>
      </c>
      <c r="P686" s="14" t="str">
        <f aca="false">IF($D686&lt;&gt;1,"",IF($G686="ROKS",SUMIFS(TblApplications[Besoin ROKS CPU (vCPU)],TblApplications[Cluster ROKS cible],$F686,TblApplications[Action],"À migrer",TblApplications[Déjà incluse ROKS],"Non",TblApplications[Mois prov (calc)],"&lt;="&amp;$E686),SUMIFS(TblApplications[CPU IKS libérable (vCPU)],TblApplications[Cluster IKS source],$F686,TblApplications[Mois lib (calc)],"&lt;="&amp;$E686)))</f>
        <v/>
      </c>
      <c r="Q686" s="14" t="str">
        <f aca="false">IF($D686&lt;&gt;1,"",IF($G686="ROKS",SUMIFS(TblApplications[Besoin ROKS RAM (Go)],TblApplications[Cluster ROKS cible],$F686,TblApplications[Action],"À migrer",TblApplications[Déjà incluse ROKS],"Non",TblApplications[Mois prov (calc)],"&lt;="&amp;$E686),SUMIFS(TblApplications[RAM IKS libérable (Go)],TblApplications[Cluster IKS source],$F686,TblApplications[Mois lib (calc)],"&lt;="&amp;$E686)))</f>
        <v/>
      </c>
      <c r="R686" s="14" t="str">
        <f aca="false">IF($D686&lt;&gt;1,"",IF($G686="ROKS",$L686+$P686,IF($AI686=1,0,MAX($N686,$L686-$P686))))</f>
        <v/>
      </c>
      <c r="S686" s="14" t="str">
        <f aca="false">IF($D686&lt;&gt;1,"",IF($G686="ROKS",$M686+$Q686,IF($AI686=1,0,MAX($O686,$M686-$Q686))))</f>
        <v/>
      </c>
      <c r="T686" s="14" t="str">
        <f aca="false">IF($D686&lt;&gt;1,"",IF($AI686=1,0,MAX($J686,ROUNDUP(MAX($R686/$H686,$S686/$I686),0))))</f>
        <v/>
      </c>
      <c r="U686" s="14" t="str">
        <f aca="false">IF($D686&lt;&gt;1,"",IF(p_mode="Nœud",$T686*$H686,$R686))</f>
        <v/>
      </c>
      <c r="V686" s="14" t="str">
        <f aca="false">IF($D686&lt;&gt;1,"",IF(p_mode="Nœud",$T686*$I686,$S686))</f>
        <v/>
      </c>
      <c r="W686" s="84" t="str">
        <f aca="false">IF($D686&lt;&gt;1,"",IF(p_mode="Nœud",$T686*$K686,$R686*IF($G686="IKS",p_iks_cpu,p_roks_cpu)+$S686*IF($G686="IKS",p_iks_ram,p_roks_ram))*p_facteur)</f>
        <v/>
      </c>
      <c r="X686" s="14" t="str">
        <f aca="false">IF($D686&lt;&gt;1,"",IF($G686="ROKS",$R686,IF($AI686=1,0,MAX($N686,$L686-SUMIFS(TblApplications[CPU IKS libérable (vCPU)],TblApplications[Cluster IKS source],$F686,TblApplications[Action],"À migrer",TblApplications[Mois prov (calc)],"&lt;="&amp;$E686)-SUMIFS(TblApplications[CPU IKS libérable (vCPU)],TblApplications[Cluster IKS source],$F686,TblApplications[Action],"À décommissionner",TblApplications[Mois lib (calc)],"&lt;="&amp;$E686)))))</f>
        <v/>
      </c>
      <c r="Y686" s="14" t="str">
        <f aca="false">IF($D686&lt;&gt;1,"",IF($G686="ROKS",$S686,IF($AI686=1,0,MAX($O686,$M686-SUMIFS(TblApplications[RAM IKS libérable (Go)],TblApplications[Cluster IKS source],$F686,TblApplications[Action],"À migrer",TblApplications[Mois prov (calc)],"&lt;="&amp;$E686)-SUMIFS(TblApplications[RAM IKS libérable (Go)],TblApplications[Cluster IKS source],$F686,TblApplications[Action],"À décommissionner",TblApplications[Mois lib (calc)],"&lt;="&amp;$E686)))))</f>
        <v/>
      </c>
      <c r="Z686" s="14" t="str">
        <f aca="false">IF($D686&lt;&gt;1,"",IF($AI686=1,0,MAX($J686,ROUNDUP(MAX($X686/$H686,$Y686/$I686),0))))</f>
        <v/>
      </c>
      <c r="AA686" s="84" t="str">
        <f aca="false">IF($D686&lt;&gt;1,"",IF(p_mode="Nœud",$Z686*$K686,$X686*IF($G686="IKS",p_iks_cpu,p_roks_cpu)+$Y686*IF($G686="IKS",p_iks_ram,p_roks_ram))*p_facteur)</f>
        <v/>
      </c>
      <c r="AB686" s="14" t="str">
        <f aca="false">IF($D686&lt;&gt;1,"",MAX($J686,ROUNDUP(MAX($L686/$H686,$M686/$I686),0)))</f>
        <v/>
      </c>
      <c r="AC686" s="84" t="str">
        <f aca="false">IF($D686&lt;&gt;1,"",IF(p_mode="Nœud",$AB686*$K686,$L686*IF($G686="IKS",p_iks_cpu,p_roks_cpu)+$M686*IF($G686="IKS",p_iks_ram,p_roks_ram))*p_facteur)</f>
        <v/>
      </c>
      <c r="AD686" s="14" t="str">
        <f aca="false">IF($D686&lt;&gt;1,"",IF(AND($G686="IKS",$AI686&lt;&gt;1,OR($L686-$P686&lt;$N686,$M686-$Q686&lt;$O686)),1,0))</f>
        <v/>
      </c>
      <c r="AE686" s="14" t="str">
        <f aca="false">IF($D686&lt;&gt;1,"",IF(AND($G686="ROKS",$T686&gt;p_maxworkers),1,0))</f>
        <v/>
      </c>
      <c r="AF686" s="14" t="str">
        <f aca="false">IF($D686&lt;&gt;1,"",IF(INDEX(TblClusters[Environnement],$B686)="","(vide)",INDEX(TblClusters[Environnement],$B686)))</f>
        <v/>
      </c>
      <c r="AG686" s="14" t="str">
        <f aca="false">IF($D686&lt;&gt;1,"",$R686+p_poidsram*$S686)</f>
        <v/>
      </c>
      <c r="AH686" s="14" t="str">
        <f aca="false">IF($D686&lt;&gt;1,"",IFERROR($W686/$AG686,0))</f>
        <v/>
      </c>
      <c r="AI686" s="14" t="str">
        <f aca="false">IF($D686&lt;&gt;1,"",IF(AND($G686="IKS",ISNUMBER(INDEX(TblClusters[Fermeture retenue],$B686))),IF($E686&gt;=INDEX(TblClusters[Fermeture retenue],$B686),1,0),0))</f>
        <v/>
      </c>
    </row>
    <row r="687" customFormat="false" ht="15" hidden="false" customHeight="false" outlineLevel="0" collapsed="false">
      <c r="A687" s="14" t="n">
        <v>682</v>
      </c>
      <c r="B687" s="14" t="n">
        <f aca="false">INT(($A687-1)/36)+1</f>
        <v>19</v>
      </c>
      <c r="C687" s="14" t="n">
        <f aca="false">MOD($A687-1,36)+1</f>
        <v>34</v>
      </c>
      <c r="D687" s="14" t="n">
        <f aca="false">IF($C687&gt;p_horizon,0,IFERROR(IF(AND(INDEX(TblClusters[Cluster],$B687)&lt;&gt;"",ISNUMBER(INDEX(TblClusters[CPU initial (vCPU)],$B687)),ISNUMBER(INDEX(TblClusters[CPU min (vCPU)],$B687)),OR(INDEX(TblClusters[Plateforme],$B687)="IKS",INDEX(TblClusters[Plateforme],$B687)="ROKS")),1,0),0))</f>
        <v>0</v>
      </c>
      <c r="E687" s="83" t="str">
        <f aca="false">IF($D687=1,EDATE(p_debut,$C687-1),"")</f>
        <v/>
      </c>
      <c r="F687" s="14" t="str">
        <f aca="false">IF($D687=1,INDEX(TblClusters[Cluster],$B687),"")</f>
        <v/>
      </c>
      <c r="G687" s="14" t="str">
        <f aca="false">IF($D687=1,INDEX(TblClusters[Plateforme],$B687),"")</f>
        <v/>
      </c>
      <c r="H687" s="14" t="str">
        <f aca="false">IF($D687=1,INDEX(TblClusters[vCPU par nœud],$B687),"")</f>
        <v/>
      </c>
      <c r="I687" s="14" t="str">
        <f aca="false">IF($D687=1,INDEX(TblClusters[RAM par nœud (Go)],$B687),"")</f>
        <v/>
      </c>
      <c r="J687" s="14" t="str">
        <f aca="false">IF($D687=1,INDEX(TblClusters[Workers min],$B687),"")</f>
        <v/>
      </c>
      <c r="K687" s="84" t="str">
        <f aca="false">IF($D687=1,INDEX(TblClusters[Tarif par nœud],$B687),"")</f>
        <v/>
      </c>
      <c r="L687" s="14" t="str">
        <f aca="false">IF($D687=1,INDEX(TblClusters[CPU initial (vCPU)],$B687),"")</f>
        <v/>
      </c>
      <c r="M687" s="14" t="str">
        <f aca="false">IF($D687=1,INDEX(TblClusters[RAM initiale (Go)],$B687),"")</f>
        <v/>
      </c>
      <c r="N687" s="14" t="str">
        <f aca="false">IF($D687=1,INDEX(TblClusters[CPU min (vCPU)],$B687),"")</f>
        <v/>
      </c>
      <c r="O687" s="14" t="str">
        <f aca="false">IF($D687=1,INDEX(TblClusters[RAM min (Go)],$B687),"")</f>
        <v/>
      </c>
      <c r="P687" s="14" t="str">
        <f aca="false">IF($D687&lt;&gt;1,"",IF($G687="ROKS",SUMIFS(TblApplications[Besoin ROKS CPU (vCPU)],TblApplications[Cluster ROKS cible],$F687,TblApplications[Action],"À migrer",TblApplications[Déjà incluse ROKS],"Non",TblApplications[Mois prov (calc)],"&lt;="&amp;$E687),SUMIFS(TblApplications[CPU IKS libérable (vCPU)],TblApplications[Cluster IKS source],$F687,TblApplications[Mois lib (calc)],"&lt;="&amp;$E687)))</f>
        <v/>
      </c>
      <c r="Q687" s="14" t="str">
        <f aca="false">IF($D687&lt;&gt;1,"",IF($G687="ROKS",SUMIFS(TblApplications[Besoin ROKS RAM (Go)],TblApplications[Cluster ROKS cible],$F687,TblApplications[Action],"À migrer",TblApplications[Déjà incluse ROKS],"Non",TblApplications[Mois prov (calc)],"&lt;="&amp;$E687),SUMIFS(TblApplications[RAM IKS libérable (Go)],TblApplications[Cluster IKS source],$F687,TblApplications[Mois lib (calc)],"&lt;="&amp;$E687)))</f>
        <v/>
      </c>
      <c r="R687" s="14" t="str">
        <f aca="false">IF($D687&lt;&gt;1,"",IF($G687="ROKS",$L687+$P687,IF($AI687=1,0,MAX($N687,$L687-$P687))))</f>
        <v/>
      </c>
      <c r="S687" s="14" t="str">
        <f aca="false">IF($D687&lt;&gt;1,"",IF($G687="ROKS",$M687+$Q687,IF($AI687=1,0,MAX($O687,$M687-$Q687))))</f>
        <v/>
      </c>
      <c r="T687" s="14" t="str">
        <f aca="false">IF($D687&lt;&gt;1,"",IF($AI687=1,0,MAX($J687,ROUNDUP(MAX($R687/$H687,$S687/$I687),0))))</f>
        <v/>
      </c>
      <c r="U687" s="14" t="str">
        <f aca="false">IF($D687&lt;&gt;1,"",IF(p_mode="Nœud",$T687*$H687,$R687))</f>
        <v/>
      </c>
      <c r="V687" s="14" t="str">
        <f aca="false">IF($D687&lt;&gt;1,"",IF(p_mode="Nœud",$T687*$I687,$S687))</f>
        <v/>
      </c>
      <c r="W687" s="84" t="str">
        <f aca="false">IF($D687&lt;&gt;1,"",IF(p_mode="Nœud",$T687*$K687,$R687*IF($G687="IKS",p_iks_cpu,p_roks_cpu)+$S687*IF($G687="IKS",p_iks_ram,p_roks_ram))*p_facteur)</f>
        <v/>
      </c>
      <c r="X687" s="14" t="str">
        <f aca="false">IF($D687&lt;&gt;1,"",IF($G687="ROKS",$R687,IF($AI687=1,0,MAX($N687,$L687-SUMIFS(TblApplications[CPU IKS libérable (vCPU)],TblApplications[Cluster IKS source],$F687,TblApplications[Action],"À migrer",TblApplications[Mois prov (calc)],"&lt;="&amp;$E687)-SUMIFS(TblApplications[CPU IKS libérable (vCPU)],TblApplications[Cluster IKS source],$F687,TblApplications[Action],"À décommissionner",TblApplications[Mois lib (calc)],"&lt;="&amp;$E687)))))</f>
        <v/>
      </c>
      <c r="Y687" s="14" t="str">
        <f aca="false">IF($D687&lt;&gt;1,"",IF($G687="ROKS",$S687,IF($AI687=1,0,MAX($O687,$M687-SUMIFS(TblApplications[RAM IKS libérable (Go)],TblApplications[Cluster IKS source],$F687,TblApplications[Action],"À migrer",TblApplications[Mois prov (calc)],"&lt;="&amp;$E687)-SUMIFS(TblApplications[RAM IKS libérable (Go)],TblApplications[Cluster IKS source],$F687,TblApplications[Action],"À décommissionner",TblApplications[Mois lib (calc)],"&lt;="&amp;$E687)))))</f>
        <v/>
      </c>
      <c r="Z687" s="14" t="str">
        <f aca="false">IF($D687&lt;&gt;1,"",IF($AI687=1,0,MAX($J687,ROUNDUP(MAX($X687/$H687,$Y687/$I687),0))))</f>
        <v/>
      </c>
      <c r="AA687" s="84" t="str">
        <f aca="false">IF($D687&lt;&gt;1,"",IF(p_mode="Nœud",$Z687*$K687,$X687*IF($G687="IKS",p_iks_cpu,p_roks_cpu)+$Y687*IF($G687="IKS",p_iks_ram,p_roks_ram))*p_facteur)</f>
        <v/>
      </c>
      <c r="AB687" s="14" t="str">
        <f aca="false">IF($D687&lt;&gt;1,"",MAX($J687,ROUNDUP(MAX($L687/$H687,$M687/$I687),0)))</f>
        <v/>
      </c>
      <c r="AC687" s="84" t="str">
        <f aca="false">IF($D687&lt;&gt;1,"",IF(p_mode="Nœud",$AB687*$K687,$L687*IF($G687="IKS",p_iks_cpu,p_roks_cpu)+$M687*IF($G687="IKS",p_iks_ram,p_roks_ram))*p_facteur)</f>
        <v/>
      </c>
      <c r="AD687" s="14" t="str">
        <f aca="false">IF($D687&lt;&gt;1,"",IF(AND($G687="IKS",$AI687&lt;&gt;1,OR($L687-$P687&lt;$N687,$M687-$Q687&lt;$O687)),1,0))</f>
        <v/>
      </c>
      <c r="AE687" s="14" t="str">
        <f aca="false">IF($D687&lt;&gt;1,"",IF(AND($G687="ROKS",$T687&gt;p_maxworkers),1,0))</f>
        <v/>
      </c>
      <c r="AF687" s="14" t="str">
        <f aca="false">IF($D687&lt;&gt;1,"",IF(INDEX(TblClusters[Environnement],$B687)="","(vide)",INDEX(TblClusters[Environnement],$B687)))</f>
        <v/>
      </c>
      <c r="AG687" s="14" t="str">
        <f aca="false">IF($D687&lt;&gt;1,"",$R687+p_poidsram*$S687)</f>
        <v/>
      </c>
      <c r="AH687" s="14" t="str">
        <f aca="false">IF($D687&lt;&gt;1,"",IFERROR($W687/$AG687,0))</f>
        <v/>
      </c>
      <c r="AI687" s="14" t="str">
        <f aca="false">IF($D687&lt;&gt;1,"",IF(AND($G687="IKS",ISNUMBER(INDEX(TblClusters[Fermeture retenue],$B687))),IF($E687&gt;=INDEX(TblClusters[Fermeture retenue],$B687),1,0),0))</f>
        <v/>
      </c>
    </row>
    <row r="688" customFormat="false" ht="15" hidden="false" customHeight="false" outlineLevel="0" collapsed="false">
      <c r="A688" s="14" t="n">
        <v>683</v>
      </c>
      <c r="B688" s="14" t="n">
        <f aca="false">INT(($A688-1)/36)+1</f>
        <v>19</v>
      </c>
      <c r="C688" s="14" t="n">
        <f aca="false">MOD($A688-1,36)+1</f>
        <v>35</v>
      </c>
      <c r="D688" s="14" t="n">
        <f aca="false">IF($C688&gt;p_horizon,0,IFERROR(IF(AND(INDEX(TblClusters[Cluster],$B688)&lt;&gt;"",ISNUMBER(INDEX(TblClusters[CPU initial (vCPU)],$B688)),ISNUMBER(INDEX(TblClusters[CPU min (vCPU)],$B688)),OR(INDEX(TblClusters[Plateforme],$B688)="IKS",INDEX(TblClusters[Plateforme],$B688)="ROKS")),1,0),0))</f>
        <v>0</v>
      </c>
      <c r="E688" s="83" t="str">
        <f aca="false">IF($D688=1,EDATE(p_debut,$C688-1),"")</f>
        <v/>
      </c>
      <c r="F688" s="14" t="str">
        <f aca="false">IF($D688=1,INDEX(TblClusters[Cluster],$B688),"")</f>
        <v/>
      </c>
      <c r="G688" s="14" t="str">
        <f aca="false">IF($D688=1,INDEX(TblClusters[Plateforme],$B688),"")</f>
        <v/>
      </c>
      <c r="H688" s="14" t="str">
        <f aca="false">IF($D688=1,INDEX(TblClusters[vCPU par nœud],$B688),"")</f>
        <v/>
      </c>
      <c r="I688" s="14" t="str">
        <f aca="false">IF($D688=1,INDEX(TblClusters[RAM par nœud (Go)],$B688),"")</f>
        <v/>
      </c>
      <c r="J688" s="14" t="str">
        <f aca="false">IF($D688=1,INDEX(TblClusters[Workers min],$B688),"")</f>
        <v/>
      </c>
      <c r="K688" s="84" t="str">
        <f aca="false">IF($D688=1,INDEX(TblClusters[Tarif par nœud],$B688),"")</f>
        <v/>
      </c>
      <c r="L688" s="14" t="str">
        <f aca="false">IF($D688=1,INDEX(TblClusters[CPU initial (vCPU)],$B688),"")</f>
        <v/>
      </c>
      <c r="M688" s="14" t="str">
        <f aca="false">IF($D688=1,INDEX(TblClusters[RAM initiale (Go)],$B688),"")</f>
        <v/>
      </c>
      <c r="N688" s="14" t="str">
        <f aca="false">IF($D688=1,INDEX(TblClusters[CPU min (vCPU)],$B688),"")</f>
        <v/>
      </c>
      <c r="O688" s="14" t="str">
        <f aca="false">IF($D688=1,INDEX(TblClusters[RAM min (Go)],$B688),"")</f>
        <v/>
      </c>
      <c r="P688" s="14" t="str">
        <f aca="false">IF($D688&lt;&gt;1,"",IF($G688="ROKS",SUMIFS(TblApplications[Besoin ROKS CPU (vCPU)],TblApplications[Cluster ROKS cible],$F688,TblApplications[Action],"À migrer",TblApplications[Déjà incluse ROKS],"Non",TblApplications[Mois prov (calc)],"&lt;="&amp;$E688),SUMIFS(TblApplications[CPU IKS libérable (vCPU)],TblApplications[Cluster IKS source],$F688,TblApplications[Mois lib (calc)],"&lt;="&amp;$E688)))</f>
        <v/>
      </c>
      <c r="Q688" s="14" t="str">
        <f aca="false">IF($D688&lt;&gt;1,"",IF($G688="ROKS",SUMIFS(TblApplications[Besoin ROKS RAM (Go)],TblApplications[Cluster ROKS cible],$F688,TblApplications[Action],"À migrer",TblApplications[Déjà incluse ROKS],"Non",TblApplications[Mois prov (calc)],"&lt;="&amp;$E688),SUMIFS(TblApplications[RAM IKS libérable (Go)],TblApplications[Cluster IKS source],$F688,TblApplications[Mois lib (calc)],"&lt;="&amp;$E688)))</f>
        <v/>
      </c>
      <c r="R688" s="14" t="str">
        <f aca="false">IF($D688&lt;&gt;1,"",IF($G688="ROKS",$L688+$P688,IF($AI688=1,0,MAX($N688,$L688-$P688))))</f>
        <v/>
      </c>
      <c r="S688" s="14" t="str">
        <f aca="false">IF($D688&lt;&gt;1,"",IF($G688="ROKS",$M688+$Q688,IF($AI688=1,0,MAX($O688,$M688-$Q688))))</f>
        <v/>
      </c>
      <c r="T688" s="14" t="str">
        <f aca="false">IF($D688&lt;&gt;1,"",IF($AI688=1,0,MAX($J688,ROUNDUP(MAX($R688/$H688,$S688/$I688),0))))</f>
        <v/>
      </c>
      <c r="U688" s="14" t="str">
        <f aca="false">IF($D688&lt;&gt;1,"",IF(p_mode="Nœud",$T688*$H688,$R688))</f>
        <v/>
      </c>
      <c r="V688" s="14" t="str">
        <f aca="false">IF($D688&lt;&gt;1,"",IF(p_mode="Nœud",$T688*$I688,$S688))</f>
        <v/>
      </c>
      <c r="W688" s="84" t="str">
        <f aca="false">IF($D688&lt;&gt;1,"",IF(p_mode="Nœud",$T688*$K688,$R688*IF($G688="IKS",p_iks_cpu,p_roks_cpu)+$S688*IF($G688="IKS",p_iks_ram,p_roks_ram))*p_facteur)</f>
        <v/>
      </c>
      <c r="X688" s="14" t="str">
        <f aca="false">IF($D688&lt;&gt;1,"",IF($G688="ROKS",$R688,IF($AI688=1,0,MAX($N688,$L688-SUMIFS(TblApplications[CPU IKS libérable (vCPU)],TblApplications[Cluster IKS source],$F688,TblApplications[Action],"À migrer",TblApplications[Mois prov (calc)],"&lt;="&amp;$E688)-SUMIFS(TblApplications[CPU IKS libérable (vCPU)],TblApplications[Cluster IKS source],$F688,TblApplications[Action],"À décommissionner",TblApplications[Mois lib (calc)],"&lt;="&amp;$E688)))))</f>
        <v/>
      </c>
      <c r="Y688" s="14" t="str">
        <f aca="false">IF($D688&lt;&gt;1,"",IF($G688="ROKS",$S688,IF($AI688=1,0,MAX($O688,$M688-SUMIFS(TblApplications[RAM IKS libérable (Go)],TblApplications[Cluster IKS source],$F688,TblApplications[Action],"À migrer",TblApplications[Mois prov (calc)],"&lt;="&amp;$E688)-SUMIFS(TblApplications[RAM IKS libérable (Go)],TblApplications[Cluster IKS source],$F688,TblApplications[Action],"À décommissionner",TblApplications[Mois lib (calc)],"&lt;="&amp;$E688)))))</f>
        <v/>
      </c>
      <c r="Z688" s="14" t="str">
        <f aca="false">IF($D688&lt;&gt;1,"",IF($AI688=1,0,MAX($J688,ROUNDUP(MAX($X688/$H688,$Y688/$I688),0))))</f>
        <v/>
      </c>
      <c r="AA688" s="84" t="str">
        <f aca="false">IF($D688&lt;&gt;1,"",IF(p_mode="Nœud",$Z688*$K688,$X688*IF($G688="IKS",p_iks_cpu,p_roks_cpu)+$Y688*IF($G688="IKS",p_iks_ram,p_roks_ram))*p_facteur)</f>
        <v/>
      </c>
      <c r="AB688" s="14" t="str">
        <f aca="false">IF($D688&lt;&gt;1,"",MAX($J688,ROUNDUP(MAX($L688/$H688,$M688/$I688),0)))</f>
        <v/>
      </c>
      <c r="AC688" s="84" t="str">
        <f aca="false">IF($D688&lt;&gt;1,"",IF(p_mode="Nœud",$AB688*$K688,$L688*IF($G688="IKS",p_iks_cpu,p_roks_cpu)+$M688*IF($G688="IKS",p_iks_ram,p_roks_ram))*p_facteur)</f>
        <v/>
      </c>
      <c r="AD688" s="14" t="str">
        <f aca="false">IF($D688&lt;&gt;1,"",IF(AND($G688="IKS",$AI688&lt;&gt;1,OR($L688-$P688&lt;$N688,$M688-$Q688&lt;$O688)),1,0))</f>
        <v/>
      </c>
      <c r="AE688" s="14" t="str">
        <f aca="false">IF($D688&lt;&gt;1,"",IF(AND($G688="ROKS",$T688&gt;p_maxworkers),1,0))</f>
        <v/>
      </c>
      <c r="AF688" s="14" t="str">
        <f aca="false">IF($D688&lt;&gt;1,"",IF(INDEX(TblClusters[Environnement],$B688)="","(vide)",INDEX(TblClusters[Environnement],$B688)))</f>
        <v/>
      </c>
      <c r="AG688" s="14" t="str">
        <f aca="false">IF($D688&lt;&gt;1,"",$R688+p_poidsram*$S688)</f>
        <v/>
      </c>
      <c r="AH688" s="14" t="str">
        <f aca="false">IF($D688&lt;&gt;1,"",IFERROR($W688/$AG688,0))</f>
        <v/>
      </c>
      <c r="AI688" s="14" t="str">
        <f aca="false">IF($D688&lt;&gt;1,"",IF(AND($G688="IKS",ISNUMBER(INDEX(TblClusters[Fermeture retenue],$B688))),IF($E688&gt;=INDEX(TblClusters[Fermeture retenue],$B688),1,0),0))</f>
        <v/>
      </c>
    </row>
    <row r="689" customFormat="false" ht="15" hidden="false" customHeight="false" outlineLevel="0" collapsed="false">
      <c r="A689" s="14" t="n">
        <v>684</v>
      </c>
      <c r="B689" s="14" t="n">
        <f aca="false">INT(($A689-1)/36)+1</f>
        <v>19</v>
      </c>
      <c r="C689" s="14" t="n">
        <f aca="false">MOD($A689-1,36)+1</f>
        <v>36</v>
      </c>
      <c r="D689" s="14" t="n">
        <f aca="false">IF($C689&gt;p_horizon,0,IFERROR(IF(AND(INDEX(TblClusters[Cluster],$B689)&lt;&gt;"",ISNUMBER(INDEX(TblClusters[CPU initial (vCPU)],$B689)),ISNUMBER(INDEX(TblClusters[CPU min (vCPU)],$B689)),OR(INDEX(TblClusters[Plateforme],$B689)="IKS",INDEX(TblClusters[Plateforme],$B689)="ROKS")),1,0),0))</f>
        <v>0</v>
      </c>
      <c r="E689" s="83" t="str">
        <f aca="false">IF($D689=1,EDATE(p_debut,$C689-1),"")</f>
        <v/>
      </c>
      <c r="F689" s="14" t="str">
        <f aca="false">IF($D689=1,INDEX(TblClusters[Cluster],$B689),"")</f>
        <v/>
      </c>
      <c r="G689" s="14" t="str">
        <f aca="false">IF($D689=1,INDEX(TblClusters[Plateforme],$B689),"")</f>
        <v/>
      </c>
      <c r="H689" s="14" t="str">
        <f aca="false">IF($D689=1,INDEX(TblClusters[vCPU par nœud],$B689),"")</f>
        <v/>
      </c>
      <c r="I689" s="14" t="str">
        <f aca="false">IF($D689=1,INDEX(TblClusters[RAM par nœud (Go)],$B689),"")</f>
        <v/>
      </c>
      <c r="J689" s="14" t="str">
        <f aca="false">IF($D689=1,INDEX(TblClusters[Workers min],$B689),"")</f>
        <v/>
      </c>
      <c r="K689" s="84" t="str">
        <f aca="false">IF($D689=1,INDEX(TblClusters[Tarif par nœud],$B689),"")</f>
        <v/>
      </c>
      <c r="L689" s="14" t="str">
        <f aca="false">IF($D689=1,INDEX(TblClusters[CPU initial (vCPU)],$B689),"")</f>
        <v/>
      </c>
      <c r="M689" s="14" t="str">
        <f aca="false">IF($D689=1,INDEX(TblClusters[RAM initiale (Go)],$B689),"")</f>
        <v/>
      </c>
      <c r="N689" s="14" t="str">
        <f aca="false">IF($D689=1,INDEX(TblClusters[CPU min (vCPU)],$B689),"")</f>
        <v/>
      </c>
      <c r="O689" s="14" t="str">
        <f aca="false">IF($D689=1,INDEX(TblClusters[RAM min (Go)],$B689),"")</f>
        <v/>
      </c>
      <c r="P689" s="14" t="str">
        <f aca="false">IF($D689&lt;&gt;1,"",IF($G689="ROKS",SUMIFS(TblApplications[Besoin ROKS CPU (vCPU)],TblApplications[Cluster ROKS cible],$F689,TblApplications[Action],"À migrer",TblApplications[Déjà incluse ROKS],"Non",TblApplications[Mois prov (calc)],"&lt;="&amp;$E689),SUMIFS(TblApplications[CPU IKS libérable (vCPU)],TblApplications[Cluster IKS source],$F689,TblApplications[Mois lib (calc)],"&lt;="&amp;$E689)))</f>
        <v/>
      </c>
      <c r="Q689" s="14" t="str">
        <f aca="false">IF($D689&lt;&gt;1,"",IF($G689="ROKS",SUMIFS(TblApplications[Besoin ROKS RAM (Go)],TblApplications[Cluster ROKS cible],$F689,TblApplications[Action],"À migrer",TblApplications[Déjà incluse ROKS],"Non",TblApplications[Mois prov (calc)],"&lt;="&amp;$E689),SUMIFS(TblApplications[RAM IKS libérable (Go)],TblApplications[Cluster IKS source],$F689,TblApplications[Mois lib (calc)],"&lt;="&amp;$E689)))</f>
        <v/>
      </c>
      <c r="R689" s="14" t="str">
        <f aca="false">IF($D689&lt;&gt;1,"",IF($G689="ROKS",$L689+$P689,IF($AI689=1,0,MAX($N689,$L689-$P689))))</f>
        <v/>
      </c>
      <c r="S689" s="14" t="str">
        <f aca="false">IF($D689&lt;&gt;1,"",IF($G689="ROKS",$M689+$Q689,IF($AI689=1,0,MAX($O689,$M689-$Q689))))</f>
        <v/>
      </c>
      <c r="T689" s="14" t="str">
        <f aca="false">IF($D689&lt;&gt;1,"",IF($AI689=1,0,MAX($J689,ROUNDUP(MAX($R689/$H689,$S689/$I689),0))))</f>
        <v/>
      </c>
      <c r="U689" s="14" t="str">
        <f aca="false">IF($D689&lt;&gt;1,"",IF(p_mode="Nœud",$T689*$H689,$R689))</f>
        <v/>
      </c>
      <c r="V689" s="14" t="str">
        <f aca="false">IF($D689&lt;&gt;1,"",IF(p_mode="Nœud",$T689*$I689,$S689))</f>
        <v/>
      </c>
      <c r="W689" s="84" t="str">
        <f aca="false">IF($D689&lt;&gt;1,"",IF(p_mode="Nœud",$T689*$K689,$R689*IF($G689="IKS",p_iks_cpu,p_roks_cpu)+$S689*IF($G689="IKS",p_iks_ram,p_roks_ram))*p_facteur)</f>
        <v/>
      </c>
      <c r="X689" s="14" t="str">
        <f aca="false">IF($D689&lt;&gt;1,"",IF($G689="ROKS",$R689,IF($AI689=1,0,MAX($N689,$L689-SUMIFS(TblApplications[CPU IKS libérable (vCPU)],TblApplications[Cluster IKS source],$F689,TblApplications[Action],"À migrer",TblApplications[Mois prov (calc)],"&lt;="&amp;$E689)-SUMIFS(TblApplications[CPU IKS libérable (vCPU)],TblApplications[Cluster IKS source],$F689,TblApplications[Action],"À décommissionner",TblApplications[Mois lib (calc)],"&lt;="&amp;$E689)))))</f>
        <v/>
      </c>
      <c r="Y689" s="14" t="str">
        <f aca="false">IF($D689&lt;&gt;1,"",IF($G689="ROKS",$S689,IF($AI689=1,0,MAX($O689,$M689-SUMIFS(TblApplications[RAM IKS libérable (Go)],TblApplications[Cluster IKS source],$F689,TblApplications[Action],"À migrer",TblApplications[Mois prov (calc)],"&lt;="&amp;$E689)-SUMIFS(TblApplications[RAM IKS libérable (Go)],TblApplications[Cluster IKS source],$F689,TblApplications[Action],"À décommissionner",TblApplications[Mois lib (calc)],"&lt;="&amp;$E689)))))</f>
        <v/>
      </c>
      <c r="Z689" s="14" t="str">
        <f aca="false">IF($D689&lt;&gt;1,"",IF($AI689=1,0,MAX($J689,ROUNDUP(MAX($X689/$H689,$Y689/$I689),0))))</f>
        <v/>
      </c>
      <c r="AA689" s="84" t="str">
        <f aca="false">IF($D689&lt;&gt;1,"",IF(p_mode="Nœud",$Z689*$K689,$X689*IF($G689="IKS",p_iks_cpu,p_roks_cpu)+$Y689*IF($G689="IKS",p_iks_ram,p_roks_ram))*p_facteur)</f>
        <v/>
      </c>
      <c r="AB689" s="14" t="str">
        <f aca="false">IF($D689&lt;&gt;1,"",MAX($J689,ROUNDUP(MAX($L689/$H689,$M689/$I689),0)))</f>
        <v/>
      </c>
      <c r="AC689" s="84" t="str">
        <f aca="false">IF($D689&lt;&gt;1,"",IF(p_mode="Nœud",$AB689*$K689,$L689*IF($G689="IKS",p_iks_cpu,p_roks_cpu)+$M689*IF($G689="IKS",p_iks_ram,p_roks_ram))*p_facteur)</f>
        <v/>
      </c>
      <c r="AD689" s="14" t="str">
        <f aca="false">IF($D689&lt;&gt;1,"",IF(AND($G689="IKS",$AI689&lt;&gt;1,OR($L689-$P689&lt;$N689,$M689-$Q689&lt;$O689)),1,0))</f>
        <v/>
      </c>
      <c r="AE689" s="14" t="str">
        <f aca="false">IF($D689&lt;&gt;1,"",IF(AND($G689="ROKS",$T689&gt;p_maxworkers),1,0))</f>
        <v/>
      </c>
      <c r="AF689" s="14" t="str">
        <f aca="false">IF($D689&lt;&gt;1,"",IF(INDEX(TblClusters[Environnement],$B689)="","(vide)",INDEX(TblClusters[Environnement],$B689)))</f>
        <v/>
      </c>
      <c r="AG689" s="14" t="str">
        <f aca="false">IF($D689&lt;&gt;1,"",$R689+p_poidsram*$S689)</f>
        <v/>
      </c>
      <c r="AH689" s="14" t="str">
        <f aca="false">IF($D689&lt;&gt;1,"",IFERROR($W689/$AG689,0))</f>
        <v/>
      </c>
      <c r="AI689" s="14" t="str">
        <f aca="false">IF($D689&lt;&gt;1,"",IF(AND($G689="IKS",ISNUMBER(INDEX(TblClusters[Fermeture retenue],$B689))),IF($E689&gt;=INDEX(TblClusters[Fermeture retenue],$B689),1,0),0))</f>
        <v/>
      </c>
    </row>
    <row r="690" customFormat="false" ht="15" hidden="false" customHeight="false" outlineLevel="0" collapsed="false">
      <c r="A690" s="14" t="n">
        <v>685</v>
      </c>
      <c r="B690" s="14" t="n">
        <f aca="false">INT(($A690-1)/36)+1</f>
        <v>20</v>
      </c>
      <c r="C690" s="14" t="n">
        <f aca="false">MOD($A690-1,36)+1</f>
        <v>1</v>
      </c>
      <c r="D690" s="14" t="n">
        <f aca="false">IF($C690&gt;p_horizon,0,IFERROR(IF(AND(INDEX(TblClusters[Cluster],$B690)&lt;&gt;"",ISNUMBER(INDEX(TblClusters[CPU initial (vCPU)],$B690)),ISNUMBER(INDEX(TblClusters[CPU min (vCPU)],$B690)),OR(INDEX(TblClusters[Plateforme],$B690)="IKS",INDEX(TblClusters[Plateforme],$B690)="ROKS")),1,0),0))</f>
        <v>0</v>
      </c>
      <c r="E690" s="83" t="str">
        <f aca="false">IF($D690=1,EDATE(p_debut,$C690-1),"")</f>
        <v/>
      </c>
      <c r="F690" s="14" t="str">
        <f aca="false">IF($D690=1,INDEX(TblClusters[Cluster],$B690),"")</f>
        <v/>
      </c>
      <c r="G690" s="14" t="str">
        <f aca="false">IF($D690=1,INDEX(TblClusters[Plateforme],$B690),"")</f>
        <v/>
      </c>
      <c r="H690" s="14" t="str">
        <f aca="false">IF($D690=1,INDEX(TblClusters[vCPU par nœud],$B690),"")</f>
        <v/>
      </c>
      <c r="I690" s="14" t="str">
        <f aca="false">IF($D690=1,INDEX(TblClusters[RAM par nœud (Go)],$B690),"")</f>
        <v/>
      </c>
      <c r="J690" s="14" t="str">
        <f aca="false">IF($D690=1,INDEX(TblClusters[Workers min],$B690),"")</f>
        <v/>
      </c>
      <c r="K690" s="84" t="str">
        <f aca="false">IF($D690=1,INDEX(TblClusters[Tarif par nœud],$B690),"")</f>
        <v/>
      </c>
      <c r="L690" s="14" t="str">
        <f aca="false">IF($D690=1,INDEX(TblClusters[CPU initial (vCPU)],$B690),"")</f>
        <v/>
      </c>
      <c r="M690" s="14" t="str">
        <f aca="false">IF($D690=1,INDEX(TblClusters[RAM initiale (Go)],$B690),"")</f>
        <v/>
      </c>
      <c r="N690" s="14" t="str">
        <f aca="false">IF($D690=1,INDEX(TblClusters[CPU min (vCPU)],$B690),"")</f>
        <v/>
      </c>
      <c r="O690" s="14" t="str">
        <f aca="false">IF($D690=1,INDEX(TblClusters[RAM min (Go)],$B690),"")</f>
        <v/>
      </c>
      <c r="P690" s="14" t="str">
        <f aca="false">IF($D690&lt;&gt;1,"",IF($G690="ROKS",SUMIFS(TblApplications[Besoin ROKS CPU (vCPU)],TblApplications[Cluster ROKS cible],$F690,TblApplications[Action],"À migrer",TblApplications[Déjà incluse ROKS],"Non",TblApplications[Mois prov (calc)],"&lt;="&amp;$E690),SUMIFS(TblApplications[CPU IKS libérable (vCPU)],TblApplications[Cluster IKS source],$F690,TblApplications[Mois lib (calc)],"&lt;="&amp;$E690)))</f>
        <v/>
      </c>
      <c r="Q690" s="14" t="str">
        <f aca="false">IF($D690&lt;&gt;1,"",IF($G690="ROKS",SUMIFS(TblApplications[Besoin ROKS RAM (Go)],TblApplications[Cluster ROKS cible],$F690,TblApplications[Action],"À migrer",TblApplications[Déjà incluse ROKS],"Non",TblApplications[Mois prov (calc)],"&lt;="&amp;$E690),SUMIFS(TblApplications[RAM IKS libérable (Go)],TblApplications[Cluster IKS source],$F690,TblApplications[Mois lib (calc)],"&lt;="&amp;$E690)))</f>
        <v/>
      </c>
      <c r="R690" s="14" t="str">
        <f aca="false">IF($D690&lt;&gt;1,"",IF($G690="ROKS",$L690+$P690,IF($AI690=1,0,MAX($N690,$L690-$P690))))</f>
        <v/>
      </c>
      <c r="S690" s="14" t="str">
        <f aca="false">IF($D690&lt;&gt;1,"",IF($G690="ROKS",$M690+$Q690,IF($AI690=1,0,MAX($O690,$M690-$Q690))))</f>
        <v/>
      </c>
      <c r="T690" s="14" t="str">
        <f aca="false">IF($D690&lt;&gt;1,"",IF($AI690=1,0,MAX($J690,ROUNDUP(MAX($R690/$H690,$S690/$I690),0))))</f>
        <v/>
      </c>
      <c r="U690" s="14" t="str">
        <f aca="false">IF($D690&lt;&gt;1,"",IF(p_mode="Nœud",$T690*$H690,$R690))</f>
        <v/>
      </c>
      <c r="V690" s="14" t="str">
        <f aca="false">IF($D690&lt;&gt;1,"",IF(p_mode="Nœud",$T690*$I690,$S690))</f>
        <v/>
      </c>
      <c r="W690" s="84" t="str">
        <f aca="false">IF($D690&lt;&gt;1,"",IF(p_mode="Nœud",$T690*$K690,$R690*IF($G690="IKS",p_iks_cpu,p_roks_cpu)+$S690*IF($G690="IKS",p_iks_ram,p_roks_ram))*p_facteur)</f>
        <v/>
      </c>
      <c r="X690" s="14" t="str">
        <f aca="false">IF($D690&lt;&gt;1,"",IF($G690="ROKS",$R690,IF($AI690=1,0,MAX($N690,$L690-SUMIFS(TblApplications[CPU IKS libérable (vCPU)],TblApplications[Cluster IKS source],$F690,TblApplications[Action],"À migrer",TblApplications[Mois prov (calc)],"&lt;="&amp;$E690)-SUMIFS(TblApplications[CPU IKS libérable (vCPU)],TblApplications[Cluster IKS source],$F690,TblApplications[Action],"À décommissionner",TblApplications[Mois lib (calc)],"&lt;="&amp;$E690)))))</f>
        <v/>
      </c>
      <c r="Y690" s="14" t="str">
        <f aca="false">IF($D690&lt;&gt;1,"",IF($G690="ROKS",$S690,IF($AI690=1,0,MAX($O690,$M690-SUMIFS(TblApplications[RAM IKS libérable (Go)],TblApplications[Cluster IKS source],$F690,TblApplications[Action],"À migrer",TblApplications[Mois prov (calc)],"&lt;="&amp;$E690)-SUMIFS(TblApplications[RAM IKS libérable (Go)],TblApplications[Cluster IKS source],$F690,TblApplications[Action],"À décommissionner",TblApplications[Mois lib (calc)],"&lt;="&amp;$E690)))))</f>
        <v/>
      </c>
      <c r="Z690" s="14" t="str">
        <f aca="false">IF($D690&lt;&gt;1,"",IF($AI690=1,0,MAX($J690,ROUNDUP(MAX($X690/$H690,$Y690/$I690),0))))</f>
        <v/>
      </c>
      <c r="AA690" s="84" t="str">
        <f aca="false">IF($D690&lt;&gt;1,"",IF(p_mode="Nœud",$Z690*$K690,$X690*IF($G690="IKS",p_iks_cpu,p_roks_cpu)+$Y690*IF($G690="IKS",p_iks_ram,p_roks_ram))*p_facteur)</f>
        <v/>
      </c>
      <c r="AB690" s="14" t="str">
        <f aca="false">IF($D690&lt;&gt;1,"",MAX($J690,ROUNDUP(MAX($L690/$H690,$M690/$I690),0)))</f>
        <v/>
      </c>
      <c r="AC690" s="84" t="str">
        <f aca="false">IF($D690&lt;&gt;1,"",IF(p_mode="Nœud",$AB690*$K690,$L690*IF($G690="IKS",p_iks_cpu,p_roks_cpu)+$M690*IF($G690="IKS",p_iks_ram,p_roks_ram))*p_facteur)</f>
        <v/>
      </c>
      <c r="AD690" s="14" t="str">
        <f aca="false">IF($D690&lt;&gt;1,"",IF(AND($G690="IKS",$AI690&lt;&gt;1,OR($L690-$P690&lt;$N690,$M690-$Q690&lt;$O690)),1,0))</f>
        <v/>
      </c>
      <c r="AE690" s="14" t="str">
        <f aca="false">IF($D690&lt;&gt;1,"",IF(AND($G690="ROKS",$T690&gt;p_maxworkers),1,0))</f>
        <v/>
      </c>
      <c r="AF690" s="14" t="str">
        <f aca="false">IF($D690&lt;&gt;1,"",IF(INDEX(TblClusters[Environnement],$B690)="","(vide)",INDEX(TblClusters[Environnement],$B690)))</f>
        <v/>
      </c>
      <c r="AG690" s="14" t="str">
        <f aca="false">IF($D690&lt;&gt;1,"",$R690+p_poidsram*$S690)</f>
        <v/>
      </c>
      <c r="AH690" s="14" t="str">
        <f aca="false">IF($D690&lt;&gt;1,"",IFERROR($W690/$AG690,0))</f>
        <v/>
      </c>
      <c r="AI690" s="14" t="str">
        <f aca="false">IF($D690&lt;&gt;1,"",IF(AND($G690="IKS",ISNUMBER(INDEX(TblClusters[Fermeture retenue],$B690))),IF($E690&gt;=INDEX(TblClusters[Fermeture retenue],$B690),1,0),0))</f>
        <v/>
      </c>
    </row>
    <row r="691" customFormat="false" ht="15" hidden="false" customHeight="false" outlineLevel="0" collapsed="false">
      <c r="A691" s="14" t="n">
        <v>686</v>
      </c>
      <c r="B691" s="14" t="n">
        <f aca="false">INT(($A691-1)/36)+1</f>
        <v>20</v>
      </c>
      <c r="C691" s="14" t="n">
        <f aca="false">MOD($A691-1,36)+1</f>
        <v>2</v>
      </c>
      <c r="D691" s="14" t="n">
        <f aca="false">IF($C691&gt;p_horizon,0,IFERROR(IF(AND(INDEX(TblClusters[Cluster],$B691)&lt;&gt;"",ISNUMBER(INDEX(TblClusters[CPU initial (vCPU)],$B691)),ISNUMBER(INDEX(TblClusters[CPU min (vCPU)],$B691)),OR(INDEX(TblClusters[Plateforme],$B691)="IKS",INDEX(TblClusters[Plateforme],$B691)="ROKS")),1,0),0))</f>
        <v>0</v>
      </c>
      <c r="E691" s="83" t="str">
        <f aca="false">IF($D691=1,EDATE(p_debut,$C691-1),"")</f>
        <v/>
      </c>
      <c r="F691" s="14" t="str">
        <f aca="false">IF($D691=1,INDEX(TblClusters[Cluster],$B691),"")</f>
        <v/>
      </c>
      <c r="G691" s="14" t="str">
        <f aca="false">IF($D691=1,INDEX(TblClusters[Plateforme],$B691),"")</f>
        <v/>
      </c>
      <c r="H691" s="14" t="str">
        <f aca="false">IF($D691=1,INDEX(TblClusters[vCPU par nœud],$B691),"")</f>
        <v/>
      </c>
      <c r="I691" s="14" t="str">
        <f aca="false">IF($D691=1,INDEX(TblClusters[RAM par nœud (Go)],$B691),"")</f>
        <v/>
      </c>
      <c r="J691" s="14" t="str">
        <f aca="false">IF($D691=1,INDEX(TblClusters[Workers min],$B691),"")</f>
        <v/>
      </c>
      <c r="K691" s="84" t="str">
        <f aca="false">IF($D691=1,INDEX(TblClusters[Tarif par nœud],$B691),"")</f>
        <v/>
      </c>
      <c r="L691" s="14" t="str">
        <f aca="false">IF($D691=1,INDEX(TblClusters[CPU initial (vCPU)],$B691),"")</f>
        <v/>
      </c>
      <c r="M691" s="14" t="str">
        <f aca="false">IF($D691=1,INDEX(TblClusters[RAM initiale (Go)],$B691),"")</f>
        <v/>
      </c>
      <c r="N691" s="14" t="str">
        <f aca="false">IF($D691=1,INDEX(TblClusters[CPU min (vCPU)],$B691),"")</f>
        <v/>
      </c>
      <c r="O691" s="14" t="str">
        <f aca="false">IF($D691=1,INDEX(TblClusters[RAM min (Go)],$B691),"")</f>
        <v/>
      </c>
      <c r="P691" s="14" t="str">
        <f aca="false">IF($D691&lt;&gt;1,"",IF($G691="ROKS",SUMIFS(TblApplications[Besoin ROKS CPU (vCPU)],TblApplications[Cluster ROKS cible],$F691,TblApplications[Action],"À migrer",TblApplications[Déjà incluse ROKS],"Non",TblApplications[Mois prov (calc)],"&lt;="&amp;$E691),SUMIFS(TblApplications[CPU IKS libérable (vCPU)],TblApplications[Cluster IKS source],$F691,TblApplications[Mois lib (calc)],"&lt;="&amp;$E691)))</f>
        <v/>
      </c>
      <c r="Q691" s="14" t="str">
        <f aca="false">IF($D691&lt;&gt;1,"",IF($G691="ROKS",SUMIFS(TblApplications[Besoin ROKS RAM (Go)],TblApplications[Cluster ROKS cible],$F691,TblApplications[Action],"À migrer",TblApplications[Déjà incluse ROKS],"Non",TblApplications[Mois prov (calc)],"&lt;="&amp;$E691),SUMIFS(TblApplications[RAM IKS libérable (Go)],TblApplications[Cluster IKS source],$F691,TblApplications[Mois lib (calc)],"&lt;="&amp;$E691)))</f>
        <v/>
      </c>
      <c r="R691" s="14" t="str">
        <f aca="false">IF($D691&lt;&gt;1,"",IF($G691="ROKS",$L691+$P691,IF($AI691=1,0,MAX($N691,$L691-$P691))))</f>
        <v/>
      </c>
      <c r="S691" s="14" t="str">
        <f aca="false">IF($D691&lt;&gt;1,"",IF($G691="ROKS",$M691+$Q691,IF($AI691=1,0,MAX($O691,$M691-$Q691))))</f>
        <v/>
      </c>
      <c r="T691" s="14" t="str">
        <f aca="false">IF($D691&lt;&gt;1,"",IF($AI691=1,0,MAX($J691,ROUNDUP(MAX($R691/$H691,$S691/$I691),0))))</f>
        <v/>
      </c>
      <c r="U691" s="14" t="str">
        <f aca="false">IF($D691&lt;&gt;1,"",IF(p_mode="Nœud",$T691*$H691,$R691))</f>
        <v/>
      </c>
      <c r="V691" s="14" t="str">
        <f aca="false">IF($D691&lt;&gt;1,"",IF(p_mode="Nœud",$T691*$I691,$S691))</f>
        <v/>
      </c>
      <c r="W691" s="84" t="str">
        <f aca="false">IF($D691&lt;&gt;1,"",IF(p_mode="Nœud",$T691*$K691,$R691*IF($G691="IKS",p_iks_cpu,p_roks_cpu)+$S691*IF($G691="IKS",p_iks_ram,p_roks_ram))*p_facteur)</f>
        <v/>
      </c>
      <c r="X691" s="14" t="str">
        <f aca="false">IF($D691&lt;&gt;1,"",IF($G691="ROKS",$R691,IF($AI691=1,0,MAX($N691,$L691-SUMIFS(TblApplications[CPU IKS libérable (vCPU)],TblApplications[Cluster IKS source],$F691,TblApplications[Action],"À migrer",TblApplications[Mois prov (calc)],"&lt;="&amp;$E691)-SUMIFS(TblApplications[CPU IKS libérable (vCPU)],TblApplications[Cluster IKS source],$F691,TblApplications[Action],"À décommissionner",TblApplications[Mois lib (calc)],"&lt;="&amp;$E691)))))</f>
        <v/>
      </c>
      <c r="Y691" s="14" t="str">
        <f aca="false">IF($D691&lt;&gt;1,"",IF($G691="ROKS",$S691,IF($AI691=1,0,MAX($O691,$M691-SUMIFS(TblApplications[RAM IKS libérable (Go)],TblApplications[Cluster IKS source],$F691,TblApplications[Action],"À migrer",TblApplications[Mois prov (calc)],"&lt;="&amp;$E691)-SUMIFS(TblApplications[RAM IKS libérable (Go)],TblApplications[Cluster IKS source],$F691,TblApplications[Action],"À décommissionner",TblApplications[Mois lib (calc)],"&lt;="&amp;$E691)))))</f>
        <v/>
      </c>
      <c r="Z691" s="14" t="str">
        <f aca="false">IF($D691&lt;&gt;1,"",IF($AI691=1,0,MAX($J691,ROUNDUP(MAX($X691/$H691,$Y691/$I691),0))))</f>
        <v/>
      </c>
      <c r="AA691" s="84" t="str">
        <f aca="false">IF($D691&lt;&gt;1,"",IF(p_mode="Nœud",$Z691*$K691,$X691*IF($G691="IKS",p_iks_cpu,p_roks_cpu)+$Y691*IF($G691="IKS",p_iks_ram,p_roks_ram))*p_facteur)</f>
        <v/>
      </c>
      <c r="AB691" s="14" t="str">
        <f aca="false">IF($D691&lt;&gt;1,"",MAX($J691,ROUNDUP(MAX($L691/$H691,$M691/$I691),0)))</f>
        <v/>
      </c>
      <c r="AC691" s="84" t="str">
        <f aca="false">IF($D691&lt;&gt;1,"",IF(p_mode="Nœud",$AB691*$K691,$L691*IF($G691="IKS",p_iks_cpu,p_roks_cpu)+$M691*IF($G691="IKS",p_iks_ram,p_roks_ram))*p_facteur)</f>
        <v/>
      </c>
      <c r="AD691" s="14" t="str">
        <f aca="false">IF($D691&lt;&gt;1,"",IF(AND($G691="IKS",$AI691&lt;&gt;1,OR($L691-$P691&lt;$N691,$M691-$Q691&lt;$O691)),1,0))</f>
        <v/>
      </c>
      <c r="AE691" s="14" t="str">
        <f aca="false">IF($D691&lt;&gt;1,"",IF(AND($G691="ROKS",$T691&gt;p_maxworkers),1,0))</f>
        <v/>
      </c>
      <c r="AF691" s="14" t="str">
        <f aca="false">IF($D691&lt;&gt;1,"",IF(INDEX(TblClusters[Environnement],$B691)="","(vide)",INDEX(TblClusters[Environnement],$B691)))</f>
        <v/>
      </c>
      <c r="AG691" s="14" t="str">
        <f aca="false">IF($D691&lt;&gt;1,"",$R691+p_poidsram*$S691)</f>
        <v/>
      </c>
      <c r="AH691" s="14" t="str">
        <f aca="false">IF($D691&lt;&gt;1,"",IFERROR($W691/$AG691,0))</f>
        <v/>
      </c>
      <c r="AI691" s="14" t="str">
        <f aca="false">IF($D691&lt;&gt;1,"",IF(AND($G691="IKS",ISNUMBER(INDEX(TblClusters[Fermeture retenue],$B691))),IF($E691&gt;=INDEX(TblClusters[Fermeture retenue],$B691),1,0),0))</f>
        <v/>
      </c>
    </row>
    <row r="692" customFormat="false" ht="15" hidden="false" customHeight="false" outlineLevel="0" collapsed="false">
      <c r="A692" s="14" t="n">
        <v>687</v>
      </c>
      <c r="B692" s="14" t="n">
        <f aca="false">INT(($A692-1)/36)+1</f>
        <v>20</v>
      </c>
      <c r="C692" s="14" t="n">
        <f aca="false">MOD($A692-1,36)+1</f>
        <v>3</v>
      </c>
      <c r="D692" s="14" t="n">
        <f aca="false">IF($C692&gt;p_horizon,0,IFERROR(IF(AND(INDEX(TblClusters[Cluster],$B692)&lt;&gt;"",ISNUMBER(INDEX(TblClusters[CPU initial (vCPU)],$B692)),ISNUMBER(INDEX(TblClusters[CPU min (vCPU)],$B692)),OR(INDEX(TblClusters[Plateforme],$B692)="IKS",INDEX(TblClusters[Plateforme],$B692)="ROKS")),1,0),0))</f>
        <v>0</v>
      </c>
      <c r="E692" s="83" t="str">
        <f aca="false">IF($D692=1,EDATE(p_debut,$C692-1),"")</f>
        <v/>
      </c>
      <c r="F692" s="14" t="str">
        <f aca="false">IF($D692=1,INDEX(TblClusters[Cluster],$B692),"")</f>
        <v/>
      </c>
      <c r="G692" s="14" t="str">
        <f aca="false">IF($D692=1,INDEX(TblClusters[Plateforme],$B692),"")</f>
        <v/>
      </c>
      <c r="H692" s="14" t="str">
        <f aca="false">IF($D692=1,INDEX(TblClusters[vCPU par nœud],$B692),"")</f>
        <v/>
      </c>
      <c r="I692" s="14" t="str">
        <f aca="false">IF($D692=1,INDEX(TblClusters[RAM par nœud (Go)],$B692),"")</f>
        <v/>
      </c>
      <c r="J692" s="14" t="str">
        <f aca="false">IF($D692=1,INDEX(TblClusters[Workers min],$B692),"")</f>
        <v/>
      </c>
      <c r="K692" s="84" t="str">
        <f aca="false">IF($D692=1,INDEX(TblClusters[Tarif par nœud],$B692),"")</f>
        <v/>
      </c>
      <c r="L692" s="14" t="str">
        <f aca="false">IF($D692=1,INDEX(TblClusters[CPU initial (vCPU)],$B692),"")</f>
        <v/>
      </c>
      <c r="M692" s="14" t="str">
        <f aca="false">IF($D692=1,INDEX(TblClusters[RAM initiale (Go)],$B692),"")</f>
        <v/>
      </c>
      <c r="N692" s="14" t="str">
        <f aca="false">IF($D692=1,INDEX(TblClusters[CPU min (vCPU)],$B692),"")</f>
        <v/>
      </c>
      <c r="O692" s="14" t="str">
        <f aca="false">IF($D692=1,INDEX(TblClusters[RAM min (Go)],$B692),"")</f>
        <v/>
      </c>
      <c r="P692" s="14" t="str">
        <f aca="false">IF($D692&lt;&gt;1,"",IF($G692="ROKS",SUMIFS(TblApplications[Besoin ROKS CPU (vCPU)],TblApplications[Cluster ROKS cible],$F692,TblApplications[Action],"À migrer",TblApplications[Déjà incluse ROKS],"Non",TblApplications[Mois prov (calc)],"&lt;="&amp;$E692),SUMIFS(TblApplications[CPU IKS libérable (vCPU)],TblApplications[Cluster IKS source],$F692,TblApplications[Mois lib (calc)],"&lt;="&amp;$E692)))</f>
        <v/>
      </c>
      <c r="Q692" s="14" t="str">
        <f aca="false">IF($D692&lt;&gt;1,"",IF($G692="ROKS",SUMIFS(TblApplications[Besoin ROKS RAM (Go)],TblApplications[Cluster ROKS cible],$F692,TblApplications[Action],"À migrer",TblApplications[Déjà incluse ROKS],"Non",TblApplications[Mois prov (calc)],"&lt;="&amp;$E692),SUMIFS(TblApplications[RAM IKS libérable (Go)],TblApplications[Cluster IKS source],$F692,TblApplications[Mois lib (calc)],"&lt;="&amp;$E692)))</f>
        <v/>
      </c>
      <c r="R692" s="14" t="str">
        <f aca="false">IF($D692&lt;&gt;1,"",IF($G692="ROKS",$L692+$P692,IF($AI692=1,0,MAX($N692,$L692-$P692))))</f>
        <v/>
      </c>
      <c r="S692" s="14" t="str">
        <f aca="false">IF($D692&lt;&gt;1,"",IF($G692="ROKS",$M692+$Q692,IF($AI692=1,0,MAX($O692,$M692-$Q692))))</f>
        <v/>
      </c>
      <c r="T692" s="14" t="str">
        <f aca="false">IF($D692&lt;&gt;1,"",IF($AI692=1,0,MAX($J692,ROUNDUP(MAX($R692/$H692,$S692/$I692),0))))</f>
        <v/>
      </c>
      <c r="U692" s="14" t="str">
        <f aca="false">IF($D692&lt;&gt;1,"",IF(p_mode="Nœud",$T692*$H692,$R692))</f>
        <v/>
      </c>
      <c r="V692" s="14" t="str">
        <f aca="false">IF($D692&lt;&gt;1,"",IF(p_mode="Nœud",$T692*$I692,$S692))</f>
        <v/>
      </c>
      <c r="W692" s="84" t="str">
        <f aca="false">IF($D692&lt;&gt;1,"",IF(p_mode="Nœud",$T692*$K692,$R692*IF($G692="IKS",p_iks_cpu,p_roks_cpu)+$S692*IF($G692="IKS",p_iks_ram,p_roks_ram))*p_facteur)</f>
        <v/>
      </c>
      <c r="X692" s="14" t="str">
        <f aca="false">IF($D692&lt;&gt;1,"",IF($G692="ROKS",$R692,IF($AI692=1,0,MAX($N692,$L692-SUMIFS(TblApplications[CPU IKS libérable (vCPU)],TblApplications[Cluster IKS source],$F692,TblApplications[Action],"À migrer",TblApplications[Mois prov (calc)],"&lt;="&amp;$E692)-SUMIFS(TblApplications[CPU IKS libérable (vCPU)],TblApplications[Cluster IKS source],$F692,TblApplications[Action],"À décommissionner",TblApplications[Mois lib (calc)],"&lt;="&amp;$E692)))))</f>
        <v/>
      </c>
      <c r="Y692" s="14" t="str">
        <f aca="false">IF($D692&lt;&gt;1,"",IF($G692="ROKS",$S692,IF($AI692=1,0,MAX($O692,$M692-SUMIFS(TblApplications[RAM IKS libérable (Go)],TblApplications[Cluster IKS source],$F692,TblApplications[Action],"À migrer",TblApplications[Mois prov (calc)],"&lt;="&amp;$E692)-SUMIFS(TblApplications[RAM IKS libérable (Go)],TblApplications[Cluster IKS source],$F692,TblApplications[Action],"À décommissionner",TblApplications[Mois lib (calc)],"&lt;="&amp;$E692)))))</f>
        <v/>
      </c>
      <c r="Z692" s="14" t="str">
        <f aca="false">IF($D692&lt;&gt;1,"",IF($AI692=1,0,MAX($J692,ROUNDUP(MAX($X692/$H692,$Y692/$I692),0))))</f>
        <v/>
      </c>
      <c r="AA692" s="84" t="str">
        <f aca="false">IF($D692&lt;&gt;1,"",IF(p_mode="Nœud",$Z692*$K692,$X692*IF($G692="IKS",p_iks_cpu,p_roks_cpu)+$Y692*IF($G692="IKS",p_iks_ram,p_roks_ram))*p_facteur)</f>
        <v/>
      </c>
      <c r="AB692" s="14" t="str">
        <f aca="false">IF($D692&lt;&gt;1,"",MAX($J692,ROUNDUP(MAX($L692/$H692,$M692/$I692),0)))</f>
        <v/>
      </c>
      <c r="AC692" s="84" t="str">
        <f aca="false">IF($D692&lt;&gt;1,"",IF(p_mode="Nœud",$AB692*$K692,$L692*IF($G692="IKS",p_iks_cpu,p_roks_cpu)+$M692*IF($G692="IKS",p_iks_ram,p_roks_ram))*p_facteur)</f>
        <v/>
      </c>
      <c r="AD692" s="14" t="str">
        <f aca="false">IF($D692&lt;&gt;1,"",IF(AND($G692="IKS",$AI692&lt;&gt;1,OR($L692-$P692&lt;$N692,$M692-$Q692&lt;$O692)),1,0))</f>
        <v/>
      </c>
      <c r="AE692" s="14" t="str">
        <f aca="false">IF($D692&lt;&gt;1,"",IF(AND($G692="ROKS",$T692&gt;p_maxworkers),1,0))</f>
        <v/>
      </c>
      <c r="AF692" s="14" t="str">
        <f aca="false">IF($D692&lt;&gt;1,"",IF(INDEX(TblClusters[Environnement],$B692)="","(vide)",INDEX(TblClusters[Environnement],$B692)))</f>
        <v/>
      </c>
      <c r="AG692" s="14" t="str">
        <f aca="false">IF($D692&lt;&gt;1,"",$R692+p_poidsram*$S692)</f>
        <v/>
      </c>
      <c r="AH692" s="14" t="str">
        <f aca="false">IF($D692&lt;&gt;1,"",IFERROR($W692/$AG692,0))</f>
        <v/>
      </c>
      <c r="AI692" s="14" t="str">
        <f aca="false">IF($D692&lt;&gt;1,"",IF(AND($G692="IKS",ISNUMBER(INDEX(TblClusters[Fermeture retenue],$B692))),IF($E692&gt;=INDEX(TblClusters[Fermeture retenue],$B692),1,0),0))</f>
        <v/>
      </c>
    </row>
    <row r="693" customFormat="false" ht="15" hidden="false" customHeight="false" outlineLevel="0" collapsed="false">
      <c r="A693" s="14" t="n">
        <v>688</v>
      </c>
      <c r="B693" s="14" t="n">
        <f aca="false">INT(($A693-1)/36)+1</f>
        <v>20</v>
      </c>
      <c r="C693" s="14" t="n">
        <f aca="false">MOD($A693-1,36)+1</f>
        <v>4</v>
      </c>
      <c r="D693" s="14" t="n">
        <f aca="false">IF($C693&gt;p_horizon,0,IFERROR(IF(AND(INDEX(TblClusters[Cluster],$B693)&lt;&gt;"",ISNUMBER(INDEX(TblClusters[CPU initial (vCPU)],$B693)),ISNUMBER(INDEX(TblClusters[CPU min (vCPU)],$B693)),OR(INDEX(TblClusters[Plateforme],$B693)="IKS",INDEX(TblClusters[Plateforme],$B693)="ROKS")),1,0),0))</f>
        <v>0</v>
      </c>
      <c r="E693" s="83" t="str">
        <f aca="false">IF($D693=1,EDATE(p_debut,$C693-1),"")</f>
        <v/>
      </c>
      <c r="F693" s="14" t="str">
        <f aca="false">IF($D693=1,INDEX(TblClusters[Cluster],$B693),"")</f>
        <v/>
      </c>
      <c r="G693" s="14" t="str">
        <f aca="false">IF($D693=1,INDEX(TblClusters[Plateforme],$B693),"")</f>
        <v/>
      </c>
      <c r="H693" s="14" t="str">
        <f aca="false">IF($D693=1,INDEX(TblClusters[vCPU par nœud],$B693),"")</f>
        <v/>
      </c>
      <c r="I693" s="14" t="str">
        <f aca="false">IF($D693=1,INDEX(TblClusters[RAM par nœud (Go)],$B693),"")</f>
        <v/>
      </c>
      <c r="J693" s="14" t="str">
        <f aca="false">IF($D693=1,INDEX(TblClusters[Workers min],$B693),"")</f>
        <v/>
      </c>
      <c r="K693" s="84" t="str">
        <f aca="false">IF($D693=1,INDEX(TblClusters[Tarif par nœud],$B693),"")</f>
        <v/>
      </c>
      <c r="L693" s="14" t="str">
        <f aca="false">IF($D693=1,INDEX(TblClusters[CPU initial (vCPU)],$B693),"")</f>
        <v/>
      </c>
      <c r="M693" s="14" t="str">
        <f aca="false">IF($D693=1,INDEX(TblClusters[RAM initiale (Go)],$B693),"")</f>
        <v/>
      </c>
      <c r="N693" s="14" t="str">
        <f aca="false">IF($D693=1,INDEX(TblClusters[CPU min (vCPU)],$B693),"")</f>
        <v/>
      </c>
      <c r="O693" s="14" t="str">
        <f aca="false">IF($D693=1,INDEX(TblClusters[RAM min (Go)],$B693),"")</f>
        <v/>
      </c>
      <c r="P693" s="14" t="str">
        <f aca="false">IF($D693&lt;&gt;1,"",IF($G693="ROKS",SUMIFS(TblApplications[Besoin ROKS CPU (vCPU)],TblApplications[Cluster ROKS cible],$F693,TblApplications[Action],"À migrer",TblApplications[Déjà incluse ROKS],"Non",TblApplications[Mois prov (calc)],"&lt;="&amp;$E693),SUMIFS(TblApplications[CPU IKS libérable (vCPU)],TblApplications[Cluster IKS source],$F693,TblApplications[Mois lib (calc)],"&lt;="&amp;$E693)))</f>
        <v/>
      </c>
      <c r="Q693" s="14" t="str">
        <f aca="false">IF($D693&lt;&gt;1,"",IF($G693="ROKS",SUMIFS(TblApplications[Besoin ROKS RAM (Go)],TblApplications[Cluster ROKS cible],$F693,TblApplications[Action],"À migrer",TblApplications[Déjà incluse ROKS],"Non",TblApplications[Mois prov (calc)],"&lt;="&amp;$E693),SUMIFS(TblApplications[RAM IKS libérable (Go)],TblApplications[Cluster IKS source],$F693,TblApplications[Mois lib (calc)],"&lt;="&amp;$E693)))</f>
        <v/>
      </c>
      <c r="R693" s="14" t="str">
        <f aca="false">IF($D693&lt;&gt;1,"",IF($G693="ROKS",$L693+$P693,IF($AI693=1,0,MAX($N693,$L693-$P693))))</f>
        <v/>
      </c>
      <c r="S693" s="14" t="str">
        <f aca="false">IF($D693&lt;&gt;1,"",IF($G693="ROKS",$M693+$Q693,IF($AI693=1,0,MAX($O693,$M693-$Q693))))</f>
        <v/>
      </c>
      <c r="T693" s="14" t="str">
        <f aca="false">IF($D693&lt;&gt;1,"",IF($AI693=1,0,MAX($J693,ROUNDUP(MAX($R693/$H693,$S693/$I693),0))))</f>
        <v/>
      </c>
      <c r="U693" s="14" t="str">
        <f aca="false">IF($D693&lt;&gt;1,"",IF(p_mode="Nœud",$T693*$H693,$R693))</f>
        <v/>
      </c>
      <c r="V693" s="14" t="str">
        <f aca="false">IF($D693&lt;&gt;1,"",IF(p_mode="Nœud",$T693*$I693,$S693))</f>
        <v/>
      </c>
      <c r="W693" s="84" t="str">
        <f aca="false">IF($D693&lt;&gt;1,"",IF(p_mode="Nœud",$T693*$K693,$R693*IF($G693="IKS",p_iks_cpu,p_roks_cpu)+$S693*IF($G693="IKS",p_iks_ram,p_roks_ram))*p_facteur)</f>
        <v/>
      </c>
      <c r="X693" s="14" t="str">
        <f aca="false">IF($D693&lt;&gt;1,"",IF($G693="ROKS",$R693,IF($AI693=1,0,MAX($N693,$L693-SUMIFS(TblApplications[CPU IKS libérable (vCPU)],TblApplications[Cluster IKS source],$F693,TblApplications[Action],"À migrer",TblApplications[Mois prov (calc)],"&lt;="&amp;$E693)-SUMIFS(TblApplications[CPU IKS libérable (vCPU)],TblApplications[Cluster IKS source],$F693,TblApplications[Action],"À décommissionner",TblApplications[Mois lib (calc)],"&lt;="&amp;$E693)))))</f>
        <v/>
      </c>
      <c r="Y693" s="14" t="str">
        <f aca="false">IF($D693&lt;&gt;1,"",IF($G693="ROKS",$S693,IF($AI693=1,0,MAX($O693,$M693-SUMIFS(TblApplications[RAM IKS libérable (Go)],TblApplications[Cluster IKS source],$F693,TblApplications[Action],"À migrer",TblApplications[Mois prov (calc)],"&lt;="&amp;$E693)-SUMIFS(TblApplications[RAM IKS libérable (Go)],TblApplications[Cluster IKS source],$F693,TblApplications[Action],"À décommissionner",TblApplications[Mois lib (calc)],"&lt;="&amp;$E693)))))</f>
        <v/>
      </c>
      <c r="Z693" s="14" t="str">
        <f aca="false">IF($D693&lt;&gt;1,"",IF($AI693=1,0,MAX($J693,ROUNDUP(MAX($X693/$H693,$Y693/$I693),0))))</f>
        <v/>
      </c>
      <c r="AA693" s="84" t="str">
        <f aca="false">IF($D693&lt;&gt;1,"",IF(p_mode="Nœud",$Z693*$K693,$X693*IF($G693="IKS",p_iks_cpu,p_roks_cpu)+$Y693*IF($G693="IKS",p_iks_ram,p_roks_ram))*p_facteur)</f>
        <v/>
      </c>
      <c r="AB693" s="14" t="str">
        <f aca="false">IF($D693&lt;&gt;1,"",MAX($J693,ROUNDUP(MAX($L693/$H693,$M693/$I693),0)))</f>
        <v/>
      </c>
      <c r="AC693" s="84" t="str">
        <f aca="false">IF($D693&lt;&gt;1,"",IF(p_mode="Nœud",$AB693*$K693,$L693*IF($G693="IKS",p_iks_cpu,p_roks_cpu)+$M693*IF($G693="IKS",p_iks_ram,p_roks_ram))*p_facteur)</f>
        <v/>
      </c>
      <c r="AD693" s="14" t="str">
        <f aca="false">IF($D693&lt;&gt;1,"",IF(AND($G693="IKS",$AI693&lt;&gt;1,OR($L693-$P693&lt;$N693,$M693-$Q693&lt;$O693)),1,0))</f>
        <v/>
      </c>
      <c r="AE693" s="14" t="str">
        <f aca="false">IF($D693&lt;&gt;1,"",IF(AND($G693="ROKS",$T693&gt;p_maxworkers),1,0))</f>
        <v/>
      </c>
      <c r="AF693" s="14" t="str">
        <f aca="false">IF($D693&lt;&gt;1,"",IF(INDEX(TblClusters[Environnement],$B693)="","(vide)",INDEX(TblClusters[Environnement],$B693)))</f>
        <v/>
      </c>
      <c r="AG693" s="14" t="str">
        <f aca="false">IF($D693&lt;&gt;1,"",$R693+p_poidsram*$S693)</f>
        <v/>
      </c>
      <c r="AH693" s="14" t="str">
        <f aca="false">IF($D693&lt;&gt;1,"",IFERROR($W693/$AG693,0))</f>
        <v/>
      </c>
      <c r="AI693" s="14" t="str">
        <f aca="false">IF($D693&lt;&gt;1,"",IF(AND($G693="IKS",ISNUMBER(INDEX(TblClusters[Fermeture retenue],$B693))),IF($E693&gt;=INDEX(TblClusters[Fermeture retenue],$B693),1,0),0))</f>
        <v/>
      </c>
    </row>
    <row r="694" customFormat="false" ht="15" hidden="false" customHeight="false" outlineLevel="0" collapsed="false">
      <c r="A694" s="14" t="n">
        <v>689</v>
      </c>
      <c r="B694" s="14" t="n">
        <f aca="false">INT(($A694-1)/36)+1</f>
        <v>20</v>
      </c>
      <c r="C694" s="14" t="n">
        <f aca="false">MOD($A694-1,36)+1</f>
        <v>5</v>
      </c>
      <c r="D694" s="14" t="n">
        <f aca="false">IF($C694&gt;p_horizon,0,IFERROR(IF(AND(INDEX(TblClusters[Cluster],$B694)&lt;&gt;"",ISNUMBER(INDEX(TblClusters[CPU initial (vCPU)],$B694)),ISNUMBER(INDEX(TblClusters[CPU min (vCPU)],$B694)),OR(INDEX(TblClusters[Plateforme],$B694)="IKS",INDEX(TblClusters[Plateforme],$B694)="ROKS")),1,0),0))</f>
        <v>0</v>
      </c>
      <c r="E694" s="83" t="str">
        <f aca="false">IF($D694=1,EDATE(p_debut,$C694-1),"")</f>
        <v/>
      </c>
      <c r="F694" s="14" t="str">
        <f aca="false">IF($D694=1,INDEX(TblClusters[Cluster],$B694),"")</f>
        <v/>
      </c>
      <c r="G694" s="14" t="str">
        <f aca="false">IF($D694=1,INDEX(TblClusters[Plateforme],$B694),"")</f>
        <v/>
      </c>
      <c r="H694" s="14" t="str">
        <f aca="false">IF($D694=1,INDEX(TblClusters[vCPU par nœud],$B694),"")</f>
        <v/>
      </c>
      <c r="I694" s="14" t="str">
        <f aca="false">IF($D694=1,INDEX(TblClusters[RAM par nœud (Go)],$B694),"")</f>
        <v/>
      </c>
      <c r="J694" s="14" t="str">
        <f aca="false">IF($D694=1,INDEX(TblClusters[Workers min],$B694),"")</f>
        <v/>
      </c>
      <c r="K694" s="84" t="str">
        <f aca="false">IF($D694=1,INDEX(TblClusters[Tarif par nœud],$B694),"")</f>
        <v/>
      </c>
      <c r="L694" s="14" t="str">
        <f aca="false">IF($D694=1,INDEX(TblClusters[CPU initial (vCPU)],$B694),"")</f>
        <v/>
      </c>
      <c r="M694" s="14" t="str">
        <f aca="false">IF($D694=1,INDEX(TblClusters[RAM initiale (Go)],$B694),"")</f>
        <v/>
      </c>
      <c r="N694" s="14" t="str">
        <f aca="false">IF($D694=1,INDEX(TblClusters[CPU min (vCPU)],$B694),"")</f>
        <v/>
      </c>
      <c r="O694" s="14" t="str">
        <f aca="false">IF($D694=1,INDEX(TblClusters[RAM min (Go)],$B694),"")</f>
        <v/>
      </c>
      <c r="P694" s="14" t="str">
        <f aca="false">IF($D694&lt;&gt;1,"",IF($G694="ROKS",SUMIFS(TblApplications[Besoin ROKS CPU (vCPU)],TblApplications[Cluster ROKS cible],$F694,TblApplications[Action],"À migrer",TblApplications[Déjà incluse ROKS],"Non",TblApplications[Mois prov (calc)],"&lt;="&amp;$E694),SUMIFS(TblApplications[CPU IKS libérable (vCPU)],TblApplications[Cluster IKS source],$F694,TblApplications[Mois lib (calc)],"&lt;="&amp;$E694)))</f>
        <v/>
      </c>
      <c r="Q694" s="14" t="str">
        <f aca="false">IF($D694&lt;&gt;1,"",IF($G694="ROKS",SUMIFS(TblApplications[Besoin ROKS RAM (Go)],TblApplications[Cluster ROKS cible],$F694,TblApplications[Action],"À migrer",TblApplications[Déjà incluse ROKS],"Non",TblApplications[Mois prov (calc)],"&lt;="&amp;$E694),SUMIFS(TblApplications[RAM IKS libérable (Go)],TblApplications[Cluster IKS source],$F694,TblApplications[Mois lib (calc)],"&lt;="&amp;$E694)))</f>
        <v/>
      </c>
      <c r="R694" s="14" t="str">
        <f aca="false">IF($D694&lt;&gt;1,"",IF($G694="ROKS",$L694+$P694,IF($AI694=1,0,MAX($N694,$L694-$P694))))</f>
        <v/>
      </c>
      <c r="S694" s="14" t="str">
        <f aca="false">IF($D694&lt;&gt;1,"",IF($G694="ROKS",$M694+$Q694,IF($AI694=1,0,MAX($O694,$M694-$Q694))))</f>
        <v/>
      </c>
      <c r="T694" s="14" t="str">
        <f aca="false">IF($D694&lt;&gt;1,"",IF($AI694=1,0,MAX($J694,ROUNDUP(MAX($R694/$H694,$S694/$I694),0))))</f>
        <v/>
      </c>
      <c r="U694" s="14" t="str">
        <f aca="false">IF($D694&lt;&gt;1,"",IF(p_mode="Nœud",$T694*$H694,$R694))</f>
        <v/>
      </c>
      <c r="V694" s="14" t="str">
        <f aca="false">IF($D694&lt;&gt;1,"",IF(p_mode="Nœud",$T694*$I694,$S694))</f>
        <v/>
      </c>
      <c r="W694" s="84" t="str">
        <f aca="false">IF($D694&lt;&gt;1,"",IF(p_mode="Nœud",$T694*$K694,$R694*IF($G694="IKS",p_iks_cpu,p_roks_cpu)+$S694*IF($G694="IKS",p_iks_ram,p_roks_ram))*p_facteur)</f>
        <v/>
      </c>
      <c r="X694" s="14" t="str">
        <f aca="false">IF($D694&lt;&gt;1,"",IF($G694="ROKS",$R694,IF($AI694=1,0,MAX($N694,$L694-SUMIFS(TblApplications[CPU IKS libérable (vCPU)],TblApplications[Cluster IKS source],$F694,TblApplications[Action],"À migrer",TblApplications[Mois prov (calc)],"&lt;="&amp;$E694)-SUMIFS(TblApplications[CPU IKS libérable (vCPU)],TblApplications[Cluster IKS source],$F694,TblApplications[Action],"À décommissionner",TblApplications[Mois lib (calc)],"&lt;="&amp;$E694)))))</f>
        <v/>
      </c>
      <c r="Y694" s="14" t="str">
        <f aca="false">IF($D694&lt;&gt;1,"",IF($G694="ROKS",$S694,IF($AI694=1,0,MAX($O694,$M694-SUMIFS(TblApplications[RAM IKS libérable (Go)],TblApplications[Cluster IKS source],$F694,TblApplications[Action],"À migrer",TblApplications[Mois prov (calc)],"&lt;="&amp;$E694)-SUMIFS(TblApplications[RAM IKS libérable (Go)],TblApplications[Cluster IKS source],$F694,TblApplications[Action],"À décommissionner",TblApplications[Mois lib (calc)],"&lt;="&amp;$E694)))))</f>
        <v/>
      </c>
      <c r="Z694" s="14" t="str">
        <f aca="false">IF($D694&lt;&gt;1,"",IF($AI694=1,0,MAX($J694,ROUNDUP(MAX($X694/$H694,$Y694/$I694),0))))</f>
        <v/>
      </c>
      <c r="AA694" s="84" t="str">
        <f aca="false">IF($D694&lt;&gt;1,"",IF(p_mode="Nœud",$Z694*$K694,$X694*IF($G694="IKS",p_iks_cpu,p_roks_cpu)+$Y694*IF($G694="IKS",p_iks_ram,p_roks_ram))*p_facteur)</f>
        <v/>
      </c>
      <c r="AB694" s="14" t="str">
        <f aca="false">IF($D694&lt;&gt;1,"",MAX($J694,ROUNDUP(MAX($L694/$H694,$M694/$I694),0)))</f>
        <v/>
      </c>
      <c r="AC694" s="84" t="str">
        <f aca="false">IF($D694&lt;&gt;1,"",IF(p_mode="Nœud",$AB694*$K694,$L694*IF($G694="IKS",p_iks_cpu,p_roks_cpu)+$M694*IF($G694="IKS",p_iks_ram,p_roks_ram))*p_facteur)</f>
        <v/>
      </c>
      <c r="AD694" s="14" t="str">
        <f aca="false">IF($D694&lt;&gt;1,"",IF(AND($G694="IKS",$AI694&lt;&gt;1,OR($L694-$P694&lt;$N694,$M694-$Q694&lt;$O694)),1,0))</f>
        <v/>
      </c>
      <c r="AE694" s="14" t="str">
        <f aca="false">IF($D694&lt;&gt;1,"",IF(AND($G694="ROKS",$T694&gt;p_maxworkers),1,0))</f>
        <v/>
      </c>
      <c r="AF694" s="14" t="str">
        <f aca="false">IF($D694&lt;&gt;1,"",IF(INDEX(TblClusters[Environnement],$B694)="","(vide)",INDEX(TblClusters[Environnement],$B694)))</f>
        <v/>
      </c>
      <c r="AG694" s="14" t="str">
        <f aca="false">IF($D694&lt;&gt;1,"",$R694+p_poidsram*$S694)</f>
        <v/>
      </c>
      <c r="AH694" s="14" t="str">
        <f aca="false">IF($D694&lt;&gt;1,"",IFERROR($W694/$AG694,0))</f>
        <v/>
      </c>
      <c r="AI694" s="14" t="str">
        <f aca="false">IF($D694&lt;&gt;1,"",IF(AND($G694="IKS",ISNUMBER(INDEX(TblClusters[Fermeture retenue],$B694))),IF($E694&gt;=INDEX(TblClusters[Fermeture retenue],$B694),1,0),0))</f>
        <v/>
      </c>
    </row>
    <row r="695" customFormat="false" ht="15" hidden="false" customHeight="false" outlineLevel="0" collapsed="false">
      <c r="A695" s="14" t="n">
        <v>690</v>
      </c>
      <c r="B695" s="14" t="n">
        <f aca="false">INT(($A695-1)/36)+1</f>
        <v>20</v>
      </c>
      <c r="C695" s="14" t="n">
        <f aca="false">MOD($A695-1,36)+1</f>
        <v>6</v>
      </c>
      <c r="D695" s="14" t="n">
        <f aca="false">IF($C695&gt;p_horizon,0,IFERROR(IF(AND(INDEX(TblClusters[Cluster],$B695)&lt;&gt;"",ISNUMBER(INDEX(TblClusters[CPU initial (vCPU)],$B695)),ISNUMBER(INDEX(TblClusters[CPU min (vCPU)],$B695)),OR(INDEX(TblClusters[Plateforme],$B695)="IKS",INDEX(TblClusters[Plateforme],$B695)="ROKS")),1,0),0))</f>
        <v>0</v>
      </c>
      <c r="E695" s="83" t="str">
        <f aca="false">IF($D695=1,EDATE(p_debut,$C695-1),"")</f>
        <v/>
      </c>
      <c r="F695" s="14" t="str">
        <f aca="false">IF($D695=1,INDEX(TblClusters[Cluster],$B695),"")</f>
        <v/>
      </c>
      <c r="G695" s="14" t="str">
        <f aca="false">IF($D695=1,INDEX(TblClusters[Plateforme],$B695),"")</f>
        <v/>
      </c>
      <c r="H695" s="14" t="str">
        <f aca="false">IF($D695=1,INDEX(TblClusters[vCPU par nœud],$B695),"")</f>
        <v/>
      </c>
      <c r="I695" s="14" t="str">
        <f aca="false">IF($D695=1,INDEX(TblClusters[RAM par nœud (Go)],$B695),"")</f>
        <v/>
      </c>
      <c r="J695" s="14" t="str">
        <f aca="false">IF($D695=1,INDEX(TblClusters[Workers min],$B695),"")</f>
        <v/>
      </c>
      <c r="K695" s="84" t="str">
        <f aca="false">IF($D695=1,INDEX(TblClusters[Tarif par nœud],$B695),"")</f>
        <v/>
      </c>
      <c r="L695" s="14" t="str">
        <f aca="false">IF($D695=1,INDEX(TblClusters[CPU initial (vCPU)],$B695),"")</f>
        <v/>
      </c>
      <c r="M695" s="14" t="str">
        <f aca="false">IF($D695=1,INDEX(TblClusters[RAM initiale (Go)],$B695),"")</f>
        <v/>
      </c>
      <c r="N695" s="14" t="str">
        <f aca="false">IF($D695=1,INDEX(TblClusters[CPU min (vCPU)],$B695),"")</f>
        <v/>
      </c>
      <c r="O695" s="14" t="str">
        <f aca="false">IF($D695=1,INDEX(TblClusters[RAM min (Go)],$B695),"")</f>
        <v/>
      </c>
      <c r="P695" s="14" t="str">
        <f aca="false">IF($D695&lt;&gt;1,"",IF($G695="ROKS",SUMIFS(TblApplications[Besoin ROKS CPU (vCPU)],TblApplications[Cluster ROKS cible],$F695,TblApplications[Action],"À migrer",TblApplications[Déjà incluse ROKS],"Non",TblApplications[Mois prov (calc)],"&lt;="&amp;$E695),SUMIFS(TblApplications[CPU IKS libérable (vCPU)],TblApplications[Cluster IKS source],$F695,TblApplications[Mois lib (calc)],"&lt;="&amp;$E695)))</f>
        <v/>
      </c>
      <c r="Q695" s="14" t="str">
        <f aca="false">IF($D695&lt;&gt;1,"",IF($G695="ROKS",SUMIFS(TblApplications[Besoin ROKS RAM (Go)],TblApplications[Cluster ROKS cible],$F695,TblApplications[Action],"À migrer",TblApplications[Déjà incluse ROKS],"Non",TblApplications[Mois prov (calc)],"&lt;="&amp;$E695),SUMIFS(TblApplications[RAM IKS libérable (Go)],TblApplications[Cluster IKS source],$F695,TblApplications[Mois lib (calc)],"&lt;="&amp;$E695)))</f>
        <v/>
      </c>
      <c r="R695" s="14" t="str">
        <f aca="false">IF($D695&lt;&gt;1,"",IF($G695="ROKS",$L695+$P695,IF($AI695=1,0,MAX($N695,$L695-$P695))))</f>
        <v/>
      </c>
      <c r="S695" s="14" t="str">
        <f aca="false">IF($D695&lt;&gt;1,"",IF($G695="ROKS",$M695+$Q695,IF($AI695=1,0,MAX($O695,$M695-$Q695))))</f>
        <v/>
      </c>
      <c r="T695" s="14" t="str">
        <f aca="false">IF($D695&lt;&gt;1,"",IF($AI695=1,0,MAX($J695,ROUNDUP(MAX($R695/$H695,$S695/$I695),0))))</f>
        <v/>
      </c>
      <c r="U695" s="14" t="str">
        <f aca="false">IF($D695&lt;&gt;1,"",IF(p_mode="Nœud",$T695*$H695,$R695))</f>
        <v/>
      </c>
      <c r="V695" s="14" t="str">
        <f aca="false">IF($D695&lt;&gt;1,"",IF(p_mode="Nœud",$T695*$I695,$S695))</f>
        <v/>
      </c>
      <c r="W695" s="84" t="str">
        <f aca="false">IF($D695&lt;&gt;1,"",IF(p_mode="Nœud",$T695*$K695,$R695*IF($G695="IKS",p_iks_cpu,p_roks_cpu)+$S695*IF($G695="IKS",p_iks_ram,p_roks_ram))*p_facteur)</f>
        <v/>
      </c>
      <c r="X695" s="14" t="str">
        <f aca="false">IF($D695&lt;&gt;1,"",IF($G695="ROKS",$R695,IF($AI695=1,0,MAX($N695,$L695-SUMIFS(TblApplications[CPU IKS libérable (vCPU)],TblApplications[Cluster IKS source],$F695,TblApplications[Action],"À migrer",TblApplications[Mois prov (calc)],"&lt;="&amp;$E695)-SUMIFS(TblApplications[CPU IKS libérable (vCPU)],TblApplications[Cluster IKS source],$F695,TblApplications[Action],"À décommissionner",TblApplications[Mois lib (calc)],"&lt;="&amp;$E695)))))</f>
        <v/>
      </c>
      <c r="Y695" s="14" t="str">
        <f aca="false">IF($D695&lt;&gt;1,"",IF($G695="ROKS",$S695,IF($AI695=1,0,MAX($O695,$M695-SUMIFS(TblApplications[RAM IKS libérable (Go)],TblApplications[Cluster IKS source],$F695,TblApplications[Action],"À migrer",TblApplications[Mois prov (calc)],"&lt;="&amp;$E695)-SUMIFS(TblApplications[RAM IKS libérable (Go)],TblApplications[Cluster IKS source],$F695,TblApplications[Action],"À décommissionner",TblApplications[Mois lib (calc)],"&lt;="&amp;$E695)))))</f>
        <v/>
      </c>
      <c r="Z695" s="14" t="str">
        <f aca="false">IF($D695&lt;&gt;1,"",IF($AI695=1,0,MAX($J695,ROUNDUP(MAX($X695/$H695,$Y695/$I695),0))))</f>
        <v/>
      </c>
      <c r="AA695" s="84" t="str">
        <f aca="false">IF($D695&lt;&gt;1,"",IF(p_mode="Nœud",$Z695*$K695,$X695*IF($G695="IKS",p_iks_cpu,p_roks_cpu)+$Y695*IF($G695="IKS",p_iks_ram,p_roks_ram))*p_facteur)</f>
        <v/>
      </c>
      <c r="AB695" s="14" t="str">
        <f aca="false">IF($D695&lt;&gt;1,"",MAX($J695,ROUNDUP(MAX($L695/$H695,$M695/$I695),0)))</f>
        <v/>
      </c>
      <c r="AC695" s="84" t="str">
        <f aca="false">IF($D695&lt;&gt;1,"",IF(p_mode="Nœud",$AB695*$K695,$L695*IF($G695="IKS",p_iks_cpu,p_roks_cpu)+$M695*IF($G695="IKS",p_iks_ram,p_roks_ram))*p_facteur)</f>
        <v/>
      </c>
      <c r="AD695" s="14" t="str">
        <f aca="false">IF($D695&lt;&gt;1,"",IF(AND($G695="IKS",$AI695&lt;&gt;1,OR($L695-$P695&lt;$N695,$M695-$Q695&lt;$O695)),1,0))</f>
        <v/>
      </c>
      <c r="AE695" s="14" t="str">
        <f aca="false">IF($D695&lt;&gt;1,"",IF(AND($G695="ROKS",$T695&gt;p_maxworkers),1,0))</f>
        <v/>
      </c>
      <c r="AF695" s="14" t="str">
        <f aca="false">IF($D695&lt;&gt;1,"",IF(INDEX(TblClusters[Environnement],$B695)="","(vide)",INDEX(TblClusters[Environnement],$B695)))</f>
        <v/>
      </c>
      <c r="AG695" s="14" t="str">
        <f aca="false">IF($D695&lt;&gt;1,"",$R695+p_poidsram*$S695)</f>
        <v/>
      </c>
      <c r="AH695" s="14" t="str">
        <f aca="false">IF($D695&lt;&gt;1,"",IFERROR($W695/$AG695,0))</f>
        <v/>
      </c>
      <c r="AI695" s="14" t="str">
        <f aca="false">IF($D695&lt;&gt;1,"",IF(AND($G695="IKS",ISNUMBER(INDEX(TblClusters[Fermeture retenue],$B695))),IF($E695&gt;=INDEX(TblClusters[Fermeture retenue],$B695),1,0),0))</f>
        <v/>
      </c>
    </row>
    <row r="696" customFormat="false" ht="15" hidden="false" customHeight="false" outlineLevel="0" collapsed="false">
      <c r="A696" s="14" t="n">
        <v>691</v>
      </c>
      <c r="B696" s="14" t="n">
        <f aca="false">INT(($A696-1)/36)+1</f>
        <v>20</v>
      </c>
      <c r="C696" s="14" t="n">
        <f aca="false">MOD($A696-1,36)+1</f>
        <v>7</v>
      </c>
      <c r="D696" s="14" t="n">
        <f aca="false">IF($C696&gt;p_horizon,0,IFERROR(IF(AND(INDEX(TblClusters[Cluster],$B696)&lt;&gt;"",ISNUMBER(INDEX(TblClusters[CPU initial (vCPU)],$B696)),ISNUMBER(INDEX(TblClusters[CPU min (vCPU)],$B696)),OR(INDEX(TblClusters[Plateforme],$B696)="IKS",INDEX(TblClusters[Plateforme],$B696)="ROKS")),1,0),0))</f>
        <v>0</v>
      </c>
      <c r="E696" s="83" t="str">
        <f aca="false">IF($D696=1,EDATE(p_debut,$C696-1),"")</f>
        <v/>
      </c>
      <c r="F696" s="14" t="str">
        <f aca="false">IF($D696=1,INDEX(TblClusters[Cluster],$B696),"")</f>
        <v/>
      </c>
      <c r="G696" s="14" t="str">
        <f aca="false">IF($D696=1,INDEX(TblClusters[Plateforme],$B696),"")</f>
        <v/>
      </c>
      <c r="H696" s="14" t="str">
        <f aca="false">IF($D696=1,INDEX(TblClusters[vCPU par nœud],$B696),"")</f>
        <v/>
      </c>
      <c r="I696" s="14" t="str">
        <f aca="false">IF($D696=1,INDEX(TblClusters[RAM par nœud (Go)],$B696),"")</f>
        <v/>
      </c>
      <c r="J696" s="14" t="str">
        <f aca="false">IF($D696=1,INDEX(TblClusters[Workers min],$B696),"")</f>
        <v/>
      </c>
      <c r="K696" s="84" t="str">
        <f aca="false">IF($D696=1,INDEX(TblClusters[Tarif par nœud],$B696),"")</f>
        <v/>
      </c>
      <c r="L696" s="14" t="str">
        <f aca="false">IF($D696=1,INDEX(TblClusters[CPU initial (vCPU)],$B696),"")</f>
        <v/>
      </c>
      <c r="M696" s="14" t="str">
        <f aca="false">IF($D696=1,INDEX(TblClusters[RAM initiale (Go)],$B696),"")</f>
        <v/>
      </c>
      <c r="N696" s="14" t="str">
        <f aca="false">IF($D696=1,INDEX(TblClusters[CPU min (vCPU)],$B696),"")</f>
        <v/>
      </c>
      <c r="O696" s="14" t="str">
        <f aca="false">IF($D696=1,INDEX(TblClusters[RAM min (Go)],$B696),"")</f>
        <v/>
      </c>
      <c r="P696" s="14" t="str">
        <f aca="false">IF($D696&lt;&gt;1,"",IF($G696="ROKS",SUMIFS(TblApplications[Besoin ROKS CPU (vCPU)],TblApplications[Cluster ROKS cible],$F696,TblApplications[Action],"À migrer",TblApplications[Déjà incluse ROKS],"Non",TblApplications[Mois prov (calc)],"&lt;="&amp;$E696),SUMIFS(TblApplications[CPU IKS libérable (vCPU)],TblApplications[Cluster IKS source],$F696,TblApplications[Mois lib (calc)],"&lt;="&amp;$E696)))</f>
        <v/>
      </c>
      <c r="Q696" s="14" t="str">
        <f aca="false">IF($D696&lt;&gt;1,"",IF($G696="ROKS",SUMIFS(TblApplications[Besoin ROKS RAM (Go)],TblApplications[Cluster ROKS cible],$F696,TblApplications[Action],"À migrer",TblApplications[Déjà incluse ROKS],"Non",TblApplications[Mois prov (calc)],"&lt;="&amp;$E696),SUMIFS(TblApplications[RAM IKS libérable (Go)],TblApplications[Cluster IKS source],$F696,TblApplications[Mois lib (calc)],"&lt;="&amp;$E696)))</f>
        <v/>
      </c>
      <c r="R696" s="14" t="str">
        <f aca="false">IF($D696&lt;&gt;1,"",IF($G696="ROKS",$L696+$P696,IF($AI696=1,0,MAX($N696,$L696-$P696))))</f>
        <v/>
      </c>
      <c r="S696" s="14" t="str">
        <f aca="false">IF($D696&lt;&gt;1,"",IF($G696="ROKS",$M696+$Q696,IF($AI696=1,0,MAX($O696,$M696-$Q696))))</f>
        <v/>
      </c>
      <c r="T696" s="14" t="str">
        <f aca="false">IF($D696&lt;&gt;1,"",IF($AI696=1,0,MAX($J696,ROUNDUP(MAX($R696/$H696,$S696/$I696),0))))</f>
        <v/>
      </c>
      <c r="U696" s="14" t="str">
        <f aca="false">IF($D696&lt;&gt;1,"",IF(p_mode="Nœud",$T696*$H696,$R696))</f>
        <v/>
      </c>
      <c r="V696" s="14" t="str">
        <f aca="false">IF($D696&lt;&gt;1,"",IF(p_mode="Nœud",$T696*$I696,$S696))</f>
        <v/>
      </c>
      <c r="W696" s="84" t="str">
        <f aca="false">IF($D696&lt;&gt;1,"",IF(p_mode="Nœud",$T696*$K696,$R696*IF($G696="IKS",p_iks_cpu,p_roks_cpu)+$S696*IF($G696="IKS",p_iks_ram,p_roks_ram))*p_facteur)</f>
        <v/>
      </c>
      <c r="X696" s="14" t="str">
        <f aca="false">IF($D696&lt;&gt;1,"",IF($G696="ROKS",$R696,IF($AI696=1,0,MAX($N696,$L696-SUMIFS(TblApplications[CPU IKS libérable (vCPU)],TblApplications[Cluster IKS source],$F696,TblApplications[Action],"À migrer",TblApplications[Mois prov (calc)],"&lt;="&amp;$E696)-SUMIFS(TblApplications[CPU IKS libérable (vCPU)],TblApplications[Cluster IKS source],$F696,TblApplications[Action],"À décommissionner",TblApplications[Mois lib (calc)],"&lt;="&amp;$E696)))))</f>
        <v/>
      </c>
      <c r="Y696" s="14" t="str">
        <f aca="false">IF($D696&lt;&gt;1,"",IF($G696="ROKS",$S696,IF($AI696=1,0,MAX($O696,$M696-SUMIFS(TblApplications[RAM IKS libérable (Go)],TblApplications[Cluster IKS source],$F696,TblApplications[Action],"À migrer",TblApplications[Mois prov (calc)],"&lt;="&amp;$E696)-SUMIFS(TblApplications[RAM IKS libérable (Go)],TblApplications[Cluster IKS source],$F696,TblApplications[Action],"À décommissionner",TblApplications[Mois lib (calc)],"&lt;="&amp;$E696)))))</f>
        <v/>
      </c>
      <c r="Z696" s="14" t="str">
        <f aca="false">IF($D696&lt;&gt;1,"",IF($AI696=1,0,MAX($J696,ROUNDUP(MAX($X696/$H696,$Y696/$I696),0))))</f>
        <v/>
      </c>
      <c r="AA696" s="84" t="str">
        <f aca="false">IF($D696&lt;&gt;1,"",IF(p_mode="Nœud",$Z696*$K696,$X696*IF($G696="IKS",p_iks_cpu,p_roks_cpu)+$Y696*IF($G696="IKS",p_iks_ram,p_roks_ram))*p_facteur)</f>
        <v/>
      </c>
      <c r="AB696" s="14" t="str">
        <f aca="false">IF($D696&lt;&gt;1,"",MAX($J696,ROUNDUP(MAX($L696/$H696,$M696/$I696),0)))</f>
        <v/>
      </c>
      <c r="AC696" s="84" t="str">
        <f aca="false">IF($D696&lt;&gt;1,"",IF(p_mode="Nœud",$AB696*$K696,$L696*IF($G696="IKS",p_iks_cpu,p_roks_cpu)+$M696*IF($G696="IKS",p_iks_ram,p_roks_ram))*p_facteur)</f>
        <v/>
      </c>
      <c r="AD696" s="14" t="str">
        <f aca="false">IF($D696&lt;&gt;1,"",IF(AND($G696="IKS",$AI696&lt;&gt;1,OR($L696-$P696&lt;$N696,$M696-$Q696&lt;$O696)),1,0))</f>
        <v/>
      </c>
      <c r="AE696" s="14" t="str">
        <f aca="false">IF($D696&lt;&gt;1,"",IF(AND($G696="ROKS",$T696&gt;p_maxworkers),1,0))</f>
        <v/>
      </c>
      <c r="AF696" s="14" t="str">
        <f aca="false">IF($D696&lt;&gt;1,"",IF(INDEX(TblClusters[Environnement],$B696)="","(vide)",INDEX(TblClusters[Environnement],$B696)))</f>
        <v/>
      </c>
      <c r="AG696" s="14" t="str">
        <f aca="false">IF($D696&lt;&gt;1,"",$R696+p_poidsram*$S696)</f>
        <v/>
      </c>
      <c r="AH696" s="14" t="str">
        <f aca="false">IF($D696&lt;&gt;1,"",IFERROR($W696/$AG696,0))</f>
        <v/>
      </c>
      <c r="AI696" s="14" t="str">
        <f aca="false">IF($D696&lt;&gt;1,"",IF(AND($G696="IKS",ISNUMBER(INDEX(TblClusters[Fermeture retenue],$B696))),IF($E696&gt;=INDEX(TblClusters[Fermeture retenue],$B696),1,0),0))</f>
        <v/>
      </c>
    </row>
    <row r="697" customFormat="false" ht="15" hidden="false" customHeight="false" outlineLevel="0" collapsed="false">
      <c r="A697" s="14" t="n">
        <v>692</v>
      </c>
      <c r="B697" s="14" t="n">
        <f aca="false">INT(($A697-1)/36)+1</f>
        <v>20</v>
      </c>
      <c r="C697" s="14" t="n">
        <f aca="false">MOD($A697-1,36)+1</f>
        <v>8</v>
      </c>
      <c r="D697" s="14" t="n">
        <f aca="false">IF($C697&gt;p_horizon,0,IFERROR(IF(AND(INDEX(TblClusters[Cluster],$B697)&lt;&gt;"",ISNUMBER(INDEX(TblClusters[CPU initial (vCPU)],$B697)),ISNUMBER(INDEX(TblClusters[CPU min (vCPU)],$B697)),OR(INDEX(TblClusters[Plateforme],$B697)="IKS",INDEX(TblClusters[Plateforme],$B697)="ROKS")),1,0),0))</f>
        <v>0</v>
      </c>
      <c r="E697" s="83" t="str">
        <f aca="false">IF($D697=1,EDATE(p_debut,$C697-1),"")</f>
        <v/>
      </c>
      <c r="F697" s="14" t="str">
        <f aca="false">IF($D697=1,INDEX(TblClusters[Cluster],$B697),"")</f>
        <v/>
      </c>
      <c r="G697" s="14" t="str">
        <f aca="false">IF($D697=1,INDEX(TblClusters[Plateforme],$B697),"")</f>
        <v/>
      </c>
      <c r="H697" s="14" t="str">
        <f aca="false">IF($D697=1,INDEX(TblClusters[vCPU par nœud],$B697),"")</f>
        <v/>
      </c>
      <c r="I697" s="14" t="str">
        <f aca="false">IF($D697=1,INDEX(TblClusters[RAM par nœud (Go)],$B697),"")</f>
        <v/>
      </c>
      <c r="J697" s="14" t="str">
        <f aca="false">IF($D697=1,INDEX(TblClusters[Workers min],$B697),"")</f>
        <v/>
      </c>
      <c r="K697" s="84" t="str">
        <f aca="false">IF($D697=1,INDEX(TblClusters[Tarif par nœud],$B697),"")</f>
        <v/>
      </c>
      <c r="L697" s="14" t="str">
        <f aca="false">IF($D697=1,INDEX(TblClusters[CPU initial (vCPU)],$B697),"")</f>
        <v/>
      </c>
      <c r="M697" s="14" t="str">
        <f aca="false">IF($D697=1,INDEX(TblClusters[RAM initiale (Go)],$B697),"")</f>
        <v/>
      </c>
      <c r="N697" s="14" t="str">
        <f aca="false">IF($D697=1,INDEX(TblClusters[CPU min (vCPU)],$B697),"")</f>
        <v/>
      </c>
      <c r="O697" s="14" t="str">
        <f aca="false">IF($D697=1,INDEX(TblClusters[RAM min (Go)],$B697),"")</f>
        <v/>
      </c>
      <c r="P697" s="14" t="str">
        <f aca="false">IF($D697&lt;&gt;1,"",IF($G697="ROKS",SUMIFS(TblApplications[Besoin ROKS CPU (vCPU)],TblApplications[Cluster ROKS cible],$F697,TblApplications[Action],"À migrer",TblApplications[Déjà incluse ROKS],"Non",TblApplications[Mois prov (calc)],"&lt;="&amp;$E697),SUMIFS(TblApplications[CPU IKS libérable (vCPU)],TblApplications[Cluster IKS source],$F697,TblApplications[Mois lib (calc)],"&lt;="&amp;$E697)))</f>
        <v/>
      </c>
      <c r="Q697" s="14" t="str">
        <f aca="false">IF($D697&lt;&gt;1,"",IF($G697="ROKS",SUMIFS(TblApplications[Besoin ROKS RAM (Go)],TblApplications[Cluster ROKS cible],$F697,TblApplications[Action],"À migrer",TblApplications[Déjà incluse ROKS],"Non",TblApplications[Mois prov (calc)],"&lt;="&amp;$E697),SUMIFS(TblApplications[RAM IKS libérable (Go)],TblApplications[Cluster IKS source],$F697,TblApplications[Mois lib (calc)],"&lt;="&amp;$E697)))</f>
        <v/>
      </c>
      <c r="R697" s="14" t="str">
        <f aca="false">IF($D697&lt;&gt;1,"",IF($G697="ROKS",$L697+$P697,IF($AI697=1,0,MAX($N697,$L697-$P697))))</f>
        <v/>
      </c>
      <c r="S697" s="14" t="str">
        <f aca="false">IF($D697&lt;&gt;1,"",IF($G697="ROKS",$M697+$Q697,IF($AI697=1,0,MAX($O697,$M697-$Q697))))</f>
        <v/>
      </c>
      <c r="T697" s="14" t="str">
        <f aca="false">IF($D697&lt;&gt;1,"",IF($AI697=1,0,MAX($J697,ROUNDUP(MAX($R697/$H697,$S697/$I697),0))))</f>
        <v/>
      </c>
      <c r="U697" s="14" t="str">
        <f aca="false">IF($D697&lt;&gt;1,"",IF(p_mode="Nœud",$T697*$H697,$R697))</f>
        <v/>
      </c>
      <c r="V697" s="14" t="str">
        <f aca="false">IF($D697&lt;&gt;1,"",IF(p_mode="Nœud",$T697*$I697,$S697))</f>
        <v/>
      </c>
      <c r="W697" s="84" t="str">
        <f aca="false">IF($D697&lt;&gt;1,"",IF(p_mode="Nœud",$T697*$K697,$R697*IF($G697="IKS",p_iks_cpu,p_roks_cpu)+$S697*IF($G697="IKS",p_iks_ram,p_roks_ram))*p_facteur)</f>
        <v/>
      </c>
      <c r="X697" s="14" t="str">
        <f aca="false">IF($D697&lt;&gt;1,"",IF($G697="ROKS",$R697,IF($AI697=1,0,MAX($N697,$L697-SUMIFS(TblApplications[CPU IKS libérable (vCPU)],TblApplications[Cluster IKS source],$F697,TblApplications[Action],"À migrer",TblApplications[Mois prov (calc)],"&lt;="&amp;$E697)-SUMIFS(TblApplications[CPU IKS libérable (vCPU)],TblApplications[Cluster IKS source],$F697,TblApplications[Action],"À décommissionner",TblApplications[Mois lib (calc)],"&lt;="&amp;$E697)))))</f>
        <v/>
      </c>
      <c r="Y697" s="14" t="str">
        <f aca="false">IF($D697&lt;&gt;1,"",IF($G697="ROKS",$S697,IF($AI697=1,0,MAX($O697,$M697-SUMIFS(TblApplications[RAM IKS libérable (Go)],TblApplications[Cluster IKS source],$F697,TblApplications[Action],"À migrer",TblApplications[Mois prov (calc)],"&lt;="&amp;$E697)-SUMIFS(TblApplications[RAM IKS libérable (Go)],TblApplications[Cluster IKS source],$F697,TblApplications[Action],"À décommissionner",TblApplications[Mois lib (calc)],"&lt;="&amp;$E697)))))</f>
        <v/>
      </c>
      <c r="Z697" s="14" t="str">
        <f aca="false">IF($D697&lt;&gt;1,"",IF($AI697=1,0,MAX($J697,ROUNDUP(MAX($X697/$H697,$Y697/$I697),0))))</f>
        <v/>
      </c>
      <c r="AA697" s="84" t="str">
        <f aca="false">IF($D697&lt;&gt;1,"",IF(p_mode="Nœud",$Z697*$K697,$X697*IF($G697="IKS",p_iks_cpu,p_roks_cpu)+$Y697*IF($G697="IKS",p_iks_ram,p_roks_ram))*p_facteur)</f>
        <v/>
      </c>
      <c r="AB697" s="14" t="str">
        <f aca="false">IF($D697&lt;&gt;1,"",MAX($J697,ROUNDUP(MAX($L697/$H697,$M697/$I697),0)))</f>
        <v/>
      </c>
      <c r="AC697" s="84" t="str">
        <f aca="false">IF($D697&lt;&gt;1,"",IF(p_mode="Nœud",$AB697*$K697,$L697*IF($G697="IKS",p_iks_cpu,p_roks_cpu)+$M697*IF($G697="IKS",p_iks_ram,p_roks_ram))*p_facteur)</f>
        <v/>
      </c>
      <c r="AD697" s="14" t="str">
        <f aca="false">IF($D697&lt;&gt;1,"",IF(AND($G697="IKS",$AI697&lt;&gt;1,OR($L697-$P697&lt;$N697,$M697-$Q697&lt;$O697)),1,0))</f>
        <v/>
      </c>
      <c r="AE697" s="14" t="str">
        <f aca="false">IF($D697&lt;&gt;1,"",IF(AND($G697="ROKS",$T697&gt;p_maxworkers),1,0))</f>
        <v/>
      </c>
      <c r="AF697" s="14" t="str">
        <f aca="false">IF($D697&lt;&gt;1,"",IF(INDEX(TblClusters[Environnement],$B697)="","(vide)",INDEX(TblClusters[Environnement],$B697)))</f>
        <v/>
      </c>
      <c r="AG697" s="14" t="str">
        <f aca="false">IF($D697&lt;&gt;1,"",$R697+p_poidsram*$S697)</f>
        <v/>
      </c>
      <c r="AH697" s="14" t="str">
        <f aca="false">IF($D697&lt;&gt;1,"",IFERROR($W697/$AG697,0))</f>
        <v/>
      </c>
      <c r="AI697" s="14" t="str">
        <f aca="false">IF($D697&lt;&gt;1,"",IF(AND($G697="IKS",ISNUMBER(INDEX(TblClusters[Fermeture retenue],$B697))),IF($E697&gt;=INDEX(TblClusters[Fermeture retenue],$B697),1,0),0))</f>
        <v/>
      </c>
    </row>
    <row r="698" customFormat="false" ht="15" hidden="false" customHeight="false" outlineLevel="0" collapsed="false">
      <c r="A698" s="14" t="n">
        <v>693</v>
      </c>
      <c r="B698" s="14" t="n">
        <f aca="false">INT(($A698-1)/36)+1</f>
        <v>20</v>
      </c>
      <c r="C698" s="14" t="n">
        <f aca="false">MOD($A698-1,36)+1</f>
        <v>9</v>
      </c>
      <c r="D698" s="14" t="n">
        <f aca="false">IF($C698&gt;p_horizon,0,IFERROR(IF(AND(INDEX(TblClusters[Cluster],$B698)&lt;&gt;"",ISNUMBER(INDEX(TblClusters[CPU initial (vCPU)],$B698)),ISNUMBER(INDEX(TblClusters[CPU min (vCPU)],$B698)),OR(INDEX(TblClusters[Plateforme],$B698)="IKS",INDEX(TblClusters[Plateforme],$B698)="ROKS")),1,0),0))</f>
        <v>0</v>
      </c>
      <c r="E698" s="83" t="str">
        <f aca="false">IF($D698=1,EDATE(p_debut,$C698-1),"")</f>
        <v/>
      </c>
      <c r="F698" s="14" t="str">
        <f aca="false">IF($D698=1,INDEX(TblClusters[Cluster],$B698),"")</f>
        <v/>
      </c>
      <c r="G698" s="14" t="str">
        <f aca="false">IF($D698=1,INDEX(TblClusters[Plateforme],$B698),"")</f>
        <v/>
      </c>
      <c r="H698" s="14" t="str">
        <f aca="false">IF($D698=1,INDEX(TblClusters[vCPU par nœud],$B698),"")</f>
        <v/>
      </c>
      <c r="I698" s="14" t="str">
        <f aca="false">IF($D698=1,INDEX(TblClusters[RAM par nœud (Go)],$B698),"")</f>
        <v/>
      </c>
      <c r="J698" s="14" t="str">
        <f aca="false">IF($D698=1,INDEX(TblClusters[Workers min],$B698),"")</f>
        <v/>
      </c>
      <c r="K698" s="84" t="str">
        <f aca="false">IF($D698=1,INDEX(TblClusters[Tarif par nœud],$B698),"")</f>
        <v/>
      </c>
      <c r="L698" s="14" t="str">
        <f aca="false">IF($D698=1,INDEX(TblClusters[CPU initial (vCPU)],$B698),"")</f>
        <v/>
      </c>
      <c r="M698" s="14" t="str">
        <f aca="false">IF($D698=1,INDEX(TblClusters[RAM initiale (Go)],$B698),"")</f>
        <v/>
      </c>
      <c r="N698" s="14" t="str">
        <f aca="false">IF($D698=1,INDEX(TblClusters[CPU min (vCPU)],$B698),"")</f>
        <v/>
      </c>
      <c r="O698" s="14" t="str">
        <f aca="false">IF($D698=1,INDEX(TblClusters[RAM min (Go)],$B698),"")</f>
        <v/>
      </c>
      <c r="P698" s="14" t="str">
        <f aca="false">IF($D698&lt;&gt;1,"",IF($G698="ROKS",SUMIFS(TblApplications[Besoin ROKS CPU (vCPU)],TblApplications[Cluster ROKS cible],$F698,TblApplications[Action],"À migrer",TblApplications[Déjà incluse ROKS],"Non",TblApplications[Mois prov (calc)],"&lt;="&amp;$E698),SUMIFS(TblApplications[CPU IKS libérable (vCPU)],TblApplications[Cluster IKS source],$F698,TblApplications[Mois lib (calc)],"&lt;="&amp;$E698)))</f>
        <v/>
      </c>
      <c r="Q698" s="14" t="str">
        <f aca="false">IF($D698&lt;&gt;1,"",IF($G698="ROKS",SUMIFS(TblApplications[Besoin ROKS RAM (Go)],TblApplications[Cluster ROKS cible],$F698,TblApplications[Action],"À migrer",TblApplications[Déjà incluse ROKS],"Non",TblApplications[Mois prov (calc)],"&lt;="&amp;$E698),SUMIFS(TblApplications[RAM IKS libérable (Go)],TblApplications[Cluster IKS source],$F698,TblApplications[Mois lib (calc)],"&lt;="&amp;$E698)))</f>
        <v/>
      </c>
      <c r="R698" s="14" t="str">
        <f aca="false">IF($D698&lt;&gt;1,"",IF($G698="ROKS",$L698+$P698,IF($AI698=1,0,MAX($N698,$L698-$P698))))</f>
        <v/>
      </c>
      <c r="S698" s="14" t="str">
        <f aca="false">IF($D698&lt;&gt;1,"",IF($G698="ROKS",$M698+$Q698,IF($AI698=1,0,MAX($O698,$M698-$Q698))))</f>
        <v/>
      </c>
      <c r="T698" s="14" t="str">
        <f aca="false">IF($D698&lt;&gt;1,"",IF($AI698=1,0,MAX($J698,ROUNDUP(MAX($R698/$H698,$S698/$I698),0))))</f>
        <v/>
      </c>
      <c r="U698" s="14" t="str">
        <f aca="false">IF($D698&lt;&gt;1,"",IF(p_mode="Nœud",$T698*$H698,$R698))</f>
        <v/>
      </c>
      <c r="V698" s="14" t="str">
        <f aca="false">IF($D698&lt;&gt;1,"",IF(p_mode="Nœud",$T698*$I698,$S698))</f>
        <v/>
      </c>
      <c r="W698" s="84" t="str">
        <f aca="false">IF($D698&lt;&gt;1,"",IF(p_mode="Nœud",$T698*$K698,$R698*IF($G698="IKS",p_iks_cpu,p_roks_cpu)+$S698*IF($G698="IKS",p_iks_ram,p_roks_ram))*p_facteur)</f>
        <v/>
      </c>
      <c r="X698" s="14" t="str">
        <f aca="false">IF($D698&lt;&gt;1,"",IF($G698="ROKS",$R698,IF($AI698=1,0,MAX($N698,$L698-SUMIFS(TblApplications[CPU IKS libérable (vCPU)],TblApplications[Cluster IKS source],$F698,TblApplications[Action],"À migrer",TblApplications[Mois prov (calc)],"&lt;="&amp;$E698)-SUMIFS(TblApplications[CPU IKS libérable (vCPU)],TblApplications[Cluster IKS source],$F698,TblApplications[Action],"À décommissionner",TblApplications[Mois lib (calc)],"&lt;="&amp;$E698)))))</f>
        <v/>
      </c>
      <c r="Y698" s="14" t="str">
        <f aca="false">IF($D698&lt;&gt;1,"",IF($G698="ROKS",$S698,IF($AI698=1,0,MAX($O698,$M698-SUMIFS(TblApplications[RAM IKS libérable (Go)],TblApplications[Cluster IKS source],$F698,TblApplications[Action],"À migrer",TblApplications[Mois prov (calc)],"&lt;="&amp;$E698)-SUMIFS(TblApplications[RAM IKS libérable (Go)],TblApplications[Cluster IKS source],$F698,TblApplications[Action],"À décommissionner",TblApplications[Mois lib (calc)],"&lt;="&amp;$E698)))))</f>
        <v/>
      </c>
      <c r="Z698" s="14" t="str">
        <f aca="false">IF($D698&lt;&gt;1,"",IF($AI698=1,0,MAX($J698,ROUNDUP(MAX($X698/$H698,$Y698/$I698),0))))</f>
        <v/>
      </c>
      <c r="AA698" s="84" t="str">
        <f aca="false">IF($D698&lt;&gt;1,"",IF(p_mode="Nœud",$Z698*$K698,$X698*IF($G698="IKS",p_iks_cpu,p_roks_cpu)+$Y698*IF($G698="IKS",p_iks_ram,p_roks_ram))*p_facteur)</f>
        <v/>
      </c>
      <c r="AB698" s="14" t="str">
        <f aca="false">IF($D698&lt;&gt;1,"",MAX($J698,ROUNDUP(MAX($L698/$H698,$M698/$I698),0)))</f>
        <v/>
      </c>
      <c r="AC698" s="84" t="str">
        <f aca="false">IF($D698&lt;&gt;1,"",IF(p_mode="Nœud",$AB698*$K698,$L698*IF($G698="IKS",p_iks_cpu,p_roks_cpu)+$M698*IF($G698="IKS",p_iks_ram,p_roks_ram))*p_facteur)</f>
        <v/>
      </c>
      <c r="AD698" s="14" t="str">
        <f aca="false">IF($D698&lt;&gt;1,"",IF(AND($G698="IKS",$AI698&lt;&gt;1,OR($L698-$P698&lt;$N698,$M698-$Q698&lt;$O698)),1,0))</f>
        <v/>
      </c>
      <c r="AE698" s="14" t="str">
        <f aca="false">IF($D698&lt;&gt;1,"",IF(AND($G698="ROKS",$T698&gt;p_maxworkers),1,0))</f>
        <v/>
      </c>
      <c r="AF698" s="14" t="str">
        <f aca="false">IF($D698&lt;&gt;1,"",IF(INDEX(TblClusters[Environnement],$B698)="","(vide)",INDEX(TblClusters[Environnement],$B698)))</f>
        <v/>
      </c>
      <c r="AG698" s="14" t="str">
        <f aca="false">IF($D698&lt;&gt;1,"",$R698+p_poidsram*$S698)</f>
        <v/>
      </c>
      <c r="AH698" s="14" t="str">
        <f aca="false">IF($D698&lt;&gt;1,"",IFERROR($W698/$AG698,0))</f>
        <v/>
      </c>
      <c r="AI698" s="14" t="str">
        <f aca="false">IF($D698&lt;&gt;1,"",IF(AND($G698="IKS",ISNUMBER(INDEX(TblClusters[Fermeture retenue],$B698))),IF($E698&gt;=INDEX(TblClusters[Fermeture retenue],$B698),1,0),0))</f>
        <v/>
      </c>
    </row>
    <row r="699" customFormat="false" ht="15" hidden="false" customHeight="false" outlineLevel="0" collapsed="false">
      <c r="A699" s="14" t="n">
        <v>694</v>
      </c>
      <c r="B699" s="14" t="n">
        <f aca="false">INT(($A699-1)/36)+1</f>
        <v>20</v>
      </c>
      <c r="C699" s="14" t="n">
        <f aca="false">MOD($A699-1,36)+1</f>
        <v>10</v>
      </c>
      <c r="D699" s="14" t="n">
        <f aca="false">IF($C699&gt;p_horizon,0,IFERROR(IF(AND(INDEX(TblClusters[Cluster],$B699)&lt;&gt;"",ISNUMBER(INDEX(TblClusters[CPU initial (vCPU)],$B699)),ISNUMBER(INDEX(TblClusters[CPU min (vCPU)],$B699)),OR(INDEX(TblClusters[Plateforme],$B699)="IKS",INDEX(TblClusters[Plateforme],$B699)="ROKS")),1,0),0))</f>
        <v>0</v>
      </c>
      <c r="E699" s="83" t="str">
        <f aca="false">IF($D699=1,EDATE(p_debut,$C699-1),"")</f>
        <v/>
      </c>
      <c r="F699" s="14" t="str">
        <f aca="false">IF($D699=1,INDEX(TblClusters[Cluster],$B699),"")</f>
        <v/>
      </c>
      <c r="G699" s="14" t="str">
        <f aca="false">IF($D699=1,INDEX(TblClusters[Plateforme],$B699),"")</f>
        <v/>
      </c>
      <c r="H699" s="14" t="str">
        <f aca="false">IF($D699=1,INDEX(TblClusters[vCPU par nœud],$B699),"")</f>
        <v/>
      </c>
      <c r="I699" s="14" t="str">
        <f aca="false">IF($D699=1,INDEX(TblClusters[RAM par nœud (Go)],$B699),"")</f>
        <v/>
      </c>
      <c r="J699" s="14" t="str">
        <f aca="false">IF($D699=1,INDEX(TblClusters[Workers min],$B699),"")</f>
        <v/>
      </c>
      <c r="K699" s="84" t="str">
        <f aca="false">IF($D699=1,INDEX(TblClusters[Tarif par nœud],$B699),"")</f>
        <v/>
      </c>
      <c r="L699" s="14" t="str">
        <f aca="false">IF($D699=1,INDEX(TblClusters[CPU initial (vCPU)],$B699),"")</f>
        <v/>
      </c>
      <c r="M699" s="14" t="str">
        <f aca="false">IF($D699=1,INDEX(TblClusters[RAM initiale (Go)],$B699),"")</f>
        <v/>
      </c>
      <c r="N699" s="14" t="str">
        <f aca="false">IF($D699=1,INDEX(TblClusters[CPU min (vCPU)],$B699),"")</f>
        <v/>
      </c>
      <c r="O699" s="14" t="str">
        <f aca="false">IF($D699=1,INDEX(TblClusters[RAM min (Go)],$B699),"")</f>
        <v/>
      </c>
      <c r="P699" s="14" t="str">
        <f aca="false">IF($D699&lt;&gt;1,"",IF($G699="ROKS",SUMIFS(TblApplications[Besoin ROKS CPU (vCPU)],TblApplications[Cluster ROKS cible],$F699,TblApplications[Action],"À migrer",TblApplications[Déjà incluse ROKS],"Non",TblApplications[Mois prov (calc)],"&lt;="&amp;$E699),SUMIFS(TblApplications[CPU IKS libérable (vCPU)],TblApplications[Cluster IKS source],$F699,TblApplications[Mois lib (calc)],"&lt;="&amp;$E699)))</f>
        <v/>
      </c>
      <c r="Q699" s="14" t="str">
        <f aca="false">IF($D699&lt;&gt;1,"",IF($G699="ROKS",SUMIFS(TblApplications[Besoin ROKS RAM (Go)],TblApplications[Cluster ROKS cible],$F699,TblApplications[Action],"À migrer",TblApplications[Déjà incluse ROKS],"Non",TblApplications[Mois prov (calc)],"&lt;="&amp;$E699),SUMIFS(TblApplications[RAM IKS libérable (Go)],TblApplications[Cluster IKS source],$F699,TblApplications[Mois lib (calc)],"&lt;="&amp;$E699)))</f>
        <v/>
      </c>
      <c r="R699" s="14" t="str">
        <f aca="false">IF($D699&lt;&gt;1,"",IF($G699="ROKS",$L699+$P699,IF($AI699=1,0,MAX($N699,$L699-$P699))))</f>
        <v/>
      </c>
      <c r="S699" s="14" t="str">
        <f aca="false">IF($D699&lt;&gt;1,"",IF($G699="ROKS",$M699+$Q699,IF($AI699=1,0,MAX($O699,$M699-$Q699))))</f>
        <v/>
      </c>
      <c r="T699" s="14" t="str">
        <f aca="false">IF($D699&lt;&gt;1,"",IF($AI699=1,0,MAX($J699,ROUNDUP(MAX($R699/$H699,$S699/$I699),0))))</f>
        <v/>
      </c>
      <c r="U699" s="14" t="str">
        <f aca="false">IF($D699&lt;&gt;1,"",IF(p_mode="Nœud",$T699*$H699,$R699))</f>
        <v/>
      </c>
      <c r="V699" s="14" t="str">
        <f aca="false">IF($D699&lt;&gt;1,"",IF(p_mode="Nœud",$T699*$I699,$S699))</f>
        <v/>
      </c>
      <c r="W699" s="84" t="str">
        <f aca="false">IF($D699&lt;&gt;1,"",IF(p_mode="Nœud",$T699*$K699,$R699*IF($G699="IKS",p_iks_cpu,p_roks_cpu)+$S699*IF($G699="IKS",p_iks_ram,p_roks_ram))*p_facteur)</f>
        <v/>
      </c>
      <c r="X699" s="14" t="str">
        <f aca="false">IF($D699&lt;&gt;1,"",IF($G699="ROKS",$R699,IF($AI699=1,0,MAX($N699,$L699-SUMIFS(TblApplications[CPU IKS libérable (vCPU)],TblApplications[Cluster IKS source],$F699,TblApplications[Action],"À migrer",TblApplications[Mois prov (calc)],"&lt;="&amp;$E699)-SUMIFS(TblApplications[CPU IKS libérable (vCPU)],TblApplications[Cluster IKS source],$F699,TblApplications[Action],"À décommissionner",TblApplications[Mois lib (calc)],"&lt;="&amp;$E699)))))</f>
        <v/>
      </c>
      <c r="Y699" s="14" t="str">
        <f aca="false">IF($D699&lt;&gt;1,"",IF($G699="ROKS",$S699,IF($AI699=1,0,MAX($O699,$M699-SUMIFS(TblApplications[RAM IKS libérable (Go)],TblApplications[Cluster IKS source],$F699,TblApplications[Action],"À migrer",TblApplications[Mois prov (calc)],"&lt;="&amp;$E699)-SUMIFS(TblApplications[RAM IKS libérable (Go)],TblApplications[Cluster IKS source],$F699,TblApplications[Action],"À décommissionner",TblApplications[Mois lib (calc)],"&lt;="&amp;$E699)))))</f>
        <v/>
      </c>
      <c r="Z699" s="14" t="str">
        <f aca="false">IF($D699&lt;&gt;1,"",IF($AI699=1,0,MAX($J699,ROUNDUP(MAX($X699/$H699,$Y699/$I699),0))))</f>
        <v/>
      </c>
      <c r="AA699" s="84" t="str">
        <f aca="false">IF($D699&lt;&gt;1,"",IF(p_mode="Nœud",$Z699*$K699,$X699*IF($G699="IKS",p_iks_cpu,p_roks_cpu)+$Y699*IF($G699="IKS",p_iks_ram,p_roks_ram))*p_facteur)</f>
        <v/>
      </c>
      <c r="AB699" s="14" t="str">
        <f aca="false">IF($D699&lt;&gt;1,"",MAX($J699,ROUNDUP(MAX($L699/$H699,$M699/$I699),0)))</f>
        <v/>
      </c>
      <c r="AC699" s="84" t="str">
        <f aca="false">IF($D699&lt;&gt;1,"",IF(p_mode="Nœud",$AB699*$K699,$L699*IF($G699="IKS",p_iks_cpu,p_roks_cpu)+$M699*IF($G699="IKS",p_iks_ram,p_roks_ram))*p_facteur)</f>
        <v/>
      </c>
      <c r="AD699" s="14" t="str">
        <f aca="false">IF($D699&lt;&gt;1,"",IF(AND($G699="IKS",$AI699&lt;&gt;1,OR($L699-$P699&lt;$N699,$M699-$Q699&lt;$O699)),1,0))</f>
        <v/>
      </c>
      <c r="AE699" s="14" t="str">
        <f aca="false">IF($D699&lt;&gt;1,"",IF(AND($G699="ROKS",$T699&gt;p_maxworkers),1,0))</f>
        <v/>
      </c>
      <c r="AF699" s="14" t="str">
        <f aca="false">IF($D699&lt;&gt;1,"",IF(INDEX(TblClusters[Environnement],$B699)="","(vide)",INDEX(TblClusters[Environnement],$B699)))</f>
        <v/>
      </c>
      <c r="AG699" s="14" t="str">
        <f aca="false">IF($D699&lt;&gt;1,"",$R699+p_poidsram*$S699)</f>
        <v/>
      </c>
      <c r="AH699" s="14" t="str">
        <f aca="false">IF($D699&lt;&gt;1,"",IFERROR($W699/$AG699,0))</f>
        <v/>
      </c>
      <c r="AI699" s="14" t="str">
        <f aca="false">IF($D699&lt;&gt;1,"",IF(AND($G699="IKS",ISNUMBER(INDEX(TblClusters[Fermeture retenue],$B699))),IF($E699&gt;=INDEX(TblClusters[Fermeture retenue],$B699),1,0),0))</f>
        <v/>
      </c>
    </row>
    <row r="700" customFormat="false" ht="15" hidden="false" customHeight="false" outlineLevel="0" collapsed="false">
      <c r="A700" s="14" t="n">
        <v>695</v>
      </c>
      <c r="B700" s="14" t="n">
        <f aca="false">INT(($A700-1)/36)+1</f>
        <v>20</v>
      </c>
      <c r="C700" s="14" t="n">
        <f aca="false">MOD($A700-1,36)+1</f>
        <v>11</v>
      </c>
      <c r="D700" s="14" t="n">
        <f aca="false">IF($C700&gt;p_horizon,0,IFERROR(IF(AND(INDEX(TblClusters[Cluster],$B700)&lt;&gt;"",ISNUMBER(INDEX(TblClusters[CPU initial (vCPU)],$B700)),ISNUMBER(INDEX(TblClusters[CPU min (vCPU)],$B700)),OR(INDEX(TblClusters[Plateforme],$B700)="IKS",INDEX(TblClusters[Plateforme],$B700)="ROKS")),1,0),0))</f>
        <v>0</v>
      </c>
      <c r="E700" s="83" t="str">
        <f aca="false">IF($D700=1,EDATE(p_debut,$C700-1),"")</f>
        <v/>
      </c>
      <c r="F700" s="14" t="str">
        <f aca="false">IF($D700=1,INDEX(TblClusters[Cluster],$B700),"")</f>
        <v/>
      </c>
      <c r="G700" s="14" t="str">
        <f aca="false">IF($D700=1,INDEX(TblClusters[Plateforme],$B700),"")</f>
        <v/>
      </c>
      <c r="H700" s="14" t="str">
        <f aca="false">IF($D700=1,INDEX(TblClusters[vCPU par nœud],$B700),"")</f>
        <v/>
      </c>
      <c r="I700" s="14" t="str">
        <f aca="false">IF($D700=1,INDEX(TblClusters[RAM par nœud (Go)],$B700),"")</f>
        <v/>
      </c>
      <c r="J700" s="14" t="str">
        <f aca="false">IF($D700=1,INDEX(TblClusters[Workers min],$B700),"")</f>
        <v/>
      </c>
      <c r="K700" s="84" t="str">
        <f aca="false">IF($D700=1,INDEX(TblClusters[Tarif par nœud],$B700),"")</f>
        <v/>
      </c>
      <c r="L700" s="14" t="str">
        <f aca="false">IF($D700=1,INDEX(TblClusters[CPU initial (vCPU)],$B700),"")</f>
        <v/>
      </c>
      <c r="M700" s="14" t="str">
        <f aca="false">IF($D700=1,INDEX(TblClusters[RAM initiale (Go)],$B700),"")</f>
        <v/>
      </c>
      <c r="N700" s="14" t="str">
        <f aca="false">IF($D700=1,INDEX(TblClusters[CPU min (vCPU)],$B700),"")</f>
        <v/>
      </c>
      <c r="O700" s="14" t="str">
        <f aca="false">IF($D700=1,INDEX(TblClusters[RAM min (Go)],$B700),"")</f>
        <v/>
      </c>
      <c r="P700" s="14" t="str">
        <f aca="false">IF($D700&lt;&gt;1,"",IF($G700="ROKS",SUMIFS(TblApplications[Besoin ROKS CPU (vCPU)],TblApplications[Cluster ROKS cible],$F700,TblApplications[Action],"À migrer",TblApplications[Déjà incluse ROKS],"Non",TblApplications[Mois prov (calc)],"&lt;="&amp;$E700),SUMIFS(TblApplications[CPU IKS libérable (vCPU)],TblApplications[Cluster IKS source],$F700,TblApplications[Mois lib (calc)],"&lt;="&amp;$E700)))</f>
        <v/>
      </c>
      <c r="Q700" s="14" t="str">
        <f aca="false">IF($D700&lt;&gt;1,"",IF($G700="ROKS",SUMIFS(TblApplications[Besoin ROKS RAM (Go)],TblApplications[Cluster ROKS cible],$F700,TblApplications[Action],"À migrer",TblApplications[Déjà incluse ROKS],"Non",TblApplications[Mois prov (calc)],"&lt;="&amp;$E700),SUMIFS(TblApplications[RAM IKS libérable (Go)],TblApplications[Cluster IKS source],$F700,TblApplications[Mois lib (calc)],"&lt;="&amp;$E700)))</f>
        <v/>
      </c>
      <c r="R700" s="14" t="str">
        <f aca="false">IF($D700&lt;&gt;1,"",IF($G700="ROKS",$L700+$P700,IF($AI700=1,0,MAX($N700,$L700-$P700))))</f>
        <v/>
      </c>
      <c r="S700" s="14" t="str">
        <f aca="false">IF($D700&lt;&gt;1,"",IF($G700="ROKS",$M700+$Q700,IF($AI700=1,0,MAX($O700,$M700-$Q700))))</f>
        <v/>
      </c>
      <c r="T700" s="14" t="str">
        <f aca="false">IF($D700&lt;&gt;1,"",IF($AI700=1,0,MAX($J700,ROUNDUP(MAX($R700/$H700,$S700/$I700),0))))</f>
        <v/>
      </c>
      <c r="U700" s="14" t="str">
        <f aca="false">IF($D700&lt;&gt;1,"",IF(p_mode="Nœud",$T700*$H700,$R700))</f>
        <v/>
      </c>
      <c r="V700" s="14" t="str">
        <f aca="false">IF($D700&lt;&gt;1,"",IF(p_mode="Nœud",$T700*$I700,$S700))</f>
        <v/>
      </c>
      <c r="W700" s="84" t="str">
        <f aca="false">IF($D700&lt;&gt;1,"",IF(p_mode="Nœud",$T700*$K700,$R700*IF($G700="IKS",p_iks_cpu,p_roks_cpu)+$S700*IF($G700="IKS",p_iks_ram,p_roks_ram))*p_facteur)</f>
        <v/>
      </c>
      <c r="X700" s="14" t="str">
        <f aca="false">IF($D700&lt;&gt;1,"",IF($G700="ROKS",$R700,IF($AI700=1,0,MAX($N700,$L700-SUMIFS(TblApplications[CPU IKS libérable (vCPU)],TblApplications[Cluster IKS source],$F700,TblApplications[Action],"À migrer",TblApplications[Mois prov (calc)],"&lt;="&amp;$E700)-SUMIFS(TblApplications[CPU IKS libérable (vCPU)],TblApplications[Cluster IKS source],$F700,TblApplications[Action],"À décommissionner",TblApplications[Mois lib (calc)],"&lt;="&amp;$E700)))))</f>
        <v/>
      </c>
      <c r="Y700" s="14" t="str">
        <f aca="false">IF($D700&lt;&gt;1,"",IF($G700="ROKS",$S700,IF($AI700=1,0,MAX($O700,$M700-SUMIFS(TblApplications[RAM IKS libérable (Go)],TblApplications[Cluster IKS source],$F700,TblApplications[Action],"À migrer",TblApplications[Mois prov (calc)],"&lt;="&amp;$E700)-SUMIFS(TblApplications[RAM IKS libérable (Go)],TblApplications[Cluster IKS source],$F700,TblApplications[Action],"À décommissionner",TblApplications[Mois lib (calc)],"&lt;="&amp;$E700)))))</f>
        <v/>
      </c>
      <c r="Z700" s="14" t="str">
        <f aca="false">IF($D700&lt;&gt;1,"",IF($AI700=1,0,MAX($J700,ROUNDUP(MAX($X700/$H700,$Y700/$I700),0))))</f>
        <v/>
      </c>
      <c r="AA700" s="84" t="str">
        <f aca="false">IF($D700&lt;&gt;1,"",IF(p_mode="Nœud",$Z700*$K700,$X700*IF($G700="IKS",p_iks_cpu,p_roks_cpu)+$Y700*IF($G700="IKS",p_iks_ram,p_roks_ram))*p_facteur)</f>
        <v/>
      </c>
      <c r="AB700" s="14" t="str">
        <f aca="false">IF($D700&lt;&gt;1,"",MAX($J700,ROUNDUP(MAX($L700/$H700,$M700/$I700),0)))</f>
        <v/>
      </c>
      <c r="AC700" s="84" t="str">
        <f aca="false">IF($D700&lt;&gt;1,"",IF(p_mode="Nœud",$AB700*$K700,$L700*IF($G700="IKS",p_iks_cpu,p_roks_cpu)+$M700*IF($G700="IKS",p_iks_ram,p_roks_ram))*p_facteur)</f>
        <v/>
      </c>
      <c r="AD700" s="14" t="str">
        <f aca="false">IF($D700&lt;&gt;1,"",IF(AND($G700="IKS",$AI700&lt;&gt;1,OR($L700-$P700&lt;$N700,$M700-$Q700&lt;$O700)),1,0))</f>
        <v/>
      </c>
      <c r="AE700" s="14" t="str">
        <f aca="false">IF($D700&lt;&gt;1,"",IF(AND($G700="ROKS",$T700&gt;p_maxworkers),1,0))</f>
        <v/>
      </c>
      <c r="AF700" s="14" t="str">
        <f aca="false">IF($D700&lt;&gt;1,"",IF(INDEX(TblClusters[Environnement],$B700)="","(vide)",INDEX(TblClusters[Environnement],$B700)))</f>
        <v/>
      </c>
      <c r="AG700" s="14" t="str">
        <f aca="false">IF($D700&lt;&gt;1,"",$R700+p_poidsram*$S700)</f>
        <v/>
      </c>
      <c r="AH700" s="14" t="str">
        <f aca="false">IF($D700&lt;&gt;1,"",IFERROR($W700/$AG700,0))</f>
        <v/>
      </c>
      <c r="AI700" s="14" t="str">
        <f aca="false">IF($D700&lt;&gt;1,"",IF(AND($G700="IKS",ISNUMBER(INDEX(TblClusters[Fermeture retenue],$B700))),IF($E700&gt;=INDEX(TblClusters[Fermeture retenue],$B700),1,0),0))</f>
        <v/>
      </c>
    </row>
    <row r="701" customFormat="false" ht="15" hidden="false" customHeight="false" outlineLevel="0" collapsed="false">
      <c r="A701" s="14" t="n">
        <v>696</v>
      </c>
      <c r="B701" s="14" t="n">
        <f aca="false">INT(($A701-1)/36)+1</f>
        <v>20</v>
      </c>
      <c r="C701" s="14" t="n">
        <f aca="false">MOD($A701-1,36)+1</f>
        <v>12</v>
      </c>
      <c r="D701" s="14" t="n">
        <f aca="false">IF($C701&gt;p_horizon,0,IFERROR(IF(AND(INDEX(TblClusters[Cluster],$B701)&lt;&gt;"",ISNUMBER(INDEX(TblClusters[CPU initial (vCPU)],$B701)),ISNUMBER(INDEX(TblClusters[CPU min (vCPU)],$B701)),OR(INDEX(TblClusters[Plateforme],$B701)="IKS",INDEX(TblClusters[Plateforme],$B701)="ROKS")),1,0),0))</f>
        <v>0</v>
      </c>
      <c r="E701" s="83" t="str">
        <f aca="false">IF($D701=1,EDATE(p_debut,$C701-1),"")</f>
        <v/>
      </c>
      <c r="F701" s="14" t="str">
        <f aca="false">IF($D701=1,INDEX(TblClusters[Cluster],$B701),"")</f>
        <v/>
      </c>
      <c r="G701" s="14" t="str">
        <f aca="false">IF($D701=1,INDEX(TblClusters[Plateforme],$B701),"")</f>
        <v/>
      </c>
      <c r="H701" s="14" t="str">
        <f aca="false">IF($D701=1,INDEX(TblClusters[vCPU par nœud],$B701),"")</f>
        <v/>
      </c>
      <c r="I701" s="14" t="str">
        <f aca="false">IF($D701=1,INDEX(TblClusters[RAM par nœud (Go)],$B701),"")</f>
        <v/>
      </c>
      <c r="J701" s="14" t="str">
        <f aca="false">IF($D701=1,INDEX(TblClusters[Workers min],$B701),"")</f>
        <v/>
      </c>
      <c r="K701" s="84" t="str">
        <f aca="false">IF($D701=1,INDEX(TblClusters[Tarif par nœud],$B701),"")</f>
        <v/>
      </c>
      <c r="L701" s="14" t="str">
        <f aca="false">IF($D701=1,INDEX(TblClusters[CPU initial (vCPU)],$B701),"")</f>
        <v/>
      </c>
      <c r="M701" s="14" t="str">
        <f aca="false">IF($D701=1,INDEX(TblClusters[RAM initiale (Go)],$B701),"")</f>
        <v/>
      </c>
      <c r="N701" s="14" t="str">
        <f aca="false">IF($D701=1,INDEX(TblClusters[CPU min (vCPU)],$B701),"")</f>
        <v/>
      </c>
      <c r="O701" s="14" t="str">
        <f aca="false">IF($D701=1,INDEX(TblClusters[RAM min (Go)],$B701),"")</f>
        <v/>
      </c>
      <c r="P701" s="14" t="str">
        <f aca="false">IF($D701&lt;&gt;1,"",IF($G701="ROKS",SUMIFS(TblApplications[Besoin ROKS CPU (vCPU)],TblApplications[Cluster ROKS cible],$F701,TblApplications[Action],"À migrer",TblApplications[Déjà incluse ROKS],"Non",TblApplications[Mois prov (calc)],"&lt;="&amp;$E701),SUMIFS(TblApplications[CPU IKS libérable (vCPU)],TblApplications[Cluster IKS source],$F701,TblApplications[Mois lib (calc)],"&lt;="&amp;$E701)))</f>
        <v/>
      </c>
      <c r="Q701" s="14" t="str">
        <f aca="false">IF($D701&lt;&gt;1,"",IF($G701="ROKS",SUMIFS(TblApplications[Besoin ROKS RAM (Go)],TblApplications[Cluster ROKS cible],$F701,TblApplications[Action],"À migrer",TblApplications[Déjà incluse ROKS],"Non",TblApplications[Mois prov (calc)],"&lt;="&amp;$E701),SUMIFS(TblApplications[RAM IKS libérable (Go)],TblApplications[Cluster IKS source],$F701,TblApplications[Mois lib (calc)],"&lt;="&amp;$E701)))</f>
        <v/>
      </c>
      <c r="R701" s="14" t="str">
        <f aca="false">IF($D701&lt;&gt;1,"",IF($G701="ROKS",$L701+$P701,IF($AI701=1,0,MAX($N701,$L701-$P701))))</f>
        <v/>
      </c>
      <c r="S701" s="14" t="str">
        <f aca="false">IF($D701&lt;&gt;1,"",IF($G701="ROKS",$M701+$Q701,IF($AI701=1,0,MAX($O701,$M701-$Q701))))</f>
        <v/>
      </c>
      <c r="T701" s="14" t="str">
        <f aca="false">IF($D701&lt;&gt;1,"",IF($AI701=1,0,MAX($J701,ROUNDUP(MAX($R701/$H701,$S701/$I701),0))))</f>
        <v/>
      </c>
      <c r="U701" s="14" t="str">
        <f aca="false">IF($D701&lt;&gt;1,"",IF(p_mode="Nœud",$T701*$H701,$R701))</f>
        <v/>
      </c>
      <c r="V701" s="14" t="str">
        <f aca="false">IF($D701&lt;&gt;1,"",IF(p_mode="Nœud",$T701*$I701,$S701))</f>
        <v/>
      </c>
      <c r="W701" s="84" t="str">
        <f aca="false">IF($D701&lt;&gt;1,"",IF(p_mode="Nœud",$T701*$K701,$R701*IF($G701="IKS",p_iks_cpu,p_roks_cpu)+$S701*IF($G701="IKS",p_iks_ram,p_roks_ram))*p_facteur)</f>
        <v/>
      </c>
      <c r="X701" s="14" t="str">
        <f aca="false">IF($D701&lt;&gt;1,"",IF($G701="ROKS",$R701,IF($AI701=1,0,MAX($N701,$L701-SUMIFS(TblApplications[CPU IKS libérable (vCPU)],TblApplications[Cluster IKS source],$F701,TblApplications[Action],"À migrer",TblApplications[Mois prov (calc)],"&lt;="&amp;$E701)-SUMIFS(TblApplications[CPU IKS libérable (vCPU)],TblApplications[Cluster IKS source],$F701,TblApplications[Action],"À décommissionner",TblApplications[Mois lib (calc)],"&lt;="&amp;$E701)))))</f>
        <v/>
      </c>
      <c r="Y701" s="14" t="str">
        <f aca="false">IF($D701&lt;&gt;1,"",IF($G701="ROKS",$S701,IF($AI701=1,0,MAX($O701,$M701-SUMIFS(TblApplications[RAM IKS libérable (Go)],TblApplications[Cluster IKS source],$F701,TblApplications[Action],"À migrer",TblApplications[Mois prov (calc)],"&lt;="&amp;$E701)-SUMIFS(TblApplications[RAM IKS libérable (Go)],TblApplications[Cluster IKS source],$F701,TblApplications[Action],"À décommissionner",TblApplications[Mois lib (calc)],"&lt;="&amp;$E701)))))</f>
        <v/>
      </c>
      <c r="Z701" s="14" t="str">
        <f aca="false">IF($D701&lt;&gt;1,"",IF($AI701=1,0,MAX($J701,ROUNDUP(MAX($X701/$H701,$Y701/$I701),0))))</f>
        <v/>
      </c>
      <c r="AA701" s="84" t="str">
        <f aca="false">IF($D701&lt;&gt;1,"",IF(p_mode="Nœud",$Z701*$K701,$X701*IF($G701="IKS",p_iks_cpu,p_roks_cpu)+$Y701*IF($G701="IKS",p_iks_ram,p_roks_ram))*p_facteur)</f>
        <v/>
      </c>
      <c r="AB701" s="14" t="str">
        <f aca="false">IF($D701&lt;&gt;1,"",MAX($J701,ROUNDUP(MAX($L701/$H701,$M701/$I701),0)))</f>
        <v/>
      </c>
      <c r="AC701" s="84" t="str">
        <f aca="false">IF($D701&lt;&gt;1,"",IF(p_mode="Nœud",$AB701*$K701,$L701*IF($G701="IKS",p_iks_cpu,p_roks_cpu)+$M701*IF($G701="IKS",p_iks_ram,p_roks_ram))*p_facteur)</f>
        <v/>
      </c>
      <c r="AD701" s="14" t="str">
        <f aca="false">IF($D701&lt;&gt;1,"",IF(AND($G701="IKS",$AI701&lt;&gt;1,OR($L701-$P701&lt;$N701,$M701-$Q701&lt;$O701)),1,0))</f>
        <v/>
      </c>
      <c r="AE701" s="14" t="str">
        <f aca="false">IF($D701&lt;&gt;1,"",IF(AND($G701="ROKS",$T701&gt;p_maxworkers),1,0))</f>
        <v/>
      </c>
      <c r="AF701" s="14" t="str">
        <f aca="false">IF($D701&lt;&gt;1,"",IF(INDEX(TblClusters[Environnement],$B701)="","(vide)",INDEX(TblClusters[Environnement],$B701)))</f>
        <v/>
      </c>
      <c r="AG701" s="14" t="str">
        <f aca="false">IF($D701&lt;&gt;1,"",$R701+p_poidsram*$S701)</f>
        <v/>
      </c>
      <c r="AH701" s="14" t="str">
        <f aca="false">IF($D701&lt;&gt;1,"",IFERROR($W701/$AG701,0))</f>
        <v/>
      </c>
      <c r="AI701" s="14" t="str">
        <f aca="false">IF($D701&lt;&gt;1,"",IF(AND($G701="IKS",ISNUMBER(INDEX(TblClusters[Fermeture retenue],$B701))),IF($E701&gt;=INDEX(TblClusters[Fermeture retenue],$B701),1,0),0))</f>
        <v/>
      </c>
    </row>
    <row r="702" customFormat="false" ht="15" hidden="false" customHeight="false" outlineLevel="0" collapsed="false">
      <c r="A702" s="14" t="n">
        <v>697</v>
      </c>
      <c r="B702" s="14" t="n">
        <f aca="false">INT(($A702-1)/36)+1</f>
        <v>20</v>
      </c>
      <c r="C702" s="14" t="n">
        <f aca="false">MOD($A702-1,36)+1</f>
        <v>13</v>
      </c>
      <c r="D702" s="14" t="n">
        <f aca="false">IF($C702&gt;p_horizon,0,IFERROR(IF(AND(INDEX(TblClusters[Cluster],$B702)&lt;&gt;"",ISNUMBER(INDEX(TblClusters[CPU initial (vCPU)],$B702)),ISNUMBER(INDEX(TblClusters[CPU min (vCPU)],$B702)),OR(INDEX(TblClusters[Plateforme],$B702)="IKS",INDEX(TblClusters[Plateforme],$B702)="ROKS")),1,0),0))</f>
        <v>0</v>
      </c>
      <c r="E702" s="83" t="str">
        <f aca="false">IF($D702=1,EDATE(p_debut,$C702-1),"")</f>
        <v/>
      </c>
      <c r="F702" s="14" t="str">
        <f aca="false">IF($D702=1,INDEX(TblClusters[Cluster],$B702),"")</f>
        <v/>
      </c>
      <c r="G702" s="14" t="str">
        <f aca="false">IF($D702=1,INDEX(TblClusters[Plateforme],$B702),"")</f>
        <v/>
      </c>
      <c r="H702" s="14" t="str">
        <f aca="false">IF($D702=1,INDEX(TblClusters[vCPU par nœud],$B702),"")</f>
        <v/>
      </c>
      <c r="I702" s="14" t="str">
        <f aca="false">IF($D702=1,INDEX(TblClusters[RAM par nœud (Go)],$B702),"")</f>
        <v/>
      </c>
      <c r="J702" s="14" t="str">
        <f aca="false">IF($D702=1,INDEX(TblClusters[Workers min],$B702),"")</f>
        <v/>
      </c>
      <c r="K702" s="84" t="str">
        <f aca="false">IF($D702=1,INDEX(TblClusters[Tarif par nœud],$B702),"")</f>
        <v/>
      </c>
      <c r="L702" s="14" t="str">
        <f aca="false">IF($D702=1,INDEX(TblClusters[CPU initial (vCPU)],$B702),"")</f>
        <v/>
      </c>
      <c r="M702" s="14" t="str">
        <f aca="false">IF($D702=1,INDEX(TblClusters[RAM initiale (Go)],$B702),"")</f>
        <v/>
      </c>
      <c r="N702" s="14" t="str">
        <f aca="false">IF($D702=1,INDEX(TblClusters[CPU min (vCPU)],$B702),"")</f>
        <v/>
      </c>
      <c r="O702" s="14" t="str">
        <f aca="false">IF($D702=1,INDEX(TblClusters[RAM min (Go)],$B702),"")</f>
        <v/>
      </c>
      <c r="P702" s="14" t="str">
        <f aca="false">IF($D702&lt;&gt;1,"",IF($G702="ROKS",SUMIFS(TblApplications[Besoin ROKS CPU (vCPU)],TblApplications[Cluster ROKS cible],$F702,TblApplications[Action],"À migrer",TblApplications[Déjà incluse ROKS],"Non",TblApplications[Mois prov (calc)],"&lt;="&amp;$E702),SUMIFS(TblApplications[CPU IKS libérable (vCPU)],TblApplications[Cluster IKS source],$F702,TblApplications[Mois lib (calc)],"&lt;="&amp;$E702)))</f>
        <v/>
      </c>
      <c r="Q702" s="14" t="str">
        <f aca="false">IF($D702&lt;&gt;1,"",IF($G702="ROKS",SUMIFS(TblApplications[Besoin ROKS RAM (Go)],TblApplications[Cluster ROKS cible],$F702,TblApplications[Action],"À migrer",TblApplications[Déjà incluse ROKS],"Non",TblApplications[Mois prov (calc)],"&lt;="&amp;$E702),SUMIFS(TblApplications[RAM IKS libérable (Go)],TblApplications[Cluster IKS source],$F702,TblApplications[Mois lib (calc)],"&lt;="&amp;$E702)))</f>
        <v/>
      </c>
      <c r="R702" s="14" t="str">
        <f aca="false">IF($D702&lt;&gt;1,"",IF($G702="ROKS",$L702+$P702,IF($AI702=1,0,MAX($N702,$L702-$P702))))</f>
        <v/>
      </c>
      <c r="S702" s="14" t="str">
        <f aca="false">IF($D702&lt;&gt;1,"",IF($G702="ROKS",$M702+$Q702,IF($AI702=1,0,MAX($O702,$M702-$Q702))))</f>
        <v/>
      </c>
      <c r="T702" s="14" t="str">
        <f aca="false">IF($D702&lt;&gt;1,"",IF($AI702=1,0,MAX($J702,ROUNDUP(MAX($R702/$H702,$S702/$I702),0))))</f>
        <v/>
      </c>
      <c r="U702" s="14" t="str">
        <f aca="false">IF($D702&lt;&gt;1,"",IF(p_mode="Nœud",$T702*$H702,$R702))</f>
        <v/>
      </c>
      <c r="V702" s="14" t="str">
        <f aca="false">IF($D702&lt;&gt;1,"",IF(p_mode="Nœud",$T702*$I702,$S702))</f>
        <v/>
      </c>
      <c r="W702" s="84" t="str">
        <f aca="false">IF($D702&lt;&gt;1,"",IF(p_mode="Nœud",$T702*$K702,$R702*IF($G702="IKS",p_iks_cpu,p_roks_cpu)+$S702*IF($G702="IKS",p_iks_ram,p_roks_ram))*p_facteur)</f>
        <v/>
      </c>
      <c r="X702" s="14" t="str">
        <f aca="false">IF($D702&lt;&gt;1,"",IF($G702="ROKS",$R702,IF($AI702=1,0,MAX($N702,$L702-SUMIFS(TblApplications[CPU IKS libérable (vCPU)],TblApplications[Cluster IKS source],$F702,TblApplications[Action],"À migrer",TblApplications[Mois prov (calc)],"&lt;="&amp;$E702)-SUMIFS(TblApplications[CPU IKS libérable (vCPU)],TblApplications[Cluster IKS source],$F702,TblApplications[Action],"À décommissionner",TblApplications[Mois lib (calc)],"&lt;="&amp;$E702)))))</f>
        <v/>
      </c>
      <c r="Y702" s="14" t="str">
        <f aca="false">IF($D702&lt;&gt;1,"",IF($G702="ROKS",$S702,IF($AI702=1,0,MAX($O702,$M702-SUMIFS(TblApplications[RAM IKS libérable (Go)],TblApplications[Cluster IKS source],$F702,TblApplications[Action],"À migrer",TblApplications[Mois prov (calc)],"&lt;="&amp;$E702)-SUMIFS(TblApplications[RAM IKS libérable (Go)],TblApplications[Cluster IKS source],$F702,TblApplications[Action],"À décommissionner",TblApplications[Mois lib (calc)],"&lt;="&amp;$E702)))))</f>
        <v/>
      </c>
      <c r="Z702" s="14" t="str">
        <f aca="false">IF($D702&lt;&gt;1,"",IF($AI702=1,0,MAX($J702,ROUNDUP(MAX($X702/$H702,$Y702/$I702),0))))</f>
        <v/>
      </c>
      <c r="AA702" s="84" t="str">
        <f aca="false">IF($D702&lt;&gt;1,"",IF(p_mode="Nœud",$Z702*$K702,$X702*IF($G702="IKS",p_iks_cpu,p_roks_cpu)+$Y702*IF($G702="IKS",p_iks_ram,p_roks_ram))*p_facteur)</f>
        <v/>
      </c>
      <c r="AB702" s="14" t="str">
        <f aca="false">IF($D702&lt;&gt;1,"",MAX($J702,ROUNDUP(MAX($L702/$H702,$M702/$I702),0)))</f>
        <v/>
      </c>
      <c r="AC702" s="84" t="str">
        <f aca="false">IF($D702&lt;&gt;1,"",IF(p_mode="Nœud",$AB702*$K702,$L702*IF($G702="IKS",p_iks_cpu,p_roks_cpu)+$M702*IF($G702="IKS",p_iks_ram,p_roks_ram))*p_facteur)</f>
        <v/>
      </c>
      <c r="AD702" s="14" t="str">
        <f aca="false">IF($D702&lt;&gt;1,"",IF(AND($G702="IKS",$AI702&lt;&gt;1,OR($L702-$P702&lt;$N702,$M702-$Q702&lt;$O702)),1,0))</f>
        <v/>
      </c>
      <c r="AE702" s="14" t="str">
        <f aca="false">IF($D702&lt;&gt;1,"",IF(AND($G702="ROKS",$T702&gt;p_maxworkers),1,0))</f>
        <v/>
      </c>
      <c r="AF702" s="14" t="str">
        <f aca="false">IF($D702&lt;&gt;1,"",IF(INDEX(TblClusters[Environnement],$B702)="","(vide)",INDEX(TblClusters[Environnement],$B702)))</f>
        <v/>
      </c>
      <c r="AG702" s="14" t="str">
        <f aca="false">IF($D702&lt;&gt;1,"",$R702+p_poidsram*$S702)</f>
        <v/>
      </c>
      <c r="AH702" s="14" t="str">
        <f aca="false">IF($D702&lt;&gt;1,"",IFERROR($W702/$AG702,0))</f>
        <v/>
      </c>
      <c r="AI702" s="14" t="str">
        <f aca="false">IF($D702&lt;&gt;1,"",IF(AND($G702="IKS",ISNUMBER(INDEX(TblClusters[Fermeture retenue],$B702))),IF($E702&gt;=INDEX(TblClusters[Fermeture retenue],$B702),1,0),0))</f>
        <v/>
      </c>
    </row>
    <row r="703" customFormat="false" ht="15" hidden="false" customHeight="false" outlineLevel="0" collapsed="false">
      <c r="A703" s="14" t="n">
        <v>698</v>
      </c>
      <c r="B703" s="14" t="n">
        <f aca="false">INT(($A703-1)/36)+1</f>
        <v>20</v>
      </c>
      <c r="C703" s="14" t="n">
        <f aca="false">MOD($A703-1,36)+1</f>
        <v>14</v>
      </c>
      <c r="D703" s="14" t="n">
        <f aca="false">IF($C703&gt;p_horizon,0,IFERROR(IF(AND(INDEX(TblClusters[Cluster],$B703)&lt;&gt;"",ISNUMBER(INDEX(TblClusters[CPU initial (vCPU)],$B703)),ISNUMBER(INDEX(TblClusters[CPU min (vCPU)],$B703)),OR(INDEX(TblClusters[Plateforme],$B703)="IKS",INDEX(TblClusters[Plateforme],$B703)="ROKS")),1,0),0))</f>
        <v>0</v>
      </c>
      <c r="E703" s="83" t="str">
        <f aca="false">IF($D703=1,EDATE(p_debut,$C703-1),"")</f>
        <v/>
      </c>
      <c r="F703" s="14" t="str">
        <f aca="false">IF($D703=1,INDEX(TblClusters[Cluster],$B703),"")</f>
        <v/>
      </c>
      <c r="G703" s="14" t="str">
        <f aca="false">IF($D703=1,INDEX(TblClusters[Plateforme],$B703),"")</f>
        <v/>
      </c>
      <c r="H703" s="14" t="str">
        <f aca="false">IF($D703=1,INDEX(TblClusters[vCPU par nœud],$B703),"")</f>
        <v/>
      </c>
      <c r="I703" s="14" t="str">
        <f aca="false">IF($D703=1,INDEX(TblClusters[RAM par nœud (Go)],$B703),"")</f>
        <v/>
      </c>
      <c r="J703" s="14" t="str">
        <f aca="false">IF($D703=1,INDEX(TblClusters[Workers min],$B703),"")</f>
        <v/>
      </c>
      <c r="K703" s="84" t="str">
        <f aca="false">IF($D703=1,INDEX(TblClusters[Tarif par nœud],$B703),"")</f>
        <v/>
      </c>
      <c r="L703" s="14" t="str">
        <f aca="false">IF($D703=1,INDEX(TblClusters[CPU initial (vCPU)],$B703),"")</f>
        <v/>
      </c>
      <c r="M703" s="14" t="str">
        <f aca="false">IF($D703=1,INDEX(TblClusters[RAM initiale (Go)],$B703),"")</f>
        <v/>
      </c>
      <c r="N703" s="14" t="str">
        <f aca="false">IF($D703=1,INDEX(TblClusters[CPU min (vCPU)],$B703),"")</f>
        <v/>
      </c>
      <c r="O703" s="14" t="str">
        <f aca="false">IF($D703=1,INDEX(TblClusters[RAM min (Go)],$B703),"")</f>
        <v/>
      </c>
      <c r="P703" s="14" t="str">
        <f aca="false">IF($D703&lt;&gt;1,"",IF($G703="ROKS",SUMIFS(TblApplications[Besoin ROKS CPU (vCPU)],TblApplications[Cluster ROKS cible],$F703,TblApplications[Action],"À migrer",TblApplications[Déjà incluse ROKS],"Non",TblApplications[Mois prov (calc)],"&lt;="&amp;$E703),SUMIFS(TblApplications[CPU IKS libérable (vCPU)],TblApplications[Cluster IKS source],$F703,TblApplications[Mois lib (calc)],"&lt;="&amp;$E703)))</f>
        <v/>
      </c>
      <c r="Q703" s="14" t="str">
        <f aca="false">IF($D703&lt;&gt;1,"",IF($G703="ROKS",SUMIFS(TblApplications[Besoin ROKS RAM (Go)],TblApplications[Cluster ROKS cible],$F703,TblApplications[Action],"À migrer",TblApplications[Déjà incluse ROKS],"Non",TblApplications[Mois prov (calc)],"&lt;="&amp;$E703),SUMIFS(TblApplications[RAM IKS libérable (Go)],TblApplications[Cluster IKS source],$F703,TblApplications[Mois lib (calc)],"&lt;="&amp;$E703)))</f>
        <v/>
      </c>
      <c r="R703" s="14" t="str">
        <f aca="false">IF($D703&lt;&gt;1,"",IF($G703="ROKS",$L703+$P703,IF($AI703=1,0,MAX($N703,$L703-$P703))))</f>
        <v/>
      </c>
      <c r="S703" s="14" t="str">
        <f aca="false">IF($D703&lt;&gt;1,"",IF($G703="ROKS",$M703+$Q703,IF($AI703=1,0,MAX($O703,$M703-$Q703))))</f>
        <v/>
      </c>
      <c r="T703" s="14" t="str">
        <f aca="false">IF($D703&lt;&gt;1,"",IF($AI703=1,0,MAX($J703,ROUNDUP(MAX($R703/$H703,$S703/$I703),0))))</f>
        <v/>
      </c>
      <c r="U703" s="14" t="str">
        <f aca="false">IF($D703&lt;&gt;1,"",IF(p_mode="Nœud",$T703*$H703,$R703))</f>
        <v/>
      </c>
      <c r="V703" s="14" t="str">
        <f aca="false">IF($D703&lt;&gt;1,"",IF(p_mode="Nœud",$T703*$I703,$S703))</f>
        <v/>
      </c>
      <c r="W703" s="84" t="str">
        <f aca="false">IF($D703&lt;&gt;1,"",IF(p_mode="Nœud",$T703*$K703,$R703*IF($G703="IKS",p_iks_cpu,p_roks_cpu)+$S703*IF($G703="IKS",p_iks_ram,p_roks_ram))*p_facteur)</f>
        <v/>
      </c>
      <c r="X703" s="14" t="str">
        <f aca="false">IF($D703&lt;&gt;1,"",IF($G703="ROKS",$R703,IF($AI703=1,0,MAX($N703,$L703-SUMIFS(TblApplications[CPU IKS libérable (vCPU)],TblApplications[Cluster IKS source],$F703,TblApplications[Action],"À migrer",TblApplications[Mois prov (calc)],"&lt;="&amp;$E703)-SUMIFS(TblApplications[CPU IKS libérable (vCPU)],TblApplications[Cluster IKS source],$F703,TblApplications[Action],"À décommissionner",TblApplications[Mois lib (calc)],"&lt;="&amp;$E703)))))</f>
        <v/>
      </c>
      <c r="Y703" s="14" t="str">
        <f aca="false">IF($D703&lt;&gt;1,"",IF($G703="ROKS",$S703,IF($AI703=1,0,MAX($O703,$M703-SUMIFS(TblApplications[RAM IKS libérable (Go)],TblApplications[Cluster IKS source],$F703,TblApplications[Action],"À migrer",TblApplications[Mois prov (calc)],"&lt;="&amp;$E703)-SUMIFS(TblApplications[RAM IKS libérable (Go)],TblApplications[Cluster IKS source],$F703,TblApplications[Action],"À décommissionner",TblApplications[Mois lib (calc)],"&lt;="&amp;$E703)))))</f>
        <v/>
      </c>
      <c r="Z703" s="14" t="str">
        <f aca="false">IF($D703&lt;&gt;1,"",IF($AI703=1,0,MAX($J703,ROUNDUP(MAX($X703/$H703,$Y703/$I703),0))))</f>
        <v/>
      </c>
      <c r="AA703" s="84" t="str">
        <f aca="false">IF($D703&lt;&gt;1,"",IF(p_mode="Nœud",$Z703*$K703,$X703*IF($G703="IKS",p_iks_cpu,p_roks_cpu)+$Y703*IF($G703="IKS",p_iks_ram,p_roks_ram))*p_facteur)</f>
        <v/>
      </c>
      <c r="AB703" s="14" t="str">
        <f aca="false">IF($D703&lt;&gt;1,"",MAX($J703,ROUNDUP(MAX($L703/$H703,$M703/$I703),0)))</f>
        <v/>
      </c>
      <c r="AC703" s="84" t="str">
        <f aca="false">IF($D703&lt;&gt;1,"",IF(p_mode="Nœud",$AB703*$K703,$L703*IF($G703="IKS",p_iks_cpu,p_roks_cpu)+$M703*IF($G703="IKS",p_iks_ram,p_roks_ram))*p_facteur)</f>
        <v/>
      </c>
      <c r="AD703" s="14" t="str">
        <f aca="false">IF($D703&lt;&gt;1,"",IF(AND($G703="IKS",$AI703&lt;&gt;1,OR($L703-$P703&lt;$N703,$M703-$Q703&lt;$O703)),1,0))</f>
        <v/>
      </c>
      <c r="AE703" s="14" t="str">
        <f aca="false">IF($D703&lt;&gt;1,"",IF(AND($G703="ROKS",$T703&gt;p_maxworkers),1,0))</f>
        <v/>
      </c>
      <c r="AF703" s="14" t="str">
        <f aca="false">IF($D703&lt;&gt;1,"",IF(INDEX(TblClusters[Environnement],$B703)="","(vide)",INDEX(TblClusters[Environnement],$B703)))</f>
        <v/>
      </c>
      <c r="AG703" s="14" t="str">
        <f aca="false">IF($D703&lt;&gt;1,"",$R703+p_poidsram*$S703)</f>
        <v/>
      </c>
      <c r="AH703" s="14" t="str">
        <f aca="false">IF($D703&lt;&gt;1,"",IFERROR($W703/$AG703,0))</f>
        <v/>
      </c>
      <c r="AI703" s="14" t="str">
        <f aca="false">IF($D703&lt;&gt;1,"",IF(AND($G703="IKS",ISNUMBER(INDEX(TblClusters[Fermeture retenue],$B703))),IF($E703&gt;=INDEX(TblClusters[Fermeture retenue],$B703),1,0),0))</f>
        <v/>
      </c>
    </row>
    <row r="704" customFormat="false" ht="15" hidden="false" customHeight="false" outlineLevel="0" collapsed="false">
      <c r="A704" s="14" t="n">
        <v>699</v>
      </c>
      <c r="B704" s="14" t="n">
        <f aca="false">INT(($A704-1)/36)+1</f>
        <v>20</v>
      </c>
      <c r="C704" s="14" t="n">
        <f aca="false">MOD($A704-1,36)+1</f>
        <v>15</v>
      </c>
      <c r="D704" s="14" t="n">
        <f aca="false">IF($C704&gt;p_horizon,0,IFERROR(IF(AND(INDEX(TblClusters[Cluster],$B704)&lt;&gt;"",ISNUMBER(INDEX(TblClusters[CPU initial (vCPU)],$B704)),ISNUMBER(INDEX(TblClusters[CPU min (vCPU)],$B704)),OR(INDEX(TblClusters[Plateforme],$B704)="IKS",INDEX(TblClusters[Plateforme],$B704)="ROKS")),1,0),0))</f>
        <v>0</v>
      </c>
      <c r="E704" s="83" t="str">
        <f aca="false">IF($D704=1,EDATE(p_debut,$C704-1),"")</f>
        <v/>
      </c>
      <c r="F704" s="14" t="str">
        <f aca="false">IF($D704=1,INDEX(TblClusters[Cluster],$B704),"")</f>
        <v/>
      </c>
      <c r="G704" s="14" t="str">
        <f aca="false">IF($D704=1,INDEX(TblClusters[Plateforme],$B704),"")</f>
        <v/>
      </c>
      <c r="H704" s="14" t="str">
        <f aca="false">IF($D704=1,INDEX(TblClusters[vCPU par nœud],$B704),"")</f>
        <v/>
      </c>
      <c r="I704" s="14" t="str">
        <f aca="false">IF($D704=1,INDEX(TblClusters[RAM par nœud (Go)],$B704),"")</f>
        <v/>
      </c>
      <c r="J704" s="14" t="str">
        <f aca="false">IF($D704=1,INDEX(TblClusters[Workers min],$B704),"")</f>
        <v/>
      </c>
      <c r="K704" s="84" t="str">
        <f aca="false">IF($D704=1,INDEX(TblClusters[Tarif par nœud],$B704),"")</f>
        <v/>
      </c>
      <c r="L704" s="14" t="str">
        <f aca="false">IF($D704=1,INDEX(TblClusters[CPU initial (vCPU)],$B704),"")</f>
        <v/>
      </c>
      <c r="M704" s="14" t="str">
        <f aca="false">IF($D704=1,INDEX(TblClusters[RAM initiale (Go)],$B704),"")</f>
        <v/>
      </c>
      <c r="N704" s="14" t="str">
        <f aca="false">IF($D704=1,INDEX(TblClusters[CPU min (vCPU)],$B704),"")</f>
        <v/>
      </c>
      <c r="O704" s="14" t="str">
        <f aca="false">IF($D704=1,INDEX(TblClusters[RAM min (Go)],$B704),"")</f>
        <v/>
      </c>
      <c r="P704" s="14" t="str">
        <f aca="false">IF($D704&lt;&gt;1,"",IF($G704="ROKS",SUMIFS(TblApplications[Besoin ROKS CPU (vCPU)],TblApplications[Cluster ROKS cible],$F704,TblApplications[Action],"À migrer",TblApplications[Déjà incluse ROKS],"Non",TblApplications[Mois prov (calc)],"&lt;="&amp;$E704),SUMIFS(TblApplications[CPU IKS libérable (vCPU)],TblApplications[Cluster IKS source],$F704,TblApplications[Mois lib (calc)],"&lt;="&amp;$E704)))</f>
        <v/>
      </c>
      <c r="Q704" s="14" t="str">
        <f aca="false">IF($D704&lt;&gt;1,"",IF($G704="ROKS",SUMIFS(TblApplications[Besoin ROKS RAM (Go)],TblApplications[Cluster ROKS cible],$F704,TblApplications[Action],"À migrer",TblApplications[Déjà incluse ROKS],"Non",TblApplications[Mois prov (calc)],"&lt;="&amp;$E704),SUMIFS(TblApplications[RAM IKS libérable (Go)],TblApplications[Cluster IKS source],$F704,TblApplications[Mois lib (calc)],"&lt;="&amp;$E704)))</f>
        <v/>
      </c>
      <c r="R704" s="14" t="str">
        <f aca="false">IF($D704&lt;&gt;1,"",IF($G704="ROKS",$L704+$P704,IF($AI704=1,0,MAX($N704,$L704-$P704))))</f>
        <v/>
      </c>
      <c r="S704" s="14" t="str">
        <f aca="false">IF($D704&lt;&gt;1,"",IF($G704="ROKS",$M704+$Q704,IF($AI704=1,0,MAX($O704,$M704-$Q704))))</f>
        <v/>
      </c>
      <c r="T704" s="14" t="str">
        <f aca="false">IF($D704&lt;&gt;1,"",IF($AI704=1,0,MAX($J704,ROUNDUP(MAX($R704/$H704,$S704/$I704),0))))</f>
        <v/>
      </c>
      <c r="U704" s="14" t="str">
        <f aca="false">IF($D704&lt;&gt;1,"",IF(p_mode="Nœud",$T704*$H704,$R704))</f>
        <v/>
      </c>
      <c r="V704" s="14" t="str">
        <f aca="false">IF($D704&lt;&gt;1,"",IF(p_mode="Nœud",$T704*$I704,$S704))</f>
        <v/>
      </c>
      <c r="W704" s="84" t="str">
        <f aca="false">IF($D704&lt;&gt;1,"",IF(p_mode="Nœud",$T704*$K704,$R704*IF($G704="IKS",p_iks_cpu,p_roks_cpu)+$S704*IF($G704="IKS",p_iks_ram,p_roks_ram))*p_facteur)</f>
        <v/>
      </c>
      <c r="X704" s="14" t="str">
        <f aca="false">IF($D704&lt;&gt;1,"",IF($G704="ROKS",$R704,IF($AI704=1,0,MAX($N704,$L704-SUMIFS(TblApplications[CPU IKS libérable (vCPU)],TblApplications[Cluster IKS source],$F704,TblApplications[Action],"À migrer",TblApplications[Mois prov (calc)],"&lt;="&amp;$E704)-SUMIFS(TblApplications[CPU IKS libérable (vCPU)],TblApplications[Cluster IKS source],$F704,TblApplications[Action],"À décommissionner",TblApplications[Mois lib (calc)],"&lt;="&amp;$E704)))))</f>
        <v/>
      </c>
      <c r="Y704" s="14" t="str">
        <f aca="false">IF($D704&lt;&gt;1,"",IF($G704="ROKS",$S704,IF($AI704=1,0,MAX($O704,$M704-SUMIFS(TblApplications[RAM IKS libérable (Go)],TblApplications[Cluster IKS source],$F704,TblApplications[Action],"À migrer",TblApplications[Mois prov (calc)],"&lt;="&amp;$E704)-SUMIFS(TblApplications[RAM IKS libérable (Go)],TblApplications[Cluster IKS source],$F704,TblApplications[Action],"À décommissionner",TblApplications[Mois lib (calc)],"&lt;="&amp;$E704)))))</f>
        <v/>
      </c>
      <c r="Z704" s="14" t="str">
        <f aca="false">IF($D704&lt;&gt;1,"",IF($AI704=1,0,MAX($J704,ROUNDUP(MAX($X704/$H704,$Y704/$I704),0))))</f>
        <v/>
      </c>
      <c r="AA704" s="84" t="str">
        <f aca="false">IF($D704&lt;&gt;1,"",IF(p_mode="Nœud",$Z704*$K704,$X704*IF($G704="IKS",p_iks_cpu,p_roks_cpu)+$Y704*IF($G704="IKS",p_iks_ram,p_roks_ram))*p_facteur)</f>
        <v/>
      </c>
      <c r="AB704" s="14" t="str">
        <f aca="false">IF($D704&lt;&gt;1,"",MAX($J704,ROUNDUP(MAX($L704/$H704,$M704/$I704),0)))</f>
        <v/>
      </c>
      <c r="AC704" s="84" t="str">
        <f aca="false">IF($D704&lt;&gt;1,"",IF(p_mode="Nœud",$AB704*$K704,$L704*IF($G704="IKS",p_iks_cpu,p_roks_cpu)+$M704*IF($G704="IKS",p_iks_ram,p_roks_ram))*p_facteur)</f>
        <v/>
      </c>
      <c r="AD704" s="14" t="str">
        <f aca="false">IF($D704&lt;&gt;1,"",IF(AND($G704="IKS",$AI704&lt;&gt;1,OR($L704-$P704&lt;$N704,$M704-$Q704&lt;$O704)),1,0))</f>
        <v/>
      </c>
      <c r="AE704" s="14" t="str">
        <f aca="false">IF($D704&lt;&gt;1,"",IF(AND($G704="ROKS",$T704&gt;p_maxworkers),1,0))</f>
        <v/>
      </c>
      <c r="AF704" s="14" t="str">
        <f aca="false">IF($D704&lt;&gt;1,"",IF(INDEX(TblClusters[Environnement],$B704)="","(vide)",INDEX(TblClusters[Environnement],$B704)))</f>
        <v/>
      </c>
      <c r="AG704" s="14" t="str">
        <f aca="false">IF($D704&lt;&gt;1,"",$R704+p_poidsram*$S704)</f>
        <v/>
      </c>
      <c r="AH704" s="14" t="str">
        <f aca="false">IF($D704&lt;&gt;1,"",IFERROR($W704/$AG704,0))</f>
        <v/>
      </c>
      <c r="AI704" s="14" t="str">
        <f aca="false">IF($D704&lt;&gt;1,"",IF(AND($G704="IKS",ISNUMBER(INDEX(TblClusters[Fermeture retenue],$B704))),IF($E704&gt;=INDEX(TblClusters[Fermeture retenue],$B704),1,0),0))</f>
        <v/>
      </c>
    </row>
    <row r="705" customFormat="false" ht="15" hidden="false" customHeight="false" outlineLevel="0" collapsed="false">
      <c r="A705" s="14" t="n">
        <v>700</v>
      </c>
      <c r="B705" s="14" t="n">
        <f aca="false">INT(($A705-1)/36)+1</f>
        <v>20</v>
      </c>
      <c r="C705" s="14" t="n">
        <f aca="false">MOD($A705-1,36)+1</f>
        <v>16</v>
      </c>
      <c r="D705" s="14" t="n">
        <f aca="false">IF($C705&gt;p_horizon,0,IFERROR(IF(AND(INDEX(TblClusters[Cluster],$B705)&lt;&gt;"",ISNUMBER(INDEX(TblClusters[CPU initial (vCPU)],$B705)),ISNUMBER(INDEX(TblClusters[CPU min (vCPU)],$B705)),OR(INDEX(TblClusters[Plateforme],$B705)="IKS",INDEX(TblClusters[Plateforme],$B705)="ROKS")),1,0),0))</f>
        <v>0</v>
      </c>
      <c r="E705" s="83" t="str">
        <f aca="false">IF($D705=1,EDATE(p_debut,$C705-1),"")</f>
        <v/>
      </c>
      <c r="F705" s="14" t="str">
        <f aca="false">IF($D705=1,INDEX(TblClusters[Cluster],$B705),"")</f>
        <v/>
      </c>
      <c r="G705" s="14" t="str">
        <f aca="false">IF($D705=1,INDEX(TblClusters[Plateforme],$B705),"")</f>
        <v/>
      </c>
      <c r="H705" s="14" t="str">
        <f aca="false">IF($D705=1,INDEX(TblClusters[vCPU par nœud],$B705),"")</f>
        <v/>
      </c>
      <c r="I705" s="14" t="str">
        <f aca="false">IF($D705=1,INDEX(TblClusters[RAM par nœud (Go)],$B705),"")</f>
        <v/>
      </c>
      <c r="J705" s="14" t="str">
        <f aca="false">IF($D705=1,INDEX(TblClusters[Workers min],$B705),"")</f>
        <v/>
      </c>
      <c r="K705" s="84" t="str">
        <f aca="false">IF($D705=1,INDEX(TblClusters[Tarif par nœud],$B705),"")</f>
        <v/>
      </c>
      <c r="L705" s="14" t="str">
        <f aca="false">IF($D705=1,INDEX(TblClusters[CPU initial (vCPU)],$B705),"")</f>
        <v/>
      </c>
      <c r="M705" s="14" t="str">
        <f aca="false">IF($D705=1,INDEX(TblClusters[RAM initiale (Go)],$B705),"")</f>
        <v/>
      </c>
      <c r="N705" s="14" t="str">
        <f aca="false">IF($D705=1,INDEX(TblClusters[CPU min (vCPU)],$B705),"")</f>
        <v/>
      </c>
      <c r="O705" s="14" t="str">
        <f aca="false">IF($D705=1,INDEX(TblClusters[RAM min (Go)],$B705),"")</f>
        <v/>
      </c>
      <c r="P705" s="14" t="str">
        <f aca="false">IF($D705&lt;&gt;1,"",IF($G705="ROKS",SUMIFS(TblApplications[Besoin ROKS CPU (vCPU)],TblApplications[Cluster ROKS cible],$F705,TblApplications[Action],"À migrer",TblApplications[Déjà incluse ROKS],"Non",TblApplications[Mois prov (calc)],"&lt;="&amp;$E705),SUMIFS(TblApplications[CPU IKS libérable (vCPU)],TblApplications[Cluster IKS source],$F705,TblApplications[Mois lib (calc)],"&lt;="&amp;$E705)))</f>
        <v/>
      </c>
      <c r="Q705" s="14" t="str">
        <f aca="false">IF($D705&lt;&gt;1,"",IF($G705="ROKS",SUMIFS(TblApplications[Besoin ROKS RAM (Go)],TblApplications[Cluster ROKS cible],$F705,TblApplications[Action],"À migrer",TblApplications[Déjà incluse ROKS],"Non",TblApplications[Mois prov (calc)],"&lt;="&amp;$E705),SUMIFS(TblApplications[RAM IKS libérable (Go)],TblApplications[Cluster IKS source],$F705,TblApplications[Mois lib (calc)],"&lt;="&amp;$E705)))</f>
        <v/>
      </c>
      <c r="R705" s="14" t="str">
        <f aca="false">IF($D705&lt;&gt;1,"",IF($G705="ROKS",$L705+$P705,IF($AI705=1,0,MAX($N705,$L705-$P705))))</f>
        <v/>
      </c>
      <c r="S705" s="14" t="str">
        <f aca="false">IF($D705&lt;&gt;1,"",IF($G705="ROKS",$M705+$Q705,IF($AI705=1,0,MAX($O705,$M705-$Q705))))</f>
        <v/>
      </c>
      <c r="T705" s="14" t="str">
        <f aca="false">IF($D705&lt;&gt;1,"",IF($AI705=1,0,MAX($J705,ROUNDUP(MAX($R705/$H705,$S705/$I705),0))))</f>
        <v/>
      </c>
      <c r="U705" s="14" t="str">
        <f aca="false">IF($D705&lt;&gt;1,"",IF(p_mode="Nœud",$T705*$H705,$R705))</f>
        <v/>
      </c>
      <c r="V705" s="14" t="str">
        <f aca="false">IF($D705&lt;&gt;1,"",IF(p_mode="Nœud",$T705*$I705,$S705))</f>
        <v/>
      </c>
      <c r="W705" s="84" t="str">
        <f aca="false">IF($D705&lt;&gt;1,"",IF(p_mode="Nœud",$T705*$K705,$R705*IF($G705="IKS",p_iks_cpu,p_roks_cpu)+$S705*IF($G705="IKS",p_iks_ram,p_roks_ram))*p_facteur)</f>
        <v/>
      </c>
      <c r="X705" s="14" t="str">
        <f aca="false">IF($D705&lt;&gt;1,"",IF($G705="ROKS",$R705,IF($AI705=1,0,MAX($N705,$L705-SUMIFS(TblApplications[CPU IKS libérable (vCPU)],TblApplications[Cluster IKS source],$F705,TblApplications[Action],"À migrer",TblApplications[Mois prov (calc)],"&lt;="&amp;$E705)-SUMIFS(TblApplications[CPU IKS libérable (vCPU)],TblApplications[Cluster IKS source],$F705,TblApplications[Action],"À décommissionner",TblApplications[Mois lib (calc)],"&lt;="&amp;$E705)))))</f>
        <v/>
      </c>
      <c r="Y705" s="14" t="str">
        <f aca="false">IF($D705&lt;&gt;1,"",IF($G705="ROKS",$S705,IF($AI705=1,0,MAX($O705,$M705-SUMIFS(TblApplications[RAM IKS libérable (Go)],TblApplications[Cluster IKS source],$F705,TblApplications[Action],"À migrer",TblApplications[Mois prov (calc)],"&lt;="&amp;$E705)-SUMIFS(TblApplications[RAM IKS libérable (Go)],TblApplications[Cluster IKS source],$F705,TblApplications[Action],"À décommissionner",TblApplications[Mois lib (calc)],"&lt;="&amp;$E705)))))</f>
        <v/>
      </c>
      <c r="Z705" s="14" t="str">
        <f aca="false">IF($D705&lt;&gt;1,"",IF($AI705=1,0,MAX($J705,ROUNDUP(MAX($X705/$H705,$Y705/$I705),0))))</f>
        <v/>
      </c>
      <c r="AA705" s="84" t="str">
        <f aca="false">IF($D705&lt;&gt;1,"",IF(p_mode="Nœud",$Z705*$K705,$X705*IF($G705="IKS",p_iks_cpu,p_roks_cpu)+$Y705*IF($G705="IKS",p_iks_ram,p_roks_ram))*p_facteur)</f>
        <v/>
      </c>
      <c r="AB705" s="14" t="str">
        <f aca="false">IF($D705&lt;&gt;1,"",MAX($J705,ROUNDUP(MAX($L705/$H705,$M705/$I705),0)))</f>
        <v/>
      </c>
      <c r="AC705" s="84" t="str">
        <f aca="false">IF($D705&lt;&gt;1,"",IF(p_mode="Nœud",$AB705*$K705,$L705*IF($G705="IKS",p_iks_cpu,p_roks_cpu)+$M705*IF($G705="IKS",p_iks_ram,p_roks_ram))*p_facteur)</f>
        <v/>
      </c>
      <c r="AD705" s="14" t="str">
        <f aca="false">IF($D705&lt;&gt;1,"",IF(AND($G705="IKS",$AI705&lt;&gt;1,OR($L705-$P705&lt;$N705,$M705-$Q705&lt;$O705)),1,0))</f>
        <v/>
      </c>
      <c r="AE705" s="14" t="str">
        <f aca="false">IF($D705&lt;&gt;1,"",IF(AND($G705="ROKS",$T705&gt;p_maxworkers),1,0))</f>
        <v/>
      </c>
      <c r="AF705" s="14" t="str">
        <f aca="false">IF($D705&lt;&gt;1,"",IF(INDEX(TblClusters[Environnement],$B705)="","(vide)",INDEX(TblClusters[Environnement],$B705)))</f>
        <v/>
      </c>
      <c r="AG705" s="14" t="str">
        <f aca="false">IF($D705&lt;&gt;1,"",$R705+p_poidsram*$S705)</f>
        <v/>
      </c>
      <c r="AH705" s="14" t="str">
        <f aca="false">IF($D705&lt;&gt;1,"",IFERROR($W705/$AG705,0))</f>
        <v/>
      </c>
      <c r="AI705" s="14" t="str">
        <f aca="false">IF($D705&lt;&gt;1,"",IF(AND($G705="IKS",ISNUMBER(INDEX(TblClusters[Fermeture retenue],$B705))),IF($E705&gt;=INDEX(TblClusters[Fermeture retenue],$B705),1,0),0))</f>
        <v/>
      </c>
    </row>
    <row r="706" customFormat="false" ht="15" hidden="false" customHeight="false" outlineLevel="0" collapsed="false">
      <c r="A706" s="14" t="n">
        <v>701</v>
      </c>
      <c r="B706" s="14" t="n">
        <f aca="false">INT(($A706-1)/36)+1</f>
        <v>20</v>
      </c>
      <c r="C706" s="14" t="n">
        <f aca="false">MOD($A706-1,36)+1</f>
        <v>17</v>
      </c>
      <c r="D706" s="14" t="n">
        <f aca="false">IF($C706&gt;p_horizon,0,IFERROR(IF(AND(INDEX(TblClusters[Cluster],$B706)&lt;&gt;"",ISNUMBER(INDEX(TblClusters[CPU initial (vCPU)],$B706)),ISNUMBER(INDEX(TblClusters[CPU min (vCPU)],$B706)),OR(INDEX(TblClusters[Plateforme],$B706)="IKS",INDEX(TblClusters[Plateforme],$B706)="ROKS")),1,0),0))</f>
        <v>0</v>
      </c>
      <c r="E706" s="83" t="str">
        <f aca="false">IF($D706=1,EDATE(p_debut,$C706-1),"")</f>
        <v/>
      </c>
      <c r="F706" s="14" t="str">
        <f aca="false">IF($D706=1,INDEX(TblClusters[Cluster],$B706),"")</f>
        <v/>
      </c>
      <c r="G706" s="14" t="str">
        <f aca="false">IF($D706=1,INDEX(TblClusters[Plateforme],$B706),"")</f>
        <v/>
      </c>
      <c r="H706" s="14" t="str">
        <f aca="false">IF($D706=1,INDEX(TblClusters[vCPU par nœud],$B706),"")</f>
        <v/>
      </c>
      <c r="I706" s="14" t="str">
        <f aca="false">IF($D706=1,INDEX(TblClusters[RAM par nœud (Go)],$B706),"")</f>
        <v/>
      </c>
      <c r="J706" s="14" t="str">
        <f aca="false">IF($D706=1,INDEX(TblClusters[Workers min],$B706),"")</f>
        <v/>
      </c>
      <c r="K706" s="84" t="str">
        <f aca="false">IF($D706=1,INDEX(TblClusters[Tarif par nœud],$B706),"")</f>
        <v/>
      </c>
      <c r="L706" s="14" t="str">
        <f aca="false">IF($D706=1,INDEX(TblClusters[CPU initial (vCPU)],$B706),"")</f>
        <v/>
      </c>
      <c r="M706" s="14" t="str">
        <f aca="false">IF($D706=1,INDEX(TblClusters[RAM initiale (Go)],$B706),"")</f>
        <v/>
      </c>
      <c r="N706" s="14" t="str">
        <f aca="false">IF($D706=1,INDEX(TblClusters[CPU min (vCPU)],$B706),"")</f>
        <v/>
      </c>
      <c r="O706" s="14" t="str">
        <f aca="false">IF($D706=1,INDEX(TblClusters[RAM min (Go)],$B706),"")</f>
        <v/>
      </c>
      <c r="P706" s="14" t="str">
        <f aca="false">IF($D706&lt;&gt;1,"",IF($G706="ROKS",SUMIFS(TblApplications[Besoin ROKS CPU (vCPU)],TblApplications[Cluster ROKS cible],$F706,TblApplications[Action],"À migrer",TblApplications[Déjà incluse ROKS],"Non",TblApplications[Mois prov (calc)],"&lt;="&amp;$E706),SUMIFS(TblApplications[CPU IKS libérable (vCPU)],TblApplications[Cluster IKS source],$F706,TblApplications[Mois lib (calc)],"&lt;="&amp;$E706)))</f>
        <v/>
      </c>
      <c r="Q706" s="14" t="str">
        <f aca="false">IF($D706&lt;&gt;1,"",IF($G706="ROKS",SUMIFS(TblApplications[Besoin ROKS RAM (Go)],TblApplications[Cluster ROKS cible],$F706,TblApplications[Action],"À migrer",TblApplications[Déjà incluse ROKS],"Non",TblApplications[Mois prov (calc)],"&lt;="&amp;$E706),SUMIFS(TblApplications[RAM IKS libérable (Go)],TblApplications[Cluster IKS source],$F706,TblApplications[Mois lib (calc)],"&lt;="&amp;$E706)))</f>
        <v/>
      </c>
      <c r="R706" s="14" t="str">
        <f aca="false">IF($D706&lt;&gt;1,"",IF($G706="ROKS",$L706+$P706,IF($AI706=1,0,MAX($N706,$L706-$P706))))</f>
        <v/>
      </c>
      <c r="S706" s="14" t="str">
        <f aca="false">IF($D706&lt;&gt;1,"",IF($G706="ROKS",$M706+$Q706,IF($AI706=1,0,MAX($O706,$M706-$Q706))))</f>
        <v/>
      </c>
      <c r="T706" s="14" t="str">
        <f aca="false">IF($D706&lt;&gt;1,"",IF($AI706=1,0,MAX($J706,ROUNDUP(MAX($R706/$H706,$S706/$I706),0))))</f>
        <v/>
      </c>
      <c r="U706" s="14" t="str">
        <f aca="false">IF($D706&lt;&gt;1,"",IF(p_mode="Nœud",$T706*$H706,$R706))</f>
        <v/>
      </c>
      <c r="V706" s="14" t="str">
        <f aca="false">IF($D706&lt;&gt;1,"",IF(p_mode="Nœud",$T706*$I706,$S706))</f>
        <v/>
      </c>
      <c r="W706" s="84" t="str">
        <f aca="false">IF($D706&lt;&gt;1,"",IF(p_mode="Nœud",$T706*$K706,$R706*IF($G706="IKS",p_iks_cpu,p_roks_cpu)+$S706*IF($G706="IKS",p_iks_ram,p_roks_ram))*p_facteur)</f>
        <v/>
      </c>
      <c r="X706" s="14" t="str">
        <f aca="false">IF($D706&lt;&gt;1,"",IF($G706="ROKS",$R706,IF($AI706=1,0,MAX($N706,$L706-SUMIFS(TblApplications[CPU IKS libérable (vCPU)],TblApplications[Cluster IKS source],$F706,TblApplications[Action],"À migrer",TblApplications[Mois prov (calc)],"&lt;="&amp;$E706)-SUMIFS(TblApplications[CPU IKS libérable (vCPU)],TblApplications[Cluster IKS source],$F706,TblApplications[Action],"À décommissionner",TblApplications[Mois lib (calc)],"&lt;="&amp;$E706)))))</f>
        <v/>
      </c>
      <c r="Y706" s="14" t="str">
        <f aca="false">IF($D706&lt;&gt;1,"",IF($G706="ROKS",$S706,IF($AI706=1,0,MAX($O706,$M706-SUMIFS(TblApplications[RAM IKS libérable (Go)],TblApplications[Cluster IKS source],$F706,TblApplications[Action],"À migrer",TblApplications[Mois prov (calc)],"&lt;="&amp;$E706)-SUMIFS(TblApplications[RAM IKS libérable (Go)],TblApplications[Cluster IKS source],$F706,TblApplications[Action],"À décommissionner",TblApplications[Mois lib (calc)],"&lt;="&amp;$E706)))))</f>
        <v/>
      </c>
      <c r="Z706" s="14" t="str">
        <f aca="false">IF($D706&lt;&gt;1,"",IF($AI706=1,0,MAX($J706,ROUNDUP(MAX($X706/$H706,$Y706/$I706),0))))</f>
        <v/>
      </c>
      <c r="AA706" s="84" t="str">
        <f aca="false">IF($D706&lt;&gt;1,"",IF(p_mode="Nœud",$Z706*$K706,$X706*IF($G706="IKS",p_iks_cpu,p_roks_cpu)+$Y706*IF($G706="IKS",p_iks_ram,p_roks_ram))*p_facteur)</f>
        <v/>
      </c>
      <c r="AB706" s="14" t="str">
        <f aca="false">IF($D706&lt;&gt;1,"",MAX($J706,ROUNDUP(MAX($L706/$H706,$M706/$I706),0)))</f>
        <v/>
      </c>
      <c r="AC706" s="84" t="str">
        <f aca="false">IF($D706&lt;&gt;1,"",IF(p_mode="Nœud",$AB706*$K706,$L706*IF($G706="IKS",p_iks_cpu,p_roks_cpu)+$M706*IF($G706="IKS",p_iks_ram,p_roks_ram))*p_facteur)</f>
        <v/>
      </c>
      <c r="AD706" s="14" t="str">
        <f aca="false">IF($D706&lt;&gt;1,"",IF(AND($G706="IKS",$AI706&lt;&gt;1,OR($L706-$P706&lt;$N706,$M706-$Q706&lt;$O706)),1,0))</f>
        <v/>
      </c>
      <c r="AE706" s="14" t="str">
        <f aca="false">IF($D706&lt;&gt;1,"",IF(AND($G706="ROKS",$T706&gt;p_maxworkers),1,0))</f>
        <v/>
      </c>
      <c r="AF706" s="14" t="str">
        <f aca="false">IF($D706&lt;&gt;1,"",IF(INDEX(TblClusters[Environnement],$B706)="","(vide)",INDEX(TblClusters[Environnement],$B706)))</f>
        <v/>
      </c>
      <c r="AG706" s="14" t="str">
        <f aca="false">IF($D706&lt;&gt;1,"",$R706+p_poidsram*$S706)</f>
        <v/>
      </c>
      <c r="AH706" s="14" t="str">
        <f aca="false">IF($D706&lt;&gt;1,"",IFERROR($W706/$AG706,0))</f>
        <v/>
      </c>
      <c r="AI706" s="14" t="str">
        <f aca="false">IF($D706&lt;&gt;1,"",IF(AND($G706="IKS",ISNUMBER(INDEX(TblClusters[Fermeture retenue],$B706))),IF($E706&gt;=INDEX(TblClusters[Fermeture retenue],$B706),1,0),0))</f>
        <v/>
      </c>
    </row>
    <row r="707" customFormat="false" ht="15" hidden="false" customHeight="false" outlineLevel="0" collapsed="false">
      <c r="A707" s="14" t="n">
        <v>702</v>
      </c>
      <c r="B707" s="14" t="n">
        <f aca="false">INT(($A707-1)/36)+1</f>
        <v>20</v>
      </c>
      <c r="C707" s="14" t="n">
        <f aca="false">MOD($A707-1,36)+1</f>
        <v>18</v>
      </c>
      <c r="D707" s="14" t="n">
        <f aca="false">IF($C707&gt;p_horizon,0,IFERROR(IF(AND(INDEX(TblClusters[Cluster],$B707)&lt;&gt;"",ISNUMBER(INDEX(TblClusters[CPU initial (vCPU)],$B707)),ISNUMBER(INDEX(TblClusters[CPU min (vCPU)],$B707)),OR(INDEX(TblClusters[Plateforme],$B707)="IKS",INDEX(TblClusters[Plateforme],$B707)="ROKS")),1,0),0))</f>
        <v>0</v>
      </c>
      <c r="E707" s="83" t="str">
        <f aca="false">IF($D707=1,EDATE(p_debut,$C707-1),"")</f>
        <v/>
      </c>
      <c r="F707" s="14" t="str">
        <f aca="false">IF($D707=1,INDEX(TblClusters[Cluster],$B707),"")</f>
        <v/>
      </c>
      <c r="G707" s="14" t="str">
        <f aca="false">IF($D707=1,INDEX(TblClusters[Plateforme],$B707),"")</f>
        <v/>
      </c>
      <c r="H707" s="14" t="str">
        <f aca="false">IF($D707=1,INDEX(TblClusters[vCPU par nœud],$B707),"")</f>
        <v/>
      </c>
      <c r="I707" s="14" t="str">
        <f aca="false">IF($D707=1,INDEX(TblClusters[RAM par nœud (Go)],$B707),"")</f>
        <v/>
      </c>
      <c r="J707" s="14" t="str">
        <f aca="false">IF($D707=1,INDEX(TblClusters[Workers min],$B707),"")</f>
        <v/>
      </c>
      <c r="K707" s="84" t="str">
        <f aca="false">IF($D707=1,INDEX(TblClusters[Tarif par nœud],$B707),"")</f>
        <v/>
      </c>
      <c r="L707" s="14" t="str">
        <f aca="false">IF($D707=1,INDEX(TblClusters[CPU initial (vCPU)],$B707),"")</f>
        <v/>
      </c>
      <c r="M707" s="14" t="str">
        <f aca="false">IF($D707=1,INDEX(TblClusters[RAM initiale (Go)],$B707),"")</f>
        <v/>
      </c>
      <c r="N707" s="14" t="str">
        <f aca="false">IF($D707=1,INDEX(TblClusters[CPU min (vCPU)],$B707),"")</f>
        <v/>
      </c>
      <c r="O707" s="14" t="str">
        <f aca="false">IF($D707=1,INDEX(TblClusters[RAM min (Go)],$B707),"")</f>
        <v/>
      </c>
      <c r="P707" s="14" t="str">
        <f aca="false">IF($D707&lt;&gt;1,"",IF($G707="ROKS",SUMIFS(TblApplications[Besoin ROKS CPU (vCPU)],TblApplications[Cluster ROKS cible],$F707,TblApplications[Action],"À migrer",TblApplications[Déjà incluse ROKS],"Non",TblApplications[Mois prov (calc)],"&lt;="&amp;$E707),SUMIFS(TblApplications[CPU IKS libérable (vCPU)],TblApplications[Cluster IKS source],$F707,TblApplications[Mois lib (calc)],"&lt;="&amp;$E707)))</f>
        <v/>
      </c>
      <c r="Q707" s="14" t="str">
        <f aca="false">IF($D707&lt;&gt;1,"",IF($G707="ROKS",SUMIFS(TblApplications[Besoin ROKS RAM (Go)],TblApplications[Cluster ROKS cible],$F707,TblApplications[Action],"À migrer",TblApplications[Déjà incluse ROKS],"Non",TblApplications[Mois prov (calc)],"&lt;="&amp;$E707),SUMIFS(TblApplications[RAM IKS libérable (Go)],TblApplications[Cluster IKS source],$F707,TblApplications[Mois lib (calc)],"&lt;="&amp;$E707)))</f>
        <v/>
      </c>
      <c r="R707" s="14" t="str">
        <f aca="false">IF($D707&lt;&gt;1,"",IF($G707="ROKS",$L707+$P707,IF($AI707=1,0,MAX($N707,$L707-$P707))))</f>
        <v/>
      </c>
      <c r="S707" s="14" t="str">
        <f aca="false">IF($D707&lt;&gt;1,"",IF($G707="ROKS",$M707+$Q707,IF($AI707=1,0,MAX($O707,$M707-$Q707))))</f>
        <v/>
      </c>
      <c r="T707" s="14" t="str">
        <f aca="false">IF($D707&lt;&gt;1,"",IF($AI707=1,0,MAX($J707,ROUNDUP(MAX($R707/$H707,$S707/$I707),0))))</f>
        <v/>
      </c>
      <c r="U707" s="14" t="str">
        <f aca="false">IF($D707&lt;&gt;1,"",IF(p_mode="Nœud",$T707*$H707,$R707))</f>
        <v/>
      </c>
      <c r="V707" s="14" t="str">
        <f aca="false">IF($D707&lt;&gt;1,"",IF(p_mode="Nœud",$T707*$I707,$S707))</f>
        <v/>
      </c>
      <c r="W707" s="84" t="str">
        <f aca="false">IF($D707&lt;&gt;1,"",IF(p_mode="Nœud",$T707*$K707,$R707*IF($G707="IKS",p_iks_cpu,p_roks_cpu)+$S707*IF($G707="IKS",p_iks_ram,p_roks_ram))*p_facteur)</f>
        <v/>
      </c>
      <c r="X707" s="14" t="str">
        <f aca="false">IF($D707&lt;&gt;1,"",IF($G707="ROKS",$R707,IF($AI707=1,0,MAX($N707,$L707-SUMIFS(TblApplications[CPU IKS libérable (vCPU)],TblApplications[Cluster IKS source],$F707,TblApplications[Action],"À migrer",TblApplications[Mois prov (calc)],"&lt;="&amp;$E707)-SUMIFS(TblApplications[CPU IKS libérable (vCPU)],TblApplications[Cluster IKS source],$F707,TblApplications[Action],"À décommissionner",TblApplications[Mois lib (calc)],"&lt;="&amp;$E707)))))</f>
        <v/>
      </c>
      <c r="Y707" s="14" t="str">
        <f aca="false">IF($D707&lt;&gt;1,"",IF($G707="ROKS",$S707,IF($AI707=1,0,MAX($O707,$M707-SUMIFS(TblApplications[RAM IKS libérable (Go)],TblApplications[Cluster IKS source],$F707,TblApplications[Action],"À migrer",TblApplications[Mois prov (calc)],"&lt;="&amp;$E707)-SUMIFS(TblApplications[RAM IKS libérable (Go)],TblApplications[Cluster IKS source],$F707,TblApplications[Action],"À décommissionner",TblApplications[Mois lib (calc)],"&lt;="&amp;$E707)))))</f>
        <v/>
      </c>
      <c r="Z707" s="14" t="str">
        <f aca="false">IF($D707&lt;&gt;1,"",IF($AI707=1,0,MAX($J707,ROUNDUP(MAX($X707/$H707,$Y707/$I707),0))))</f>
        <v/>
      </c>
      <c r="AA707" s="84" t="str">
        <f aca="false">IF($D707&lt;&gt;1,"",IF(p_mode="Nœud",$Z707*$K707,$X707*IF($G707="IKS",p_iks_cpu,p_roks_cpu)+$Y707*IF($G707="IKS",p_iks_ram,p_roks_ram))*p_facteur)</f>
        <v/>
      </c>
      <c r="AB707" s="14" t="str">
        <f aca="false">IF($D707&lt;&gt;1,"",MAX($J707,ROUNDUP(MAX($L707/$H707,$M707/$I707),0)))</f>
        <v/>
      </c>
      <c r="AC707" s="84" t="str">
        <f aca="false">IF($D707&lt;&gt;1,"",IF(p_mode="Nœud",$AB707*$K707,$L707*IF($G707="IKS",p_iks_cpu,p_roks_cpu)+$M707*IF($G707="IKS",p_iks_ram,p_roks_ram))*p_facteur)</f>
        <v/>
      </c>
      <c r="AD707" s="14" t="str">
        <f aca="false">IF($D707&lt;&gt;1,"",IF(AND($G707="IKS",$AI707&lt;&gt;1,OR($L707-$P707&lt;$N707,$M707-$Q707&lt;$O707)),1,0))</f>
        <v/>
      </c>
      <c r="AE707" s="14" t="str">
        <f aca="false">IF($D707&lt;&gt;1,"",IF(AND($G707="ROKS",$T707&gt;p_maxworkers),1,0))</f>
        <v/>
      </c>
      <c r="AF707" s="14" t="str">
        <f aca="false">IF($D707&lt;&gt;1,"",IF(INDEX(TblClusters[Environnement],$B707)="","(vide)",INDEX(TblClusters[Environnement],$B707)))</f>
        <v/>
      </c>
      <c r="AG707" s="14" t="str">
        <f aca="false">IF($D707&lt;&gt;1,"",$R707+p_poidsram*$S707)</f>
        <v/>
      </c>
      <c r="AH707" s="14" t="str">
        <f aca="false">IF($D707&lt;&gt;1,"",IFERROR($W707/$AG707,0))</f>
        <v/>
      </c>
      <c r="AI707" s="14" t="str">
        <f aca="false">IF($D707&lt;&gt;1,"",IF(AND($G707="IKS",ISNUMBER(INDEX(TblClusters[Fermeture retenue],$B707))),IF($E707&gt;=INDEX(TblClusters[Fermeture retenue],$B707),1,0),0))</f>
        <v/>
      </c>
    </row>
    <row r="708" customFormat="false" ht="15" hidden="false" customHeight="false" outlineLevel="0" collapsed="false">
      <c r="A708" s="14" t="n">
        <v>703</v>
      </c>
      <c r="B708" s="14" t="n">
        <f aca="false">INT(($A708-1)/36)+1</f>
        <v>20</v>
      </c>
      <c r="C708" s="14" t="n">
        <f aca="false">MOD($A708-1,36)+1</f>
        <v>19</v>
      </c>
      <c r="D708" s="14" t="n">
        <f aca="false">IF($C708&gt;p_horizon,0,IFERROR(IF(AND(INDEX(TblClusters[Cluster],$B708)&lt;&gt;"",ISNUMBER(INDEX(TblClusters[CPU initial (vCPU)],$B708)),ISNUMBER(INDEX(TblClusters[CPU min (vCPU)],$B708)),OR(INDEX(TblClusters[Plateforme],$B708)="IKS",INDEX(TblClusters[Plateforme],$B708)="ROKS")),1,0),0))</f>
        <v>0</v>
      </c>
      <c r="E708" s="83" t="str">
        <f aca="false">IF($D708=1,EDATE(p_debut,$C708-1),"")</f>
        <v/>
      </c>
      <c r="F708" s="14" t="str">
        <f aca="false">IF($D708=1,INDEX(TblClusters[Cluster],$B708),"")</f>
        <v/>
      </c>
      <c r="G708" s="14" t="str">
        <f aca="false">IF($D708=1,INDEX(TblClusters[Plateforme],$B708),"")</f>
        <v/>
      </c>
      <c r="H708" s="14" t="str">
        <f aca="false">IF($D708=1,INDEX(TblClusters[vCPU par nœud],$B708),"")</f>
        <v/>
      </c>
      <c r="I708" s="14" t="str">
        <f aca="false">IF($D708=1,INDEX(TblClusters[RAM par nœud (Go)],$B708),"")</f>
        <v/>
      </c>
      <c r="J708" s="14" t="str">
        <f aca="false">IF($D708=1,INDEX(TblClusters[Workers min],$B708),"")</f>
        <v/>
      </c>
      <c r="K708" s="84" t="str">
        <f aca="false">IF($D708=1,INDEX(TblClusters[Tarif par nœud],$B708),"")</f>
        <v/>
      </c>
      <c r="L708" s="14" t="str">
        <f aca="false">IF($D708=1,INDEX(TblClusters[CPU initial (vCPU)],$B708),"")</f>
        <v/>
      </c>
      <c r="M708" s="14" t="str">
        <f aca="false">IF($D708=1,INDEX(TblClusters[RAM initiale (Go)],$B708),"")</f>
        <v/>
      </c>
      <c r="N708" s="14" t="str">
        <f aca="false">IF($D708=1,INDEX(TblClusters[CPU min (vCPU)],$B708),"")</f>
        <v/>
      </c>
      <c r="O708" s="14" t="str">
        <f aca="false">IF($D708=1,INDEX(TblClusters[RAM min (Go)],$B708),"")</f>
        <v/>
      </c>
      <c r="P708" s="14" t="str">
        <f aca="false">IF($D708&lt;&gt;1,"",IF($G708="ROKS",SUMIFS(TblApplications[Besoin ROKS CPU (vCPU)],TblApplications[Cluster ROKS cible],$F708,TblApplications[Action],"À migrer",TblApplications[Déjà incluse ROKS],"Non",TblApplications[Mois prov (calc)],"&lt;="&amp;$E708),SUMIFS(TblApplications[CPU IKS libérable (vCPU)],TblApplications[Cluster IKS source],$F708,TblApplications[Mois lib (calc)],"&lt;="&amp;$E708)))</f>
        <v/>
      </c>
      <c r="Q708" s="14" t="str">
        <f aca="false">IF($D708&lt;&gt;1,"",IF($G708="ROKS",SUMIFS(TblApplications[Besoin ROKS RAM (Go)],TblApplications[Cluster ROKS cible],$F708,TblApplications[Action],"À migrer",TblApplications[Déjà incluse ROKS],"Non",TblApplications[Mois prov (calc)],"&lt;="&amp;$E708),SUMIFS(TblApplications[RAM IKS libérable (Go)],TblApplications[Cluster IKS source],$F708,TblApplications[Mois lib (calc)],"&lt;="&amp;$E708)))</f>
        <v/>
      </c>
      <c r="R708" s="14" t="str">
        <f aca="false">IF($D708&lt;&gt;1,"",IF($G708="ROKS",$L708+$P708,IF($AI708=1,0,MAX($N708,$L708-$P708))))</f>
        <v/>
      </c>
      <c r="S708" s="14" t="str">
        <f aca="false">IF($D708&lt;&gt;1,"",IF($G708="ROKS",$M708+$Q708,IF($AI708=1,0,MAX($O708,$M708-$Q708))))</f>
        <v/>
      </c>
      <c r="T708" s="14" t="str">
        <f aca="false">IF($D708&lt;&gt;1,"",IF($AI708=1,0,MAX($J708,ROUNDUP(MAX($R708/$H708,$S708/$I708),0))))</f>
        <v/>
      </c>
      <c r="U708" s="14" t="str">
        <f aca="false">IF($D708&lt;&gt;1,"",IF(p_mode="Nœud",$T708*$H708,$R708))</f>
        <v/>
      </c>
      <c r="V708" s="14" t="str">
        <f aca="false">IF($D708&lt;&gt;1,"",IF(p_mode="Nœud",$T708*$I708,$S708))</f>
        <v/>
      </c>
      <c r="W708" s="84" t="str">
        <f aca="false">IF($D708&lt;&gt;1,"",IF(p_mode="Nœud",$T708*$K708,$R708*IF($G708="IKS",p_iks_cpu,p_roks_cpu)+$S708*IF($G708="IKS",p_iks_ram,p_roks_ram))*p_facteur)</f>
        <v/>
      </c>
      <c r="X708" s="14" t="str">
        <f aca="false">IF($D708&lt;&gt;1,"",IF($G708="ROKS",$R708,IF($AI708=1,0,MAX($N708,$L708-SUMIFS(TblApplications[CPU IKS libérable (vCPU)],TblApplications[Cluster IKS source],$F708,TblApplications[Action],"À migrer",TblApplications[Mois prov (calc)],"&lt;="&amp;$E708)-SUMIFS(TblApplications[CPU IKS libérable (vCPU)],TblApplications[Cluster IKS source],$F708,TblApplications[Action],"À décommissionner",TblApplications[Mois lib (calc)],"&lt;="&amp;$E708)))))</f>
        <v/>
      </c>
      <c r="Y708" s="14" t="str">
        <f aca="false">IF($D708&lt;&gt;1,"",IF($G708="ROKS",$S708,IF($AI708=1,0,MAX($O708,$M708-SUMIFS(TblApplications[RAM IKS libérable (Go)],TblApplications[Cluster IKS source],$F708,TblApplications[Action],"À migrer",TblApplications[Mois prov (calc)],"&lt;="&amp;$E708)-SUMIFS(TblApplications[RAM IKS libérable (Go)],TblApplications[Cluster IKS source],$F708,TblApplications[Action],"À décommissionner",TblApplications[Mois lib (calc)],"&lt;="&amp;$E708)))))</f>
        <v/>
      </c>
      <c r="Z708" s="14" t="str">
        <f aca="false">IF($D708&lt;&gt;1,"",IF($AI708=1,0,MAX($J708,ROUNDUP(MAX($X708/$H708,$Y708/$I708),0))))</f>
        <v/>
      </c>
      <c r="AA708" s="84" t="str">
        <f aca="false">IF($D708&lt;&gt;1,"",IF(p_mode="Nœud",$Z708*$K708,$X708*IF($G708="IKS",p_iks_cpu,p_roks_cpu)+$Y708*IF($G708="IKS",p_iks_ram,p_roks_ram))*p_facteur)</f>
        <v/>
      </c>
      <c r="AB708" s="14" t="str">
        <f aca="false">IF($D708&lt;&gt;1,"",MAX($J708,ROUNDUP(MAX($L708/$H708,$M708/$I708),0)))</f>
        <v/>
      </c>
      <c r="AC708" s="84" t="str">
        <f aca="false">IF($D708&lt;&gt;1,"",IF(p_mode="Nœud",$AB708*$K708,$L708*IF($G708="IKS",p_iks_cpu,p_roks_cpu)+$M708*IF($G708="IKS",p_iks_ram,p_roks_ram))*p_facteur)</f>
        <v/>
      </c>
      <c r="AD708" s="14" t="str">
        <f aca="false">IF($D708&lt;&gt;1,"",IF(AND($G708="IKS",$AI708&lt;&gt;1,OR($L708-$P708&lt;$N708,$M708-$Q708&lt;$O708)),1,0))</f>
        <v/>
      </c>
      <c r="AE708" s="14" t="str">
        <f aca="false">IF($D708&lt;&gt;1,"",IF(AND($G708="ROKS",$T708&gt;p_maxworkers),1,0))</f>
        <v/>
      </c>
      <c r="AF708" s="14" t="str">
        <f aca="false">IF($D708&lt;&gt;1,"",IF(INDEX(TblClusters[Environnement],$B708)="","(vide)",INDEX(TblClusters[Environnement],$B708)))</f>
        <v/>
      </c>
      <c r="AG708" s="14" t="str">
        <f aca="false">IF($D708&lt;&gt;1,"",$R708+p_poidsram*$S708)</f>
        <v/>
      </c>
      <c r="AH708" s="14" t="str">
        <f aca="false">IF($D708&lt;&gt;1,"",IFERROR($W708/$AG708,0))</f>
        <v/>
      </c>
      <c r="AI708" s="14" t="str">
        <f aca="false">IF($D708&lt;&gt;1,"",IF(AND($G708="IKS",ISNUMBER(INDEX(TblClusters[Fermeture retenue],$B708))),IF($E708&gt;=INDEX(TblClusters[Fermeture retenue],$B708),1,0),0))</f>
        <v/>
      </c>
    </row>
    <row r="709" customFormat="false" ht="15" hidden="false" customHeight="false" outlineLevel="0" collapsed="false">
      <c r="A709" s="14" t="n">
        <v>704</v>
      </c>
      <c r="B709" s="14" t="n">
        <f aca="false">INT(($A709-1)/36)+1</f>
        <v>20</v>
      </c>
      <c r="C709" s="14" t="n">
        <f aca="false">MOD($A709-1,36)+1</f>
        <v>20</v>
      </c>
      <c r="D709" s="14" t="n">
        <f aca="false">IF($C709&gt;p_horizon,0,IFERROR(IF(AND(INDEX(TblClusters[Cluster],$B709)&lt;&gt;"",ISNUMBER(INDEX(TblClusters[CPU initial (vCPU)],$B709)),ISNUMBER(INDEX(TblClusters[CPU min (vCPU)],$B709)),OR(INDEX(TblClusters[Plateforme],$B709)="IKS",INDEX(TblClusters[Plateforme],$B709)="ROKS")),1,0),0))</f>
        <v>0</v>
      </c>
      <c r="E709" s="83" t="str">
        <f aca="false">IF($D709=1,EDATE(p_debut,$C709-1),"")</f>
        <v/>
      </c>
      <c r="F709" s="14" t="str">
        <f aca="false">IF($D709=1,INDEX(TblClusters[Cluster],$B709),"")</f>
        <v/>
      </c>
      <c r="G709" s="14" t="str">
        <f aca="false">IF($D709=1,INDEX(TblClusters[Plateforme],$B709),"")</f>
        <v/>
      </c>
      <c r="H709" s="14" t="str">
        <f aca="false">IF($D709=1,INDEX(TblClusters[vCPU par nœud],$B709),"")</f>
        <v/>
      </c>
      <c r="I709" s="14" t="str">
        <f aca="false">IF($D709=1,INDEX(TblClusters[RAM par nœud (Go)],$B709),"")</f>
        <v/>
      </c>
      <c r="J709" s="14" t="str">
        <f aca="false">IF($D709=1,INDEX(TblClusters[Workers min],$B709),"")</f>
        <v/>
      </c>
      <c r="K709" s="84" t="str">
        <f aca="false">IF($D709=1,INDEX(TblClusters[Tarif par nœud],$B709),"")</f>
        <v/>
      </c>
      <c r="L709" s="14" t="str">
        <f aca="false">IF($D709=1,INDEX(TblClusters[CPU initial (vCPU)],$B709),"")</f>
        <v/>
      </c>
      <c r="M709" s="14" t="str">
        <f aca="false">IF($D709=1,INDEX(TblClusters[RAM initiale (Go)],$B709),"")</f>
        <v/>
      </c>
      <c r="N709" s="14" t="str">
        <f aca="false">IF($D709=1,INDEX(TblClusters[CPU min (vCPU)],$B709),"")</f>
        <v/>
      </c>
      <c r="O709" s="14" t="str">
        <f aca="false">IF($D709=1,INDEX(TblClusters[RAM min (Go)],$B709),"")</f>
        <v/>
      </c>
      <c r="P709" s="14" t="str">
        <f aca="false">IF($D709&lt;&gt;1,"",IF($G709="ROKS",SUMIFS(TblApplications[Besoin ROKS CPU (vCPU)],TblApplications[Cluster ROKS cible],$F709,TblApplications[Action],"À migrer",TblApplications[Déjà incluse ROKS],"Non",TblApplications[Mois prov (calc)],"&lt;="&amp;$E709),SUMIFS(TblApplications[CPU IKS libérable (vCPU)],TblApplications[Cluster IKS source],$F709,TblApplications[Mois lib (calc)],"&lt;="&amp;$E709)))</f>
        <v/>
      </c>
      <c r="Q709" s="14" t="str">
        <f aca="false">IF($D709&lt;&gt;1,"",IF($G709="ROKS",SUMIFS(TblApplications[Besoin ROKS RAM (Go)],TblApplications[Cluster ROKS cible],$F709,TblApplications[Action],"À migrer",TblApplications[Déjà incluse ROKS],"Non",TblApplications[Mois prov (calc)],"&lt;="&amp;$E709),SUMIFS(TblApplications[RAM IKS libérable (Go)],TblApplications[Cluster IKS source],$F709,TblApplications[Mois lib (calc)],"&lt;="&amp;$E709)))</f>
        <v/>
      </c>
      <c r="R709" s="14" t="str">
        <f aca="false">IF($D709&lt;&gt;1,"",IF($G709="ROKS",$L709+$P709,IF($AI709=1,0,MAX($N709,$L709-$P709))))</f>
        <v/>
      </c>
      <c r="S709" s="14" t="str">
        <f aca="false">IF($D709&lt;&gt;1,"",IF($G709="ROKS",$M709+$Q709,IF($AI709=1,0,MAX($O709,$M709-$Q709))))</f>
        <v/>
      </c>
      <c r="T709" s="14" t="str">
        <f aca="false">IF($D709&lt;&gt;1,"",IF($AI709=1,0,MAX($J709,ROUNDUP(MAX($R709/$H709,$S709/$I709),0))))</f>
        <v/>
      </c>
      <c r="U709" s="14" t="str">
        <f aca="false">IF($D709&lt;&gt;1,"",IF(p_mode="Nœud",$T709*$H709,$R709))</f>
        <v/>
      </c>
      <c r="V709" s="14" t="str">
        <f aca="false">IF($D709&lt;&gt;1,"",IF(p_mode="Nœud",$T709*$I709,$S709))</f>
        <v/>
      </c>
      <c r="W709" s="84" t="str">
        <f aca="false">IF($D709&lt;&gt;1,"",IF(p_mode="Nœud",$T709*$K709,$R709*IF($G709="IKS",p_iks_cpu,p_roks_cpu)+$S709*IF($G709="IKS",p_iks_ram,p_roks_ram))*p_facteur)</f>
        <v/>
      </c>
      <c r="X709" s="14" t="str">
        <f aca="false">IF($D709&lt;&gt;1,"",IF($G709="ROKS",$R709,IF($AI709=1,0,MAX($N709,$L709-SUMIFS(TblApplications[CPU IKS libérable (vCPU)],TblApplications[Cluster IKS source],$F709,TblApplications[Action],"À migrer",TblApplications[Mois prov (calc)],"&lt;="&amp;$E709)-SUMIFS(TblApplications[CPU IKS libérable (vCPU)],TblApplications[Cluster IKS source],$F709,TblApplications[Action],"À décommissionner",TblApplications[Mois lib (calc)],"&lt;="&amp;$E709)))))</f>
        <v/>
      </c>
      <c r="Y709" s="14" t="str">
        <f aca="false">IF($D709&lt;&gt;1,"",IF($G709="ROKS",$S709,IF($AI709=1,0,MAX($O709,$M709-SUMIFS(TblApplications[RAM IKS libérable (Go)],TblApplications[Cluster IKS source],$F709,TblApplications[Action],"À migrer",TblApplications[Mois prov (calc)],"&lt;="&amp;$E709)-SUMIFS(TblApplications[RAM IKS libérable (Go)],TblApplications[Cluster IKS source],$F709,TblApplications[Action],"À décommissionner",TblApplications[Mois lib (calc)],"&lt;="&amp;$E709)))))</f>
        <v/>
      </c>
      <c r="Z709" s="14" t="str">
        <f aca="false">IF($D709&lt;&gt;1,"",IF($AI709=1,0,MAX($J709,ROUNDUP(MAX($X709/$H709,$Y709/$I709),0))))</f>
        <v/>
      </c>
      <c r="AA709" s="84" t="str">
        <f aca="false">IF($D709&lt;&gt;1,"",IF(p_mode="Nœud",$Z709*$K709,$X709*IF($G709="IKS",p_iks_cpu,p_roks_cpu)+$Y709*IF($G709="IKS",p_iks_ram,p_roks_ram))*p_facteur)</f>
        <v/>
      </c>
      <c r="AB709" s="14" t="str">
        <f aca="false">IF($D709&lt;&gt;1,"",MAX($J709,ROUNDUP(MAX($L709/$H709,$M709/$I709),0)))</f>
        <v/>
      </c>
      <c r="AC709" s="84" t="str">
        <f aca="false">IF($D709&lt;&gt;1,"",IF(p_mode="Nœud",$AB709*$K709,$L709*IF($G709="IKS",p_iks_cpu,p_roks_cpu)+$M709*IF($G709="IKS",p_iks_ram,p_roks_ram))*p_facteur)</f>
        <v/>
      </c>
      <c r="AD709" s="14" t="str">
        <f aca="false">IF($D709&lt;&gt;1,"",IF(AND($G709="IKS",$AI709&lt;&gt;1,OR($L709-$P709&lt;$N709,$M709-$Q709&lt;$O709)),1,0))</f>
        <v/>
      </c>
      <c r="AE709" s="14" t="str">
        <f aca="false">IF($D709&lt;&gt;1,"",IF(AND($G709="ROKS",$T709&gt;p_maxworkers),1,0))</f>
        <v/>
      </c>
      <c r="AF709" s="14" t="str">
        <f aca="false">IF($D709&lt;&gt;1,"",IF(INDEX(TblClusters[Environnement],$B709)="","(vide)",INDEX(TblClusters[Environnement],$B709)))</f>
        <v/>
      </c>
      <c r="AG709" s="14" t="str">
        <f aca="false">IF($D709&lt;&gt;1,"",$R709+p_poidsram*$S709)</f>
        <v/>
      </c>
      <c r="AH709" s="14" t="str">
        <f aca="false">IF($D709&lt;&gt;1,"",IFERROR($W709/$AG709,0))</f>
        <v/>
      </c>
      <c r="AI709" s="14" t="str">
        <f aca="false">IF($D709&lt;&gt;1,"",IF(AND($G709="IKS",ISNUMBER(INDEX(TblClusters[Fermeture retenue],$B709))),IF($E709&gt;=INDEX(TblClusters[Fermeture retenue],$B709),1,0),0))</f>
        <v/>
      </c>
    </row>
    <row r="710" customFormat="false" ht="15" hidden="false" customHeight="false" outlineLevel="0" collapsed="false">
      <c r="A710" s="14" t="n">
        <v>705</v>
      </c>
      <c r="B710" s="14" t="n">
        <f aca="false">INT(($A710-1)/36)+1</f>
        <v>20</v>
      </c>
      <c r="C710" s="14" t="n">
        <f aca="false">MOD($A710-1,36)+1</f>
        <v>21</v>
      </c>
      <c r="D710" s="14" t="n">
        <f aca="false">IF($C710&gt;p_horizon,0,IFERROR(IF(AND(INDEX(TblClusters[Cluster],$B710)&lt;&gt;"",ISNUMBER(INDEX(TblClusters[CPU initial (vCPU)],$B710)),ISNUMBER(INDEX(TblClusters[CPU min (vCPU)],$B710)),OR(INDEX(TblClusters[Plateforme],$B710)="IKS",INDEX(TblClusters[Plateforme],$B710)="ROKS")),1,0),0))</f>
        <v>0</v>
      </c>
      <c r="E710" s="83" t="str">
        <f aca="false">IF($D710=1,EDATE(p_debut,$C710-1),"")</f>
        <v/>
      </c>
      <c r="F710" s="14" t="str">
        <f aca="false">IF($D710=1,INDEX(TblClusters[Cluster],$B710),"")</f>
        <v/>
      </c>
      <c r="G710" s="14" t="str">
        <f aca="false">IF($D710=1,INDEX(TblClusters[Plateforme],$B710),"")</f>
        <v/>
      </c>
      <c r="H710" s="14" t="str">
        <f aca="false">IF($D710=1,INDEX(TblClusters[vCPU par nœud],$B710),"")</f>
        <v/>
      </c>
      <c r="I710" s="14" t="str">
        <f aca="false">IF($D710=1,INDEX(TblClusters[RAM par nœud (Go)],$B710),"")</f>
        <v/>
      </c>
      <c r="J710" s="14" t="str">
        <f aca="false">IF($D710=1,INDEX(TblClusters[Workers min],$B710),"")</f>
        <v/>
      </c>
      <c r="K710" s="84" t="str">
        <f aca="false">IF($D710=1,INDEX(TblClusters[Tarif par nœud],$B710),"")</f>
        <v/>
      </c>
      <c r="L710" s="14" t="str">
        <f aca="false">IF($D710=1,INDEX(TblClusters[CPU initial (vCPU)],$B710),"")</f>
        <v/>
      </c>
      <c r="M710" s="14" t="str">
        <f aca="false">IF($D710=1,INDEX(TblClusters[RAM initiale (Go)],$B710),"")</f>
        <v/>
      </c>
      <c r="N710" s="14" t="str">
        <f aca="false">IF($D710=1,INDEX(TblClusters[CPU min (vCPU)],$B710),"")</f>
        <v/>
      </c>
      <c r="O710" s="14" t="str">
        <f aca="false">IF($D710=1,INDEX(TblClusters[RAM min (Go)],$B710),"")</f>
        <v/>
      </c>
      <c r="P710" s="14" t="str">
        <f aca="false">IF($D710&lt;&gt;1,"",IF($G710="ROKS",SUMIFS(TblApplications[Besoin ROKS CPU (vCPU)],TblApplications[Cluster ROKS cible],$F710,TblApplications[Action],"À migrer",TblApplications[Déjà incluse ROKS],"Non",TblApplications[Mois prov (calc)],"&lt;="&amp;$E710),SUMIFS(TblApplications[CPU IKS libérable (vCPU)],TblApplications[Cluster IKS source],$F710,TblApplications[Mois lib (calc)],"&lt;="&amp;$E710)))</f>
        <v/>
      </c>
      <c r="Q710" s="14" t="str">
        <f aca="false">IF($D710&lt;&gt;1,"",IF($G710="ROKS",SUMIFS(TblApplications[Besoin ROKS RAM (Go)],TblApplications[Cluster ROKS cible],$F710,TblApplications[Action],"À migrer",TblApplications[Déjà incluse ROKS],"Non",TblApplications[Mois prov (calc)],"&lt;="&amp;$E710),SUMIFS(TblApplications[RAM IKS libérable (Go)],TblApplications[Cluster IKS source],$F710,TblApplications[Mois lib (calc)],"&lt;="&amp;$E710)))</f>
        <v/>
      </c>
      <c r="R710" s="14" t="str">
        <f aca="false">IF($D710&lt;&gt;1,"",IF($G710="ROKS",$L710+$P710,IF($AI710=1,0,MAX($N710,$L710-$P710))))</f>
        <v/>
      </c>
      <c r="S710" s="14" t="str">
        <f aca="false">IF($D710&lt;&gt;1,"",IF($G710="ROKS",$M710+$Q710,IF($AI710=1,0,MAX($O710,$M710-$Q710))))</f>
        <v/>
      </c>
      <c r="T710" s="14" t="str">
        <f aca="false">IF($D710&lt;&gt;1,"",IF($AI710=1,0,MAX($J710,ROUNDUP(MAX($R710/$H710,$S710/$I710),0))))</f>
        <v/>
      </c>
      <c r="U710" s="14" t="str">
        <f aca="false">IF($D710&lt;&gt;1,"",IF(p_mode="Nœud",$T710*$H710,$R710))</f>
        <v/>
      </c>
      <c r="V710" s="14" t="str">
        <f aca="false">IF($D710&lt;&gt;1,"",IF(p_mode="Nœud",$T710*$I710,$S710))</f>
        <v/>
      </c>
      <c r="W710" s="84" t="str">
        <f aca="false">IF($D710&lt;&gt;1,"",IF(p_mode="Nœud",$T710*$K710,$R710*IF($G710="IKS",p_iks_cpu,p_roks_cpu)+$S710*IF($G710="IKS",p_iks_ram,p_roks_ram))*p_facteur)</f>
        <v/>
      </c>
      <c r="X710" s="14" t="str">
        <f aca="false">IF($D710&lt;&gt;1,"",IF($G710="ROKS",$R710,IF($AI710=1,0,MAX($N710,$L710-SUMIFS(TblApplications[CPU IKS libérable (vCPU)],TblApplications[Cluster IKS source],$F710,TblApplications[Action],"À migrer",TblApplications[Mois prov (calc)],"&lt;="&amp;$E710)-SUMIFS(TblApplications[CPU IKS libérable (vCPU)],TblApplications[Cluster IKS source],$F710,TblApplications[Action],"À décommissionner",TblApplications[Mois lib (calc)],"&lt;="&amp;$E710)))))</f>
        <v/>
      </c>
      <c r="Y710" s="14" t="str">
        <f aca="false">IF($D710&lt;&gt;1,"",IF($G710="ROKS",$S710,IF($AI710=1,0,MAX($O710,$M710-SUMIFS(TblApplications[RAM IKS libérable (Go)],TblApplications[Cluster IKS source],$F710,TblApplications[Action],"À migrer",TblApplications[Mois prov (calc)],"&lt;="&amp;$E710)-SUMIFS(TblApplications[RAM IKS libérable (Go)],TblApplications[Cluster IKS source],$F710,TblApplications[Action],"À décommissionner",TblApplications[Mois lib (calc)],"&lt;="&amp;$E710)))))</f>
        <v/>
      </c>
      <c r="Z710" s="14" t="str">
        <f aca="false">IF($D710&lt;&gt;1,"",IF($AI710=1,0,MAX($J710,ROUNDUP(MAX($X710/$H710,$Y710/$I710),0))))</f>
        <v/>
      </c>
      <c r="AA710" s="84" t="str">
        <f aca="false">IF($D710&lt;&gt;1,"",IF(p_mode="Nœud",$Z710*$K710,$X710*IF($G710="IKS",p_iks_cpu,p_roks_cpu)+$Y710*IF($G710="IKS",p_iks_ram,p_roks_ram))*p_facteur)</f>
        <v/>
      </c>
      <c r="AB710" s="14" t="str">
        <f aca="false">IF($D710&lt;&gt;1,"",MAX($J710,ROUNDUP(MAX($L710/$H710,$M710/$I710),0)))</f>
        <v/>
      </c>
      <c r="AC710" s="84" t="str">
        <f aca="false">IF($D710&lt;&gt;1,"",IF(p_mode="Nœud",$AB710*$K710,$L710*IF($G710="IKS",p_iks_cpu,p_roks_cpu)+$M710*IF($G710="IKS",p_iks_ram,p_roks_ram))*p_facteur)</f>
        <v/>
      </c>
      <c r="AD710" s="14" t="str">
        <f aca="false">IF($D710&lt;&gt;1,"",IF(AND($G710="IKS",$AI710&lt;&gt;1,OR($L710-$P710&lt;$N710,$M710-$Q710&lt;$O710)),1,0))</f>
        <v/>
      </c>
      <c r="AE710" s="14" t="str">
        <f aca="false">IF($D710&lt;&gt;1,"",IF(AND($G710="ROKS",$T710&gt;p_maxworkers),1,0))</f>
        <v/>
      </c>
      <c r="AF710" s="14" t="str">
        <f aca="false">IF($D710&lt;&gt;1,"",IF(INDEX(TblClusters[Environnement],$B710)="","(vide)",INDEX(TblClusters[Environnement],$B710)))</f>
        <v/>
      </c>
      <c r="AG710" s="14" t="str">
        <f aca="false">IF($D710&lt;&gt;1,"",$R710+p_poidsram*$S710)</f>
        <v/>
      </c>
      <c r="AH710" s="14" t="str">
        <f aca="false">IF($D710&lt;&gt;1,"",IFERROR($W710/$AG710,0))</f>
        <v/>
      </c>
      <c r="AI710" s="14" t="str">
        <f aca="false">IF($D710&lt;&gt;1,"",IF(AND($G710="IKS",ISNUMBER(INDEX(TblClusters[Fermeture retenue],$B710))),IF($E710&gt;=INDEX(TblClusters[Fermeture retenue],$B710),1,0),0))</f>
        <v/>
      </c>
    </row>
    <row r="711" customFormat="false" ht="15" hidden="false" customHeight="false" outlineLevel="0" collapsed="false">
      <c r="A711" s="14" t="n">
        <v>706</v>
      </c>
      <c r="B711" s="14" t="n">
        <f aca="false">INT(($A711-1)/36)+1</f>
        <v>20</v>
      </c>
      <c r="C711" s="14" t="n">
        <f aca="false">MOD($A711-1,36)+1</f>
        <v>22</v>
      </c>
      <c r="D711" s="14" t="n">
        <f aca="false">IF($C711&gt;p_horizon,0,IFERROR(IF(AND(INDEX(TblClusters[Cluster],$B711)&lt;&gt;"",ISNUMBER(INDEX(TblClusters[CPU initial (vCPU)],$B711)),ISNUMBER(INDEX(TblClusters[CPU min (vCPU)],$B711)),OR(INDEX(TblClusters[Plateforme],$B711)="IKS",INDEX(TblClusters[Plateforme],$B711)="ROKS")),1,0),0))</f>
        <v>0</v>
      </c>
      <c r="E711" s="83" t="str">
        <f aca="false">IF($D711=1,EDATE(p_debut,$C711-1),"")</f>
        <v/>
      </c>
      <c r="F711" s="14" t="str">
        <f aca="false">IF($D711=1,INDEX(TblClusters[Cluster],$B711),"")</f>
        <v/>
      </c>
      <c r="G711" s="14" t="str">
        <f aca="false">IF($D711=1,INDEX(TblClusters[Plateforme],$B711),"")</f>
        <v/>
      </c>
      <c r="H711" s="14" t="str">
        <f aca="false">IF($D711=1,INDEX(TblClusters[vCPU par nœud],$B711),"")</f>
        <v/>
      </c>
      <c r="I711" s="14" t="str">
        <f aca="false">IF($D711=1,INDEX(TblClusters[RAM par nœud (Go)],$B711),"")</f>
        <v/>
      </c>
      <c r="J711" s="14" t="str">
        <f aca="false">IF($D711=1,INDEX(TblClusters[Workers min],$B711),"")</f>
        <v/>
      </c>
      <c r="K711" s="84" t="str">
        <f aca="false">IF($D711=1,INDEX(TblClusters[Tarif par nœud],$B711),"")</f>
        <v/>
      </c>
      <c r="L711" s="14" t="str">
        <f aca="false">IF($D711=1,INDEX(TblClusters[CPU initial (vCPU)],$B711),"")</f>
        <v/>
      </c>
      <c r="M711" s="14" t="str">
        <f aca="false">IF($D711=1,INDEX(TblClusters[RAM initiale (Go)],$B711),"")</f>
        <v/>
      </c>
      <c r="N711" s="14" t="str">
        <f aca="false">IF($D711=1,INDEX(TblClusters[CPU min (vCPU)],$B711),"")</f>
        <v/>
      </c>
      <c r="O711" s="14" t="str">
        <f aca="false">IF($D711=1,INDEX(TblClusters[RAM min (Go)],$B711),"")</f>
        <v/>
      </c>
      <c r="P711" s="14" t="str">
        <f aca="false">IF($D711&lt;&gt;1,"",IF($G711="ROKS",SUMIFS(TblApplications[Besoin ROKS CPU (vCPU)],TblApplications[Cluster ROKS cible],$F711,TblApplications[Action],"À migrer",TblApplications[Déjà incluse ROKS],"Non",TblApplications[Mois prov (calc)],"&lt;="&amp;$E711),SUMIFS(TblApplications[CPU IKS libérable (vCPU)],TblApplications[Cluster IKS source],$F711,TblApplications[Mois lib (calc)],"&lt;="&amp;$E711)))</f>
        <v/>
      </c>
      <c r="Q711" s="14" t="str">
        <f aca="false">IF($D711&lt;&gt;1,"",IF($G711="ROKS",SUMIFS(TblApplications[Besoin ROKS RAM (Go)],TblApplications[Cluster ROKS cible],$F711,TblApplications[Action],"À migrer",TblApplications[Déjà incluse ROKS],"Non",TblApplications[Mois prov (calc)],"&lt;="&amp;$E711),SUMIFS(TblApplications[RAM IKS libérable (Go)],TblApplications[Cluster IKS source],$F711,TblApplications[Mois lib (calc)],"&lt;="&amp;$E711)))</f>
        <v/>
      </c>
      <c r="R711" s="14" t="str">
        <f aca="false">IF($D711&lt;&gt;1,"",IF($G711="ROKS",$L711+$P711,IF($AI711=1,0,MAX($N711,$L711-$P711))))</f>
        <v/>
      </c>
      <c r="S711" s="14" t="str">
        <f aca="false">IF($D711&lt;&gt;1,"",IF($G711="ROKS",$M711+$Q711,IF($AI711=1,0,MAX($O711,$M711-$Q711))))</f>
        <v/>
      </c>
      <c r="T711" s="14" t="str">
        <f aca="false">IF($D711&lt;&gt;1,"",IF($AI711=1,0,MAX($J711,ROUNDUP(MAX($R711/$H711,$S711/$I711),0))))</f>
        <v/>
      </c>
      <c r="U711" s="14" t="str">
        <f aca="false">IF($D711&lt;&gt;1,"",IF(p_mode="Nœud",$T711*$H711,$R711))</f>
        <v/>
      </c>
      <c r="V711" s="14" t="str">
        <f aca="false">IF($D711&lt;&gt;1,"",IF(p_mode="Nœud",$T711*$I711,$S711))</f>
        <v/>
      </c>
      <c r="W711" s="84" t="str">
        <f aca="false">IF($D711&lt;&gt;1,"",IF(p_mode="Nœud",$T711*$K711,$R711*IF($G711="IKS",p_iks_cpu,p_roks_cpu)+$S711*IF($G711="IKS",p_iks_ram,p_roks_ram))*p_facteur)</f>
        <v/>
      </c>
      <c r="X711" s="14" t="str">
        <f aca="false">IF($D711&lt;&gt;1,"",IF($G711="ROKS",$R711,IF($AI711=1,0,MAX($N711,$L711-SUMIFS(TblApplications[CPU IKS libérable (vCPU)],TblApplications[Cluster IKS source],$F711,TblApplications[Action],"À migrer",TblApplications[Mois prov (calc)],"&lt;="&amp;$E711)-SUMIFS(TblApplications[CPU IKS libérable (vCPU)],TblApplications[Cluster IKS source],$F711,TblApplications[Action],"À décommissionner",TblApplications[Mois lib (calc)],"&lt;="&amp;$E711)))))</f>
        <v/>
      </c>
      <c r="Y711" s="14" t="str">
        <f aca="false">IF($D711&lt;&gt;1,"",IF($G711="ROKS",$S711,IF($AI711=1,0,MAX($O711,$M711-SUMIFS(TblApplications[RAM IKS libérable (Go)],TblApplications[Cluster IKS source],$F711,TblApplications[Action],"À migrer",TblApplications[Mois prov (calc)],"&lt;="&amp;$E711)-SUMIFS(TblApplications[RAM IKS libérable (Go)],TblApplications[Cluster IKS source],$F711,TblApplications[Action],"À décommissionner",TblApplications[Mois lib (calc)],"&lt;="&amp;$E711)))))</f>
        <v/>
      </c>
      <c r="Z711" s="14" t="str">
        <f aca="false">IF($D711&lt;&gt;1,"",IF($AI711=1,0,MAX($J711,ROUNDUP(MAX($X711/$H711,$Y711/$I711),0))))</f>
        <v/>
      </c>
      <c r="AA711" s="84" t="str">
        <f aca="false">IF($D711&lt;&gt;1,"",IF(p_mode="Nœud",$Z711*$K711,$X711*IF($G711="IKS",p_iks_cpu,p_roks_cpu)+$Y711*IF($G711="IKS",p_iks_ram,p_roks_ram))*p_facteur)</f>
        <v/>
      </c>
      <c r="AB711" s="14" t="str">
        <f aca="false">IF($D711&lt;&gt;1,"",MAX($J711,ROUNDUP(MAX($L711/$H711,$M711/$I711),0)))</f>
        <v/>
      </c>
      <c r="AC711" s="84" t="str">
        <f aca="false">IF($D711&lt;&gt;1,"",IF(p_mode="Nœud",$AB711*$K711,$L711*IF($G711="IKS",p_iks_cpu,p_roks_cpu)+$M711*IF($G711="IKS",p_iks_ram,p_roks_ram))*p_facteur)</f>
        <v/>
      </c>
      <c r="AD711" s="14" t="str">
        <f aca="false">IF($D711&lt;&gt;1,"",IF(AND($G711="IKS",$AI711&lt;&gt;1,OR($L711-$P711&lt;$N711,$M711-$Q711&lt;$O711)),1,0))</f>
        <v/>
      </c>
      <c r="AE711" s="14" t="str">
        <f aca="false">IF($D711&lt;&gt;1,"",IF(AND($G711="ROKS",$T711&gt;p_maxworkers),1,0))</f>
        <v/>
      </c>
      <c r="AF711" s="14" t="str">
        <f aca="false">IF($D711&lt;&gt;1,"",IF(INDEX(TblClusters[Environnement],$B711)="","(vide)",INDEX(TblClusters[Environnement],$B711)))</f>
        <v/>
      </c>
      <c r="AG711" s="14" t="str">
        <f aca="false">IF($D711&lt;&gt;1,"",$R711+p_poidsram*$S711)</f>
        <v/>
      </c>
      <c r="AH711" s="14" t="str">
        <f aca="false">IF($D711&lt;&gt;1,"",IFERROR($W711/$AG711,0))</f>
        <v/>
      </c>
      <c r="AI711" s="14" t="str">
        <f aca="false">IF($D711&lt;&gt;1,"",IF(AND($G711="IKS",ISNUMBER(INDEX(TblClusters[Fermeture retenue],$B711))),IF($E711&gt;=INDEX(TblClusters[Fermeture retenue],$B711),1,0),0))</f>
        <v/>
      </c>
    </row>
    <row r="712" customFormat="false" ht="15" hidden="false" customHeight="false" outlineLevel="0" collapsed="false">
      <c r="A712" s="14" t="n">
        <v>707</v>
      </c>
      <c r="B712" s="14" t="n">
        <f aca="false">INT(($A712-1)/36)+1</f>
        <v>20</v>
      </c>
      <c r="C712" s="14" t="n">
        <f aca="false">MOD($A712-1,36)+1</f>
        <v>23</v>
      </c>
      <c r="D712" s="14" t="n">
        <f aca="false">IF($C712&gt;p_horizon,0,IFERROR(IF(AND(INDEX(TblClusters[Cluster],$B712)&lt;&gt;"",ISNUMBER(INDEX(TblClusters[CPU initial (vCPU)],$B712)),ISNUMBER(INDEX(TblClusters[CPU min (vCPU)],$B712)),OR(INDEX(TblClusters[Plateforme],$B712)="IKS",INDEX(TblClusters[Plateforme],$B712)="ROKS")),1,0),0))</f>
        <v>0</v>
      </c>
      <c r="E712" s="83" t="str">
        <f aca="false">IF($D712=1,EDATE(p_debut,$C712-1),"")</f>
        <v/>
      </c>
      <c r="F712" s="14" t="str">
        <f aca="false">IF($D712=1,INDEX(TblClusters[Cluster],$B712),"")</f>
        <v/>
      </c>
      <c r="G712" s="14" t="str">
        <f aca="false">IF($D712=1,INDEX(TblClusters[Plateforme],$B712),"")</f>
        <v/>
      </c>
      <c r="H712" s="14" t="str">
        <f aca="false">IF($D712=1,INDEX(TblClusters[vCPU par nœud],$B712),"")</f>
        <v/>
      </c>
      <c r="I712" s="14" t="str">
        <f aca="false">IF($D712=1,INDEX(TblClusters[RAM par nœud (Go)],$B712),"")</f>
        <v/>
      </c>
      <c r="J712" s="14" t="str">
        <f aca="false">IF($D712=1,INDEX(TblClusters[Workers min],$B712),"")</f>
        <v/>
      </c>
      <c r="K712" s="84" t="str">
        <f aca="false">IF($D712=1,INDEX(TblClusters[Tarif par nœud],$B712),"")</f>
        <v/>
      </c>
      <c r="L712" s="14" t="str">
        <f aca="false">IF($D712=1,INDEX(TblClusters[CPU initial (vCPU)],$B712),"")</f>
        <v/>
      </c>
      <c r="M712" s="14" t="str">
        <f aca="false">IF($D712=1,INDEX(TblClusters[RAM initiale (Go)],$B712),"")</f>
        <v/>
      </c>
      <c r="N712" s="14" t="str">
        <f aca="false">IF($D712=1,INDEX(TblClusters[CPU min (vCPU)],$B712),"")</f>
        <v/>
      </c>
      <c r="O712" s="14" t="str">
        <f aca="false">IF($D712=1,INDEX(TblClusters[RAM min (Go)],$B712),"")</f>
        <v/>
      </c>
      <c r="P712" s="14" t="str">
        <f aca="false">IF($D712&lt;&gt;1,"",IF($G712="ROKS",SUMIFS(TblApplications[Besoin ROKS CPU (vCPU)],TblApplications[Cluster ROKS cible],$F712,TblApplications[Action],"À migrer",TblApplications[Déjà incluse ROKS],"Non",TblApplications[Mois prov (calc)],"&lt;="&amp;$E712),SUMIFS(TblApplications[CPU IKS libérable (vCPU)],TblApplications[Cluster IKS source],$F712,TblApplications[Mois lib (calc)],"&lt;="&amp;$E712)))</f>
        <v/>
      </c>
      <c r="Q712" s="14" t="str">
        <f aca="false">IF($D712&lt;&gt;1,"",IF($G712="ROKS",SUMIFS(TblApplications[Besoin ROKS RAM (Go)],TblApplications[Cluster ROKS cible],$F712,TblApplications[Action],"À migrer",TblApplications[Déjà incluse ROKS],"Non",TblApplications[Mois prov (calc)],"&lt;="&amp;$E712),SUMIFS(TblApplications[RAM IKS libérable (Go)],TblApplications[Cluster IKS source],$F712,TblApplications[Mois lib (calc)],"&lt;="&amp;$E712)))</f>
        <v/>
      </c>
      <c r="R712" s="14" t="str">
        <f aca="false">IF($D712&lt;&gt;1,"",IF($G712="ROKS",$L712+$P712,IF($AI712=1,0,MAX($N712,$L712-$P712))))</f>
        <v/>
      </c>
      <c r="S712" s="14" t="str">
        <f aca="false">IF($D712&lt;&gt;1,"",IF($G712="ROKS",$M712+$Q712,IF($AI712=1,0,MAX($O712,$M712-$Q712))))</f>
        <v/>
      </c>
      <c r="T712" s="14" t="str">
        <f aca="false">IF($D712&lt;&gt;1,"",IF($AI712=1,0,MAX($J712,ROUNDUP(MAX($R712/$H712,$S712/$I712),0))))</f>
        <v/>
      </c>
      <c r="U712" s="14" t="str">
        <f aca="false">IF($D712&lt;&gt;1,"",IF(p_mode="Nœud",$T712*$H712,$R712))</f>
        <v/>
      </c>
      <c r="V712" s="14" t="str">
        <f aca="false">IF($D712&lt;&gt;1,"",IF(p_mode="Nœud",$T712*$I712,$S712))</f>
        <v/>
      </c>
      <c r="W712" s="84" t="str">
        <f aca="false">IF($D712&lt;&gt;1,"",IF(p_mode="Nœud",$T712*$K712,$R712*IF($G712="IKS",p_iks_cpu,p_roks_cpu)+$S712*IF($G712="IKS",p_iks_ram,p_roks_ram))*p_facteur)</f>
        <v/>
      </c>
      <c r="X712" s="14" t="str">
        <f aca="false">IF($D712&lt;&gt;1,"",IF($G712="ROKS",$R712,IF($AI712=1,0,MAX($N712,$L712-SUMIFS(TblApplications[CPU IKS libérable (vCPU)],TblApplications[Cluster IKS source],$F712,TblApplications[Action],"À migrer",TblApplications[Mois prov (calc)],"&lt;="&amp;$E712)-SUMIFS(TblApplications[CPU IKS libérable (vCPU)],TblApplications[Cluster IKS source],$F712,TblApplications[Action],"À décommissionner",TblApplications[Mois lib (calc)],"&lt;="&amp;$E712)))))</f>
        <v/>
      </c>
      <c r="Y712" s="14" t="str">
        <f aca="false">IF($D712&lt;&gt;1,"",IF($G712="ROKS",$S712,IF($AI712=1,0,MAX($O712,$M712-SUMIFS(TblApplications[RAM IKS libérable (Go)],TblApplications[Cluster IKS source],$F712,TblApplications[Action],"À migrer",TblApplications[Mois prov (calc)],"&lt;="&amp;$E712)-SUMIFS(TblApplications[RAM IKS libérable (Go)],TblApplications[Cluster IKS source],$F712,TblApplications[Action],"À décommissionner",TblApplications[Mois lib (calc)],"&lt;="&amp;$E712)))))</f>
        <v/>
      </c>
      <c r="Z712" s="14" t="str">
        <f aca="false">IF($D712&lt;&gt;1,"",IF($AI712=1,0,MAX($J712,ROUNDUP(MAX($X712/$H712,$Y712/$I712),0))))</f>
        <v/>
      </c>
      <c r="AA712" s="84" t="str">
        <f aca="false">IF($D712&lt;&gt;1,"",IF(p_mode="Nœud",$Z712*$K712,$X712*IF($G712="IKS",p_iks_cpu,p_roks_cpu)+$Y712*IF($G712="IKS",p_iks_ram,p_roks_ram))*p_facteur)</f>
        <v/>
      </c>
      <c r="AB712" s="14" t="str">
        <f aca="false">IF($D712&lt;&gt;1,"",MAX($J712,ROUNDUP(MAX($L712/$H712,$M712/$I712),0)))</f>
        <v/>
      </c>
      <c r="AC712" s="84" t="str">
        <f aca="false">IF($D712&lt;&gt;1,"",IF(p_mode="Nœud",$AB712*$K712,$L712*IF($G712="IKS",p_iks_cpu,p_roks_cpu)+$M712*IF($G712="IKS",p_iks_ram,p_roks_ram))*p_facteur)</f>
        <v/>
      </c>
      <c r="AD712" s="14" t="str">
        <f aca="false">IF($D712&lt;&gt;1,"",IF(AND($G712="IKS",$AI712&lt;&gt;1,OR($L712-$P712&lt;$N712,$M712-$Q712&lt;$O712)),1,0))</f>
        <v/>
      </c>
      <c r="AE712" s="14" t="str">
        <f aca="false">IF($D712&lt;&gt;1,"",IF(AND($G712="ROKS",$T712&gt;p_maxworkers),1,0))</f>
        <v/>
      </c>
      <c r="AF712" s="14" t="str">
        <f aca="false">IF($D712&lt;&gt;1,"",IF(INDEX(TblClusters[Environnement],$B712)="","(vide)",INDEX(TblClusters[Environnement],$B712)))</f>
        <v/>
      </c>
      <c r="AG712" s="14" t="str">
        <f aca="false">IF($D712&lt;&gt;1,"",$R712+p_poidsram*$S712)</f>
        <v/>
      </c>
      <c r="AH712" s="14" t="str">
        <f aca="false">IF($D712&lt;&gt;1,"",IFERROR($W712/$AG712,0))</f>
        <v/>
      </c>
      <c r="AI712" s="14" t="str">
        <f aca="false">IF($D712&lt;&gt;1,"",IF(AND($G712="IKS",ISNUMBER(INDEX(TblClusters[Fermeture retenue],$B712))),IF($E712&gt;=INDEX(TblClusters[Fermeture retenue],$B712),1,0),0))</f>
        <v/>
      </c>
    </row>
    <row r="713" customFormat="false" ht="15" hidden="false" customHeight="false" outlineLevel="0" collapsed="false">
      <c r="A713" s="14" t="n">
        <v>708</v>
      </c>
      <c r="B713" s="14" t="n">
        <f aca="false">INT(($A713-1)/36)+1</f>
        <v>20</v>
      </c>
      <c r="C713" s="14" t="n">
        <f aca="false">MOD($A713-1,36)+1</f>
        <v>24</v>
      </c>
      <c r="D713" s="14" t="n">
        <f aca="false">IF($C713&gt;p_horizon,0,IFERROR(IF(AND(INDEX(TblClusters[Cluster],$B713)&lt;&gt;"",ISNUMBER(INDEX(TblClusters[CPU initial (vCPU)],$B713)),ISNUMBER(INDEX(TblClusters[CPU min (vCPU)],$B713)),OR(INDEX(TblClusters[Plateforme],$B713)="IKS",INDEX(TblClusters[Plateforme],$B713)="ROKS")),1,0),0))</f>
        <v>0</v>
      </c>
      <c r="E713" s="83" t="str">
        <f aca="false">IF($D713=1,EDATE(p_debut,$C713-1),"")</f>
        <v/>
      </c>
      <c r="F713" s="14" t="str">
        <f aca="false">IF($D713=1,INDEX(TblClusters[Cluster],$B713),"")</f>
        <v/>
      </c>
      <c r="G713" s="14" t="str">
        <f aca="false">IF($D713=1,INDEX(TblClusters[Plateforme],$B713),"")</f>
        <v/>
      </c>
      <c r="H713" s="14" t="str">
        <f aca="false">IF($D713=1,INDEX(TblClusters[vCPU par nœud],$B713),"")</f>
        <v/>
      </c>
      <c r="I713" s="14" t="str">
        <f aca="false">IF($D713=1,INDEX(TblClusters[RAM par nœud (Go)],$B713),"")</f>
        <v/>
      </c>
      <c r="J713" s="14" t="str">
        <f aca="false">IF($D713=1,INDEX(TblClusters[Workers min],$B713),"")</f>
        <v/>
      </c>
      <c r="K713" s="84" t="str">
        <f aca="false">IF($D713=1,INDEX(TblClusters[Tarif par nœud],$B713),"")</f>
        <v/>
      </c>
      <c r="L713" s="14" t="str">
        <f aca="false">IF($D713=1,INDEX(TblClusters[CPU initial (vCPU)],$B713),"")</f>
        <v/>
      </c>
      <c r="M713" s="14" t="str">
        <f aca="false">IF($D713=1,INDEX(TblClusters[RAM initiale (Go)],$B713),"")</f>
        <v/>
      </c>
      <c r="N713" s="14" t="str">
        <f aca="false">IF($D713=1,INDEX(TblClusters[CPU min (vCPU)],$B713),"")</f>
        <v/>
      </c>
      <c r="O713" s="14" t="str">
        <f aca="false">IF($D713=1,INDEX(TblClusters[RAM min (Go)],$B713),"")</f>
        <v/>
      </c>
      <c r="P713" s="14" t="str">
        <f aca="false">IF($D713&lt;&gt;1,"",IF($G713="ROKS",SUMIFS(TblApplications[Besoin ROKS CPU (vCPU)],TblApplications[Cluster ROKS cible],$F713,TblApplications[Action],"À migrer",TblApplications[Déjà incluse ROKS],"Non",TblApplications[Mois prov (calc)],"&lt;="&amp;$E713),SUMIFS(TblApplications[CPU IKS libérable (vCPU)],TblApplications[Cluster IKS source],$F713,TblApplications[Mois lib (calc)],"&lt;="&amp;$E713)))</f>
        <v/>
      </c>
      <c r="Q713" s="14" t="str">
        <f aca="false">IF($D713&lt;&gt;1,"",IF($G713="ROKS",SUMIFS(TblApplications[Besoin ROKS RAM (Go)],TblApplications[Cluster ROKS cible],$F713,TblApplications[Action],"À migrer",TblApplications[Déjà incluse ROKS],"Non",TblApplications[Mois prov (calc)],"&lt;="&amp;$E713),SUMIFS(TblApplications[RAM IKS libérable (Go)],TblApplications[Cluster IKS source],$F713,TblApplications[Mois lib (calc)],"&lt;="&amp;$E713)))</f>
        <v/>
      </c>
      <c r="R713" s="14" t="str">
        <f aca="false">IF($D713&lt;&gt;1,"",IF($G713="ROKS",$L713+$P713,IF($AI713=1,0,MAX($N713,$L713-$P713))))</f>
        <v/>
      </c>
      <c r="S713" s="14" t="str">
        <f aca="false">IF($D713&lt;&gt;1,"",IF($G713="ROKS",$M713+$Q713,IF($AI713=1,0,MAX($O713,$M713-$Q713))))</f>
        <v/>
      </c>
      <c r="T713" s="14" t="str">
        <f aca="false">IF($D713&lt;&gt;1,"",IF($AI713=1,0,MAX($J713,ROUNDUP(MAX($R713/$H713,$S713/$I713),0))))</f>
        <v/>
      </c>
      <c r="U713" s="14" t="str">
        <f aca="false">IF($D713&lt;&gt;1,"",IF(p_mode="Nœud",$T713*$H713,$R713))</f>
        <v/>
      </c>
      <c r="V713" s="14" t="str">
        <f aca="false">IF($D713&lt;&gt;1,"",IF(p_mode="Nœud",$T713*$I713,$S713))</f>
        <v/>
      </c>
      <c r="W713" s="84" t="str">
        <f aca="false">IF($D713&lt;&gt;1,"",IF(p_mode="Nœud",$T713*$K713,$R713*IF($G713="IKS",p_iks_cpu,p_roks_cpu)+$S713*IF($G713="IKS",p_iks_ram,p_roks_ram))*p_facteur)</f>
        <v/>
      </c>
      <c r="X713" s="14" t="str">
        <f aca="false">IF($D713&lt;&gt;1,"",IF($G713="ROKS",$R713,IF($AI713=1,0,MAX($N713,$L713-SUMIFS(TblApplications[CPU IKS libérable (vCPU)],TblApplications[Cluster IKS source],$F713,TblApplications[Action],"À migrer",TblApplications[Mois prov (calc)],"&lt;="&amp;$E713)-SUMIFS(TblApplications[CPU IKS libérable (vCPU)],TblApplications[Cluster IKS source],$F713,TblApplications[Action],"À décommissionner",TblApplications[Mois lib (calc)],"&lt;="&amp;$E713)))))</f>
        <v/>
      </c>
      <c r="Y713" s="14" t="str">
        <f aca="false">IF($D713&lt;&gt;1,"",IF($G713="ROKS",$S713,IF($AI713=1,0,MAX($O713,$M713-SUMIFS(TblApplications[RAM IKS libérable (Go)],TblApplications[Cluster IKS source],$F713,TblApplications[Action],"À migrer",TblApplications[Mois prov (calc)],"&lt;="&amp;$E713)-SUMIFS(TblApplications[RAM IKS libérable (Go)],TblApplications[Cluster IKS source],$F713,TblApplications[Action],"À décommissionner",TblApplications[Mois lib (calc)],"&lt;="&amp;$E713)))))</f>
        <v/>
      </c>
      <c r="Z713" s="14" t="str">
        <f aca="false">IF($D713&lt;&gt;1,"",IF($AI713=1,0,MAX($J713,ROUNDUP(MAX($X713/$H713,$Y713/$I713),0))))</f>
        <v/>
      </c>
      <c r="AA713" s="84" t="str">
        <f aca="false">IF($D713&lt;&gt;1,"",IF(p_mode="Nœud",$Z713*$K713,$X713*IF($G713="IKS",p_iks_cpu,p_roks_cpu)+$Y713*IF($G713="IKS",p_iks_ram,p_roks_ram))*p_facteur)</f>
        <v/>
      </c>
      <c r="AB713" s="14" t="str">
        <f aca="false">IF($D713&lt;&gt;1,"",MAX($J713,ROUNDUP(MAX($L713/$H713,$M713/$I713),0)))</f>
        <v/>
      </c>
      <c r="AC713" s="84" t="str">
        <f aca="false">IF($D713&lt;&gt;1,"",IF(p_mode="Nœud",$AB713*$K713,$L713*IF($G713="IKS",p_iks_cpu,p_roks_cpu)+$M713*IF($G713="IKS",p_iks_ram,p_roks_ram))*p_facteur)</f>
        <v/>
      </c>
      <c r="AD713" s="14" t="str">
        <f aca="false">IF($D713&lt;&gt;1,"",IF(AND($G713="IKS",$AI713&lt;&gt;1,OR($L713-$P713&lt;$N713,$M713-$Q713&lt;$O713)),1,0))</f>
        <v/>
      </c>
      <c r="AE713" s="14" t="str">
        <f aca="false">IF($D713&lt;&gt;1,"",IF(AND($G713="ROKS",$T713&gt;p_maxworkers),1,0))</f>
        <v/>
      </c>
      <c r="AF713" s="14" t="str">
        <f aca="false">IF($D713&lt;&gt;1,"",IF(INDEX(TblClusters[Environnement],$B713)="","(vide)",INDEX(TblClusters[Environnement],$B713)))</f>
        <v/>
      </c>
      <c r="AG713" s="14" t="str">
        <f aca="false">IF($D713&lt;&gt;1,"",$R713+p_poidsram*$S713)</f>
        <v/>
      </c>
      <c r="AH713" s="14" t="str">
        <f aca="false">IF($D713&lt;&gt;1,"",IFERROR($W713/$AG713,0))</f>
        <v/>
      </c>
      <c r="AI713" s="14" t="str">
        <f aca="false">IF($D713&lt;&gt;1,"",IF(AND($G713="IKS",ISNUMBER(INDEX(TblClusters[Fermeture retenue],$B713))),IF($E713&gt;=INDEX(TblClusters[Fermeture retenue],$B713),1,0),0))</f>
        <v/>
      </c>
    </row>
    <row r="714" customFormat="false" ht="15" hidden="false" customHeight="false" outlineLevel="0" collapsed="false">
      <c r="A714" s="14" t="n">
        <v>709</v>
      </c>
      <c r="B714" s="14" t="n">
        <f aca="false">INT(($A714-1)/36)+1</f>
        <v>20</v>
      </c>
      <c r="C714" s="14" t="n">
        <f aca="false">MOD($A714-1,36)+1</f>
        <v>25</v>
      </c>
      <c r="D714" s="14" t="n">
        <f aca="false">IF($C714&gt;p_horizon,0,IFERROR(IF(AND(INDEX(TblClusters[Cluster],$B714)&lt;&gt;"",ISNUMBER(INDEX(TblClusters[CPU initial (vCPU)],$B714)),ISNUMBER(INDEX(TblClusters[CPU min (vCPU)],$B714)),OR(INDEX(TblClusters[Plateforme],$B714)="IKS",INDEX(TblClusters[Plateforme],$B714)="ROKS")),1,0),0))</f>
        <v>0</v>
      </c>
      <c r="E714" s="83" t="str">
        <f aca="false">IF($D714=1,EDATE(p_debut,$C714-1),"")</f>
        <v/>
      </c>
      <c r="F714" s="14" t="str">
        <f aca="false">IF($D714=1,INDEX(TblClusters[Cluster],$B714),"")</f>
        <v/>
      </c>
      <c r="G714" s="14" t="str">
        <f aca="false">IF($D714=1,INDEX(TblClusters[Plateforme],$B714),"")</f>
        <v/>
      </c>
      <c r="H714" s="14" t="str">
        <f aca="false">IF($D714=1,INDEX(TblClusters[vCPU par nœud],$B714),"")</f>
        <v/>
      </c>
      <c r="I714" s="14" t="str">
        <f aca="false">IF($D714=1,INDEX(TblClusters[RAM par nœud (Go)],$B714),"")</f>
        <v/>
      </c>
      <c r="J714" s="14" t="str">
        <f aca="false">IF($D714=1,INDEX(TblClusters[Workers min],$B714),"")</f>
        <v/>
      </c>
      <c r="K714" s="84" t="str">
        <f aca="false">IF($D714=1,INDEX(TblClusters[Tarif par nœud],$B714),"")</f>
        <v/>
      </c>
      <c r="L714" s="14" t="str">
        <f aca="false">IF($D714=1,INDEX(TblClusters[CPU initial (vCPU)],$B714),"")</f>
        <v/>
      </c>
      <c r="M714" s="14" t="str">
        <f aca="false">IF($D714=1,INDEX(TblClusters[RAM initiale (Go)],$B714),"")</f>
        <v/>
      </c>
      <c r="N714" s="14" t="str">
        <f aca="false">IF($D714=1,INDEX(TblClusters[CPU min (vCPU)],$B714),"")</f>
        <v/>
      </c>
      <c r="O714" s="14" t="str">
        <f aca="false">IF($D714=1,INDEX(TblClusters[RAM min (Go)],$B714),"")</f>
        <v/>
      </c>
      <c r="P714" s="14" t="str">
        <f aca="false">IF($D714&lt;&gt;1,"",IF($G714="ROKS",SUMIFS(TblApplications[Besoin ROKS CPU (vCPU)],TblApplications[Cluster ROKS cible],$F714,TblApplications[Action],"À migrer",TblApplications[Déjà incluse ROKS],"Non",TblApplications[Mois prov (calc)],"&lt;="&amp;$E714),SUMIFS(TblApplications[CPU IKS libérable (vCPU)],TblApplications[Cluster IKS source],$F714,TblApplications[Mois lib (calc)],"&lt;="&amp;$E714)))</f>
        <v/>
      </c>
      <c r="Q714" s="14" t="str">
        <f aca="false">IF($D714&lt;&gt;1,"",IF($G714="ROKS",SUMIFS(TblApplications[Besoin ROKS RAM (Go)],TblApplications[Cluster ROKS cible],$F714,TblApplications[Action],"À migrer",TblApplications[Déjà incluse ROKS],"Non",TblApplications[Mois prov (calc)],"&lt;="&amp;$E714),SUMIFS(TblApplications[RAM IKS libérable (Go)],TblApplications[Cluster IKS source],$F714,TblApplications[Mois lib (calc)],"&lt;="&amp;$E714)))</f>
        <v/>
      </c>
      <c r="R714" s="14" t="str">
        <f aca="false">IF($D714&lt;&gt;1,"",IF($G714="ROKS",$L714+$P714,IF($AI714=1,0,MAX($N714,$L714-$P714))))</f>
        <v/>
      </c>
      <c r="S714" s="14" t="str">
        <f aca="false">IF($D714&lt;&gt;1,"",IF($G714="ROKS",$M714+$Q714,IF($AI714=1,0,MAX($O714,$M714-$Q714))))</f>
        <v/>
      </c>
      <c r="T714" s="14" t="str">
        <f aca="false">IF($D714&lt;&gt;1,"",IF($AI714=1,0,MAX($J714,ROUNDUP(MAX($R714/$H714,$S714/$I714),0))))</f>
        <v/>
      </c>
      <c r="U714" s="14" t="str">
        <f aca="false">IF($D714&lt;&gt;1,"",IF(p_mode="Nœud",$T714*$H714,$R714))</f>
        <v/>
      </c>
      <c r="V714" s="14" t="str">
        <f aca="false">IF($D714&lt;&gt;1,"",IF(p_mode="Nœud",$T714*$I714,$S714))</f>
        <v/>
      </c>
      <c r="W714" s="84" t="str">
        <f aca="false">IF($D714&lt;&gt;1,"",IF(p_mode="Nœud",$T714*$K714,$R714*IF($G714="IKS",p_iks_cpu,p_roks_cpu)+$S714*IF($G714="IKS",p_iks_ram,p_roks_ram))*p_facteur)</f>
        <v/>
      </c>
      <c r="X714" s="14" t="str">
        <f aca="false">IF($D714&lt;&gt;1,"",IF($G714="ROKS",$R714,IF($AI714=1,0,MAX($N714,$L714-SUMIFS(TblApplications[CPU IKS libérable (vCPU)],TblApplications[Cluster IKS source],$F714,TblApplications[Action],"À migrer",TblApplications[Mois prov (calc)],"&lt;="&amp;$E714)-SUMIFS(TblApplications[CPU IKS libérable (vCPU)],TblApplications[Cluster IKS source],$F714,TblApplications[Action],"À décommissionner",TblApplications[Mois lib (calc)],"&lt;="&amp;$E714)))))</f>
        <v/>
      </c>
      <c r="Y714" s="14" t="str">
        <f aca="false">IF($D714&lt;&gt;1,"",IF($G714="ROKS",$S714,IF($AI714=1,0,MAX($O714,$M714-SUMIFS(TblApplications[RAM IKS libérable (Go)],TblApplications[Cluster IKS source],$F714,TblApplications[Action],"À migrer",TblApplications[Mois prov (calc)],"&lt;="&amp;$E714)-SUMIFS(TblApplications[RAM IKS libérable (Go)],TblApplications[Cluster IKS source],$F714,TblApplications[Action],"À décommissionner",TblApplications[Mois lib (calc)],"&lt;="&amp;$E714)))))</f>
        <v/>
      </c>
      <c r="Z714" s="14" t="str">
        <f aca="false">IF($D714&lt;&gt;1,"",IF($AI714=1,0,MAX($J714,ROUNDUP(MAX($X714/$H714,$Y714/$I714),0))))</f>
        <v/>
      </c>
      <c r="AA714" s="84" t="str">
        <f aca="false">IF($D714&lt;&gt;1,"",IF(p_mode="Nœud",$Z714*$K714,$X714*IF($G714="IKS",p_iks_cpu,p_roks_cpu)+$Y714*IF($G714="IKS",p_iks_ram,p_roks_ram))*p_facteur)</f>
        <v/>
      </c>
      <c r="AB714" s="14" t="str">
        <f aca="false">IF($D714&lt;&gt;1,"",MAX($J714,ROUNDUP(MAX($L714/$H714,$M714/$I714),0)))</f>
        <v/>
      </c>
      <c r="AC714" s="84" t="str">
        <f aca="false">IF($D714&lt;&gt;1,"",IF(p_mode="Nœud",$AB714*$K714,$L714*IF($G714="IKS",p_iks_cpu,p_roks_cpu)+$M714*IF($G714="IKS",p_iks_ram,p_roks_ram))*p_facteur)</f>
        <v/>
      </c>
      <c r="AD714" s="14" t="str">
        <f aca="false">IF($D714&lt;&gt;1,"",IF(AND($G714="IKS",$AI714&lt;&gt;1,OR($L714-$P714&lt;$N714,$M714-$Q714&lt;$O714)),1,0))</f>
        <v/>
      </c>
      <c r="AE714" s="14" t="str">
        <f aca="false">IF($D714&lt;&gt;1,"",IF(AND($G714="ROKS",$T714&gt;p_maxworkers),1,0))</f>
        <v/>
      </c>
      <c r="AF714" s="14" t="str">
        <f aca="false">IF($D714&lt;&gt;1,"",IF(INDEX(TblClusters[Environnement],$B714)="","(vide)",INDEX(TblClusters[Environnement],$B714)))</f>
        <v/>
      </c>
      <c r="AG714" s="14" t="str">
        <f aca="false">IF($D714&lt;&gt;1,"",$R714+p_poidsram*$S714)</f>
        <v/>
      </c>
      <c r="AH714" s="14" t="str">
        <f aca="false">IF($D714&lt;&gt;1,"",IFERROR($W714/$AG714,0))</f>
        <v/>
      </c>
      <c r="AI714" s="14" t="str">
        <f aca="false">IF($D714&lt;&gt;1,"",IF(AND($G714="IKS",ISNUMBER(INDEX(TblClusters[Fermeture retenue],$B714))),IF($E714&gt;=INDEX(TblClusters[Fermeture retenue],$B714),1,0),0))</f>
        <v/>
      </c>
    </row>
    <row r="715" customFormat="false" ht="15" hidden="false" customHeight="false" outlineLevel="0" collapsed="false">
      <c r="A715" s="14" t="n">
        <v>710</v>
      </c>
      <c r="B715" s="14" t="n">
        <f aca="false">INT(($A715-1)/36)+1</f>
        <v>20</v>
      </c>
      <c r="C715" s="14" t="n">
        <f aca="false">MOD($A715-1,36)+1</f>
        <v>26</v>
      </c>
      <c r="D715" s="14" t="n">
        <f aca="false">IF($C715&gt;p_horizon,0,IFERROR(IF(AND(INDEX(TblClusters[Cluster],$B715)&lt;&gt;"",ISNUMBER(INDEX(TblClusters[CPU initial (vCPU)],$B715)),ISNUMBER(INDEX(TblClusters[CPU min (vCPU)],$B715)),OR(INDEX(TblClusters[Plateforme],$B715)="IKS",INDEX(TblClusters[Plateforme],$B715)="ROKS")),1,0),0))</f>
        <v>0</v>
      </c>
      <c r="E715" s="83" t="str">
        <f aca="false">IF($D715=1,EDATE(p_debut,$C715-1),"")</f>
        <v/>
      </c>
      <c r="F715" s="14" t="str">
        <f aca="false">IF($D715=1,INDEX(TblClusters[Cluster],$B715),"")</f>
        <v/>
      </c>
      <c r="G715" s="14" t="str">
        <f aca="false">IF($D715=1,INDEX(TblClusters[Plateforme],$B715),"")</f>
        <v/>
      </c>
      <c r="H715" s="14" t="str">
        <f aca="false">IF($D715=1,INDEX(TblClusters[vCPU par nœud],$B715),"")</f>
        <v/>
      </c>
      <c r="I715" s="14" t="str">
        <f aca="false">IF($D715=1,INDEX(TblClusters[RAM par nœud (Go)],$B715),"")</f>
        <v/>
      </c>
      <c r="J715" s="14" t="str">
        <f aca="false">IF($D715=1,INDEX(TblClusters[Workers min],$B715),"")</f>
        <v/>
      </c>
      <c r="K715" s="84" t="str">
        <f aca="false">IF($D715=1,INDEX(TblClusters[Tarif par nœud],$B715),"")</f>
        <v/>
      </c>
      <c r="L715" s="14" t="str">
        <f aca="false">IF($D715=1,INDEX(TblClusters[CPU initial (vCPU)],$B715),"")</f>
        <v/>
      </c>
      <c r="M715" s="14" t="str">
        <f aca="false">IF($D715=1,INDEX(TblClusters[RAM initiale (Go)],$B715),"")</f>
        <v/>
      </c>
      <c r="N715" s="14" t="str">
        <f aca="false">IF($D715=1,INDEX(TblClusters[CPU min (vCPU)],$B715),"")</f>
        <v/>
      </c>
      <c r="O715" s="14" t="str">
        <f aca="false">IF($D715=1,INDEX(TblClusters[RAM min (Go)],$B715),"")</f>
        <v/>
      </c>
      <c r="P715" s="14" t="str">
        <f aca="false">IF($D715&lt;&gt;1,"",IF($G715="ROKS",SUMIFS(TblApplications[Besoin ROKS CPU (vCPU)],TblApplications[Cluster ROKS cible],$F715,TblApplications[Action],"À migrer",TblApplications[Déjà incluse ROKS],"Non",TblApplications[Mois prov (calc)],"&lt;="&amp;$E715),SUMIFS(TblApplications[CPU IKS libérable (vCPU)],TblApplications[Cluster IKS source],$F715,TblApplications[Mois lib (calc)],"&lt;="&amp;$E715)))</f>
        <v/>
      </c>
      <c r="Q715" s="14" t="str">
        <f aca="false">IF($D715&lt;&gt;1,"",IF($G715="ROKS",SUMIFS(TblApplications[Besoin ROKS RAM (Go)],TblApplications[Cluster ROKS cible],$F715,TblApplications[Action],"À migrer",TblApplications[Déjà incluse ROKS],"Non",TblApplications[Mois prov (calc)],"&lt;="&amp;$E715),SUMIFS(TblApplications[RAM IKS libérable (Go)],TblApplications[Cluster IKS source],$F715,TblApplications[Mois lib (calc)],"&lt;="&amp;$E715)))</f>
        <v/>
      </c>
      <c r="R715" s="14" t="str">
        <f aca="false">IF($D715&lt;&gt;1,"",IF($G715="ROKS",$L715+$P715,IF($AI715=1,0,MAX($N715,$L715-$P715))))</f>
        <v/>
      </c>
      <c r="S715" s="14" t="str">
        <f aca="false">IF($D715&lt;&gt;1,"",IF($G715="ROKS",$M715+$Q715,IF($AI715=1,0,MAX($O715,$M715-$Q715))))</f>
        <v/>
      </c>
      <c r="T715" s="14" t="str">
        <f aca="false">IF($D715&lt;&gt;1,"",IF($AI715=1,0,MAX($J715,ROUNDUP(MAX($R715/$H715,$S715/$I715),0))))</f>
        <v/>
      </c>
      <c r="U715" s="14" t="str">
        <f aca="false">IF($D715&lt;&gt;1,"",IF(p_mode="Nœud",$T715*$H715,$R715))</f>
        <v/>
      </c>
      <c r="V715" s="14" t="str">
        <f aca="false">IF($D715&lt;&gt;1,"",IF(p_mode="Nœud",$T715*$I715,$S715))</f>
        <v/>
      </c>
      <c r="W715" s="84" t="str">
        <f aca="false">IF($D715&lt;&gt;1,"",IF(p_mode="Nœud",$T715*$K715,$R715*IF($G715="IKS",p_iks_cpu,p_roks_cpu)+$S715*IF($G715="IKS",p_iks_ram,p_roks_ram))*p_facteur)</f>
        <v/>
      </c>
      <c r="X715" s="14" t="str">
        <f aca="false">IF($D715&lt;&gt;1,"",IF($G715="ROKS",$R715,IF($AI715=1,0,MAX($N715,$L715-SUMIFS(TblApplications[CPU IKS libérable (vCPU)],TblApplications[Cluster IKS source],$F715,TblApplications[Action],"À migrer",TblApplications[Mois prov (calc)],"&lt;="&amp;$E715)-SUMIFS(TblApplications[CPU IKS libérable (vCPU)],TblApplications[Cluster IKS source],$F715,TblApplications[Action],"À décommissionner",TblApplications[Mois lib (calc)],"&lt;="&amp;$E715)))))</f>
        <v/>
      </c>
      <c r="Y715" s="14" t="str">
        <f aca="false">IF($D715&lt;&gt;1,"",IF($G715="ROKS",$S715,IF($AI715=1,0,MAX($O715,$M715-SUMIFS(TblApplications[RAM IKS libérable (Go)],TblApplications[Cluster IKS source],$F715,TblApplications[Action],"À migrer",TblApplications[Mois prov (calc)],"&lt;="&amp;$E715)-SUMIFS(TblApplications[RAM IKS libérable (Go)],TblApplications[Cluster IKS source],$F715,TblApplications[Action],"À décommissionner",TblApplications[Mois lib (calc)],"&lt;="&amp;$E715)))))</f>
        <v/>
      </c>
      <c r="Z715" s="14" t="str">
        <f aca="false">IF($D715&lt;&gt;1,"",IF($AI715=1,0,MAX($J715,ROUNDUP(MAX($X715/$H715,$Y715/$I715),0))))</f>
        <v/>
      </c>
      <c r="AA715" s="84" t="str">
        <f aca="false">IF($D715&lt;&gt;1,"",IF(p_mode="Nœud",$Z715*$K715,$X715*IF($G715="IKS",p_iks_cpu,p_roks_cpu)+$Y715*IF($G715="IKS",p_iks_ram,p_roks_ram))*p_facteur)</f>
        <v/>
      </c>
      <c r="AB715" s="14" t="str">
        <f aca="false">IF($D715&lt;&gt;1,"",MAX($J715,ROUNDUP(MAX($L715/$H715,$M715/$I715),0)))</f>
        <v/>
      </c>
      <c r="AC715" s="84" t="str">
        <f aca="false">IF($D715&lt;&gt;1,"",IF(p_mode="Nœud",$AB715*$K715,$L715*IF($G715="IKS",p_iks_cpu,p_roks_cpu)+$M715*IF($G715="IKS",p_iks_ram,p_roks_ram))*p_facteur)</f>
        <v/>
      </c>
      <c r="AD715" s="14" t="str">
        <f aca="false">IF($D715&lt;&gt;1,"",IF(AND($G715="IKS",$AI715&lt;&gt;1,OR($L715-$P715&lt;$N715,$M715-$Q715&lt;$O715)),1,0))</f>
        <v/>
      </c>
      <c r="AE715" s="14" t="str">
        <f aca="false">IF($D715&lt;&gt;1,"",IF(AND($G715="ROKS",$T715&gt;p_maxworkers),1,0))</f>
        <v/>
      </c>
      <c r="AF715" s="14" t="str">
        <f aca="false">IF($D715&lt;&gt;1,"",IF(INDEX(TblClusters[Environnement],$B715)="","(vide)",INDEX(TblClusters[Environnement],$B715)))</f>
        <v/>
      </c>
      <c r="AG715" s="14" t="str">
        <f aca="false">IF($D715&lt;&gt;1,"",$R715+p_poidsram*$S715)</f>
        <v/>
      </c>
      <c r="AH715" s="14" t="str">
        <f aca="false">IF($D715&lt;&gt;1,"",IFERROR($W715/$AG715,0))</f>
        <v/>
      </c>
      <c r="AI715" s="14" t="str">
        <f aca="false">IF($D715&lt;&gt;1,"",IF(AND($G715="IKS",ISNUMBER(INDEX(TblClusters[Fermeture retenue],$B715))),IF($E715&gt;=INDEX(TblClusters[Fermeture retenue],$B715),1,0),0))</f>
        <v/>
      </c>
    </row>
    <row r="716" customFormat="false" ht="15" hidden="false" customHeight="false" outlineLevel="0" collapsed="false">
      <c r="A716" s="14" t="n">
        <v>711</v>
      </c>
      <c r="B716" s="14" t="n">
        <f aca="false">INT(($A716-1)/36)+1</f>
        <v>20</v>
      </c>
      <c r="C716" s="14" t="n">
        <f aca="false">MOD($A716-1,36)+1</f>
        <v>27</v>
      </c>
      <c r="D716" s="14" t="n">
        <f aca="false">IF($C716&gt;p_horizon,0,IFERROR(IF(AND(INDEX(TblClusters[Cluster],$B716)&lt;&gt;"",ISNUMBER(INDEX(TblClusters[CPU initial (vCPU)],$B716)),ISNUMBER(INDEX(TblClusters[CPU min (vCPU)],$B716)),OR(INDEX(TblClusters[Plateforme],$B716)="IKS",INDEX(TblClusters[Plateforme],$B716)="ROKS")),1,0),0))</f>
        <v>0</v>
      </c>
      <c r="E716" s="83" t="str">
        <f aca="false">IF($D716=1,EDATE(p_debut,$C716-1),"")</f>
        <v/>
      </c>
      <c r="F716" s="14" t="str">
        <f aca="false">IF($D716=1,INDEX(TblClusters[Cluster],$B716),"")</f>
        <v/>
      </c>
      <c r="G716" s="14" t="str">
        <f aca="false">IF($D716=1,INDEX(TblClusters[Plateforme],$B716),"")</f>
        <v/>
      </c>
      <c r="H716" s="14" t="str">
        <f aca="false">IF($D716=1,INDEX(TblClusters[vCPU par nœud],$B716),"")</f>
        <v/>
      </c>
      <c r="I716" s="14" t="str">
        <f aca="false">IF($D716=1,INDEX(TblClusters[RAM par nœud (Go)],$B716),"")</f>
        <v/>
      </c>
      <c r="J716" s="14" t="str">
        <f aca="false">IF($D716=1,INDEX(TblClusters[Workers min],$B716),"")</f>
        <v/>
      </c>
      <c r="K716" s="84" t="str">
        <f aca="false">IF($D716=1,INDEX(TblClusters[Tarif par nœud],$B716),"")</f>
        <v/>
      </c>
      <c r="L716" s="14" t="str">
        <f aca="false">IF($D716=1,INDEX(TblClusters[CPU initial (vCPU)],$B716),"")</f>
        <v/>
      </c>
      <c r="M716" s="14" t="str">
        <f aca="false">IF($D716=1,INDEX(TblClusters[RAM initiale (Go)],$B716),"")</f>
        <v/>
      </c>
      <c r="N716" s="14" t="str">
        <f aca="false">IF($D716=1,INDEX(TblClusters[CPU min (vCPU)],$B716),"")</f>
        <v/>
      </c>
      <c r="O716" s="14" t="str">
        <f aca="false">IF($D716=1,INDEX(TblClusters[RAM min (Go)],$B716),"")</f>
        <v/>
      </c>
      <c r="P716" s="14" t="str">
        <f aca="false">IF($D716&lt;&gt;1,"",IF($G716="ROKS",SUMIFS(TblApplications[Besoin ROKS CPU (vCPU)],TblApplications[Cluster ROKS cible],$F716,TblApplications[Action],"À migrer",TblApplications[Déjà incluse ROKS],"Non",TblApplications[Mois prov (calc)],"&lt;="&amp;$E716),SUMIFS(TblApplications[CPU IKS libérable (vCPU)],TblApplications[Cluster IKS source],$F716,TblApplications[Mois lib (calc)],"&lt;="&amp;$E716)))</f>
        <v/>
      </c>
      <c r="Q716" s="14" t="str">
        <f aca="false">IF($D716&lt;&gt;1,"",IF($G716="ROKS",SUMIFS(TblApplications[Besoin ROKS RAM (Go)],TblApplications[Cluster ROKS cible],$F716,TblApplications[Action],"À migrer",TblApplications[Déjà incluse ROKS],"Non",TblApplications[Mois prov (calc)],"&lt;="&amp;$E716),SUMIFS(TblApplications[RAM IKS libérable (Go)],TblApplications[Cluster IKS source],$F716,TblApplications[Mois lib (calc)],"&lt;="&amp;$E716)))</f>
        <v/>
      </c>
      <c r="R716" s="14" t="str">
        <f aca="false">IF($D716&lt;&gt;1,"",IF($G716="ROKS",$L716+$P716,IF($AI716=1,0,MAX($N716,$L716-$P716))))</f>
        <v/>
      </c>
      <c r="S716" s="14" t="str">
        <f aca="false">IF($D716&lt;&gt;1,"",IF($G716="ROKS",$M716+$Q716,IF($AI716=1,0,MAX($O716,$M716-$Q716))))</f>
        <v/>
      </c>
      <c r="T716" s="14" t="str">
        <f aca="false">IF($D716&lt;&gt;1,"",IF($AI716=1,0,MAX($J716,ROUNDUP(MAX($R716/$H716,$S716/$I716),0))))</f>
        <v/>
      </c>
      <c r="U716" s="14" t="str">
        <f aca="false">IF($D716&lt;&gt;1,"",IF(p_mode="Nœud",$T716*$H716,$R716))</f>
        <v/>
      </c>
      <c r="V716" s="14" t="str">
        <f aca="false">IF($D716&lt;&gt;1,"",IF(p_mode="Nœud",$T716*$I716,$S716))</f>
        <v/>
      </c>
      <c r="W716" s="84" t="str">
        <f aca="false">IF($D716&lt;&gt;1,"",IF(p_mode="Nœud",$T716*$K716,$R716*IF($G716="IKS",p_iks_cpu,p_roks_cpu)+$S716*IF($G716="IKS",p_iks_ram,p_roks_ram))*p_facteur)</f>
        <v/>
      </c>
      <c r="X716" s="14" t="str">
        <f aca="false">IF($D716&lt;&gt;1,"",IF($G716="ROKS",$R716,IF($AI716=1,0,MAX($N716,$L716-SUMIFS(TblApplications[CPU IKS libérable (vCPU)],TblApplications[Cluster IKS source],$F716,TblApplications[Action],"À migrer",TblApplications[Mois prov (calc)],"&lt;="&amp;$E716)-SUMIFS(TblApplications[CPU IKS libérable (vCPU)],TblApplications[Cluster IKS source],$F716,TblApplications[Action],"À décommissionner",TblApplications[Mois lib (calc)],"&lt;="&amp;$E716)))))</f>
        <v/>
      </c>
      <c r="Y716" s="14" t="str">
        <f aca="false">IF($D716&lt;&gt;1,"",IF($G716="ROKS",$S716,IF($AI716=1,0,MAX($O716,$M716-SUMIFS(TblApplications[RAM IKS libérable (Go)],TblApplications[Cluster IKS source],$F716,TblApplications[Action],"À migrer",TblApplications[Mois prov (calc)],"&lt;="&amp;$E716)-SUMIFS(TblApplications[RAM IKS libérable (Go)],TblApplications[Cluster IKS source],$F716,TblApplications[Action],"À décommissionner",TblApplications[Mois lib (calc)],"&lt;="&amp;$E716)))))</f>
        <v/>
      </c>
      <c r="Z716" s="14" t="str">
        <f aca="false">IF($D716&lt;&gt;1,"",IF($AI716=1,0,MAX($J716,ROUNDUP(MAX($X716/$H716,$Y716/$I716),0))))</f>
        <v/>
      </c>
      <c r="AA716" s="84" t="str">
        <f aca="false">IF($D716&lt;&gt;1,"",IF(p_mode="Nœud",$Z716*$K716,$X716*IF($G716="IKS",p_iks_cpu,p_roks_cpu)+$Y716*IF($G716="IKS",p_iks_ram,p_roks_ram))*p_facteur)</f>
        <v/>
      </c>
      <c r="AB716" s="14" t="str">
        <f aca="false">IF($D716&lt;&gt;1,"",MAX($J716,ROUNDUP(MAX($L716/$H716,$M716/$I716),0)))</f>
        <v/>
      </c>
      <c r="AC716" s="84" t="str">
        <f aca="false">IF($D716&lt;&gt;1,"",IF(p_mode="Nœud",$AB716*$K716,$L716*IF($G716="IKS",p_iks_cpu,p_roks_cpu)+$M716*IF($G716="IKS",p_iks_ram,p_roks_ram))*p_facteur)</f>
        <v/>
      </c>
      <c r="AD716" s="14" t="str">
        <f aca="false">IF($D716&lt;&gt;1,"",IF(AND($G716="IKS",$AI716&lt;&gt;1,OR($L716-$P716&lt;$N716,$M716-$Q716&lt;$O716)),1,0))</f>
        <v/>
      </c>
      <c r="AE716" s="14" t="str">
        <f aca="false">IF($D716&lt;&gt;1,"",IF(AND($G716="ROKS",$T716&gt;p_maxworkers),1,0))</f>
        <v/>
      </c>
      <c r="AF716" s="14" t="str">
        <f aca="false">IF($D716&lt;&gt;1,"",IF(INDEX(TblClusters[Environnement],$B716)="","(vide)",INDEX(TblClusters[Environnement],$B716)))</f>
        <v/>
      </c>
      <c r="AG716" s="14" t="str">
        <f aca="false">IF($D716&lt;&gt;1,"",$R716+p_poidsram*$S716)</f>
        <v/>
      </c>
      <c r="AH716" s="14" t="str">
        <f aca="false">IF($D716&lt;&gt;1,"",IFERROR($W716/$AG716,0))</f>
        <v/>
      </c>
      <c r="AI716" s="14" t="str">
        <f aca="false">IF($D716&lt;&gt;1,"",IF(AND($G716="IKS",ISNUMBER(INDEX(TblClusters[Fermeture retenue],$B716))),IF($E716&gt;=INDEX(TblClusters[Fermeture retenue],$B716),1,0),0))</f>
        <v/>
      </c>
    </row>
    <row r="717" customFormat="false" ht="15" hidden="false" customHeight="false" outlineLevel="0" collapsed="false">
      <c r="A717" s="14" t="n">
        <v>712</v>
      </c>
      <c r="B717" s="14" t="n">
        <f aca="false">INT(($A717-1)/36)+1</f>
        <v>20</v>
      </c>
      <c r="C717" s="14" t="n">
        <f aca="false">MOD($A717-1,36)+1</f>
        <v>28</v>
      </c>
      <c r="D717" s="14" t="n">
        <f aca="false">IF($C717&gt;p_horizon,0,IFERROR(IF(AND(INDEX(TblClusters[Cluster],$B717)&lt;&gt;"",ISNUMBER(INDEX(TblClusters[CPU initial (vCPU)],$B717)),ISNUMBER(INDEX(TblClusters[CPU min (vCPU)],$B717)),OR(INDEX(TblClusters[Plateforme],$B717)="IKS",INDEX(TblClusters[Plateforme],$B717)="ROKS")),1,0),0))</f>
        <v>0</v>
      </c>
      <c r="E717" s="83" t="str">
        <f aca="false">IF($D717=1,EDATE(p_debut,$C717-1),"")</f>
        <v/>
      </c>
      <c r="F717" s="14" t="str">
        <f aca="false">IF($D717=1,INDEX(TblClusters[Cluster],$B717),"")</f>
        <v/>
      </c>
      <c r="G717" s="14" t="str">
        <f aca="false">IF($D717=1,INDEX(TblClusters[Plateforme],$B717),"")</f>
        <v/>
      </c>
      <c r="H717" s="14" t="str">
        <f aca="false">IF($D717=1,INDEX(TblClusters[vCPU par nœud],$B717),"")</f>
        <v/>
      </c>
      <c r="I717" s="14" t="str">
        <f aca="false">IF($D717=1,INDEX(TblClusters[RAM par nœud (Go)],$B717),"")</f>
        <v/>
      </c>
      <c r="J717" s="14" t="str">
        <f aca="false">IF($D717=1,INDEX(TblClusters[Workers min],$B717),"")</f>
        <v/>
      </c>
      <c r="K717" s="84" t="str">
        <f aca="false">IF($D717=1,INDEX(TblClusters[Tarif par nœud],$B717),"")</f>
        <v/>
      </c>
      <c r="L717" s="14" t="str">
        <f aca="false">IF($D717=1,INDEX(TblClusters[CPU initial (vCPU)],$B717),"")</f>
        <v/>
      </c>
      <c r="M717" s="14" t="str">
        <f aca="false">IF($D717=1,INDEX(TblClusters[RAM initiale (Go)],$B717),"")</f>
        <v/>
      </c>
      <c r="N717" s="14" t="str">
        <f aca="false">IF($D717=1,INDEX(TblClusters[CPU min (vCPU)],$B717),"")</f>
        <v/>
      </c>
      <c r="O717" s="14" t="str">
        <f aca="false">IF($D717=1,INDEX(TblClusters[RAM min (Go)],$B717),"")</f>
        <v/>
      </c>
      <c r="P717" s="14" t="str">
        <f aca="false">IF($D717&lt;&gt;1,"",IF($G717="ROKS",SUMIFS(TblApplications[Besoin ROKS CPU (vCPU)],TblApplications[Cluster ROKS cible],$F717,TblApplications[Action],"À migrer",TblApplications[Déjà incluse ROKS],"Non",TblApplications[Mois prov (calc)],"&lt;="&amp;$E717),SUMIFS(TblApplications[CPU IKS libérable (vCPU)],TblApplications[Cluster IKS source],$F717,TblApplications[Mois lib (calc)],"&lt;="&amp;$E717)))</f>
        <v/>
      </c>
      <c r="Q717" s="14" t="str">
        <f aca="false">IF($D717&lt;&gt;1,"",IF($G717="ROKS",SUMIFS(TblApplications[Besoin ROKS RAM (Go)],TblApplications[Cluster ROKS cible],$F717,TblApplications[Action],"À migrer",TblApplications[Déjà incluse ROKS],"Non",TblApplications[Mois prov (calc)],"&lt;="&amp;$E717),SUMIFS(TblApplications[RAM IKS libérable (Go)],TblApplications[Cluster IKS source],$F717,TblApplications[Mois lib (calc)],"&lt;="&amp;$E717)))</f>
        <v/>
      </c>
      <c r="R717" s="14" t="str">
        <f aca="false">IF($D717&lt;&gt;1,"",IF($G717="ROKS",$L717+$P717,IF($AI717=1,0,MAX($N717,$L717-$P717))))</f>
        <v/>
      </c>
      <c r="S717" s="14" t="str">
        <f aca="false">IF($D717&lt;&gt;1,"",IF($G717="ROKS",$M717+$Q717,IF($AI717=1,0,MAX($O717,$M717-$Q717))))</f>
        <v/>
      </c>
      <c r="T717" s="14" t="str">
        <f aca="false">IF($D717&lt;&gt;1,"",IF($AI717=1,0,MAX($J717,ROUNDUP(MAX($R717/$H717,$S717/$I717),0))))</f>
        <v/>
      </c>
      <c r="U717" s="14" t="str">
        <f aca="false">IF($D717&lt;&gt;1,"",IF(p_mode="Nœud",$T717*$H717,$R717))</f>
        <v/>
      </c>
      <c r="V717" s="14" t="str">
        <f aca="false">IF($D717&lt;&gt;1,"",IF(p_mode="Nœud",$T717*$I717,$S717))</f>
        <v/>
      </c>
      <c r="W717" s="84" t="str">
        <f aca="false">IF($D717&lt;&gt;1,"",IF(p_mode="Nœud",$T717*$K717,$R717*IF($G717="IKS",p_iks_cpu,p_roks_cpu)+$S717*IF($G717="IKS",p_iks_ram,p_roks_ram))*p_facteur)</f>
        <v/>
      </c>
      <c r="X717" s="14" t="str">
        <f aca="false">IF($D717&lt;&gt;1,"",IF($G717="ROKS",$R717,IF($AI717=1,0,MAX($N717,$L717-SUMIFS(TblApplications[CPU IKS libérable (vCPU)],TblApplications[Cluster IKS source],$F717,TblApplications[Action],"À migrer",TblApplications[Mois prov (calc)],"&lt;="&amp;$E717)-SUMIFS(TblApplications[CPU IKS libérable (vCPU)],TblApplications[Cluster IKS source],$F717,TblApplications[Action],"À décommissionner",TblApplications[Mois lib (calc)],"&lt;="&amp;$E717)))))</f>
        <v/>
      </c>
      <c r="Y717" s="14" t="str">
        <f aca="false">IF($D717&lt;&gt;1,"",IF($G717="ROKS",$S717,IF($AI717=1,0,MAX($O717,$M717-SUMIFS(TblApplications[RAM IKS libérable (Go)],TblApplications[Cluster IKS source],$F717,TblApplications[Action],"À migrer",TblApplications[Mois prov (calc)],"&lt;="&amp;$E717)-SUMIFS(TblApplications[RAM IKS libérable (Go)],TblApplications[Cluster IKS source],$F717,TblApplications[Action],"À décommissionner",TblApplications[Mois lib (calc)],"&lt;="&amp;$E717)))))</f>
        <v/>
      </c>
      <c r="Z717" s="14" t="str">
        <f aca="false">IF($D717&lt;&gt;1,"",IF($AI717=1,0,MAX($J717,ROUNDUP(MAX($X717/$H717,$Y717/$I717),0))))</f>
        <v/>
      </c>
      <c r="AA717" s="84" t="str">
        <f aca="false">IF($D717&lt;&gt;1,"",IF(p_mode="Nœud",$Z717*$K717,$X717*IF($G717="IKS",p_iks_cpu,p_roks_cpu)+$Y717*IF($G717="IKS",p_iks_ram,p_roks_ram))*p_facteur)</f>
        <v/>
      </c>
      <c r="AB717" s="14" t="str">
        <f aca="false">IF($D717&lt;&gt;1,"",MAX($J717,ROUNDUP(MAX($L717/$H717,$M717/$I717),0)))</f>
        <v/>
      </c>
      <c r="AC717" s="84" t="str">
        <f aca="false">IF($D717&lt;&gt;1,"",IF(p_mode="Nœud",$AB717*$K717,$L717*IF($G717="IKS",p_iks_cpu,p_roks_cpu)+$M717*IF($G717="IKS",p_iks_ram,p_roks_ram))*p_facteur)</f>
        <v/>
      </c>
      <c r="AD717" s="14" t="str">
        <f aca="false">IF($D717&lt;&gt;1,"",IF(AND($G717="IKS",$AI717&lt;&gt;1,OR($L717-$P717&lt;$N717,$M717-$Q717&lt;$O717)),1,0))</f>
        <v/>
      </c>
      <c r="AE717" s="14" t="str">
        <f aca="false">IF($D717&lt;&gt;1,"",IF(AND($G717="ROKS",$T717&gt;p_maxworkers),1,0))</f>
        <v/>
      </c>
      <c r="AF717" s="14" t="str">
        <f aca="false">IF($D717&lt;&gt;1,"",IF(INDEX(TblClusters[Environnement],$B717)="","(vide)",INDEX(TblClusters[Environnement],$B717)))</f>
        <v/>
      </c>
      <c r="AG717" s="14" t="str">
        <f aca="false">IF($D717&lt;&gt;1,"",$R717+p_poidsram*$S717)</f>
        <v/>
      </c>
      <c r="AH717" s="14" t="str">
        <f aca="false">IF($D717&lt;&gt;1,"",IFERROR($W717/$AG717,0))</f>
        <v/>
      </c>
      <c r="AI717" s="14" t="str">
        <f aca="false">IF($D717&lt;&gt;1,"",IF(AND($G717="IKS",ISNUMBER(INDEX(TblClusters[Fermeture retenue],$B717))),IF($E717&gt;=INDEX(TblClusters[Fermeture retenue],$B717),1,0),0))</f>
        <v/>
      </c>
    </row>
    <row r="718" customFormat="false" ht="15" hidden="false" customHeight="false" outlineLevel="0" collapsed="false">
      <c r="A718" s="14" t="n">
        <v>713</v>
      </c>
      <c r="B718" s="14" t="n">
        <f aca="false">INT(($A718-1)/36)+1</f>
        <v>20</v>
      </c>
      <c r="C718" s="14" t="n">
        <f aca="false">MOD($A718-1,36)+1</f>
        <v>29</v>
      </c>
      <c r="D718" s="14" t="n">
        <f aca="false">IF($C718&gt;p_horizon,0,IFERROR(IF(AND(INDEX(TblClusters[Cluster],$B718)&lt;&gt;"",ISNUMBER(INDEX(TblClusters[CPU initial (vCPU)],$B718)),ISNUMBER(INDEX(TblClusters[CPU min (vCPU)],$B718)),OR(INDEX(TblClusters[Plateforme],$B718)="IKS",INDEX(TblClusters[Plateforme],$B718)="ROKS")),1,0),0))</f>
        <v>0</v>
      </c>
      <c r="E718" s="83" t="str">
        <f aca="false">IF($D718=1,EDATE(p_debut,$C718-1),"")</f>
        <v/>
      </c>
      <c r="F718" s="14" t="str">
        <f aca="false">IF($D718=1,INDEX(TblClusters[Cluster],$B718),"")</f>
        <v/>
      </c>
      <c r="G718" s="14" t="str">
        <f aca="false">IF($D718=1,INDEX(TblClusters[Plateforme],$B718),"")</f>
        <v/>
      </c>
      <c r="H718" s="14" t="str">
        <f aca="false">IF($D718=1,INDEX(TblClusters[vCPU par nœud],$B718),"")</f>
        <v/>
      </c>
      <c r="I718" s="14" t="str">
        <f aca="false">IF($D718=1,INDEX(TblClusters[RAM par nœud (Go)],$B718),"")</f>
        <v/>
      </c>
      <c r="J718" s="14" t="str">
        <f aca="false">IF($D718=1,INDEX(TblClusters[Workers min],$B718),"")</f>
        <v/>
      </c>
      <c r="K718" s="84" t="str">
        <f aca="false">IF($D718=1,INDEX(TblClusters[Tarif par nœud],$B718),"")</f>
        <v/>
      </c>
      <c r="L718" s="14" t="str">
        <f aca="false">IF($D718=1,INDEX(TblClusters[CPU initial (vCPU)],$B718),"")</f>
        <v/>
      </c>
      <c r="M718" s="14" t="str">
        <f aca="false">IF($D718=1,INDEX(TblClusters[RAM initiale (Go)],$B718),"")</f>
        <v/>
      </c>
      <c r="N718" s="14" t="str">
        <f aca="false">IF($D718=1,INDEX(TblClusters[CPU min (vCPU)],$B718),"")</f>
        <v/>
      </c>
      <c r="O718" s="14" t="str">
        <f aca="false">IF($D718=1,INDEX(TblClusters[RAM min (Go)],$B718),"")</f>
        <v/>
      </c>
      <c r="P718" s="14" t="str">
        <f aca="false">IF($D718&lt;&gt;1,"",IF($G718="ROKS",SUMIFS(TblApplications[Besoin ROKS CPU (vCPU)],TblApplications[Cluster ROKS cible],$F718,TblApplications[Action],"À migrer",TblApplications[Déjà incluse ROKS],"Non",TblApplications[Mois prov (calc)],"&lt;="&amp;$E718),SUMIFS(TblApplications[CPU IKS libérable (vCPU)],TblApplications[Cluster IKS source],$F718,TblApplications[Mois lib (calc)],"&lt;="&amp;$E718)))</f>
        <v/>
      </c>
      <c r="Q718" s="14" t="str">
        <f aca="false">IF($D718&lt;&gt;1,"",IF($G718="ROKS",SUMIFS(TblApplications[Besoin ROKS RAM (Go)],TblApplications[Cluster ROKS cible],$F718,TblApplications[Action],"À migrer",TblApplications[Déjà incluse ROKS],"Non",TblApplications[Mois prov (calc)],"&lt;="&amp;$E718),SUMIFS(TblApplications[RAM IKS libérable (Go)],TblApplications[Cluster IKS source],$F718,TblApplications[Mois lib (calc)],"&lt;="&amp;$E718)))</f>
        <v/>
      </c>
      <c r="R718" s="14" t="str">
        <f aca="false">IF($D718&lt;&gt;1,"",IF($G718="ROKS",$L718+$P718,IF($AI718=1,0,MAX($N718,$L718-$P718))))</f>
        <v/>
      </c>
      <c r="S718" s="14" t="str">
        <f aca="false">IF($D718&lt;&gt;1,"",IF($G718="ROKS",$M718+$Q718,IF($AI718=1,0,MAX($O718,$M718-$Q718))))</f>
        <v/>
      </c>
      <c r="T718" s="14" t="str">
        <f aca="false">IF($D718&lt;&gt;1,"",IF($AI718=1,0,MAX($J718,ROUNDUP(MAX($R718/$H718,$S718/$I718),0))))</f>
        <v/>
      </c>
      <c r="U718" s="14" t="str">
        <f aca="false">IF($D718&lt;&gt;1,"",IF(p_mode="Nœud",$T718*$H718,$R718))</f>
        <v/>
      </c>
      <c r="V718" s="14" t="str">
        <f aca="false">IF($D718&lt;&gt;1,"",IF(p_mode="Nœud",$T718*$I718,$S718))</f>
        <v/>
      </c>
      <c r="W718" s="84" t="str">
        <f aca="false">IF($D718&lt;&gt;1,"",IF(p_mode="Nœud",$T718*$K718,$R718*IF($G718="IKS",p_iks_cpu,p_roks_cpu)+$S718*IF($G718="IKS",p_iks_ram,p_roks_ram))*p_facteur)</f>
        <v/>
      </c>
      <c r="X718" s="14" t="str">
        <f aca="false">IF($D718&lt;&gt;1,"",IF($G718="ROKS",$R718,IF($AI718=1,0,MAX($N718,$L718-SUMIFS(TblApplications[CPU IKS libérable (vCPU)],TblApplications[Cluster IKS source],$F718,TblApplications[Action],"À migrer",TblApplications[Mois prov (calc)],"&lt;="&amp;$E718)-SUMIFS(TblApplications[CPU IKS libérable (vCPU)],TblApplications[Cluster IKS source],$F718,TblApplications[Action],"À décommissionner",TblApplications[Mois lib (calc)],"&lt;="&amp;$E718)))))</f>
        <v/>
      </c>
      <c r="Y718" s="14" t="str">
        <f aca="false">IF($D718&lt;&gt;1,"",IF($G718="ROKS",$S718,IF($AI718=1,0,MAX($O718,$M718-SUMIFS(TblApplications[RAM IKS libérable (Go)],TblApplications[Cluster IKS source],$F718,TblApplications[Action],"À migrer",TblApplications[Mois prov (calc)],"&lt;="&amp;$E718)-SUMIFS(TblApplications[RAM IKS libérable (Go)],TblApplications[Cluster IKS source],$F718,TblApplications[Action],"À décommissionner",TblApplications[Mois lib (calc)],"&lt;="&amp;$E718)))))</f>
        <v/>
      </c>
      <c r="Z718" s="14" t="str">
        <f aca="false">IF($D718&lt;&gt;1,"",IF($AI718=1,0,MAX($J718,ROUNDUP(MAX($X718/$H718,$Y718/$I718),0))))</f>
        <v/>
      </c>
      <c r="AA718" s="84" t="str">
        <f aca="false">IF($D718&lt;&gt;1,"",IF(p_mode="Nœud",$Z718*$K718,$X718*IF($G718="IKS",p_iks_cpu,p_roks_cpu)+$Y718*IF($G718="IKS",p_iks_ram,p_roks_ram))*p_facteur)</f>
        <v/>
      </c>
      <c r="AB718" s="14" t="str">
        <f aca="false">IF($D718&lt;&gt;1,"",MAX($J718,ROUNDUP(MAX($L718/$H718,$M718/$I718),0)))</f>
        <v/>
      </c>
      <c r="AC718" s="84" t="str">
        <f aca="false">IF($D718&lt;&gt;1,"",IF(p_mode="Nœud",$AB718*$K718,$L718*IF($G718="IKS",p_iks_cpu,p_roks_cpu)+$M718*IF($G718="IKS",p_iks_ram,p_roks_ram))*p_facteur)</f>
        <v/>
      </c>
      <c r="AD718" s="14" t="str">
        <f aca="false">IF($D718&lt;&gt;1,"",IF(AND($G718="IKS",$AI718&lt;&gt;1,OR($L718-$P718&lt;$N718,$M718-$Q718&lt;$O718)),1,0))</f>
        <v/>
      </c>
      <c r="AE718" s="14" t="str">
        <f aca="false">IF($D718&lt;&gt;1,"",IF(AND($G718="ROKS",$T718&gt;p_maxworkers),1,0))</f>
        <v/>
      </c>
      <c r="AF718" s="14" t="str">
        <f aca="false">IF($D718&lt;&gt;1,"",IF(INDEX(TblClusters[Environnement],$B718)="","(vide)",INDEX(TblClusters[Environnement],$B718)))</f>
        <v/>
      </c>
      <c r="AG718" s="14" t="str">
        <f aca="false">IF($D718&lt;&gt;1,"",$R718+p_poidsram*$S718)</f>
        <v/>
      </c>
      <c r="AH718" s="14" t="str">
        <f aca="false">IF($D718&lt;&gt;1,"",IFERROR($W718/$AG718,0))</f>
        <v/>
      </c>
      <c r="AI718" s="14" t="str">
        <f aca="false">IF($D718&lt;&gt;1,"",IF(AND($G718="IKS",ISNUMBER(INDEX(TblClusters[Fermeture retenue],$B718))),IF($E718&gt;=INDEX(TblClusters[Fermeture retenue],$B718),1,0),0))</f>
        <v/>
      </c>
    </row>
    <row r="719" customFormat="false" ht="15" hidden="false" customHeight="false" outlineLevel="0" collapsed="false">
      <c r="A719" s="14" t="n">
        <v>714</v>
      </c>
      <c r="B719" s="14" t="n">
        <f aca="false">INT(($A719-1)/36)+1</f>
        <v>20</v>
      </c>
      <c r="C719" s="14" t="n">
        <f aca="false">MOD($A719-1,36)+1</f>
        <v>30</v>
      </c>
      <c r="D719" s="14" t="n">
        <f aca="false">IF($C719&gt;p_horizon,0,IFERROR(IF(AND(INDEX(TblClusters[Cluster],$B719)&lt;&gt;"",ISNUMBER(INDEX(TblClusters[CPU initial (vCPU)],$B719)),ISNUMBER(INDEX(TblClusters[CPU min (vCPU)],$B719)),OR(INDEX(TblClusters[Plateforme],$B719)="IKS",INDEX(TblClusters[Plateforme],$B719)="ROKS")),1,0),0))</f>
        <v>0</v>
      </c>
      <c r="E719" s="83" t="str">
        <f aca="false">IF($D719=1,EDATE(p_debut,$C719-1),"")</f>
        <v/>
      </c>
      <c r="F719" s="14" t="str">
        <f aca="false">IF($D719=1,INDEX(TblClusters[Cluster],$B719),"")</f>
        <v/>
      </c>
      <c r="G719" s="14" t="str">
        <f aca="false">IF($D719=1,INDEX(TblClusters[Plateforme],$B719),"")</f>
        <v/>
      </c>
      <c r="H719" s="14" t="str">
        <f aca="false">IF($D719=1,INDEX(TblClusters[vCPU par nœud],$B719),"")</f>
        <v/>
      </c>
      <c r="I719" s="14" t="str">
        <f aca="false">IF($D719=1,INDEX(TblClusters[RAM par nœud (Go)],$B719),"")</f>
        <v/>
      </c>
      <c r="J719" s="14" t="str">
        <f aca="false">IF($D719=1,INDEX(TblClusters[Workers min],$B719),"")</f>
        <v/>
      </c>
      <c r="K719" s="84" t="str">
        <f aca="false">IF($D719=1,INDEX(TblClusters[Tarif par nœud],$B719),"")</f>
        <v/>
      </c>
      <c r="L719" s="14" t="str">
        <f aca="false">IF($D719=1,INDEX(TblClusters[CPU initial (vCPU)],$B719),"")</f>
        <v/>
      </c>
      <c r="M719" s="14" t="str">
        <f aca="false">IF($D719=1,INDEX(TblClusters[RAM initiale (Go)],$B719),"")</f>
        <v/>
      </c>
      <c r="N719" s="14" t="str">
        <f aca="false">IF($D719=1,INDEX(TblClusters[CPU min (vCPU)],$B719),"")</f>
        <v/>
      </c>
      <c r="O719" s="14" t="str">
        <f aca="false">IF($D719=1,INDEX(TblClusters[RAM min (Go)],$B719),"")</f>
        <v/>
      </c>
      <c r="P719" s="14" t="str">
        <f aca="false">IF($D719&lt;&gt;1,"",IF($G719="ROKS",SUMIFS(TblApplications[Besoin ROKS CPU (vCPU)],TblApplications[Cluster ROKS cible],$F719,TblApplications[Action],"À migrer",TblApplications[Déjà incluse ROKS],"Non",TblApplications[Mois prov (calc)],"&lt;="&amp;$E719),SUMIFS(TblApplications[CPU IKS libérable (vCPU)],TblApplications[Cluster IKS source],$F719,TblApplications[Mois lib (calc)],"&lt;="&amp;$E719)))</f>
        <v/>
      </c>
      <c r="Q719" s="14" t="str">
        <f aca="false">IF($D719&lt;&gt;1,"",IF($G719="ROKS",SUMIFS(TblApplications[Besoin ROKS RAM (Go)],TblApplications[Cluster ROKS cible],$F719,TblApplications[Action],"À migrer",TblApplications[Déjà incluse ROKS],"Non",TblApplications[Mois prov (calc)],"&lt;="&amp;$E719),SUMIFS(TblApplications[RAM IKS libérable (Go)],TblApplications[Cluster IKS source],$F719,TblApplications[Mois lib (calc)],"&lt;="&amp;$E719)))</f>
        <v/>
      </c>
      <c r="R719" s="14" t="str">
        <f aca="false">IF($D719&lt;&gt;1,"",IF($G719="ROKS",$L719+$P719,IF($AI719=1,0,MAX($N719,$L719-$P719))))</f>
        <v/>
      </c>
      <c r="S719" s="14" t="str">
        <f aca="false">IF($D719&lt;&gt;1,"",IF($G719="ROKS",$M719+$Q719,IF($AI719=1,0,MAX($O719,$M719-$Q719))))</f>
        <v/>
      </c>
      <c r="T719" s="14" t="str">
        <f aca="false">IF($D719&lt;&gt;1,"",IF($AI719=1,0,MAX($J719,ROUNDUP(MAX($R719/$H719,$S719/$I719),0))))</f>
        <v/>
      </c>
      <c r="U719" s="14" t="str">
        <f aca="false">IF($D719&lt;&gt;1,"",IF(p_mode="Nœud",$T719*$H719,$R719))</f>
        <v/>
      </c>
      <c r="V719" s="14" t="str">
        <f aca="false">IF($D719&lt;&gt;1,"",IF(p_mode="Nœud",$T719*$I719,$S719))</f>
        <v/>
      </c>
      <c r="W719" s="84" t="str">
        <f aca="false">IF($D719&lt;&gt;1,"",IF(p_mode="Nœud",$T719*$K719,$R719*IF($G719="IKS",p_iks_cpu,p_roks_cpu)+$S719*IF($G719="IKS",p_iks_ram,p_roks_ram))*p_facteur)</f>
        <v/>
      </c>
      <c r="X719" s="14" t="str">
        <f aca="false">IF($D719&lt;&gt;1,"",IF($G719="ROKS",$R719,IF($AI719=1,0,MAX($N719,$L719-SUMIFS(TblApplications[CPU IKS libérable (vCPU)],TblApplications[Cluster IKS source],$F719,TblApplications[Action],"À migrer",TblApplications[Mois prov (calc)],"&lt;="&amp;$E719)-SUMIFS(TblApplications[CPU IKS libérable (vCPU)],TblApplications[Cluster IKS source],$F719,TblApplications[Action],"À décommissionner",TblApplications[Mois lib (calc)],"&lt;="&amp;$E719)))))</f>
        <v/>
      </c>
      <c r="Y719" s="14" t="str">
        <f aca="false">IF($D719&lt;&gt;1,"",IF($G719="ROKS",$S719,IF($AI719=1,0,MAX($O719,$M719-SUMIFS(TblApplications[RAM IKS libérable (Go)],TblApplications[Cluster IKS source],$F719,TblApplications[Action],"À migrer",TblApplications[Mois prov (calc)],"&lt;="&amp;$E719)-SUMIFS(TblApplications[RAM IKS libérable (Go)],TblApplications[Cluster IKS source],$F719,TblApplications[Action],"À décommissionner",TblApplications[Mois lib (calc)],"&lt;="&amp;$E719)))))</f>
        <v/>
      </c>
      <c r="Z719" s="14" t="str">
        <f aca="false">IF($D719&lt;&gt;1,"",IF($AI719=1,0,MAX($J719,ROUNDUP(MAX($X719/$H719,$Y719/$I719),0))))</f>
        <v/>
      </c>
      <c r="AA719" s="84" t="str">
        <f aca="false">IF($D719&lt;&gt;1,"",IF(p_mode="Nœud",$Z719*$K719,$X719*IF($G719="IKS",p_iks_cpu,p_roks_cpu)+$Y719*IF($G719="IKS",p_iks_ram,p_roks_ram))*p_facteur)</f>
        <v/>
      </c>
      <c r="AB719" s="14" t="str">
        <f aca="false">IF($D719&lt;&gt;1,"",MAX($J719,ROUNDUP(MAX($L719/$H719,$M719/$I719),0)))</f>
        <v/>
      </c>
      <c r="AC719" s="84" t="str">
        <f aca="false">IF($D719&lt;&gt;1,"",IF(p_mode="Nœud",$AB719*$K719,$L719*IF($G719="IKS",p_iks_cpu,p_roks_cpu)+$M719*IF($G719="IKS",p_iks_ram,p_roks_ram))*p_facteur)</f>
        <v/>
      </c>
      <c r="AD719" s="14" t="str">
        <f aca="false">IF($D719&lt;&gt;1,"",IF(AND($G719="IKS",$AI719&lt;&gt;1,OR($L719-$P719&lt;$N719,$M719-$Q719&lt;$O719)),1,0))</f>
        <v/>
      </c>
      <c r="AE719" s="14" t="str">
        <f aca="false">IF($D719&lt;&gt;1,"",IF(AND($G719="ROKS",$T719&gt;p_maxworkers),1,0))</f>
        <v/>
      </c>
      <c r="AF719" s="14" t="str">
        <f aca="false">IF($D719&lt;&gt;1,"",IF(INDEX(TblClusters[Environnement],$B719)="","(vide)",INDEX(TblClusters[Environnement],$B719)))</f>
        <v/>
      </c>
      <c r="AG719" s="14" t="str">
        <f aca="false">IF($D719&lt;&gt;1,"",$R719+p_poidsram*$S719)</f>
        <v/>
      </c>
      <c r="AH719" s="14" t="str">
        <f aca="false">IF($D719&lt;&gt;1,"",IFERROR($W719/$AG719,0))</f>
        <v/>
      </c>
      <c r="AI719" s="14" t="str">
        <f aca="false">IF($D719&lt;&gt;1,"",IF(AND($G719="IKS",ISNUMBER(INDEX(TblClusters[Fermeture retenue],$B719))),IF($E719&gt;=INDEX(TblClusters[Fermeture retenue],$B719),1,0),0))</f>
        <v/>
      </c>
    </row>
    <row r="720" customFormat="false" ht="15" hidden="false" customHeight="false" outlineLevel="0" collapsed="false">
      <c r="A720" s="14" t="n">
        <v>715</v>
      </c>
      <c r="B720" s="14" t="n">
        <f aca="false">INT(($A720-1)/36)+1</f>
        <v>20</v>
      </c>
      <c r="C720" s="14" t="n">
        <f aca="false">MOD($A720-1,36)+1</f>
        <v>31</v>
      </c>
      <c r="D720" s="14" t="n">
        <f aca="false">IF($C720&gt;p_horizon,0,IFERROR(IF(AND(INDEX(TblClusters[Cluster],$B720)&lt;&gt;"",ISNUMBER(INDEX(TblClusters[CPU initial (vCPU)],$B720)),ISNUMBER(INDEX(TblClusters[CPU min (vCPU)],$B720)),OR(INDEX(TblClusters[Plateforme],$B720)="IKS",INDEX(TblClusters[Plateforme],$B720)="ROKS")),1,0),0))</f>
        <v>0</v>
      </c>
      <c r="E720" s="83" t="str">
        <f aca="false">IF($D720=1,EDATE(p_debut,$C720-1),"")</f>
        <v/>
      </c>
      <c r="F720" s="14" t="str">
        <f aca="false">IF($D720=1,INDEX(TblClusters[Cluster],$B720),"")</f>
        <v/>
      </c>
      <c r="G720" s="14" t="str">
        <f aca="false">IF($D720=1,INDEX(TblClusters[Plateforme],$B720),"")</f>
        <v/>
      </c>
      <c r="H720" s="14" t="str">
        <f aca="false">IF($D720=1,INDEX(TblClusters[vCPU par nœud],$B720),"")</f>
        <v/>
      </c>
      <c r="I720" s="14" t="str">
        <f aca="false">IF($D720=1,INDEX(TblClusters[RAM par nœud (Go)],$B720),"")</f>
        <v/>
      </c>
      <c r="J720" s="14" t="str">
        <f aca="false">IF($D720=1,INDEX(TblClusters[Workers min],$B720),"")</f>
        <v/>
      </c>
      <c r="K720" s="84" t="str">
        <f aca="false">IF($D720=1,INDEX(TblClusters[Tarif par nœud],$B720),"")</f>
        <v/>
      </c>
      <c r="L720" s="14" t="str">
        <f aca="false">IF($D720=1,INDEX(TblClusters[CPU initial (vCPU)],$B720),"")</f>
        <v/>
      </c>
      <c r="M720" s="14" t="str">
        <f aca="false">IF($D720=1,INDEX(TblClusters[RAM initiale (Go)],$B720),"")</f>
        <v/>
      </c>
      <c r="N720" s="14" t="str">
        <f aca="false">IF($D720=1,INDEX(TblClusters[CPU min (vCPU)],$B720),"")</f>
        <v/>
      </c>
      <c r="O720" s="14" t="str">
        <f aca="false">IF($D720=1,INDEX(TblClusters[RAM min (Go)],$B720),"")</f>
        <v/>
      </c>
      <c r="P720" s="14" t="str">
        <f aca="false">IF($D720&lt;&gt;1,"",IF($G720="ROKS",SUMIFS(TblApplications[Besoin ROKS CPU (vCPU)],TblApplications[Cluster ROKS cible],$F720,TblApplications[Action],"À migrer",TblApplications[Déjà incluse ROKS],"Non",TblApplications[Mois prov (calc)],"&lt;="&amp;$E720),SUMIFS(TblApplications[CPU IKS libérable (vCPU)],TblApplications[Cluster IKS source],$F720,TblApplications[Mois lib (calc)],"&lt;="&amp;$E720)))</f>
        <v/>
      </c>
      <c r="Q720" s="14" t="str">
        <f aca="false">IF($D720&lt;&gt;1,"",IF($G720="ROKS",SUMIFS(TblApplications[Besoin ROKS RAM (Go)],TblApplications[Cluster ROKS cible],$F720,TblApplications[Action],"À migrer",TblApplications[Déjà incluse ROKS],"Non",TblApplications[Mois prov (calc)],"&lt;="&amp;$E720),SUMIFS(TblApplications[RAM IKS libérable (Go)],TblApplications[Cluster IKS source],$F720,TblApplications[Mois lib (calc)],"&lt;="&amp;$E720)))</f>
        <v/>
      </c>
      <c r="R720" s="14" t="str">
        <f aca="false">IF($D720&lt;&gt;1,"",IF($G720="ROKS",$L720+$P720,IF($AI720=1,0,MAX($N720,$L720-$P720))))</f>
        <v/>
      </c>
      <c r="S720" s="14" t="str">
        <f aca="false">IF($D720&lt;&gt;1,"",IF($G720="ROKS",$M720+$Q720,IF($AI720=1,0,MAX($O720,$M720-$Q720))))</f>
        <v/>
      </c>
      <c r="T720" s="14" t="str">
        <f aca="false">IF($D720&lt;&gt;1,"",IF($AI720=1,0,MAX($J720,ROUNDUP(MAX($R720/$H720,$S720/$I720),0))))</f>
        <v/>
      </c>
      <c r="U720" s="14" t="str">
        <f aca="false">IF($D720&lt;&gt;1,"",IF(p_mode="Nœud",$T720*$H720,$R720))</f>
        <v/>
      </c>
      <c r="V720" s="14" t="str">
        <f aca="false">IF($D720&lt;&gt;1,"",IF(p_mode="Nœud",$T720*$I720,$S720))</f>
        <v/>
      </c>
      <c r="W720" s="84" t="str">
        <f aca="false">IF($D720&lt;&gt;1,"",IF(p_mode="Nœud",$T720*$K720,$R720*IF($G720="IKS",p_iks_cpu,p_roks_cpu)+$S720*IF($G720="IKS",p_iks_ram,p_roks_ram))*p_facteur)</f>
        <v/>
      </c>
      <c r="X720" s="14" t="str">
        <f aca="false">IF($D720&lt;&gt;1,"",IF($G720="ROKS",$R720,IF($AI720=1,0,MAX($N720,$L720-SUMIFS(TblApplications[CPU IKS libérable (vCPU)],TblApplications[Cluster IKS source],$F720,TblApplications[Action],"À migrer",TblApplications[Mois prov (calc)],"&lt;="&amp;$E720)-SUMIFS(TblApplications[CPU IKS libérable (vCPU)],TblApplications[Cluster IKS source],$F720,TblApplications[Action],"À décommissionner",TblApplications[Mois lib (calc)],"&lt;="&amp;$E720)))))</f>
        <v/>
      </c>
      <c r="Y720" s="14" t="str">
        <f aca="false">IF($D720&lt;&gt;1,"",IF($G720="ROKS",$S720,IF($AI720=1,0,MAX($O720,$M720-SUMIFS(TblApplications[RAM IKS libérable (Go)],TblApplications[Cluster IKS source],$F720,TblApplications[Action],"À migrer",TblApplications[Mois prov (calc)],"&lt;="&amp;$E720)-SUMIFS(TblApplications[RAM IKS libérable (Go)],TblApplications[Cluster IKS source],$F720,TblApplications[Action],"À décommissionner",TblApplications[Mois lib (calc)],"&lt;="&amp;$E720)))))</f>
        <v/>
      </c>
      <c r="Z720" s="14" t="str">
        <f aca="false">IF($D720&lt;&gt;1,"",IF($AI720=1,0,MAX($J720,ROUNDUP(MAX($X720/$H720,$Y720/$I720),0))))</f>
        <v/>
      </c>
      <c r="AA720" s="84" t="str">
        <f aca="false">IF($D720&lt;&gt;1,"",IF(p_mode="Nœud",$Z720*$K720,$X720*IF($G720="IKS",p_iks_cpu,p_roks_cpu)+$Y720*IF($G720="IKS",p_iks_ram,p_roks_ram))*p_facteur)</f>
        <v/>
      </c>
      <c r="AB720" s="14" t="str">
        <f aca="false">IF($D720&lt;&gt;1,"",MAX($J720,ROUNDUP(MAX($L720/$H720,$M720/$I720),0)))</f>
        <v/>
      </c>
      <c r="AC720" s="84" t="str">
        <f aca="false">IF($D720&lt;&gt;1,"",IF(p_mode="Nœud",$AB720*$K720,$L720*IF($G720="IKS",p_iks_cpu,p_roks_cpu)+$M720*IF($G720="IKS",p_iks_ram,p_roks_ram))*p_facteur)</f>
        <v/>
      </c>
      <c r="AD720" s="14" t="str">
        <f aca="false">IF($D720&lt;&gt;1,"",IF(AND($G720="IKS",$AI720&lt;&gt;1,OR($L720-$P720&lt;$N720,$M720-$Q720&lt;$O720)),1,0))</f>
        <v/>
      </c>
      <c r="AE720" s="14" t="str">
        <f aca="false">IF($D720&lt;&gt;1,"",IF(AND($G720="ROKS",$T720&gt;p_maxworkers),1,0))</f>
        <v/>
      </c>
      <c r="AF720" s="14" t="str">
        <f aca="false">IF($D720&lt;&gt;1,"",IF(INDEX(TblClusters[Environnement],$B720)="","(vide)",INDEX(TblClusters[Environnement],$B720)))</f>
        <v/>
      </c>
      <c r="AG720" s="14" t="str">
        <f aca="false">IF($D720&lt;&gt;1,"",$R720+p_poidsram*$S720)</f>
        <v/>
      </c>
      <c r="AH720" s="14" t="str">
        <f aca="false">IF($D720&lt;&gt;1,"",IFERROR($W720/$AG720,0))</f>
        <v/>
      </c>
      <c r="AI720" s="14" t="str">
        <f aca="false">IF($D720&lt;&gt;1,"",IF(AND($G720="IKS",ISNUMBER(INDEX(TblClusters[Fermeture retenue],$B720))),IF($E720&gt;=INDEX(TblClusters[Fermeture retenue],$B720),1,0),0))</f>
        <v/>
      </c>
    </row>
    <row r="721" customFormat="false" ht="15" hidden="false" customHeight="false" outlineLevel="0" collapsed="false">
      <c r="A721" s="14" t="n">
        <v>716</v>
      </c>
      <c r="B721" s="14" t="n">
        <f aca="false">INT(($A721-1)/36)+1</f>
        <v>20</v>
      </c>
      <c r="C721" s="14" t="n">
        <f aca="false">MOD($A721-1,36)+1</f>
        <v>32</v>
      </c>
      <c r="D721" s="14" t="n">
        <f aca="false">IF($C721&gt;p_horizon,0,IFERROR(IF(AND(INDEX(TblClusters[Cluster],$B721)&lt;&gt;"",ISNUMBER(INDEX(TblClusters[CPU initial (vCPU)],$B721)),ISNUMBER(INDEX(TblClusters[CPU min (vCPU)],$B721)),OR(INDEX(TblClusters[Plateforme],$B721)="IKS",INDEX(TblClusters[Plateforme],$B721)="ROKS")),1,0),0))</f>
        <v>0</v>
      </c>
      <c r="E721" s="83" t="str">
        <f aca="false">IF($D721=1,EDATE(p_debut,$C721-1),"")</f>
        <v/>
      </c>
      <c r="F721" s="14" t="str">
        <f aca="false">IF($D721=1,INDEX(TblClusters[Cluster],$B721),"")</f>
        <v/>
      </c>
      <c r="G721" s="14" t="str">
        <f aca="false">IF($D721=1,INDEX(TblClusters[Plateforme],$B721),"")</f>
        <v/>
      </c>
      <c r="H721" s="14" t="str">
        <f aca="false">IF($D721=1,INDEX(TblClusters[vCPU par nœud],$B721),"")</f>
        <v/>
      </c>
      <c r="I721" s="14" t="str">
        <f aca="false">IF($D721=1,INDEX(TblClusters[RAM par nœud (Go)],$B721),"")</f>
        <v/>
      </c>
      <c r="J721" s="14" t="str">
        <f aca="false">IF($D721=1,INDEX(TblClusters[Workers min],$B721),"")</f>
        <v/>
      </c>
      <c r="K721" s="84" t="str">
        <f aca="false">IF($D721=1,INDEX(TblClusters[Tarif par nœud],$B721),"")</f>
        <v/>
      </c>
      <c r="L721" s="14" t="str">
        <f aca="false">IF($D721=1,INDEX(TblClusters[CPU initial (vCPU)],$B721),"")</f>
        <v/>
      </c>
      <c r="M721" s="14" t="str">
        <f aca="false">IF($D721=1,INDEX(TblClusters[RAM initiale (Go)],$B721),"")</f>
        <v/>
      </c>
      <c r="N721" s="14" t="str">
        <f aca="false">IF($D721=1,INDEX(TblClusters[CPU min (vCPU)],$B721),"")</f>
        <v/>
      </c>
      <c r="O721" s="14" t="str">
        <f aca="false">IF($D721=1,INDEX(TblClusters[RAM min (Go)],$B721),"")</f>
        <v/>
      </c>
      <c r="P721" s="14" t="str">
        <f aca="false">IF($D721&lt;&gt;1,"",IF($G721="ROKS",SUMIFS(TblApplications[Besoin ROKS CPU (vCPU)],TblApplications[Cluster ROKS cible],$F721,TblApplications[Action],"À migrer",TblApplications[Déjà incluse ROKS],"Non",TblApplications[Mois prov (calc)],"&lt;="&amp;$E721),SUMIFS(TblApplications[CPU IKS libérable (vCPU)],TblApplications[Cluster IKS source],$F721,TblApplications[Mois lib (calc)],"&lt;="&amp;$E721)))</f>
        <v/>
      </c>
      <c r="Q721" s="14" t="str">
        <f aca="false">IF($D721&lt;&gt;1,"",IF($G721="ROKS",SUMIFS(TblApplications[Besoin ROKS RAM (Go)],TblApplications[Cluster ROKS cible],$F721,TblApplications[Action],"À migrer",TblApplications[Déjà incluse ROKS],"Non",TblApplications[Mois prov (calc)],"&lt;="&amp;$E721),SUMIFS(TblApplications[RAM IKS libérable (Go)],TblApplications[Cluster IKS source],$F721,TblApplications[Mois lib (calc)],"&lt;="&amp;$E721)))</f>
        <v/>
      </c>
      <c r="R721" s="14" t="str">
        <f aca="false">IF($D721&lt;&gt;1,"",IF($G721="ROKS",$L721+$P721,IF($AI721=1,0,MAX($N721,$L721-$P721))))</f>
        <v/>
      </c>
      <c r="S721" s="14" t="str">
        <f aca="false">IF($D721&lt;&gt;1,"",IF($G721="ROKS",$M721+$Q721,IF($AI721=1,0,MAX($O721,$M721-$Q721))))</f>
        <v/>
      </c>
      <c r="T721" s="14" t="str">
        <f aca="false">IF($D721&lt;&gt;1,"",IF($AI721=1,0,MAX($J721,ROUNDUP(MAX($R721/$H721,$S721/$I721),0))))</f>
        <v/>
      </c>
      <c r="U721" s="14" t="str">
        <f aca="false">IF($D721&lt;&gt;1,"",IF(p_mode="Nœud",$T721*$H721,$R721))</f>
        <v/>
      </c>
      <c r="V721" s="14" t="str">
        <f aca="false">IF($D721&lt;&gt;1,"",IF(p_mode="Nœud",$T721*$I721,$S721))</f>
        <v/>
      </c>
      <c r="W721" s="84" t="str">
        <f aca="false">IF($D721&lt;&gt;1,"",IF(p_mode="Nœud",$T721*$K721,$R721*IF($G721="IKS",p_iks_cpu,p_roks_cpu)+$S721*IF($G721="IKS",p_iks_ram,p_roks_ram))*p_facteur)</f>
        <v/>
      </c>
      <c r="X721" s="14" t="str">
        <f aca="false">IF($D721&lt;&gt;1,"",IF($G721="ROKS",$R721,IF($AI721=1,0,MAX($N721,$L721-SUMIFS(TblApplications[CPU IKS libérable (vCPU)],TblApplications[Cluster IKS source],$F721,TblApplications[Action],"À migrer",TblApplications[Mois prov (calc)],"&lt;="&amp;$E721)-SUMIFS(TblApplications[CPU IKS libérable (vCPU)],TblApplications[Cluster IKS source],$F721,TblApplications[Action],"À décommissionner",TblApplications[Mois lib (calc)],"&lt;="&amp;$E721)))))</f>
        <v/>
      </c>
      <c r="Y721" s="14" t="str">
        <f aca="false">IF($D721&lt;&gt;1,"",IF($G721="ROKS",$S721,IF($AI721=1,0,MAX($O721,$M721-SUMIFS(TblApplications[RAM IKS libérable (Go)],TblApplications[Cluster IKS source],$F721,TblApplications[Action],"À migrer",TblApplications[Mois prov (calc)],"&lt;="&amp;$E721)-SUMIFS(TblApplications[RAM IKS libérable (Go)],TblApplications[Cluster IKS source],$F721,TblApplications[Action],"À décommissionner",TblApplications[Mois lib (calc)],"&lt;="&amp;$E721)))))</f>
        <v/>
      </c>
      <c r="Z721" s="14" t="str">
        <f aca="false">IF($D721&lt;&gt;1,"",IF($AI721=1,0,MAX($J721,ROUNDUP(MAX($X721/$H721,$Y721/$I721),0))))</f>
        <v/>
      </c>
      <c r="AA721" s="84" t="str">
        <f aca="false">IF($D721&lt;&gt;1,"",IF(p_mode="Nœud",$Z721*$K721,$X721*IF($G721="IKS",p_iks_cpu,p_roks_cpu)+$Y721*IF($G721="IKS",p_iks_ram,p_roks_ram))*p_facteur)</f>
        <v/>
      </c>
      <c r="AB721" s="14" t="str">
        <f aca="false">IF($D721&lt;&gt;1,"",MAX($J721,ROUNDUP(MAX($L721/$H721,$M721/$I721),0)))</f>
        <v/>
      </c>
      <c r="AC721" s="84" t="str">
        <f aca="false">IF($D721&lt;&gt;1,"",IF(p_mode="Nœud",$AB721*$K721,$L721*IF($G721="IKS",p_iks_cpu,p_roks_cpu)+$M721*IF($G721="IKS",p_iks_ram,p_roks_ram))*p_facteur)</f>
        <v/>
      </c>
      <c r="AD721" s="14" t="str">
        <f aca="false">IF($D721&lt;&gt;1,"",IF(AND($G721="IKS",$AI721&lt;&gt;1,OR($L721-$P721&lt;$N721,$M721-$Q721&lt;$O721)),1,0))</f>
        <v/>
      </c>
      <c r="AE721" s="14" t="str">
        <f aca="false">IF($D721&lt;&gt;1,"",IF(AND($G721="ROKS",$T721&gt;p_maxworkers),1,0))</f>
        <v/>
      </c>
      <c r="AF721" s="14" t="str">
        <f aca="false">IF($D721&lt;&gt;1,"",IF(INDEX(TblClusters[Environnement],$B721)="","(vide)",INDEX(TblClusters[Environnement],$B721)))</f>
        <v/>
      </c>
      <c r="AG721" s="14" t="str">
        <f aca="false">IF($D721&lt;&gt;1,"",$R721+p_poidsram*$S721)</f>
        <v/>
      </c>
      <c r="AH721" s="14" t="str">
        <f aca="false">IF($D721&lt;&gt;1,"",IFERROR($W721/$AG721,0))</f>
        <v/>
      </c>
      <c r="AI721" s="14" t="str">
        <f aca="false">IF($D721&lt;&gt;1,"",IF(AND($G721="IKS",ISNUMBER(INDEX(TblClusters[Fermeture retenue],$B721))),IF($E721&gt;=INDEX(TblClusters[Fermeture retenue],$B721),1,0),0))</f>
        <v/>
      </c>
    </row>
    <row r="722" customFormat="false" ht="15" hidden="false" customHeight="false" outlineLevel="0" collapsed="false">
      <c r="A722" s="14" t="n">
        <v>717</v>
      </c>
      <c r="B722" s="14" t="n">
        <f aca="false">INT(($A722-1)/36)+1</f>
        <v>20</v>
      </c>
      <c r="C722" s="14" t="n">
        <f aca="false">MOD($A722-1,36)+1</f>
        <v>33</v>
      </c>
      <c r="D722" s="14" t="n">
        <f aca="false">IF($C722&gt;p_horizon,0,IFERROR(IF(AND(INDEX(TblClusters[Cluster],$B722)&lt;&gt;"",ISNUMBER(INDEX(TblClusters[CPU initial (vCPU)],$B722)),ISNUMBER(INDEX(TblClusters[CPU min (vCPU)],$B722)),OR(INDEX(TblClusters[Plateforme],$B722)="IKS",INDEX(TblClusters[Plateforme],$B722)="ROKS")),1,0),0))</f>
        <v>0</v>
      </c>
      <c r="E722" s="83" t="str">
        <f aca="false">IF($D722=1,EDATE(p_debut,$C722-1),"")</f>
        <v/>
      </c>
      <c r="F722" s="14" t="str">
        <f aca="false">IF($D722=1,INDEX(TblClusters[Cluster],$B722),"")</f>
        <v/>
      </c>
      <c r="G722" s="14" t="str">
        <f aca="false">IF($D722=1,INDEX(TblClusters[Plateforme],$B722),"")</f>
        <v/>
      </c>
      <c r="H722" s="14" t="str">
        <f aca="false">IF($D722=1,INDEX(TblClusters[vCPU par nœud],$B722),"")</f>
        <v/>
      </c>
      <c r="I722" s="14" t="str">
        <f aca="false">IF($D722=1,INDEX(TblClusters[RAM par nœud (Go)],$B722),"")</f>
        <v/>
      </c>
      <c r="J722" s="14" t="str">
        <f aca="false">IF($D722=1,INDEX(TblClusters[Workers min],$B722),"")</f>
        <v/>
      </c>
      <c r="K722" s="84" t="str">
        <f aca="false">IF($D722=1,INDEX(TblClusters[Tarif par nœud],$B722),"")</f>
        <v/>
      </c>
      <c r="L722" s="14" t="str">
        <f aca="false">IF($D722=1,INDEX(TblClusters[CPU initial (vCPU)],$B722),"")</f>
        <v/>
      </c>
      <c r="M722" s="14" t="str">
        <f aca="false">IF($D722=1,INDEX(TblClusters[RAM initiale (Go)],$B722),"")</f>
        <v/>
      </c>
      <c r="N722" s="14" t="str">
        <f aca="false">IF($D722=1,INDEX(TblClusters[CPU min (vCPU)],$B722),"")</f>
        <v/>
      </c>
      <c r="O722" s="14" t="str">
        <f aca="false">IF($D722=1,INDEX(TblClusters[RAM min (Go)],$B722),"")</f>
        <v/>
      </c>
      <c r="P722" s="14" t="str">
        <f aca="false">IF($D722&lt;&gt;1,"",IF($G722="ROKS",SUMIFS(TblApplications[Besoin ROKS CPU (vCPU)],TblApplications[Cluster ROKS cible],$F722,TblApplications[Action],"À migrer",TblApplications[Déjà incluse ROKS],"Non",TblApplications[Mois prov (calc)],"&lt;="&amp;$E722),SUMIFS(TblApplications[CPU IKS libérable (vCPU)],TblApplications[Cluster IKS source],$F722,TblApplications[Mois lib (calc)],"&lt;="&amp;$E722)))</f>
        <v/>
      </c>
      <c r="Q722" s="14" t="str">
        <f aca="false">IF($D722&lt;&gt;1,"",IF($G722="ROKS",SUMIFS(TblApplications[Besoin ROKS RAM (Go)],TblApplications[Cluster ROKS cible],$F722,TblApplications[Action],"À migrer",TblApplications[Déjà incluse ROKS],"Non",TblApplications[Mois prov (calc)],"&lt;="&amp;$E722),SUMIFS(TblApplications[RAM IKS libérable (Go)],TblApplications[Cluster IKS source],$F722,TblApplications[Mois lib (calc)],"&lt;="&amp;$E722)))</f>
        <v/>
      </c>
      <c r="R722" s="14" t="str">
        <f aca="false">IF($D722&lt;&gt;1,"",IF($G722="ROKS",$L722+$P722,IF($AI722=1,0,MAX($N722,$L722-$P722))))</f>
        <v/>
      </c>
      <c r="S722" s="14" t="str">
        <f aca="false">IF($D722&lt;&gt;1,"",IF($G722="ROKS",$M722+$Q722,IF($AI722=1,0,MAX($O722,$M722-$Q722))))</f>
        <v/>
      </c>
      <c r="T722" s="14" t="str">
        <f aca="false">IF($D722&lt;&gt;1,"",IF($AI722=1,0,MAX($J722,ROUNDUP(MAX($R722/$H722,$S722/$I722),0))))</f>
        <v/>
      </c>
      <c r="U722" s="14" t="str">
        <f aca="false">IF($D722&lt;&gt;1,"",IF(p_mode="Nœud",$T722*$H722,$R722))</f>
        <v/>
      </c>
      <c r="V722" s="14" t="str">
        <f aca="false">IF($D722&lt;&gt;1,"",IF(p_mode="Nœud",$T722*$I722,$S722))</f>
        <v/>
      </c>
      <c r="W722" s="84" t="str">
        <f aca="false">IF($D722&lt;&gt;1,"",IF(p_mode="Nœud",$T722*$K722,$R722*IF($G722="IKS",p_iks_cpu,p_roks_cpu)+$S722*IF($G722="IKS",p_iks_ram,p_roks_ram))*p_facteur)</f>
        <v/>
      </c>
      <c r="X722" s="14" t="str">
        <f aca="false">IF($D722&lt;&gt;1,"",IF($G722="ROKS",$R722,IF($AI722=1,0,MAX($N722,$L722-SUMIFS(TblApplications[CPU IKS libérable (vCPU)],TblApplications[Cluster IKS source],$F722,TblApplications[Action],"À migrer",TblApplications[Mois prov (calc)],"&lt;="&amp;$E722)-SUMIFS(TblApplications[CPU IKS libérable (vCPU)],TblApplications[Cluster IKS source],$F722,TblApplications[Action],"À décommissionner",TblApplications[Mois lib (calc)],"&lt;="&amp;$E722)))))</f>
        <v/>
      </c>
      <c r="Y722" s="14" t="str">
        <f aca="false">IF($D722&lt;&gt;1,"",IF($G722="ROKS",$S722,IF($AI722=1,0,MAX($O722,$M722-SUMIFS(TblApplications[RAM IKS libérable (Go)],TblApplications[Cluster IKS source],$F722,TblApplications[Action],"À migrer",TblApplications[Mois prov (calc)],"&lt;="&amp;$E722)-SUMIFS(TblApplications[RAM IKS libérable (Go)],TblApplications[Cluster IKS source],$F722,TblApplications[Action],"À décommissionner",TblApplications[Mois lib (calc)],"&lt;="&amp;$E722)))))</f>
        <v/>
      </c>
      <c r="Z722" s="14" t="str">
        <f aca="false">IF($D722&lt;&gt;1,"",IF($AI722=1,0,MAX($J722,ROUNDUP(MAX($X722/$H722,$Y722/$I722),0))))</f>
        <v/>
      </c>
      <c r="AA722" s="84" t="str">
        <f aca="false">IF($D722&lt;&gt;1,"",IF(p_mode="Nœud",$Z722*$K722,$X722*IF($G722="IKS",p_iks_cpu,p_roks_cpu)+$Y722*IF($G722="IKS",p_iks_ram,p_roks_ram))*p_facteur)</f>
        <v/>
      </c>
      <c r="AB722" s="14" t="str">
        <f aca="false">IF($D722&lt;&gt;1,"",MAX($J722,ROUNDUP(MAX($L722/$H722,$M722/$I722),0)))</f>
        <v/>
      </c>
      <c r="AC722" s="84" t="str">
        <f aca="false">IF($D722&lt;&gt;1,"",IF(p_mode="Nœud",$AB722*$K722,$L722*IF($G722="IKS",p_iks_cpu,p_roks_cpu)+$M722*IF($G722="IKS",p_iks_ram,p_roks_ram))*p_facteur)</f>
        <v/>
      </c>
      <c r="AD722" s="14" t="str">
        <f aca="false">IF($D722&lt;&gt;1,"",IF(AND($G722="IKS",$AI722&lt;&gt;1,OR($L722-$P722&lt;$N722,$M722-$Q722&lt;$O722)),1,0))</f>
        <v/>
      </c>
      <c r="AE722" s="14" t="str">
        <f aca="false">IF($D722&lt;&gt;1,"",IF(AND($G722="ROKS",$T722&gt;p_maxworkers),1,0))</f>
        <v/>
      </c>
      <c r="AF722" s="14" t="str">
        <f aca="false">IF($D722&lt;&gt;1,"",IF(INDEX(TblClusters[Environnement],$B722)="","(vide)",INDEX(TblClusters[Environnement],$B722)))</f>
        <v/>
      </c>
      <c r="AG722" s="14" t="str">
        <f aca="false">IF($D722&lt;&gt;1,"",$R722+p_poidsram*$S722)</f>
        <v/>
      </c>
      <c r="AH722" s="14" t="str">
        <f aca="false">IF($D722&lt;&gt;1,"",IFERROR($W722/$AG722,0))</f>
        <v/>
      </c>
      <c r="AI722" s="14" t="str">
        <f aca="false">IF($D722&lt;&gt;1,"",IF(AND($G722="IKS",ISNUMBER(INDEX(TblClusters[Fermeture retenue],$B722))),IF($E722&gt;=INDEX(TblClusters[Fermeture retenue],$B722),1,0),0))</f>
        <v/>
      </c>
    </row>
    <row r="723" customFormat="false" ht="15" hidden="false" customHeight="false" outlineLevel="0" collapsed="false">
      <c r="A723" s="14" t="n">
        <v>718</v>
      </c>
      <c r="B723" s="14" t="n">
        <f aca="false">INT(($A723-1)/36)+1</f>
        <v>20</v>
      </c>
      <c r="C723" s="14" t="n">
        <f aca="false">MOD($A723-1,36)+1</f>
        <v>34</v>
      </c>
      <c r="D723" s="14" t="n">
        <f aca="false">IF($C723&gt;p_horizon,0,IFERROR(IF(AND(INDEX(TblClusters[Cluster],$B723)&lt;&gt;"",ISNUMBER(INDEX(TblClusters[CPU initial (vCPU)],$B723)),ISNUMBER(INDEX(TblClusters[CPU min (vCPU)],$B723)),OR(INDEX(TblClusters[Plateforme],$B723)="IKS",INDEX(TblClusters[Plateforme],$B723)="ROKS")),1,0),0))</f>
        <v>0</v>
      </c>
      <c r="E723" s="83" t="str">
        <f aca="false">IF($D723=1,EDATE(p_debut,$C723-1),"")</f>
        <v/>
      </c>
      <c r="F723" s="14" t="str">
        <f aca="false">IF($D723=1,INDEX(TblClusters[Cluster],$B723),"")</f>
        <v/>
      </c>
      <c r="G723" s="14" t="str">
        <f aca="false">IF($D723=1,INDEX(TblClusters[Plateforme],$B723),"")</f>
        <v/>
      </c>
      <c r="H723" s="14" t="str">
        <f aca="false">IF($D723=1,INDEX(TblClusters[vCPU par nœud],$B723),"")</f>
        <v/>
      </c>
      <c r="I723" s="14" t="str">
        <f aca="false">IF($D723=1,INDEX(TblClusters[RAM par nœud (Go)],$B723),"")</f>
        <v/>
      </c>
      <c r="J723" s="14" t="str">
        <f aca="false">IF($D723=1,INDEX(TblClusters[Workers min],$B723),"")</f>
        <v/>
      </c>
      <c r="K723" s="84" t="str">
        <f aca="false">IF($D723=1,INDEX(TblClusters[Tarif par nœud],$B723),"")</f>
        <v/>
      </c>
      <c r="L723" s="14" t="str">
        <f aca="false">IF($D723=1,INDEX(TblClusters[CPU initial (vCPU)],$B723),"")</f>
        <v/>
      </c>
      <c r="M723" s="14" t="str">
        <f aca="false">IF($D723=1,INDEX(TblClusters[RAM initiale (Go)],$B723),"")</f>
        <v/>
      </c>
      <c r="N723" s="14" t="str">
        <f aca="false">IF($D723=1,INDEX(TblClusters[CPU min (vCPU)],$B723),"")</f>
        <v/>
      </c>
      <c r="O723" s="14" t="str">
        <f aca="false">IF($D723=1,INDEX(TblClusters[RAM min (Go)],$B723),"")</f>
        <v/>
      </c>
      <c r="P723" s="14" t="str">
        <f aca="false">IF($D723&lt;&gt;1,"",IF($G723="ROKS",SUMIFS(TblApplications[Besoin ROKS CPU (vCPU)],TblApplications[Cluster ROKS cible],$F723,TblApplications[Action],"À migrer",TblApplications[Déjà incluse ROKS],"Non",TblApplications[Mois prov (calc)],"&lt;="&amp;$E723),SUMIFS(TblApplications[CPU IKS libérable (vCPU)],TblApplications[Cluster IKS source],$F723,TblApplications[Mois lib (calc)],"&lt;="&amp;$E723)))</f>
        <v/>
      </c>
      <c r="Q723" s="14" t="str">
        <f aca="false">IF($D723&lt;&gt;1,"",IF($G723="ROKS",SUMIFS(TblApplications[Besoin ROKS RAM (Go)],TblApplications[Cluster ROKS cible],$F723,TblApplications[Action],"À migrer",TblApplications[Déjà incluse ROKS],"Non",TblApplications[Mois prov (calc)],"&lt;="&amp;$E723),SUMIFS(TblApplications[RAM IKS libérable (Go)],TblApplications[Cluster IKS source],$F723,TblApplications[Mois lib (calc)],"&lt;="&amp;$E723)))</f>
        <v/>
      </c>
      <c r="R723" s="14" t="str">
        <f aca="false">IF($D723&lt;&gt;1,"",IF($G723="ROKS",$L723+$P723,IF($AI723=1,0,MAX($N723,$L723-$P723))))</f>
        <v/>
      </c>
      <c r="S723" s="14" t="str">
        <f aca="false">IF($D723&lt;&gt;1,"",IF($G723="ROKS",$M723+$Q723,IF($AI723=1,0,MAX($O723,$M723-$Q723))))</f>
        <v/>
      </c>
      <c r="T723" s="14" t="str">
        <f aca="false">IF($D723&lt;&gt;1,"",IF($AI723=1,0,MAX($J723,ROUNDUP(MAX($R723/$H723,$S723/$I723),0))))</f>
        <v/>
      </c>
      <c r="U723" s="14" t="str">
        <f aca="false">IF($D723&lt;&gt;1,"",IF(p_mode="Nœud",$T723*$H723,$R723))</f>
        <v/>
      </c>
      <c r="V723" s="14" t="str">
        <f aca="false">IF($D723&lt;&gt;1,"",IF(p_mode="Nœud",$T723*$I723,$S723))</f>
        <v/>
      </c>
      <c r="W723" s="84" t="str">
        <f aca="false">IF($D723&lt;&gt;1,"",IF(p_mode="Nœud",$T723*$K723,$R723*IF($G723="IKS",p_iks_cpu,p_roks_cpu)+$S723*IF($G723="IKS",p_iks_ram,p_roks_ram))*p_facteur)</f>
        <v/>
      </c>
      <c r="X723" s="14" t="str">
        <f aca="false">IF($D723&lt;&gt;1,"",IF($G723="ROKS",$R723,IF($AI723=1,0,MAX($N723,$L723-SUMIFS(TblApplications[CPU IKS libérable (vCPU)],TblApplications[Cluster IKS source],$F723,TblApplications[Action],"À migrer",TblApplications[Mois prov (calc)],"&lt;="&amp;$E723)-SUMIFS(TblApplications[CPU IKS libérable (vCPU)],TblApplications[Cluster IKS source],$F723,TblApplications[Action],"À décommissionner",TblApplications[Mois lib (calc)],"&lt;="&amp;$E723)))))</f>
        <v/>
      </c>
      <c r="Y723" s="14" t="str">
        <f aca="false">IF($D723&lt;&gt;1,"",IF($G723="ROKS",$S723,IF($AI723=1,0,MAX($O723,$M723-SUMIFS(TblApplications[RAM IKS libérable (Go)],TblApplications[Cluster IKS source],$F723,TblApplications[Action],"À migrer",TblApplications[Mois prov (calc)],"&lt;="&amp;$E723)-SUMIFS(TblApplications[RAM IKS libérable (Go)],TblApplications[Cluster IKS source],$F723,TblApplications[Action],"À décommissionner",TblApplications[Mois lib (calc)],"&lt;="&amp;$E723)))))</f>
        <v/>
      </c>
      <c r="Z723" s="14" t="str">
        <f aca="false">IF($D723&lt;&gt;1,"",IF($AI723=1,0,MAX($J723,ROUNDUP(MAX($X723/$H723,$Y723/$I723),0))))</f>
        <v/>
      </c>
      <c r="AA723" s="84" t="str">
        <f aca="false">IF($D723&lt;&gt;1,"",IF(p_mode="Nœud",$Z723*$K723,$X723*IF($G723="IKS",p_iks_cpu,p_roks_cpu)+$Y723*IF($G723="IKS",p_iks_ram,p_roks_ram))*p_facteur)</f>
        <v/>
      </c>
      <c r="AB723" s="14" t="str">
        <f aca="false">IF($D723&lt;&gt;1,"",MAX($J723,ROUNDUP(MAX($L723/$H723,$M723/$I723),0)))</f>
        <v/>
      </c>
      <c r="AC723" s="84" t="str">
        <f aca="false">IF($D723&lt;&gt;1,"",IF(p_mode="Nœud",$AB723*$K723,$L723*IF($G723="IKS",p_iks_cpu,p_roks_cpu)+$M723*IF($G723="IKS",p_iks_ram,p_roks_ram))*p_facteur)</f>
        <v/>
      </c>
      <c r="AD723" s="14" t="str">
        <f aca="false">IF($D723&lt;&gt;1,"",IF(AND($G723="IKS",$AI723&lt;&gt;1,OR($L723-$P723&lt;$N723,$M723-$Q723&lt;$O723)),1,0))</f>
        <v/>
      </c>
      <c r="AE723" s="14" t="str">
        <f aca="false">IF($D723&lt;&gt;1,"",IF(AND($G723="ROKS",$T723&gt;p_maxworkers),1,0))</f>
        <v/>
      </c>
      <c r="AF723" s="14" t="str">
        <f aca="false">IF($D723&lt;&gt;1,"",IF(INDEX(TblClusters[Environnement],$B723)="","(vide)",INDEX(TblClusters[Environnement],$B723)))</f>
        <v/>
      </c>
      <c r="AG723" s="14" t="str">
        <f aca="false">IF($D723&lt;&gt;1,"",$R723+p_poidsram*$S723)</f>
        <v/>
      </c>
      <c r="AH723" s="14" t="str">
        <f aca="false">IF($D723&lt;&gt;1,"",IFERROR($W723/$AG723,0))</f>
        <v/>
      </c>
      <c r="AI723" s="14" t="str">
        <f aca="false">IF($D723&lt;&gt;1,"",IF(AND($G723="IKS",ISNUMBER(INDEX(TblClusters[Fermeture retenue],$B723))),IF($E723&gt;=INDEX(TblClusters[Fermeture retenue],$B723),1,0),0))</f>
        <v/>
      </c>
    </row>
    <row r="724" customFormat="false" ht="15" hidden="false" customHeight="false" outlineLevel="0" collapsed="false">
      <c r="A724" s="14" t="n">
        <v>719</v>
      </c>
      <c r="B724" s="14" t="n">
        <f aca="false">INT(($A724-1)/36)+1</f>
        <v>20</v>
      </c>
      <c r="C724" s="14" t="n">
        <f aca="false">MOD($A724-1,36)+1</f>
        <v>35</v>
      </c>
      <c r="D724" s="14" t="n">
        <f aca="false">IF($C724&gt;p_horizon,0,IFERROR(IF(AND(INDEX(TblClusters[Cluster],$B724)&lt;&gt;"",ISNUMBER(INDEX(TblClusters[CPU initial (vCPU)],$B724)),ISNUMBER(INDEX(TblClusters[CPU min (vCPU)],$B724)),OR(INDEX(TblClusters[Plateforme],$B724)="IKS",INDEX(TblClusters[Plateforme],$B724)="ROKS")),1,0),0))</f>
        <v>0</v>
      </c>
      <c r="E724" s="83" t="str">
        <f aca="false">IF($D724=1,EDATE(p_debut,$C724-1),"")</f>
        <v/>
      </c>
      <c r="F724" s="14" t="str">
        <f aca="false">IF($D724=1,INDEX(TblClusters[Cluster],$B724),"")</f>
        <v/>
      </c>
      <c r="G724" s="14" t="str">
        <f aca="false">IF($D724=1,INDEX(TblClusters[Plateforme],$B724),"")</f>
        <v/>
      </c>
      <c r="H724" s="14" t="str">
        <f aca="false">IF($D724=1,INDEX(TblClusters[vCPU par nœud],$B724),"")</f>
        <v/>
      </c>
      <c r="I724" s="14" t="str">
        <f aca="false">IF($D724=1,INDEX(TblClusters[RAM par nœud (Go)],$B724),"")</f>
        <v/>
      </c>
      <c r="J724" s="14" t="str">
        <f aca="false">IF($D724=1,INDEX(TblClusters[Workers min],$B724),"")</f>
        <v/>
      </c>
      <c r="K724" s="84" t="str">
        <f aca="false">IF($D724=1,INDEX(TblClusters[Tarif par nœud],$B724),"")</f>
        <v/>
      </c>
      <c r="L724" s="14" t="str">
        <f aca="false">IF($D724=1,INDEX(TblClusters[CPU initial (vCPU)],$B724),"")</f>
        <v/>
      </c>
      <c r="M724" s="14" t="str">
        <f aca="false">IF($D724=1,INDEX(TblClusters[RAM initiale (Go)],$B724),"")</f>
        <v/>
      </c>
      <c r="N724" s="14" t="str">
        <f aca="false">IF($D724=1,INDEX(TblClusters[CPU min (vCPU)],$B724),"")</f>
        <v/>
      </c>
      <c r="O724" s="14" t="str">
        <f aca="false">IF($D724=1,INDEX(TblClusters[RAM min (Go)],$B724),"")</f>
        <v/>
      </c>
      <c r="P724" s="14" t="str">
        <f aca="false">IF($D724&lt;&gt;1,"",IF($G724="ROKS",SUMIFS(TblApplications[Besoin ROKS CPU (vCPU)],TblApplications[Cluster ROKS cible],$F724,TblApplications[Action],"À migrer",TblApplications[Déjà incluse ROKS],"Non",TblApplications[Mois prov (calc)],"&lt;="&amp;$E724),SUMIFS(TblApplications[CPU IKS libérable (vCPU)],TblApplications[Cluster IKS source],$F724,TblApplications[Mois lib (calc)],"&lt;="&amp;$E724)))</f>
        <v/>
      </c>
      <c r="Q724" s="14" t="str">
        <f aca="false">IF($D724&lt;&gt;1,"",IF($G724="ROKS",SUMIFS(TblApplications[Besoin ROKS RAM (Go)],TblApplications[Cluster ROKS cible],$F724,TblApplications[Action],"À migrer",TblApplications[Déjà incluse ROKS],"Non",TblApplications[Mois prov (calc)],"&lt;="&amp;$E724),SUMIFS(TblApplications[RAM IKS libérable (Go)],TblApplications[Cluster IKS source],$F724,TblApplications[Mois lib (calc)],"&lt;="&amp;$E724)))</f>
        <v/>
      </c>
      <c r="R724" s="14" t="str">
        <f aca="false">IF($D724&lt;&gt;1,"",IF($G724="ROKS",$L724+$P724,IF($AI724=1,0,MAX($N724,$L724-$P724))))</f>
        <v/>
      </c>
      <c r="S724" s="14" t="str">
        <f aca="false">IF($D724&lt;&gt;1,"",IF($G724="ROKS",$M724+$Q724,IF($AI724=1,0,MAX($O724,$M724-$Q724))))</f>
        <v/>
      </c>
      <c r="T724" s="14" t="str">
        <f aca="false">IF($D724&lt;&gt;1,"",IF($AI724=1,0,MAX($J724,ROUNDUP(MAX($R724/$H724,$S724/$I724),0))))</f>
        <v/>
      </c>
      <c r="U724" s="14" t="str">
        <f aca="false">IF($D724&lt;&gt;1,"",IF(p_mode="Nœud",$T724*$H724,$R724))</f>
        <v/>
      </c>
      <c r="V724" s="14" t="str">
        <f aca="false">IF($D724&lt;&gt;1,"",IF(p_mode="Nœud",$T724*$I724,$S724))</f>
        <v/>
      </c>
      <c r="W724" s="84" t="str">
        <f aca="false">IF($D724&lt;&gt;1,"",IF(p_mode="Nœud",$T724*$K724,$R724*IF($G724="IKS",p_iks_cpu,p_roks_cpu)+$S724*IF($G724="IKS",p_iks_ram,p_roks_ram))*p_facteur)</f>
        <v/>
      </c>
      <c r="X724" s="14" t="str">
        <f aca="false">IF($D724&lt;&gt;1,"",IF($G724="ROKS",$R724,IF($AI724=1,0,MAX($N724,$L724-SUMIFS(TblApplications[CPU IKS libérable (vCPU)],TblApplications[Cluster IKS source],$F724,TblApplications[Action],"À migrer",TblApplications[Mois prov (calc)],"&lt;="&amp;$E724)-SUMIFS(TblApplications[CPU IKS libérable (vCPU)],TblApplications[Cluster IKS source],$F724,TblApplications[Action],"À décommissionner",TblApplications[Mois lib (calc)],"&lt;="&amp;$E724)))))</f>
        <v/>
      </c>
      <c r="Y724" s="14" t="str">
        <f aca="false">IF($D724&lt;&gt;1,"",IF($G724="ROKS",$S724,IF($AI724=1,0,MAX($O724,$M724-SUMIFS(TblApplications[RAM IKS libérable (Go)],TblApplications[Cluster IKS source],$F724,TblApplications[Action],"À migrer",TblApplications[Mois prov (calc)],"&lt;="&amp;$E724)-SUMIFS(TblApplications[RAM IKS libérable (Go)],TblApplications[Cluster IKS source],$F724,TblApplications[Action],"À décommissionner",TblApplications[Mois lib (calc)],"&lt;="&amp;$E724)))))</f>
        <v/>
      </c>
      <c r="Z724" s="14" t="str">
        <f aca="false">IF($D724&lt;&gt;1,"",IF($AI724=1,0,MAX($J724,ROUNDUP(MAX($X724/$H724,$Y724/$I724),0))))</f>
        <v/>
      </c>
      <c r="AA724" s="84" t="str">
        <f aca="false">IF($D724&lt;&gt;1,"",IF(p_mode="Nœud",$Z724*$K724,$X724*IF($G724="IKS",p_iks_cpu,p_roks_cpu)+$Y724*IF($G724="IKS",p_iks_ram,p_roks_ram))*p_facteur)</f>
        <v/>
      </c>
      <c r="AB724" s="14" t="str">
        <f aca="false">IF($D724&lt;&gt;1,"",MAX($J724,ROUNDUP(MAX($L724/$H724,$M724/$I724),0)))</f>
        <v/>
      </c>
      <c r="AC724" s="84" t="str">
        <f aca="false">IF($D724&lt;&gt;1,"",IF(p_mode="Nœud",$AB724*$K724,$L724*IF($G724="IKS",p_iks_cpu,p_roks_cpu)+$M724*IF($G724="IKS",p_iks_ram,p_roks_ram))*p_facteur)</f>
        <v/>
      </c>
      <c r="AD724" s="14" t="str">
        <f aca="false">IF($D724&lt;&gt;1,"",IF(AND($G724="IKS",$AI724&lt;&gt;1,OR($L724-$P724&lt;$N724,$M724-$Q724&lt;$O724)),1,0))</f>
        <v/>
      </c>
      <c r="AE724" s="14" t="str">
        <f aca="false">IF($D724&lt;&gt;1,"",IF(AND($G724="ROKS",$T724&gt;p_maxworkers),1,0))</f>
        <v/>
      </c>
      <c r="AF724" s="14" t="str">
        <f aca="false">IF($D724&lt;&gt;1,"",IF(INDEX(TblClusters[Environnement],$B724)="","(vide)",INDEX(TblClusters[Environnement],$B724)))</f>
        <v/>
      </c>
      <c r="AG724" s="14" t="str">
        <f aca="false">IF($D724&lt;&gt;1,"",$R724+p_poidsram*$S724)</f>
        <v/>
      </c>
      <c r="AH724" s="14" t="str">
        <f aca="false">IF($D724&lt;&gt;1,"",IFERROR($W724/$AG724,0))</f>
        <v/>
      </c>
      <c r="AI724" s="14" t="str">
        <f aca="false">IF($D724&lt;&gt;1,"",IF(AND($G724="IKS",ISNUMBER(INDEX(TblClusters[Fermeture retenue],$B724))),IF($E724&gt;=INDEX(TblClusters[Fermeture retenue],$B724),1,0),0))</f>
        <v/>
      </c>
    </row>
    <row r="725" customFormat="false" ht="15" hidden="false" customHeight="false" outlineLevel="0" collapsed="false">
      <c r="A725" s="14" t="n">
        <v>720</v>
      </c>
      <c r="B725" s="14" t="n">
        <f aca="false">INT(($A725-1)/36)+1</f>
        <v>20</v>
      </c>
      <c r="C725" s="14" t="n">
        <f aca="false">MOD($A725-1,36)+1</f>
        <v>36</v>
      </c>
      <c r="D725" s="14" t="n">
        <f aca="false">IF($C725&gt;p_horizon,0,IFERROR(IF(AND(INDEX(TblClusters[Cluster],$B725)&lt;&gt;"",ISNUMBER(INDEX(TblClusters[CPU initial (vCPU)],$B725)),ISNUMBER(INDEX(TblClusters[CPU min (vCPU)],$B725)),OR(INDEX(TblClusters[Plateforme],$B725)="IKS",INDEX(TblClusters[Plateforme],$B725)="ROKS")),1,0),0))</f>
        <v>0</v>
      </c>
      <c r="E725" s="83" t="str">
        <f aca="false">IF($D725=1,EDATE(p_debut,$C725-1),"")</f>
        <v/>
      </c>
      <c r="F725" s="14" t="str">
        <f aca="false">IF($D725=1,INDEX(TblClusters[Cluster],$B725),"")</f>
        <v/>
      </c>
      <c r="G725" s="14" t="str">
        <f aca="false">IF($D725=1,INDEX(TblClusters[Plateforme],$B725),"")</f>
        <v/>
      </c>
      <c r="H725" s="14" t="str">
        <f aca="false">IF($D725=1,INDEX(TblClusters[vCPU par nœud],$B725),"")</f>
        <v/>
      </c>
      <c r="I725" s="14" t="str">
        <f aca="false">IF($D725=1,INDEX(TblClusters[RAM par nœud (Go)],$B725),"")</f>
        <v/>
      </c>
      <c r="J725" s="14" t="str">
        <f aca="false">IF($D725=1,INDEX(TblClusters[Workers min],$B725),"")</f>
        <v/>
      </c>
      <c r="K725" s="84" t="str">
        <f aca="false">IF($D725=1,INDEX(TblClusters[Tarif par nœud],$B725),"")</f>
        <v/>
      </c>
      <c r="L725" s="14" t="str">
        <f aca="false">IF($D725=1,INDEX(TblClusters[CPU initial (vCPU)],$B725),"")</f>
        <v/>
      </c>
      <c r="M725" s="14" t="str">
        <f aca="false">IF($D725=1,INDEX(TblClusters[RAM initiale (Go)],$B725),"")</f>
        <v/>
      </c>
      <c r="N725" s="14" t="str">
        <f aca="false">IF($D725=1,INDEX(TblClusters[CPU min (vCPU)],$B725),"")</f>
        <v/>
      </c>
      <c r="O725" s="14" t="str">
        <f aca="false">IF($D725=1,INDEX(TblClusters[RAM min (Go)],$B725),"")</f>
        <v/>
      </c>
      <c r="P725" s="14" t="str">
        <f aca="false">IF($D725&lt;&gt;1,"",IF($G725="ROKS",SUMIFS(TblApplications[Besoin ROKS CPU (vCPU)],TblApplications[Cluster ROKS cible],$F725,TblApplications[Action],"À migrer",TblApplications[Déjà incluse ROKS],"Non",TblApplications[Mois prov (calc)],"&lt;="&amp;$E725),SUMIFS(TblApplications[CPU IKS libérable (vCPU)],TblApplications[Cluster IKS source],$F725,TblApplications[Mois lib (calc)],"&lt;="&amp;$E725)))</f>
        <v/>
      </c>
      <c r="Q725" s="14" t="str">
        <f aca="false">IF($D725&lt;&gt;1,"",IF($G725="ROKS",SUMIFS(TblApplications[Besoin ROKS RAM (Go)],TblApplications[Cluster ROKS cible],$F725,TblApplications[Action],"À migrer",TblApplications[Déjà incluse ROKS],"Non",TblApplications[Mois prov (calc)],"&lt;="&amp;$E725),SUMIFS(TblApplications[RAM IKS libérable (Go)],TblApplications[Cluster IKS source],$F725,TblApplications[Mois lib (calc)],"&lt;="&amp;$E725)))</f>
        <v/>
      </c>
      <c r="R725" s="14" t="str">
        <f aca="false">IF($D725&lt;&gt;1,"",IF($G725="ROKS",$L725+$P725,IF($AI725=1,0,MAX($N725,$L725-$P725))))</f>
        <v/>
      </c>
      <c r="S725" s="14" t="str">
        <f aca="false">IF($D725&lt;&gt;1,"",IF($G725="ROKS",$M725+$Q725,IF($AI725=1,0,MAX($O725,$M725-$Q725))))</f>
        <v/>
      </c>
      <c r="T725" s="14" t="str">
        <f aca="false">IF($D725&lt;&gt;1,"",IF($AI725=1,0,MAX($J725,ROUNDUP(MAX($R725/$H725,$S725/$I725),0))))</f>
        <v/>
      </c>
      <c r="U725" s="14" t="str">
        <f aca="false">IF($D725&lt;&gt;1,"",IF(p_mode="Nœud",$T725*$H725,$R725))</f>
        <v/>
      </c>
      <c r="V725" s="14" t="str">
        <f aca="false">IF($D725&lt;&gt;1,"",IF(p_mode="Nœud",$T725*$I725,$S725))</f>
        <v/>
      </c>
      <c r="W725" s="84" t="str">
        <f aca="false">IF($D725&lt;&gt;1,"",IF(p_mode="Nœud",$T725*$K725,$R725*IF($G725="IKS",p_iks_cpu,p_roks_cpu)+$S725*IF($G725="IKS",p_iks_ram,p_roks_ram))*p_facteur)</f>
        <v/>
      </c>
      <c r="X725" s="14" t="str">
        <f aca="false">IF($D725&lt;&gt;1,"",IF($G725="ROKS",$R725,IF($AI725=1,0,MAX($N725,$L725-SUMIFS(TblApplications[CPU IKS libérable (vCPU)],TblApplications[Cluster IKS source],$F725,TblApplications[Action],"À migrer",TblApplications[Mois prov (calc)],"&lt;="&amp;$E725)-SUMIFS(TblApplications[CPU IKS libérable (vCPU)],TblApplications[Cluster IKS source],$F725,TblApplications[Action],"À décommissionner",TblApplications[Mois lib (calc)],"&lt;="&amp;$E725)))))</f>
        <v/>
      </c>
      <c r="Y725" s="14" t="str">
        <f aca="false">IF($D725&lt;&gt;1,"",IF($G725="ROKS",$S725,IF($AI725=1,0,MAX($O725,$M725-SUMIFS(TblApplications[RAM IKS libérable (Go)],TblApplications[Cluster IKS source],$F725,TblApplications[Action],"À migrer",TblApplications[Mois prov (calc)],"&lt;="&amp;$E725)-SUMIFS(TblApplications[RAM IKS libérable (Go)],TblApplications[Cluster IKS source],$F725,TblApplications[Action],"À décommissionner",TblApplications[Mois lib (calc)],"&lt;="&amp;$E725)))))</f>
        <v/>
      </c>
      <c r="Z725" s="14" t="str">
        <f aca="false">IF($D725&lt;&gt;1,"",IF($AI725=1,0,MAX($J725,ROUNDUP(MAX($X725/$H725,$Y725/$I725),0))))</f>
        <v/>
      </c>
      <c r="AA725" s="84" t="str">
        <f aca="false">IF($D725&lt;&gt;1,"",IF(p_mode="Nœud",$Z725*$K725,$X725*IF($G725="IKS",p_iks_cpu,p_roks_cpu)+$Y725*IF($G725="IKS",p_iks_ram,p_roks_ram))*p_facteur)</f>
        <v/>
      </c>
      <c r="AB725" s="14" t="str">
        <f aca="false">IF($D725&lt;&gt;1,"",MAX($J725,ROUNDUP(MAX($L725/$H725,$M725/$I725),0)))</f>
        <v/>
      </c>
      <c r="AC725" s="84" t="str">
        <f aca="false">IF($D725&lt;&gt;1,"",IF(p_mode="Nœud",$AB725*$K725,$L725*IF($G725="IKS",p_iks_cpu,p_roks_cpu)+$M725*IF($G725="IKS",p_iks_ram,p_roks_ram))*p_facteur)</f>
        <v/>
      </c>
      <c r="AD725" s="14" t="str">
        <f aca="false">IF($D725&lt;&gt;1,"",IF(AND($G725="IKS",$AI725&lt;&gt;1,OR($L725-$P725&lt;$N725,$M725-$Q725&lt;$O725)),1,0))</f>
        <v/>
      </c>
      <c r="AE725" s="14" t="str">
        <f aca="false">IF($D725&lt;&gt;1,"",IF(AND($G725="ROKS",$T725&gt;p_maxworkers),1,0))</f>
        <v/>
      </c>
      <c r="AF725" s="14" t="str">
        <f aca="false">IF($D725&lt;&gt;1,"",IF(INDEX(TblClusters[Environnement],$B725)="","(vide)",INDEX(TblClusters[Environnement],$B725)))</f>
        <v/>
      </c>
      <c r="AG725" s="14" t="str">
        <f aca="false">IF($D725&lt;&gt;1,"",$R725+p_poidsram*$S725)</f>
        <v/>
      </c>
      <c r="AH725" s="14" t="str">
        <f aca="false">IF($D725&lt;&gt;1,"",IFERROR($W725/$AG725,0))</f>
        <v/>
      </c>
      <c r="AI725" s="14" t="str">
        <f aca="false">IF($D725&lt;&gt;1,"",IF(AND($G725="IKS",ISNUMBER(INDEX(TblClusters[Fermeture retenue],$B725))),IF($E725&gt;=INDEX(TblClusters[Fermeture retenue],$B725),1,0),0))</f>
        <v/>
      </c>
    </row>
    <row r="726" customFormat="false" ht="15" hidden="false" customHeight="false" outlineLevel="0" collapsed="false">
      <c r="A726" s="14" t="n">
        <v>721</v>
      </c>
      <c r="B726" s="14" t="n">
        <f aca="false">INT(($A726-1)/36)+1</f>
        <v>21</v>
      </c>
      <c r="C726" s="14" t="n">
        <f aca="false">MOD($A726-1,36)+1</f>
        <v>1</v>
      </c>
      <c r="D726" s="14" t="n">
        <f aca="false">IF($C726&gt;p_horizon,0,IFERROR(IF(AND(INDEX(TblClusters[Cluster],$B726)&lt;&gt;"",ISNUMBER(INDEX(TblClusters[CPU initial (vCPU)],$B726)),ISNUMBER(INDEX(TblClusters[CPU min (vCPU)],$B726)),OR(INDEX(TblClusters[Plateforme],$B726)="IKS",INDEX(TblClusters[Plateforme],$B726)="ROKS")),1,0),0))</f>
        <v>0</v>
      </c>
      <c r="E726" s="83" t="str">
        <f aca="false">IF($D726=1,EDATE(p_debut,$C726-1),"")</f>
        <v/>
      </c>
      <c r="F726" s="14" t="str">
        <f aca="false">IF($D726=1,INDEX(TblClusters[Cluster],$B726),"")</f>
        <v/>
      </c>
      <c r="G726" s="14" t="str">
        <f aca="false">IF($D726=1,INDEX(TblClusters[Plateforme],$B726),"")</f>
        <v/>
      </c>
      <c r="H726" s="14" t="str">
        <f aca="false">IF($D726=1,INDEX(TblClusters[vCPU par nœud],$B726),"")</f>
        <v/>
      </c>
      <c r="I726" s="14" t="str">
        <f aca="false">IF($D726=1,INDEX(TblClusters[RAM par nœud (Go)],$B726),"")</f>
        <v/>
      </c>
      <c r="J726" s="14" t="str">
        <f aca="false">IF($D726=1,INDEX(TblClusters[Workers min],$B726),"")</f>
        <v/>
      </c>
      <c r="K726" s="84" t="str">
        <f aca="false">IF($D726=1,INDEX(TblClusters[Tarif par nœud],$B726),"")</f>
        <v/>
      </c>
      <c r="L726" s="14" t="str">
        <f aca="false">IF($D726=1,INDEX(TblClusters[CPU initial (vCPU)],$B726),"")</f>
        <v/>
      </c>
      <c r="M726" s="14" t="str">
        <f aca="false">IF($D726=1,INDEX(TblClusters[RAM initiale (Go)],$B726),"")</f>
        <v/>
      </c>
      <c r="N726" s="14" t="str">
        <f aca="false">IF($D726=1,INDEX(TblClusters[CPU min (vCPU)],$B726),"")</f>
        <v/>
      </c>
      <c r="O726" s="14" t="str">
        <f aca="false">IF($D726=1,INDEX(TblClusters[RAM min (Go)],$B726),"")</f>
        <v/>
      </c>
      <c r="P726" s="14" t="str">
        <f aca="false">IF($D726&lt;&gt;1,"",IF($G726="ROKS",SUMIFS(TblApplications[Besoin ROKS CPU (vCPU)],TblApplications[Cluster ROKS cible],$F726,TblApplications[Action],"À migrer",TblApplications[Déjà incluse ROKS],"Non",TblApplications[Mois prov (calc)],"&lt;="&amp;$E726),SUMIFS(TblApplications[CPU IKS libérable (vCPU)],TblApplications[Cluster IKS source],$F726,TblApplications[Mois lib (calc)],"&lt;="&amp;$E726)))</f>
        <v/>
      </c>
      <c r="Q726" s="14" t="str">
        <f aca="false">IF($D726&lt;&gt;1,"",IF($G726="ROKS",SUMIFS(TblApplications[Besoin ROKS RAM (Go)],TblApplications[Cluster ROKS cible],$F726,TblApplications[Action],"À migrer",TblApplications[Déjà incluse ROKS],"Non",TblApplications[Mois prov (calc)],"&lt;="&amp;$E726),SUMIFS(TblApplications[RAM IKS libérable (Go)],TblApplications[Cluster IKS source],$F726,TblApplications[Mois lib (calc)],"&lt;="&amp;$E726)))</f>
        <v/>
      </c>
      <c r="R726" s="14" t="str">
        <f aca="false">IF($D726&lt;&gt;1,"",IF($G726="ROKS",$L726+$P726,IF($AI726=1,0,MAX($N726,$L726-$P726))))</f>
        <v/>
      </c>
      <c r="S726" s="14" t="str">
        <f aca="false">IF($D726&lt;&gt;1,"",IF($G726="ROKS",$M726+$Q726,IF($AI726=1,0,MAX($O726,$M726-$Q726))))</f>
        <v/>
      </c>
      <c r="T726" s="14" t="str">
        <f aca="false">IF($D726&lt;&gt;1,"",IF($AI726=1,0,MAX($J726,ROUNDUP(MAX($R726/$H726,$S726/$I726),0))))</f>
        <v/>
      </c>
      <c r="U726" s="14" t="str">
        <f aca="false">IF($D726&lt;&gt;1,"",IF(p_mode="Nœud",$T726*$H726,$R726))</f>
        <v/>
      </c>
      <c r="V726" s="14" t="str">
        <f aca="false">IF($D726&lt;&gt;1,"",IF(p_mode="Nœud",$T726*$I726,$S726))</f>
        <v/>
      </c>
      <c r="W726" s="84" t="str">
        <f aca="false">IF($D726&lt;&gt;1,"",IF(p_mode="Nœud",$T726*$K726,$R726*IF($G726="IKS",p_iks_cpu,p_roks_cpu)+$S726*IF($G726="IKS",p_iks_ram,p_roks_ram))*p_facteur)</f>
        <v/>
      </c>
      <c r="X726" s="14" t="str">
        <f aca="false">IF($D726&lt;&gt;1,"",IF($G726="ROKS",$R726,IF($AI726=1,0,MAX($N726,$L726-SUMIFS(TblApplications[CPU IKS libérable (vCPU)],TblApplications[Cluster IKS source],$F726,TblApplications[Action],"À migrer",TblApplications[Mois prov (calc)],"&lt;="&amp;$E726)-SUMIFS(TblApplications[CPU IKS libérable (vCPU)],TblApplications[Cluster IKS source],$F726,TblApplications[Action],"À décommissionner",TblApplications[Mois lib (calc)],"&lt;="&amp;$E726)))))</f>
        <v/>
      </c>
      <c r="Y726" s="14" t="str">
        <f aca="false">IF($D726&lt;&gt;1,"",IF($G726="ROKS",$S726,IF($AI726=1,0,MAX($O726,$M726-SUMIFS(TblApplications[RAM IKS libérable (Go)],TblApplications[Cluster IKS source],$F726,TblApplications[Action],"À migrer",TblApplications[Mois prov (calc)],"&lt;="&amp;$E726)-SUMIFS(TblApplications[RAM IKS libérable (Go)],TblApplications[Cluster IKS source],$F726,TblApplications[Action],"À décommissionner",TblApplications[Mois lib (calc)],"&lt;="&amp;$E726)))))</f>
        <v/>
      </c>
      <c r="Z726" s="14" t="str">
        <f aca="false">IF($D726&lt;&gt;1,"",IF($AI726=1,0,MAX($J726,ROUNDUP(MAX($X726/$H726,$Y726/$I726),0))))</f>
        <v/>
      </c>
      <c r="AA726" s="84" t="str">
        <f aca="false">IF($D726&lt;&gt;1,"",IF(p_mode="Nœud",$Z726*$K726,$X726*IF($G726="IKS",p_iks_cpu,p_roks_cpu)+$Y726*IF($G726="IKS",p_iks_ram,p_roks_ram))*p_facteur)</f>
        <v/>
      </c>
      <c r="AB726" s="14" t="str">
        <f aca="false">IF($D726&lt;&gt;1,"",MAX($J726,ROUNDUP(MAX($L726/$H726,$M726/$I726),0)))</f>
        <v/>
      </c>
      <c r="AC726" s="84" t="str">
        <f aca="false">IF($D726&lt;&gt;1,"",IF(p_mode="Nœud",$AB726*$K726,$L726*IF($G726="IKS",p_iks_cpu,p_roks_cpu)+$M726*IF($G726="IKS",p_iks_ram,p_roks_ram))*p_facteur)</f>
        <v/>
      </c>
      <c r="AD726" s="14" t="str">
        <f aca="false">IF($D726&lt;&gt;1,"",IF(AND($G726="IKS",$AI726&lt;&gt;1,OR($L726-$P726&lt;$N726,$M726-$Q726&lt;$O726)),1,0))</f>
        <v/>
      </c>
      <c r="AE726" s="14" t="str">
        <f aca="false">IF($D726&lt;&gt;1,"",IF(AND($G726="ROKS",$T726&gt;p_maxworkers),1,0))</f>
        <v/>
      </c>
      <c r="AF726" s="14" t="str">
        <f aca="false">IF($D726&lt;&gt;1,"",IF(INDEX(TblClusters[Environnement],$B726)="","(vide)",INDEX(TblClusters[Environnement],$B726)))</f>
        <v/>
      </c>
      <c r="AG726" s="14" t="str">
        <f aca="false">IF($D726&lt;&gt;1,"",$R726+p_poidsram*$S726)</f>
        <v/>
      </c>
      <c r="AH726" s="14" t="str">
        <f aca="false">IF($D726&lt;&gt;1,"",IFERROR($W726/$AG726,0))</f>
        <v/>
      </c>
      <c r="AI726" s="14" t="str">
        <f aca="false">IF($D726&lt;&gt;1,"",IF(AND($G726="IKS",ISNUMBER(INDEX(TblClusters[Fermeture retenue],$B726))),IF($E726&gt;=INDEX(TblClusters[Fermeture retenue],$B726),1,0),0))</f>
        <v/>
      </c>
    </row>
    <row r="727" customFormat="false" ht="15" hidden="false" customHeight="false" outlineLevel="0" collapsed="false">
      <c r="A727" s="14" t="n">
        <v>722</v>
      </c>
      <c r="B727" s="14" t="n">
        <f aca="false">INT(($A727-1)/36)+1</f>
        <v>21</v>
      </c>
      <c r="C727" s="14" t="n">
        <f aca="false">MOD($A727-1,36)+1</f>
        <v>2</v>
      </c>
      <c r="D727" s="14" t="n">
        <f aca="false">IF($C727&gt;p_horizon,0,IFERROR(IF(AND(INDEX(TblClusters[Cluster],$B727)&lt;&gt;"",ISNUMBER(INDEX(TblClusters[CPU initial (vCPU)],$B727)),ISNUMBER(INDEX(TblClusters[CPU min (vCPU)],$B727)),OR(INDEX(TblClusters[Plateforme],$B727)="IKS",INDEX(TblClusters[Plateforme],$B727)="ROKS")),1,0),0))</f>
        <v>0</v>
      </c>
      <c r="E727" s="83" t="str">
        <f aca="false">IF($D727=1,EDATE(p_debut,$C727-1),"")</f>
        <v/>
      </c>
      <c r="F727" s="14" t="str">
        <f aca="false">IF($D727=1,INDEX(TblClusters[Cluster],$B727),"")</f>
        <v/>
      </c>
      <c r="G727" s="14" t="str">
        <f aca="false">IF($D727=1,INDEX(TblClusters[Plateforme],$B727),"")</f>
        <v/>
      </c>
      <c r="H727" s="14" t="str">
        <f aca="false">IF($D727=1,INDEX(TblClusters[vCPU par nœud],$B727),"")</f>
        <v/>
      </c>
      <c r="I727" s="14" t="str">
        <f aca="false">IF($D727=1,INDEX(TblClusters[RAM par nœud (Go)],$B727),"")</f>
        <v/>
      </c>
      <c r="J727" s="14" t="str">
        <f aca="false">IF($D727=1,INDEX(TblClusters[Workers min],$B727),"")</f>
        <v/>
      </c>
      <c r="K727" s="84" t="str">
        <f aca="false">IF($D727=1,INDEX(TblClusters[Tarif par nœud],$B727),"")</f>
        <v/>
      </c>
      <c r="L727" s="14" t="str">
        <f aca="false">IF($D727=1,INDEX(TblClusters[CPU initial (vCPU)],$B727),"")</f>
        <v/>
      </c>
      <c r="M727" s="14" t="str">
        <f aca="false">IF($D727=1,INDEX(TblClusters[RAM initiale (Go)],$B727),"")</f>
        <v/>
      </c>
      <c r="N727" s="14" t="str">
        <f aca="false">IF($D727=1,INDEX(TblClusters[CPU min (vCPU)],$B727),"")</f>
        <v/>
      </c>
      <c r="O727" s="14" t="str">
        <f aca="false">IF($D727=1,INDEX(TblClusters[RAM min (Go)],$B727),"")</f>
        <v/>
      </c>
      <c r="P727" s="14" t="str">
        <f aca="false">IF($D727&lt;&gt;1,"",IF($G727="ROKS",SUMIFS(TblApplications[Besoin ROKS CPU (vCPU)],TblApplications[Cluster ROKS cible],$F727,TblApplications[Action],"À migrer",TblApplications[Déjà incluse ROKS],"Non",TblApplications[Mois prov (calc)],"&lt;="&amp;$E727),SUMIFS(TblApplications[CPU IKS libérable (vCPU)],TblApplications[Cluster IKS source],$F727,TblApplications[Mois lib (calc)],"&lt;="&amp;$E727)))</f>
        <v/>
      </c>
      <c r="Q727" s="14" t="str">
        <f aca="false">IF($D727&lt;&gt;1,"",IF($G727="ROKS",SUMIFS(TblApplications[Besoin ROKS RAM (Go)],TblApplications[Cluster ROKS cible],$F727,TblApplications[Action],"À migrer",TblApplications[Déjà incluse ROKS],"Non",TblApplications[Mois prov (calc)],"&lt;="&amp;$E727),SUMIFS(TblApplications[RAM IKS libérable (Go)],TblApplications[Cluster IKS source],$F727,TblApplications[Mois lib (calc)],"&lt;="&amp;$E727)))</f>
        <v/>
      </c>
      <c r="R727" s="14" t="str">
        <f aca="false">IF($D727&lt;&gt;1,"",IF($G727="ROKS",$L727+$P727,IF($AI727=1,0,MAX($N727,$L727-$P727))))</f>
        <v/>
      </c>
      <c r="S727" s="14" t="str">
        <f aca="false">IF($D727&lt;&gt;1,"",IF($G727="ROKS",$M727+$Q727,IF($AI727=1,0,MAX($O727,$M727-$Q727))))</f>
        <v/>
      </c>
      <c r="T727" s="14" t="str">
        <f aca="false">IF($D727&lt;&gt;1,"",IF($AI727=1,0,MAX($J727,ROUNDUP(MAX($R727/$H727,$S727/$I727),0))))</f>
        <v/>
      </c>
      <c r="U727" s="14" t="str">
        <f aca="false">IF($D727&lt;&gt;1,"",IF(p_mode="Nœud",$T727*$H727,$R727))</f>
        <v/>
      </c>
      <c r="V727" s="14" t="str">
        <f aca="false">IF($D727&lt;&gt;1,"",IF(p_mode="Nœud",$T727*$I727,$S727))</f>
        <v/>
      </c>
      <c r="W727" s="84" t="str">
        <f aca="false">IF($D727&lt;&gt;1,"",IF(p_mode="Nœud",$T727*$K727,$R727*IF($G727="IKS",p_iks_cpu,p_roks_cpu)+$S727*IF($G727="IKS",p_iks_ram,p_roks_ram))*p_facteur)</f>
        <v/>
      </c>
      <c r="X727" s="14" t="str">
        <f aca="false">IF($D727&lt;&gt;1,"",IF($G727="ROKS",$R727,IF($AI727=1,0,MAX($N727,$L727-SUMIFS(TblApplications[CPU IKS libérable (vCPU)],TblApplications[Cluster IKS source],$F727,TblApplications[Action],"À migrer",TblApplications[Mois prov (calc)],"&lt;="&amp;$E727)-SUMIFS(TblApplications[CPU IKS libérable (vCPU)],TblApplications[Cluster IKS source],$F727,TblApplications[Action],"À décommissionner",TblApplications[Mois lib (calc)],"&lt;="&amp;$E727)))))</f>
        <v/>
      </c>
      <c r="Y727" s="14" t="str">
        <f aca="false">IF($D727&lt;&gt;1,"",IF($G727="ROKS",$S727,IF($AI727=1,0,MAX($O727,$M727-SUMIFS(TblApplications[RAM IKS libérable (Go)],TblApplications[Cluster IKS source],$F727,TblApplications[Action],"À migrer",TblApplications[Mois prov (calc)],"&lt;="&amp;$E727)-SUMIFS(TblApplications[RAM IKS libérable (Go)],TblApplications[Cluster IKS source],$F727,TblApplications[Action],"À décommissionner",TblApplications[Mois lib (calc)],"&lt;="&amp;$E727)))))</f>
        <v/>
      </c>
      <c r="Z727" s="14" t="str">
        <f aca="false">IF($D727&lt;&gt;1,"",IF($AI727=1,0,MAX($J727,ROUNDUP(MAX($X727/$H727,$Y727/$I727),0))))</f>
        <v/>
      </c>
      <c r="AA727" s="84" t="str">
        <f aca="false">IF($D727&lt;&gt;1,"",IF(p_mode="Nœud",$Z727*$K727,$X727*IF($G727="IKS",p_iks_cpu,p_roks_cpu)+$Y727*IF($G727="IKS",p_iks_ram,p_roks_ram))*p_facteur)</f>
        <v/>
      </c>
      <c r="AB727" s="14" t="str">
        <f aca="false">IF($D727&lt;&gt;1,"",MAX($J727,ROUNDUP(MAX($L727/$H727,$M727/$I727),0)))</f>
        <v/>
      </c>
      <c r="AC727" s="84" t="str">
        <f aca="false">IF($D727&lt;&gt;1,"",IF(p_mode="Nœud",$AB727*$K727,$L727*IF($G727="IKS",p_iks_cpu,p_roks_cpu)+$M727*IF($G727="IKS",p_iks_ram,p_roks_ram))*p_facteur)</f>
        <v/>
      </c>
      <c r="AD727" s="14" t="str">
        <f aca="false">IF($D727&lt;&gt;1,"",IF(AND($G727="IKS",$AI727&lt;&gt;1,OR($L727-$P727&lt;$N727,$M727-$Q727&lt;$O727)),1,0))</f>
        <v/>
      </c>
      <c r="AE727" s="14" t="str">
        <f aca="false">IF($D727&lt;&gt;1,"",IF(AND($G727="ROKS",$T727&gt;p_maxworkers),1,0))</f>
        <v/>
      </c>
      <c r="AF727" s="14" t="str">
        <f aca="false">IF($D727&lt;&gt;1,"",IF(INDEX(TblClusters[Environnement],$B727)="","(vide)",INDEX(TblClusters[Environnement],$B727)))</f>
        <v/>
      </c>
      <c r="AG727" s="14" t="str">
        <f aca="false">IF($D727&lt;&gt;1,"",$R727+p_poidsram*$S727)</f>
        <v/>
      </c>
      <c r="AH727" s="14" t="str">
        <f aca="false">IF($D727&lt;&gt;1,"",IFERROR($W727/$AG727,0))</f>
        <v/>
      </c>
      <c r="AI727" s="14" t="str">
        <f aca="false">IF($D727&lt;&gt;1,"",IF(AND($G727="IKS",ISNUMBER(INDEX(TblClusters[Fermeture retenue],$B727))),IF($E727&gt;=INDEX(TblClusters[Fermeture retenue],$B727),1,0),0))</f>
        <v/>
      </c>
    </row>
    <row r="728" customFormat="false" ht="15" hidden="false" customHeight="false" outlineLevel="0" collapsed="false">
      <c r="A728" s="14" t="n">
        <v>723</v>
      </c>
      <c r="B728" s="14" t="n">
        <f aca="false">INT(($A728-1)/36)+1</f>
        <v>21</v>
      </c>
      <c r="C728" s="14" t="n">
        <f aca="false">MOD($A728-1,36)+1</f>
        <v>3</v>
      </c>
      <c r="D728" s="14" t="n">
        <f aca="false">IF($C728&gt;p_horizon,0,IFERROR(IF(AND(INDEX(TblClusters[Cluster],$B728)&lt;&gt;"",ISNUMBER(INDEX(TblClusters[CPU initial (vCPU)],$B728)),ISNUMBER(INDEX(TblClusters[CPU min (vCPU)],$B728)),OR(INDEX(TblClusters[Plateforme],$B728)="IKS",INDEX(TblClusters[Plateforme],$B728)="ROKS")),1,0),0))</f>
        <v>0</v>
      </c>
      <c r="E728" s="83" t="str">
        <f aca="false">IF($D728=1,EDATE(p_debut,$C728-1),"")</f>
        <v/>
      </c>
      <c r="F728" s="14" t="str">
        <f aca="false">IF($D728=1,INDEX(TblClusters[Cluster],$B728),"")</f>
        <v/>
      </c>
      <c r="G728" s="14" t="str">
        <f aca="false">IF($D728=1,INDEX(TblClusters[Plateforme],$B728),"")</f>
        <v/>
      </c>
      <c r="H728" s="14" t="str">
        <f aca="false">IF($D728=1,INDEX(TblClusters[vCPU par nœud],$B728),"")</f>
        <v/>
      </c>
      <c r="I728" s="14" t="str">
        <f aca="false">IF($D728=1,INDEX(TblClusters[RAM par nœud (Go)],$B728),"")</f>
        <v/>
      </c>
      <c r="J728" s="14" t="str">
        <f aca="false">IF($D728=1,INDEX(TblClusters[Workers min],$B728),"")</f>
        <v/>
      </c>
      <c r="K728" s="84" t="str">
        <f aca="false">IF($D728=1,INDEX(TblClusters[Tarif par nœud],$B728),"")</f>
        <v/>
      </c>
      <c r="L728" s="14" t="str">
        <f aca="false">IF($D728=1,INDEX(TblClusters[CPU initial (vCPU)],$B728),"")</f>
        <v/>
      </c>
      <c r="M728" s="14" t="str">
        <f aca="false">IF($D728=1,INDEX(TblClusters[RAM initiale (Go)],$B728),"")</f>
        <v/>
      </c>
      <c r="N728" s="14" t="str">
        <f aca="false">IF($D728=1,INDEX(TblClusters[CPU min (vCPU)],$B728),"")</f>
        <v/>
      </c>
      <c r="O728" s="14" t="str">
        <f aca="false">IF($D728=1,INDEX(TblClusters[RAM min (Go)],$B728),"")</f>
        <v/>
      </c>
      <c r="P728" s="14" t="str">
        <f aca="false">IF($D728&lt;&gt;1,"",IF($G728="ROKS",SUMIFS(TblApplications[Besoin ROKS CPU (vCPU)],TblApplications[Cluster ROKS cible],$F728,TblApplications[Action],"À migrer",TblApplications[Déjà incluse ROKS],"Non",TblApplications[Mois prov (calc)],"&lt;="&amp;$E728),SUMIFS(TblApplications[CPU IKS libérable (vCPU)],TblApplications[Cluster IKS source],$F728,TblApplications[Mois lib (calc)],"&lt;="&amp;$E728)))</f>
        <v/>
      </c>
      <c r="Q728" s="14" t="str">
        <f aca="false">IF($D728&lt;&gt;1,"",IF($G728="ROKS",SUMIFS(TblApplications[Besoin ROKS RAM (Go)],TblApplications[Cluster ROKS cible],$F728,TblApplications[Action],"À migrer",TblApplications[Déjà incluse ROKS],"Non",TblApplications[Mois prov (calc)],"&lt;="&amp;$E728),SUMIFS(TblApplications[RAM IKS libérable (Go)],TblApplications[Cluster IKS source],$F728,TblApplications[Mois lib (calc)],"&lt;="&amp;$E728)))</f>
        <v/>
      </c>
      <c r="R728" s="14" t="str">
        <f aca="false">IF($D728&lt;&gt;1,"",IF($G728="ROKS",$L728+$P728,IF($AI728=1,0,MAX($N728,$L728-$P728))))</f>
        <v/>
      </c>
      <c r="S728" s="14" t="str">
        <f aca="false">IF($D728&lt;&gt;1,"",IF($G728="ROKS",$M728+$Q728,IF($AI728=1,0,MAX($O728,$M728-$Q728))))</f>
        <v/>
      </c>
      <c r="T728" s="14" t="str">
        <f aca="false">IF($D728&lt;&gt;1,"",IF($AI728=1,0,MAX($J728,ROUNDUP(MAX($R728/$H728,$S728/$I728),0))))</f>
        <v/>
      </c>
      <c r="U728" s="14" t="str">
        <f aca="false">IF($D728&lt;&gt;1,"",IF(p_mode="Nœud",$T728*$H728,$R728))</f>
        <v/>
      </c>
      <c r="V728" s="14" t="str">
        <f aca="false">IF($D728&lt;&gt;1,"",IF(p_mode="Nœud",$T728*$I728,$S728))</f>
        <v/>
      </c>
      <c r="W728" s="84" t="str">
        <f aca="false">IF($D728&lt;&gt;1,"",IF(p_mode="Nœud",$T728*$K728,$R728*IF($G728="IKS",p_iks_cpu,p_roks_cpu)+$S728*IF($G728="IKS",p_iks_ram,p_roks_ram))*p_facteur)</f>
        <v/>
      </c>
      <c r="X728" s="14" t="str">
        <f aca="false">IF($D728&lt;&gt;1,"",IF($G728="ROKS",$R728,IF($AI728=1,0,MAX($N728,$L728-SUMIFS(TblApplications[CPU IKS libérable (vCPU)],TblApplications[Cluster IKS source],$F728,TblApplications[Action],"À migrer",TblApplications[Mois prov (calc)],"&lt;="&amp;$E728)-SUMIFS(TblApplications[CPU IKS libérable (vCPU)],TblApplications[Cluster IKS source],$F728,TblApplications[Action],"À décommissionner",TblApplications[Mois lib (calc)],"&lt;="&amp;$E728)))))</f>
        <v/>
      </c>
      <c r="Y728" s="14" t="str">
        <f aca="false">IF($D728&lt;&gt;1,"",IF($G728="ROKS",$S728,IF($AI728=1,0,MAX($O728,$M728-SUMIFS(TblApplications[RAM IKS libérable (Go)],TblApplications[Cluster IKS source],$F728,TblApplications[Action],"À migrer",TblApplications[Mois prov (calc)],"&lt;="&amp;$E728)-SUMIFS(TblApplications[RAM IKS libérable (Go)],TblApplications[Cluster IKS source],$F728,TblApplications[Action],"À décommissionner",TblApplications[Mois lib (calc)],"&lt;="&amp;$E728)))))</f>
        <v/>
      </c>
      <c r="Z728" s="14" t="str">
        <f aca="false">IF($D728&lt;&gt;1,"",IF($AI728=1,0,MAX($J728,ROUNDUP(MAX($X728/$H728,$Y728/$I728),0))))</f>
        <v/>
      </c>
      <c r="AA728" s="84" t="str">
        <f aca="false">IF($D728&lt;&gt;1,"",IF(p_mode="Nœud",$Z728*$K728,$X728*IF($G728="IKS",p_iks_cpu,p_roks_cpu)+$Y728*IF($G728="IKS",p_iks_ram,p_roks_ram))*p_facteur)</f>
        <v/>
      </c>
      <c r="AB728" s="14" t="str">
        <f aca="false">IF($D728&lt;&gt;1,"",MAX($J728,ROUNDUP(MAX($L728/$H728,$M728/$I728),0)))</f>
        <v/>
      </c>
      <c r="AC728" s="84" t="str">
        <f aca="false">IF($D728&lt;&gt;1,"",IF(p_mode="Nœud",$AB728*$K728,$L728*IF($G728="IKS",p_iks_cpu,p_roks_cpu)+$M728*IF($G728="IKS",p_iks_ram,p_roks_ram))*p_facteur)</f>
        <v/>
      </c>
      <c r="AD728" s="14" t="str">
        <f aca="false">IF($D728&lt;&gt;1,"",IF(AND($G728="IKS",$AI728&lt;&gt;1,OR($L728-$P728&lt;$N728,$M728-$Q728&lt;$O728)),1,0))</f>
        <v/>
      </c>
      <c r="AE728" s="14" t="str">
        <f aca="false">IF($D728&lt;&gt;1,"",IF(AND($G728="ROKS",$T728&gt;p_maxworkers),1,0))</f>
        <v/>
      </c>
      <c r="AF728" s="14" t="str">
        <f aca="false">IF($D728&lt;&gt;1,"",IF(INDEX(TblClusters[Environnement],$B728)="","(vide)",INDEX(TblClusters[Environnement],$B728)))</f>
        <v/>
      </c>
      <c r="AG728" s="14" t="str">
        <f aca="false">IF($D728&lt;&gt;1,"",$R728+p_poidsram*$S728)</f>
        <v/>
      </c>
      <c r="AH728" s="14" t="str">
        <f aca="false">IF($D728&lt;&gt;1,"",IFERROR($W728/$AG728,0))</f>
        <v/>
      </c>
      <c r="AI728" s="14" t="str">
        <f aca="false">IF($D728&lt;&gt;1,"",IF(AND($G728="IKS",ISNUMBER(INDEX(TblClusters[Fermeture retenue],$B728))),IF($E728&gt;=INDEX(TblClusters[Fermeture retenue],$B728),1,0),0))</f>
        <v/>
      </c>
    </row>
    <row r="729" customFormat="false" ht="15" hidden="false" customHeight="false" outlineLevel="0" collapsed="false">
      <c r="A729" s="14" t="n">
        <v>724</v>
      </c>
      <c r="B729" s="14" t="n">
        <f aca="false">INT(($A729-1)/36)+1</f>
        <v>21</v>
      </c>
      <c r="C729" s="14" t="n">
        <f aca="false">MOD($A729-1,36)+1</f>
        <v>4</v>
      </c>
      <c r="D729" s="14" t="n">
        <f aca="false">IF($C729&gt;p_horizon,0,IFERROR(IF(AND(INDEX(TblClusters[Cluster],$B729)&lt;&gt;"",ISNUMBER(INDEX(TblClusters[CPU initial (vCPU)],$B729)),ISNUMBER(INDEX(TblClusters[CPU min (vCPU)],$B729)),OR(INDEX(TblClusters[Plateforme],$B729)="IKS",INDEX(TblClusters[Plateforme],$B729)="ROKS")),1,0),0))</f>
        <v>0</v>
      </c>
      <c r="E729" s="83" t="str">
        <f aca="false">IF($D729=1,EDATE(p_debut,$C729-1),"")</f>
        <v/>
      </c>
      <c r="F729" s="14" t="str">
        <f aca="false">IF($D729=1,INDEX(TblClusters[Cluster],$B729),"")</f>
        <v/>
      </c>
      <c r="G729" s="14" t="str">
        <f aca="false">IF($D729=1,INDEX(TblClusters[Plateforme],$B729),"")</f>
        <v/>
      </c>
      <c r="H729" s="14" t="str">
        <f aca="false">IF($D729=1,INDEX(TblClusters[vCPU par nœud],$B729),"")</f>
        <v/>
      </c>
      <c r="I729" s="14" t="str">
        <f aca="false">IF($D729=1,INDEX(TblClusters[RAM par nœud (Go)],$B729),"")</f>
        <v/>
      </c>
      <c r="J729" s="14" t="str">
        <f aca="false">IF($D729=1,INDEX(TblClusters[Workers min],$B729),"")</f>
        <v/>
      </c>
      <c r="K729" s="84" t="str">
        <f aca="false">IF($D729=1,INDEX(TblClusters[Tarif par nœud],$B729),"")</f>
        <v/>
      </c>
      <c r="L729" s="14" t="str">
        <f aca="false">IF($D729=1,INDEX(TblClusters[CPU initial (vCPU)],$B729),"")</f>
        <v/>
      </c>
      <c r="M729" s="14" t="str">
        <f aca="false">IF($D729=1,INDEX(TblClusters[RAM initiale (Go)],$B729),"")</f>
        <v/>
      </c>
      <c r="N729" s="14" t="str">
        <f aca="false">IF($D729=1,INDEX(TblClusters[CPU min (vCPU)],$B729),"")</f>
        <v/>
      </c>
      <c r="O729" s="14" t="str">
        <f aca="false">IF($D729=1,INDEX(TblClusters[RAM min (Go)],$B729),"")</f>
        <v/>
      </c>
      <c r="P729" s="14" t="str">
        <f aca="false">IF($D729&lt;&gt;1,"",IF($G729="ROKS",SUMIFS(TblApplications[Besoin ROKS CPU (vCPU)],TblApplications[Cluster ROKS cible],$F729,TblApplications[Action],"À migrer",TblApplications[Déjà incluse ROKS],"Non",TblApplications[Mois prov (calc)],"&lt;="&amp;$E729),SUMIFS(TblApplications[CPU IKS libérable (vCPU)],TblApplications[Cluster IKS source],$F729,TblApplications[Mois lib (calc)],"&lt;="&amp;$E729)))</f>
        <v/>
      </c>
      <c r="Q729" s="14" t="str">
        <f aca="false">IF($D729&lt;&gt;1,"",IF($G729="ROKS",SUMIFS(TblApplications[Besoin ROKS RAM (Go)],TblApplications[Cluster ROKS cible],$F729,TblApplications[Action],"À migrer",TblApplications[Déjà incluse ROKS],"Non",TblApplications[Mois prov (calc)],"&lt;="&amp;$E729),SUMIFS(TblApplications[RAM IKS libérable (Go)],TblApplications[Cluster IKS source],$F729,TblApplications[Mois lib (calc)],"&lt;="&amp;$E729)))</f>
        <v/>
      </c>
      <c r="R729" s="14" t="str">
        <f aca="false">IF($D729&lt;&gt;1,"",IF($G729="ROKS",$L729+$P729,IF($AI729=1,0,MAX($N729,$L729-$P729))))</f>
        <v/>
      </c>
      <c r="S729" s="14" t="str">
        <f aca="false">IF($D729&lt;&gt;1,"",IF($G729="ROKS",$M729+$Q729,IF($AI729=1,0,MAX($O729,$M729-$Q729))))</f>
        <v/>
      </c>
      <c r="T729" s="14" t="str">
        <f aca="false">IF($D729&lt;&gt;1,"",IF($AI729=1,0,MAX($J729,ROUNDUP(MAX($R729/$H729,$S729/$I729),0))))</f>
        <v/>
      </c>
      <c r="U729" s="14" t="str">
        <f aca="false">IF($D729&lt;&gt;1,"",IF(p_mode="Nœud",$T729*$H729,$R729))</f>
        <v/>
      </c>
      <c r="V729" s="14" t="str">
        <f aca="false">IF($D729&lt;&gt;1,"",IF(p_mode="Nœud",$T729*$I729,$S729))</f>
        <v/>
      </c>
      <c r="W729" s="84" t="str">
        <f aca="false">IF($D729&lt;&gt;1,"",IF(p_mode="Nœud",$T729*$K729,$R729*IF($G729="IKS",p_iks_cpu,p_roks_cpu)+$S729*IF($G729="IKS",p_iks_ram,p_roks_ram))*p_facteur)</f>
        <v/>
      </c>
      <c r="X729" s="14" t="str">
        <f aca="false">IF($D729&lt;&gt;1,"",IF($G729="ROKS",$R729,IF($AI729=1,0,MAX($N729,$L729-SUMIFS(TblApplications[CPU IKS libérable (vCPU)],TblApplications[Cluster IKS source],$F729,TblApplications[Action],"À migrer",TblApplications[Mois prov (calc)],"&lt;="&amp;$E729)-SUMIFS(TblApplications[CPU IKS libérable (vCPU)],TblApplications[Cluster IKS source],$F729,TblApplications[Action],"À décommissionner",TblApplications[Mois lib (calc)],"&lt;="&amp;$E729)))))</f>
        <v/>
      </c>
      <c r="Y729" s="14" t="str">
        <f aca="false">IF($D729&lt;&gt;1,"",IF($G729="ROKS",$S729,IF($AI729=1,0,MAX($O729,$M729-SUMIFS(TblApplications[RAM IKS libérable (Go)],TblApplications[Cluster IKS source],$F729,TblApplications[Action],"À migrer",TblApplications[Mois prov (calc)],"&lt;="&amp;$E729)-SUMIFS(TblApplications[RAM IKS libérable (Go)],TblApplications[Cluster IKS source],$F729,TblApplications[Action],"À décommissionner",TblApplications[Mois lib (calc)],"&lt;="&amp;$E729)))))</f>
        <v/>
      </c>
      <c r="Z729" s="14" t="str">
        <f aca="false">IF($D729&lt;&gt;1,"",IF($AI729=1,0,MAX($J729,ROUNDUP(MAX($X729/$H729,$Y729/$I729),0))))</f>
        <v/>
      </c>
      <c r="AA729" s="84" t="str">
        <f aca="false">IF($D729&lt;&gt;1,"",IF(p_mode="Nœud",$Z729*$K729,$X729*IF($G729="IKS",p_iks_cpu,p_roks_cpu)+$Y729*IF($G729="IKS",p_iks_ram,p_roks_ram))*p_facteur)</f>
        <v/>
      </c>
      <c r="AB729" s="14" t="str">
        <f aca="false">IF($D729&lt;&gt;1,"",MAX($J729,ROUNDUP(MAX($L729/$H729,$M729/$I729),0)))</f>
        <v/>
      </c>
      <c r="AC729" s="84" t="str">
        <f aca="false">IF($D729&lt;&gt;1,"",IF(p_mode="Nœud",$AB729*$K729,$L729*IF($G729="IKS",p_iks_cpu,p_roks_cpu)+$M729*IF($G729="IKS",p_iks_ram,p_roks_ram))*p_facteur)</f>
        <v/>
      </c>
      <c r="AD729" s="14" t="str">
        <f aca="false">IF($D729&lt;&gt;1,"",IF(AND($G729="IKS",$AI729&lt;&gt;1,OR($L729-$P729&lt;$N729,$M729-$Q729&lt;$O729)),1,0))</f>
        <v/>
      </c>
      <c r="AE729" s="14" t="str">
        <f aca="false">IF($D729&lt;&gt;1,"",IF(AND($G729="ROKS",$T729&gt;p_maxworkers),1,0))</f>
        <v/>
      </c>
      <c r="AF729" s="14" t="str">
        <f aca="false">IF($D729&lt;&gt;1,"",IF(INDEX(TblClusters[Environnement],$B729)="","(vide)",INDEX(TblClusters[Environnement],$B729)))</f>
        <v/>
      </c>
      <c r="AG729" s="14" t="str">
        <f aca="false">IF($D729&lt;&gt;1,"",$R729+p_poidsram*$S729)</f>
        <v/>
      </c>
      <c r="AH729" s="14" t="str">
        <f aca="false">IF($D729&lt;&gt;1,"",IFERROR($W729/$AG729,0))</f>
        <v/>
      </c>
      <c r="AI729" s="14" t="str">
        <f aca="false">IF($D729&lt;&gt;1,"",IF(AND($G729="IKS",ISNUMBER(INDEX(TblClusters[Fermeture retenue],$B729))),IF($E729&gt;=INDEX(TblClusters[Fermeture retenue],$B729),1,0),0))</f>
        <v/>
      </c>
    </row>
    <row r="730" customFormat="false" ht="15" hidden="false" customHeight="false" outlineLevel="0" collapsed="false">
      <c r="A730" s="14" t="n">
        <v>725</v>
      </c>
      <c r="B730" s="14" t="n">
        <f aca="false">INT(($A730-1)/36)+1</f>
        <v>21</v>
      </c>
      <c r="C730" s="14" t="n">
        <f aca="false">MOD($A730-1,36)+1</f>
        <v>5</v>
      </c>
      <c r="D730" s="14" t="n">
        <f aca="false">IF($C730&gt;p_horizon,0,IFERROR(IF(AND(INDEX(TblClusters[Cluster],$B730)&lt;&gt;"",ISNUMBER(INDEX(TblClusters[CPU initial (vCPU)],$B730)),ISNUMBER(INDEX(TblClusters[CPU min (vCPU)],$B730)),OR(INDEX(TblClusters[Plateforme],$B730)="IKS",INDEX(TblClusters[Plateforme],$B730)="ROKS")),1,0),0))</f>
        <v>0</v>
      </c>
      <c r="E730" s="83" t="str">
        <f aca="false">IF($D730=1,EDATE(p_debut,$C730-1),"")</f>
        <v/>
      </c>
      <c r="F730" s="14" t="str">
        <f aca="false">IF($D730=1,INDEX(TblClusters[Cluster],$B730),"")</f>
        <v/>
      </c>
      <c r="G730" s="14" t="str">
        <f aca="false">IF($D730=1,INDEX(TblClusters[Plateforme],$B730),"")</f>
        <v/>
      </c>
      <c r="H730" s="14" t="str">
        <f aca="false">IF($D730=1,INDEX(TblClusters[vCPU par nœud],$B730),"")</f>
        <v/>
      </c>
      <c r="I730" s="14" t="str">
        <f aca="false">IF($D730=1,INDEX(TblClusters[RAM par nœud (Go)],$B730),"")</f>
        <v/>
      </c>
      <c r="J730" s="14" t="str">
        <f aca="false">IF($D730=1,INDEX(TblClusters[Workers min],$B730),"")</f>
        <v/>
      </c>
      <c r="K730" s="84" t="str">
        <f aca="false">IF($D730=1,INDEX(TblClusters[Tarif par nœud],$B730),"")</f>
        <v/>
      </c>
      <c r="L730" s="14" t="str">
        <f aca="false">IF($D730=1,INDEX(TblClusters[CPU initial (vCPU)],$B730),"")</f>
        <v/>
      </c>
      <c r="M730" s="14" t="str">
        <f aca="false">IF($D730=1,INDEX(TblClusters[RAM initiale (Go)],$B730),"")</f>
        <v/>
      </c>
      <c r="N730" s="14" t="str">
        <f aca="false">IF($D730=1,INDEX(TblClusters[CPU min (vCPU)],$B730),"")</f>
        <v/>
      </c>
      <c r="O730" s="14" t="str">
        <f aca="false">IF($D730=1,INDEX(TblClusters[RAM min (Go)],$B730),"")</f>
        <v/>
      </c>
      <c r="P730" s="14" t="str">
        <f aca="false">IF($D730&lt;&gt;1,"",IF($G730="ROKS",SUMIFS(TblApplications[Besoin ROKS CPU (vCPU)],TblApplications[Cluster ROKS cible],$F730,TblApplications[Action],"À migrer",TblApplications[Déjà incluse ROKS],"Non",TblApplications[Mois prov (calc)],"&lt;="&amp;$E730),SUMIFS(TblApplications[CPU IKS libérable (vCPU)],TblApplications[Cluster IKS source],$F730,TblApplications[Mois lib (calc)],"&lt;="&amp;$E730)))</f>
        <v/>
      </c>
      <c r="Q730" s="14" t="str">
        <f aca="false">IF($D730&lt;&gt;1,"",IF($G730="ROKS",SUMIFS(TblApplications[Besoin ROKS RAM (Go)],TblApplications[Cluster ROKS cible],$F730,TblApplications[Action],"À migrer",TblApplications[Déjà incluse ROKS],"Non",TblApplications[Mois prov (calc)],"&lt;="&amp;$E730),SUMIFS(TblApplications[RAM IKS libérable (Go)],TblApplications[Cluster IKS source],$F730,TblApplications[Mois lib (calc)],"&lt;="&amp;$E730)))</f>
        <v/>
      </c>
      <c r="R730" s="14" t="str">
        <f aca="false">IF($D730&lt;&gt;1,"",IF($G730="ROKS",$L730+$P730,IF($AI730=1,0,MAX($N730,$L730-$P730))))</f>
        <v/>
      </c>
      <c r="S730" s="14" t="str">
        <f aca="false">IF($D730&lt;&gt;1,"",IF($G730="ROKS",$M730+$Q730,IF($AI730=1,0,MAX($O730,$M730-$Q730))))</f>
        <v/>
      </c>
      <c r="T730" s="14" t="str">
        <f aca="false">IF($D730&lt;&gt;1,"",IF($AI730=1,0,MAX($J730,ROUNDUP(MAX($R730/$H730,$S730/$I730),0))))</f>
        <v/>
      </c>
      <c r="U730" s="14" t="str">
        <f aca="false">IF($D730&lt;&gt;1,"",IF(p_mode="Nœud",$T730*$H730,$R730))</f>
        <v/>
      </c>
      <c r="V730" s="14" t="str">
        <f aca="false">IF($D730&lt;&gt;1,"",IF(p_mode="Nœud",$T730*$I730,$S730))</f>
        <v/>
      </c>
      <c r="W730" s="84" t="str">
        <f aca="false">IF($D730&lt;&gt;1,"",IF(p_mode="Nœud",$T730*$K730,$R730*IF($G730="IKS",p_iks_cpu,p_roks_cpu)+$S730*IF($G730="IKS",p_iks_ram,p_roks_ram))*p_facteur)</f>
        <v/>
      </c>
      <c r="X730" s="14" t="str">
        <f aca="false">IF($D730&lt;&gt;1,"",IF($G730="ROKS",$R730,IF($AI730=1,0,MAX($N730,$L730-SUMIFS(TblApplications[CPU IKS libérable (vCPU)],TblApplications[Cluster IKS source],$F730,TblApplications[Action],"À migrer",TblApplications[Mois prov (calc)],"&lt;="&amp;$E730)-SUMIFS(TblApplications[CPU IKS libérable (vCPU)],TblApplications[Cluster IKS source],$F730,TblApplications[Action],"À décommissionner",TblApplications[Mois lib (calc)],"&lt;="&amp;$E730)))))</f>
        <v/>
      </c>
      <c r="Y730" s="14" t="str">
        <f aca="false">IF($D730&lt;&gt;1,"",IF($G730="ROKS",$S730,IF($AI730=1,0,MAX($O730,$M730-SUMIFS(TblApplications[RAM IKS libérable (Go)],TblApplications[Cluster IKS source],$F730,TblApplications[Action],"À migrer",TblApplications[Mois prov (calc)],"&lt;="&amp;$E730)-SUMIFS(TblApplications[RAM IKS libérable (Go)],TblApplications[Cluster IKS source],$F730,TblApplications[Action],"À décommissionner",TblApplications[Mois lib (calc)],"&lt;="&amp;$E730)))))</f>
        <v/>
      </c>
      <c r="Z730" s="14" t="str">
        <f aca="false">IF($D730&lt;&gt;1,"",IF($AI730=1,0,MAX($J730,ROUNDUP(MAX($X730/$H730,$Y730/$I730),0))))</f>
        <v/>
      </c>
      <c r="AA730" s="84" t="str">
        <f aca="false">IF($D730&lt;&gt;1,"",IF(p_mode="Nœud",$Z730*$K730,$X730*IF($G730="IKS",p_iks_cpu,p_roks_cpu)+$Y730*IF($G730="IKS",p_iks_ram,p_roks_ram))*p_facteur)</f>
        <v/>
      </c>
      <c r="AB730" s="14" t="str">
        <f aca="false">IF($D730&lt;&gt;1,"",MAX($J730,ROUNDUP(MAX($L730/$H730,$M730/$I730),0)))</f>
        <v/>
      </c>
      <c r="AC730" s="84" t="str">
        <f aca="false">IF($D730&lt;&gt;1,"",IF(p_mode="Nœud",$AB730*$K730,$L730*IF($G730="IKS",p_iks_cpu,p_roks_cpu)+$M730*IF($G730="IKS",p_iks_ram,p_roks_ram))*p_facteur)</f>
        <v/>
      </c>
      <c r="AD730" s="14" t="str">
        <f aca="false">IF($D730&lt;&gt;1,"",IF(AND($G730="IKS",$AI730&lt;&gt;1,OR($L730-$P730&lt;$N730,$M730-$Q730&lt;$O730)),1,0))</f>
        <v/>
      </c>
      <c r="AE730" s="14" t="str">
        <f aca="false">IF($D730&lt;&gt;1,"",IF(AND($G730="ROKS",$T730&gt;p_maxworkers),1,0))</f>
        <v/>
      </c>
      <c r="AF730" s="14" t="str">
        <f aca="false">IF($D730&lt;&gt;1,"",IF(INDEX(TblClusters[Environnement],$B730)="","(vide)",INDEX(TblClusters[Environnement],$B730)))</f>
        <v/>
      </c>
      <c r="AG730" s="14" t="str">
        <f aca="false">IF($D730&lt;&gt;1,"",$R730+p_poidsram*$S730)</f>
        <v/>
      </c>
      <c r="AH730" s="14" t="str">
        <f aca="false">IF($D730&lt;&gt;1,"",IFERROR($W730/$AG730,0))</f>
        <v/>
      </c>
      <c r="AI730" s="14" t="str">
        <f aca="false">IF($D730&lt;&gt;1,"",IF(AND($G730="IKS",ISNUMBER(INDEX(TblClusters[Fermeture retenue],$B730))),IF($E730&gt;=INDEX(TblClusters[Fermeture retenue],$B730),1,0),0))</f>
        <v/>
      </c>
    </row>
    <row r="731" customFormat="false" ht="15" hidden="false" customHeight="false" outlineLevel="0" collapsed="false">
      <c r="A731" s="14" t="n">
        <v>726</v>
      </c>
      <c r="B731" s="14" t="n">
        <f aca="false">INT(($A731-1)/36)+1</f>
        <v>21</v>
      </c>
      <c r="C731" s="14" t="n">
        <f aca="false">MOD($A731-1,36)+1</f>
        <v>6</v>
      </c>
      <c r="D731" s="14" t="n">
        <f aca="false">IF($C731&gt;p_horizon,0,IFERROR(IF(AND(INDEX(TblClusters[Cluster],$B731)&lt;&gt;"",ISNUMBER(INDEX(TblClusters[CPU initial (vCPU)],$B731)),ISNUMBER(INDEX(TblClusters[CPU min (vCPU)],$B731)),OR(INDEX(TblClusters[Plateforme],$B731)="IKS",INDEX(TblClusters[Plateforme],$B731)="ROKS")),1,0),0))</f>
        <v>0</v>
      </c>
      <c r="E731" s="83" t="str">
        <f aca="false">IF($D731=1,EDATE(p_debut,$C731-1),"")</f>
        <v/>
      </c>
      <c r="F731" s="14" t="str">
        <f aca="false">IF($D731=1,INDEX(TblClusters[Cluster],$B731),"")</f>
        <v/>
      </c>
      <c r="G731" s="14" t="str">
        <f aca="false">IF($D731=1,INDEX(TblClusters[Plateforme],$B731),"")</f>
        <v/>
      </c>
      <c r="H731" s="14" t="str">
        <f aca="false">IF($D731=1,INDEX(TblClusters[vCPU par nœud],$B731),"")</f>
        <v/>
      </c>
      <c r="I731" s="14" t="str">
        <f aca="false">IF($D731=1,INDEX(TblClusters[RAM par nœud (Go)],$B731),"")</f>
        <v/>
      </c>
      <c r="J731" s="14" t="str">
        <f aca="false">IF($D731=1,INDEX(TblClusters[Workers min],$B731),"")</f>
        <v/>
      </c>
      <c r="K731" s="84" t="str">
        <f aca="false">IF($D731=1,INDEX(TblClusters[Tarif par nœud],$B731),"")</f>
        <v/>
      </c>
      <c r="L731" s="14" t="str">
        <f aca="false">IF($D731=1,INDEX(TblClusters[CPU initial (vCPU)],$B731),"")</f>
        <v/>
      </c>
      <c r="M731" s="14" t="str">
        <f aca="false">IF($D731=1,INDEX(TblClusters[RAM initiale (Go)],$B731),"")</f>
        <v/>
      </c>
      <c r="N731" s="14" t="str">
        <f aca="false">IF($D731=1,INDEX(TblClusters[CPU min (vCPU)],$B731),"")</f>
        <v/>
      </c>
      <c r="O731" s="14" t="str">
        <f aca="false">IF($D731=1,INDEX(TblClusters[RAM min (Go)],$B731),"")</f>
        <v/>
      </c>
      <c r="P731" s="14" t="str">
        <f aca="false">IF($D731&lt;&gt;1,"",IF($G731="ROKS",SUMIFS(TblApplications[Besoin ROKS CPU (vCPU)],TblApplications[Cluster ROKS cible],$F731,TblApplications[Action],"À migrer",TblApplications[Déjà incluse ROKS],"Non",TblApplications[Mois prov (calc)],"&lt;="&amp;$E731),SUMIFS(TblApplications[CPU IKS libérable (vCPU)],TblApplications[Cluster IKS source],$F731,TblApplications[Mois lib (calc)],"&lt;="&amp;$E731)))</f>
        <v/>
      </c>
      <c r="Q731" s="14" t="str">
        <f aca="false">IF($D731&lt;&gt;1,"",IF($G731="ROKS",SUMIFS(TblApplications[Besoin ROKS RAM (Go)],TblApplications[Cluster ROKS cible],$F731,TblApplications[Action],"À migrer",TblApplications[Déjà incluse ROKS],"Non",TblApplications[Mois prov (calc)],"&lt;="&amp;$E731),SUMIFS(TblApplications[RAM IKS libérable (Go)],TblApplications[Cluster IKS source],$F731,TblApplications[Mois lib (calc)],"&lt;="&amp;$E731)))</f>
        <v/>
      </c>
      <c r="R731" s="14" t="str">
        <f aca="false">IF($D731&lt;&gt;1,"",IF($G731="ROKS",$L731+$P731,IF($AI731=1,0,MAX($N731,$L731-$P731))))</f>
        <v/>
      </c>
      <c r="S731" s="14" t="str">
        <f aca="false">IF($D731&lt;&gt;1,"",IF($G731="ROKS",$M731+$Q731,IF($AI731=1,0,MAX($O731,$M731-$Q731))))</f>
        <v/>
      </c>
      <c r="T731" s="14" t="str">
        <f aca="false">IF($D731&lt;&gt;1,"",IF($AI731=1,0,MAX($J731,ROUNDUP(MAX($R731/$H731,$S731/$I731),0))))</f>
        <v/>
      </c>
      <c r="U731" s="14" t="str">
        <f aca="false">IF($D731&lt;&gt;1,"",IF(p_mode="Nœud",$T731*$H731,$R731))</f>
        <v/>
      </c>
      <c r="V731" s="14" t="str">
        <f aca="false">IF($D731&lt;&gt;1,"",IF(p_mode="Nœud",$T731*$I731,$S731))</f>
        <v/>
      </c>
      <c r="W731" s="84" t="str">
        <f aca="false">IF($D731&lt;&gt;1,"",IF(p_mode="Nœud",$T731*$K731,$R731*IF($G731="IKS",p_iks_cpu,p_roks_cpu)+$S731*IF($G731="IKS",p_iks_ram,p_roks_ram))*p_facteur)</f>
        <v/>
      </c>
      <c r="X731" s="14" t="str">
        <f aca="false">IF($D731&lt;&gt;1,"",IF($G731="ROKS",$R731,IF($AI731=1,0,MAX($N731,$L731-SUMIFS(TblApplications[CPU IKS libérable (vCPU)],TblApplications[Cluster IKS source],$F731,TblApplications[Action],"À migrer",TblApplications[Mois prov (calc)],"&lt;="&amp;$E731)-SUMIFS(TblApplications[CPU IKS libérable (vCPU)],TblApplications[Cluster IKS source],$F731,TblApplications[Action],"À décommissionner",TblApplications[Mois lib (calc)],"&lt;="&amp;$E731)))))</f>
        <v/>
      </c>
      <c r="Y731" s="14" t="str">
        <f aca="false">IF($D731&lt;&gt;1,"",IF($G731="ROKS",$S731,IF($AI731=1,0,MAX($O731,$M731-SUMIFS(TblApplications[RAM IKS libérable (Go)],TblApplications[Cluster IKS source],$F731,TblApplications[Action],"À migrer",TblApplications[Mois prov (calc)],"&lt;="&amp;$E731)-SUMIFS(TblApplications[RAM IKS libérable (Go)],TblApplications[Cluster IKS source],$F731,TblApplications[Action],"À décommissionner",TblApplications[Mois lib (calc)],"&lt;="&amp;$E731)))))</f>
        <v/>
      </c>
      <c r="Z731" s="14" t="str">
        <f aca="false">IF($D731&lt;&gt;1,"",IF($AI731=1,0,MAX($J731,ROUNDUP(MAX($X731/$H731,$Y731/$I731),0))))</f>
        <v/>
      </c>
      <c r="AA731" s="84" t="str">
        <f aca="false">IF($D731&lt;&gt;1,"",IF(p_mode="Nœud",$Z731*$K731,$X731*IF($G731="IKS",p_iks_cpu,p_roks_cpu)+$Y731*IF($G731="IKS",p_iks_ram,p_roks_ram))*p_facteur)</f>
        <v/>
      </c>
      <c r="AB731" s="14" t="str">
        <f aca="false">IF($D731&lt;&gt;1,"",MAX($J731,ROUNDUP(MAX($L731/$H731,$M731/$I731),0)))</f>
        <v/>
      </c>
      <c r="AC731" s="84" t="str">
        <f aca="false">IF($D731&lt;&gt;1,"",IF(p_mode="Nœud",$AB731*$K731,$L731*IF($G731="IKS",p_iks_cpu,p_roks_cpu)+$M731*IF($G731="IKS",p_iks_ram,p_roks_ram))*p_facteur)</f>
        <v/>
      </c>
      <c r="AD731" s="14" t="str">
        <f aca="false">IF($D731&lt;&gt;1,"",IF(AND($G731="IKS",$AI731&lt;&gt;1,OR($L731-$P731&lt;$N731,$M731-$Q731&lt;$O731)),1,0))</f>
        <v/>
      </c>
      <c r="AE731" s="14" t="str">
        <f aca="false">IF($D731&lt;&gt;1,"",IF(AND($G731="ROKS",$T731&gt;p_maxworkers),1,0))</f>
        <v/>
      </c>
      <c r="AF731" s="14" t="str">
        <f aca="false">IF($D731&lt;&gt;1,"",IF(INDEX(TblClusters[Environnement],$B731)="","(vide)",INDEX(TblClusters[Environnement],$B731)))</f>
        <v/>
      </c>
      <c r="AG731" s="14" t="str">
        <f aca="false">IF($D731&lt;&gt;1,"",$R731+p_poidsram*$S731)</f>
        <v/>
      </c>
      <c r="AH731" s="14" t="str">
        <f aca="false">IF($D731&lt;&gt;1,"",IFERROR($W731/$AG731,0))</f>
        <v/>
      </c>
      <c r="AI731" s="14" t="str">
        <f aca="false">IF($D731&lt;&gt;1,"",IF(AND($G731="IKS",ISNUMBER(INDEX(TblClusters[Fermeture retenue],$B731))),IF($E731&gt;=INDEX(TblClusters[Fermeture retenue],$B731),1,0),0))</f>
        <v/>
      </c>
    </row>
    <row r="732" customFormat="false" ht="15" hidden="false" customHeight="false" outlineLevel="0" collapsed="false">
      <c r="A732" s="14" t="n">
        <v>727</v>
      </c>
      <c r="B732" s="14" t="n">
        <f aca="false">INT(($A732-1)/36)+1</f>
        <v>21</v>
      </c>
      <c r="C732" s="14" t="n">
        <f aca="false">MOD($A732-1,36)+1</f>
        <v>7</v>
      </c>
      <c r="D732" s="14" t="n">
        <f aca="false">IF($C732&gt;p_horizon,0,IFERROR(IF(AND(INDEX(TblClusters[Cluster],$B732)&lt;&gt;"",ISNUMBER(INDEX(TblClusters[CPU initial (vCPU)],$B732)),ISNUMBER(INDEX(TblClusters[CPU min (vCPU)],$B732)),OR(INDEX(TblClusters[Plateforme],$B732)="IKS",INDEX(TblClusters[Plateforme],$B732)="ROKS")),1,0),0))</f>
        <v>0</v>
      </c>
      <c r="E732" s="83" t="str">
        <f aca="false">IF($D732=1,EDATE(p_debut,$C732-1),"")</f>
        <v/>
      </c>
      <c r="F732" s="14" t="str">
        <f aca="false">IF($D732=1,INDEX(TblClusters[Cluster],$B732),"")</f>
        <v/>
      </c>
      <c r="G732" s="14" t="str">
        <f aca="false">IF($D732=1,INDEX(TblClusters[Plateforme],$B732),"")</f>
        <v/>
      </c>
      <c r="H732" s="14" t="str">
        <f aca="false">IF($D732=1,INDEX(TblClusters[vCPU par nœud],$B732),"")</f>
        <v/>
      </c>
      <c r="I732" s="14" t="str">
        <f aca="false">IF($D732=1,INDEX(TblClusters[RAM par nœud (Go)],$B732),"")</f>
        <v/>
      </c>
      <c r="J732" s="14" t="str">
        <f aca="false">IF($D732=1,INDEX(TblClusters[Workers min],$B732),"")</f>
        <v/>
      </c>
      <c r="K732" s="84" t="str">
        <f aca="false">IF($D732=1,INDEX(TblClusters[Tarif par nœud],$B732),"")</f>
        <v/>
      </c>
      <c r="L732" s="14" t="str">
        <f aca="false">IF($D732=1,INDEX(TblClusters[CPU initial (vCPU)],$B732),"")</f>
        <v/>
      </c>
      <c r="M732" s="14" t="str">
        <f aca="false">IF($D732=1,INDEX(TblClusters[RAM initiale (Go)],$B732),"")</f>
        <v/>
      </c>
      <c r="N732" s="14" t="str">
        <f aca="false">IF($D732=1,INDEX(TblClusters[CPU min (vCPU)],$B732),"")</f>
        <v/>
      </c>
      <c r="O732" s="14" t="str">
        <f aca="false">IF($D732=1,INDEX(TblClusters[RAM min (Go)],$B732),"")</f>
        <v/>
      </c>
      <c r="P732" s="14" t="str">
        <f aca="false">IF($D732&lt;&gt;1,"",IF($G732="ROKS",SUMIFS(TblApplications[Besoin ROKS CPU (vCPU)],TblApplications[Cluster ROKS cible],$F732,TblApplications[Action],"À migrer",TblApplications[Déjà incluse ROKS],"Non",TblApplications[Mois prov (calc)],"&lt;="&amp;$E732),SUMIFS(TblApplications[CPU IKS libérable (vCPU)],TblApplications[Cluster IKS source],$F732,TblApplications[Mois lib (calc)],"&lt;="&amp;$E732)))</f>
        <v/>
      </c>
      <c r="Q732" s="14" t="str">
        <f aca="false">IF($D732&lt;&gt;1,"",IF($G732="ROKS",SUMIFS(TblApplications[Besoin ROKS RAM (Go)],TblApplications[Cluster ROKS cible],$F732,TblApplications[Action],"À migrer",TblApplications[Déjà incluse ROKS],"Non",TblApplications[Mois prov (calc)],"&lt;="&amp;$E732),SUMIFS(TblApplications[RAM IKS libérable (Go)],TblApplications[Cluster IKS source],$F732,TblApplications[Mois lib (calc)],"&lt;="&amp;$E732)))</f>
        <v/>
      </c>
      <c r="R732" s="14" t="str">
        <f aca="false">IF($D732&lt;&gt;1,"",IF($G732="ROKS",$L732+$P732,IF($AI732=1,0,MAX($N732,$L732-$P732))))</f>
        <v/>
      </c>
      <c r="S732" s="14" t="str">
        <f aca="false">IF($D732&lt;&gt;1,"",IF($G732="ROKS",$M732+$Q732,IF($AI732=1,0,MAX($O732,$M732-$Q732))))</f>
        <v/>
      </c>
      <c r="T732" s="14" t="str">
        <f aca="false">IF($D732&lt;&gt;1,"",IF($AI732=1,0,MAX($J732,ROUNDUP(MAX($R732/$H732,$S732/$I732),0))))</f>
        <v/>
      </c>
      <c r="U732" s="14" t="str">
        <f aca="false">IF($D732&lt;&gt;1,"",IF(p_mode="Nœud",$T732*$H732,$R732))</f>
        <v/>
      </c>
      <c r="V732" s="14" t="str">
        <f aca="false">IF($D732&lt;&gt;1,"",IF(p_mode="Nœud",$T732*$I732,$S732))</f>
        <v/>
      </c>
      <c r="W732" s="84" t="str">
        <f aca="false">IF($D732&lt;&gt;1,"",IF(p_mode="Nœud",$T732*$K732,$R732*IF($G732="IKS",p_iks_cpu,p_roks_cpu)+$S732*IF($G732="IKS",p_iks_ram,p_roks_ram))*p_facteur)</f>
        <v/>
      </c>
      <c r="X732" s="14" t="str">
        <f aca="false">IF($D732&lt;&gt;1,"",IF($G732="ROKS",$R732,IF($AI732=1,0,MAX($N732,$L732-SUMIFS(TblApplications[CPU IKS libérable (vCPU)],TblApplications[Cluster IKS source],$F732,TblApplications[Action],"À migrer",TblApplications[Mois prov (calc)],"&lt;="&amp;$E732)-SUMIFS(TblApplications[CPU IKS libérable (vCPU)],TblApplications[Cluster IKS source],$F732,TblApplications[Action],"À décommissionner",TblApplications[Mois lib (calc)],"&lt;="&amp;$E732)))))</f>
        <v/>
      </c>
      <c r="Y732" s="14" t="str">
        <f aca="false">IF($D732&lt;&gt;1,"",IF($G732="ROKS",$S732,IF($AI732=1,0,MAX($O732,$M732-SUMIFS(TblApplications[RAM IKS libérable (Go)],TblApplications[Cluster IKS source],$F732,TblApplications[Action],"À migrer",TblApplications[Mois prov (calc)],"&lt;="&amp;$E732)-SUMIFS(TblApplications[RAM IKS libérable (Go)],TblApplications[Cluster IKS source],$F732,TblApplications[Action],"À décommissionner",TblApplications[Mois lib (calc)],"&lt;="&amp;$E732)))))</f>
        <v/>
      </c>
      <c r="Z732" s="14" t="str">
        <f aca="false">IF($D732&lt;&gt;1,"",IF($AI732=1,0,MAX($J732,ROUNDUP(MAX($X732/$H732,$Y732/$I732),0))))</f>
        <v/>
      </c>
      <c r="AA732" s="84" t="str">
        <f aca="false">IF($D732&lt;&gt;1,"",IF(p_mode="Nœud",$Z732*$K732,$X732*IF($G732="IKS",p_iks_cpu,p_roks_cpu)+$Y732*IF($G732="IKS",p_iks_ram,p_roks_ram))*p_facteur)</f>
        <v/>
      </c>
      <c r="AB732" s="14" t="str">
        <f aca="false">IF($D732&lt;&gt;1,"",MAX($J732,ROUNDUP(MAX($L732/$H732,$M732/$I732),0)))</f>
        <v/>
      </c>
      <c r="AC732" s="84" t="str">
        <f aca="false">IF($D732&lt;&gt;1,"",IF(p_mode="Nœud",$AB732*$K732,$L732*IF($G732="IKS",p_iks_cpu,p_roks_cpu)+$M732*IF($G732="IKS",p_iks_ram,p_roks_ram))*p_facteur)</f>
        <v/>
      </c>
      <c r="AD732" s="14" t="str">
        <f aca="false">IF($D732&lt;&gt;1,"",IF(AND($G732="IKS",$AI732&lt;&gt;1,OR($L732-$P732&lt;$N732,$M732-$Q732&lt;$O732)),1,0))</f>
        <v/>
      </c>
      <c r="AE732" s="14" t="str">
        <f aca="false">IF($D732&lt;&gt;1,"",IF(AND($G732="ROKS",$T732&gt;p_maxworkers),1,0))</f>
        <v/>
      </c>
      <c r="AF732" s="14" t="str">
        <f aca="false">IF($D732&lt;&gt;1,"",IF(INDEX(TblClusters[Environnement],$B732)="","(vide)",INDEX(TblClusters[Environnement],$B732)))</f>
        <v/>
      </c>
      <c r="AG732" s="14" t="str">
        <f aca="false">IF($D732&lt;&gt;1,"",$R732+p_poidsram*$S732)</f>
        <v/>
      </c>
      <c r="AH732" s="14" t="str">
        <f aca="false">IF($D732&lt;&gt;1,"",IFERROR($W732/$AG732,0))</f>
        <v/>
      </c>
      <c r="AI732" s="14" t="str">
        <f aca="false">IF($D732&lt;&gt;1,"",IF(AND($G732="IKS",ISNUMBER(INDEX(TblClusters[Fermeture retenue],$B732))),IF($E732&gt;=INDEX(TblClusters[Fermeture retenue],$B732),1,0),0))</f>
        <v/>
      </c>
    </row>
    <row r="733" customFormat="false" ht="15" hidden="false" customHeight="false" outlineLevel="0" collapsed="false">
      <c r="A733" s="14" t="n">
        <v>728</v>
      </c>
      <c r="B733" s="14" t="n">
        <f aca="false">INT(($A733-1)/36)+1</f>
        <v>21</v>
      </c>
      <c r="C733" s="14" t="n">
        <f aca="false">MOD($A733-1,36)+1</f>
        <v>8</v>
      </c>
      <c r="D733" s="14" t="n">
        <f aca="false">IF($C733&gt;p_horizon,0,IFERROR(IF(AND(INDEX(TblClusters[Cluster],$B733)&lt;&gt;"",ISNUMBER(INDEX(TblClusters[CPU initial (vCPU)],$B733)),ISNUMBER(INDEX(TblClusters[CPU min (vCPU)],$B733)),OR(INDEX(TblClusters[Plateforme],$B733)="IKS",INDEX(TblClusters[Plateforme],$B733)="ROKS")),1,0),0))</f>
        <v>0</v>
      </c>
      <c r="E733" s="83" t="str">
        <f aca="false">IF($D733=1,EDATE(p_debut,$C733-1),"")</f>
        <v/>
      </c>
      <c r="F733" s="14" t="str">
        <f aca="false">IF($D733=1,INDEX(TblClusters[Cluster],$B733),"")</f>
        <v/>
      </c>
      <c r="G733" s="14" t="str">
        <f aca="false">IF($D733=1,INDEX(TblClusters[Plateforme],$B733),"")</f>
        <v/>
      </c>
      <c r="H733" s="14" t="str">
        <f aca="false">IF($D733=1,INDEX(TblClusters[vCPU par nœud],$B733),"")</f>
        <v/>
      </c>
      <c r="I733" s="14" t="str">
        <f aca="false">IF($D733=1,INDEX(TblClusters[RAM par nœud (Go)],$B733),"")</f>
        <v/>
      </c>
      <c r="J733" s="14" t="str">
        <f aca="false">IF($D733=1,INDEX(TblClusters[Workers min],$B733),"")</f>
        <v/>
      </c>
      <c r="K733" s="84" t="str">
        <f aca="false">IF($D733=1,INDEX(TblClusters[Tarif par nœud],$B733),"")</f>
        <v/>
      </c>
      <c r="L733" s="14" t="str">
        <f aca="false">IF($D733=1,INDEX(TblClusters[CPU initial (vCPU)],$B733),"")</f>
        <v/>
      </c>
      <c r="M733" s="14" t="str">
        <f aca="false">IF($D733=1,INDEX(TblClusters[RAM initiale (Go)],$B733),"")</f>
        <v/>
      </c>
      <c r="N733" s="14" t="str">
        <f aca="false">IF($D733=1,INDEX(TblClusters[CPU min (vCPU)],$B733),"")</f>
        <v/>
      </c>
      <c r="O733" s="14" t="str">
        <f aca="false">IF($D733=1,INDEX(TblClusters[RAM min (Go)],$B733),"")</f>
        <v/>
      </c>
      <c r="P733" s="14" t="str">
        <f aca="false">IF($D733&lt;&gt;1,"",IF($G733="ROKS",SUMIFS(TblApplications[Besoin ROKS CPU (vCPU)],TblApplications[Cluster ROKS cible],$F733,TblApplications[Action],"À migrer",TblApplications[Déjà incluse ROKS],"Non",TblApplications[Mois prov (calc)],"&lt;="&amp;$E733),SUMIFS(TblApplications[CPU IKS libérable (vCPU)],TblApplications[Cluster IKS source],$F733,TblApplications[Mois lib (calc)],"&lt;="&amp;$E733)))</f>
        <v/>
      </c>
      <c r="Q733" s="14" t="str">
        <f aca="false">IF($D733&lt;&gt;1,"",IF($G733="ROKS",SUMIFS(TblApplications[Besoin ROKS RAM (Go)],TblApplications[Cluster ROKS cible],$F733,TblApplications[Action],"À migrer",TblApplications[Déjà incluse ROKS],"Non",TblApplications[Mois prov (calc)],"&lt;="&amp;$E733),SUMIFS(TblApplications[RAM IKS libérable (Go)],TblApplications[Cluster IKS source],$F733,TblApplications[Mois lib (calc)],"&lt;="&amp;$E733)))</f>
        <v/>
      </c>
      <c r="R733" s="14" t="str">
        <f aca="false">IF($D733&lt;&gt;1,"",IF($G733="ROKS",$L733+$P733,IF($AI733=1,0,MAX($N733,$L733-$P733))))</f>
        <v/>
      </c>
      <c r="S733" s="14" t="str">
        <f aca="false">IF($D733&lt;&gt;1,"",IF($G733="ROKS",$M733+$Q733,IF($AI733=1,0,MAX($O733,$M733-$Q733))))</f>
        <v/>
      </c>
      <c r="T733" s="14" t="str">
        <f aca="false">IF($D733&lt;&gt;1,"",IF($AI733=1,0,MAX($J733,ROUNDUP(MAX($R733/$H733,$S733/$I733),0))))</f>
        <v/>
      </c>
      <c r="U733" s="14" t="str">
        <f aca="false">IF($D733&lt;&gt;1,"",IF(p_mode="Nœud",$T733*$H733,$R733))</f>
        <v/>
      </c>
      <c r="V733" s="14" t="str">
        <f aca="false">IF($D733&lt;&gt;1,"",IF(p_mode="Nœud",$T733*$I733,$S733))</f>
        <v/>
      </c>
      <c r="W733" s="84" t="str">
        <f aca="false">IF($D733&lt;&gt;1,"",IF(p_mode="Nœud",$T733*$K733,$R733*IF($G733="IKS",p_iks_cpu,p_roks_cpu)+$S733*IF($G733="IKS",p_iks_ram,p_roks_ram))*p_facteur)</f>
        <v/>
      </c>
      <c r="X733" s="14" t="str">
        <f aca="false">IF($D733&lt;&gt;1,"",IF($G733="ROKS",$R733,IF($AI733=1,0,MAX($N733,$L733-SUMIFS(TblApplications[CPU IKS libérable (vCPU)],TblApplications[Cluster IKS source],$F733,TblApplications[Action],"À migrer",TblApplications[Mois prov (calc)],"&lt;="&amp;$E733)-SUMIFS(TblApplications[CPU IKS libérable (vCPU)],TblApplications[Cluster IKS source],$F733,TblApplications[Action],"À décommissionner",TblApplications[Mois lib (calc)],"&lt;="&amp;$E733)))))</f>
        <v/>
      </c>
      <c r="Y733" s="14" t="str">
        <f aca="false">IF($D733&lt;&gt;1,"",IF($G733="ROKS",$S733,IF($AI733=1,0,MAX($O733,$M733-SUMIFS(TblApplications[RAM IKS libérable (Go)],TblApplications[Cluster IKS source],$F733,TblApplications[Action],"À migrer",TblApplications[Mois prov (calc)],"&lt;="&amp;$E733)-SUMIFS(TblApplications[RAM IKS libérable (Go)],TblApplications[Cluster IKS source],$F733,TblApplications[Action],"À décommissionner",TblApplications[Mois lib (calc)],"&lt;="&amp;$E733)))))</f>
        <v/>
      </c>
      <c r="Z733" s="14" t="str">
        <f aca="false">IF($D733&lt;&gt;1,"",IF($AI733=1,0,MAX($J733,ROUNDUP(MAX($X733/$H733,$Y733/$I733),0))))</f>
        <v/>
      </c>
      <c r="AA733" s="84" t="str">
        <f aca="false">IF($D733&lt;&gt;1,"",IF(p_mode="Nœud",$Z733*$K733,$X733*IF($G733="IKS",p_iks_cpu,p_roks_cpu)+$Y733*IF($G733="IKS",p_iks_ram,p_roks_ram))*p_facteur)</f>
        <v/>
      </c>
      <c r="AB733" s="14" t="str">
        <f aca="false">IF($D733&lt;&gt;1,"",MAX($J733,ROUNDUP(MAX($L733/$H733,$M733/$I733),0)))</f>
        <v/>
      </c>
      <c r="AC733" s="84" t="str">
        <f aca="false">IF($D733&lt;&gt;1,"",IF(p_mode="Nœud",$AB733*$K733,$L733*IF($G733="IKS",p_iks_cpu,p_roks_cpu)+$M733*IF($G733="IKS",p_iks_ram,p_roks_ram))*p_facteur)</f>
        <v/>
      </c>
      <c r="AD733" s="14" t="str">
        <f aca="false">IF($D733&lt;&gt;1,"",IF(AND($G733="IKS",$AI733&lt;&gt;1,OR($L733-$P733&lt;$N733,$M733-$Q733&lt;$O733)),1,0))</f>
        <v/>
      </c>
      <c r="AE733" s="14" t="str">
        <f aca="false">IF($D733&lt;&gt;1,"",IF(AND($G733="ROKS",$T733&gt;p_maxworkers),1,0))</f>
        <v/>
      </c>
      <c r="AF733" s="14" t="str">
        <f aca="false">IF($D733&lt;&gt;1,"",IF(INDEX(TblClusters[Environnement],$B733)="","(vide)",INDEX(TblClusters[Environnement],$B733)))</f>
        <v/>
      </c>
      <c r="AG733" s="14" t="str">
        <f aca="false">IF($D733&lt;&gt;1,"",$R733+p_poidsram*$S733)</f>
        <v/>
      </c>
      <c r="AH733" s="14" t="str">
        <f aca="false">IF($D733&lt;&gt;1,"",IFERROR($W733/$AG733,0))</f>
        <v/>
      </c>
      <c r="AI733" s="14" t="str">
        <f aca="false">IF($D733&lt;&gt;1,"",IF(AND($G733="IKS",ISNUMBER(INDEX(TblClusters[Fermeture retenue],$B733))),IF($E733&gt;=INDEX(TblClusters[Fermeture retenue],$B733),1,0),0))</f>
        <v/>
      </c>
    </row>
    <row r="734" customFormat="false" ht="15" hidden="false" customHeight="false" outlineLevel="0" collapsed="false">
      <c r="A734" s="14" t="n">
        <v>729</v>
      </c>
      <c r="B734" s="14" t="n">
        <f aca="false">INT(($A734-1)/36)+1</f>
        <v>21</v>
      </c>
      <c r="C734" s="14" t="n">
        <f aca="false">MOD($A734-1,36)+1</f>
        <v>9</v>
      </c>
      <c r="D734" s="14" t="n">
        <f aca="false">IF($C734&gt;p_horizon,0,IFERROR(IF(AND(INDEX(TblClusters[Cluster],$B734)&lt;&gt;"",ISNUMBER(INDEX(TblClusters[CPU initial (vCPU)],$B734)),ISNUMBER(INDEX(TblClusters[CPU min (vCPU)],$B734)),OR(INDEX(TblClusters[Plateforme],$B734)="IKS",INDEX(TblClusters[Plateforme],$B734)="ROKS")),1,0),0))</f>
        <v>0</v>
      </c>
      <c r="E734" s="83" t="str">
        <f aca="false">IF($D734=1,EDATE(p_debut,$C734-1),"")</f>
        <v/>
      </c>
      <c r="F734" s="14" t="str">
        <f aca="false">IF($D734=1,INDEX(TblClusters[Cluster],$B734),"")</f>
        <v/>
      </c>
      <c r="G734" s="14" t="str">
        <f aca="false">IF($D734=1,INDEX(TblClusters[Plateforme],$B734),"")</f>
        <v/>
      </c>
      <c r="H734" s="14" t="str">
        <f aca="false">IF($D734=1,INDEX(TblClusters[vCPU par nœud],$B734),"")</f>
        <v/>
      </c>
      <c r="I734" s="14" t="str">
        <f aca="false">IF($D734=1,INDEX(TblClusters[RAM par nœud (Go)],$B734),"")</f>
        <v/>
      </c>
      <c r="J734" s="14" t="str">
        <f aca="false">IF($D734=1,INDEX(TblClusters[Workers min],$B734),"")</f>
        <v/>
      </c>
      <c r="K734" s="84" t="str">
        <f aca="false">IF($D734=1,INDEX(TblClusters[Tarif par nœud],$B734),"")</f>
        <v/>
      </c>
      <c r="L734" s="14" t="str">
        <f aca="false">IF($D734=1,INDEX(TblClusters[CPU initial (vCPU)],$B734),"")</f>
        <v/>
      </c>
      <c r="M734" s="14" t="str">
        <f aca="false">IF($D734=1,INDEX(TblClusters[RAM initiale (Go)],$B734),"")</f>
        <v/>
      </c>
      <c r="N734" s="14" t="str">
        <f aca="false">IF($D734=1,INDEX(TblClusters[CPU min (vCPU)],$B734),"")</f>
        <v/>
      </c>
      <c r="O734" s="14" t="str">
        <f aca="false">IF($D734=1,INDEX(TblClusters[RAM min (Go)],$B734),"")</f>
        <v/>
      </c>
      <c r="P734" s="14" t="str">
        <f aca="false">IF($D734&lt;&gt;1,"",IF($G734="ROKS",SUMIFS(TblApplications[Besoin ROKS CPU (vCPU)],TblApplications[Cluster ROKS cible],$F734,TblApplications[Action],"À migrer",TblApplications[Déjà incluse ROKS],"Non",TblApplications[Mois prov (calc)],"&lt;="&amp;$E734),SUMIFS(TblApplications[CPU IKS libérable (vCPU)],TblApplications[Cluster IKS source],$F734,TblApplications[Mois lib (calc)],"&lt;="&amp;$E734)))</f>
        <v/>
      </c>
      <c r="Q734" s="14" t="str">
        <f aca="false">IF($D734&lt;&gt;1,"",IF($G734="ROKS",SUMIFS(TblApplications[Besoin ROKS RAM (Go)],TblApplications[Cluster ROKS cible],$F734,TblApplications[Action],"À migrer",TblApplications[Déjà incluse ROKS],"Non",TblApplications[Mois prov (calc)],"&lt;="&amp;$E734),SUMIFS(TblApplications[RAM IKS libérable (Go)],TblApplications[Cluster IKS source],$F734,TblApplications[Mois lib (calc)],"&lt;="&amp;$E734)))</f>
        <v/>
      </c>
      <c r="R734" s="14" t="str">
        <f aca="false">IF($D734&lt;&gt;1,"",IF($G734="ROKS",$L734+$P734,IF($AI734=1,0,MAX($N734,$L734-$P734))))</f>
        <v/>
      </c>
      <c r="S734" s="14" t="str">
        <f aca="false">IF($D734&lt;&gt;1,"",IF($G734="ROKS",$M734+$Q734,IF($AI734=1,0,MAX($O734,$M734-$Q734))))</f>
        <v/>
      </c>
      <c r="T734" s="14" t="str">
        <f aca="false">IF($D734&lt;&gt;1,"",IF($AI734=1,0,MAX($J734,ROUNDUP(MAX($R734/$H734,$S734/$I734),0))))</f>
        <v/>
      </c>
      <c r="U734" s="14" t="str">
        <f aca="false">IF($D734&lt;&gt;1,"",IF(p_mode="Nœud",$T734*$H734,$R734))</f>
        <v/>
      </c>
      <c r="V734" s="14" t="str">
        <f aca="false">IF($D734&lt;&gt;1,"",IF(p_mode="Nœud",$T734*$I734,$S734))</f>
        <v/>
      </c>
      <c r="W734" s="84" t="str">
        <f aca="false">IF($D734&lt;&gt;1,"",IF(p_mode="Nœud",$T734*$K734,$R734*IF($G734="IKS",p_iks_cpu,p_roks_cpu)+$S734*IF($G734="IKS",p_iks_ram,p_roks_ram))*p_facteur)</f>
        <v/>
      </c>
      <c r="X734" s="14" t="str">
        <f aca="false">IF($D734&lt;&gt;1,"",IF($G734="ROKS",$R734,IF($AI734=1,0,MAX($N734,$L734-SUMIFS(TblApplications[CPU IKS libérable (vCPU)],TblApplications[Cluster IKS source],$F734,TblApplications[Action],"À migrer",TblApplications[Mois prov (calc)],"&lt;="&amp;$E734)-SUMIFS(TblApplications[CPU IKS libérable (vCPU)],TblApplications[Cluster IKS source],$F734,TblApplications[Action],"À décommissionner",TblApplications[Mois lib (calc)],"&lt;="&amp;$E734)))))</f>
        <v/>
      </c>
      <c r="Y734" s="14" t="str">
        <f aca="false">IF($D734&lt;&gt;1,"",IF($G734="ROKS",$S734,IF($AI734=1,0,MAX($O734,$M734-SUMIFS(TblApplications[RAM IKS libérable (Go)],TblApplications[Cluster IKS source],$F734,TblApplications[Action],"À migrer",TblApplications[Mois prov (calc)],"&lt;="&amp;$E734)-SUMIFS(TblApplications[RAM IKS libérable (Go)],TblApplications[Cluster IKS source],$F734,TblApplications[Action],"À décommissionner",TblApplications[Mois lib (calc)],"&lt;="&amp;$E734)))))</f>
        <v/>
      </c>
      <c r="Z734" s="14" t="str">
        <f aca="false">IF($D734&lt;&gt;1,"",IF($AI734=1,0,MAX($J734,ROUNDUP(MAX($X734/$H734,$Y734/$I734),0))))</f>
        <v/>
      </c>
      <c r="AA734" s="84" t="str">
        <f aca="false">IF($D734&lt;&gt;1,"",IF(p_mode="Nœud",$Z734*$K734,$X734*IF($G734="IKS",p_iks_cpu,p_roks_cpu)+$Y734*IF($G734="IKS",p_iks_ram,p_roks_ram))*p_facteur)</f>
        <v/>
      </c>
      <c r="AB734" s="14" t="str">
        <f aca="false">IF($D734&lt;&gt;1,"",MAX($J734,ROUNDUP(MAX($L734/$H734,$M734/$I734),0)))</f>
        <v/>
      </c>
      <c r="AC734" s="84" t="str">
        <f aca="false">IF($D734&lt;&gt;1,"",IF(p_mode="Nœud",$AB734*$K734,$L734*IF($G734="IKS",p_iks_cpu,p_roks_cpu)+$M734*IF($G734="IKS",p_iks_ram,p_roks_ram))*p_facteur)</f>
        <v/>
      </c>
      <c r="AD734" s="14" t="str">
        <f aca="false">IF($D734&lt;&gt;1,"",IF(AND($G734="IKS",$AI734&lt;&gt;1,OR($L734-$P734&lt;$N734,$M734-$Q734&lt;$O734)),1,0))</f>
        <v/>
      </c>
      <c r="AE734" s="14" t="str">
        <f aca="false">IF($D734&lt;&gt;1,"",IF(AND($G734="ROKS",$T734&gt;p_maxworkers),1,0))</f>
        <v/>
      </c>
      <c r="AF734" s="14" t="str">
        <f aca="false">IF($D734&lt;&gt;1,"",IF(INDEX(TblClusters[Environnement],$B734)="","(vide)",INDEX(TblClusters[Environnement],$B734)))</f>
        <v/>
      </c>
      <c r="AG734" s="14" t="str">
        <f aca="false">IF($D734&lt;&gt;1,"",$R734+p_poidsram*$S734)</f>
        <v/>
      </c>
      <c r="AH734" s="14" t="str">
        <f aca="false">IF($D734&lt;&gt;1,"",IFERROR($W734/$AG734,0))</f>
        <v/>
      </c>
      <c r="AI734" s="14" t="str">
        <f aca="false">IF($D734&lt;&gt;1,"",IF(AND($G734="IKS",ISNUMBER(INDEX(TblClusters[Fermeture retenue],$B734))),IF($E734&gt;=INDEX(TblClusters[Fermeture retenue],$B734),1,0),0))</f>
        <v/>
      </c>
    </row>
    <row r="735" customFormat="false" ht="15" hidden="false" customHeight="false" outlineLevel="0" collapsed="false">
      <c r="A735" s="14" t="n">
        <v>730</v>
      </c>
      <c r="B735" s="14" t="n">
        <f aca="false">INT(($A735-1)/36)+1</f>
        <v>21</v>
      </c>
      <c r="C735" s="14" t="n">
        <f aca="false">MOD($A735-1,36)+1</f>
        <v>10</v>
      </c>
      <c r="D735" s="14" t="n">
        <f aca="false">IF($C735&gt;p_horizon,0,IFERROR(IF(AND(INDEX(TblClusters[Cluster],$B735)&lt;&gt;"",ISNUMBER(INDEX(TblClusters[CPU initial (vCPU)],$B735)),ISNUMBER(INDEX(TblClusters[CPU min (vCPU)],$B735)),OR(INDEX(TblClusters[Plateforme],$B735)="IKS",INDEX(TblClusters[Plateforme],$B735)="ROKS")),1,0),0))</f>
        <v>0</v>
      </c>
      <c r="E735" s="83" t="str">
        <f aca="false">IF($D735=1,EDATE(p_debut,$C735-1),"")</f>
        <v/>
      </c>
      <c r="F735" s="14" t="str">
        <f aca="false">IF($D735=1,INDEX(TblClusters[Cluster],$B735),"")</f>
        <v/>
      </c>
      <c r="G735" s="14" t="str">
        <f aca="false">IF($D735=1,INDEX(TblClusters[Plateforme],$B735),"")</f>
        <v/>
      </c>
      <c r="H735" s="14" t="str">
        <f aca="false">IF($D735=1,INDEX(TblClusters[vCPU par nœud],$B735),"")</f>
        <v/>
      </c>
      <c r="I735" s="14" t="str">
        <f aca="false">IF($D735=1,INDEX(TblClusters[RAM par nœud (Go)],$B735),"")</f>
        <v/>
      </c>
      <c r="J735" s="14" t="str">
        <f aca="false">IF($D735=1,INDEX(TblClusters[Workers min],$B735),"")</f>
        <v/>
      </c>
      <c r="K735" s="84" t="str">
        <f aca="false">IF($D735=1,INDEX(TblClusters[Tarif par nœud],$B735),"")</f>
        <v/>
      </c>
      <c r="L735" s="14" t="str">
        <f aca="false">IF($D735=1,INDEX(TblClusters[CPU initial (vCPU)],$B735),"")</f>
        <v/>
      </c>
      <c r="M735" s="14" t="str">
        <f aca="false">IF($D735=1,INDEX(TblClusters[RAM initiale (Go)],$B735),"")</f>
        <v/>
      </c>
      <c r="N735" s="14" t="str">
        <f aca="false">IF($D735=1,INDEX(TblClusters[CPU min (vCPU)],$B735),"")</f>
        <v/>
      </c>
      <c r="O735" s="14" t="str">
        <f aca="false">IF($D735=1,INDEX(TblClusters[RAM min (Go)],$B735),"")</f>
        <v/>
      </c>
      <c r="P735" s="14" t="str">
        <f aca="false">IF($D735&lt;&gt;1,"",IF($G735="ROKS",SUMIFS(TblApplications[Besoin ROKS CPU (vCPU)],TblApplications[Cluster ROKS cible],$F735,TblApplications[Action],"À migrer",TblApplications[Déjà incluse ROKS],"Non",TblApplications[Mois prov (calc)],"&lt;="&amp;$E735),SUMIFS(TblApplications[CPU IKS libérable (vCPU)],TblApplications[Cluster IKS source],$F735,TblApplications[Mois lib (calc)],"&lt;="&amp;$E735)))</f>
        <v/>
      </c>
      <c r="Q735" s="14" t="str">
        <f aca="false">IF($D735&lt;&gt;1,"",IF($G735="ROKS",SUMIFS(TblApplications[Besoin ROKS RAM (Go)],TblApplications[Cluster ROKS cible],$F735,TblApplications[Action],"À migrer",TblApplications[Déjà incluse ROKS],"Non",TblApplications[Mois prov (calc)],"&lt;="&amp;$E735),SUMIFS(TblApplications[RAM IKS libérable (Go)],TblApplications[Cluster IKS source],$F735,TblApplications[Mois lib (calc)],"&lt;="&amp;$E735)))</f>
        <v/>
      </c>
      <c r="R735" s="14" t="str">
        <f aca="false">IF($D735&lt;&gt;1,"",IF($G735="ROKS",$L735+$P735,IF($AI735=1,0,MAX($N735,$L735-$P735))))</f>
        <v/>
      </c>
      <c r="S735" s="14" t="str">
        <f aca="false">IF($D735&lt;&gt;1,"",IF($G735="ROKS",$M735+$Q735,IF($AI735=1,0,MAX($O735,$M735-$Q735))))</f>
        <v/>
      </c>
      <c r="T735" s="14" t="str">
        <f aca="false">IF($D735&lt;&gt;1,"",IF($AI735=1,0,MAX($J735,ROUNDUP(MAX($R735/$H735,$S735/$I735),0))))</f>
        <v/>
      </c>
      <c r="U735" s="14" t="str">
        <f aca="false">IF($D735&lt;&gt;1,"",IF(p_mode="Nœud",$T735*$H735,$R735))</f>
        <v/>
      </c>
      <c r="V735" s="14" t="str">
        <f aca="false">IF($D735&lt;&gt;1,"",IF(p_mode="Nœud",$T735*$I735,$S735))</f>
        <v/>
      </c>
      <c r="W735" s="84" t="str">
        <f aca="false">IF($D735&lt;&gt;1,"",IF(p_mode="Nœud",$T735*$K735,$R735*IF($G735="IKS",p_iks_cpu,p_roks_cpu)+$S735*IF($G735="IKS",p_iks_ram,p_roks_ram))*p_facteur)</f>
        <v/>
      </c>
      <c r="X735" s="14" t="str">
        <f aca="false">IF($D735&lt;&gt;1,"",IF($G735="ROKS",$R735,IF($AI735=1,0,MAX($N735,$L735-SUMIFS(TblApplications[CPU IKS libérable (vCPU)],TblApplications[Cluster IKS source],$F735,TblApplications[Action],"À migrer",TblApplications[Mois prov (calc)],"&lt;="&amp;$E735)-SUMIFS(TblApplications[CPU IKS libérable (vCPU)],TblApplications[Cluster IKS source],$F735,TblApplications[Action],"À décommissionner",TblApplications[Mois lib (calc)],"&lt;="&amp;$E735)))))</f>
        <v/>
      </c>
      <c r="Y735" s="14" t="str">
        <f aca="false">IF($D735&lt;&gt;1,"",IF($G735="ROKS",$S735,IF($AI735=1,0,MAX($O735,$M735-SUMIFS(TblApplications[RAM IKS libérable (Go)],TblApplications[Cluster IKS source],$F735,TblApplications[Action],"À migrer",TblApplications[Mois prov (calc)],"&lt;="&amp;$E735)-SUMIFS(TblApplications[RAM IKS libérable (Go)],TblApplications[Cluster IKS source],$F735,TblApplications[Action],"À décommissionner",TblApplications[Mois lib (calc)],"&lt;="&amp;$E735)))))</f>
        <v/>
      </c>
      <c r="Z735" s="14" t="str">
        <f aca="false">IF($D735&lt;&gt;1,"",IF($AI735=1,0,MAX($J735,ROUNDUP(MAX($X735/$H735,$Y735/$I735),0))))</f>
        <v/>
      </c>
      <c r="AA735" s="84" t="str">
        <f aca="false">IF($D735&lt;&gt;1,"",IF(p_mode="Nœud",$Z735*$K735,$X735*IF($G735="IKS",p_iks_cpu,p_roks_cpu)+$Y735*IF($G735="IKS",p_iks_ram,p_roks_ram))*p_facteur)</f>
        <v/>
      </c>
      <c r="AB735" s="14" t="str">
        <f aca="false">IF($D735&lt;&gt;1,"",MAX($J735,ROUNDUP(MAX($L735/$H735,$M735/$I735),0)))</f>
        <v/>
      </c>
      <c r="AC735" s="84" t="str">
        <f aca="false">IF($D735&lt;&gt;1,"",IF(p_mode="Nœud",$AB735*$K735,$L735*IF($G735="IKS",p_iks_cpu,p_roks_cpu)+$M735*IF($G735="IKS",p_iks_ram,p_roks_ram))*p_facteur)</f>
        <v/>
      </c>
      <c r="AD735" s="14" t="str">
        <f aca="false">IF($D735&lt;&gt;1,"",IF(AND($G735="IKS",$AI735&lt;&gt;1,OR($L735-$P735&lt;$N735,$M735-$Q735&lt;$O735)),1,0))</f>
        <v/>
      </c>
      <c r="AE735" s="14" t="str">
        <f aca="false">IF($D735&lt;&gt;1,"",IF(AND($G735="ROKS",$T735&gt;p_maxworkers),1,0))</f>
        <v/>
      </c>
      <c r="AF735" s="14" t="str">
        <f aca="false">IF($D735&lt;&gt;1,"",IF(INDEX(TblClusters[Environnement],$B735)="","(vide)",INDEX(TblClusters[Environnement],$B735)))</f>
        <v/>
      </c>
      <c r="AG735" s="14" t="str">
        <f aca="false">IF($D735&lt;&gt;1,"",$R735+p_poidsram*$S735)</f>
        <v/>
      </c>
      <c r="AH735" s="14" t="str">
        <f aca="false">IF($D735&lt;&gt;1,"",IFERROR($W735/$AG735,0))</f>
        <v/>
      </c>
      <c r="AI735" s="14" t="str">
        <f aca="false">IF($D735&lt;&gt;1,"",IF(AND($G735="IKS",ISNUMBER(INDEX(TblClusters[Fermeture retenue],$B735))),IF($E735&gt;=INDEX(TblClusters[Fermeture retenue],$B735),1,0),0))</f>
        <v/>
      </c>
    </row>
    <row r="736" customFormat="false" ht="15" hidden="false" customHeight="false" outlineLevel="0" collapsed="false">
      <c r="A736" s="14" t="n">
        <v>731</v>
      </c>
      <c r="B736" s="14" t="n">
        <f aca="false">INT(($A736-1)/36)+1</f>
        <v>21</v>
      </c>
      <c r="C736" s="14" t="n">
        <f aca="false">MOD($A736-1,36)+1</f>
        <v>11</v>
      </c>
      <c r="D736" s="14" t="n">
        <f aca="false">IF($C736&gt;p_horizon,0,IFERROR(IF(AND(INDEX(TblClusters[Cluster],$B736)&lt;&gt;"",ISNUMBER(INDEX(TblClusters[CPU initial (vCPU)],$B736)),ISNUMBER(INDEX(TblClusters[CPU min (vCPU)],$B736)),OR(INDEX(TblClusters[Plateforme],$B736)="IKS",INDEX(TblClusters[Plateforme],$B736)="ROKS")),1,0),0))</f>
        <v>0</v>
      </c>
      <c r="E736" s="83" t="str">
        <f aca="false">IF($D736=1,EDATE(p_debut,$C736-1),"")</f>
        <v/>
      </c>
      <c r="F736" s="14" t="str">
        <f aca="false">IF($D736=1,INDEX(TblClusters[Cluster],$B736),"")</f>
        <v/>
      </c>
      <c r="G736" s="14" t="str">
        <f aca="false">IF($D736=1,INDEX(TblClusters[Plateforme],$B736),"")</f>
        <v/>
      </c>
      <c r="H736" s="14" t="str">
        <f aca="false">IF($D736=1,INDEX(TblClusters[vCPU par nœud],$B736),"")</f>
        <v/>
      </c>
      <c r="I736" s="14" t="str">
        <f aca="false">IF($D736=1,INDEX(TblClusters[RAM par nœud (Go)],$B736),"")</f>
        <v/>
      </c>
      <c r="J736" s="14" t="str">
        <f aca="false">IF($D736=1,INDEX(TblClusters[Workers min],$B736),"")</f>
        <v/>
      </c>
      <c r="K736" s="84" t="str">
        <f aca="false">IF($D736=1,INDEX(TblClusters[Tarif par nœud],$B736),"")</f>
        <v/>
      </c>
      <c r="L736" s="14" t="str">
        <f aca="false">IF($D736=1,INDEX(TblClusters[CPU initial (vCPU)],$B736),"")</f>
        <v/>
      </c>
      <c r="M736" s="14" t="str">
        <f aca="false">IF($D736=1,INDEX(TblClusters[RAM initiale (Go)],$B736),"")</f>
        <v/>
      </c>
      <c r="N736" s="14" t="str">
        <f aca="false">IF($D736=1,INDEX(TblClusters[CPU min (vCPU)],$B736),"")</f>
        <v/>
      </c>
      <c r="O736" s="14" t="str">
        <f aca="false">IF($D736=1,INDEX(TblClusters[RAM min (Go)],$B736),"")</f>
        <v/>
      </c>
      <c r="P736" s="14" t="str">
        <f aca="false">IF($D736&lt;&gt;1,"",IF($G736="ROKS",SUMIFS(TblApplications[Besoin ROKS CPU (vCPU)],TblApplications[Cluster ROKS cible],$F736,TblApplications[Action],"À migrer",TblApplications[Déjà incluse ROKS],"Non",TblApplications[Mois prov (calc)],"&lt;="&amp;$E736),SUMIFS(TblApplications[CPU IKS libérable (vCPU)],TblApplications[Cluster IKS source],$F736,TblApplications[Mois lib (calc)],"&lt;="&amp;$E736)))</f>
        <v/>
      </c>
      <c r="Q736" s="14" t="str">
        <f aca="false">IF($D736&lt;&gt;1,"",IF($G736="ROKS",SUMIFS(TblApplications[Besoin ROKS RAM (Go)],TblApplications[Cluster ROKS cible],$F736,TblApplications[Action],"À migrer",TblApplications[Déjà incluse ROKS],"Non",TblApplications[Mois prov (calc)],"&lt;="&amp;$E736),SUMIFS(TblApplications[RAM IKS libérable (Go)],TblApplications[Cluster IKS source],$F736,TblApplications[Mois lib (calc)],"&lt;="&amp;$E736)))</f>
        <v/>
      </c>
      <c r="R736" s="14" t="str">
        <f aca="false">IF($D736&lt;&gt;1,"",IF($G736="ROKS",$L736+$P736,IF($AI736=1,0,MAX($N736,$L736-$P736))))</f>
        <v/>
      </c>
      <c r="S736" s="14" t="str">
        <f aca="false">IF($D736&lt;&gt;1,"",IF($G736="ROKS",$M736+$Q736,IF($AI736=1,0,MAX($O736,$M736-$Q736))))</f>
        <v/>
      </c>
      <c r="T736" s="14" t="str">
        <f aca="false">IF($D736&lt;&gt;1,"",IF($AI736=1,0,MAX($J736,ROUNDUP(MAX($R736/$H736,$S736/$I736),0))))</f>
        <v/>
      </c>
      <c r="U736" s="14" t="str">
        <f aca="false">IF($D736&lt;&gt;1,"",IF(p_mode="Nœud",$T736*$H736,$R736))</f>
        <v/>
      </c>
      <c r="V736" s="14" t="str">
        <f aca="false">IF($D736&lt;&gt;1,"",IF(p_mode="Nœud",$T736*$I736,$S736))</f>
        <v/>
      </c>
      <c r="W736" s="84" t="str">
        <f aca="false">IF($D736&lt;&gt;1,"",IF(p_mode="Nœud",$T736*$K736,$R736*IF($G736="IKS",p_iks_cpu,p_roks_cpu)+$S736*IF($G736="IKS",p_iks_ram,p_roks_ram))*p_facteur)</f>
        <v/>
      </c>
      <c r="X736" s="14" t="str">
        <f aca="false">IF($D736&lt;&gt;1,"",IF($G736="ROKS",$R736,IF($AI736=1,0,MAX($N736,$L736-SUMIFS(TblApplications[CPU IKS libérable (vCPU)],TblApplications[Cluster IKS source],$F736,TblApplications[Action],"À migrer",TblApplications[Mois prov (calc)],"&lt;="&amp;$E736)-SUMIFS(TblApplications[CPU IKS libérable (vCPU)],TblApplications[Cluster IKS source],$F736,TblApplications[Action],"À décommissionner",TblApplications[Mois lib (calc)],"&lt;="&amp;$E736)))))</f>
        <v/>
      </c>
      <c r="Y736" s="14" t="str">
        <f aca="false">IF($D736&lt;&gt;1,"",IF($G736="ROKS",$S736,IF($AI736=1,0,MAX($O736,$M736-SUMIFS(TblApplications[RAM IKS libérable (Go)],TblApplications[Cluster IKS source],$F736,TblApplications[Action],"À migrer",TblApplications[Mois prov (calc)],"&lt;="&amp;$E736)-SUMIFS(TblApplications[RAM IKS libérable (Go)],TblApplications[Cluster IKS source],$F736,TblApplications[Action],"À décommissionner",TblApplications[Mois lib (calc)],"&lt;="&amp;$E736)))))</f>
        <v/>
      </c>
      <c r="Z736" s="14" t="str">
        <f aca="false">IF($D736&lt;&gt;1,"",IF($AI736=1,0,MAX($J736,ROUNDUP(MAX($X736/$H736,$Y736/$I736),0))))</f>
        <v/>
      </c>
      <c r="AA736" s="84" t="str">
        <f aca="false">IF($D736&lt;&gt;1,"",IF(p_mode="Nœud",$Z736*$K736,$X736*IF($G736="IKS",p_iks_cpu,p_roks_cpu)+$Y736*IF($G736="IKS",p_iks_ram,p_roks_ram))*p_facteur)</f>
        <v/>
      </c>
      <c r="AB736" s="14" t="str">
        <f aca="false">IF($D736&lt;&gt;1,"",MAX($J736,ROUNDUP(MAX($L736/$H736,$M736/$I736),0)))</f>
        <v/>
      </c>
      <c r="AC736" s="84" t="str">
        <f aca="false">IF($D736&lt;&gt;1,"",IF(p_mode="Nœud",$AB736*$K736,$L736*IF($G736="IKS",p_iks_cpu,p_roks_cpu)+$M736*IF($G736="IKS",p_iks_ram,p_roks_ram))*p_facteur)</f>
        <v/>
      </c>
      <c r="AD736" s="14" t="str">
        <f aca="false">IF($D736&lt;&gt;1,"",IF(AND($G736="IKS",$AI736&lt;&gt;1,OR($L736-$P736&lt;$N736,$M736-$Q736&lt;$O736)),1,0))</f>
        <v/>
      </c>
      <c r="AE736" s="14" t="str">
        <f aca="false">IF($D736&lt;&gt;1,"",IF(AND($G736="ROKS",$T736&gt;p_maxworkers),1,0))</f>
        <v/>
      </c>
      <c r="AF736" s="14" t="str">
        <f aca="false">IF($D736&lt;&gt;1,"",IF(INDEX(TblClusters[Environnement],$B736)="","(vide)",INDEX(TblClusters[Environnement],$B736)))</f>
        <v/>
      </c>
      <c r="AG736" s="14" t="str">
        <f aca="false">IF($D736&lt;&gt;1,"",$R736+p_poidsram*$S736)</f>
        <v/>
      </c>
      <c r="AH736" s="14" t="str">
        <f aca="false">IF($D736&lt;&gt;1,"",IFERROR($W736/$AG736,0))</f>
        <v/>
      </c>
      <c r="AI736" s="14" t="str">
        <f aca="false">IF($D736&lt;&gt;1,"",IF(AND($G736="IKS",ISNUMBER(INDEX(TblClusters[Fermeture retenue],$B736))),IF($E736&gt;=INDEX(TblClusters[Fermeture retenue],$B736),1,0),0))</f>
        <v/>
      </c>
    </row>
    <row r="737" customFormat="false" ht="15" hidden="false" customHeight="false" outlineLevel="0" collapsed="false">
      <c r="A737" s="14" t="n">
        <v>732</v>
      </c>
      <c r="B737" s="14" t="n">
        <f aca="false">INT(($A737-1)/36)+1</f>
        <v>21</v>
      </c>
      <c r="C737" s="14" t="n">
        <f aca="false">MOD($A737-1,36)+1</f>
        <v>12</v>
      </c>
      <c r="D737" s="14" t="n">
        <f aca="false">IF($C737&gt;p_horizon,0,IFERROR(IF(AND(INDEX(TblClusters[Cluster],$B737)&lt;&gt;"",ISNUMBER(INDEX(TblClusters[CPU initial (vCPU)],$B737)),ISNUMBER(INDEX(TblClusters[CPU min (vCPU)],$B737)),OR(INDEX(TblClusters[Plateforme],$B737)="IKS",INDEX(TblClusters[Plateforme],$B737)="ROKS")),1,0),0))</f>
        <v>0</v>
      </c>
      <c r="E737" s="83" t="str">
        <f aca="false">IF($D737=1,EDATE(p_debut,$C737-1),"")</f>
        <v/>
      </c>
      <c r="F737" s="14" t="str">
        <f aca="false">IF($D737=1,INDEX(TblClusters[Cluster],$B737),"")</f>
        <v/>
      </c>
      <c r="G737" s="14" t="str">
        <f aca="false">IF($D737=1,INDEX(TblClusters[Plateforme],$B737),"")</f>
        <v/>
      </c>
      <c r="H737" s="14" t="str">
        <f aca="false">IF($D737=1,INDEX(TblClusters[vCPU par nœud],$B737),"")</f>
        <v/>
      </c>
      <c r="I737" s="14" t="str">
        <f aca="false">IF($D737=1,INDEX(TblClusters[RAM par nœud (Go)],$B737),"")</f>
        <v/>
      </c>
      <c r="J737" s="14" t="str">
        <f aca="false">IF($D737=1,INDEX(TblClusters[Workers min],$B737),"")</f>
        <v/>
      </c>
      <c r="K737" s="84" t="str">
        <f aca="false">IF($D737=1,INDEX(TblClusters[Tarif par nœud],$B737),"")</f>
        <v/>
      </c>
      <c r="L737" s="14" t="str">
        <f aca="false">IF($D737=1,INDEX(TblClusters[CPU initial (vCPU)],$B737),"")</f>
        <v/>
      </c>
      <c r="M737" s="14" t="str">
        <f aca="false">IF($D737=1,INDEX(TblClusters[RAM initiale (Go)],$B737),"")</f>
        <v/>
      </c>
      <c r="N737" s="14" t="str">
        <f aca="false">IF($D737=1,INDEX(TblClusters[CPU min (vCPU)],$B737),"")</f>
        <v/>
      </c>
      <c r="O737" s="14" t="str">
        <f aca="false">IF($D737=1,INDEX(TblClusters[RAM min (Go)],$B737),"")</f>
        <v/>
      </c>
      <c r="P737" s="14" t="str">
        <f aca="false">IF($D737&lt;&gt;1,"",IF($G737="ROKS",SUMIFS(TblApplications[Besoin ROKS CPU (vCPU)],TblApplications[Cluster ROKS cible],$F737,TblApplications[Action],"À migrer",TblApplications[Déjà incluse ROKS],"Non",TblApplications[Mois prov (calc)],"&lt;="&amp;$E737),SUMIFS(TblApplications[CPU IKS libérable (vCPU)],TblApplications[Cluster IKS source],$F737,TblApplications[Mois lib (calc)],"&lt;="&amp;$E737)))</f>
        <v/>
      </c>
      <c r="Q737" s="14" t="str">
        <f aca="false">IF($D737&lt;&gt;1,"",IF($G737="ROKS",SUMIFS(TblApplications[Besoin ROKS RAM (Go)],TblApplications[Cluster ROKS cible],$F737,TblApplications[Action],"À migrer",TblApplications[Déjà incluse ROKS],"Non",TblApplications[Mois prov (calc)],"&lt;="&amp;$E737),SUMIFS(TblApplications[RAM IKS libérable (Go)],TblApplications[Cluster IKS source],$F737,TblApplications[Mois lib (calc)],"&lt;="&amp;$E737)))</f>
        <v/>
      </c>
      <c r="R737" s="14" t="str">
        <f aca="false">IF($D737&lt;&gt;1,"",IF($G737="ROKS",$L737+$P737,IF($AI737=1,0,MAX($N737,$L737-$P737))))</f>
        <v/>
      </c>
      <c r="S737" s="14" t="str">
        <f aca="false">IF($D737&lt;&gt;1,"",IF($G737="ROKS",$M737+$Q737,IF($AI737=1,0,MAX($O737,$M737-$Q737))))</f>
        <v/>
      </c>
      <c r="T737" s="14" t="str">
        <f aca="false">IF($D737&lt;&gt;1,"",IF($AI737=1,0,MAX($J737,ROUNDUP(MAX($R737/$H737,$S737/$I737),0))))</f>
        <v/>
      </c>
      <c r="U737" s="14" t="str">
        <f aca="false">IF($D737&lt;&gt;1,"",IF(p_mode="Nœud",$T737*$H737,$R737))</f>
        <v/>
      </c>
      <c r="V737" s="14" t="str">
        <f aca="false">IF($D737&lt;&gt;1,"",IF(p_mode="Nœud",$T737*$I737,$S737))</f>
        <v/>
      </c>
      <c r="W737" s="84" t="str">
        <f aca="false">IF($D737&lt;&gt;1,"",IF(p_mode="Nœud",$T737*$K737,$R737*IF($G737="IKS",p_iks_cpu,p_roks_cpu)+$S737*IF($G737="IKS",p_iks_ram,p_roks_ram))*p_facteur)</f>
        <v/>
      </c>
      <c r="X737" s="14" t="str">
        <f aca="false">IF($D737&lt;&gt;1,"",IF($G737="ROKS",$R737,IF($AI737=1,0,MAX($N737,$L737-SUMIFS(TblApplications[CPU IKS libérable (vCPU)],TblApplications[Cluster IKS source],$F737,TblApplications[Action],"À migrer",TblApplications[Mois prov (calc)],"&lt;="&amp;$E737)-SUMIFS(TblApplications[CPU IKS libérable (vCPU)],TblApplications[Cluster IKS source],$F737,TblApplications[Action],"À décommissionner",TblApplications[Mois lib (calc)],"&lt;="&amp;$E737)))))</f>
        <v/>
      </c>
      <c r="Y737" s="14" t="str">
        <f aca="false">IF($D737&lt;&gt;1,"",IF($G737="ROKS",$S737,IF($AI737=1,0,MAX($O737,$M737-SUMIFS(TblApplications[RAM IKS libérable (Go)],TblApplications[Cluster IKS source],$F737,TblApplications[Action],"À migrer",TblApplications[Mois prov (calc)],"&lt;="&amp;$E737)-SUMIFS(TblApplications[RAM IKS libérable (Go)],TblApplications[Cluster IKS source],$F737,TblApplications[Action],"À décommissionner",TblApplications[Mois lib (calc)],"&lt;="&amp;$E737)))))</f>
        <v/>
      </c>
      <c r="Z737" s="14" t="str">
        <f aca="false">IF($D737&lt;&gt;1,"",IF($AI737=1,0,MAX($J737,ROUNDUP(MAX($X737/$H737,$Y737/$I737),0))))</f>
        <v/>
      </c>
      <c r="AA737" s="84" t="str">
        <f aca="false">IF($D737&lt;&gt;1,"",IF(p_mode="Nœud",$Z737*$K737,$X737*IF($G737="IKS",p_iks_cpu,p_roks_cpu)+$Y737*IF($G737="IKS",p_iks_ram,p_roks_ram))*p_facteur)</f>
        <v/>
      </c>
      <c r="AB737" s="14" t="str">
        <f aca="false">IF($D737&lt;&gt;1,"",MAX($J737,ROUNDUP(MAX($L737/$H737,$M737/$I737),0)))</f>
        <v/>
      </c>
      <c r="AC737" s="84" t="str">
        <f aca="false">IF($D737&lt;&gt;1,"",IF(p_mode="Nœud",$AB737*$K737,$L737*IF($G737="IKS",p_iks_cpu,p_roks_cpu)+$M737*IF($G737="IKS",p_iks_ram,p_roks_ram))*p_facteur)</f>
        <v/>
      </c>
      <c r="AD737" s="14" t="str">
        <f aca="false">IF($D737&lt;&gt;1,"",IF(AND($G737="IKS",$AI737&lt;&gt;1,OR($L737-$P737&lt;$N737,$M737-$Q737&lt;$O737)),1,0))</f>
        <v/>
      </c>
      <c r="AE737" s="14" t="str">
        <f aca="false">IF($D737&lt;&gt;1,"",IF(AND($G737="ROKS",$T737&gt;p_maxworkers),1,0))</f>
        <v/>
      </c>
      <c r="AF737" s="14" t="str">
        <f aca="false">IF($D737&lt;&gt;1,"",IF(INDEX(TblClusters[Environnement],$B737)="","(vide)",INDEX(TblClusters[Environnement],$B737)))</f>
        <v/>
      </c>
      <c r="AG737" s="14" t="str">
        <f aca="false">IF($D737&lt;&gt;1,"",$R737+p_poidsram*$S737)</f>
        <v/>
      </c>
      <c r="AH737" s="14" t="str">
        <f aca="false">IF($D737&lt;&gt;1,"",IFERROR($W737/$AG737,0))</f>
        <v/>
      </c>
      <c r="AI737" s="14" t="str">
        <f aca="false">IF($D737&lt;&gt;1,"",IF(AND($G737="IKS",ISNUMBER(INDEX(TblClusters[Fermeture retenue],$B737))),IF($E737&gt;=INDEX(TblClusters[Fermeture retenue],$B737),1,0),0))</f>
        <v/>
      </c>
    </row>
    <row r="738" customFormat="false" ht="15" hidden="false" customHeight="false" outlineLevel="0" collapsed="false">
      <c r="A738" s="14" t="n">
        <v>733</v>
      </c>
      <c r="B738" s="14" t="n">
        <f aca="false">INT(($A738-1)/36)+1</f>
        <v>21</v>
      </c>
      <c r="C738" s="14" t="n">
        <f aca="false">MOD($A738-1,36)+1</f>
        <v>13</v>
      </c>
      <c r="D738" s="14" t="n">
        <f aca="false">IF($C738&gt;p_horizon,0,IFERROR(IF(AND(INDEX(TblClusters[Cluster],$B738)&lt;&gt;"",ISNUMBER(INDEX(TblClusters[CPU initial (vCPU)],$B738)),ISNUMBER(INDEX(TblClusters[CPU min (vCPU)],$B738)),OR(INDEX(TblClusters[Plateforme],$B738)="IKS",INDEX(TblClusters[Plateforme],$B738)="ROKS")),1,0),0))</f>
        <v>0</v>
      </c>
      <c r="E738" s="83" t="str">
        <f aca="false">IF($D738=1,EDATE(p_debut,$C738-1),"")</f>
        <v/>
      </c>
      <c r="F738" s="14" t="str">
        <f aca="false">IF($D738=1,INDEX(TblClusters[Cluster],$B738),"")</f>
        <v/>
      </c>
      <c r="G738" s="14" t="str">
        <f aca="false">IF($D738=1,INDEX(TblClusters[Plateforme],$B738),"")</f>
        <v/>
      </c>
      <c r="H738" s="14" t="str">
        <f aca="false">IF($D738=1,INDEX(TblClusters[vCPU par nœud],$B738),"")</f>
        <v/>
      </c>
      <c r="I738" s="14" t="str">
        <f aca="false">IF($D738=1,INDEX(TblClusters[RAM par nœud (Go)],$B738),"")</f>
        <v/>
      </c>
      <c r="J738" s="14" t="str">
        <f aca="false">IF($D738=1,INDEX(TblClusters[Workers min],$B738),"")</f>
        <v/>
      </c>
      <c r="K738" s="84" t="str">
        <f aca="false">IF($D738=1,INDEX(TblClusters[Tarif par nœud],$B738),"")</f>
        <v/>
      </c>
      <c r="L738" s="14" t="str">
        <f aca="false">IF($D738=1,INDEX(TblClusters[CPU initial (vCPU)],$B738),"")</f>
        <v/>
      </c>
      <c r="M738" s="14" t="str">
        <f aca="false">IF($D738=1,INDEX(TblClusters[RAM initiale (Go)],$B738),"")</f>
        <v/>
      </c>
      <c r="N738" s="14" t="str">
        <f aca="false">IF($D738=1,INDEX(TblClusters[CPU min (vCPU)],$B738),"")</f>
        <v/>
      </c>
      <c r="O738" s="14" t="str">
        <f aca="false">IF($D738=1,INDEX(TblClusters[RAM min (Go)],$B738),"")</f>
        <v/>
      </c>
      <c r="P738" s="14" t="str">
        <f aca="false">IF($D738&lt;&gt;1,"",IF($G738="ROKS",SUMIFS(TblApplications[Besoin ROKS CPU (vCPU)],TblApplications[Cluster ROKS cible],$F738,TblApplications[Action],"À migrer",TblApplications[Déjà incluse ROKS],"Non",TblApplications[Mois prov (calc)],"&lt;="&amp;$E738),SUMIFS(TblApplications[CPU IKS libérable (vCPU)],TblApplications[Cluster IKS source],$F738,TblApplications[Mois lib (calc)],"&lt;="&amp;$E738)))</f>
        <v/>
      </c>
      <c r="Q738" s="14" t="str">
        <f aca="false">IF($D738&lt;&gt;1,"",IF($G738="ROKS",SUMIFS(TblApplications[Besoin ROKS RAM (Go)],TblApplications[Cluster ROKS cible],$F738,TblApplications[Action],"À migrer",TblApplications[Déjà incluse ROKS],"Non",TblApplications[Mois prov (calc)],"&lt;="&amp;$E738),SUMIFS(TblApplications[RAM IKS libérable (Go)],TblApplications[Cluster IKS source],$F738,TblApplications[Mois lib (calc)],"&lt;="&amp;$E738)))</f>
        <v/>
      </c>
      <c r="R738" s="14" t="str">
        <f aca="false">IF($D738&lt;&gt;1,"",IF($G738="ROKS",$L738+$P738,IF($AI738=1,0,MAX($N738,$L738-$P738))))</f>
        <v/>
      </c>
      <c r="S738" s="14" t="str">
        <f aca="false">IF($D738&lt;&gt;1,"",IF($G738="ROKS",$M738+$Q738,IF($AI738=1,0,MAX($O738,$M738-$Q738))))</f>
        <v/>
      </c>
      <c r="T738" s="14" t="str">
        <f aca="false">IF($D738&lt;&gt;1,"",IF($AI738=1,0,MAX($J738,ROUNDUP(MAX($R738/$H738,$S738/$I738),0))))</f>
        <v/>
      </c>
      <c r="U738" s="14" t="str">
        <f aca="false">IF($D738&lt;&gt;1,"",IF(p_mode="Nœud",$T738*$H738,$R738))</f>
        <v/>
      </c>
      <c r="V738" s="14" t="str">
        <f aca="false">IF($D738&lt;&gt;1,"",IF(p_mode="Nœud",$T738*$I738,$S738))</f>
        <v/>
      </c>
      <c r="W738" s="84" t="str">
        <f aca="false">IF($D738&lt;&gt;1,"",IF(p_mode="Nœud",$T738*$K738,$R738*IF($G738="IKS",p_iks_cpu,p_roks_cpu)+$S738*IF($G738="IKS",p_iks_ram,p_roks_ram))*p_facteur)</f>
        <v/>
      </c>
      <c r="X738" s="14" t="str">
        <f aca="false">IF($D738&lt;&gt;1,"",IF($G738="ROKS",$R738,IF($AI738=1,0,MAX($N738,$L738-SUMIFS(TblApplications[CPU IKS libérable (vCPU)],TblApplications[Cluster IKS source],$F738,TblApplications[Action],"À migrer",TblApplications[Mois prov (calc)],"&lt;="&amp;$E738)-SUMIFS(TblApplications[CPU IKS libérable (vCPU)],TblApplications[Cluster IKS source],$F738,TblApplications[Action],"À décommissionner",TblApplications[Mois lib (calc)],"&lt;="&amp;$E738)))))</f>
        <v/>
      </c>
      <c r="Y738" s="14" t="str">
        <f aca="false">IF($D738&lt;&gt;1,"",IF($G738="ROKS",$S738,IF($AI738=1,0,MAX($O738,$M738-SUMIFS(TblApplications[RAM IKS libérable (Go)],TblApplications[Cluster IKS source],$F738,TblApplications[Action],"À migrer",TblApplications[Mois prov (calc)],"&lt;="&amp;$E738)-SUMIFS(TblApplications[RAM IKS libérable (Go)],TblApplications[Cluster IKS source],$F738,TblApplications[Action],"À décommissionner",TblApplications[Mois lib (calc)],"&lt;="&amp;$E738)))))</f>
        <v/>
      </c>
      <c r="Z738" s="14" t="str">
        <f aca="false">IF($D738&lt;&gt;1,"",IF($AI738=1,0,MAX($J738,ROUNDUP(MAX($X738/$H738,$Y738/$I738),0))))</f>
        <v/>
      </c>
      <c r="AA738" s="84" t="str">
        <f aca="false">IF($D738&lt;&gt;1,"",IF(p_mode="Nœud",$Z738*$K738,$X738*IF($G738="IKS",p_iks_cpu,p_roks_cpu)+$Y738*IF($G738="IKS",p_iks_ram,p_roks_ram))*p_facteur)</f>
        <v/>
      </c>
      <c r="AB738" s="14" t="str">
        <f aca="false">IF($D738&lt;&gt;1,"",MAX($J738,ROUNDUP(MAX($L738/$H738,$M738/$I738),0)))</f>
        <v/>
      </c>
      <c r="AC738" s="84" t="str">
        <f aca="false">IF($D738&lt;&gt;1,"",IF(p_mode="Nœud",$AB738*$K738,$L738*IF($G738="IKS",p_iks_cpu,p_roks_cpu)+$M738*IF($G738="IKS",p_iks_ram,p_roks_ram))*p_facteur)</f>
        <v/>
      </c>
      <c r="AD738" s="14" t="str">
        <f aca="false">IF($D738&lt;&gt;1,"",IF(AND($G738="IKS",$AI738&lt;&gt;1,OR($L738-$P738&lt;$N738,$M738-$Q738&lt;$O738)),1,0))</f>
        <v/>
      </c>
      <c r="AE738" s="14" t="str">
        <f aca="false">IF($D738&lt;&gt;1,"",IF(AND($G738="ROKS",$T738&gt;p_maxworkers),1,0))</f>
        <v/>
      </c>
      <c r="AF738" s="14" t="str">
        <f aca="false">IF($D738&lt;&gt;1,"",IF(INDEX(TblClusters[Environnement],$B738)="","(vide)",INDEX(TblClusters[Environnement],$B738)))</f>
        <v/>
      </c>
      <c r="AG738" s="14" t="str">
        <f aca="false">IF($D738&lt;&gt;1,"",$R738+p_poidsram*$S738)</f>
        <v/>
      </c>
      <c r="AH738" s="14" t="str">
        <f aca="false">IF($D738&lt;&gt;1,"",IFERROR($W738/$AG738,0))</f>
        <v/>
      </c>
      <c r="AI738" s="14" t="str">
        <f aca="false">IF($D738&lt;&gt;1,"",IF(AND($G738="IKS",ISNUMBER(INDEX(TblClusters[Fermeture retenue],$B738))),IF($E738&gt;=INDEX(TblClusters[Fermeture retenue],$B738),1,0),0))</f>
        <v/>
      </c>
    </row>
    <row r="739" customFormat="false" ht="15" hidden="false" customHeight="false" outlineLevel="0" collapsed="false">
      <c r="A739" s="14" t="n">
        <v>734</v>
      </c>
      <c r="B739" s="14" t="n">
        <f aca="false">INT(($A739-1)/36)+1</f>
        <v>21</v>
      </c>
      <c r="C739" s="14" t="n">
        <f aca="false">MOD($A739-1,36)+1</f>
        <v>14</v>
      </c>
      <c r="D739" s="14" t="n">
        <f aca="false">IF($C739&gt;p_horizon,0,IFERROR(IF(AND(INDEX(TblClusters[Cluster],$B739)&lt;&gt;"",ISNUMBER(INDEX(TblClusters[CPU initial (vCPU)],$B739)),ISNUMBER(INDEX(TblClusters[CPU min (vCPU)],$B739)),OR(INDEX(TblClusters[Plateforme],$B739)="IKS",INDEX(TblClusters[Plateforme],$B739)="ROKS")),1,0),0))</f>
        <v>0</v>
      </c>
      <c r="E739" s="83" t="str">
        <f aca="false">IF($D739=1,EDATE(p_debut,$C739-1),"")</f>
        <v/>
      </c>
      <c r="F739" s="14" t="str">
        <f aca="false">IF($D739=1,INDEX(TblClusters[Cluster],$B739),"")</f>
        <v/>
      </c>
      <c r="G739" s="14" t="str">
        <f aca="false">IF($D739=1,INDEX(TblClusters[Plateforme],$B739),"")</f>
        <v/>
      </c>
      <c r="H739" s="14" t="str">
        <f aca="false">IF($D739=1,INDEX(TblClusters[vCPU par nœud],$B739),"")</f>
        <v/>
      </c>
      <c r="I739" s="14" t="str">
        <f aca="false">IF($D739=1,INDEX(TblClusters[RAM par nœud (Go)],$B739),"")</f>
        <v/>
      </c>
      <c r="J739" s="14" t="str">
        <f aca="false">IF($D739=1,INDEX(TblClusters[Workers min],$B739),"")</f>
        <v/>
      </c>
      <c r="K739" s="84" t="str">
        <f aca="false">IF($D739=1,INDEX(TblClusters[Tarif par nœud],$B739),"")</f>
        <v/>
      </c>
      <c r="L739" s="14" t="str">
        <f aca="false">IF($D739=1,INDEX(TblClusters[CPU initial (vCPU)],$B739),"")</f>
        <v/>
      </c>
      <c r="M739" s="14" t="str">
        <f aca="false">IF($D739=1,INDEX(TblClusters[RAM initiale (Go)],$B739),"")</f>
        <v/>
      </c>
      <c r="N739" s="14" t="str">
        <f aca="false">IF($D739=1,INDEX(TblClusters[CPU min (vCPU)],$B739),"")</f>
        <v/>
      </c>
      <c r="O739" s="14" t="str">
        <f aca="false">IF($D739=1,INDEX(TblClusters[RAM min (Go)],$B739),"")</f>
        <v/>
      </c>
      <c r="P739" s="14" t="str">
        <f aca="false">IF($D739&lt;&gt;1,"",IF($G739="ROKS",SUMIFS(TblApplications[Besoin ROKS CPU (vCPU)],TblApplications[Cluster ROKS cible],$F739,TblApplications[Action],"À migrer",TblApplications[Déjà incluse ROKS],"Non",TblApplications[Mois prov (calc)],"&lt;="&amp;$E739),SUMIFS(TblApplications[CPU IKS libérable (vCPU)],TblApplications[Cluster IKS source],$F739,TblApplications[Mois lib (calc)],"&lt;="&amp;$E739)))</f>
        <v/>
      </c>
      <c r="Q739" s="14" t="str">
        <f aca="false">IF($D739&lt;&gt;1,"",IF($G739="ROKS",SUMIFS(TblApplications[Besoin ROKS RAM (Go)],TblApplications[Cluster ROKS cible],$F739,TblApplications[Action],"À migrer",TblApplications[Déjà incluse ROKS],"Non",TblApplications[Mois prov (calc)],"&lt;="&amp;$E739),SUMIFS(TblApplications[RAM IKS libérable (Go)],TblApplications[Cluster IKS source],$F739,TblApplications[Mois lib (calc)],"&lt;="&amp;$E739)))</f>
        <v/>
      </c>
      <c r="R739" s="14" t="str">
        <f aca="false">IF($D739&lt;&gt;1,"",IF($G739="ROKS",$L739+$P739,IF($AI739=1,0,MAX($N739,$L739-$P739))))</f>
        <v/>
      </c>
      <c r="S739" s="14" t="str">
        <f aca="false">IF($D739&lt;&gt;1,"",IF($G739="ROKS",$M739+$Q739,IF($AI739=1,0,MAX($O739,$M739-$Q739))))</f>
        <v/>
      </c>
      <c r="T739" s="14" t="str">
        <f aca="false">IF($D739&lt;&gt;1,"",IF($AI739=1,0,MAX($J739,ROUNDUP(MAX($R739/$H739,$S739/$I739),0))))</f>
        <v/>
      </c>
      <c r="U739" s="14" t="str">
        <f aca="false">IF($D739&lt;&gt;1,"",IF(p_mode="Nœud",$T739*$H739,$R739))</f>
        <v/>
      </c>
      <c r="V739" s="14" t="str">
        <f aca="false">IF($D739&lt;&gt;1,"",IF(p_mode="Nœud",$T739*$I739,$S739))</f>
        <v/>
      </c>
      <c r="W739" s="84" t="str">
        <f aca="false">IF($D739&lt;&gt;1,"",IF(p_mode="Nœud",$T739*$K739,$R739*IF($G739="IKS",p_iks_cpu,p_roks_cpu)+$S739*IF($G739="IKS",p_iks_ram,p_roks_ram))*p_facteur)</f>
        <v/>
      </c>
      <c r="X739" s="14" t="str">
        <f aca="false">IF($D739&lt;&gt;1,"",IF($G739="ROKS",$R739,IF($AI739=1,0,MAX($N739,$L739-SUMIFS(TblApplications[CPU IKS libérable (vCPU)],TblApplications[Cluster IKS source],$F739,TblApplications[Action],"À migrer",TblApplications[Mois prov (calc)],"&lt;="&amp;$E739)-SUMIFS(TblApplications[CPU IKS libérable (vCPU)],TblApplications[Cluster IKS source],$F739,TblApplications[Action],"À décommissionner",TblApplications[Mois lib (calc)],"&lt;="&amp;$E739)))))</f>
        <v/>
      </c>
      <c r="Y739" s="14" t="str">
        <f aca="false">IF($D739&lt;&gt;1,"",IF($G739="ROKS",$S739,IF($AI739=1,0,MAX($O739,$M739-SUMIFS(TblApplications[RAM IKS libérable (Go)],TblApplications[Cluster IKS source],$F739,TblApplications[Action],"À migrer",TblApplications[Mois prov (calc)],"&lt;="&amp;$E739)-SUMIFS(TblApplications[RAM IKS libérable (Go)],TblApplications[Cluster IKS source],$F739,TblApplications[Action],"À décommissionner",TblApplications[Mois lib (calc)],"&lt;="&amp;$E739)))))</f>
        <v/>
      </c>
      <c r="Z739" s="14" t="str">
        <f aca="false">IF($D739&lt;&gt;1,"",IF($AI739=1,0,MAX($J739,ROUNDUP(MAX($X739/$H739,$Y739/$I739),0))))</f>
        <v/>
      </c>
      <c r="AA739" s="84" t="str">
        <f aca="false">IF($D739&lt;&gt;1,"",IF(p_mode="Nœud",$Z739*$K739,$X739*IF($G739="IKS",p_iks_cpu,p_roks_cpu)+$Y739*IF($G739="IKS",p_iks_ram,p_roks_ram))*p_facteur)</f>
        <v/>
      </c>
      <c r="AB739" s="14" t="str">
        <f aca="false">IF($D739&lt;&gt;1,"",MAX($J739,ROUNDUP(MAX($L739/$H739,$M739/$I739),0)))</f>
        <v/>
      </c>
      <c r="AC739" s="84" t="str">
        <f aca="false">IF($D739&lt;&gt;1,"",IF(p_mode="Nœud",$AB739*$K739,$L739*IF($G739="IKS",p_iks_cpu,p_roks_cpu)+$M739*IF($G739="IKS",p_iks_ram,p_roks_ram))*p_facteur)</f>
        <v/>
      </c>
      <c r="AD739" s="14" t="str">
        <f aca="false">IF($D739&lt;&gt;1,"",IF(AND($G739="IKS",$AI739&lt;&gt;1,OR($L739-$P739&lt;$N739,$M739-$Q739&lt;$O739)),1,0))</f>
        <v/>
      </c>
      <c r="AE739" s="14" t="str">
        <f aca="false">IF($D739&lt;&gt;1,"",IF(AND($G739="ROKS",$T739&gt;p_maxworkers),1,0))</f>
        <v/>
      </c>
      <c r="AF739" s="14" t="str">
        <f aca="false">IF($D739&lt;&gt;1,"",IF(INDEX(TblClusters[Environnement],$B739)="","(vide)",INDEX(TblClusters[Environnement],$B739)))</f>
        <v/>
      </c>
      <c r="AG739" s="14" t="str">
        <f aca="false">IF($D739&lt;&gt;1,"",$R739+p_poidsram*$S739)</f>
        <v/>
      </c>
      <c r="AH739" s="14" t="str">
        <f aca="false">IF($D739&lt;&gt;1,"",IFERROR($W739/$AG739,0))</f>
        <v/>
      </c>
      <c r="AI739" s="14" t="str">
        <f aca="false">IF($D739&lt;&gt;1,"",IF(AND($G739="IKS",ISNUMBER(INDEX(TblClusters[Fermeture retenue],$B739))),IF($E739&gt;=INDEX(TblClusters[Fermeture retenue],$B739),1,0),0))</f>
        <v/>
      </c>
    </row>
    <row r="740" customFormat="false" ht="15" hidden="false" customHeight="false" outlineLevel="0" collapsed="false">
      <c r="A740" s="14" t="n">
        <v>735</v>
      </c>
      <c r="B740" s="14" t="n">
        <f aca="false">INT(($A740-1)/36)+1</f>
        <v>21</v>
      </c>
      <c r="C740" s="14" t="n">
        <f aca="false">MOD($A740-1,36)+1</f>
        <v>15</v>
      </c>
      <c r="D740" s="14" t="n">
        <f aca="false">IF($C740&gt;p_horizon,0,IFERROR(IF(AND(INDEX(TblClusters[Cluster],$B740)&lt;&gt;"",ISNUMBER(INDEX(TblClusters[CPU initial (vCPU)],$B740)),ISNUMBER(INDEX(TblClusters[CPU min (vCPU)],$B740)),OR(INDEX(TblClusters[Plateforme],$B740)="IKS",INDEX(TblClusters[Plateforme],$B740)="ROKS")),1,0),0))</f>
        <v>0</v>
      </c>
      <c r="E740" s="83" t="str">
        <f aca="false">IF($D740=1,EDATE(p_debut,$C740-1),"")</f>
        <v/>
      </c>
      <c r="F740" s="14" t="str">
        <f aca="false">IF($D740=1,INDEX(TblClusters[Cluster],$B740),"")</f>
        <v/>
      </c>
      <c r="G740" s="14" t="str">
        <f aca="false">IF($D740=1,INDEX(TblClusters[Plateforme],$B740),"")</f>
        <v/>
      </c>
      <c r="H740" s="14" t="str">
        <f aca="false">IF($D740=1,INDEX(TblClusters[vCPU par nœud],$B740),"")</f>
        <v/>
      </c>
      <c r="I740" s="14" t="str">
        <f aca="false">IF($D740=1,INDEX(TblClusters[RAM par nœud (Go)],$B740),"")</f>
        <v/>
      </c>
      <c r="J740" s="14" t="str">
        <f aca="false">IF($D740=1,INDEX(TblClusters[Workers min],$B740),"")</f>
        <v/>
      </c>
      <c r="K740" s="84" t="str">
        <f aca="false">IF($D740=1,INDEX(TblClusters[Tarif par nœud],$B740),"")</f>
        <v/>
      </c>
      <c r="L740" s="14" t="str">
        <f aca="false">IF($D740=1,INDEX(TblClusters[CPU initial (vCPU)],$B740),"")</f>
        <v/>
      </c>
      <c r="M740" s="14" t="str">
        <f aca="false">IF($D740=1,INDEX(TblClusters[RAM initiale (Go)],$B740),"")</f>
        <v/>
      </c>
      <c r="N740" s="14" t="str">
        <f aca="false">IF($D740=1,INDEX(TblClusters[CPU min (vCPU)],$B740),"")</f>
        <v/>
      </c>
      <c r="O740" s="14" t="str">
        <f aca="false">IF($D740=1,INDEX(TblClusters[RAM min (Go)],$B740),"")</f>
        <v/>
      </c>
      <c r="P740" s="14" t="str">
        <f aca="false">IF($D740&lt;&gt;1,"",IF($G740="ROKS",SUMIFS(TblApplications[Besoin ROKS CPU (vCPU)],TblApplications[Cluster ROKS cible],$F740,TblApplications[Action],"À migrer",TblApplications[Déjà incluse ROKS],"Non",TblApplications[Mois prov (calc)],"&lt;="&amp;$E740),SUMIFS(TblApplications[CPU IKS libérable (vCPU)],TblApplications[Cluster IKS source],$F740,TblApplications[Mois lib (calc)],"&lt;="&amp;$E740)))</f>
        <v/>
      </c>
      <c r="Q740" s="14" t="str">
        <f aca="false">IF($D740&lt;&gt;1,"",IF($G740="ROKS",SUMIFS(TblApplications[Besoin ROKS RAM (Go)],TblApplications[Cluster ROKS cible],$F740,TblApplications[Action],"À migrer",TblApplications[Déjà incluse ROKS],"Non",TblApplications[Mois prov (calc)],"&lt;="&amp;$E740),SUMIFS(TblApplications[RAM IKS libérable (Go)],TblApplications[Cluster IKS source],$F740,TblApplications[Mois lib (calc)],"&lt;="&amp;$E740)))</f>
        <v/>
      </c>
      <c r="R740" s="14" t="str">
        <f aca="false">IF($D740&lt;&gt;1,"",IF($G740="ROKS",$L740+$P740,IF($AI740=1,0,MAX($N740,$L740-$P740))))</f>
        <v/>
      </c>
      <c r="S740" s="14" t="str">
        <f aca="false">IF($D740&lt;&gt;1,"",IF($G740="ROKS",$M740+$Q740,IF($AI740=1,0,MAX($O740,$M740-$Q740))))</f>
        <v/>
      </c>
      <c r="T740" s="14" t="str">
        <f aca="false">IF($D740&lt;&gt;1,"",IF($AI740=1,0,MAX($J740,ROUNDUP(MAX($R740/$H740,$S740/$I740),0))))</f>
        <v/>
      </c>
      <c r="U740" s="14" t="str">
        <f aca="false">IF($D740&lt;&gt;1,"",IF(p_mode="Nœud",$T740*$H740,$R740))</f>
        <v/>
      </c>
      <c r="V740" s="14" t="str">
        <f aca="false">IF($D740&lt;&gt;1,"",IF(p_mode="Nœud",$T740*$I740,$S740))</f>
        <v/>
      </c>
      <c r="W740" s="84" t="str">
        <f aca="false">IF($D740&lt;&gt;1,"",IF(p_mode="Nœud",$T740*$K740,$R740*IF($G740="IKS",p_iks_cpu,p_roks_cpu)+$S740*IF($G740="IKS",p_iks_ram,p_roks_ram))*p_facteur)</f>
        <v/>
      </c>
      <c r="X740" s="14" t="str">
        <f aca="false">IF($D740&lt;&gt;1,"",IF($G740="ROKS",$R740,IF($AI740=1,0,MAX($N740,$L740-SUMIFS(TblApplications[CPU IKS libérable (vCPU)],TblApplications[Cluster IKS source],$F740,TblApplications[Action],"À migrer",TblApplications[Mois prov (calc)],"&lt;="&amp;$E740)-SUMIFS(TblApplications[CPU IKS libérable (vCPU)],TblApplications[Cluster IKS source],$F740,TblApplications[Action],"À décommissionner",TblApplications[Mois lib (calc)],"&lt;="&amp;$E740)))))</f>
        <v/>
      </c>
      <c r="Y740" s="14" t="str">
        <f aca="false">IF($D740&lt;&gt;1,"",IF($G740="ROKS",$S740,IF($AI740=1,0,MAX($O740,$M740-SUMIFS(TblApplications[RAM IKS libérable (Go)],TblApplications[Cluster IKS source],$F740,TblApplications[Action],"À migrer",TblApplications[Mois prov (calc)],"&lt;="&amp;$E740)-SUMIFS(TblApplications[RAM IKS libérable (Go)],TblApplications[Cluster IKS source],$F740,TblApplications[Action],"À décommissionner",TblApplications[Mois lib (calc)],"&lt;="&amp;$E740)))))</f>
        <v/>
      </c>
      <c r="Z740" s="14" t="str">
        <f aca="false">IF($D740&lt;&gt;1,"",IF($AI740=1,0,MAX($J740,ROUNDUP(MAX($X740/$H740,$Y740/$I740),0))))</f>
        <v/>
      </c>
      <c r="AA740" s="84" t="str">
        <f aca="false">IF($D740&lt;&gt;1,"",IF(p_mode="Nœud",$Z740*$K740,$X740*IF($G740="IKS",p_iks_cpu,p_roks_cpu)+$Y740*IF($G740="IKS",p_iks_ram,p_roks_ram))*p_facteur)</f>
        <v/>
      </c>
      <c r="AB740" s="14" t="str">
        <f aca="false">IF($D740&lt;&gt;1,"",MAX($J740,ROUNDUP(MAX($L740/$H740,$M740/$I740),0)))</f>
        <v/>
      </c>
      <c r="AC740" s="84" t="str">
        <f aca="false">IF($D740&lt;&gt;1,"",IF(p_mode="Nœud",$AB740*$K740,$L740*IF($G740="IKS",p_iks_cpu,p_roks_cpu)+$M740*IF($G740="IKS",p_iks_ram,p_roks_ram))*p_facteur)</f>
        <v/>
      </c>
      <c r="AD740" s="14" t="str">
        <f aca="false">IF($D740&lt;&gt;1,"",IF(AND($G740="IKS",$AI740&lt;&gt;1,OR($L740-$P740&lt;$N740,$M740-$Q740&lt;$O740)),1,0))</f>
        <v/>
      </c>
      <c r="AE740" s="14" t="str">
        <f aca="false">IF($D740&lt;&gt;1,"",IF(AND($G740="ROKS",$T740&gt;p_maxworkers),1,0))</f>
        <v/>
      </c>
      <c r="AF740" s="14" t="str">
        <f aca="false">IF($D740&lt;&gt;1,"",IF(INDEX(TblClusters[Environnement],$B740)="","(vide)",INDEX(TblClusters[Environnement],$B740)))</f>
        <v/>
      </c>
      <c r="AG740" s="14" t="str">
        <f aca="false">IF($D740&lt;&gt;1,"",$R740+p_poidsram*$S740)</f>
        <v/>
      </c>
      <c r="AH740" s="14" t="str">
        <f aca="false">IF($D740&lt;&gt;1,"",IFERROR($W740/$AG740,0))</f>
        <v/>
      </c>
      <c r="AI740" s="14" t="str">
        <f aca="false">IF($D740&lt;&gt;1,"",IF(AND($G740="IKS",ISNUMBER(INDEX(TblClusters[Fermeture retenue],$B740))),IF($E740&gt;=INDEX(TblClusters[Fermeture retenue],$B740),1,0),0))</f>
        <v/>
      </c>
    </row>
    <row r="741" customFormat="false" ht="15" hidden="false" customHeight="false" outlineLevel="0" collapsed="false">
      <c r="A741" s="14" t="n">
        <v>736</v>
      </c>
      <c r="B741" s="14" t="n">
        <f aca="false">INT(($A741-1)/36)+1</f>
        <v>21</v>
      </c>
      <c r="C741" s="14" t="n">
        <f aca="false">MOD($A741-1,36)+1</f>
        <v>16</v>
      </c>
      <c r="D741" s="14" t="n">
        <f aca="false">IF($C741&gt;p_horizon,0,IFERROR(IF(AND(INDEX(TblClusters[Cluster],$B741)&lt;&gt;"",ISNUMBER(INDEX(TblClusters[CPU initial (vCPU)],$B741)),ISNUMBER(INDEX(TblClusters[CPU min (vCPU)],$B741)),OR(INDEX(TblClusters[Plateforme],$B741)="IKS",INDEX(TblClusters[Plateforme],$B741)="ROKS")),1,0),0))</f>
        <v>0</v>
      </c>
      <c r="E741" s="83" t="str">
        <f aca="false">IF($D741=1,EDATE(p_debut,$C741-1),"")</f>
        <v/>
      </c>
      <c r="F741" s="14" t="str">
        <f aca="false">IF($D741=1,INDEX(TblClusters[Cluster],$B741),"")</f>
        <v/>
      </c>
      <c r="G741" s="14" t="str">
        <f aca="false">IF($D741=1,INDEX(TblClusters[Plateforme],$B741),"")</f>
        <v/>
      </c>
      <c r="H741" s="14" t="str">
        <f aca="false">IF($D741=1,INDEX(TblClusters[vCPU par nœud],$B741),"")</f>
        <v/>
      </c>
      <c r="I741" s="14" t="str">
        <f aca="false">IF($D741=1,INDEX(TblClusters[RAM par nœud (Go)],$B741),"")</f>
        <v/>
      </c>
      <c r="J741" s="14" t="str">
        <f aca="false">IF($D741=1,INDEX(TblClusters[Workers min],$B741),"")</f>
        <v/>
      </c>
      <c r="K741" s="84" t="str">
        <f aca="false">IF($D741=1,INDEX(TblClusters[Tarif par nœud],$B741),"")</f>
        <v/>
      </c>
      <c r="L741" s="14" t="str">
        <f aca="false">IF($D741=1,INDEX(TblClusters[CPU initial (vCPU)],$B741),"")</f>
        <v/>
      </c>
      <c r="M741" s="14" t="str">
        <f aca="false">IF($D741=1,INDEX(TblClusters[RAM initiale (Go)],$B741),"")</f>
        <v/>
      </c>
      <c r="N741" s="14" t="str">
        <f aca="false">IF($D741=1,INDEX(TblClusters[CPU min (vCPU)],$B741),"")</f>
        <v/>
      </c>
      <c r="O741" s="14" t="str">
        <f aca="false">IF($D741=1,INDEX(TblClusters[RAM min (Go)],$B741),"")</f>
        <v/>
      </c>
      <c r="P741" s="14" t="str">
        <f aca="false">IF($D741&lt;&gt;1,"",IF($G741="ROKS",SUMIFS(TblApplications[Besoin ROKS CPU (vCPU)],TblApplications[Cluster ROKS cible],$F741,TblApplications[Action],"À migrer",TblApplications[Déjà incluse ROKS],"Non",TblApplications[Mois prov (calc)],"&lt;="&amp;$E741),SUMIFS(TblApplications[CPU IKS libérable (vCPU)],TblApplications[Cluster IKS source],$F741,TblApplications[Mois lib (calc)],"&lt;="&amp;$E741)))</f>
        <v/>
      </c>
      <c r="Q741" s="14" t="str">
        <f aca="false">IF($D741&lt;&gt;1,"",IF($G741="ROKS",SUMIFS(TblApplications[Besoin ROKS RAM (Go)],TblApplications[Cluster ROKS cible],$F741,TblApplications[Action],"À migrer",TblApplications[Déjà incluse ROKS],"Non",TblApplications[Mois prov (calc)],"&lt;="&amp;$E741),SUMIFS(TblApplications[RAM IKS libérable (Go)],TblApplications[Cluster IKS source],$F741,TblApplications[Mois lib (calc)],"&lt;="&amp;$E741)))</f>
        <v/>
      </c>
      <c r="R741" s="14" t="str">
        <f aca="false">IF($D741&lt;&gt;1,"",IF($G741="ROKS",$L741+$P741,IF($AI741=1,0,MAX($N741,$L741-$P741))))</f>
        <v/>
      </c>
      <c r="S741" s="14" t="str">
        <f aca="false">IF($D741&lt;&gt;1,"",IF($G741="ROKS",$M741+$Q741,IF($AI741=1,0,MAX($O741,$M741-$Q741))))</f>
        <v/>
      </c>
      <c r="T741" s="14" t="str">
        <f aca="false">IF($D741&lt;&gt;1,"",IF($AI741=1,0,MAX($J741,ROUNDUP(MAX($R741/$H741,$S741/$I741),0))))</f>
        <v/>
      </c>
      <c r="U741" s="14" t="str">
        <f aca="false">IF($D741&lt;&gt;1,"",IF(p_mode="Nœud",$T741*$H741,$R741))</f>
        <v/>
      </c>
      <c r="V741" s="14" t="str">
        <f aca="false">IF($D741&lt;&gt;1,"",IF(p_mode="Nœud",$T741*$I741,$S741))</f>
        <v/>
      </c>
      <c r="W741" s="84" t="str">
        <f aca="false">IF($D741&lt;&gt;1,"",IF(p_mode="Nœud",$T741*$K741,$R741*IF($G741="IKS",p_iks_cpu,p_roks_cpu)+$S741*IF($G741="IKS",p_iks_ram,p_roks_ram))*p_facteur)</f>
        <v/>
      </c>
      <c r="X741" s="14" t="str">
        <f aca="false">IF($D741&lt;&gt;1,"",IF($G741="ROKS",$R741,IF($AI741=1,0,MAX($N741,$L741-SUMIFS(TblApplications[CPU IKS libérable (vCPU)],TblApplications[Cluster IKS source],$F741,TblApplications[Action],"À migrer",TblApplications[Mois prov (calc)],"&lt;="&amp;$E741)-SUMIFS(TblApplications[CPU IKS libérable (vCPU)],TblApplications[Cluster IKS source],$F741,TblApplications[Action],"À décommissionner",TblApplications[Mois lib (calc)],"&lt;="&amp;$E741)))))</f>
        <v/>
      </c>
      <c r="Y741" s="14" t="str">
        <f aca="false">IF($D741&lt;&gt;1,"",IF($G741="ROKS",$S741,IF($AI741=1,0,MAX($O741,$M741-SUMIFS(TblApplications[RAM IKS libérable (Go)],TblApplications[Cluster IKS source],$F741,TblApplications[Action],"À migrer",TblApplications[Mois prov (calc)],"&lt;="&amp;$E741)-SUMIFS(TblApplications[RAM IKS libérable (Go)],TblApplications[Cluster IKS source],$F741,TblApplications[Action],"À décommissionner",TblApplications[Mois lib (calc)],"&lt;="&amp;$E741)))))</f>
        <v/>
      </c>
      <c r="Z741" s="14" t="str">
        <f aca="false">IF($D741&lt;&gt;1,"",IF($AI741=1,0,MAX($J741,ROUNDUP(MAX($X741/$H741,$Y741/$I741),0))))</f>
        <v/>
      </c>
      <c r="AA741" s="84" t="str">
        <f aca="false">IF($D741&lt;&gt;1,"",IF(p_mode="Nœud",$Z741*$K741,$X741*IF($G741="IKS",p_iks_cpu,p_roks_cpu)+$Y741*IF($G741="IKS",p_iks_ram,p_roks_ram))*p_facteur)</f>
        <v/>
      </c>
      <c r="AB741" s="14" t="str">
        <f aca="false">IF($D741&lt;&gt;1,"",MAX($J741,ROUNDUP(MAX($L741/$H741,$M741/$I741),0)))</f>
        <v/>
      </c>
      <c r="AC741" s="84" t="str">
        <f aca="false">IF($D741&lt;&gt;1,"",IF(p_mode="Nœud",$AB741*$K741,$L741*IF($G741="IKS",p_iks_cpu,p_roks_cpu)+$M741*IF($G741="IKS",p_iks_ram,p_roks_ram))*p_facteur)</f>
        <v/>
      </c>
      <c r="AD741" s="14" t="str">
        <f aca="false">IF($D741&lt;&gt;1,"",IF(AND($G741="IKS",$AI741&lt;&gt;1,OR($L741-$P741&lt;$N741,$M741-$Q741&lt;$O741)),1,0))</f>
        <v/>
      </c>
      <c r="AE741" s="14" t="str">
        <f aca="false">IF($D741&lt;&gt;1,"",IF(AND($G741="ROKS",$T741&gt;p_maxworkers),1,0))</f>
        <v/>
      </c>
      <c r="AF741" s="14" t="str">
        <f aca="false">IF($D741&lt;&gt;1,"",IF(INDEX(TblClusters[Environnement],$B741)="","(vide)",INDEX(TblClusters[Environnement],$B741)))</f>
        <v/>
      </c>
      <c r="AG741" s="14" t="str">
        <f aca="false">IF($D741&lt;&gt;1,"",$R741+p_poidsram*$S741)</f>
        <v/>
      </c>
      <c r="AH741" s="14" t="str">
        <f aca="false">IF($D741&lt;&gt;1,"",IFERROR($W741/$AG741,0))</f>
        <v/>
      </c>
      <c r="AI741" s="14" t="str">
        <f aca="false">IF($D741&lt;&gt;1,"",IF(AND($G741="IKS",ISNUMBER(INDEX(TblClusters[Fermeture retenue],$B741))),IF($E741&gt;=INDEX(TblClusters[Fermeture retenue],$B741),1,0),0))</f>
        <v/>
      </c>
    </row>
    <row r="742" customFormat="false" ht="15" hidden="false" customHeight="false" outlineLevel="0" collapsed="false">
      <c r="A742" s="14" t="n">
        <v>737</v>
      </c>
      <c r="B742" s="14" t="n">
        <f aca="false">INT(($A742-1)/36)+1</f>
        <v>21</v>
      </c>
      <c r="C742" s="14" t="n">
        <f aca="false">MOD($A742-1,36)+1</f>
        <v>17</v>
      </c>
      <c r="D742" s="14" t="n">
        <f aca="false">IF($C742&gt;p_horizon,0,IFERROR(IF(AND(INDEX(TblClusters[Cluster],$B742)&lt;&gt;"",ISNUMBER(INDEX(TblClusters[CPU initial (vCPU)],$B742)),ISNUMBER(INDEX(TblClusters[CPU min (vCPU)],$B742)),OR(INDEX(TblClusters[Plateforme],$B742)="IKS",INDEX(TblClusters[Plateforme],$B742)="ROKS")),1,0),0))</f>
        <v>0</v>
      </c>
      <c r="E742" s="83" t="str">
        <f aca="false">IF($D742=1,EDATE(p_debut,$C742-1),"")</f>
        <v/>
      </c>
      <c r="F742" s="14" t="str">
        <f aca="false">IF($D742=1,INDEX(TblClusters[Cluster],$B742),"")</f>
        <v/>
      </c>
      <c r="G742" s="14" t="str">
        <f aca="false">IF($D742=1,INDEX(TblClusters[Plateforme],$B742),"")</f>
        <v/>
      </c>
      <c r="H742" s="14" t="str">
        <f aca="false">IF($D742=1,INDEX(TblClusters[vCPU par nœud],$B742),"")</f>
        <v/>
      </c>
      <c r="I742" s="14" t="str">
        <f aca="false">IF($D742=1,INDEX(TblClusters[RAM par nœud (Go)],$B742),"")</f>
        <v/>
      </c>
      <c r="J742" s="14" t="str">
        <f aca="false">IF($D742=1,INDEX(TblClusters[Workers min],$B742),"")</f>
        <v/>
      </c>
      <c r="K742" s="84" t="str">
        <f aca="false">IF($D742=1,INDEX(TblClusters[Tarif par nœud],$B742),"")</f>
        <v/>
      </c>
      <c r="L742" s="14" t="str">
        <f aca="false">IF($D742=1,INDEX(TblClusters[CPU initial (vCPU)],$B742),"")</f>
        <v/>
      </c>
      <c r="M742" s="14" t="str">
        <f aca="false">IF($D742=1,INDEX(TblClusters[RAM initiale (Go)],$B742),"")</f>
        <v/>
      </c>
      <c r="N742" s="14" t="str">
        <f aca="false">IF($D742=1,INDEX(TblClusters[CPU min (vCPU)],$B742),"")</f>
        <v/>
      </c>
      <c r="O742" s="14" t="str">
        <f aca="false">IF($D742=1,INDEX(TblClusters[RAM min (Go)],$B742),"")</f>
        <v/>
      </c>
      <c r="P742" s="14" t="str">
        <f aca="false">IF($D742&lt;&gt;1,"",IF($G742="ROKS",SUMIFS(TblApplications[Besoin ROKS CPU (vCPU)],TblApplications[Cluster ROKS cible],$F742,TblApplications[Action],"À migrer",TblApplications[Déjà incluse ROKS],"Non",TblApplications[Mois prov (calc)],"&lt;="&amp;$E742),SUMIFS(TblApplications[CPU IKS libérable (vCPU)],TblApplications[Cluster IKS source],$F742,TblApplications[Mois lib (calc)],"&lt;="&amp;$E742)))</f>
        <v/>
      </c>
      <c r="Q742" s="14" t="str">
        <f aca="false">IF($D742&lt;&gt;1,"",IF($G742="ROKS",SUMIFS(TblApplications[Besoin ROKS RAM (Go)],TblApplications[Cluster ROKS cible],$F742,TblApplications[Action],"À migrer",TblApplications[Déjà incluse ROKS],"Non",TblApplications[Mois prov (calc)],"&lt;="&amp;$E742),SUMIFS(TblApplications[RAM IKS libérable (Go)],TblApplications[Cluster IKS source],$F742,TblApplications[Mois lib (calc)],"&lt;="&amp;$E742)))</f>
        <v/>
      </c>
      <c r="R742" s="14" t="str">
        <f aca="false">IF($D742&lt;&gt;1,"",IF($G742="ROKS",$L742+$P742,IF($AI742=1,0,MAX($N742,$L742-$P742))))</f>
        <v/>
      </c>
      <c r="S742" s="14" t="str">
        <f aca="false">IF($D742&lt;&gt;1,"",IF($G742="ROKS",$M742+$Q742,IF($AI742=1,0,MAX($O742,$M742-$Q742))))</f>
        <v/>
      </c>
      <c r="T742" s="14" t="str">
        <f aca="false">IF($D742&lt;&gt;1,"",IF($AI742=1,0,MAX($J742,ROUNDUP(MAX($R742/$H742,$S742/$I742),0))))</f>
        <v/>
      </c>
      <c r="U742" s="14" t="str">
        <f aca="false">IF($D742&lt;&gt;1,"",IF(p_mode="Nœud",$T742*$H742,$R742))</f>
        <v/>
      </c>
      <c r="V742" s="14" t="str">
        <f aca="false">IF($D742&lt;&gt;1,"",IF(p_mode="Nœud",$T742*$I742,$S742))</f>
        <v/>
      </c>
      <c r="W742" s="84" t="str">
        <f aca="false">IF($D742&lt;&gt;1,"",IF(p_mode="Nœud",$T742*$K742,$R742*IF($G742="IKS",p_iks_cpu,p_roks_cpu)+$S742*IF($G742="IKS",p_iks_ram,p_roks_ram))*p_facteur)</f>
        <v/>
      </c>
      <c r="X742" s="14" t="str">
        <f aca="false">IF($D742&lt;&gt;1,"",IF($G742="ROKS",$R742,IF($AI742=1,0,MAX($N742,$L742-SUMIFS(TblApplications[CPU IKS libérable (vCPU)],TblApplications[Cluster IKS source],$F742,TblApplications[Action],"À migrer",TblApplications[Mois prov (calc)],"&lt;="&amp;$E742)-SUMIFS(TblApplications[CPU IKS libérable (vCPU)],TblApplications[Cluster IKS source],$F742,TblApplications[Action],"À décommissionner",TblApplications[Mois lib (calc)],"&lt;="&amp;$E742)))))</f>
        <v/>
      </c>
      <c r="Y742" s="14" t="str">
        <f aca="false">IF($D742&lt;&gt;1,"",IF($G742="ROKS",$S742,IF($AI742=1,0,MAX($O742,$M742-SUMIFS(TblApplications[RAM IKS libérable (Go)],TblApplications[Cluster IKS source],$F742,TblApplications[Action],"À migrer",TblApplications[Mois prov (calc)],"&lt;="&amp;$E742)-SUMIFS(TblApplications[RAM IKS libérable (Go)],TblApplications[Cluster IKS source],$F742,TblApplications[Action],"À décommissionner",TblApplications[Mois lib (calc)],"&lt;="&amp;$E742)))))</f>
        <v/>
      </c>
      <c r="Z742" s="14" t="str">
        <f aca="false">IF($D742&lt;&gt;1,"",IF($AI742=1,0,MAX($J742,ROUNDUP(MAX($X742/$H742,$Y742/$I742),0))))</f>
        <v/>
      </c>
      <c r="AA742" s="84" t="str">
        <f aca="false">IF($D742&lt;&gt;1,"",IF(p_mode="Nœud",$Z742*$K742,$X742*IF($G742="IKS",p_iks_cpu,p_roks_cpu)+$Y742*IF($G742="IKS",p_iks_ram,p_roks_ram))*p_facteur)</f>
        <v/>
      </c>
      <c r="AB742" s="14" t="str">
        <f aca="false">IF($D742&lt;&gt;1,"",MAX($J742,ROUNDUP(MAX($L742/$H742,$M742/$I742),0)))</f>
        <v/>
      </c>
      <c r="AC742" s="84" t="str">
        <f aca="false">IF($D742&lt;&gt;1,"",IF(p_mode="Nœud",$AB742*$K742,$L742*IF($G742="IKS",p_iks_cpu,p_roks_cpu)+$M742*IF($G742="IKS",p_iks_ram,p_roks_ram))*p_facteur)</f>
        <v/>
      </c>
      <c r="AD742" s="14" t="str">
        <f aca="false">IF($D742&lt;&gt;1,"",IF(AND($G742="IKS",$AI742&lt;&gt;1,OR($L742-$P742&lt;$N742,$M742-$Q742&lt;$O742)),1,0))</f>
        <v/>
      </c>
      <c r="AE742" s="14" t="str">
        <f aca="false">IF($D742&lt;&gt;1,"",IF(AND($G742="ROKS",$T742&gt;p_maxworkers),1,0))</f>
        <v/>
      </c>
      <c r="AF742" s="14" t="str">
        <f aca="false">IF($D742&lt;&gt;1,"",IF(INDEX(TblClusters[Environnement],$B742)="","(vide)",INDEX(TblClusters[Environnement],$B742)))</f>
        <v/>
      </c>
      <c r="AG742" s="14" t="str">
        <f aca="false">IF($D742&lt;&gt;1,"",$R742+p_poidsram*$S742)</f>
        <v/>
      </c>
      <c r="AH742" s="14" t="str">
        <f aca="false">IF($D742&lt;&gt;1,"",IFERROR($W742/$AG742,0))</f>
        <v/>
      </c>
      <c r="AI742" s="14" t="str">
        <f aca="false">IF($D742&lt;&gt;1,"",IF(AND($G742="IKS",ISNUMBER(INDEX(TblClusters[Fermeture retenue],$B742))),IF($E742&gt;=INDEX(TblClusters[Fermeture retenue],$B742),1,0),0))</f>
        <v/>
      </c>
    </row>
    <row r="743" customFormat="false" ht="15" hidden="false" customHeight="false" outlineLevel="0" collapsed="false">
      <c r="A743" s="14" t="n">
        <v>738</v>
      </c>
      <c r="B743" s="14" t="n">
        <f aca="false">INT(($A743-1)/36)+1</f>
        <v>21</v>
      </c>
      <c r="C743" s="14" t="n">
        <f aca="false">MOD($A743-1,36)+1</f>
        <v>18</v>
      </c>
      <c r="D743" s="14" t="n">
        <f aca="false">IF($C743&gt;p_horizon,0,IFERROR(IF(AND(INDEX(TblClusters[Cluster],$B743)&lt;&gt;"",ISNUMBER(INDEX(TblClusters[CPU initial (vCPU)],$B743)),ISNUMBER(INDEX(TblClusters[CPU min (vCPU)],$B743)),OR(INDEX(TblClusters[Plateforme],$B743)="IKS",INDEX(TblClusters[Plateforme],$B743)="ROKS")),1,0),0))</f>
        <v>0</v>
      </c>
      <c r="E743" s="83" t="str">
        <f aca="false">IF($D743=1,EDATE(p_debut,$C743-1),"")</f>
        <v/>
      </c>
      <c r="F743" s="14" t="str">
        <f aca="false">IF($D743=1,INDEX(TblClusters[Cluster],$B743),"")</f>
        <v/>
      </c>
      <c r="G743" s="14" t="str">
        <f aca="false">IF($D743=1,INDEX(TblClusters[Plateforme],$B743),"")</f>
        <v/>
      </c>
      <c r="H743" s="14" t="str">
        <f aca="false">IF($D743=1,INDEX(TblClusters[vCPU par nœud],$B743),"")</f>
        <v/>
      </c>
      <c r="I743" s="14" t="str">
        <f aca="false">IF($D743=1,INDEX(TblClusters[RAM par nœud (Go)],$B743),"")</f>
        <v/>
      </c>
      <c r="J743" s="14" t="str">
        <f aca="false">IF($D743=1,INDEX(TblClusters[Workers min],$B743),"")</f>
        <v/>
      </c>
      <c r="K743" s="84" t="str">
        <f aca="false">IF($D743=1,INDEX(TblClusters[Tarif par nœud],$B743),"")</f>
        <v/>
      </c>
      <c r="L743" s="14" t="str">
        <f aca="false">IF($D743=1,INDEX(TblClusters[CPU initial (vCPU)],$B743),"")</f>
        <v/>
      </c>
      <c r="M743" s="14" t="str">
        <f aca="false">IF($D743=1,INDEX(TblClusters[RAM initiale (Go)],$B743),"")</f>
        <v/>
      </c>
      <c r="N743" s="14" t="str">
        <f aca="false">IF($D743=1,INDEX(TblClusters[CPU min (vCPU)],$B743),"")</f>
        <v/>
      </c>
      <c r="O743" s="14" t="str">
        <f aca="false">IF($D743=1,INDEX(TblClusters[RAM min (Go)],$B743),"")</f>
        <v/>
      </c>
      <c r="P743" s="14" t="str">
        <f aca="false">IF($D743&lt;&gt;1,"",IF($G743="ROKS",SUMIFS(TblApplications[Besoin ROKS CPU (vCPU)],TblApplications[Cluster ROKS cible],$F743,TblApplications[Action],"À migrer",TblApplications[Déjà incluse ROKS],"Non",TblApplications[Mois prov (calc)],"&lt;="&amp;$E743),SUMIFS(TblApplications[CPU IKS libérable (vCPU)],TblApplications[Cluster IKS source],$F743,TblApplications[Mois lib (calc)],"&lt;="&amp;$E743)))</f>
        <v/>
      </c>
      <c r="Q743" s="14" t="str">
        <f aca="false">IF($D743&lt;&gt;1,"",IF($G743="ROKS",SUMIFS(TblApplications[Besoin ROKS RAM (Go)],TblApplications[Cluster ROKS cible],$F743,TblApplications[Action],"À migrer",TblApplications[Déjà incluse ROKS],"Non",TblApplications[Mois prov (calc)],"&lt;="&amp;$E743),SUMIFS(TblApplications[RAM IKS libérable (Go)],TblApplications[Cluster IKS source],$F743,TblApplications[Mois lib (calc)],"&lt;="&amp;$E743)))</f>
        <v/>
      </c>
      <c r="R743" s="14" t="str">
        <f aca="false">IF($D743&lt;&gt;1,"",IF($G743="ROKS",$L743+$P743,IF($AI743=1,0,MAX($N743,$L743-$P743))))</f>
        <v/>
      </c>
      <c r="S743" s="14" t="str">
        <f aca="false">IF($D743&lt;&gt;1,"",IF($G743="ROKS",$M743+$Q743,IF($AI743=1,0,MAX($O743,$M743-$Q743))))</f>
        <v/>
      </c>
      <c r="T743" s="14" t="str">
        <f aca="false">IF($D743&lt;&gt;1,"",IF($AI743=1,0,MAX($J743,ROUNDUP(MAX($R743/$H743,$S743/$I743),0))))</f>
        <v/>
      </c>
      <c r="U743" s="14" t="str">
        <f aca="false">IF($D743&lt;&gt;1,"",IF(p_mode="Nœud",$T743*$H743,$R743))</f>
        <v/>
      </c>
      <c r="V743" s="14" t="str">
        <f aca="false">IF($D743&lt;&gt;1,"",IF(p_mode="Nœud",$T743*$I743,$S743))</f>
        <v/>
      </c>
      <c r="W743" s="84" t="str">
        <f aca="false">IF($D743&lt;&gt;1,"",IF(p_mode="Nœud",$T743*$K743,$R743*IF($G743="IKS",p_iks_cpu,p_roks_cpu)+$S743*IF($G743="IKS",p_iks_ram,p_roks_ram))*p_facteur)</f>
        <v/>
      </c>
      <c r="X743" s="14" t="str">
        <f aca="false">IF($D743&lt;&gt;1,"",IF($G743="ROKS",$R743,IF($AI743=1,0,MAX($N743,$L743-SUMIFS(TblApplications[CPU IKS libérable (vCPU)],TblApplications[Cluster IKS source],$F743,TblApplications[Action],"À migrer",TblApplications[Mois prov (calc)],"&lt;="&amp;$E743)-SUMIFS(TblApplications[CPU IKS libérable (vCPU)],TblApplications[Cluster IKS source],$F743,TblApplications[Action],"À décommissionner",TblApplications[Mois lib (calc)],"&lt;="&amp;$E743)))))</f>
        <v/>
      </c>
      <c r="Y743" s="14" t="str">
        <f aca="false">IF($D743&lt;&gt;1,"",IF($G743="ROKS",$S743,IF($AI743=1,0,MAX($O743,$M743-SUMIFS(TblApplications[RAM IKS libérable (Go)],TblApplications[Cluster IKS source],$F743,TblApplications[Action],"À migrer",TblApplications[Mois prov (calc)],"&lt;="&amp;$E743)-SUMIFS(TblApplications[RAM IKS libérable (Go)],TblApplications[Cluster IKS source],$F743,TblApplications[Action],"À décommissionner",TblApplications[Mois lib (calc)],"&lt;="&amp;$E743)))))</f>
        <v/>
      </c>
      <c r="Z743" s="14" t="str">
        <f aca="false">IF($D743&lt;&gt;1,"",IF($AI743=1,0,MAX($J743,ROUNDUP(MAX($X743/$H743,$Y743/$I743),0))))</f>
        <v/>
      </c>
      <c r="AA743" s="84" t="str">
        <f aca="false">IF($D743&lt;&gt;1,"",IF(p_mode="Nœud",$Z743*$K743,$X743*IF($G743="IKS",p_iks_cpu,p_roks_cpu)+$Y743*IF($G743="IKS",p_iks_ram,p_roks_ram))*p_facteur)</f>
        <v/>
      </c>
      <c r="AB743" s="14" t="str">
        <f aca="false">IF($D743&lt;&gt;1,"",MAX($J743,ROUNDUP(MAX($L743/$H743,$M743/$I743),0)))</f>
        <v/>
      </c>
      <c r="AC743" s="84" t="str">
        <f aca="false">IF($D743&lt;&gt;1,"",IF(p_mode="Nœud",$AB743*$K743,$L743*IF($G743="IKS",p_iks_cpu,p_roks_cpu)+$M743*IF($G743="IKS",p_iks_ram,p_roks_ram))*p_facteur)</f>
        <v/>
      </c>
      <c r="AD743" s="14" t="str">
        <f aca="false">IF($D743&lt;&gt;1,"",IF(AND($G743="IKS",$AI743&lt;&gt;1,OR($L743-$P743&lt;$N743,$M743-$Q743&lt;$O743)),1,0))</f>
        <v/>
      </c>
      <c r="AE743" s="14" t="str">
        <f aca="false">IF($D743&lt;&gt;1,"",IF(AND($G743="ROKS",$T743&gt;p_maxworkers),1,0))</f>
        <v/>
      </c>
      <c r="AF743" s="14" t="str">
        <f aca="false">IF($D743&lt;&gt;1,"",IF(INDEX(TblClusters[Environnement],$B743)="","(vide)",INDEX(TblClusters[Environnement],$B743)))</f>
        <v/>
      </c>
      <c r="AG743" s="14" t="str">
        <f aca="false">IF($D743&lt;&gt;1,"",$R743+p_poidsram*$S743)</f>
        <v/>
      </c>
      <c r="AH743" s="14" t="str">
        <f aca="false">IF($D743&lt;&gt;1,"",IFERROR($W743/$AG743,0))</f>
        <v/>
      </c>
      <c r="AI743" s="14" t="str">
        <f aca="false">IF($D743&lt;&gt;1,"",IF(AND($G743="IKS",ISNUMBER(INDEX(TblClusters[Fermeture retenue],$B743))),IF($E743&gt;=INDEX(TblClusters[Fermeture retenue],$B743),1,0),0))</f>
        <v/>
      </c>
    </row>
    <row r="744" customFormat="false" ht="15" hidden="false" customHeight="false" outlineLevel="0" collapsed="false">
      <c r="A744" s="14" t="n">
        <v>739</v>
      </c>
      <c r="B744" s="14" t="n">
        <f aca="false">INT(($A744-1)/36)+1</f>
        <v>21</v>
      </c>
      <c r="C744" s="14" t="n">
        <f aca="false">MOD($A744-1,36)+1</f>
        <v>19</v>
      </c>
      <c r="D744" s="14" t="n">
        <f aca="false">IF($C744&gt;p_horizon,0,IFERROR(IF(AND(INDEX(TblClusters[Cluster],$B744)&lt;&gt;"",ISNUMBER(INDEX(TblClusters[CPU initial (vCPU)],$B744)),ISNUMBER(INDEX(TblClusters[CPU min (vCPU)],$B744)),OR(INDEX(TblClusters[Plateforme],$B744)="IKS",INDEX(TblClusters[Plateforme],$B744)="ROKS")),1,0),0))</f>
        <v>0</v>
      </c>
      <c r="E744" s="83" t="str">
        <f aca="false">IF($D744=1,EDATE(p_debut,$C744-1),"")</f>
        <v/>
      </c>
      <c r="F744" s="14" t="str">
        <f aca="false">IF($D744=1,INDEX(TblClusters[Cluster],$B744),"")</f>
        <v/>
      </c>
      <c r="G744" s="14" t="str">
        <f aca="false">IF($D744=1,INDEX(TblClusters[Plateforme],$B744),"")</f>
        <v/>
      </c>
      <c r="H744" s="14" t="str">
        <f aca="false">IF($D744=1,INDEX(TblClusters[vCPU par nœud],$B744),"")</f>
        <v/>
      </c>
      <c r="I744" s="14" t="str">
        <f aca="false">IF($D744=1,INDEX(TblClusters[RAM par nœud (Go)],$B744),"")</f>
        <v/>
      </c>
      <c r="J744" s="14" t="str">
        <f aca="false">IF($D744=1,INDEX(TblClusters[Workers min],$B744),"")</f>
        <v/>
      </c>
      <c r="K744" s="84" t="str">
        <f aca="false">IF($D744=1,INDEX(TblClusters[Tarif par nœud],$B744),"")</f>
        <v/>
      </c>
      <c r="L744" s="14" t="str">
        <f aca="false">IF($D744=1,INDEX(TblClusters[CPU initial (vCPU)],$B744),"")</f>
        <v/>
      </c>
      <c r="M744" s="14" t="str">
        <f aca="false">IF($D744=1,INDEX(TblClusters[RAM initiale (Go)],$B744),"")</f>
        <v/>
      </c>
      <c r="N744" s="14" t="str">
        <f aca="false">IF($D744=1,INDEX(TblClusters[CPU min (vCPU)],$B744),"")</f>
        <v/>
      </c>
      <c r="O744" s="14" t="str">
        <f aca="false">IF($D744=1,INDEX(TblClusters[RAM min (Go)],$B744),"")</f>
        <v/>
      </c>
      <c r="P744" s="14" t="str">
        <f aca="false">IF($D744&lt;&gt;1,"",IF($G744="ROKS",SUMIFS(TblApplications[Besoin ROKS CPU (vCPU)],TblApplications[Cluster ROKS cible],$F744,TblApplications[Action],"À migrer",TblApplications[Déjà incluse ROKS],"Non",TblApplications[Mois prov (calc)],"&lt;="&amp;$E744),SUMIFS(TblApplications[CPU IKS libérable (vCPU)],TblApplications[Cluster IKS source],$F744,TblApplications[Mois lib (calc)],"&lt;="&amp;$E744)))</f>
        <v/>
      </c>
      <c r="Q744" s="14" t="str">
        <f aca="false">IF($D744&lt;&gt;1,"",IF($G744="ROKS",SUMIFS(TblApplications[Besoin ROKS RAM (Go)],TblApplications[Cluster ROKS cible],$F744,TblApplications[Action],"À migrer",TblApplications[Déjà incluse ROKS],"Non",TblApplications[Mois prov (calc)],"&lt;="&amp;$E744),SUMIFS(TblApplications[RAM IKS libérable (Go)],TblApplications[Cluster IKS source],$F744,TblApplications[Mois lib (calc)],"&lt;="&amp;$E744)))</f>
        <v/>
      </c>
      <c r="R744" s="14" t="str">
        <f aca="false">IF($D744&lt;&gt;1,"",IF($G744="ROKS",$L744+$P744,IF($AI744=1,0,MAX($N744,$L744-$P744))))</f>
        <v/>
      </c>
      <c r="S744" s="14" t="str">
        <f aca="false">IF($D744&lt;&gt;1,"",IF($G744="ROKS",$M744+$Q744,IF($AI744=1,0,MAX($O744,$M744-$Q744))))</f>
        <v/>
      </c>
      <c r="T744" s="14" t="str">
        <f aca="false">IF($D744&lt;&gt;1,"",IF($AI744=1,0,MAX($J744,ROUNDUP(MAX($R744/$H744,$S744/$I744),0))))</f>
        <v/>
      </c>
      <c r="U744" s="14" t="str">
        <f aca="false">IF($D744&lt;&gt;1,"",IF(p_mode="Nœud",$T744*$H744,$R744))</f>
        <v/>
      </c>
      <c r="V744" s="14" t="str">
        <f aca="false">IF($D744&lt;&gt;1,"",IF(p_mode="Nœud",$T744*$I744,$S744))</f>
        <v/>
      </c>
      <c r="W744" s="84" t="str">
        <f aca="false">IF($D744&lt;&gt;1,"",IF(p_mode="Nœud",$T744*$K744,$R744*IF($G744="IKS",p_iks_cpu,p_roks_cpu)+$S744*IF($G744="IKS",p_iks_ram,p_roks_ram))*p_facteur)</f>
        <v/>
      </c>
      <c r="X744" s="14" t="str">
        <f aca="false">IF($D744&lt;&gt;1,"",IF($G744="ROKS",$R744,IF($AI744=1,0,MAX($N744,$L744-SUMIFS(TblApplications[CPU IKS libérable (vCPU)],TblApplications[Cluster IKS source],$F744,TblApplications[Action],"À migrer",TblApplications[Mois prov (calc)],"&lt;="&amp;$E744)-SUMIFS(TblApplications[CPU IKS libérable (vCPU)],TblApplications[Cluster IKS source],$F744,TblApplications[Action],"À décommissionner",TblApplications[Mois lib (calc)],"&lt;="&amp;$E744)))))</f>
        <v/>
      </c>
      <c r="Y744" s="14" t="str">
        <f aca="false">IF($D744&lt;&gt;1,"",IF($G744="ROKS",$S744,IF($AI744=1,0,MAX($O744,$M744-SUMIFS(TblApplications[RAM IKS libérable (Go)],TblApplications[Cluster IKS source],$F744,TblApplications[Action],"À migrer",TblApplications[Mois prov (calc)],"&lt;="&amp;$E744)-SUMIFS(TblApplications[RAM IKS libérable (Go)],TblApplications[Cluster IKS source],$F744,TblApplications[Action],"À décommissionner",TblApplications[Mois lib (calc)],"&lt;="&amp;$E744)))))</f>
        <v/>
      </c>
      <c r="Z744" s="14" t="str">
        <f aca="false">IF($D744&lt;&gt;1,"",IF($AI744=1,0,MAX($J744,ROUNDUP(MAX($X744/$H744,$Y744/$I744),0))))</f>
        <v/>
      </c>
      <c r="AA744" s="84" t="str">
        <f aca="false">IF($D744&lt;&gt;1,"",IF(p_mode="Nœud",$Z744*$K744,$X744*IF($G744="IKS",p_iks_cpu,p_roks_cpu)+$Y744*IF($G744="IKS",p_iks_ram,p_roks_ram))*p_facteur)</f>
        <v/>
      </c>
      <c r="AB744" s="14" t="str">
        <f aca="false">IF($D744&lt;&gt;1,"",MAX($J744,ROUNDUP(MAX($L744/$H744,$M744/$I744),0)))</f>
        <v/>
      </c>
      <c r="AC744" s="84" t="str">
        <f aca="false">IF($D744&lt;&gt;1,"",IF(p_mode="Nœud",$AB744*$K744,$L744*IF($G744="IKS",p_iks_cpu,p_roks_cpu)+$M744*IF($G744="IKS",p_iks_ram,p_roks_ram))*p_facteur)</f>
        <v/>
      </c>
      <c r="AD744" s="14" t="str">
        <f aca="false">IF($D744&lt;&gt;1,"",IF(AND($G744="IKS",$AI744&lt;&gt;1,OR($L744-$P744&lt;$N744,$M744-$Q744&lt;$O744)),1,0))</f>
        <v/>
      </c>
      <c r="AE744" s="14" t="str">
        <f aca="false">IF($D744&lt;&gt;1,"",IF(AND($G744="ROKS",$T744&gt;p_maxworkers),1,0))</f>
        <v/>
      </c>
      <c r="AF744" s="14" t="str">
        <f aca="false">IF($D744&lt;&gt;1,"",IF(INDEX(TblClusters[Environnement],$B744)="","(vide)",INDEX(TblClusters[Environnement],$B744)))</f>
        <v/>
      </c>
      <c r="AG744" s="14" t="str">
        <f aca="false">IF($D744&lt;&gt;1,"",$R744+p_poidsram*$S744)</f>
        <v/>
      </c>
      <c r="AH744" s="14" t="str">
        <f aca="false">IF($D744&lt;&gt;1,"",IFERROR($W744/$AG744,0))</f>
        <v/>
      </c>
      <c r="AI744" s="14" t="str">
        <f aca="false">IF($D744&lt;&gt;1,"",IF(AND($G744="IKS",ISNUMBER(INDEX(TblClusters[Fermeture retenue],$B744))),IF($E744&gt;=INDEX(TblClusters[Fermeture retenue],$B744),1,0),0))</f>
        <v/>
      </c>
    </row>
    <row r="745" customFormat="false" ht="15" hidden="false" customHeight="false" outlineLevel="0" collapsed="false">
      <c r="A745" s="14" t="n">
        <v>740</v>
      </c>
      <c r="B745" s="14" t="n">
        <f aca="false">INT(($A745-1)/36)+1</f>
        <v>21</v>
      </c>
      <c r="C745" s="14" t="n">
        <f aca="false">MOD($A745-1,36)+1</f>
        <v>20</v>
      </c>
      <c r="D745" s="14" t="n">
        <f aca="false">IF($C745&gt;p_horizon,0,IFERROR(IF(AND(INDEX(TblClusters[Cluster],$B745)&lt;&gt;"",ISNUMBER(INDEX(TblClusters[CPU initial (vCPU)],$B745)),ISNUMBER(INDEX(TblClusters[CPU min (vCPU)],$B745)),OR(INDEX(TblClusters[Plateforme],$B745)="IKS",INDEX(TblClusters[Plateforme],$B745)="ROKS")),1,0),0))</f>
        <v>0</v>
      </c>
      <c r="E745" s="83" t="str">
        <f aca="false">IF($D745=1,EDATE(p_debut,$C745-1),"")</f>
        <v/>
      </c>
      <c r="F745" s="14" t="str">
        <f aca="false">IF($D745=1,INDEX(TblClusters[Cluster],$B745),"")</f>
        <v/>
      </c>
      <c r="G745" s="14" t="str">
        <f aca="false">IF($D745=1,INDEX(TblClusters[Plateforme],$B745),"")</f>
        <v/>
      </c>
      <c r="H745" s="14" t="str">
        <f aca="false">IF($D745=1,INDEX(TblClusters[vCPU par nœud],$B745),"")</f>
        <v/>
      </c>
      <c r="I745" s="14" t="str">
        <f aca="false">IF($D745=1,INDEX(TblClusters[RAM par nœud (Go)],$B745),"")</f>
        <v/>
      </c>
      <c r="J745" s="14" t="str">
        <f aca="false">IF($D745=1,INDEX(TblClusters[Workers min],$B745),"")</f>
        <v/>
      </c>
      <c r="K745" s="84" t="str">
        <f aca="false">IF($D745=1,INDEX(TblClusters[Tarif par nœud],$B745),"")</f>
        <v/>
      </c>
      <c r="L745" s="14" t="str">
        <f aca="false">IF($D745=1,INDEX(TblClusters[CPU initial (vCPU)],$B745),"")</f>
        <v/>
      </c>
      <c r="M745" s="14" t="str">
        <f aca="false">IF($D745=1,INDEX(TblClusters[RAM initiale (Go)],$B745),"")</f>
        <v/>
      </c>
      <c r="N745" s="14" t="str">
        <f aca="false">IF($D745=1,INDEX(TblClusters[CPU min (vCPU)],$B745),"")</f>
        <v/>
      </c>
      <c r="O745" s="14" t="str">
        <f aca="false">IF($D745=1,INDEX(TblClusters[RAM min (Go)],$B745),"")</f>
        <v/>
      </c>
      <c r="P745" s="14" t="str">
        <f aca="false">IF($D745&lt;&gt;1,"",IF($G745="ROKS",SUMIFS(TblApplications[Besoin ROKS CPU (vCPU)],TblApplications[Cluster ROKS cible],$F745,TblApplications[Action],"À migrer",TblApplications[Déjà incluse ROKS],"Non",TblApplications[Mois prov (calc)],"&lt;="&amp;$E745),SUMIFS(TblApplications[CPU IKS libérable (vCPU)],TblApplications[Cluster IKS source],$F745,TblApplications[Mois lib (calc)],"&lt;="&amp;$E745)))</f>
        <v/>
      </c>
      <c r="Q745" s="14" t="str">
        <f aca="false">IF($D745&lt;&gt;1,"",IF($G745="ROKS",SUMIFS(TblApplications[Besoin ROKS RAM (Go)],TblApplications[Cluster ROKS cible],$F745,TblApplications[Action],"À migrer",TblApplications[Déjà incluse ROKS],"Non",TblApplications[Mois prov (calc)],"&lt;="&amp;$E745),SUMIFS(TblApplications[RAM IKS libérable (Go)],TblApplications[Cluster IKS source],$F745,TblApplications[Mois lib (calc)],"&lt;="&amp;$E745)))</f>
        <v/>
      </c>
      <c r="R745" s="14" t="str">
        <f aca="false">IF($D745&lt;&gt;1,"",IF($G745="ROKS",$L745+$P745,IF($AI745=1,0,MAX($N745,$L745-$P745))))</f>
        <v/>
      </c>
      <c r="S745" s="14" t="str">
        <f aca="false">IF($D745&lt;&gt;1,"",IF($G745="ROKS",$M745+$Q745,IF($AI745=1,0,MAX($O745,$M745-$Q745))))</f>
        <v/>
      </c>
      <c r="T745" s="14" t="str">
        <f aca="false">IF($D745&lt;&gt;1,"",IF($AI745=1,0,MAX($J745,ROUNDUP(MAX($R745/$H745,$S745/$I745),0))))</f>
        <v/>
      </c>
      <c r="U745" s="14" t="str">
        <f aca="false">IF($D745&lt;&gt;1,"",IF(p_mode="Nœud",$T745*$H745,$R745))</f>
        <v/>
      </c>
      <c r="V745" s="14" t="str">
        <f aca="false">IF($D745&lt;&gt;1,"",IF(p_mode="Nœud",$T745*$I745,$S745))</f>
        <v/>
      </c>
      <c r="W745" s="84" t="str">
        <f aca="false">IF($D745&lt;&gt;1,"",IF(p_mode="Nœud",$T745*$K745,$R745*IF($G745="IKS",p_iks_cpu,p_roks_cpu)+$S745*IF($G745="IKS",p_iks_ram,p_roks_ram))*p_facteur)</f>
        <v/>
      </c>
      <c r="X745" s="14" t="str">
        <f aca="false">IF($D745&lt;&gt;1,"",IF($G745="ROKS",$R745,IF($AI745=1,0,MAX($N745,$L745-SUMIFS(TblApplications[CPU IKS libérable (vCPU)],TblApplications[Cluster IKS source],$F745,TblApplications[Action],"À migrer",TblApplications[Mois prov (calc)],"&lt;="&amp;$E745)-SUMIFS(TblApplications[CPU IKS libérable (vCPU)],TblApplications[Cluster IKS source],$F745,TblApplications[Action],"À décommissionner",TblApplications[Mois lib (calc)],"&lt;="&amp;$E745)))))</f>
        <v/>
      </c>
      <c r="Y745" s="14" t="str">
        <f aca="false">IF($D745&lt;&gt;1,"",IF($G745="ROKS",$S745,IF($AI745=1,0,MAX($O745,$M745-SUMIFS(TblApplications[RAM IKS libérable (Go)],TblApplications[Cluster IKS source],$F745,TblApplications[Action],"À migrer",TblApplications[Mois prov (calc)],"&lt;="&amp;$E745)-SUMIFS(TblApplications[RAM IKS libérable (Go)],TblApplications[Cluster IKS source],$F745,TblApplications[Action],"À décommissionner",TblApplications[Mois lib (calc)],"&lt;="&amp;$E745)))))</f>
        <v/>
      </c>
      <c r="Z745" s="14" t="str">
        <f aca="false">IF($D745&lt;&gt;1,"",IF($AI745=1,0,MAX($J745,ROUNDUP(MAX($X745/$H745,$Y745/$I745),0))))</f>
        <v/>
      </c>
      <c r="AA745" s="84" t="str">
        <f aca="false">IF($D745&lt;&gt;1,"",IF(p_mode="Nœud",$Z745*$K745,$X745*IF($G745="IKS",p_iks_cpu,p_roks_cpu)+$Y745*IF($G745="IKS",p_iks_ram,p_roks_ram))*p_facteur)</f>
        <v/>
      </c>
      <c r="AB745" s="14" t="str">
        <f aca="false">IF($D745&lt;&gt;1,"",MAX($J745,ROUNDUP(MAX($L745/$H745,$M745/$I745),0)))</f>
        <v/>
      </c>
      <c r="AC745" s="84" t="str">
        <f aca="false">IF($D745&lt;&gt;1,"",IF(p_mode="Nœud",$AB745*$K745,$L745*IF($G745="IKS",p_iks_cpu,p_roks_cpu)+$M745*IF($G745="IKS",p_iks_ram,p_roks_ram))*p_facteur)</f>
        <v/>
      </c>
      <c r="AD745" s="14" t="str">
        <f aca="false">IF($D745&lt;&gt;1,"",IF(AND($G745="IKS",$AI745&lt;&gt;1,OR($L745-$P745&lt;$N745,$M745-$Q745&lt;$O745)),1,0))</f>
        <v/>
      </c>
      <c r="AE745" s="14" t="str">
        <f aca="false">IF($D745&lt;&gt;1,"",IF(AND($G745="ROKS",$T745&gt;p_maxworkers),1,0))</f>
        <v/>
      </c>
      <c r="AF745" s="14" t="str">
        <f aca="false">IF($D745&lt;&gt;1,"",IF(INDEX(TblClusters[Environnement],$B745)="","(vide)",INDEX(TblClusters[Environnement],$B745)))</f>
        <v/>
      </c>
      <c r="AG745" s="14" t="str">
        <f aca="false">IF($D745&lt;&gt;1,"",$R745+p_poidsram*$S745)</f>
        <v/>
      </c>
      <c r="AH745" s="14" t="str">
        <f aca="false">IF($D745&lt;&gt;1,"",IFERROR($W745/$AG745,0))</f>
        <v/>
      </c>
      <c r="AI745" s="14" t="str">
        <f aca="false">IF($D745&lt;&gt;1,"",IF(AND($G745="IKS",ISNUMBER(INDEX(TblClusters[Fermeture retenue],$B745))),IF($E745&gt;=INDEX(TblClusters[Fermeture retenue],$B745),1,0),0))</f>
        <v/>
      </c>
    </row>
    <row r="746" customFormat="false" ht="15" hidden="false" customHeight="false" outlineLevel="0" collapsed="false">
      <c r="A746" s="14" t="n">
        <v>741</v>
      </c>
      <c r="B746" s="14" t="n">
        <f aca="false">INT(($A746-1)/36)+1</f>
        <v>21</v>
      </c>
      <c r="C746" s="14" t="n">
        <f aca="false">MOD($A746-1,36)+1</f>
        <v>21</v>
      </c>
      <c r="D746" s="14" t="n">
        <f aca="false">IF($C746&gt;p_horizon,0,IFERROR(IF(AND(INDEX(TblClusters[Cluster],$B746)&lt;&gt;"",ISNUMBER(INDEX(TblClusters[CPU initial (vCPU)],$B746)),ISNUMBER(INDEX(TblClusters[CPU min (vCPU)],$B746)),OR(INDEX(TblClusters[Plateforme],$B746)="IKS",INDEX(TblClusters[Plateforme],$B746)="ROKS")),1,0),0))</f>
        <v>0</v>
      </c>
      <c r="E746" s="83" t="str">
        <f aca="false">IF($D746=1,EDATE(p_debut,$C746-1),"")</f>
        <v/>
      </c>
      <c r="F746" s="14" t="str">
        <f aca="false">IF($D746=1,INDEX(TblClusters[Cluster],$B746),"")</f>
        <v/>
      </c>
      <c r="G746" s="14" t="str">
        <f aca="false">IF($D746=1,INDEX(TblClusters[Plateforme],$B746),"")</f>
        <v/>
      </c>
      <c r="H746" s="14" t="str">
        <f aca="false">IF($D746=1,INDEX(TblClusters[vCPU par nœud],$B746),"")</f>
        <v/>
      </c>
      <c r="I746" s="14" t="str">
        <f aca="false">IF($D746=1,INDEX(TblClusters[RAM par nœud (Go)],$B746),"")</f>
        <v/>
      </c>
      <c r="J746" s="14" t="str">
        <f aca="false">IF($D746=1,INDEX(TblClusters[Workers min],$B746),"")</f>
        <v/>
      </c>
      <c r="K746" s="84" t="str">
        <f aca="false">IF($D746=1,INDEX(TblClusters[Tarif par nœud],$B746),"")</f>
        <v/>
      </c>
      <c r="L746" s="14" t="str">
        <f aca="false">IF($D746=1,INDEX(TblClusters[CPU initial (vCPU)],$B746),"")</f>
        <v/>
      </c>
      <c r="M746" s="14" t="str">
        <f aca="false">IF($D746=1,INDEX(TblClusters[RAM initiale (Go)],$B746),"")</f>
        <v/>
      </c>
      <c r="N746" s="14" t="str">
        <f aca="false">IF($D746=1,INDEX(TblClusters[CPU min (vCPU)],$B746),"")</f>
        <v/>
      </c>
      <c r="O746" s="14" t="str">
        <f aca="false">IF($D746=1,INDEX(TblClusters[RAM min (Go)],$B746),"")</f>
        <v/>
      </c>
      <c r="P746" s="14" t="str">
        <f aca="false">IF($D746&lt;&gt;1,"",IF($G746="ROKS",SUMIFS(TblApplications[Besoin ROKS CPU (vCPU)],TblApplications[Cluster ROKS cible],$F746,TblApplications[Action],"À migrer",TblApplications[Déjà incluse ROKS],"Non",TblApplications[Mois prov (calc)],"&lt;="&amp;$E746),SUMIFS(TblApplications[CPU IKS libérable (vCPU)],TblApplications[Cluster IKS source],$F746,TblApplications[Mois lib (calc)],"&lt;="&amp;$E746)))</f>
        <v/>
      </c>
      <c r="Q746" s="14" t="str">
        <f aca="false">IF($D746&lt;&gt;1,"",IF($G746="ROKS",SUMIFS(TblApplications[Besoin ROKS RAM (Go)],TblApplications[Cluster ROKS cible],$F746,TblApplications[Action],"À migrer",TblApplications[Déjà incluse ROKS],"Non",TblApplications[Mois prov (calc)],"&lt;="&amp;$E746),SUMIFS(TblApplications[RAM IKS libérable (Go)],TblApplications[Cluster IKS source],$F746,TblApplications[Mois lib (calc)],"&lt;="&amp;$E746)))</f>
        <v/>
      </c>
      <c r="R746" s="14" t="str">
        <f aca="false">IF($D746&lt;&gt;1,"",IF($G746="ROKS",$L746+$P746,IF($AI746=1,0,MAX($N746,$L746-$P746))))</f>
        <v/>
      </c>
      <c r="S746" s="14" t="str">
        <f aca="false">IF($D746&lt;&gt;1,"",IF($G746="ROKS",$M746+$Q746,IF($AI746=1,0,MAX($O746,$M746-$Q746))))</f>
        <v/>
      </c>
      <c r="T746" s="14" t="str">
        <f aca="false">IF($D746&lt;&gt;1,"",IF($AI746=1,0,MAX($J746,ROUNDUP(MAX($R746/$H746,$S746/$I746),0))))</f>
        <v/>
      </c>
      <c r="U746" s="14" t="str">
        <f aca="false">IF($D746&lt;&gt;1,"",IF(p_mode="Nœud",$T746*$H746,$R746))</f>
        <v/>
      </c>
      <c r="V746" s="14" t="str">
        <f aca="false">IF($D746&lt;&gt;1,"",IF(p_mode="Nœud",$T746*$I746,$S746))</f>
        <v/>
      </c>
      <c r="W746" s="84" t="str">
        <f aca="false">IF($D746&lt;&gt;1,"",IF(p_mode="Nœud",$T746*$K746,$R746*IF($G746="IKS",p_iks_cpu,p_roks_cpu)+$S746*IF($G746="IKS",p_iks_ram,p_roks_ram))*p_facteur)</f>
        <v/>
      </c>
      <c r="X746" s="14" t="str">
        <f aca="false">IF($D746&lt;&gt;1,"",IF($G746="ROKS",$R746,IF($AI746=1,0,MAX($N746,$L746-SUMIFS(TblApplications[CPU IKS libérable (vCPU)],TblApplications[Cluster IKS source],$F746,TblApplications[Action],"À migrer",TblApplications[Mois prov (calc)],"&lt;="&amp;$E746)-SUMIFS(TblApplications[CPU IKS libérable (vCPU)],TblApplications[Cluster IKS source],$F746,TblApplications[Action],"À décommissionner",TblApplications[Mois lib (calc)],"&lt;="&amp;$E746)))))</f>
        <v/>
      </c>
      <c r="Y746" s="14" t="str">
        <f aca="false">IF($D746&lt;&gt;1,"",IF($G746="ROKS",$S746,IF($AI746=1,0,MAX($O746,$M746-SUMIFS(TblApplications[RAM IKS libérable (Go)],TblApplications[Cluster IKS source],$F746,TblApplications[Action],"À migrer",TblApplications[Mois prov (calc)],"&lt;="&amp;$E746)-SUMIFS(TblApplications[RAM IKS libérable (Go)],TblApplications[Cluster IKS source],$F746,TblApplications[Action],"À décommissionner",TblApplications[Mois lib (calc)],"&lt;="&amp;$E746)))))</f>
        <v/>
      </c>
      <c r="Z746" s="14" t="str">
        <f aca="false">IF($D746&lt;&gt;1,"",IF($AI746=1,0,MAX($J746,ROUNDUP(MAX($X746/$H746,$Y746/$I746),0))))</f>
        <v/>
      </c>
      <c r="AA746" s="84" t="str">
        <f aca="false">IF($D746&lt;&gt;1,"",IF(p_mode="Nœud",$Z746*$K746,$X746*IF($G746="IKS",p_iks_cpu,p_roks_cpu)+$Y746*IF($G746="IKS",p_iks_ram,p_roks_ram))*p_facteur)</f>
        <v/>
      </c>
      <c r="AB746" s="14" t="str">
        <f aca="false">IF($D746&lt;&gt;1,"",MAX($J746,ROUNDUP(MAX($L746/$H746,$M746/$I746),0)))</f>
        <v/>
      </c>
      <c r="AC746" s="84" t="str">
        <f aca="false">IF($D746&lt;&gt;1,"",IF(p_mode="Nœud",$AB746*$K746,$L746*IF($G746="IKS",p_iks_cpu,p_roks_cpu)+$M746*IF($G746="IKS",p_iks_ram,p_roks_ram))*p_facteur)</f>
        <v/>
      </c>
      <c r="AD746" s="14" t="str">
        <f aca="false">IF($D746&lt;&gt;1,"",IF(AND($G746="IKS",$AI746&lt;&gt;1,OR($L746-$P746&lt;$N746,$M746-$Q746&lt;$O746)),1,0))</f>
        <v/>
      </c>
      <c r="AE746" s="14" t="str">
        <f aca="false">IF($D746&lt;&gt;1,"",IF(AND($G746="ROKS",$T746&gt;p_maxworkers),1,0))</f>
        <v/>
      </c>
      <c r="AF746" s="14" t="str">
        <f aca="false">IF($D746&lt;&gt;1,"",IF(INDEX(TblClusters[Environnement],$B746)="","(vide)",INDEX(TblClusters[Environnement],$B746)))</f>
        <v/>
      </c>
      <c r="AG746" s="14" t="str">
        <f aca="false">IF($D746&lt;&gt;1,"",$R746+p_poidsram*$S746)</f>
        <v/>
      </c>
      <c r="AH746" s="14" t="str">
        <f aca="false">IF($D746&lt;&gt;1,"",IFERROR($W746/$AG746,0))</f>
        <v/>
      </c>
      <c r="AI746" s="14" t="str">
        <f aca="false">IF($D746&lt;&gt;1,"",IF(AND($G746="IKS",ISNUMBER(INDEX(TblClusters[Fermeture retenue],$B746))),IF($E746&gt;=INDEX(TblClusters[Fermeture retenue],$B746),1,0),0))</f>
        <v/>
      </c>
    </row>
    <row r="747" customFormat="false" ht="15" hidden="false" customHeight="false" outlineLevel="0" collapsed="false">
      <c r="A747" s="14" t="n">
        <v>742</v>
      </c>
      <c r="B747" s="14" t="n">
        <f aca="false">INT(($A747-1)/36)+1</f>
        <v>21</v>
      </c>
      <c r="C747" s="14" t="n">
        <f aca="false">MOD($A747-1,36)+1</f>
        <v>22</v>
      </c>
      <c r="D747" s="14" t="n">
        <f aca="false">IF($C747&gt;p_horizon,0,IFERROR(IF(AND(INDEX(TblClusters[Cluster],$B747)&lt;&gt;"",ISNUMBER(INDEX(TblClusters[CPU initial (vCPU)],$B747)),ISNUMBER(INDEX(TblClusters[CPU min (vCPU)],$B747)),OR(INDEX(TblClusters[Plateforme],$B747)="IKS",INDEX(TblClusters[Plateforme],$B747)="ROKS")),1,0),0))</f>
        <v>0</v>
      </c>
      <c r="E747" s="83" t="str">
        <f aca="false">IF($D747=1,EDATE(p_debut,$C747-1),"")</f>
        <v/>
      </c>
      <c r="F747" s="14" t="str">
        <f aca="false">IF($D747=1,INDEX(TblClusters[Cluster],$B747),"")</f>
        <v/>
      </c>
      <c r="G747" s="14" t="str">
        <f aca="false">IF($D747=1,INDEX(TblClusters[Plateforme],$B747),"")</f>
        <v/>
      </c>
      <c r="H747" s="14" t="str">
        <f aca="false">IF($D747=1,INDEX(TblClusters[vCPU par nœud],$B747),"")</f>
        <v/>
      </c>
      <c r="I747" s="14" t="str">
        <f aca="false">IF($D747=1,INDEX(TblClusters[RAM par nœud (Go)],$B747),"")</f>
        <v/>
      </c>
      <c r="J747" s="14" t="str">
        <f aca="false">IF($D747=1,INDEX(TblClusters[Workers min],$B747),"")</f>
        <v/>
      </c>
      <c r="K747" s="84" t="str">
        <f aca="false">IF($D747=1,INDEX(TblClusters[Tarif par nœud],$B747),"")</f>
        <v/>
      </c>
      <c r="L747" s="14" t="str">
        <f aca="false">IF($D747=1,INDEX(TblClusters[CPU initial (vCPU)],$B747),"")</f>
        <v/>
      </c>
      <c r="M747" s="14" t="str">
        <f aca="false">IF($D747=1,INDEX(TblClusters[RAM initiale (Go)],$B747),"")</f>
        <v/>
      </c>
      <c r="N747" s="14" t="str">
        <f aca="false">IF($D747=1,INDEX(TblClusters[CPU min (vCPU)],$B747),"")</f>
        <v/>
      </c>
      <c r="O747" s="14" t="str">
        <f aca="false">IF($D747=1,INDEX(TblClusters[RAM min (Go)],$B747),"")</f>
        <v/>
      </c>
      <c r="P747" s="14" t="str">
        <f aca="false">IF($D747&lt;&gt;1,"",IF($G747="ROKS",SUMIFS(TblApplications[Besoin ROKS CPU (vCPU)],TblApplications[Cluster ROKS cible],$F747,TblApplications[Action],"À migrer",TblApplications[Déjà incluse ROKS],"Non",TblApplications[Mois prov (calc)],"&lt;="&amp;$E747),SUMIFS(TblApplications[CPU IKS libérable (vCPU)],TblApplications[Cluster IKS source],$F747,TblApplications[Mois lib (calc)],"&lt;="&amp;$E747)))</f>
        <v/>
      </c>
      <c r="Q747" s="14" t="str">
        <f aca="false">IF($D747&lt;&gt;1,"",IF($G747="ROKS",SUMIFS(TblApplications[Besoin ROKS RAM (Go)],TblApplications[Cluster ROKS cible],$F747,TblApplications[Action],"À migrer",TblApplications[Déjà incluse ROKS],"Non",TblApplications[Mois prov (calc)],"&lt;="&amp;$E747),SUMIFS(TblApplications[RAM IKS libérable (Go)],TblApplications[Cluster IKS source],$F747,TblApplications[Mois lib (calc)],"&lt;="&amp;$E747)))</f>
        <v/>
      </c>
      <c r="R747" s="14" t="str">
        <f aca="false">IF($D747&lt;&gt;1,"",IF($G747="ROKS",$L747+$P747,IF($AI747=1,0,MAX($N747,$L747-$P747))))</f>
        <v/>
      </c>
      <c r="S747" s="14" t="str">
        <f aca="false">IF($D747&lt;&gt;1,"",IF($G747="ROKS",$M747+$Q747,IF($AI747=1,0,MAX($O747,$M747-$Q747))))</f>
        <v/>
      </c>
      <c r="T747" s="14" t="str">
        <f aca="false">IF($D747&lt;&gt;1,"",IF($AI747=1,0,MAX($J747,ROUNDUP(MAX($R747/$H747,$S747/$I747),0))))</f>
        <v/>
      </c>
      <c r="U747" s="14" t="str">
        <f aca="false">IF($D747&lt;&gt;1,"",IF(p_mode="Nœud",$T747*$H747,$R747))</f>
        <v/>
      </c>
      <c r="V747" s="14" t="str">
        <f aca="false">IF($D747&lt;&gt;1,"",IF(p_mode="Nœud",$T747*$I747,$S747))</f>
        <v/>
      </c>
      <c r="W747" s="84" t="str">
        <f aca="false">IF($D747&lt;&gt;1,"",IF(p_mode="Nœud",$T747*$K747,$R747*IF($G747="IKS",p_iks_cpu,p_roks_cpu)+$S747*IF($G747="IKS",p_iks_ram,p_roks_ram))*p_facteur)</f>
        <v/>
      </c>
      <c r="X747" s="14" t="str">
        <f aca="false">IF($D747&lt;&gt;1,"",IF($G747="ROKS",$R747,IF($AI747=1,0,MAX($N747,$L747-SUMIFS(TblApplications[CPU IKS libérable (vCPU)],TblApplications[Cluster IKS source],$F747,TblApplications[Action],"À migrer",TblApplications[Mois prov (calc)],"&lt;="&amp;$E747)-SUMIFS(TblApplications[CPU IKS libérable (vCPU)],TblApplications[Cluster IKS source],$F747,TblApplications[Action],"À décommissionner",TblApplications[Mois lib (calc)],"&lt;="&amp;$E747)))))</f>
        <v/>
      </c>
      <c r="Y747" s="14" t="str">
        <f aca="false">IF($D747&lt;&gt;1,"",IF($G747="ROKS",$S747,IF($AI747=1,0,MAX($O747,$M747-SUMIFS(TblApplications[RAM IKS libérable (Go)],TblApplications[Cluster IKS source],$F747,TblApplications[Action],"À migrer",TblApplications[Mois prov (calc)],"&lt;="&amp;$E747)-SUMIFS(TblApplications[RAM IKS libérable (Go)],TblApplications[Cluster IKS source],$F747,TblApplications[Action],"À décommissionner",TblApplications[Mois lib (calc)],"&lt;="&amp;$E747)))))</f>
        <v/>
      </c>
      <c r="Z747" s="14" t="str">
        <f aca="false">IF($D747&lt;&gt;1,"",IF($AI747=1,0,MAX($J747,ROUNDUP(MAX($X747/$H747,$Y747/$I747),0))))</f>
        <v/>
      </c>
      <c r="AA747" s="84" t="str">
        <f aca="false">IF($D747&lt;&gt;1,"",IF(p_mode="Nœud",$Z747*$K747,$X747*IF($G747="IKS",p_iks_cpu,p_roks_cpu)+$Y747*IF($G747="IKS",p_iks_ram,p_roks_ram))*p_facteur)</f>
        <v/>
      </c>
      <c r="AB747" s="14" t="str">
        <f aca="false">IF($D747&lt;&gt;1,"",MAX($J747,ROUNDUP(MAX($L747/$H747,$M747/$I747),0)))</f>
        <v/>
      </c>
      <c r="AC747" s="84" t="str">
        <f aca="false">IF($D747&lt;&gt;1,"",IF(p_mode="Nœud",$AB747*$K747,$L747*IF($G747="IKS",p_iks_cpu,p_roks_cpu)+$M747*IF($G747="IKS",p_iks_ram,p_roks_ram))*p_facteur)</f>
        <v/>
      </c>
      <c r="AD747" s="14" t="str">
        <f aca="false">IF($D747&lt;&gt;1,"",IF(AND($G747="IKS",$AI747&lt;&gt;1,OR($L747-$P747&lt;$N747,$M747-$Q747&lt;$O747)),1,0))</f>
        <v/>
      </c>
      <c r="AE747" s="14" t="str">
        <f aca="false">IF($D747&lt;&gt;1,"",IF(AND($G747="ROKS",$T747&gt;p_maxworkers),1,0))</f>
        <v/>
      </c>
      <c r="AF747" s="14" t="str">
        <f aca="false">IF($D747&lt;&gt;1,"",IF(INDEX(TblClusters[Environnement],$B747)="","(vide)",INDEX(TblClusters[Environnement],$B747)))</f>
        <v/>
      </c>
      <c r="AG747" s="14" t="str">
        <f aca="false">IF($D747&lt;&gt;1,"",$R747+p_poidsram*$S747)</f>
        <v/>
      </c>
      <c r="AH747" s="14" t="str">
        <f aca="false">IF($D747&lt;&gt;1,"",IFERROR($W747/$AG747,0))</f>
        <v/>
      </c>
      <c r="AI747" s="14" t="str">
        <f aca="false">IF($D747&lt;&gt;1,"",IF(AND($G747="IKS",ISNUMBER(INDEX(TblClusters[Fermeture retenue],$B747))),IF($E747&gt;=INDEX(TblClusters[Fermeture retenue],$B747),1,0),0))</f>
        <v/>
      </c>
    </row>
    <row r="748" customFormat="false" ht="15" hidden="false" customHeight="false" outlineLevel="0" collapsed="false">
      <c r="A748" s="14" t="n">
        <v>743</v>
      </c>
      <c r="B748" s="14" t="n">
        <f aca="false">INT(($A748-1)/36)+1</f>
        <v>21</v>
      </c>
      <c r="C748" s="14" t="n">
        <f aca="false">MOD($A748-1,36)+1</f>
        <v>23</v>
      </c>
      <c r="D748" s="14" t="n">
        <f aca="false">IF($C748&gt;p_horizon,0,IFERROR(IF(AND(INDEX(TblClusters[Cluster],$B748)&lt;&gt;"",ISNUMBER(INDEX(TblClusters[CPU initial (vCPU)],$B748)),ISNUMBER(INDEX(TblClusters[CPU min (vCPU)],$B748)),OR(INDEX(TblClusters[Plateforme],$B748)="IKS",INDEX(TblClusters[Plateforme],$B748)="ROKS")),1,0),0))</f>
        <v>0</v>
      </c>
      <c r="E748" s="83" t="str">
        <f aca="false">IF($D748=1,EDATE(p_debut,$C748-1),"")</f>
        <v/>
      </c>
      <c r="F748" s="14" t="str">
        <f aca="false">IF($D748=1,INDEX(TblClusters[Cluster],$B748),"")</f>
        <v/>
      </c>
      <c r="G748" s="14" t="str">
        <f aca="false">IF($D748=1,INDEX(TblClusters[Plateforme],$B748),"")</f>
        <v/>
      </c>
      <c r="H748" s="14" t="str">
        <f aca="false">IF($D748=1,INDEX(TblClusters[vCPU par nœud],$B748),"")</f>
        <v/>
      </c>
      <c r="I748" s="14" t="str">
        <f aca="false">IF($D748=1,INDEX(TblClusters[RAM par nœud (Go)],$B748),"")</f>
        <v/>
      </c>
      <c r="J748" s="14" t="str">
        <f aca="false">IF($D748=1,INDEX(TblClusters[Workers min],$B748),"")</f>
        <v/>
      </c>
      <c r="K748" s="84" t="str">
        <f aca="false">IF($D748=1,INDEX(TblClusters[Tarif par nœud],$B748),"")</f>
        <v/>
      </c>
      <c r="L748" s="14" t="str">
        <f aca="false">IF($D748=1,INDEX(TblClusters[CPU initial (vCPU)],$B748),"")</f>
        <v/>
      </c>
      <c r="M748" s="14" t="str">
        <f aca="false">IF($D748=1,INDEX(TblClusters[RAM initiale (Go)],$B748),"")</f>
        <v/>
      </c>
      <c r="N748" s="14" t="str">
        <f aca="false">IF($D748=1,INDEX(TblClusters[CPU min (vCPU)],$B748),"")</f>
        <v/>
      </c>
      <c r="O748" s="14" t="str">
        <f aca="false">IF($D748=1,INDEX(TblClusters[RAM min (Go)],$B748),"")</f>
        <v/>
      </c>
      <c r="P748" s="14" t="str">
        <f aca="false">IF($D748&lt;&gt;1,"",IF($G748="ROKS",SUMIFS(TblApplications[Besoin ROKS CPU (vCPU)],TblApplications[Cluster ROKS cible],$F748,TblApplications[Action],"À migrer",TblApplications[Déjà incluse ROKS],"Non",TblApplications[Mois prov (calc)],"&lt;="&amp;$E748),SUMIFS(TblApplications[CPU IKS libérable (vCPU)],TblApplications[Cluster IKS source],$F748,TblApplications[Mois lib (calc)],"&lt;="&amp;$E748)))</f>
        <v/>
      </c>
      <c r="Q748" s="14" t="str">
        <f aca="false">IF($D748&lt;&gt;1,"",IF($G748="ROKS",SUMIFS(TblApplications[Besoin ROKS RAM (Go)],TblApplications[Cluster ROKS cible],$F748,TblApplications[Action],"À migrer",TblApplications[Déjà incluse ROKS],"Non",TblApplications[Mois prov (calc)],"&lt;="&amp;$E748),SUMIFS(TblApplications[RAM IKS libérable (Go)],TblApplications[Cluster IKS source],$F748,TblApplications[Mois lib (calc)],"&lt;="&amp;$E748)))</f>
        <v/>
      </c>
      <c r="R748" s="14" t="str">
        <f aca="false">IF($D748&lt;&gt;1,"",IF($G748="ROKS",$L748+$P748,IF($AI748=1,0,MAX($N748,$L748-$P748))))</f>
        <v/>
      </c>
      <c r="S748" s="14" t="str">
        <f aca="false">IF($D748&lt;&gt;1,"",IF($G748="ROKS",$M748+$Q748,IF($AI748=1,0,MAX($O748,$M748-$Q748))))</f>
        <v/>
      </c>
      <c r="T748" s="14" t="str">
        <f aca="false">IF($D748&lt;&gt;1,"",IF($AI748=1,0,MAX($J748,ROUNDUP(MAX($R748/$H748,$S748/$I748),0))))</f>
        <v/>
      </c>
      <c r="U748" s="14" t="str">
        <f aca="false">IF($D748&lt;&gt;1,"",IF(p_mode="Nœud",$T748*$H748,$R748))</f>
        <v/>
      </c>
      <c r="V748" s="14" t="str">
        <f aca="false">IF($D748&lt;&gt;1,"",IF(p_mode="Nœud",$T748*$I748,$S748))</f>
        <v/>
      </c>
      <c r="W748" s="84" t="str">
        <f aca="false">IF($D748&lt;&gt;1,"",IF(p_mode="Nœud",$T748*$K748,$R748*IF($G748="IKS",p_iks_cpu,p_roks_cpu)+$S748*IF($G748="IKS",p_iks_ram,p_roks_ram))*p_facteur)</f>
        <v/>
      </c>
      <c r="X748" s="14" t="str">
        <f aca="false">IF($D748&lt;&gt;1,"",IF($G748="ROKS",$R748,IF($AI748=1,0,MAX($N748,$L748-SUMIFS(TblApplications[CPU IKS libérable (vCPU)],TblApplications[Cluster IKS source],$F748,TblApplications[Action],"À migrer",TblApplications[Mois prov (calc)],"&lt;="&amp;$E748)-SUMIFS(TblApplications[CPU IKS libérable (vCPU)],TblApplications[Cluster IKS source],$F748,TblApplications[Action],"À décommissionner",TblApplications[Mois lib (calc)],"&lt;="&amp;$E748)))))</f>
        <v/>
      </c>
      <c r="Y748" s="14" t="str">
        <f aca="false">IF($D748&lt;&gt;1,"",IF($G748="ROKS",$S748,IF($AI748=1,0,MAX($O748,$M748-SUMIFS(TblApplications[RAM IKS libérable (Go)],TblApplications[Cluster IKS source],$F748,TblApplications[Action],"À migrer",TblApplications[Mois prov (calc)],"&lt;="&amp;$E748)-SUMIFS(TblApplications[RAM IKS libérable (Go)],TblApplications[Cluster IKS source],$F748,TblApplications[Action],"À décommissionner",TblApplications[Mois lib (calc)],"&lt;="&amp;$E748)))))</f>
        <v/>
      </c>
      <c r="Z748" s="14" t="str">
        <f aca="false">IF($D748&lt;&gt;1,"",IF($AI748=1,0,MAX($J748,ROUNDUP(MAX($X748/$H748,$Y748/$I748),0))))</f>
        <v/>
      </c>
      <c r="AA748" s="84" t="str">
        <f aca="false">IF($D748&lt;&gt;1,"",IF(p_mode="Nœud",$Z748*$K748,$X748*IF($G748="IKS",p_iks_cpu,p_roks_cpu)+$Y748*IF($G748="IKS",p_iks_ram,p_roks_ram))*p_facteur)</f>
        <v/>
      </c>
      <c r="AB748" s="14" t="str">
        <f aca="false">IF($D748&lt;&gt;1,"",MAX($J748,ROUNDUP(MAX($L748/$H748,$M748/$I748),0)))</f>
        <v/>
      </c>
      <c r="AC748" s="84" t="str">
        <f aca="false">IF($D748&lt;&gt;1,"",IF(p_mode="Nœud",$AB748*$K748,$L748*IF($G748="IKS",p_iks_cpu,p_roks_cpu)+$M748*IF($G748="IKS",p_iks_ram,p_roks_ram))*p_facteur)</f>
        <v/>
      </c>
      <c r="AD748" s="14" t="str">
        <f aca="false">IF($D748&lt;&gt;1,"",IF(AND($G748="IKS",$AI748&lt;&gt;1,OR($L748-$P748&lt;$N748,$M748-$Q748&lt;$O748)),1,0))</f>
        <v/>
      </c>
      <c r="AE748" s="14" t="str">
        <f aca="false">IF($D748&lt;&gt;1,"",IF(AND($G748="ROKS",$T748&gt;p_maxworkers),1,0))</f>
        <v/>
      </c>
      <c r="AF748" s="14" t="str">
        <f aca="false">IF($D748&lt;&gt;1,"",IF(INDEX(TblClusters[Environnement],$B748)="","(vide)",INDEX(TblClusters[Environnement],$B748)))</f>
        <v/>
      </c>
      <c r="AG748" s="14" t="str">
        <f aca="false">IF($D748&lt;&gt;1,"",$R748+p_poidsram*$S748)</f>
        <v/>
      </c>
      <c r="AH748" s="14" t="str">
        <f aca="false">IF($D748&lt;&gt;1,"",IFERROR($W748/$AG748,0))</f>
        <v/>
      </c>
      <c r="AI748" s="14" t="str">
        <f aca="false">IF($D748&lt;&gt;1,"",IF(AND($G748="IKS",ISNUMBER(INDEX(TblClusters[Fermeture retenue],$B748))),IF($E748&gt;=INDEX(TblClusters[Fermeture retenue],$B748),1,0),0))</f>
        <v/>
      </c>
    </row>
    <row r="749" customFormat="false" ht="15" hidden="false" customHeight="false" outlineLevel="0" collapsed="false">
      <c r="A749" s="14" t="n">
        <v>744</v>
      </c>
      <c r="B749" s="14" t="n">
        <f aca="false">INT(($A749-1)/36)+1</f>
        <v>21</v>
      </c>
      <c r="C749" s="14" t="n">
        <f aca="false">MOD($A749-1,36)+1</f>
        <v>24</v>
      </c>
      <c r="D749" s="14" t="n">
        <f aca="false">IF($C749&gt;p_horizon,0,IFERROR(IF(AND(INDEX(TblClusters[Cluster],$B749)&lt;&gt;"",ISNUMBER(INDEX(TblClusters[CPU initial (vCPU)],$B749)),ISNUMBER(INDEX(TblClusters[CPU min (vCPU)],$B749)),OR(INDEX(TblClusters[Plateforme],$B749)="IKS",INDEX(TblClusters[Plateforme],$B749)="ROKS")),1,0),0))</f>
        <v>0</v>
      </c>
      <c r="E749" s="83" t="str">
        <f aca="false">IF($D749=1,EDATE(p_debut,$C749-1),"")</f>
        <v/>
      </c>
      <c r="F749" s="14" t="str">
        <f aca="false">IF($D749=1,INDEX(TblClusters[Cluster],$B749),"")</f>
        <v/>
      </c>
      <c r="G749" s="14" t="str">
        <f aca="false">IF($D749=1,INDEX(TblClusters[Plateforme],$B749),"")</f>
        <v/>
      </c>
      <c r="H749" s="14" t="str">
        <f aca="false">IF($D749=1,INDEX(TblClusters[vCPU par nœud],$B749),"")</f>
        <v/>
      </c>
      <c r="I749" s="14" t="str">
        <f aca="false">IF($D749=1,INDEX(TblClusters[RAM par nœud (Go)],$B749),"")</f>
        <v/>
      </c>
      <c r="J749" s="14" t="str">
        <f aca="false">IF($D749=1,INDEX(TblClusters[Workers min],$B749),"")</f>
        <v/>
      </c>
      <c r="K749" s="84" t="str">
        <f aca="false">IF($D749=1,INDEX(TblClusters[Tarif par nœud],$B749),"")</f>
        <v/>
      </c>
      <c r="L749" s="14" t="str">
        <f aca="false">IF($D749=1,INDEX(TblClusters[CPU initial (vCPU)],$B749),"")</f>
        <v/>
      </c>
      <c r="M749" s="14" t="str">
        <f aca="false">IF($D749=1,INDEX(TblClusters[RAM initiale (Go)],$B749),"")</f>
        <v/>
      </c>
      <c r="N749" s="14" t="str">
        <f aca="false">IF($D749=1,INDEX(TblClusters[CPU min (vCPU)],$B749),"")</f>
        <v/>
      </c>
      <c r="O749" s="14" t="str">
        <f aca="false">IF($D749=1,INDEX(TblClusters[RAM min (Go)],$B749),"")</f>
        <v/>
      </c>
      <c r="P749" s="14" t="str">
        <f aca="false">IF($D749&lt;&gt;1,"",IF($G749="ROKS",SUMIFS(TblApplications[Besoin ROKS CPU (vCPU)],TblApplications[Cluster ROKS cible],$F749,TblApplications[Action],"À migrer",TblApplications[Déjà incluse ROKS],"Non",TblApplications[Mois prov (calc)],"&lt;="&amp;$E749),SUMIFS(TblApplications[CPU IKS libérable (vCPU)],TblApplications[Cluster IKS source],$F749,TblApplications[Mois lib (calc)],"&lt;="&amp;$E749)))</f>
        <v/>
      </c>
      <c r="Q749" s="14" t="str">
        <f aca="false">IF($D749&lt;&gt;1,"",IF($G749="ROKS",SUMIFS(TblApplications[Besoin ROKS RAM (Go)],TblApplications[Cluster ROKS cible],$F749,TblApplications[Action],"À migrer",TblApplications[Déjà incluse ROKS],"Non",TblApplications[Mois prov (calc)],"&lt;="&amp;$E749),SUMIFS(TblApplications[RAM IKS libérable (Go)],TblApplications[Cluster IKS source],$F749,TblApplications[Mois lib (calc)],"&lt;="&amp;$E749)))</f>
        <v/>
      </c>
      <c r="R749" s="14" t="str">
        <f aca="false">IF($D749&lt;&gt;1,"",IF($G749="ROKS",$L749+$P749,IF($AI749=1,0,MAX($N749,$L749-$P749))))</f>
        <v/>
      </c>
      <c r="S749" s="14" t="str">
        <f aca="false">IF($D749&lt;&gt;1,"",IF($G749="ROKS",$M749+$Q749,IF($AI749=1,0,MAX($O749,$M749-$Q749))))</f>
        <v/>
      </c>
      <c r="T749" s="14" t="str">
        <f aca="false">IF($D749&lt;&gt;1,"",IF($AI749=1,0,MAX($J749,ROUNDUP(MAX($R749/$H749,$S749/$I749),0))))</f>
        <v/>
      </c>
      <c r="U749" s="14" t="str">
        <f aca="false">IF($D749&lt;&gt;1,"",IF(p_mode="Nœud",$T749*$H749,$R749))</f>
        <v/>
      </c>
      <c r="V749" s="14" t="str">
        <f aca="false">IF($D749&lt;&gt;1,"",IF(p_mode="Nœud",$T749*$I749,$S749))</f>
        <v/>
      </c>
      <c r="W749" s="84" t="str">
        <f aca="false">IF($D749&lt;&gt;1,"",IF(p_mode="Nœud",$T749*$K749,$R749*IF($G749="IKS",p_iks_cpu,p_roks_cpu)+$S749*IF($G749="IKS",p_iks_ram,p_roks_ram))*p_facteur)</f>
        <v/>
      </c>
      <c r="X749" s="14" t="str">
        <f aca="false">IF($D749&lt;&gt;1,"",IF($G749="ROKS",$R749,IF($AI749=1,0,MAX($N749,$L749-SUMIFS(TblApplications[CPU IKS libérable (vCPU)],TblApplications[Cluster IKS source],$F749,TblApplications[Action],"À migrer",TblApplications[Mois prov (calc)],"&lt;="&amp;$E749)-SUMIFS(TblApplications[CPU IKS libérable (vCPU)],TblApplications[Cluster IKS source],$F749,TblApplications[Action],"À décommissionner",TblApplications[Mois lib (calc)],"&lt;="&amp;$E749)))))</f>
        <v/>
      </c>
      <c r="Y749" s="14" t="str">
        <f aca="false">IF($D749&lt;&gt;1,"",IF($G749="ROKS",$S749,IF($AI749=1,0,MAX($O749,$M749-SUMIFS(TblApplications[RAM IKS libérable (Go)],TblApplications[Cluster IKS source],$F749,TblApplications[Action],"À migrer",TblApplications[Mois prov (calc)],"&lt;="&amp;$E749)-SUMIFS(TblApplications[RAM IKS libérable (Go)],TblApplications[Cluster IKS source],$F749,TblApplications[Action],"À décommissionner",TblApplications[Mois lib (calc)],"&lt;="&amp;$E749)))))</f>
        <v/>
      </c>
      <c r="Z749" s="14" t="str">
        <f aca="false">IF($D749&lt;&gt;1,"",IF($AI749=1,0,MAX($J749,ROUNDUP(MAX($X749/$H749,$Y749/$I749),0))))</f>
        <v/>
      </c>
      <c r="AA749" s="84" t="str">
        <f aca="false">IF($D749&lt;&gt;1,"",IF(p_mode="Nœud",$Z749*$K749,$X749*IF($G749="IKS",p_iks_cpu,p_roks_cpu)+$Y749*IF($G749="IKS",p_iks_ram,p_roks_ram))*p_facteur)</f>
        <v/>
      </c>
      <c r="AB749" s="14" t="str">
        <f aca="false">IF($D749&lt;&gt;1,"",MAX($J749,ROUNDUP(MAX($L749/$H749,$M749/$I749),0)))</f>
        <v/>
      </c>
      <c r="AC749" s="84" t="str">
        <f aca="false">IF($D749&lt;&gt;1,"",IF(p_mode="Nœud",$AB749*$K749,$L749*IF($G749="IKS",p_iks_cpu,p_roks_cpu)+$M749*IF($G749="IKS",p_iks_ram,p_roks_ram))*p_facteur)</f>
        <v/>
      </c>
      <c r="AD749" s="14" t="str">
        <f aca="false">IF($D749&lt;&gt;1,"",IF(AND($G749="IKS",$AI749&lt;&gt;1,OR($L749-$P749&lt;$N749,$M749-$Q749&lt;$O749)),1,0))</f>
        <v/>
      </c>
      <c r="AE749" s="14" t="str">
        <f aca="false">IF($D749&lt;&gt;1,"",IF(AND($G749="ROKS",$T749&gt;p_maxworkers),1,0))</f>
        <v/>
      </c>
      <c r="AF749" s="14" t="str">
        <f aca="false">IF($D749&lt;&gt;1,"",IF(INDEX(TblClusters[Environnement],$B749)="","(vide)",INDEX(TblClusters[Environnement],$B749)))</f>
        <v/>
      </c>
      <c r="AG749" s="14" t="str">
        <f aca="false">IF($D749&lt;&gt;1,"",$R749+p_poidsram*$S749)</f>
        <v/>
      </c>
      <c r="AH749" s="14" t="str">
        <f aca="false">IF($D749&lt;&gt;1,"",IFERROR($W749/$AG749,0))</f>
        <v/>
      </c>
      <c r="AI749" s="14" t="str">
        <f aca="false">IF($D749&lt;&gt;1,"",IF(AND($G749="IKS",ISNUMBER(INDEX(TblClusters[Fermeture retenue],$B749))),IF($E749&gt;=INDEX(TblClusters[Fermeture retenue],$B749),1,0),0))</f>
        <v/>
      </c>
    </row>
    <row r="750" customFormat="false" ht="15" hidden="false" customHeight="false" outlineLevel="0" collapsed="false">
      <c r="A750" s="14" t="n">
        <v>745</v>
      </c>
      <c r="B750" s="14" t="n">
        <f aca="false">INT(($A750-1)/36)+1</f>
        <v>21</v>
      </c>
      <c r="C750" s="14" t="n">
        <f aca="false">MOD($A750-1,36)+1</f>
        <v>25</v>
      </c>
      <c r="D750" s="14" t="n">
        <f aca="false">IF($C750&gt;p_horizon,0,IFERROR(IF(AND(INDEX(TblClusters[Cluster],$B750)&lt;&gt;"",ISNUMBER(INDEX(TblClusters[CPU initial (vCPU)],$B750)),ISNUMBER(INDEX(TblClusters[CPU min (vCPU)],$B750)),OR(INDEX(TblClusters[Plateforme],$B750)="IKS",INDEX(TblClusters[Plateforme],$B750)="ROKS")),1,0),0))</f>
        <v>0</v>
      </c>
      <c r="E750" s="83" t="str">
        <f aca="false">IF($D750=1,EDATE(p_debut,$C750-1),"")</f>
        <v/>
      </c>
      <c r="F750" s="14" t="str">
        <f aca="false">IF($D750=1,INDEX(TblClusters[Cluster],$B750),"")</f>
        <v/>
      </c>
      <c r="G750" s="14" t="str">
        <f aca="false">IF($D750=1,INDEX(TblClusters[Plateforme],$B750),"")</f>
        <v/>
      </c>
      <c r="H750" s="14" t="str">
        <f aca="false">IF($D750=1,INDEX(TblClusters[vCPU par nœud],$B750),"")</f>
        <v/>
      </c>
      <c r="I750" s="14" t="str">
        <f aca="false">IF($D750=1,INDEX(TblClusters[RAM par nœud (Go)],$B750),"")</f>
        <v/>
      </c>
      <c r="J750" s="14" t="str">
        <f aca="false">IF($D750=1,INDEX(TblClusters[Workers min],$B750),"")</f>
        <v/>
      </c>
      <c r="K750" s="84" t="str">
        <f aca="false">IF($D750=1,INDEX(TblClusters[Tarif par nœud],$B750),"")</f>
        <v/>
      </c>
      <c r="L750" s="14" t="str">
        <f aca="false">IF($D750=1,INDEX(TblClusters[CPU initial (vCPU)],$B750),"")</f>
        <v/>
      </c>
      <c r="M750" s="14" t="str">
        <f aca="false">IF($D750=1,INDEX(TblClusters[RAM initiale (Go)],$B750),"")</f>
        <v/>
      </c>
      <c r="N750" s="14" t="str">
        <f aca="false">IF($D750=1,INDEX(TblClusters[CPU min (vCPU)],$B750),"")</f>
        <v/>
      </c>
      <c r="O750" s="14" t="str">
        <f aca="false">IF($D750=1,INDEX(TblClusters[RAM min (Go)],$B750),"")</f>
        <v/>
      </c>
      <c r="P750" s="14" t="str">
        <f aca="false">IF($D750&lt;&gt;1,"",IF($G750="ROKS",SUMIFS(TblApplications[Besoin ROKS CPU (vCPU)],TblApplications[Cluster ROKS cible],$F750,TblApplications[Action],"À migrer",TblApplications[Déjà incluse ROKS],"Non",TblApplications[Mois prov (calc)],"&lt;="&amp;$E750),SUMIFS(TblApplications[CPU IKS libérable (vCPU)],TblApplications[Cluster IKS source],$F750,TblApplications[Mois lib (calc)],"&lt;="&amp;$E750)))</f>
        <v/>
      </c>
      <c r="Q750" s="14" t="str">
        <f aca="false">IF($D750&lt;&gt;1,"",IF($G750="ROKS",SUMIFS(TblApplications[Besoin ROKS RAM (Go)],TblApplications[Cluster ROKS cible],$F750,TblApplications[Action],"À migrer",TblApplications[Déjà incluse ROKS],"Non",TblApplications[Mois prov (calc)],"&lt;="&amp;$E750),SUMIFS(TblApplications[RAM IKS libérable (Go)],TblApplications[Cluster IKS source],$F750,TblApplications[Mois lib (calc)],"&lt;="&amp;$E750)))</f>
        <v/>
      </c>
      <c r="R750" s="14" t="str">
        <f aca="false">IF($D750&lt;&gt;1,"",IF($G750="ROKS",$L750+$P750,IF($AI750=1,0,MAX($N750,$L750-$P750))))</f>
        <v/>
      </c>
      <c r="S750" s="14" t="str">
        <f aca="false">IF($D750&lt;&gt;1,"",IF($G750="ROKS",$M750+$Q750,IF($AI750=1,0,MAX($O750,$M750-$Q750))))</f>
        <v/>
      </c>
      <c r="T750" s="14" t="str">
        <f aca="false">IF($D750&lt;&gt;1,"",IF($AI750=1,0,MAX($J750,ROUNDUP(MAX($R750/$H750,$S750/$I750),0))))</f>
        <v/>
      </c>
      <c r="U750" s="14" t="str">
        <f aca="false">IF($D750&lt;&gt;1,"",IF(p_mode="Nœud",$T750*$H750,$R750))</f>
        <v/>
      </c>
      <c r="V750" s="14" t="str">
        <f aca="false">IF($D750&lt;&gt;1,"",IF(p_mode="Nœud",$T750*$I750,$S750))</f>
        <v/>
      </c>
      <c r="W750" s="84" t="str">
        <f aca="false">IF($D750&lt;&gt;1,"",IF(p_mode="Nœud",$T750*$K750,$R750*IF($G750="IKS",p_iks_cpu,p_roks_cpu)+$S750*IF($G750="IKS",p_iks_ram,p_roks_ram))*p_facteur)</f>
        <v/>
      </c>
      <c r="X750" s="14" t="str">
        <f aca="false">IF($D750&lt;&gt;1,"",IF($G750="ROKS",$R750,IF($AI750=1,0,MAX($N750,$L750-SUMIFS(TblApplications[CPU IKS libérable (vCPU)],TblApplications[Cluster IKS source],$F750,TblApplications[Action],"À migrer",TblApplications[Mois prov (calc)],"&lt;="&amp;$E750)-SUMIFS(TblApplications[CPU IKS libérable (vCPU)],TblApplications[Cluster IKS source],$F750,TblApplications[Action],"À décommissionner",TblApplications[Mois lib (calc)],"&lt;="&amp;$E750)))))</f>
        <v/>
      </c>
      <c r="Y750" s="14" t="str">
        <f aca="false">IF($D750&lt;&gt;1,"",IF($G750="ROKS",$S750,IF($AI750=1,0,MAX($O750,$M750-SUMIFS(TblApplications[RAM IKS libérable (Go)],TblApplications[Cluster IKS source],$F750,TblApplications[Action],"À migrer",TblApplications[Mois prov (calc)],"&lt;="&amp;$E750)-SUMIFS(TblApplications[RAM IKS libérable (Go)],TblApplications[Cluster IKS source],$F750,TblApplications[Action],"À décommissionner",TblApplications[Mois lib (calc)],"&lt;="&amp;$E750)))))</f>
        <v/>
      </c>
      <c r="Z750" s="14" t="str">
        <f aca="false">IF($D750&lt;&gt;1,"",IF($AI750=1,0,MAX($J750,ROUNDUP(MAX($X750/$H750,$Y750/$I750),0))))</f>
        <v/>
      </c>
      <c r="AA750" s="84" t="str">
        <f aca="false">IF($D750&lt;&gt;1,"",IF(p_mode="Nœud",$Z750*$K750,$X750*IF($G750="IKS",p_iks_cpu,p_roks_cpu)+$Y750*IF($G750="IKS",p_iks_ram,p_roks_ram))*p_facteur)</f>
        <v/>
      </c>
      <c r="AB750" s="14" t="str">
        <f aca="false">IF($D750&lt;&gt;1,"",MAX($J750,ROUNDUP(MAX($L750/$H750,$M750/$I750),0)))</f>
        <v/>
      </c>
      <c r="AC750" s="84" t="str">
        <f aca="false">IF($D750&lt;&gt;1,"",IF(p_mode="Nœud",$AB750*$K750,$L750*IF($G750="IKS",p_iks_cpu,p_roks_cpu)+$M750*IF($G750="IKS",p_iks_ram,p_roks_ram))*p_facteur)</f>
        <v/>
      </c>
      <c r="AD750" s="14" t="str">
        <f aca="false">IF($D750&lt;&gt;1,"",IF(AND($G750="IKS",$AI750&lt;&gt;1,OR($L750-$P750&lt;$N750,$M750-$Q750&lt;$O750)),1,0))</f>
        <v/>
      </c>
      <c r="AE750" s="14" t="str">
        <f aca="false">IF($D750&lt;&gt;1,"",IF(AND($G750="ROKS",$T750&gt;p_maxworkers),1,0))</f>
        <v/>
      </c>
      <c r="AF750" s="14" t="str">
        <f aca="false">IF($D750&lt;&gt;1,"",IF(INDEX(TblClusters[Environnement],$B750)="","(vide)",INDEX(TblClusters[Environnement],$B750)))</f>
        <v/>
      </c>
      <c r="AG750" s="14" t="str">
        <f aca="false">IF($D750&lt;&gt;1,"",$R750+p_poidsram*$S750)</f>
        <v/>
      </c>
      <c r="AH750" s="14" t="str">
        <f aca="false">IF($D750&lt;&gt;1,"",IFERROR($W750/$AG750,0))</f>
        <v/>
      </c>
      <c r="AI750" s="14" t="str">
        <f aca="false">IF($D750&lt;&gt;1,"",IF(AND($G750="IKS",ISNUMBER(INDEX(TblClusters[Fermeture retenue],$B750))),IF($E750&gt;=INDEX(TblClusters[Fermeture retenue],$B750),1,0),0))</f>
        <v/>
      </c>
    </row>
    <row r="751" customFormat="false" ht="15" hidden="false" customHeight="false" outlineLevel="0" collapsed="false">
      <c r="A751" s="14" t="n">
        <v>746</v>
      </c>
      <c r="B751" s="14" t="n">
        <f aca="false">INT(($A751-1)/36)+1</f>
        <v>21</v>
      </c>
      <c r="C751" s="14" t="n">
        <f aca="false">MOD($A751-1,36)+1</f>
        <v>26</v>
      </c>
      <c r="D751" s="14" t="n">
        <f aca="false">IF($C751&gt;p_horizon,0,IFERROR(IF(AND(INDEX(TblClusters[Cluster],$B751)&lt;&gt;"",ISNUMBER(INDEX(TblClusters[CPU initial (vCPU)],$B751)),ISNUMBER(INDEX(TblClusters[CPU min (vCPU)],$B751)),OR(INDEX(TblClusters[Plateforme],$B751)="IKS",INDEX(TblClusters[Plateforme],$B751)="ROKS")),1,0),0))</f>
        <v>0</v>
      </c>
      <c r="E751" s="83" t="str">
        <f aca="false">IF($D751=1,EDATE(p_debut,$C751-1),"")</f>
        <v/>
      </c>
      <c r="F751" s="14" t="str">
        <f aca="false">IF($D751=1,INDEX(TblClusters[Cluster],$B751),"")</f>
        <v/>
      </c>
      <c r="G751" s="14" t="str">
        <f aca="false">IF($D751=1,INDEX(TblClusters[Plateforme],$B751),"")</f>
        <v/>
      </c>
      <c r="H751" s="14" t="str">
        <f aca="false">IF($D751=1,INDEX(TblClusters[vCPU par nœud],$B751),"")</f>
        <v/>
      </c>
      <c r="I751" s="14" t="str">
        <f aca="false">IF($D751=1,INDEX(TblClusters[RAM par nœud (Go)],$B751),"")</f>
        <v/>
      </c>
      <c r="J751" s="14" t="str">
        <f aca="false">IF($D751=1,INDEX(TblClusters[Workers min],$B751),"")</f>
        <v/>
      </c>
      <c r="K751" s="84" t="str">
        <f aca="false">IF($D751=1,INDEX(TblClusters[Tarif par nœud],$B751),"")</f>
        <v/>
      </c>
      <c r="L751" s="14" t="str">
        <f aca="false">IF($D751=1,INDEX(TblClusters[CPU initial (vCPU)],$B751),"")</f>
        <v/>
      </c>
      <c r="M751" s="14" t="str">
        <f aca="false">IF($D751=1,INDEX(TblClusters[RAM initiale (Go)],$B751),"")</f>
        <v/>
      </c>
      <c r="N751" s="14" t="str">
        <f aca="false">IF($D751=1,INDEX(TblClusters[CPU min (vCPU)],$B751),"")</f>
        <v/>
      </c>
      <c r="O751" s="14" t="str">
        <f aca="false">IF($D751=1,INDEX(TblClusters[RAM min (Go)],$B751),"")</f>
        <v/>
      </c>
      <c r="P751" s="14" t="str">
        <f aca="false">IF($D751&lt;&gt;1,"",IF($G751="ROKS",SUMIFS(TblApplications[Besoin ROKS CPU (vCPU)],TblApplications[Cluster ROKS cible],$F751,TblApplications[Action],"À migrer",TblApplications[Déjà incluse ROKS],"Non",TblApplications[Mois prov (calc)],"&lt;="&amp;$E751),SUMIFS(TblApplications[CPU IKS libérable (vCPU)],TblApplications[Cluster IKS source],$F751,TblApplications[Mois lib (calc)],"&lt;="&amp;$E751)))</f>
        <v/>
      </c>
      <c r="Q751" s="14" t="str">
        <f aca="false">IF($D751&lt;&gt;1,"",IF($G751="ROKS",SUMIFS(TblApplications[Besoin ROKS RAM (Go)],TblApplications[Cluster ROKS cible],$F751,TblApplications[Action],"À migrer",TblApplications[Déjà incluse ROKS],"Non",TblApplications[Mois prov (calc)],"&lt;="&amp;$E751),SUMIFS(TblApplications[RAM IKS libérable (Go)],TblApplications[Cluster IKS source],$F751,TblApplications[Mois lib (calc)],"&lt;="&amp;$E751)))</f>
        <v/>
      </c>
      <c r="R751" s="14" t="str">
        <f aca="false">IF($D751&lt;&gt;1,"",IF($G751="ROKS",$L751+$P751,IF($AI751=1,0,MAX($N751,$L751-$P751))))</f>
        <v/>
      </c>
      <c r="S751" s="14" t="str">
        <f aca="false">IF($D751&lt;&gt;1,"",IF($G751="ROKS",$M751+$Q751,IF($AI751=1,0,MAX($O751,$M751-$Q751))))</f>
        <v/>
      </c>
      <c r="T751" s="14" t="str">
        <f aca="false">IF($D751&lt;&gt;1,"",IF($AI751=1,0,MAX($J751,ROUNDUP(MAX($R751/$H751,$S751/$I751),0))))</f>
        <v/>
      </c>
      <c r="U751" s="14" t="str">
        <f aca="false">IF($D751&lt;&gt;1,"",IF(p_mode="Nœud",$T751*$H751,$R751))</f>
        <v/>
      </c>
      <c r="V751" s="14" t="str">
        <f aca="false">IF($D751&lt;&gt;1,"",IF(p_mode="Nœud",$T751*$I751,$S751))</f>
        <v/>
      </c>
      <c r="W751" s="84" t="str">
        <f aca="false">IF($D751&lt;&gt;1,"",IF(p_mode="Nœud",$T751*$K751,$R751*IF($G751="IKS",p_iks_cpu,p_roks_cpu)+$S751*IF($G751="IKS",p_iks_ram,p_roks_ram))*p_facteur)</f>
        <v/>
      </c>
      <c r="X751" s="14" t="str">
        <f aca="false">IF($D751&lt;&gt;1,"",IF($G751="ROKS",$R751,IF($AI751=1,0,MAX($N751,$L751-SUMIFS(TblApplications[CPU IKS libérable (vCPU)],TblApplications[Cluster IKS source],$F751,TblApplications[Action],"À migrer",TblApplications[Mois prov (calc)],"&lt;="&amp;$E751)-SUMIFS(TblApplications[CPU IKS libérable (vCPU)],TblApplications[Cluster IKS source],$F751,TblApplications[Action],"À décommissionner",TblApplications[Mois lib (calc)],"&lt;="&amp;$E751)))))</f>
        <v/>
      </c>
      <c r="Y751" s="14" t="str">
        <f aca="false">IF($D751&lt;&gt;1,"",IF($G751="ROKS",$S751,IF($AI751=1,0,MAX($O751,$M751-SUMIFS(TblApplications[RAM IKS libérable (Go)],TblApplications[Cluster IKS source],$F751,TblApplications[Action],"À migrer",TblApplications[Mois prov (calc)],"&lt;="&amp;$E751)-SUMIFS(TblApplications[RAM IKS libérable (Go)],TblApplications[Cluster IKS source],$F751,TblApplications[Action],"À décommissionner",TblApplications[Mois lib (calc)],"&lt;="&amp;$E751)))))</f>
        <v/>
      </c>
      <c r="Z751" s="14" t="str">
        <f aca="false">IF($D751&lt;&gt;1,"",IF($AI751=1,0,MAX($J751,ROUNDUP(MAX($X751/$H751,$Y751/$I751),0))))</f>
        <v/>
      </c>
      <c r="AA751" s="84" t="str">
        <f aca="false">IF($D751&lt;&gt;1,"",IF(p_mode="Nœud",$Z751*$K751,$X751*IF($G751="IKS",p_iks_cpu,p_roks_cpu)+$Y751*IF($G751="IKS",p_iks_ram,p_roks_ram))*p_facteur)</f>
        <v/>
      </c>
      <c r="AB751" s="14" t="str">
        <f aca="false">IF($D751&lt;&gt;1,"",MAX($J751,ROUNDUP(MAX($L751/$H751,$M751/$I751),0)))</f>
        <v/>
      </c>
      <c r="AC751" s="84" t="str">
        <f aca="false">IF($D751&lt;&gt;1,"",IF(p_mode="Nœud",$AB751*$K751,$L751*IF($G751="IKS",p_iks_cpu,p_roks_cpu)+$M751*IF($G751="IKS",p_iks_ram,p_roks_ram))*p_facteur)</f>
        <v/>
      </c>
      <c r="AD751" s="14" t="str">
        <f aca="false">IF($D751&lt;&gt;1,"",IF(AND($G751="IKS",$AI751&lt;&gt;1,OR($L751-$P751&lt;$N751,$M751-$Q751&lt;$O751)),1,0))</f>
        <v/>
      </c>
      <c r="AE751" s="14" t="str">
        <f aca="false">IF($D751&lt;&gt;1,"",IF(AND($G751="ROKS",$T751&gt;p_maxworkers),1,0))</f>
        <v/>
      </c>
      <c r="AF751" s="14" t="str">
        <f aca="false">IF($D751&lt;&gt;1,"",IF(INDEX(TblClusters[Environnement],$B751)="","(vide)",INDEX(TblClusters[Environnement],$B751)))</f>
        <v/>
      </c>
      <c r="AG751" s="14" t="str">
        <f aca="false">IF($D751&lt;&gt;1,"",$R751+p_poidsram*$S751)</f>
        <v/>
      </c>
      <c r="AH751" s="14" t="str">
        <f aca="false">IF($D751&lt;&gt;1,"",IFERROR($W751/$AG751,0))</f>
        <v/>
      </c>
      <c r="AI751" s="14" t="str">
        <f aca="false">IF($D751&lt;&gt;1,"",IF(AND($G751="IKS",ISNUMBER(INDEX(TblClusters[Fermeture retenue],$B751))),IF($E751&gt;=INDEX(TblClusters[Fermeture retenue],$B751),1,0),0))</f>
        <v/>
      </c>
    </row>
    <row r="752" customFormat="false" ht="15" hidden="false" customHeight="false" outlineLevel="0" collapsed="false">
      <c r="A752" s="14" t="n">
        <v>747</v>
      </c>
      <c r="B752" s="14" t="n">
        <f aca="false">INT(($A752-1)/36)+1</f>
        <v>21</v>
      </c>
      <c r="C752" s="14" t="n">
        <f aca="false">MOD($A752-1,36)+1</f>
        <v>27</v>
      </c>
      <c r="D752" s="14" t="n">
        <f aca="false">IF($C752&gt;p_horizon,0,IFERROR(IF(AND(INDEX(TblClusters[Cluster],$B752)&lt;&gt;"",ISNUMBER(INDEX(TblClusters[CPU initial (vCPU)],$B752)),ISNUMBER(INDEX(TblClusters[CPU min (vCPU)],$B752)),OR(INDEX(TblClusters[Plateforme],$B752)="IKS",INDEX(TblClusters[Plateforme],$B752)="ROKS")),1,0),0))</f>
        <v>0</v>
      </c>
      <c r="E752" s="83" t="str">
        <f aca="false">IF($D752=1,EDATE(p_debut,$C752-1),"")</f>
        <v/>
      </c>
      <c r="F752" s="14" t="str">
        <f aca="false">IF($D752=1,INDEX(TblClusters[Cluster],$B752),"")</f>
        <v/>
      </c>
      <c r="G752" s="14" t="str">
        <f aca="false">IF($D752=1,INDEX(TblClusters[Plateforme],$B752),"")</f>
        <v/>
      </c>
      <c r="H752" s="14" t="str">
        <f aca="false">IF($D752=1,INDEX(TblClusters[vCPU par nœud],$B752),"")</f>
        <v/>
      </c>
      <c r="I752" s="14" t="str">
        <f aca="false">IF($D752=1,INDEX(TblClusters[RAM par nœud (Go)],$B752),"")</f>
        <v/>
      </c>
      <c r="J752" s="14" t="str">
        <f aca="false">IF($D752=1,INDEX(TblClusters[Workers min],$B752),"")</f>
        <v/>
      </c>
      <c r="K752" s="84" t="str">
        <f aca="false">IF($D752=1,INDEX(TblClusters[Tarif par nœud],$B752),"")</f>
        <v/>
      </c>
      <c r="L752" s="14" t="str">
        <f aca="false">IF($D752=1,INDEX(TblClusters[CPU initial (vCPU)],$B752),"")</f>
        <v/>
      </c>
      <c r="M752" s="14" t="str">
        <f aca="false">IF($D752=1,INDEX(TblClusters[RAM initiale (Go)],$B752),"")</f>
        <v/>
      </c>
      <c r="N752" s="14" t="str">
        <f aca="false">IF($D752=1,INDEX(TblClusters[CPU min (vCPU)],$B752),"")</f>
        <v/>
      </c>
      <c r="O752" s="14" t="str">
        <f aca="false">IF($D752=1,INDEX(TblClusters[RAM min (Go)],$B752),"")</f>
        <v/>
      </c>
      <c r="P752" s="14" t="str">
        <f aca="false">IF($D752&lt;&gt;1,"",IF($G752="ROKS",SUMIFS(TblApplications[Besoin ROKS CPU (vCPU)],TblApplications[Cluster ROKS cible],$F752,TblApplications[Action],"À migrer",TblApplications[Déjà incluse ROKS],"Non",TblApplications[Mois prov (calc)],"&lt;="&amp;$E752),SUMIFS(TblApplications[CPU IKS libérable (vCPU)],TblApplications[Cluster IKS source],$F752,TblApplications[Mois lib (calc)],"&lt;="&amp;$E752)))</f>
        <v/>
      </c>
      <c r="Q752" s="14" t="str">
        <f aca="false">IF($D752&lt;&gt;1,"",IF($G752="ROKS",SUMIFS(TblApplications[Besoin ROKS RAM (Go)],TblApplications[Cluster ROKS cible],$F752,TblApplications[Action],"À migrer",TblApplications[Déjà incluse ROKS],"Non",TblApplications[Mois prov (calc)],"&lt;="&amp;$E752),SUMIFS(TblApplications[RAM IKS libérable (Go)],TblApplications[Cluster IKS source],$F752,TblApplications[Mois lib (calc)],"&lt;="&amp;$E752)))</f>
        <v/>
      </c>
      <c r="R752" s="14" t="str">
        <f aca="false">IF($D752&lt;&gt;1,"",IF($G752="ROKS",$L752+$P752,IF($AI752=1,0,MAX($N752,$L752-$P752))))</f>
        <v/>
      </c>
      <c r="S752" s="14" t="str">
        <f aca="false">IF($D752&lt;&gt;1,"",IF($G752="ROKS",$M752+$Q752,IF($AI752=1,0,MAX($O752,$M752-$Q752))))</f>
        <v/>
      </c>
      <c r="T752" s="14" t="str">
        <f aca="false">IF($D752&lt;&gt;1,"",IF($AI752=1,0,MAX($J752,ROUNDUP(MAX($R752/$H752,$S752/$I752),0))))</f>
        <v/>
      </c>
      <c r="U752" s="14" t="str">
        <f aca="false">IF($D752&lt;&gt;1,"",IF(p_mode="Nœud",$T752*$H752,$R752))</f>
        <v/>
      </c>
      <c r="V752" s="14" t="str">
        <f aca="false">IF($D752&lt;&gt;1,"",IF(p_mode="Nœud",$T752*$I752,$S752))</f>
        <v/>
      </c>
      <c r="W752" s="84" t="str">
        <f aca="false">IF($D752&lt;&gt;1,"",IF(p_mode="Nœud",$T752*$K752,$R752*IF($G752="IKS",p_iks_cpu,p_roks_cpu)+$S752*IF($G752="IKS",p_iks_ram,p_roks_ram))*p_facteur)</f>
        <v/>
      </c>
      <c r="X752" s="14" t="str">
        <f aca="false">IF($D752&lt;&gt;1,"",IF($G752="ROKS",$R752,IF($AI752=1,0,MAX($N752,$L752-SUMIFS(TblApplications[CPU IKS libérable (vCPU)],TblApplications[Cluster IKS source],$F752,TblApplications[Action],"À migrer",TblApplications[Mois prov (calc)],"&lt;="&amp;$E752)-SUMIFS(TblApplications[CPU IKS libérable (vCPU)],TblApplications[Cluster IKS source],$F752,TblApplications[Action],"À décommissionner",TblApplications[Mois lib (calc)],"&lt;="&amp;$E752)))))</f>
        <v/>
      </c>
      <c r="Y752" s="14" t="str">
        <f aca="false">IF($D752&lt;&gt;1,"",IF($G752="ROKS",$S752,IF($AI752=1,0,MAX($O752,$M752-SUMIFS(TblApplications[RAM IKS libérable (Go)],TblApplications[Cluster IKS source],$F752,TblApplications[Action],"À migrer",TblApplications[Mois prov (calc)],"&lt;="&amp;$E752)-SUMIFS(TblApplications[RAM IKS libérable (Go)],TblApplications[Cluster IKS source],$F752,TblApplications[Action],"À décommissionner",TblApplications[Mois lib (calc)],"&lt;="&amp;$E752)))))</f>
        <v/>
      </c>
      <c r="Z752" s="14" t="str">
        <f aca="false">IF($D752&lt;&gt;1,"",IF($AI752=1,0,MAX($J752,ROUNDUP(MAX($X752/$H752,$Y752/$I752),0))))</f>
        <v/>
      </c>
      <c r="AA752" s="84" t="str">
        <f aca="false">IF($D752&lt;&gt;1,"",IF(p_mode="Nœud",$Z752*$K752,$X752*IF($G752="IKS",p_iks_cpu,p_roks_cpu)+$Y752*IF($G752="IKS",p_iks_ram,p_roks_ram))*p_facteur)</f>
        <v/>
      </c>
      <c r="AB752" s="14" t="str">
        <f aca="false">IF($D752&lt;&gt;1,"",MAX($J752,ROUNDUP(MAX($L752/$H752,$M752/$I752),0)))</f>
        <v/>
      </c>
      <c r="AC752" s="84" t="str">
        <f aca="false">IF($D752&lt;&gt;1,"",IF(p_mode="Nœud",$AB752*$K752,$L752*IF($G752="IKS",p_iks_cpu,p_roks_cpu)+$M752*IF($G752="IKS",p_iks_ram,p_roks_ram))*p_facteur)</f>
        <v/>
      </c>
      <c r="AD752" s="14" t="str">
        <f aca="false">IF($D752&lt;&gt;1,"",IF(AND($G752="IKS",$AI752&lt;&gt;1,OR($L752-$P752&lt;$N752,$M752-$Q752&lt;$O752)),1,0))</f>
        <v/>
      </c>
      <c r="AE752" s="14" t="str">
        <f aca="false">IF($D752&lt;&gt;1,"",IF(AND($G752="ROKS",$T752&gt;p_maxworkers),1,0))</f>
        <v/>
      </c>
      <c r="AF752" s="14" t="str">
        <f aca="false">IF($D752&lt;&gt;1,"",IF(INDEX(TblClusters[Environnement],$B752)="","(vide)",INDEX(TblClusters[Environnement],$B752)))</f>
        <v/>
      </c>
      <c r="AG752" s="14" t="str">
        <f aca="false">IF($D752&lt;&gt;1,"",$R752+p_poidsram*$S752)</f>
        <v/>
      </c>
      <c r="AH752" s="14" t="str">
        <f aca="false">IF($D752&lt;&gt;1,"",IFERROR($W752/$AG752,0))</f>
        <v/>
      </c>
      <c r="AI752" s="14" t="str">
        <f aca="false">IF($D752&lt;&gt;1,"",IF(AND($G752="IKS",ISNUMBER(INDEX(TblClusters[Fermeture retenue],$B752))),IF($E752&gt;=INDEX(TblClusters[Fermeture retenue],$B752),1,0),0))</f>
        <v/>
      </c>
    </row>
    <row r="753" customFormat="false" ht="15" hidden="false" customHeight="false" outlineLevel="0" collapsed="false">
      <c r="A753" s="14" t="n">
        <v>748</v>
      </c>
      <c r="B753" s="14" t="n">
        <f aca="false">INT(($A753-1)/36)+1</f>
        <v>21</v>
      </c>
      <c r="C753" s="14" t="n">
        <f aca="false">MOD($A753-1,36)+1</f>
        <v>28</v>
      </c>
      <c r="D753" s="14" t="n">
        <f aca="false">IF($C753&gt;p_horizon,0,IFERROR(IF(AND(INDEX(TblClusters[Cluster],$B753)&lt;&gt;"",ISNUMBER(INDEX(TblClusters[CPU initial (vCPU)],$B753)),ISNUMBER(INDEX(TblClusters[CPU min (vCPU)],$B753)),OR(INDEX(TblClusters[Plateforme],$B753)="IKS",INDEX(TblClusters[Plateforme],$B753)="ROKS")),1,0),0))</f>
        <v>0</v>
      </c>
      <c r="E753" s="83" t="str">
        <f aca="false">IF($D753=1,EDATE(p_debut,$C753-1),"")</f>
        <v/>
      </c>
      <c r="F753" s="14" t="str">
        <f aca="false">IF($D753=1,INDEX(TblClusters[Cluster],$B753),"")</f>
        <v/>
      </c>
      <c r="G753" s="14" t="str">
        <f aca="false">IF($D753=1,INDEX(TblClusters[Plateforme],$B753),"")</f>
        <v/>
      </c>
      <c r="H753" s="14" t="str">
        <f aca="false">IF($D753=1,INDEX(TblClusters[vCPU par nœud],$B753),"")</f>
        <v/>
      </c>
      <c r="I753" s="14" t="str">
        <f aca="false">IF($D753=1,INDEX(TblClusters[RAM par nœud (Go)],$B753),"")</f>
        <v/>
      </c>
      <c r="J753" s="14" t="str">
        <f aca="false">IF($D753=1,INDEX(TblClusters[Workers min],$B753),"")</f>
        <v/>
      </c>
      <c r="K753" s="84" t="str">
        <f aca="false">IF($D753=1,INDEX(TblClusters[Tarif par nœud],$B753),"")</f>
        <v/>
      </c>
      <c r="L753" s="14" t="str">
        <f aca="false">IF($D753=1,INDEX(TblClusters[CPU initial (vCPU)],$B753),"")</f>
        <v/>
      </c>
      <c r="M753" s="14" t="str">
        <f aca="false">IF($D753=1,INDEX(TblClusters[RAM initiale (Go)],$B753),"")</f>
        <v/>
      </c>
      <c r="N753" s="14" t="str">
        <f aca="false">IF($D753=1,INDEX(TblClusters[CPU min (vCPU)],$B753),"")</f>
        <v/>
      </c>
      <c r="O753" s="14" t="str">
        <f aca="false">IF($D753=1,INDEX(TblClusters[RAM min (Go)],$B753),"")</f>
        <v/>
      </c>
      <c r="P753" s="14" t="str">
        <f aca="false">IF($D753&lt;&gt;1,"",IF($G753="ROKS",SUMIFS(TblApplications[Besoin ROKS CPU (vCPU)],TblApplications[Cluster ROKS cible],$F753,TblApplications[Action],"À migrer",TblApplications[Déjà incluse ROKS],"Non",TblApplications[Mois prov (calc)],"&lt;="&amp;$E753),SUMIFS(TblApplications[CPU IKS libérable (vCPU)],TblApplications[Cluster IKS source],$F753,TblApplications[Mois lib (calc)],"&lt;="&amp;$E753)))</f>
        <v/>
      </c>
      <c r="Q753" s="14" t="str">
        <f aca="false">IF($D753&lt;&gt;1,"",IF($G753="ROKS",SUMIFS(TblApplications[Besoin ROKS RAM (Go)],TblApplications[Cluster ROKS cible],$F753,TblApplications[Action],"À migrer",TblApplications[Déjà incluse ROKS],"Non",TblApplications[Mois prov (calc)],"&lt;="&amp;$E753),SUMIFS(TblApplications[RAM IKS libérable (Go)],TblApplications[Cluster IKS source],$F753,TblApplications[Mois lib (calc)],"&lt;="&amp;$E753)))</f>
        <v/>
      </c>
      <c r="R753" s="14" t="str">
        <f aca="false">IF($D753&lt;&gt;1,"",IF($G753="ROKS",$L753+$P753,IF($AI753=1,0,MAX($N753,$L753-$P753))))</f>
        <v/>
      </c>
      <c r="S753" s="14" t="str">
        <f aca="false">IF($D753&lt;&gt;1,"",IF($G753="ROKS",$M753+$Q753,IF($AI753=1,0,MAX($O753,$M753-$Q753))))</f>
        <v/>
      </c>
      <c r="T753" s="14" t="str">
        <f aca="false">IF($D753&lt;&gt;1,"",IF($AI753=1,0,MAX($J753,ROUNDUP(MAX($R753/$H753,$S753/$I753),0))))</f>
        <v/>
      </c>
      <c r="U753" s="14" t="str">
        <f aca="false">IF($D753&lt;&gt;1,"",IF(p_mode="Nœud",$T753*$H753,$R753))</f>
        <v/>
      </c>
      <c r="V753" s="14" t="str">
        <f aca="false">IF($D753&lt;&gt;1,"",IF(p_mode="Nœud",$T753*$I753,$S753))</f>
        <v/>
      </c>
      <c r="W753" s="84" t="str">
        <f aca="false">IF($D753&lt;&gt;1,"",IF(p_mode="Nœud",$T753*$K753,$R753*IF($G753="IKS",p_iks_cpu,p_roks_cpu)+$S753*IF($G753="IKS",p_iks_ram,p_roks_ram))*p_facteur)</f>
        <v/>
      </c>
      <c r="X753" s="14" t="str">
        <f aca="false">IF($D753&lt;&gt;1,"",IF($G753="ROKS",$R753,IF($AI753=1,0,MAX($N753,$L753-SUMIFS(TblApplications[CPU IKS libérable (vCPU)],TblApplications[Cluster IKS source],$F753,TblApplications[Action],"À migrer",TblApplications[Mois prov (calc)],"&lt;="&amp;$E753)-SUMIFS(TblApplications[CPU IKS libérable (vCPU)],TblApplications[Cluster IKS source],$F753,TblApplications[Action],"À décommissionner",TblApplications[Mois lib (calc)],"&lt;="&amp;$E753)))))</f>
        <v/>
      </c>
      <c r="Y753" s="14" t="str">
        <f aca="false">IF($D753&lt;&gt;1,"",IF($G753="ROKS",$S753,IF($AI753=1,0,MAX($O753,$M753-SUMIFS(TblApplications[RAM IKS libérable (Go)],TblApplications[Cluster IKS source],$F753,TblApplications[Action],"À migrer",TblApplications[Mois prov (calc)],"&lt;="&amp;$E753)-SUMIFS(TblApplications[RAM IKS libérable (Go)],TblApplications[Cluster IKS source],$F753,TblApplications[Action],"À décommissionner",TblApplications[Mois lib (calc)],"&lt;="&amp;$E753)))))</f>
        <v/>
      </c>
      <c r="Z753" s="14" t="str">
        <f aca="false">IF($D753&lt;&gt;1,"",IF($AI753=1,0,MAX($J753,ROUNDUP(MAX($X753/$H753,$Y753/$I753),0))))</f>
        <v/>
      </c>
      <c r="AA753" s="84" t="str">
        <f aca="false">IF($D753&lt;&gt;1,"",IF(p_mode="Nœud",$Z753*$K753,$X753*IF($G753="IKS",p_iks_cpu,p_roks_cpu)+$Y753*IF($G753="IKS",p_iks_ram,p_roks_ram))*p_facteur)</f>
        <v/>
      </c>
      <c r="AB753" s="14" t="str">
        <f aca="false">IF($D753&lt;&gt;1,"",MAX($J753,ROUNDUP(MAX($L753/$H753,$M753/$I753),0)))</f>
        <v/>
      </c>
      <c r="AC753" s="84" t="str">
        <f aca="false">IF($D753&lt;&gt;1,"",IF(p_mode="Nœud",$AB753*$K753,$L753*IF($G753="IKS",p_iks_cpu,p_roks_cpu)+$M753*IF($G753="IKS",p_iks_ram,p_roks_ram))*p_facteur)</f>
        <v/>
      </c>
      <c r="AD753" s="14" t="str">
        <f aca="false">IF($D753&lt;&gt;1,"",IF(AND($G753="IKS",$AI753&lt;&gt;1,OR($L753-$P753&lt;$N753,$M753-$Q753&lt;$O753)),1,0))</f>
        <v/>
      </c>
      <c r="AE753" s="14" t="str">
        <f aca="false">IF($D753&lt;&gt;1,"",IF(AND($G753="ROKS",$T753&gt;p_maxworkers),1,0))</f>
        <v/>
      </c>
      <c r="AF753" s="14" t="str">
        <f aca="false">IF($D753&lt;&gt;1,"",IF(INDEX(TblClusters[Environnement],$B753)="","(vide)",INDEX(TblClusters[Environnement],$B753)))</f>
        <v/>
      </c>
      <c r="AG753" s="14" t="str">
        <f aca="false">IF($D753&lt;&gt;1,"",$R753+p_poidsram*$S753)</f>
        <v/>
      </c>
      <c r="AH753" s="14" t="str">
        <f aca="false">IF($D753&lt;&gt;1,"",IFERROR($W753/$AG753,0))</f>
        <v/>
      </c>
      <c r="AI753" s="14" t="str">
        <f aca="false">IF($D753&lt;&gt;1,"",IF(AND($G753="IKS",ISNUMBER(INDEX(TblClusters[Fermeture retenue],$B753))),IF($E753&gt;=INDEX(TblClusters[Fermeture retenue],$B753),1,0),0))</f>
        <v/>
      </c>
    </row>
    <row r="754" customFormat="false" ht="15" hidden="false" customHeight="false" outlineLevel="0" collapsed="false">
      <c r="A754" s="14" t="n">
        <v>749</v>
      </c>
      <c r="B754" s="14" t="n">
        <f aca="false">INT(($A754-1)/36)+1</f>
        <v>21</v>
      </c>
      <c r="C754" s="14" t="n">
        <f aca="false">MOD($A754-1,36)+1</f>
        <v>29</v>
      </c>
      <c r="D754" s="14" t="n">
        <f aca="false">IF($C754&gt;p_horizon,0,IFERROR(IF(AND(INDEX(TblClusters[Cluster],$B754)&lt;&gt;"",ISNUMBER(INDEX(TblClusters[CPU initial (vCPU)],$B754)),ISNUMBER(INDEX(TblClusters[CPU min (vCPU)],$B754)),OR(INDEX(TblClusters[Plateforme],$B754)="IKS",INDEX(TblClusters[Plateforme],$B754)="ROKS")),1,0),0))</f>
        <v>0</v>
      </c>
      <c r="E754" s="83" t="str">
        <f aca="false">IF($D754=1,EDATE(p_debut,$C754-1),"")</f>
        <v/>
      </c>
      <c r="F754" s="14" t="str">
        <f aca="false">IF($D754=1,INDEX(TblClusters[Cluster],$B754),"")</f>
        <v/>
      </c>
      <c r="G754" s="14" t="str">
        <f aca="false">IF($D754=1,INDEX(TblClusters[Plateforme],$B754),"")</f>
        <v/>
      </c>
      <c r="H754" s="14" t="str">
        <f aca="false">IF($D754=1,INDEX(TblClusters[vCPU par nœud],$B754),"")</f>
        <v/>
      </c>
      <c r="I754" s="14" t="str">
        <f aca="false">IF($D754=1,INDEX(TblClusters[RAM par nœud (Go)],$B754),"")</f>
        <v/>
      </c>
      <c r="J754" s="14" t="str">
        <f aca="false">IF($D754=1,INDEX(TblClusters[Workers min],$B754),"")</f>
        <v/>
      </c>
      <c r="K754" s="84" t="str">
        <f aca="false">IF($D754=1,INDEX(TblClusters[Tarif par nœud],$B754),"")</f>
        <v/>
      </c>
      <c r="L754" s="14" t="str">
        <f aca="false">IF($D754=1,INDEX(TblClusters[CPU initial (vCPU)],$B754),"")</f>
        <v/>
      </c>
      <c r="M754" s="14" t="str">
        <f aca="false">IF($D754=1,INDEX(TblClusters[RAM initiale (Go)],$B754),"")</f>
        <v/>
      </c>
      <c r="N754" s="14" t="str">
        <f aca="false">IF($D754=1,INDEX(TblClusters[CPU min (vCPU)],$B754),"")</f>
        <v/>
      </c>
      <c r="O754" s="14" t="str">
        <f aca="false">IF($D754=1,INDEX(TblClusters[RAM min (Go)],$B754),"")</f>
        <v/>
      </c>
      <c r="P754" s="14" t="str">
        <f aca="false">IF($D754&lt;&gt;1,"",IF($G754="ROKS",SUMIFS(TblApplications[Besoin ROKS CPU (vCPU)],TblApplications[Cluster ROKS cible],$F754,TblApplications[Action],"À migrer",TblApplications[Déjà incluse ROKS],"Non",TblApplications[Mois prov (calc)],"&lt;="&amp;$E754),SUMIFS(TblApplications[CPU IKS libérable (vCPU)],TblApplications[Cluster IKS source],$F754,TblApplications[Mois lib (calc)],"&lt;="&amp;$E754)))</f>
        <v/>
      </c>
      <c r="Q754" s="14" t="str">
        <f aca="false">IF($D754&lt;&gt;1,"",IF($G754="ROKS",SUMIFS(TblApplications[Besoin ROKS RAM (Go)],TblApplications[Cluster ROKS cible],$F754,TblApplications[Action],"À migrer",TblApplications[Déjà incluse ROKS],"Non",TblApplications[Mois prov (calc)],"&lt;="&amp;$E754),SUMIFS(TblApplications[RAM IKS libérable (Go)],TblApplications[Cluster IKS source],$F754,TblApplications[Mois lib (calc)],"&lt;="&amp;$E754)))</f>
        <v/>
      </c>
      <c r="R754" s="14" t="str">
        <f aca="false">IF($D754&lt;&gt;1,"",IF($G754="ROKS",$L754+$P754,IF($AI754=1,0,MAX($N754,$L754-$P754))))</f>
        <v/>
      </c>
      <c r="S754" s="14" t="str">
        <f aca="false">IF($D754&lt;&gt;1,"",IF($G754="ROKS",$M754+$Q754,IF($AI754=1,0,MAX($O754,$M754-$Q754))))</f>
        <v/>
      </c>
      <c r="T754" s="14" t="str">
        <f aca="false">IF($D754&lt;&gt;1,"",IF($AI754=1,0,MAX($J754,ROUNDUP(MAX($R754/$H754,$S754/$I754),0))))</f>
        <v/>
      </c>
      <c r="U754" s="14" t="str">
        <f aca="false">IF($D754&lt;&gt;1,"",IF(p_mode="Nœud",$T754*$H754,$R754))</f>
        <v/>
      </c>
      <c r="V754" s="14" t="str">
        <f aca="false">IF($D754&lt;&gt;1,"",IF(p_mode="Nœud",$T754*$I754,$S754))</f>
        <v/>
      </c>
      <c r="W754" s="84" t="str">
        <f aca="false">IF($D754&lt;&gt;1,"",IF(p_mode="Nœud",$T754*$K754,$R754*IF($G754="IKS",p_iks_cpu,p_roks_cpu)+$S754*IF($G754="IKS",p_iks_ram,p_roks_ram))*p_facteur)</f>
        <v/>
      </c>
      <c r="X754" s="14" t="str">
        <f aca="false">IF($D754&lt;&gt;1,"",IF($G754="ROKS",$R754,IF($AI754=1,0,MAX($N754,$L754-SUMIFS(TblApplications[CPU IKS libérable (vCPU)],TblApplications[Cluster IKS source],$F754,TblApplications[Action],"À migrer",TblApplications[Mois prov (calc)],"&lt;="&amp;$E754)-SUMIFS(TblApplications[CPU IKS libérable (vCPU)],TblApplications[Cluster IKS source],$F754,TblApplications[Action],"À décommissionner",TblApplications[Mois lib (calc)],"&lt;="&amp;$E754)))))</f>
        <v/>
      </c>
      <c r="Y754" s="14" t="str">
        <f aca="false">IF($D754&lt;&gt;1,"",IF($G754="ROKS",$S754,IF($AI754=1,0,MAX($O754,$M754-SUMIFS(TblApplications[RAM IKS libérable (Go)],TblApplications[Cluster IKS source],$F754,TblApplications[Action],"À migrer",TblApplications[Mois prov (calc)],"&lt;="&amp;$E754)-SUMIFS(TblApplications[RAM IKS libérable (Go)],TblApplications[Cluster IKS source],$F754,TblApplications[Action],"À décommissionner",TblApplications[Mois lib (calc)],"&lt;="&amp;$E754)))))</f>
        <v/>
      </c>
      <c r="Z754" s="14" t="str">
        <f aca="false">IF($D754&lt;&gt;1,"",IF($AI754=1,0,MAX($J754,ROUNDUP(MAX($X754/$H754,$Y754/$I754),0))))</f>
        <v/>
      </c>
      <c r="AA754" s="84" t="str">
        <f aca="false">IF($D754&lt;&gt;1,"",IF(p_mode="Nœud",$Z754*$K754,$X754*IF($G754="IKS",p_iks_cpu,p_roks_cpu)+$Y754*IF($G754="IKS",p_iks_ram,p_roks_ram))*p_facteur)</f>
        <v/>
      </c>
      <c r="AB754" s="14" t="str">
        <f aca="false">IF($D754&lt;&gt;1,"",MAX($J754,ROUNDUP(MAX($L754/$H754,$M754/$I754),0)))</f>
        <v/>
      </c>
      <c r="AC754" s="84" t="str">
        <f aca="false">IF($D754&lt;&gt;1,"",IF(p_mode="Nœud",$AB754*$K754,$L754*IF($G754="IKS",p_iks_cpu,p_roks_cpu)+$M754*IF($G754="IKS",p_iks_ram,p_roks_ram))*p_facteur)</f>
        <v/>
      </c>
      <c r="AD754" s="14" t="str">
        <f aca="false">IF($D754&lt;&gt;1,"",IF(AND($G754="IKS",$AI754&lt;&gt;1,OR($L754-$P754&lt;$N754,$M754-$Q754&lt;$O754)),1,0))</f>
        <v/>
      </c>
      <c r="AE754" s="14" t="str">
        <f aca="false">IF($D754&lt;&gt;1,"",IF(AND($G754="ROKS",$T754&gt;p_maxworkers),1,0))</f>
        <v/>
      </c>
      <c r="AF754" s="14" t="str">
        <f aca="false">IF($D754&lt;&gt;1,"",IF(INDEX(TblClusters[Environnement],$B754)="","(vide)",INDEX(TblClusters[Environnement],$B754)))</f>
        <v/>
      </c>
      <c r="AG754" s="14" t="str">
        <f aca="false">IF($D754&lt;&gt;1,"",$R754+p_poidsram*$S754)</f>
        <v/>
      </c>
      <c r="AH754" s="14" t="str">
        <f aca="false">IF($D754&lt;&gt;1,"",IFERROR($W754/$AG754,0))</f>
        <v/>
      </c>
      <c r="AI754" s="14" t="str">
        <f aca="false">IF($D754&lt;&gt;1,"",IF(AND($G754="IKS",ISNUMBER(INDEX(TblClusters[Fermeture retenue],$B754))),IF($E754&gt;=INDEX(TblClusters[Fermeture retenue],$B754),1,0),0))</f>
        <v/>
      </c>
    </row>
    <row r="755" customFormat="false" ht="15" hidden="false" customHeight="false" outlineLevel="0" collapsed="false">
      <c r="A755" s="14" t="n">
        <v>750</v>
      </c>
      <c r="B755" s="14" t="n">
        <f aca="false">INT(($A755-1)/36)+1</f>
        <v>21</v>
      </c>
      <c r="C755" s="14" t="n">
        <f aca="false">MOD($A755-1,36)+1</f>
        <v>30</v>
      </c>
      <c r="D755" s="14" t="n">
        <f aca="false">IF($C755&gt;p_horizon,0,IFERROR(IF(AND(INDEX(TblClusters[Cluster],$B755)&lt;&gt;"",ISNUMBER(INDEX(TblClusters[CPU initial (vCPU)],$B755)),ISNUMBER(INDEX(TblClusters[CPU min (vCPU)],$B755)),OR(INDEX(TblClusters[Plateforme],$B755)="IKS",INDEX(TblClusters[Plateforme],$B755)="ROKS")),1,0),0))</f>
        <v>0</v>
      </c>
      <c r="E755" s="83" t="str">
        <f aca="false">IF($D755=1,EDATE(p_debut,$C755-1),"")</f>
        <v/>
      </c>
      <c r="F755" s="14" t="str">
        <f aca="false">IF($D755=1,INDEX(TblClusters[Cluster],$B755),"")</f>
        <v/>
      </c>
      <c r="G755" s="14" t="str">
        <f aca="false">IF($D755=1,INDEX(TblClusters[Plateforme],$B755),"")</f>
        <v/>
      </c>
      <c r="H755" s="14" t="str">
        <f aca="false">IF($D755=1,INDEX(TblClusters[vCPU par nœud],$B755),"")</f>
        <v/>
      </c>
      <c r="I755" s="14" t="str">
        <f aca="false">IF($D755=1,INDEX(TblClusters[RAM par nœud (Go)],$B755),"")</f>
        <v/>
      </c>
      <c r="J755" s="14" t="str">
        <f aca="false">IF($D755=1,INDEX(TblClusters[Workers min],$B755),"")</f>
        <v/>
      </c>
      <c r="K755" s="84" t="str">
        <f aca="false">IF($D755=1,INDEX(TblClusters[Tarif par nœud],$B755),"")</f>
        <v/>
      </c>
      <c r="L755" s="14" t="str">
        <f aca="false">IF($D755=1,INDEX(TblClusters[CPU initial (vCPU)],$B755),"")</f>
        <v/>
      </c>
      <c r="M755" s="14" t="str">
        <f aca="false">IF($D755=1,INDEX(TblClusters[RAM initiale (Go)],$B755),"")</f>
        <v/>
      </c>
      <c r="N755" s="14" t="str">
        <f aca="false">IF($D755=1,INDEX(TblClusters[CPU min (vCPU)],$B755),"")</f>
        <v/>
      </c>
      <c r="O755" s="14" t="str">
        <f aca="false">IF($D755=1,INDEX(TblClusters[RAM min (Go)],$B755),"")</f>
        <v/>
      </c>
      <c r="P755" s="14" t="str">
        <f aca="false">IF($D755&lt;&gt;1,"",IF($G755="ROKS",SUMIFS(TblApplications[Besoin ROKS CPU (vCPU)],TblApplications[Cluster ROKS cible],$F755,TblApplications[Action],"À migrer",TblApplications[Déjà incluse ROKS],"Non",TblApplications[Mois prov (calc)],"&lt;="&amp;$E755),SUMIFS(TblApplications[CPU IKS libérable (vCPU)],TblApplications[Cluster IKS source],$F755,TblApplications[Mois lib (calc)],"&lt;="&amp;$E755)))</f>
        <v/>
      </c>
      <c r="Q755" s="14" t="str">
        <f aca="false">IF($D755&lt;&gt;1,"",IF($G755="ROKS",SUMIFS(TblApplications[Besoin ROKS RAM (Go)],TblApplications[Cluster ROKS cible],$F755,TblApplications[Action],"À migrer",TblApplications[Déjà incluse ROKS],"Non",TblApplications[Mois prov (calc)],"&lt;="&amp;$E755),SUMIFS(TblApplications[RAM IKS libérable (Go)],TblApplications[Cluster IKS source],$F755,TblApplications[Mois lib (calc)],"&lt;="&amp;$E755)))</f>
        <v/>
      </c>
      <c r="R755" s="14" t="str">
        <f aca="false">IF($D755&lt;&gt;1,"",IF($G755="ROKS",$L755+$P755,IF($AI755=1,0,MAX($N755,$L755-$P755))))</f>
        <v/>
      </c>
      <c r="S755" s="14" t="str">
        <f aca="false">IF($D755&lt;&gt;1,"",IF($G755="ROKS",$M755+$Q755,IF($AI755=1,0,MAX($O755,$M755-$Q755))))</f>
        <v/>
      </c>
      <c r="T755" s="14" t="str">
        <f aca="false">IF($D755&lt;&gt;1,"",IF($AI755=1,0,MAX($J755,ROUNDUP(MAX($R755/$H755,$S755/$I755),0))))</f>
        <v/>
      </c>
      <c r="U755" s="14" t="str">
        <f aca="false">IF($D755&lt;&gt;1,"",IF(p_mode="Nœud",$T755*$H755,$R755))</f>
        <v/>
      </c>
      <c r="V755" s="14" t="str">
        <f aca="false">IF($D755&lt;&gt;1,"",IF(p_mode="Nœud",$T755*$I755,$S755))</f>
        <v/>
      </c>
      <c r="W755" s="84" t="str">
        <f aca="false">IF($D755&lt;&gt;1,"",IF(p_mode="Nœud",$T755*$K755,$R755*IF($G755="IKS",p_iks_cpu,p_roks_cpu)+$S755*IF($G755="IKS",p_iks_ram,p_roks_ram))*p_facteur)</f>
        <v/>
      </c>
      <c r="X755" s="14" t="str">
        <f aca="false">IF($D755&lt;&gt;1,"",IF($G755="ROKS",$R755,IF($AI755=1,0,MAX($N755,$L755-SUMIFS(TblApplications[CPU IKS libérable (vCPU)],TblApplications[Cluster IKS source],$F755,TblApplications[Action],"À migrer",TblApplications[Mois prov (calc)],"&lt;="&amp;$E755)-SUMIFS(TblApplications[CPU IKS libérable (vCPU)],TblApplications[Cluster IKS source],$F755,TblApplications[Action],"À décommissionner",TblApplications[Mois lib (calc)],"&lt;="&amp;$E755)))))</f>
        <v/>
      </c>
      <c r="Y755" s="14" t="str">
        <f aca="false">IF($D755&lt;&gt;1,"",IF($G755="ROKS",$S755,IF($AI755=1,0,MAX($O755,$M755-SUMIFS(TblApplications[RAM IKS libérable (Go)],TblApplications[Cluster IKS source],$F755,TblApplications[Action],"À migrer",TblApplications[Mois prov (calc)],"&lt;="&amp;$E755)-SUMIFS(TblApplications[RAM IKS libérable (Go)],TblApplications[Cluster IKS source],$F755,TblApplications[Action],"À décommissionner",TblApplications[Mois lib (calc)],"&lt;="&amp;$E755)))))</f>
        <v/>
      </c>
      <c r="Z755" s="14" t="str">
        <f aca="false">IF($D755&lt;&gt;1,"",IF($AI755=1,0,MAX($J755,ROUNDUP(MAX($X755/$H755,$Y755/$I755),0))))</f>
        <v/>
      </c>
      <c r="AA755" s="84" t="str">
        <f aca="false">IF($D755&lt;&gt;1,"",IF(p_mode="Nœud",$Z755*$K755,$X755*IF($G755="IKS",p_iks_cpu,p_roks_cpu)+$Y755*IF($G755="IKS",p_iks_ram,p_roks_ram))*p_facteur)</f>
        <v/>
      </c>
      <c r="AB755" s="14" t="str">
        <f aca="false">IF($D755&lt;&gt;1,"",MAX($J755,ROUNDUP(MAX($L755/$H755,$M755/$I755),0)))</f>
        <v/>
      </c>
      <c r="AC755" s="84" t="str">
        <f aca="false">IF($D755&lt;&gt;1,"",IF(p_mode="Nœud",$AB755*$K755,$L755*IF($G755="IKS",p_iks_cpu,p_roks_cpu)+$M755*IF($G755="IKS",p_iks_ram,p_roks_ram))*p_facteur)</f>
        <v/>
      </c>
      <c r="AD755" s="14" t="str">
        <f aca="false">IF($D755&lt;&gt;1,"",IF(AND($G755="IKS",$AI755&lt;&gt;1,OR($L755-$P755&lt;$N755,$M755-$Q755&lt;$O755)),1,0))</f>
        <v/>
      </c>
      <c r="AE755" s="14" t="str">
        <f aca="false">IF($D755&lt;&gt;1,"",IF(AND($G755="ROKS",$T755&gt;p_maxworkers),1,0))</f>
        <v/>
      </c>
      <c r="AF755" s="14" t="str">
        <f aca="false">IF($D755&lt;&gt;1,"",IF(INDEX(TblClusters[Environnement],$B755)="","(vide)",INDEX(TblClusters[Environnement],$B755)))</f>
        <v/>
      </c>
      <c r="AG755" s="14" t="str">
        <f aca="false">IF($D755&lt;&gt;1,"",$R755+p_poidsram*$S755)</f>
        <v/>
      </c>
      <c r="AH755" s="14" t="str">
        <f aca="false">IF($D755&lt;&gt;1,"",IFERROR($W755/$AG755,0))</f>
        <v/>
      </c>
      <c r="AI755" s="14" t="str">
        <f aca="false">IF($D755&lt;&gt;1,"",IF(AND($G755="IKS",ISNUMBER(INDEX(TblClusters[Fermeture retenue],$B755))),IF($E755&gt;=INDEX(TblClusters[Fermeture retenue],$B755),1,0),0))</f>
        <v/>
      </c>
    </row>
    <row r="756" customFormat="false" ht="15" hidden="false" customHeight="false" outlineLevel="0" collapsed="false">
      <c r="A756" s="14" t="n">
        <v>751</v>
      </c>
      <c r="B756" s="14" t="n">
        <f aca="false">INT(($A756-1)/36)+1</f>
        <v>21</v>
      </c>
      <c r="C756" s="14" t="n">
        <f aca="false">MOD($A756-1,36)+1</f>
        <v>31</v>
      </c>
      <c r="D756" s="14" t="n">
        <f aca="false">IF($C756&gt;p_horizon,0,IFERROR(IF(AND(INDEX(TblClusters[Cluster],$B756)&lt;&gt;"",ISNUMBER(INDEX(TblClusters[CPU initial (vCPU)],$B756)),ISNUMBER(INDEX(TblClusters[CPU min (vCPU)],$B756)),OR(INDEX(TblClusters[Plateforme],$B756)="IKS",INDEX(TblClusters[Plateforme],$B756)="ROKS")),1,0),0))</f>
        <v>0</v>
      </c>
      <c r="E756" s="83" t="str">
        <f aca="false">IF($D756=1,EDATE(p_debut,$C756-1),"")</f>
        <v/>
      </c>
      <c r="F756" s="14" t="str">
        <f aca="false">IF($D756=1,INDEX(TblClusters[Cluster],$B756),"")</f>
        <v/>
      </c>
      <c r="G756" s="14" t="str">
        <f aca="false">IF($D756=1,INDEX(TblClusters[Plateforme],$B756),"")</f>
        <v/>
      </c>
      <c r="H756" s="14" t="str">
        <f aca="false">IF($D756=1,INDEX(TblClusters[vCPU par nœud],$B756),"")</f>
        <v/>
      </c>
      <c r="I756" s="14" t="str">
        <f aca="false">IF($D756=1,INDEX(TblClusters[RAM par nœud (Go)],$B756),"")</f>
        <v/>
      </c>
      <c r="J756" s="14" t="str">
        <f aca="false">IF($D756=1,INDEX(TblClusters[Workers min],$B756),"")</f>
        <v/>
      </c>
      <c r="K756" s="84" t="str">
        <f aca="false">IF($D756=1,INDEX(TblClusters[Tarif par nœud],$B756),"")</f>
        <v/>
      </c>
      <c r="L756" s="14" t="str">
        <f aca="false">IF($D756=1,INDEX(TblClusters[CPU initial (vCPU)],$B756),"")</f>
        <v/>
      </c>
      <c r="M756" s="14" t="str">
        <f aca="false">IF($D756=1,INDEX(TblClusters[RAM initiale (Go)],$B756),"")</f>
        <v/>
      </c>
      <c r="N756" s="14" t="str">
        <f aca="false">IF($D756=1,INDEX(TblClusters[CPU min (vCPU)],$B756),"")</f>
        <v/>
      </c>
      <c r="O756" s="14" t="str">
        <f aca="false">IF($D756=1,INDEX(TblClusters[RAM min (Go)],$B756),"")</f>
        <v/>
      </c>
      <c r="P756" s="14" t="str">
        <f aca="false">IF($D756&lt;&gt;1,"",IF($G756="ROKS",SUMIFS(TblApplications[Besoin ROKS CPU (vCPU)],TblApplications[Cluster ROKS cible],$F756,TblApplications[Action],"À migrer",TblApplications[Déjà incluse ROKS],"Non",TblApplications[Mois prov (calc)],"&lt;="&amp;$E756),SUMIFS(TblApplications[CPU IKS libérable (vCPU)],TblApplications[Cluster IKS source],$F756,TblApplications[Mois lib (calc)],"&lt;="&amp;$E756)))</f>
        <v/>
      </c>
      <c r="Q756" s="14" t="str">
        <f aca="false">IF($D756&lt;&gt;1,"",IF($G756="ROKS",SUMIFS(TblApplications[Besoin ROKS RAM (Go)],TblApplications[Cluster ROKS cible],$F756,TblApplications[Action],"À migrer",TblApplications[Déjà incluse ROKS],"Non",TblApplications[Mois prov (calc)],"&lt;="&amp;$E756),SUMIFS(TblApplications[RAM IKS libérable (Go)],TblApplications[Cluster IKS source],$F756,TblApplications[Mois lib (calc)],"&lt;="&amp;$E756)))</f>
        <v/>
      </c>
      <c r="R756" s="14" t="str">
        <f aca="false">IF($D756&lt;&gt;1,"",IF($G756="ROKS",$L756+$P756,IF($AI756=1,0,MAX($N756,$L756-$P756))))</f>
        <v/>
      </c>
      <c r="S756" s="14" t="str">
        <f aca="false">IF($D756&lt;&gt;1,"",IF($G756="ROKS",$M756+$Q756,IF($AI756=1,0,MAX($O756,$M756-$Q756))))</f>
        <v/>
      </c>
      <c r="T756" s="14" t="str">
        <f aca="false">IF($D756&lt;&gt;1,"",IF($AI756=1,0,MAX($J756,ROUNDUP(MAX($R756/$H756,$S756/$I756),0))))</f>
        <v/>
      </c>
      <c r="U756" s="14" t="str">
        <f aca="false">IF($D756&lt;&gt;1,"",IF(p_mode="Nœud",$T756*$H756,$R756))</f>
        <v/>
      </c>
      <c r="V756" s="14" t="str">
        <f aca="false">IF($D756&lt;&gt;1,"",IF(p_mode="Nœud",$T756*$I756,$S756))</f>
        <v/>
      </c>
      <c r="W756" s="84" t="str">
        <f aca="false">IF($D756&lt;&gt;1,"",IF(p_mode="Nœud",$T756*$K756,$R756*IF($G756="IKS",p_iks_cpu,p_roks_cpu)+$S756*IF($G756="IKS",p_iks_ram,p_roks_ram))*p_facteur)</f>
        <v/>
      </c>
      <c r="X756" s="14" t="str">
        <f aca="false">IF($D756&lt;&gt;1,"",IF($G756="ROKS",$R756,IF($AI756=1,0,MAX($N756,$L756-SUMIFS(TblApplications[CPU IKS libérable (vCPU)],TblApplications[Cluster IKS source],$F756,TblApplications[Action],"À migrer",TblApplications[Mois prov (calc)],"&lt;="&amp;$E756)-SUMIFS(TblApplications[CPU IKS libérable (vCPU)],TblApplications[Cluster IKS source],$F756,TblApplications[Action],"À décommissionner",TblApplications[Mois lib (calc)],"&lt;="&amp;$E756)))))</f>
        <v/>
      </c>
      <c r="Y756" s="14" t="str">
        <f aca="false">IF($D756&lt;&gt;1,"",IF($G756="ROKS",$S756,IF($AI756=1,0,MAX($O756,$M756-SUMIFS(TblApplications[RAM IKS libérable (Go)],TblApplications[Cluster IKS source],$F756,TblApplications[Action],"À migrer",TblApplications[Mois prov (calc)],"&lt;="&amp;$E756)-SUMIFS(TblApplications[RAM IKS libérable (Go)],TblApplications[Cluster IKS source],$F756,TblApplications[Action],"À décommissionner",TblApplications[Mois lib (calc)],"&lt;="&amp;$E756)))))</f>
        <v/>
      </c>
      <c r="Z756" s="14" t="str">
        <f aca="false">IF($D756&lt;&gt;1,"",IF($AI756=1,0,MAX($J756,ROUNDUP(MAX($X756/$H756,$Y756/$I756),0))))</f>
        <v/>
      </c>
      <c r="AA756" s="84" t="str">
        <f aca="false">IF($D756&lt;&gt;1,"",IF(p_mode="Nœud",$Z756*$K756,$X756*IF($G756="IKS",p_iks_cpu,p_roks_cpu)+$Y756*IF($G756="IKS",p_iks_ram,p_roks_ram))*p_facteur)</f>
        <v/>
      </c>
      <c r="AB756" s="14" t="str">
        <f aca="false">IF($D756&lt;&gt;1,"",MAX($J756,ROUNDUP(MAX($L756/$H756,$M756/$I756),0)))</f>
        <v/>
      </c>
      <c r="AC756" s="84" t="str">
        <f aca="false">IF($D756&lt;&gt;1,"",IF(p_mode="Nœud",$AB756*$K756,$L756*IF($G756="IKS",p_iks_cpu,p_roks_cpu)+$M756*IF($G756="IKS",p_iks_ram,p_roks_ram))*p_facteur)</f>
        <v/>
      </c>
      <c r="AD756" s="14" t="str">
        <f aca="false">IF($D756&lt;&gt;1,"",IF(AND($G756="IKS",$AI756&lt;&gt;1,OR($L756-$P756&lt;$N756,$M756-$Q756&lt;$O756)),1,0))</f>
        <v/>
      </c>
      <c r="AE756" s="14" t="str">
        <f aca="false">IF($D756&lt;&gt;1,"",IF(AND($G756="ROKS",$T756&gt;p_maxworkers),1,0))</f>
        <v/>
      </c>
      <c r="AF756" s="14" t="str">
        <f aca="false">IF($D756&lt;&gt;1,"",IF(INDEX(TblClusters[Environnement],$B756)="","(vide)",INDEX(TblClusters[Environnement],$B756)))</f>
        <v/>
      </c>
      <c r="AG756" s="14" t="str">
        <f aca="false">IF($D756&lt;&gt;1,"",$R756+p_poidsram*$S756)</f>
        <v/>
      </c>
      <c r="AH756" s="14" t="str">
        <f aca="false">IF($D756&lt;&gt;1,"",IFERROR($W756/$AG756,0))</f>
        <v/>
      </c>
      <c r="AI756" s="14" t="str">
        <f aca="false">IF($D756&lt;&gt;1,"",IF(AND($G756="IKS",ISNUMBER(INDEX(TblClusters[Fermeture retenue],$B756))),IF($E756&gt;=INDEX(TblClusters[Fermeture retenue],$B756),1,0),0))</f>
        <v/>
      </c>
    </row>
    <row r="757" customFormat="false" ht="15" hidden="false" customHeight="false" outlineLevel="0" collapsed="false">
      <c r="A757" s="14" t="n">
        <v>752</v>
      </c>
      <c r="B757" s="14" t="n">
        <f aca="false">INT(($A757-1)/36)+1</f>
        <v>21</v>
      </c>
      <c r="C757" s="14" t="n">
        <f aca="false">MOD($A757-1,36)+1</f>
        <v>32</v>
      </c>
      <c r="D757" s="14" t="n">
        <f aca="false">IF($C757&gt;p_horizon,0,IFERROR(IF(AND(INDEX(TblClusters[Cluster],$B757)&lt;&gt;"",ISNUMBER(INDEX(TblClusters[CPU initial (vCPU)],$B757)),ISNUMBER(INDEX(TblClusters[CPU min (vCPU)],$B757)),OR(INDEX(TblClusters[Plateforme],$B757)="IKS",INDEX(TblClusters[Plateforme],$B757)="ROKS")),1,0),0))</f>
        <v>0</v>
      </c>
      <c r="E757" s="83" t="str">
        <f aca="false">IF($D757=1,EDATE(p_debut,$C757-1),"")</f>
        <v/>
      </c>
      <c r="F757" s="14" t="str">
        <f aca="false">IF($D757=1,INDEX(TblClusters[Cluster],$B757),"")</f>
        <v/>
      </c>
      <c r="G757" s="14" t="str">
        <f aca="false">IF($D757=1,INDEX(TblClusters[Plateforme],$B757),"")</f>
        <v/>
      </c>
      <c r="H757" s="14" t="str">
        <f aca="false">IF($D757=1,INDEX(TblClusters[vCPU par nœud],$B757),"")</f>
        <v/>
      </c>
      <c r="I757" s="14" t="str">
        <f aca="false">IF($D757=1,INDEX(TblClusters[RAM par nœud (Go)],$B757),"")</f>
        <v/>
      </c>
      <c r="J757" s="14" t="str">
        <f aca="false">IF($D757=1,INDEX(TblClusters[Workers min],$B757),"")</f>
        <v/>
      </c>
      <c r="K757" s="84" t="str">
        <f aca="false">IF($D757=1,INDEX(TblClusters[Tarif par nœud],$B757),"")</f>
        <v/>
      </c>
      <c r="L757" s="14" t="str">
        <f aca="false">IF($D757=1,INDEX(TblClusters[CPU initial (vCPU)],$B757),"")</f>
        <v/>
      </c>
      <c r="M757" s="14" t="str">
        <f aca="false">IF($D757=1,INDEX(TblClusters[RAM initiale (Go)],$B757),"")</f>
        <v/>
      </c>
      <c r="N757" s="14" t="str">
        <f aca="false">IF($D757=1,INDEX(TblClusters[CPU min (vCPU)],$B757),"")</f>
        <v/>
      </c>
      <c r="O757" s="14" t="str">
        <f aca="false">IF($D757=1,INDEX(TblClusters[RAM min (Go)],$B757),"")</f>
        <v/>
      </c>
      <c r="P757" s="14" t="str">
        <f aca="false">IF($D757&lt;&gt;1,"",IF($G757="ROKS",SUMIFS(TblApplications[Besoin ROKS CPU (vCPU)],TblApplications[Cluster ROKS cible],$F757,TblApplications[Action],"À migrer",TblApplications[Déjà incluse ROKS],"Non",TblApplications[Mois prov (calc)],"&lt;="&amp;$E757),SUMIFS(TblApplications[CPU IKS libérable (vCPU)],TblApplications[Cluster IKS source],$F757,TblApplications[Mois lib (calc)],"&lt;="&amp;$E757)))</f>
        <v/>
      </c>
      <c r="Q757" s="14" t="str">
        <f aca="false">IF($D757&lt;&gt;1,"",IF($G757="ROKS",SUMIFS(TblApplications[Besoin ROKS RAM (Go)],TblApplications[Cluster ROKS cible],$F757,TblApplications[Action],"À migrer",TblApplications[Déjà incluse ROKS],"Non",TblApplications[Mois prov (calc)],"&lt;="&amp;$E757),SUMIFS(TblApplications[RAM IKS libérable (Go)],TblApplications[Cluster IKS source],$F757,TblApplications[Mois lib (calc)],"&lt;="&amp;$E757)))</f>
        <v/>
      </c>
      <c r="R757" s="14" t="str">
        <f aca="false">IF($D757&lt;&gt;1,"",IF($G757="ROKS",$L757+$P757,IF($AI757=1,0,MAX($N757,$L757-$P757))))</f>
        <v/>
      </c>
      <c r="S757" s="14" t="str">
        <f aca="false">IF($D757&lt;&gt;1,"",IF($G757="ROKS",$M757+$Q757,IF($AI757=1,0,MAX($O757,$M757-$Q757))))</f>
        <v/>
      </c>
      <c r="T757" s="14" t="str">
        <f aca="false">IF($D757&lt;&gt;1,"",IF($AI757=1,0,MAX($J757,ROUNDUP(MAX($R757/$H757,$S757/$I757),0))))</f>
        <v/>
      </c>
      <c r="U757" s="14" t="str">
        <f aca="false">IF($D757&lt;&gt;1,"",IF(p_mode="Nœud",$T757*$H757,$R757))</f>
        <v/>
      </c>
      <c r="V757" s="14" t="str">
        <f aca="false">IF($D757&lt;&gt;1,"",IF(p_mode="Nœud",$T757*$I757,$S757))</f>
        <v/>
      </c>
      <c r="W757" s="84" t="str">
        <f aca="false">IF($D757&lt;&gt;1,"",IF(p_mode="Nœud",$T757*$K757,$R757*IF($G757="IKS",p_iks_cpu,p_roks_cpu)+$S757*IF($G757="IKS",p_iks_ram,p_roks_ram))*p_facteur)</f>
        <v/>
      </c>
      <c r="X757" s="14" t="str">
        <f aca="false">IF($D757&lt;&gt;1,"",IF($G757="ROKS",$R757,IF($AI757=1,0,MAX($N757,$L757-SUMIFS(TblApplications[CPU IKS libérable (vCPU)],TblApplications[Cluster IKS source],$F757,TblApplications[Action],"À migrer",TblApplications[Mois prov (calc)],"&lt;="&amp;$E757)-SUMIFS(TblApplications[CPU IKS libérable (vCPU)],TblApplications[Cluster IKS source],$F757,TblApplications[Action],"À décommissionner",TblApplications[Mois lib (calc)],"&lt;="&amp;$E757)))))</f>
        <v/>
      </c>
      <c r="Y757" s="14" t="str">
        <f aca="false">IF($D757&lt;&gt;1,"",IF($G757="ROKS",$S757,IF($AI757=1,0,MAX($O757,$M757-SUMIFS(TblApplications[RAM IKS libérable (Go)],TblApplications[Cluster IKS source],$F757,TblApplications[Action],"À migrer",TblApplications[Mois prov (calc)],"&lt;="&amp;$E757)-SUMIFS(TblApplications[RAM IKS libérable (Go)],TblApplications[Cluster IKS source],$F757,TblApplications[Action],"À décommissionner",TblApplications[Mois lib (calc)],"&lt;="&amp;$E757)))))</f>
        <v/>
      </c>
      <c r="Z757" s="14" t="str">
        <f aca="false">IF($D757&lt;&gt;1,"",IF($AI757=1,0,MAX($J757,ROUNDUP(MAX($X757/$H757,$Y757/$I757),0))))</f>
        <v/>
      </c>
      <c r="AA757" s="84" t="str">
        <f aca="false">IF($D757&lt;&gt;1,"",IF(p_mode="Nœud",$Z757*$K757,$X757*IF($G757="IKS",p_iks_cpu,p_roks_cpu)+$Y757*IF($G757="IKS",p_iks_ram,p_roks_ram))*p_facteur)</f>
        <v/>
      </c>
      <c r="AB757" s="14" t="str">
        <f aca="false">IF($D757&lt;&gt;1,"",MAX($J757,ROUNDUP(MAX($L757/$H757,$M757/$I757),0)))</f>
        <v/>
      </c>
      <c r="AC757" s="84" t="str">
        <f aca="false">IF($D757&lt;&gt;1,"",IF(p_mode="Nœud",$AB757*$K757,$L757*IF($G757="IKS",p_iks_cpu,p_roks_cpu)+$M757*IF($G757="IKS",p_iks_ram,p_roks_ram))*p_facteur)</f>
        <v/>
      </c>
      <c r="AD757" s="14" t="str">
        <f aca="false">IF($D757&lt;&gt;1,"",IF(AND($G757="IKS",$AI757&lt;&gt;1,OR($L757-$P757&lt;$N757,$M757-$Q757&lt;$O757)),1,0))</f>
        <v/>
      </c>
      <c r="AE757" s="14" t="str">
        <f aca="false">IF($D757&lt;&gt;1,"",IF(AND($G757="ROKS",$T757&gt;p_maxworkers),1,0))</f>
        <v/>
      </c>
      <c r="AF757" s="14" t="str">
        <f aca="false">IF($D757&lt;&gt;1,"",IF(INDEX(TblClusters[Environnement],$B757)="","(vide)",INDEX(TblClusters[Environnement],$B757)))</f>
        <v/>
      </c>
      <c r="AG757" s="14" t="str">
        <f aca="false">IF($D757&lt;&gt;1,"",$R757+p_poidsram*$S757)</f>
        <v/>
      </c>
      <c r="AH757" s="14" t="str">
        <f aca="false">IF($D757&lt;&gt;1,"",IFERROR($W757/$AG757,0))</f>
        <v/>
      </c>
      <c r="AI757" s="14" t="str">
        <f aca="false">IF($D757&lt;&gt;1,"",IF(AND($G757="IKS",ISNUMBER(INDEX(TblClusters[Fermeture retenue],$B757))),IF($E757&gt;=INDEX(TblClusters[Fermeture retenue],$B757),1,0),0))</f>
        <v/>
      </c>
    </row>
    <row r="758" customFormat="false" ht="15" hidden="false" customHeight="false" outlineLevel="0" collapsed="false">
      <c r="A758" s="14" t="n">
        <v>753</v>
      </c>
      <c r="B758" s="14" t="n">
        <f aca="false">INT(($A758-1)/36)+1</f>
        <v>21</v>
      </c>
      <c r="C758" s="14" t="n">
        <f aca="false">MOD($A758-1,36)+1</f>
        <v>33</v>
      </c>
      <c r="D758" s="14" t="n">
        <f aca="false">IF($C758&gt;p_horizon,0,IFERROR(IF(AND(INDEX(TblClusters[Cluster],$B758)&lt;&gt;"",ISNUMBER(INDEX(TblClusters[CPU initial (vCPU)],$B758)),ISNUMBER(INDEX(TblClusters[CPU min (vCPU)],$B758)),OR(INDEX(TblClusters[Plateforme],$B758)="IKS",INDEX(TblClusters[Plateforme],$B758)="ROKS")),1,0),0))</f>
        <v>0</v>
      </c>
      <c r="E758" s="83" t="str">
        <f aca="false">IF($D758=1,EDATE(p_debut,$C758-1),"")</f>
        <v/>
      </c>
      <c r="F758" s="14" t="str">
        <f aca="false">IF($D758=1,INDEX(TblClusters[Cluster],$B758),"")</f>
        <v/>
      </c>
      <c r="G758" s="14" t="str">
        <f aca="false">IF($D758=1,INDEX(TblClusters[Plateforme],$B758),"")</f>
        <v/>
      </c>
      <c r="H758" s="14" t="str">
        <f aca="false">IF($D758=1,INDEX(TblClusters[vCPU par nœud],$B758),"")</f>
        <v/>
      </c>
      <c r="I758" s="14" t="str">
        <f aca="false">IF($D758=1,INDEX(TblClusters[RAM par nœud (Go)],$B758),"")</f>
        <v/>
      </c>
      <c r="J758" s="14" t="str">
        <f aca="false">IF($D758=1,INDEX(TblClusters[Workers min],$B758),"")</f>
        <v/>
      </c>
      <c r="K758" s="84" t="str">
        <f aca="false">IF($D758=1,INDEX(TblClusters[Tarif par nœud],$B758),"")</f>
        <v/>
      </c>
      <c r="L758" s="14" t="str">
        <f aca="false">IF($D758=1,INDEX(TblClusters[CPU initial (vCPU)],$B758),"")</f>
        <v/>
      </c>
      <c r="M758" s="14" t="str">
        <f aca="false">IF($D758=1,INDEX(TblClusters[RAM initiale (Go)],$B758),"")</f>
        <v/>
      </c>
      <c r="N758" s="14" t="str">
        <f aca="false">IF($D758=1,INDEX(TblClusters[CPU min (vCPU)],$B758),"")</f>
        <v/>
      </c>
      <c r="O758" s="14" t="str">
        <f aca="false">IF($D758=1,INDEX(TblClusters[RAM min (Go)],$B758),"")</f>
        <v/>
      </c>
      <c r="P758" s="14" t="str">
        <f aca="false">IF($D758&lt;&gt;1,"",IF($G758="ROKS",SUMIFS(TblApplications[Besoin ROKS CPU (vCPU)],TblApplications[Cluster ROKS cible],$F758,TblApplications[Action],"À migrer",TblApplications[Déjà incluse ROKS],"Non",TblApplications[Mois prov (calc)],"&lt;="&amp;$E758),SUMIFS(TblApplications[CPU IKS libérable (vCPU)],TblApplications[Cluster IKS source],$F758,TblApplications[Mois lib (calc)],"&lt;="&amp;$E758)))</f>
        <v/>
      </c>
      <c r="Q758" s="14" t="str">
        <f aca="false">IF($D758&lt;&gt;1,"",IF($G758="ROKS",SUMIFS(TblApplications[Besoin ROKS RAM (Go)],TblApplications[Cluster ROKS cible],$F758,TblApplications[Action],"À migrer",TblApplications[Déjà incluse ROKS],"Non",TblApplications[Mois prov (calc)],"&lt;="&amp;$E758),SUMIFS(TblApplications[RAM IKS libérable (Go)],TblApplications[Cluster IKS source],$F758,TblApplications[Mois lib (calc)],"&lt;="&amp;$E758)))</f>
        <v/>
      </c>
      <c r="R758" s="14" t="str">
        <f aca="false">IF($D758&lt;&gt;1,"",IF($G758="ROKS",$L758+$P758,IF($AI758=1,0,MAX($N758,$L758-$P758))))</f>
        <v/>
      </c>
      <c r="S758" s="14" t="str">
        <f aca="false">IF($D758&lt;&gt;1,"",IF($G758="ROKS",$M758+$Q758,IF($AI758=1,0,MAX($O758,$M758-$Q758))))</f>
        <v/>
      </c>
      <c r="T758" s="14" t="str">
        <f aca="false">IF($D758&lt;&gt;1,"",IF($AI758=1,0,MAX($J758,ROUNDUP(MAX($R758/$H758,$S758/$I758),0))))</f>
        <v/>
      </c>
      <c r="U758" s="14" t="str">
        <f aca="false">IF($D758&lt;&gt;1,"",IF(p_mode="Nœud",$T758*$H758,$R758))</f>
        <v/>
      </c>
      <c r="V758" s="14" t="str">
        <f aca="false">IF($D758&lt;&gt;1,"",IF(p_mode="Nœud",$T758*$I758,$S758))</f>
        <v/>
      </c>
      <c r="W758" s="84" t="str">
        <f aca="false">IF($D758&lt;&gt;1,"",IF(p_mode="Nœud",$T758*$K758,$R758*IF($G758="IKS",p_iks_cpu,p_roks_cpu)+$S758*IF($G758="IKS",p_iks_ram,p_roks_ram))*p_facteur)</f>
        <v/>
      </c>
      <c r="X758" s="14" t="str">
        <f aca="false">IF($D758&lt;&gt;1,"",IF($G758="ROKS",$R758,IF($AI758=1,0,MAX($N758,$L758-SUMIFS(TblApplications[CPU IKS libérable (vCPU)],TblApplications[Cluster IKS source],$F758,TblApplications[Action],"À migrer",TblApplications[Mois prov (calc)],"&lt;="&amp;$E758)-SUMIFS(TblApplications[CPU IKS libérable (vCPU)],TblApplications[Cluster IKS source],$F758,TblApplications[Action],"À décommissionner",TblApplications[Mois lib (calc)],"&lt;="&amp;$E758)))))</f>
        <v/>
      </c>
      <c r="Y758" s="14" t="str">
        <f aca="false">IF($D758&lt;&gt;1,"",IF($G758="ROKS",$S758,IF($AI758=1,0,MAX($O758,$M758-SUMIFS(TblApplications[RAM IKS libérable (Go)],TblApplications[Cluster IKS source],$F758,TblApplications[Action],"À migrer",TblApplications[Mois prov (calc)],"&lt;="&amp;$E758)-SUMIFS(TblApplications[RAM IKS libérable (Go)],TblApplications[Cluster IKS source],$F758,TblApplications[Action],"À décommissionner",TblApplications[Mois lib (calc)],"&lt;="&amp;$E758)))))</f>
        <v/>
      </c>
      <c r="Z758" s="14" t="str">
        <f aca="false">IF($D758&lt;&gt;1,"",IF($AI758=1,0,MAX($J758,ROUNDUP(MAX($X758/$H758,$Y758/$I758),0))))</f>
        <v/>
      </c>
      <c r="AA758" s="84" t="str">
        <f aca="false">IF($D758&lt;&gt;1,"",IF(p_mode="Nœud",$Z758*$K758,$X758*IF($G758="IKS",p_iks_cpu,p_roks_cpu)+$Y758*IF($G758="IKS",p_iks_ram,p_roks_ram))*p_facteur)</f>
        <v/>
      </c>
      <c r="AB758" s="14" t="str">
        <f aca="false">IF($D758&lt;&gt;1,"",MAX($J758,ROUNDUP(MAX($L758/$H758,$M758/$I758),0)))</f>
        <v/>
      </c>
      <c r="AC758" s="84" t="str">
        <f aca="false">IF($D758&lt;&gt;1,"",IF(p_mode="Nœud",$AB758*$K758,$L758*IF($G758="IKS",p_iks_cpu,p_roks_cpu)+$M758*IF($G758="IKS",p_iks_ram,p_roks_ram))*p_facteur)</f>
        <v/>
      </c>
      <c r="AD758" s="14" t="str">
        <f aca="false">IF($D758&lt;&gt;1,"",IF(AND($G758="IKS",$AI758&lt;&gt;1,OR($L758-$P758&lt;$N758,$M758-$Q758&lt;$O758)),1,0))</f>
        <v/>
      </c>
      <c r="AE758" s="14" t="str">
        <f aca="false">IF($D758&lt;&gt;1,"",IF(AND($G758="ROKS",$T758&gt;p_maxworkers),1,0))</f>
        <v/>
      </c>
      <c r="AF758" s="14" t="str">
        <f aca="false">IF($D758&lt;&gt;1,"",IF(INDEX(TblClusters[Environnement],$B758)="","(vide)",INDEX(TblClusters[Environnement],$B758)))</f>
        <v/>
      </c>
      <c r="AG758" s="14" t="str">
        <f aca="false">IF($D758&lt;&gt;1,"",$R758+p_poidsram*$S758)</f>
        <v/>
      </c>
      <c r="AH758" s="14" t="str">
        <f aca="false">IF($D758&lt;&gt;1,"",IFERROR($W758/$AG758,0))</f>
        <v/>
      </c>
      <c r="AI758" s="14" t="str">
        <f aca="false">IF($D758&lt;&gt;1,"",IF(AND($G758="IKS",ISNUMBER(INDEX(TblClusters[Fermeture retenue],$B758))),IF($E758&gt;=INDEX(TblClusters[Fermeture retenue],$B758),1,0),0))</f>
        <v/>
      </c>
    </row>
    <row r="759" customFormat="false" ht="15" hidden="false" customHeight="false" outlineLevel="0" collapsed="false">
      <c r="A759" s="14" t="n">
        <v>754</v>
      </c>
      <c r="B759" s="14" t="n">
        <f aca="false">INT(($A759-1)/36)+1</f>
        <v>21</v>
      </c>
      <c r="C759" s="14" t="n">
        <f aca="false">MOD($A759-1,36)+1</f>
        <v>34</v>
      </c>
      <c r="D759" s="14" t="n">
        <f aca="false">IF($C759&gt;p_horizon,0,IFERROR(IF(AND(INDEX(TblClusters[Cluster],$B759)&lt;&gt;"",ISNUMBER(INDEX(TblClusters[CPU initial (vCPU)],$B759)),ISNUMBER(INDEX(TblClusters[CPU min (vCPU)],$B759)),OR(INDEX(TblClusters[Plateforme],$B759)="IKS",INDEX(TblClusters[Plateforme],$B759)="ROKS")),1,0),0))</f>
        <v>0</v>
      </c>
      <c r="E759" s="83" t="str">
        <f aca="false">IF($D759=1,EDATE(p_debut,$C759-1),"")</f>
        <v/>
      </c>
      <c r="F759" s="14" t="str">
        <f aca="false">IF($D759=1,INDEX(TblClusters[Cluster],$B759),"")</f>
        <v/>
      </c>
      <c r="G759" s="14" t="str">
        <f aca="false">IF($D759=1,INDEX(TblClusters[Plateforme],$B759),"")</f>
        <v/>
      </c>
      <c r="H759" s="14" t="str">
        <f aca="false">IF($D759=1,INDEX(TblClusters[vCPU par nœud],$B759),"")</f>
        <v/>
      </c>
      <c r="I759" s="14" t="str">
        <f aca="false">IF($D759=1,INDEX(TblClusters[RAM par nœud (Go)],$B759),"")</f>
        <v/>
      </c>
      <c r="J759" s="14" t="str">
        <f aca="false">IF($D759=1,INDEX(TblClusters[Workers min],$B759),"")</f>
        <v/>
      </c>
      <c r="K759" s="84" t="str">
        <f aca="false">IF($D759=1,INDEX(TblClusters[Tarif par nœud],$B759),"")</f>
        <v/>
      </c>
      <c r="L759" s="14" t="str">
        <f aca="false">IF($D759=1,INDEX(TblClusters[CPU initial (vCPU)],$B759),"")</f>
        <v/>
      </c>
      <c r="M759" s="14" t="str">
        <f aca="false">IF($D759=1,INDEX(TblClusters[RAM initiale (Go)],$B759),"")</f>
        <v/>
      </c>
      <c r="N759" s="14" t="str">
        <f aca="false">IF($D759=1,INDEX(TblClusters[CPU min (vCPU)],$B759),"")</f>
        <v/>
      </c>
      <c r="O759" s="14" t="str">
        <f aca="false">IF($D759=1,INDEX(TblClusters[RAM min (Go)],$B759),"")</f>
        <v/>
      </c>
      <c r="P759" s="14" t="str">
        <f aca="false">IF($D759&lt;&gt;1,"",IF($G759="ROKS",SUMIFS(TblApplications[Besoin ROKS CPU (vCPU)],TblApplications[Cluster ROKS cible],$F759,TblApplications[Action],"À migrer",TblApplications[Déjà incluse ROKS],"Non",TblApplications[Mois prov (calc)],"&lt;="&amp;$E759),SUMIFS(TblApplications[CPU IKS libérable (vCPU)],TblApplications[Cluster IKS source],$F759,TblApplications[Mois lib (calc)],"&lt;="&amp;$E759)))</f>
        <v/>
      </c>
      <c r="Q759" s="14" t="str">
        <f aca="false">IF($D759&lt;&gt;1,"",IF($G759="ROKS",SUMIFS(TblApplications[Besoin ROKS RAM (Go)],TblApplications[Cluster ROKS cible],$F759,TblApplications[Action],"À migrer",TblApplications[Déjà incluse ROKS],"Non",TblApplications[Mois prov (calc)],"&lt;="&amp;$E759),SUMIFS(TblApplications[RAM IKS libérable (Go)],TblApplications[Cluster IKS source],$F759,TblApplications[Mois lib (calc)],"&lt;="&amp;$E759)))</f>
        <v/>
      </c>
      <c r="R759" s="14" t="str">
        <f aca="false">IF($D759&lt;&gt;1,"",IF($G759="ROKS",$L759+$P759,IF($AI759=1,0,MAX($N759,$L759-$P759))))</f>
        <v/>
      </c>
      <c r="S759" s="14" t="str">
        <f aca="false">IF($D759&lt;&gt;1,"",IF($G759="ROKS",$M759+$Q759,IF($AI759=1,0,MAX($O759,$M759-$Q759))))</f>
        <v/>
      </c>
      <c r="T759" s="14" t="str">
        <f aca="false">IF($D759&lt;&gt;1,"",IF($AI759=1,0,MAX($J759,ROUNDUP(MAX($R759/$H759,$S759/$I759),0))))</f>
        <v/>
      </c>
      <c r="U759" s="14" t="str">
        <f aca="false">IF($D759&lt;&gt;1,"",IF(p_mode="Nœud",$T759*$H759,$R759))</f>
        <v/>
      </c>
      <c r="V759" s="14" t="str">
        <f aca="false">IF($D759&lt;&gt;1,"",IF(p_mode="Nœud",$T759*$I759,$S759))</f>
        <v/>
      </c>
      <c r="W759" s="84" t="str">
        <f aca="false">IF($D759&lt;&gt;1,"",IF(p_mode="Nœud",$T759*$K759,$R759*IF($G759="IKS",p_iks_cpu,p_roks_cpu)+$S759*IF($G759="IKS",p_iks_ram,p_roks_ram))*p_facteur)</f>
        <v/>
      </c>
      <c r="X759" s="14" t="str">
        <f aca="false">IF($D759&lt;&gt;1,"",IF($G759="ROKS",$R759,IF($AI759=1,0,MAX($N759,$L759-SUMIFS(TblApplications[CPU IKS libérable (vCPU)],TblApplications[Cluster IKS source],$F759,TblApplications[Action],"À migrer",TblApplications[Mois prov (calc)],"&lt;="&amp;$E759)-SUMIFS(TblApplications[CPU IKS libérable (vCPU)],TblApplications[Cluster IKS source],$F759,TblApplications[Action],"À décommissionner",TblApplications[Mois lib (calc)],"&lt;="&amp;$E759)))))</f>
        <v/>
      </c>
      <c r="Y759" s="14" t="str">
        <f aca="false">IF($D759&lt;&gt;1,"",IF($G759="ROKS",$S759,IF($AI759=1,0,MAX($O759,$M759-SUMIFS(TblApplications[RAM IKS libérable (Go)],TblApplications[Cluster IKS source],$F759,TblApplications[Action],"À migrer",TblApplications[Mois prov (calc)],"&lt;="&amp;$E759)-SUMIFS(TblApplications[RAM IKS libérable (Go)],TblApplications[Cluster IKS source],$F759,TblApplications[Action],"À décommissionner",TblApplications[Mois lib (calc)],"&lt;="&amp;$E759)))))</f>
        <v/>
      </c>
      <c r="Z759" s="14" t="str">
        <f aca="false">IF($D759&lt;&gt;1,"",IF($AI759=1,0,MAX($J759,ROUNDUP(MAX($X759/$H759,$Y759/$I759),0))))</f>
        <v/>
      </c>
      <c r="AA759" s="84" t="str">
        <f aca="false">IF($D759&lt;&gt;1,"",IF(p_mode="Nœud",$Z759*$K759,$X759*IF($G759="IKS",p_iks_cpu,p_roks_cpu)+$Y759*IF($G759="IKS",p_iks_ram,p_roks_ram))*p_facteur)</f>
        <v/>
      </c>
      <c r="AB759" s="14" t="str">
        <f aca="false">IF($D759&lt;&gt;1,"",MAX($J759,ROUNDUP(MAX($L759/$H759,$M759/$I759),0)))</f>
        <v/>
      </c>
      <c r="AC759" s="84" t="str">
        <f aca="false">IF($D759&lt;&gt;1,"",IF(p_mode="Nœud",$AB759*$K759,$L759*IF($G759="IKS",p_iks_cpu,p_roks_cpu)+$M759*IF($G759="IKS",p_iks_ram,p_roks_ram))*p_facteur)</f>
        <v/>
      </c>
      <c r="AD759" s="14" t="str">
        <f aca="false">IF($D759&lt;&gt;1,"",IF(AND($G759="IKS",$AI759&lt;&gt;1,OR($L759-$P759&lt;$N759,$M759-$Q759&lt;$O759)),1,0))</f>
        <v/>
      </c>
      <c r="AE759" s="14" t="str">
        <f aca="false">IF($D759&lt;&gt;1,"",IF(AND($G759="ROKS",$T759&gt;p_maxworkers),1,0))</f>
        <v/>
      </c>
      <c r="AF759" s="14" t="str">
        <f aca="false">IF($D759&lt;&gt;1,"",IF(INDEX(TblClusters[Environnement],$B759)="","(vide)",INDEX(TblClusters[Environnement],$B759)))</f>
        <v/>
      </c>
      <c r="AG759" s="14" t="str">
        <f aca="false">IF($D759&lt;&gt;1,"",$R759+p_poidsram*$S759)</f>
        <v/>
      </c>
      <c r="AH759" s="14" t="str">
        <f aca="false">IF($D759&lt;&gt;1,"",IFERROR($W759/$AG759,0))</f>
        <v/>
      </c>
      <c r="AI759" s="14" t="str">
        <f aca="false">IF($D759&lt;&gt;1,"",IF(AND($G759="IKS",ISNUMBER(INDEX(TblClusters[Fermeture retenue],$B759))),IF($E759&gt;=INDEX(TblClusters[Fermeture retenue],$B759),1,0),0))</f>
        <v/>
      </c>
    </row>
    <row r="760" customFormat="false" ht="15" hidden="false" customHeight="false" outlineLevel="0" collapsed="false">
      <c r="A760" s="14" t="n">
        <v>755</v>
      </c>
      <c r="B760" s="14" t="n">
        <f aca="false">INT(($A760-1)/36)+1</f>
        <v>21</v>
      </c>
      <c r="C760" s="14" t="n">
        <f aca="false">MOD($A760-1,36)+1</f>
        <v>35</v>
      </c>
      <c r="D760" s="14" t="n">
        <f aca="false">IF($C760&gt;p_horizon,0,IFERROR(IF(AND(INDEX(TblClusters[Cluster],$B760)&lt;&gt;"",ISNUMBER(INDEX(TblClusters[CPU initial (vCPU)],$B760)),ISNUMBER(INDEX(TblClusters[CPU min (vCPU)],$B760)),OR(INDEX(TblClusters[Plateforme],$B760)="IKS",INDEX(TblClusters[Plateforme],$B760)="ROKS")),1,0),0))</f>
        <v>0</v>
      </c>
      <c r="E760" s="83" t="str">
        <f aca="false">IF($D760=1,EDATE(p_debut,$C760-1),"")</f>
        <v/>
      </c>
      <c r="F760" s="14" t="str">
        <f aca="false">IF($D760=1,INDEX(TblClusters[Cluster],$B760),"")</f>
        <v/>
      </c>
      <c r="G760" s="14" t="str">
        <f aca="false">IF($D760=1,INDEX(TblClusters[Plateforme],$B760),"")</f>
        <v/>
      </c>
      <c r="H760" s="14" t="str">
        <f aca="false">IF($D760=1,INDEX(TblClusters[vCPU par nœud],$B760),"")</f>
        <v/>
      </c>
      <c r="I760" s="14" t="str">
        <f aca="false">IF($D760=1,INDEX(TblClusters[RAM par nœud (Go)],$B760),"")</f>
        <v/>
      </c>
      <c r="J760" s="14" t="str">
        <f aca="false">IF($D760=1,INDEX(TblClusters[Workers min],$B760),"")</f>
        <v/>
      </c>
      <c r="K760" s="84" t="str">
        <f aca="false">IF($D760=1,INDEX(TblClusters[Tarif par nœud],$B760),"")</f>
        <v/>
      </c>
      <c r="L760" s="14" t="str">
        <f aca="false">IF($D760=1,INDEX(TblClusters[CPU initial (vCPU)],$B760),"")</f>
        <v/>
      </c>
      <c r="M760" s="14" t="str">
        <f aca="false">IF($D760=1,INDEX(TblClusters[RAM initiale (Go)],$B760),"")</f>
        <v/>
      </c>
      <c r="N760" s="14" t="str">
        <f aca="false">IF($D760=1,INDEX(TblClusters[CPU min (vCPU)],$B760),"")</f>
        <v/>
      </c>
      <c r="O760" s="14" t="str">
        <f aca="false">IF($D760=1,INDEX(TblClusters[RAM min (Go)],$B760),"")</f>
        <v/>
      </c>
      <c r="P760" s="14" t="str">
        <f aca="false">IF($D760&lt;&gt;1,"",IF($G760="ROKS",SUMIFS(TblApplications[Besoin ROKS CPU (vCPU)],TblApplications[Cluster ROKS cible],$F760,TblApplications[Action],"À migrer",TblApplications[Déjà incluse ROKS],"Non",TblApplications[Mois prov (calc)],"&lt;="&amp;$E760),SUMIFS(TblApplications[CPU IKS libérable (vCPU)],TblApplications[Cluster IKS source],$F760,TblApplications[Mois lib (calc)],"&lt;="&amp;$E760)))</f>
        <v/>
      </c>
      <c r="Q760" s="14" t="str">
        <f aca="false">IF($D760&lt;&gt;1,"",IF($G760="ROKS",SUMIFS(TblApplications[Besoin ROKS RAM (Go)],TblApplications[Cluster ROKS cible],$F760,TblApplications[Action],"À migrer",TblApplications[Déjà incluse ROKS],"Non",TblApplications[Mois prov (calc)],"&lt;="&amp;$E760),SUMIFS(TblApplications[RAM IKS libérable (Go)],TblApplications[Cluster IKS source],$F760,TblApplications[Mois lib (calc)],"&lt;="&amp;$E760)))</f>
        <v/>
      </c>
      <c r="R760" s="14" t="str">
        <f aca="false">IF($D760&lt;&gt;1,"",IF($G760="ROKS",$L760+$P760,IF($AI760=1,0,MAX($N760,$L760-$P760))))</f>
        <v/>
      </c>
      <c r="S760" s="14" t="str">
        <f aca="false">IF($D760&lt;&gt;1,"",IF($G760="ROKS",$M760+$Q760,IF($AI760=1,0,MAX($O760,$M760-$Q760))))</f>
        <v/>
      </c>
      <c r="T760" s="14" t="str">
        <f aca="false">IF($D760&lt;&gt;1,"",IF($AI760=1,0,MAX($J760,ROUNDUP(MAX($R760/$H760,$S760/$I760),0))))</f>
        <v/>
      </c>
      <c r="U760" s="14" t="str">
        <f aca="false">IF($D760&lt;&gt;1,"",IF(p_mode="Nœud",$T760*$H760,$R760))</f>
        <v/>
      </c>
      <c r="V760" s="14" t="str">
        <f aca="false">IF($D760&lt;&gt;1,"",IF(p_mode="Nœud",$T760*$I760,$S760))</f>
        <v/>
      </c>
      <c r="W760" s="84" t="str">
        <f aca="false">IF($D760&lt;&gt;1,"",IF(p_mode="Nœud",$T760*$K760,$R760*IF($G760="IKS",p_iks_cpu,p_roks_cpu)+$S760*IF($G760="IKS",p_iks_ram,p_roks_ram))*p_facteur)</f>
        <v/>
      </c>
      <c r="X760" s="14" t="str">
        <f aca="false">IF($D760&lt;&gt;1,"",IF($G760="ROKS",$R760,IF($AI760=1,0,MAX($N760,$L760-SUMIFS(TblApplications[CPU IKS libérable (vCPU)],TblApplications[Cluster IKS source],$F760,TblApplications[Action],"À migrer",TblApplications[Mois prov (calc)],"&lt;="&amp;$E760)-SUMIFS(TblApplications[CPU IKS libérable (vCPU)],TblApplications[Cluster IKS source],$F760,TblApplications[Action],"À décommissionner",TblApplications[Mois lib (calc)],"&lt;="&amp;$E760)))))</f>
        <v/>
      </c>
      <c r="Y760" s="14" t="str">
        <f aca="false">IF($D760&lt;&gt;1,"",IF($G760="ROKS",$S760,IF($AI760=1,0,MAX($O760,$M760-SUMIFS(TblApplications[RAM IKS libérable (Go)],TblApplications[Cluster IKS source],$F760,TblApplications[Action],"À migrer",TblApplications[Mois prov (calc)],"&lt;="&amp;$E760)-SUMIFS(TblApplications[RAM IKS libérable (Go)],TblApplications[Cluster IKS source],$F760,TblApplications[Action],"À décommissionner",TblApplications[Mois lib (calc)],"&lt;="&amp;$E760)))))</f>
        <v/>
      </c>
      <c r="Z760" s="14" t="str">
        <f aca="false">IF($D760&lt;&gt;1,"",IF($AI760=1,0,MAX($J760,ROUNDUP(MAX($X760/$H760,$Y760/$I760),0))))</f>
        <v/>
      </c>
      <c r="AA760" s="84" t="str">
        <f aca="false">IF($D760&lt;&gt;1,"",IF(p_mode="Nœud",$Z760*$K760,$X760*IF($G760="IKS",p_iks_cpu,p_roks_cpu)+$Y760*IF($G760="IKS",p_iks_ram,p_roks_ram))*p_facteur)</f>
        <v/>
      </c>
      <c r="AB760" s="14" t="str">
        <f aca="false">IF($D760&lt;&gt;1,"",MAX($J760,ROUNDUP(MAX($L760/$H760,$M760/$I760),0)))</f>
        <v/>
      </c>
      <c r="AC760" s="84" t="str">
        <f aca="false">IF($D760&lt;&gt;1,"",IF(p_mode="Nœud",$AB760*$K760,$L760*IF($G760="IKS",p_iks_cpu,p_roks_cpu)+$M760*IF($G760="IKS",p_iks_ram,p_roks_ram))*p_facteur)</f>
        <v/>
      </c>
      <c r="AD760" s="14" t="str">
        <f aca="false">IF($D760&lt;&gt;1,"",IF(AND($G760="IKS",$AI760&lt;&gt;1,OR($L760-$P760&lt;$N760,$M760-$Q760&lt;$O760)),1,0))</f>
        <v/>
      </c>
      <c r="AE760" s="14" t="str">
        <f aca="false">IF($D760&lt;&gt;1,"",IF(AND($G760="ROKS",$T760&gt;p_maxworkers),1,0))</f>
        <v/>
      </c>
      <c r="AF760" s="14" t="str">
        <f aca="false">IF($D760&lt;&gt;1,"",IF(INDEX(TblClusters[Environnement],$B760)="","(vide)",INDEX(TblClusters[Environnement],$B760)))</f>
        <v/>
      </c>
      <c r="AG760" s="14" t="str">
        <f aca="false">IF($D760&lt;&gt;1,"",$R760+p_poidsram*$S760)</f>
        <v/>
      </c>
      <c r="AH760" s="14" t="str">
        <f aca="false">IF($D760&lt;&gt;1,"",IFERROR($W760/$AG760,0))</f>
        <v/>
      </c>
      <c r="AI760" s="14" t="str">
        <f aca="false">IF($D760&lt;&gt;1,"",IF(AND($G760="IKS",ISNUMBER(INDEX(TblClusters[Fermeture retenue],$B760))),IF($E760&gt;=INDEX(TblClusters[Fermeture retenue],$B760),1,0),0))</f>
        <v/>
      </c>
    </row>
    <row r="761" customFormat="false" ht="15" hidden="false" customHeight="false" outlineLevel="0" collapsed="false">
      <c r="A761" s="14" t="n">
        <v>756</v>
      </c>
      <c r="B761" s="14" t="n">
        <f aca="false">INT(($A761-1)/36)+1</f>
        <v>21</v>
      </c>
      <c r="C761" s="14" t="n">
        <f aca="false">MOD($A761-1,36)+1</f>
        <v>36</v>
      </c>
      <c r="D761" s="14" t="n">
        <f aca="false">IF($C761&gt;p_horizon,0,IFERROR(IF(AND(INDEX(TblClusters[Cluster],$B761)&lt;&gt;"",ISNUMBER(INDEX(TblClusters[CPU initial (vCPU)],$B761)),ISNUMBER(INDEX(TblClusters[CPU min (vCPU)],$B761)),OR(INDEX(TblClusters[Plateforme],$B761)="IKS",INDEX(TblClusters[Plateforme],$B761)="ROKS")),1,0),0))</f>
        <v>0</v>
      </c>
      <c r="E761" s="83" t="str">
        <f aca="false">IF($D761=1,EDATE(p_debut,$C761-1),"")</f>
        <v/>
      </c>
      <c r="F761" s="14" t="str">
        <f aca="false">IF($D761=1,INDEX(TblClusters[Cluster],$B761),"")</f>
        <v/>
      </c>
      <c r="G761" s="14" t="str">
        <f aca="false">IF($D761=1,INDEX(TblClusters[Plateforme],$B761),"")</f>
        <v/>
      </c>
      <c r="H761" s="14" t="str">
        <f aca="false">IF($D761=1,INDEX(TblClusters[vCPU par nœud],$B761),"")</f>
        <v/>
      </c>
      <c r="I761" s="14" t="str">
        <f aca="false">IF($D761=1,INDEX(TblClusters[RAM par nœud (Go)],$B761),"")</f>
        <v/>
      </c>
      <c r="J761" s="14" t="str">
        <f aca="false">IF($D761=1,INDEX(TblClusters[Workers min],$B761),"")</f>
        <v/>
      </c>
      <c r="K761" s="84" t="str">
        <f aca="false">IF($D761=1,INDEX(TblClusters[Tarif par nœud],$B761),"")</f>
        <v/>
      </c>
      <c r="L761" s="14" t="str">
        <f aca="false">IF($D761=1,INDEX(TblClusters[CPU initial (vCPU)],$B761),"")</f>
        <v/>
      </c>
      <c r="M761" s="14" t="str">
        <f aca="false">IF($D761=1,INDEX(TblClusters[RAM initiale (Go)],$B761),"")</f>
        <v/>
      </c>
      <c r="N761" s="14" t="str">
        <f aca="false">IF($D761=1,INDEX(TblClusters[CPU min (vCPU)],$B761),"")</f>
        <v/>
      </c>
      <c r="O761" s="14" t="str">
        <f aca="false">IF($D761=1,INDEX(TblClusters[RAM min (Go)],$B761),"")</f>
        <v/>
      </c>
      <c r="P761" s="14" t="str">
        <f aca="false">IF($D761&lt;&gt;1,"",IF($G761="ROKS",SUMIFS(TblApplications[Besoin ROKS CPU (vCPU)],TblApplications[Cluster ROKS cible],$F761,TblApplications[Action],"À migrer",TblApplications[Déjà incluse ROKS],"Non",TblApplications[Mois prov (calc)],"&lt;="&amp;$E761),SUMIFS(TblApplications[CPU IKS libérable (vCPU)],TblApplications[Cluster IKS source],$F761,TblApplications[Mois lib (calc)],"&lt;="&amp;$E761)))</f>
        <v/>
      </c>
      <c r="Q761" s="14" t="str">
        <f aca="false">IF($D761&lt;&gt;1,"",IF($G761="ROKS",SUMIFS(TblApplications[Besoin ROKS RAM (Go)],TblApplications[Cluster ROKS cible],$F761,TblApplications[Action],"À migrer",TblApplications[Déjà incluse ROKS],"Non",TblApplications[Mois prov (calc)],"&lt;="&amp;$E761),SUMIFS(TblApplications[RAM IKS libérable (Go)],TblApplications[Cluster IKS source],$F761,TblApplications[Mois lib (calc)],"&lt;="&amp;$E761)))</f>
        <v/>
      </c>
      <c r="R761" s="14" t="str">
        <f aca="false">IF($D761&lt;&gt;1,"",IF($G761="ROKS",$L761+$P761,IF($AI761=1,0,MAX($N761,$L761-$P761))))</f>
        <v/>
      </c>
      <c r="S761" s="14" t="str">
        <f aca="false">IF($D761&lt;&gt;1,"",IF($G761="ROKS",$M761+$Q761,IF($AI761=1,0,MAX($O761,$M761-$Q761))))</f>
        <v/>
      </c>
      <c r="T761" s="14" t="str">
        <f aca="false">IF($D761&lt;&gt;1,"",IF($AI761=1,0,MAX($J761,ROUNDUP(MAX($R761/$H761,$S761/$I761),0))))</f>
        <v/>
      </c>
      <c r="U761" s="14" t="str">
        <f aca="false">IF($D761&lt;&gt;1,"",IF(p_mode="Nœud",$T761*$H761,$R761))</f>
        <v/>
      </c>
      <c r="V761" s="14" t="str">
        <f aca="false">IF($D761&lt;&gt;1,"",IF(p_mode="Nœud",$T761*$I761,$S761))</f>
        <v/>
      </c>
      <c r="W761" s="84" t="str">
        <f aca="false">IF($D761&lt;&gt;1,"",IF(p_mode="Nœud",$T761*$K761,$R761*IF($G761="IKS",p_iks_cpu,p_roks_cpu)+$S761*IF($G761="IKS",p_iks_ram,p_roks_ram))*p_facteur)</f>
        <v/>
      </c>
      <c r="X761" s="14" t="str">
        <f aca="false">IF($D761&lt;&gt;1,"",IF($G761="ROKS",$R761,IF($AI761=1,0,MAX($N761,$L761-SUMIFS(TblApplications[CPU IKS libérable (vCPU)],TblApplications[Cluster IKS source],$F761,TblApplications[Action],"À migrer",TblApplications[Mois prov (calc)],"&lt;="&amp;$E761)-SUMIFS(TblApplications[CPU IKS libérable (vCPU)],TblApplications[Cluster IKS source],$F761,TblApplications[Action],"À décommissionner",TblApplications[Mois lib (calc)],"&lt;="&amp;$E761)))))</f>
        <v/>
      </c>
      <c r="Y761" s="14" t="str">
        <f aca="false">IF($D761&lt;&gt;1,"",IF($G761="ROKS",$S761,IF($AI761=1,0,MAX($O761,$M761-SUMIFS(TblApplications[RAM IKS libérable (Go)],TblApplications[Cluster IKS source],$F761,TblApplications[Action],"À migrer",TblApplications[Mois prov (calc)],"&lt;="&amp;$E761)-SUMIFS(TblApplications[RAM IKS libérable (Go)],TblApplications[Cluster IKS source],$F761,TblApplications[Action],"À décommissionner",TblApplications[Mois lib (calc)],"&lt;="&amp;$E761)))))</f>
        <v/>
      </c>
      <c r="Z761" s="14" t="str">
        <f aca="false">IF($D761&lt;&gt;1,"",IF($AI761=1,0,MAX($J761,ROUNDUP(MAX($X761/$H761,$Y761/$I761),0))))</f>
        <v/>
      </c>
      <c r="AA761" s="84" t="str">
        <f aca="false">IF($D761&lt;&gt;1,"",IF(p_mode="Nœud",$Z761*$K761,$X761*IF($G761="IKS",p_iks_cpu,p_roks_cpu)+$Y761*IF($G761="IKS",p_iks_ram,p_roks_ram))*p_facteur)</f>
        <v/>
      </c>
      <c r="AB761" s="14" t="str">
        <f aca="false">IF($D761&lt;&gt;1,"",MAX($J761,ROUNDUP(MAX($L761/$H761,$M761/$I761),0)))</f>
        <v/>
      </c>
      <c r="AC761" s="84" t="str">
        <f aca="false">IF($D761&lt;&gt;1,"",IF(p_mode="Nœud",$AB761*$K761,$L761*IF($G761="IKS",p_iks_cpu,p_roks_cpu)+$M761*IF($G761="IKS",p_iks_ram,p_roks_ram))*p_facteur)</f>
        <v/>
      </c>
      <c r="AD761" s="14" t="str">
        <f aca="false">IF($D761&lt;&gt;1,"",IF(AND($G761="IKS",$AI761&lt;&gt;1,OR($L761-$P761&lt;$N761,$M761-$Q761&lt;$O761)),1,0))</f>
        <v/>
      </c>
      <c r="AE761" s="14" t="str">
        <f aca="false">IF($D761&lt;&gt;1,"",IF(AND($G761="ROKS",$T761&gt;p_maxworkers),1,0))</f>
        <v/>
      </c>
      <c r="AF761" s="14" t="str">
        <f aca="false">IF($D761&lt;&gt;1,"",IF(INDEX(TblClusters[Environnement],$B761)="","(vide)",INDEX(TblClusters[Environnement],$B761)))</f>
        <v/>
      </c>
      <c r="AG761" s="14" t="str">
        <f aca="false">IF($D761&lt;&gt;1,"",$R761+p_poidsram*$S761)</f>
        <v/>
      </c>
      <c r="AH761" s="14" t="str">
        <f aca="false">IF($D761&lt;&gt;1,"",IFERROR($W761/$AG761,0))</f>
        <v/>
      </c>
      <c r="AI761" s="14" t="str">
        <f aca="false">IF($D761&lt;&gt;1,"",IF(AND($G761="IKS",ISNUMBER(INDEX(TblClusters[Fermeture retenue],$B761))),IF($E761&gt;=INDEX(TblClusters[Fermeture retenue],$B761),1,0),0))</f>
        <v/>
      </c>
    </row>
    <row r="762" customFormat="false" ht="15" hidden="false" customHeight="false" outlineLevel="0" collapsed="false">
      <c r="A762" s="14" t="n">
        <v>757</v>
      </c>
      <c r="B762" s="14" t="n">
        <f aca="false">INT(($A762-1)/36)+1</f>
        <v>22</v>
      </c>
      <c r="C762" s="14" t="n">
        <f aca="false">MOD($A762-1,36)+1</f>
        <v>1</v>
      </c>
      <c r="D762" s="14" t="n">
        <f aca="false">IF($C762&gt;p_horizon,0,IFERROR(IF(AND(INDEX(TblClusters[Cluster],$B762)&lt;&gt;"",ISNUMBER(INDEX(TblClusters[CPU initial (vCPU)],$B762)),ISNUMBER(INDEX(TblClusters[CPU min (vCPU)],$B762)),OR(INDEX(TblClusters[Plateforme],$B762)="IKS",INDEX(TblClusters[Plateforme],$B762)="ROKS")),1,0),0))</f>
        <v>0</v>
      </c>
      <c r="E762" s="83" t="str">
        <f aca="false">IF($D762=1,EDATE(p_debut,$C762-1),"")</f>
        <v/>
      </c>
      <c r="F762" s="14" t="str">
        <f aca="false">IF($D762=1,INDEX(TblClusters[Cluster],$B762),"")</f>
        <v/>
      </c>
      <c r="G762" s="14" t="str">
        <f aca="false">IF($D762=1,INDEX(TblClusters[Plateforme],$B762),"")</f>
        <v/>
      </c>
      <c r="H762" s="14" t="str">
        <f aca="false">IF($D762=1,INDEX(TblClusters[vCPU par nœud],$B762),"")</f>
        <v/>
      </c>
      <c r="I762" s="14" t="str">
        <f aca="false">IF($D762=1,INDEX(TblClusters[RAM par nœud (Go)],$B762),"")</f>
        <v/>
      </c>
      <c r="J762" s="14" t="str">
        <f aca="false">IF($D762=1,INDEX(TblClusters[Workers min],$B762),"")</f>
        <v/>
      </c>
      <c r="K762" s="84" t="str">
        <f aca="false">IF($D762=1,INDEX(TblClusters[Tarif par nœud],$B762),"")</f>
        <v/>
      </c>
      <c r="L762" s="14" t="str">
        <f aca="false">IF($D762=1,INDEX(TblClusters[CPU initial (vCPU)],$B762),"")</f>
        <v/>
      </c>
      <c r="M762" s="14" t="str">
        <f aca="false">IF($D762=1,INDEX(TblClusters[RAM initiale (Go)],$B762),"")</f>
        <v/>
      </c>
      <c r="N762" s="14" t="str">
        <f aca="false">IF($D762=1,INDEX(TblClusters[CPU min (vCPU)],$B762),"")</f>
        <v/>
      </c>
      <c r="O762" s="14" t="str">
        <f aca="false">IF($D762=1,INDEX(TblClusters[RAM min (Go)],$B762),"")</f>
        <v/>
      </c>
      <c r="P762" s="14" t="str">
        <f aca="false">IF($D762&lt;&gt;1,"",IF($G762="ROKS",SUMIFS(TblApplications[Besoin ROKS CPU (vCPU)],TblApplications[Cluster ROKS cible],$F762,TblApplications[Action],"À migrer",TblApplications[Déjà incluse ROKS],"Non",TblApplications[Mois prov (calc)],"&lt;="&amp;$E762),SUMIFS(TblApplications[CPU IKS libérable (vCPU)],TblApplications[Cluster IKS source],$F762,TblApplications[Mois lib (calc)],"&lt;="&amp;$E762)))</f>
        <v/>
      </c>
      <c r="Q762" s="14" t="str">
        <f aca="false">IF($D762&lt;&gt;1,"",IF($G762="ROKS",SUMIFS(TblApplications[Besoin ROKS RAM (Go)],TblApplications[Cluster ROKS cible],$F762,TblApplications[Action],"À migrer",TblApplications[Déjà incluse ROKS],"Non",TblApplications[Mois prov (calc)],"&lt;="&amp;$E762),SUMIFS(TblApplications[RAM IKS libérable (Go)],TblApplications[Cluster IKS source],$F762,TblApplications[Mois lib (calc)],"&lt;="&amp;$E762)))</f>
        <v/>
      </c>
      <c r="R762" s="14" t="str">
        <f aca="false">IF($D762&lt;&gt;1,"",IF($G762="ROKS",$L762+$P762,IF($AI762=1,0,MAX($N762,$L762-$P762))))</f>
        <v/>
      </c>
      <c r="S762" s="14" t="str">
        <f aca="false">IF($D762&lt;&gt;1,"",IF($G762="ROKS",$M762+$Q762,IF($AI762=1,0,MAX($O762,$M762-$Q762))))</f>
        <v/>
      </c>
      <c r="T762" s="14" t="str">
        <f aca="false">IF($D762&lt;&gt;1,"",IF($AI762=1,0,MAX($J762,ROUNDUP(MAX($R762/$H762,$S762/$I762),0))))</f>
        <v/>
      </c>
      <c r="U762" s="14" t="str">
        <f aca="false">IF($D762&lt;&gt;1,"",IF(p_mode="Nœud",$T762*$H762,$R762))</f>
        <v/>
      </c>
      <c r="V762" s="14" t="str">
        <f aca="false">IF($D762&lt;&gt;1,"",IF(p_mode="Nœud",$T762*$I762,$S762))</f>
        <v/>
      </c>
      <c r="W762" s="84" t="str">
        <f aca="false">IF($D762&lt;&gt;1,"",IF(p_mode="Nœud",$T762*$K762,$R762*IF($G762="IKS",p_iks_cpu,p_roks_cpu)+$S762*IF($G762="IKS",p_iks_ram,p_roks_ram))*p_facteur)</f>
        <v/>
      </c>
      <c r="X762" s="14" t="str">
        <f aca="false">IF($D762&lt;&gt;1,"",IF($G762="ROKS",$R762,IF($AI762=1,0,MAX($N762,$L762-SUMIFS(TblApplications[CPU IKS libérable (vCPU)],TblApplications[Cluster IKS source],$F762,TblApplications[Action],"À migrer",TblApplications[Mois prov (calc)],"&lt;="&amp;$E762)-SUMIFS(TblApplications[CPU IKS libérable (vCPU)],TblApplications[Cluster IKS source],$F762,TblApplications[Action],"À décommissionner",TblApplications[Mois lib (calc)],"&lt;="&amp;$E762)))))</f>
        <v/>
      </c>
      <c r="Y762" s="14" t="str">
        <f aca="false">IF($D762&lt;&gt;1,"",IF($G762="ROKS",$S762,IF($AI762=1,0,MAX($O762,$M762-SUMIFS(TblApplications[RAM IKS libérable (Go)],TblApplications[Cluster IKS source],$F762,TblApplications[Action],"À migrer",TblApplications[Mois prov (calc)],"&lt;="&amp;$E762)-SUMIFS(TblApplications[RAM IKS libérable (Go)],TblApplications[Cluster IKS source],$F762,TblApplications[Action],"À décommissionner",TblApplications[Mois lib (calc)],"&lt;="&amp;$E762)))))</f>
        <v/>
      </c>
      <c r="Z762" s="14" t="str">
        <f aca="false">IF($D762&lt;&gt;1,"",IF($AI762=1,0,MAX($J762,ROUNDUP(MAX($X762/$H762,$Y762/$I762),0))))</f>
        <v/>
      </c>
      <c r="AA762" s="84" t="str">
        <f aca="false">IF($D762&lt;&gt;1,"",IF(p_mode="Nœud",$Z762*$K762,$X762*IF($G762="IKS",p_iks_cpu,p_roks_cpu)+$Y762*IF($G762="IKS",p_iks_ram,p_roks_ram))*p_facteur)</f>
        <v/>
      </c>
      <c r="AB762" s="14" t="str">
        <f aca="false">IF($D762&lt;&gt;1,"",MAX($J762,ROUNDUP(MAX($L762/$H762,$M762/$I762),0)))</f>
        <v/>
      </c>
      <c r="AC762" s="84" t="str">
        <f aca="false">IF($D762&lt;&gt;1,"",IF(p_mode="Nœud",$AB762*$K762,$L762*IF($G762="IKS",p_iks_cpu,p_roks_cpu)+$M762*IF($G762="IKS",p_iks_ram,p_roks_ram))*p_facteur)</f>
        <v/>
      </c>
      <c r="AD762" s="14" t="str">
        <f aca="false">IF($D762&lt;&gt;1,"",IF(AND($G762="IKS",$AI762&lt;&gt;1,OR($L762-$P762&lt;$N762,$M762-$Q762&lt;$O762)),1,0))</f>
        <v/>
      </c>
      <c r="AE762" s="14" t="str">
        <f aca="false">IF($D762&lt;&gt;1,"",IF(AND($G762="ROKS",$T762&gt;p_maxworkers),1,0))</f>
        <v/>
      </c>
      <c r="AF762" s="14" t="str">
        <f aca="false">IF($D762&lt;&gt;1,"",IF(INDEX(TblClusters[Environnement],$B762)="","(vide)",INDEX(TblClusters[Environnement],$B762)))</f>
        <v/>
      </c>
      <c r="AG762" s="14" t="str">
        <f aca="false">IF($D762&lt;&gt;1,"",$R762+p_poidsram*$S762)</f>
        <v/>
      </c>
      <c r="AH762" s="14" t="str">
        <f aca="false">IF($D762&lt;&gt;1,"",IFERROR($W762/$AG762,0))</f>
        <v/>
      </c>
      <c r="AI762" s="14" t="str">
        <f aca="false">IF($D762&lt;&gt;1,"",IF(AND($G762="IKS",ISNUMBER(INDEX(TblClusters[Fermeture retenue],$B762))),IF($E762&gt;=INDEX(TblClusters[Fermeture retenue],$B762),1,0),0))</f>
        <v/>
      </c>
    </row>
    <row r="763" customFormat="false" ht="15" hidden="false" customHeight="false" outlineLevel="0" collapsed="false">
      <c r="A763" s="14" t="n">
        <v>758</v>
      </c>
      <c r="B763" s="14" t="n">
        <f aca="false">INT(($A763-1)/36)+1</f>
        <v>22</v>
      </c>
      <c r="C763" s="14" t="n">
        <f aca="false">MOD($A763-1,36)+1</f>
        <v>2</v>
      </c>
      <c r="D763" s="14" t="n">
        <f aca="false">IF($C763&gt;p_horizon,0,IFERROR(IF(AND(INDEX(TblClusters[Cluster],$B763)&lt;&gt;"",ISNUMBER(INDEX(TblClusters[CPU initial (vCPU)],$B763)),ISNUMBER(INDEX(TblClusters[CPU min (vCPU)],$B763)),OR(INDEX(TblClusters[Plateforme],$B763)="IKS",INDEX(TblClusters[Plateforme],$B763)="ROKS")),1,0),0))</f>
        <v>0</v>
      </c>
      <c r="E763" s="83" t="str">
        <f aca="false">IF($D763=1,EDATE(p_debut,$C763-1),"")</f>
        <v/>
      </c>
      <c r="F763" s="14" t="str">
        <f aca="false">IF($D763=1,INDEX(TblClusters[Cluster],$B763),"")</f>
        <v/>
      </c>
      <c r="G763" s="14" t="str">
        <f aca="false">IF($D763=1,INDEX(TblClusters[Plateforme],$B763),"")</f>
        <v/>
      </c>
      <c r="H763" s="14" t="str">
        <f aca="false">IF($D763=1,INDEX(TblClusters[vCPU par nœud],$B763),"")</f>
        <v/>
      </c>
      <c r="I763" s="14" t="str">
        <f aca="false">IF($D763=1,INDEX(TblClusters[RAM par nœud (Go)],$B763),"")</f>
        <v/>
      </c>
      <c r="J763" s="14" t="str">
        <f aca="false">IF($D763=1,INDEX(TblClusters[Workers min],$B763),"")</f>
        <v/>
      </c>
      <c r="K763" s="84" t="str">
        <f aca="false">IF($D763=1,INDEX(TblClusters[Tarif par nœud],$B763),"")</f>
        <v/>
      </c>
      <c r="L763" s="14" t="str">
        <f aca="false">IF($D763=1,INDEX(TblClusters[CPU initial (vCPU)],$B763),"")</f>
        <v/>
      </c>
      <c r="M763" s="14" t="str">
        <f aca="false">IF($D763=1,INDEX(TblClusters[RAM initiale (Go)],$B763),"")</f>
        <v/>
      </c>
      <c r="N763" s="14" t="str">
        <f aca="false">IF($D763=1,INDEX(TblClusters[CPU min (vCPU)],$B763),"")</f>
        <v/>
      </c>
      <c r="O763" s="14" t="str">
        <f aca="false">IF($D763=1,INDEX(TblClusters[RAM min (Go)],$B763),"")</f>
        <v/>
      </c>
      <c r="P763" s="14" t="str">
        <f aca="false">IF($D763&lt;&gt;1,"",IF($G763="ROKS",SUMIFS(TblApplications[Besoin ROKS CPU (vCPU)],TblApplications[Cluster ROKS cible],$F763,TblApplications[Action],"À migrer",TblApplications[Déjà incluse ROKS],"Non",TblApplications[Mois prov (calc)],"&lt;="&amp;$E763),SUMIFS(TblApplications[CPU IKS libérable (vCPU)],TblApplications[Cluster IKS source],$F763,TblApplications[Mois lib (calc)],"&lt;="&amp;$E763)))</f>
        <v/>
      </c>
      <c r="Q763" s="14" t="str">
        <f aca="false">IF($D763&lt;&gt;1,"",IF($G763="ROKS",SUMIFS(TblApplications[Besoin ROKS RAM (Go)],TblApplications[Cluster ROKS cible],$F763,TblApplications[Action],"À migrer",TblApplications[Déjà incluse ROKS],"Non",TblApplications[Mois prov (calc)],"&lt;="&amp;$E763),SUMIFS(TblApplications[RAM IKS libérable (Go)],TblApplications[Cluster IKS source],$F763,TblApplications[Mois lib (calc)],"&lt;="&amp;$E763)))</f>
        <v/>
      </c>
      <c r="R763" s="14" t="str">
        <f aca="false">IF($D763&lt;&gt;1,"",IF($G763="ROKS",$L763+$P763,IF($AI763=1,0,MAX($N763,$L763-$P763))))</f>
        <v/>
      </c>
      <c r="S763" s="14" t="str">
        <f aca="false">IF($D763&lt;&gt;1,"",IF($G763="ROKS",$M763+$Q763,IF($AI763=1,0,MAX($O763,$M763-$Q763))))</f>
        <v/>
      </c>
      <c r="T763" s="14" t="str">
        <f aca="false">IF($D763&lt;&gt;1,"",IF($AI763=1,0,MAX($J763,ROUNDUP(MAX($R763/$H763,$S763/$I763),0))))</f>
        <v/>
      </c>
      <c r="U763" s="14" t="str">
        <f aca="false">IF($D763&lt;&gt;1,"",IF(p_mode="Nœud",$T763*$H763,$R763))</f>
        <v/>
      </c>
      <c r="V763" s="14" t="str">
        <f aca="false">IF($D763&lt;&gt;1,"",IF(p_mode="Nœud",$T763*$I763,$S763))</f>
        <v/>
      </c>
      <c r="W763" s="84" t="str">
        <f aca="false">IF($D763&lt;&gt;1,"",IF(p_mode="Nœud",$T763*$K763,$R763*IF($G763="IKS",p_iks_cpu,p_roks_cpu)+$S763*IF($G763="IKS",p_iks_ram,p_roks_ram))*p_facteur)</f>
        <v/>
      </c>
      <c r="X763" s="14" t="str">
        <f aca="false">IF($D763&lt;&gt;1,"",IF($G763="ROKS",$R763,IF($AI763=1,0,MAX($N763,$L763-SUMIFS(TblApplications[CPU IKS libérable (vCPU)],TblApplications[Cluster IKS source],$F763,TblApplications[Action],"À migrer",TblApplications[Mois prov (calc)],"&lt;="&amp;$E763)-SUMIFS(TblApplications[CPU IKS libérable (vCPU)],TblApplications[Cluster IKS source],$F763,TblApplications[Action],"À décommissionner",TblApplications[Mois lib (calc)],"&lt;="&amp;$E763)))))</f>
        <v/>
      </c>
      <c r="Y763" s="14" t="str">
        <f aca="false">IF($D763&lt;&gt;1,"",IF($G763="ROKS",$S763,IF($AI763=1,0,MAX($O763,$M763-SUMIFS(TblApplications[RAM IKS libérable (Go)],TblApplications[Cluster IKS source],$F763,TblApplications[Action],"À migrer",TblApplications[Mois prov (calc)],"&lt;="&amp;$E763)-SUMIFS(TblApplications[RAM IKS libérable (Go)],TblApplications[Cluster IKS source],$F763,TblApplications[Action],"À décommissionner",TblApplications[Mois lib (calc)],"&lt;="&amp;$E763)))))</f>
        <v/>
      </c>
      <c r="Z763" s="14" t="str">
        <f aca="false">IF($D763&lt;&gt;1,"",IF($AI763=1,0,MAX($J763,ROUNDUP(MAX($X763/$H763,$Y763/$I763),0))))</f>
        <v/>
      </c>
      <c r="AA763" s="84" t="str">
        <f aca="false">IF($D763&lt;&gt;1,"",IF(p_mode="Nœud",$Z763*$K763,$X763*IF($G763="IKS",p_iks_cpu,p_roks_cpu)+$Y763*IF($G763="IKS",p_iks_ram,p_roks_ram))*p_facteur)</f>
        <v/>
      </c>
      <c r="AB763" s="14" t="str">
        <f aca="false">IF($D763&lt;&gt;1,"",MAX($J763,ROUNDUP(MAX($L763/$H763,$M763/$I763),0)))</f>
        <v/>
      </c>
      <c r="AC763" s="84" t="str">
        <f aca="false">IF($D763&lt;&gt;1,"",IF(p_mode="Nœud",$AB763*$K763,$L763*IF($G763="IKS",p_iks_cpu,p_roks_cpu)+$M763*IF($G763="IKS",p_iks_ram,p_roks_ram))*p_facteur)</f>
        <v/>
      </c>
      <c r="AD763" s="14" t="str">
        <f aca="false">IF($D763&lt;&gt;1,"",IF(AND($G763="IKS",$AI763&lt;&gt;1,OR($L763-$P763&lt;$N763,$M763-$Q763&lt;$O763)),1,0))</f>
        <v/>
      </c>
      <c r="AE763" s="14" t="str">
        <f aca="false">IF($D763&lt;&gt;1,"",IF(AND($G763="ROKS",$T763&gt;p_maxworkers),1,0))</f>
        <v/>
      </c>
      <c r="AF763" s="14" t="str">
        <f aca="false">IF($D763&lt;&gt;1,"",IF(INDEX(TblClusters[Environnement],$B763)="","(vide)",INDEX(TblClusters[Environnement],$B763)))</f>
        <v/>
      </c>
      <c r="AG763" s="14" t="str">
        <f aca="false">IF($D763&lt;&gt;1,"",$R763+p_poidsram*$S763)</f>
        <v/>
      </c>
      <c r="AH763" s="14" t="str">
        <f aca="false">IF($D763&lt;&gt;1,"",IFERROR($W763/$AG763,0))</f>
        <v/>
      </c>
      <c r="AI763" s="14" t="str">
        <f aca="false">IF($D763&lt;&gt;1,"",IF(AND($G763="IKS",ISNUMBER(INDEX(TblClusters[Fermeture retenue],$B763))),IF($E763&gt;=INDEX(TblClusters[Fermeture retenue],$B763),1,0),0))</f>
        <v/>
      </c>
    </row>
    <row r="764" customFormat="false" ht="15" hidden="false" customHeight="false" outlineLevel="0" collapsed="false">
      <c r="A764" s="14" t="n">
        <v>759</v>
      </c>
      <c r="B764" s="14" t="n">
        <f aca="false">INT(($A764-1)/36)+1</f>
        <v>22</v>
      </c>
      <c r="C764" s="14" t="n">
        <f aca="false">MOD($A764-1,36)+1</f>
        <v>3</v>
      </c>
      <c r="D764" s="14" t="n">
        <f aca="false">IF($C764&gt;p_horizon,0,IFERROR(IF(AND(INDEX(TblClusters[Cluster],$B764)&lt;&gt;"",ISNUMBER(INDEX(TblClusters[CPU initial (vCPU)],$B764)),ISNUMBER(INDEX(TblClusters[CPU min (vCPU)],$B764)),OR(INDEX(TblClusters[Plateforme],$B764)="IKS",INDEX(TblClusters[Plateforme],$B764)="ROKS")),1,0),0))</f>
        <v>0</v>
      </c>
      <c r="E764" s="83" t="str">
        <f aca="false">IF($D764=1,EDATE(p_debut,$C764-1),"")</f>
        <v/>
      </c>
      <c r="F764" s="14" t="str">
        <f aca="false">IF($D764=1,INDEX(TblClusters[Cluster],$B764),"")</f>
        <v/>
      </c>
      <c r="G764" s="14" t="str">
        <f aca="false">IF($D764=1,INDEX(TblClusters[Plateforme],$B764),"")</f>
        <v/>
      </c>
      <c r="H764" s="14" t="str">
        <f aca="false">IF($D764=1,INDEX(TblClusters[vCPU par nœud],$B764),"")</f>
        <v/>
      </c>
      <c r="I764" s="14" t="str">
        <f aca="false">IF($D764=1,INDEX(TblClusters[RAM par nœud (Go)],$B764),"")</f>
        <v/>
      </c>
      <c r="J764" s="14" t="str">
        <f aca="false">IF($D764=1,INDEX(TblClusters[Workers min],$B764),"")</f>
        <v/>
      </c>
      <c r="K764" s="84" t="str">
        <f aca="false">IF($D764=1,INDEX(TblClusters[Tarif par nœud],$B764),"")</f>
        <v/>
      </c>
      <c r="L764" s="14" t="str">
        <f aca="false">IF($D764=1,INDEX(TblClusters[CPU initial (vCPU)],$B764),"")</f>
        <v/>
      </c>
      <c r="M764" s="14" t="str">
        <f aca="false">IF($D764=1,INDEX(TblClusters[RAM initiale (Go)],$B764),"")</f>
        <v/>
      </c>
      <c r="N764" s="14" t="str">
        <f aca="false">IF($D764=1,INDEX(TblClusters[CPU min (vCPU)],$B764),"")</f>
        <v/>
      </c>
      <c r="O764" s="14" t="str">
        <f aca="false">IF($D764=1,INDEX(TblClusters[RAM min (Go)],$B764),"")</f>
        <v/>
      </c>
      <c r="P764" s="14" t="str">
        <f aca="false">IF($D764&lt;&gt;1,"",IF($G764="ROKS",SUMIFS(TblApplications[Besoin ROKS CPU (vCPU)],TblApplications[Cluster ROKS cible],$F764,TblApplications[Action],"À migrer",TblApplications[Déjà incluse ROKS],"Non",TblApplications[Mois prov (calc)],"&lt;="&amp;$E764),SUMIFS(TblApplications[CPU IKS libérable (vCPU)],TblApplications[Cluster IKS source],$F764,TblApplications[Mois lib (calc)],"&lt;="&amp;$E764)))</f>
        <v/>
      </c>
      <c r="Q764" s="14" t="str">
        <f aca="false">IF($D764&lt;&gt;1,"",IF($G764="ROKS",SUMIFS(TblApplications[Besoin ROKS RAM (Go)],TblApplications[Cluster ROKS cible],$F764,TblApplications[Action],"À migrer",TblApplications[Déjà incluse ROKS],"Non",TblApplications[Mois prov (calc)],"&lt;="&amp;$E764),SUMIFS(TblApplications[RAM IKS libérable (Go)],TblApplications[Cluster IKS source],$F764,TblApplications[Mois lib (calc)],"&lt;="&amp;$E764)))</f>
        <v/>
      </c>
      <c r="R764" s="14" t="str">
        <f aca="false">IF($D764&lt;&gt;1,"",IF($G764="ROKS",$L764+$P764,IF($AI764=1,0,MAX($N764,$L764-$P764))))</f>
        <v/>
      </c>
      <c r="S764" s="14" t="str">
        <f aca="false">IF($D764&lt;&gt;1,"",IF($G764="ROKS",$M764+$Q764,IF($AI764=1,0,MAX($O764,$M764-$Q764))))</f>
        <v/>
      </c>
      <c r="T764" s="14" t="str">
        <f aca="false">IF($D764&lt;&gt;1,"",IF($AI764=1,0,MAX($J764,ROUNDUP(MAX($R764/$H764,$S764/$I764),0))))</f>
        <v/>
      </c>
      <c r="U764" s="14" t="str">
        <f aca="false">IF($D764&lt;&gt;1,"",IF(p_mode="Nœud",$T764*$H764,$R764))</f>
        <v/>
      </c>
      <c r="V764" s="14" t="str">
        <f aca="false">IF($D764&lt;&gt;1,"",IF(p_mode="Nœud",$T764*$I764,$S764))</f>
        <v/>
      </c>
      <c r="W764" s="84" t="str">
        <f aca="false">IF($D764&lt;&gt;1,"",IF(p_mode="Nœud",$T764*$K764,$R764*IF($G764="IKS",p_iks_cpu,p_roks_cpu)+$S764*IF($G764="IKS",p_iks_ram,p_roks_ram))*p_facteur)</f>
        <v/>
      </c>
      <c r="X764" s="14" t="str">
        <f aca="false">IF($D764&lt;&gt;1,"",IF($G764="ROKS",$R764,IF($AI764=1,0,MAX($N764,$L764-SUMIFS(TblApplications[CPU IKS libérable (vCPU)],TblApplications[Cluster IKS source],$F764,TblApplications[Action],"À migrer",TblApplications[Mois prov (calc)],"&lt;="&amp;$E764)-SUMIFS(TblApplications[CPU IKS libérable (vCPU)],TblApplications[Cluster IKS source],$F764,TblApplications[Action],"À décommissionner",TblApplications[Mois lib (calc)],"&lt;="&amp;$E764)))))</f>
        <v/>
      </c>
      <c r="Y764" s="14" t="str">
        <f aca="false">IF($D764&lt;&gt;1,"",IF($G764="ROKS",$S764,IF($AI764=1,0,MAX($O764,$M764-SUMIFS(TblApplications[RAM IKS libérable (Go)],TblApplications[Cluster IKS source],$F764,TblApplications[Action],"À migrer",TblApplications[Mois prov (calc)],"&lt;="&amp;$E764)-SUMIFS(TblApplications[RAM IKS libérable (Go)],TblApplications[Cluster IKS source],$F764,TblApplications[Action],"À décommissionner",TblApplications[Mois lib (calc)],"&lt;="&amp;$E764)))))</f>
        <v/>
      </c>
      <c r="Z764" s="14" t="str">
        <f aca="false">IF($D764&lt;&gt;1,"",IF($AI764=1,0,MAX($J764,ROUNDUP(MAX($X764/$H764,$Y764/$I764),0))))</f>
        <v/>
      </c>
      <c r="AA764" s="84" t="str">
        <f aca="false">IF($D764&lt;&gt;1,"",IF(p_mode="Nœud",$Z764*$K764,$X764*IF($G764="IKS",p_iks_cpu,p_roks_cpu)+$Y764*IF($G764="IKS",p_iks_ram,p_roks_ram))*p_facteur)</f>
        <v/>
      </c>
      <c r="AB764" s="14" t="str">
        <f aca="false">IF($D764&lt;&gt;1,"",MAX($J764,ROUNDUP(MAX($L764/$H764,$M764/$I764),0)))</f>
        <v/>
      </c>
      <c r="AC764" s="84" t="str">
        <f aca="false">IF($D764&lt;&gt;1,"",IF(p_mode="Nœud",$AB764*$K764,$L764*IF($G764="IKS",p_iks_cpu,p_roks_cpu)+$M764*IF($G764="IKS",p_iks_ram,p_roks_ram))*p_facteur)</f>
        <v/>
      </c>
      <c r="AD764" s="14" t="str">
        <f aca="false">IF($D764&lt;&gt;1,"",IF(AND($G764="IKS",$AI764&lt;&gt;1,OR($L764-$P764&lt;$N764,$M764-$Q764&lt;$O764)),1,0))</f>
        <v/>
      </c>
      <c r="AE764" s="14" t="str">
        <f aca="false">IF($D764&lt;&gt;1,"",IF(AND($G764="ROKS",$T764&gt;p_maxworkers),1,0))</f>
        <v/>
      </c>
      <c r="AF764" s="14" t="str">
        <f aca="false">IF($D764&lt;&gt;1,"",IF(INDEX(TblClusters[Environnement],$B764)="","(vide)",INDEX(TblClusters[Environnement],$B764)))</f>
        <v/>
      </c>
      <c r="AG764" s="14" t="str">
        <f aca="false">IF($D764&lt;&gt;1,"",$R764+p_poidsram*$S764)</f>
        <v/>
      </c>
      <c r="AH764" s="14" t="str">
        <f aca="false">IF($D764&lt;&gt;1,"",IFERROR($W764/$AG764,0))</f>
        <v/>
      </c>
      <c r="AI764" s="14" t="str">
        <f aca="false">IF($D764&lt;&gt;1,"",IF(AND($G764="IKS",ISNUMBER(INDEX(TblClusters[Fermeture retenue],$B764))),IF($E764&gt;=INDEX(TblClusters[Fermeture retenue],$B764),1,0),0))</f>
        <v/>
      </c>
    </row>
    <row r="765" customFormat="false" ht="15" hidden="false" customHeight="false" outlineLevel="0" collapsed="false">
      <c r="A765" s="14" t="n">
        <v>760</v>
      </c>
      <c r="B765" s="14" t="n">
        <f aca="false">INT(($A765-1)/36)+1</f>
        <v>22</v>
      </c>
      <c r="C765" s="14" t="n">
        <f aca="false">MOD($A765-1,36)+1</f>
        <v>4</v>
      </c>
      <c r="D765" s="14" t="n">
        <f aca="false">IF($C765&gt;p_horizon,0,IFERROR(IF(AND(INDEX(TblClusters[Cluster],$B765)&lt;&gt;"",ISNUMBER(INDEX(TblClusters[CPU initial (vCPU)],$B765)),ISNUMBER(INDEX(TblClusters[CPU min (vCPU)],$B765)),OR(INDEX(TblClusters[Plateforme],$B765)="IKS",INDEX(TblClusters[Plateforme],$B765)="ROKS")),1,0),0))</f>
        <v>0</v>
      </c>
      <c r="E765" s="83" t="str">
        <f aca="false">IF($D765=1,EDATE(p_debut,$C765-1),"")</f>
        <v/>
      </c>
      <c r="F765" s="14" t="str">
        <f aca="false">IF($D765=1,INDEX(TblClusters[Cluster],$B765),"")</f>
        <v/>
      </c>
      <c r="G765" s="14" t="str">
        <f aca="false">IF($D765=1,INDEX(TblClusters[Plateforme],$B765),"")</f>
        <v/>
      </c>
      <c r="H765" s="14" t="str">
        <f aca="false">IF($D765=1,INDEX(TblClusters[vCPU par nœud],$B765),"")</f>
        <v/>
      </c>
      <c r="I765" s="14" t="str">
        <f aca="false">IF($D765=1,INDEX(TblClusters[RAM par nœud (Go)],$B765),"")</f>
        <v/>
      </c>
      <c r="J765" s="14" t="str">
        <f aca="false">IF($D765=1,INDEX(TblClusters[Workers min],$B765),"")</f>
        <v/>
      </c>
      <c r="K765" s="84" t="str">
        <f aca="false">IF($D765=1,INDEX(TblClusters[Tarif par nœud],$B765),"")</f>
        <v/>
      </c>
      <c r="L765" s="14" t="str">
        <f aca="false">IF($D765=1,INDEX(TblClusters[CPU initial (vCPU)],$B765),"")</f>
        <v/>
      </c>
      <c r="M765" s="14" t="str">
        <f aca="false">IF($D765=1,INDEX(TblClusters[RAM initiale (Go)],$B765),"")</f>
        <v/>
      </c>
      <c r="N765" s="14" t="str">
        <f aca="false">IF($D765=1,INDEX(TblClusters[CPU min (vCPU)],$B765),"")</f>
        <v/>
      </c>
      <c r="O765" s="14" t="str">
        <f aca="false">IF($D765=1,INDEX(TblClusters[RAM min (Go)],$B765),"")</f>
        <v/>
      </c>
      <c r="P765" s="14" t="str">
        <f aca="false">IF($D765&lt;&gt;1,"",IF($G765="ROKS",SUMIFS(TblApplications[Besoin ROKS CPU (vCPU)],TblApplications[Cluster ROKS cible],$F765,TblApplications[Action],"À migrer",TblApplications[Déjà incluse ROKS],"Non",TblApplications[Mois prov (calc)],"&lt;="&amp;$E765),SUMIFS(TblApplications[CPU IKS libérable (vCPU)],TblApplications[Cluster IKS source],$F765,TblApplications[Mois lib (calc)],"&lt;="&amp;$E765)))</f>
        <v/>
      </c>
      <c r="Q765" s="14" t="str">
        <f aca="false">IF($D765&lt;&gt;1,"",IF($G765="ROKS",SUMIFS(TblApplications[Besoin ROKS RAM (Go)],TblApplications[Cluster ROKS cible],$F765,TblApplications[Action],"À migrer",TblApplications[Déjà incluse ROKS],"Non",TblApplications[Mois prov (calc)],"&lt;="&amp;$E765),SUMIFS(TblApplications[RAM IKS libérable (Go)],TblApplications[Cluster IKS source],$F765,TblApplications[Mois lib (calc)],"&lt;="&amp;$E765)))</f>
        <v/>
      </c>
      <c r="R765" s="14" t="str">
        <f aca="false">IF($D765&lt;&gt;1,"",IF($G765="ROKS",$L765+$P765,IF($AI765=1,0,MAX($N765,$L765-$P765))))</f>
        <v/>
      </c>
      <c r="S765" s="14" t="str">
        <f aca="false">IF($D765&lt;&gt;1,"",IF($G765="ROKS",$M765+$Q765,IF($AI765=1,0,MAX($O765,$M765-$Q765))))</f>
        <v/>
      </c>
      <c r="T765" s="14" t="str">
        <f aca="false">IF($D765&lt;&gt;1,"",IF($AI765=1,0,MAX($J765,ROUNDUP(MAX($R765/$H765,$S765/$I765),0))))</f>
        <v/>
      </c>
      <c r="U765" s="14" t="str">
        <f aca="false">IF($D765&lt;&gt;1,"",IF(p_mode="Nœud",$T765*$H765,$R765))</f>
        <v/>
      </c>
      <c r="V765" s="14" t="str">
        <f aca="false">IF($D765&lt;&gt;1,"",IF(p_mode="Nœud",$T765*$I765,$S765))</f>
        <v/>
      </c>
      <c r="W765" s="84" t="str">
        <f aca="false">IF($D765&lt;&gt;1,"",IF(p_mode="Nœud",$T765*$K765,$R765*IF($G765="IKS",p_iks_cpu,p_roks_cpu)+$S765*IF($G765="IKS",p_iks_ram,p_roks_ram))*p_facteur)</f>
        <v/>
      </c>
      <c r="X765" s="14" t="str">
        <f aca="false">IF($D765&lt;&gt;1,"",IF($G765="ROKS",$R765,IF($AI765=1,0,MAX($N765,$L765-SUMIFS(TblApplications[CPU IKS libérable (vCPU)],TblApplications[Cluster IKS source],$F765,TblApplications[Action],"À migrer",TblApplications[Mois prov (calc)],"&lt;="&amp;$E765)-SUMIFS(TblApplications[CPU IKS libérable (vCPU)],TblApplications[Cluster IKS source],$F765,TblApplications[Action],"À décommissionner",TblApplications[Mois lib (calc)],"&lt;="&amp;$E765)))))</f>
        <v/>
      </c>
      <c r="Y765" s="14" t="str">
        <f aca="false">IF($D765&lt;&gt;1,"",IF($G765="ROKS",$S765,IF($AI765=1,0,MAX($O765,$M765-SUMIFS(TblApplications[RAM IKS libérable (Go)],TblApplications[Cluster IKS source],$F765,TblApplications[Action],"À migrer",TblApplications[Mois prov (calc)],"&lt;="&amp;$E765)-SUMIFS(TblApplications[RAM IKS libérable (Go)],TblApplications[Cluster IKS source],$F765,TblApplications[Action],"À décommissionner",TblApplications[Mois lib (calc)],"&lt;="&amp;$E765)))))</f>
        <v/>
      </c>
      <c r="Z765" s="14" t="str">
        <f aca="false">IF($D765&lt;&gt;1,"",IF($AI765=1,0,MAX($J765,ROUNDUP(MAX($X765/$H765,$Y765/$I765),0))))</f>
        <v/>
      </c>
      <c r="AA765" s="84" t="str">
        <f aca="false">IF($D765&lt;&gt;1,"",IF(p_mode="Nœud",$Z765*$K765,$X765*IF($G765="IKS",p_iks_cpu,p_roks_cpu)+$Y765*IF($G765="IKS",p_iks_ram,p_roks_ram))*p_facteur)</f>
        <v/>
      </c>
      <c r="AB765" s="14" t="str">
        <f aca="false">IF($D765&lt;&gt;1,"",MAX($J765,ROUNDUP(MAX($L765/$H765,$M765/$I765),0)))</f>
        <v/>
      </c>
      <c r="AC765" s="84" t="str">
        <f aca="false">IF($D765&lt;&gt;1,"",IF(p_mode="Nœud",$AB765*$K765,$L765*IF($G765="IKS",p_iks_cpu,p_roks_cpu)+$M765*IF($G765="IKS",p_iks_ram,p_roks_ram))*p_facteur)</f>
        <v/>
      </c>
      <c r="AD765" s="14" t="str">
        <f aca="false">IF($D765&lt;&gt;1,"",IF(AND($G765="IKS",$AI765&lt;&gt;1,OR($L765-$P765&lt;$N765,$M765-$Q765&lt;$O765)),1,0))</f>
        <v/>
      </c>
      <c r="AE765" s="14" t="str">
        <f aca="false">IF($D765&lt;&gt;1,"",IF(AND($G765="ROKS",$T765&gt;p_maxworkers),1,0))</f>
        <v/>
      </c>
      <c r="AF765" s="14" t="str">
        <f aca="false">IF($D765&lt;&gt;1,"",IF(INDEX(TblClusters[Environnement],$B765)="","(vide)",INDEX(TblClusters[Environnement],$B765)))</f>
        <v/>
      </c>
      <c r="AG765" s="14" t="str">
        <f aca="false">IF($D765&lt;&gt;1,"",$R765+p_poidsram*$S765)</f>
        <v/>
      </c>
      <c r="AH765" s="14" t="str">
        <f aca="false">IF($D765&lt;&gt;1,"",IFERROR($W765/$AG765,0))</f>
        <v/>
      </c>
      <c r="AI765" s="14" t="str">
        <f aca="false">IF($D765&lt;&gt;1,"",IF(AND($G765="IKS",ISNUMBER(INDEX(TblClusters[Fermeture retenue],$B765))),IF($E765&gt;=INDEX(TblClusters[Fermeture retenue],$B765),1,0),0))</f>
        <v/>
      </c>
    </row>
    <row r="766" customFormat="false" ht="15" hidden="false" customHeight="false" outlineLevel="0" collapsed="false">
      <c r="A766" s="14" t="n">
        <v>761</v>
      </c>
      <c r="B766" s="14" t="n">
        <f aca="false">INT(($A766-1)/36)+1</f>
        <v>22</v>
      </c>
      <c r="C766" s="14" t="n">
        <f aca="false">MOD($A766-1,36)+1</f>
        <v>5</v>
      </c>
      <c r="D766" s="14" t="n">
        <f aca="false">IF($C766&gt;p_horizon,0,IFERROR(IF(AND(INDEX(TblClusters[Cluster],$B766)&lt;&gt;"",ISNUMBER(INDEX(TblClusters[CPU initial (vCPU)],$B766)),ISNUMBER(INDEX(TblClusters[CPU min (vCPU)],$B766)),OR(INDEX(TblClusters[Plateforme],$B766)="IKS",INDEX(TblClusters[Plateforme],$B766)="ROKS")),1,0),0))</f>
        <v>0</v>
      </c>
      <c r="E766" s="83" t="str">
        <f aca="false">IF($D766=1,EDATE(p_debut,$C766-1),"")</f>
        <v/>
      </c>
      <c r="F766" s="14" t="str">
        <f aca="false">IF($D766=1,INDEX(TblClusters[Cluster],$B766),"")</f>
        <v/>
      </c>
      <c r="G766" s="14" t="str">
        <f aca="false">IF($D766=1,INDEX(TblClusters[Plateforme],$B766),"")</f>
        <v/>
      </c>
      <c r="H766" s="14" t="str">
        <f aca="false">IF($D766=1,INDEX(TblClusters[vCPU par nœud],$B766),"")</f>
        <v/>
      </c>
      <c r="I766" s="14" t="str">
        <f aca="false">IF($D766=1,INDEX(TblClusters[RAM par nœud (Go)],$B766),"")</f>
        <v/>
      </c>
      <c r="J766" s="14" t="str">
        <f aca="false">IF($D766=1,INDEX(TblClusters[Workers min],$B766),"")</f>
        <v/>
      </c>
      <c r="K766" s="84" t="str">
        <f aca="false">IF($D766=1,INDEX(TblClusters[Tarif par nœud],$B766),"")</f>
        <v/>
      </c>
      <c r="L766" s="14" t="str">
        <f aca="false">IF($D766=1,INDEX(TblClusters[CPU initial (vCPU)],$B766),"")</f>
        <v/>
      </c>
      <c r="M766" s="14" t="str">
        <f aca="false">IF($D766=1,INDEX(TblClusters[RAM initiale (Go)],$B766),"")</f>
        <v/>
      </c>
      <c r="N766" s="14" t="str">
        <f aca="false">IF($D766=1,INDEX(TblClusters[CPU min (vCPU)],$B766),"")</f>
        <v/>
      </c>
      <c r="O766" s="14" t="str">
        <f aca="false">IF($D766=1,INDEX(TblClusters[RAM min (Go)],$B766),"")</f>
        <v/>
      </c>
      <c r="P766" s="14" t="str">
        <f aca="false">IF($D766&lt;&gt;1,"",IF($G766="ROKS",SUMIFS(TblApplications[Besoin ROKS CPU (vCPU)],TblApplications[Cluster ROKS cible],$F766,TblApplications[Action],"À migrer",TblApplications[Déjà incluse ROKS],"Non",TblApplications[Mois prov (calc)],"&lt;="&amp;$E766),SUMIFS(TblApplications[CPU IKS libérable (vCPU)],TblApplications[Cluster IKS source],$F766,TblApplications[Mois lib (calc)],"&lt;="&amp;$E766)))</f>
        <v/>
      </c>
      <c r="Q766" s="14" t="str">
        <f aca="false">IF($D766&lt;&gt;1,"",IF($G766="ROKS",SUMIFS(TblApplications[Besoin ROKS RAM (Go)],TblApplications[Cluster ROKS cible],$F766,TblApplications[Action],"À migrer",TblApplications[Déjà incluse ROKS],"Non",TblApplications[Mois prov (calc)],"&lt;="&amp;$E766),SUMIFS(TblApplications[RAM IKS libérable (Go)],TblApplications[Cluster IKS source],$F766,TblApplications[Mois lib (calc)],"&lt;="&amp;$E766)))</f>
        <v/>
      </c>
      <c r="R766" s="14" t="str">
        <f aca="false">IF($D766&lt;&gt;1,"",IF($G766="ROKS",$L766+$P766,IF($AI766=1,0,MAX($N766,$L766-$P766))))</f>
        <v/>
      </c>
      <c r="S766" s="14" t="str">
        <f aca="false">IF($D766&lt;&gt;1,"",IF($G766="ROKS",$M766+$Q766,IF($AI766=1,0,MAX($O766,$M766-$Q766))))</f>
        <v/>
      </c>
      <c r="T766" s="14" t="str">
        <f aca="false">IF($D766&lt;&gt;1,"",IF($AI766=1,0,MAX($J766,ROUNDUP(MAX($R766/$H766,$S766/$I766),0))))</f>
        <v/>
      </c>
      <c r="U766" s="14" t="str">
        <f aca="false">IF($D766&lt;&gt;1,"",IF(p_mode="Nœud",$T766*$H766,$R766))</f>
        <v/>
      </c>
      <c r="V766" s="14" t="str">
        <f aca="false">IF($D766&lt;&gt;1,"",IF(p_mode="Nœud",$T766*$I766,$S766))</f>
        <v/>
      </c>
      <c r="W766" s="84" t="str">
        <f aca="false">IF($D766&lt;&gt;1,"",IF(p_mode="Nœud",$T766*$K766,$R766*IF($G766="IKS",p_iks_cpu,p_roks_cpu)+$S766*IF($G766="IKS",p_iks_ram,p_roks_ram))*p_facteur)</f>
        <v/>
      </c>
      <c r="X766" s="14" t="str">
        <f aca="false">IF($D766&lt;&gt;1,"",IF($G766="ROKS",$R766,IF($AI766=1,0,MAX($N766,$L766-SUMIFS(TblApplications[CPU IKS libérable (vCPU)],TblApplications[Cluster IKS source],$F766,TblApplications[Action],"À migrer",TblApplications[Mois prov (calc)],"&lt;="&amp;$E766)-SUMIFS(TblApplications[CPU IKS libérable (vCPU)],TblApplications[Cluster IKS source],$F766,TblApplications[Action],"À décommissionner",TblApplications[Mois lib (calc)],"&lt;="&amp;$E766)))))</f>
        <v/>
      </c>
      <c r="Y766" s="14" t="str">
        <f aca="false">IF($D766&lt;&gt;1,"",IF($G766="ROKS",$S766,IF($AI766=1,0,MAX($O766,$M766-SUMIFS(TblApplications[RAM IKS libérable (Go)],TblApplications[Cluster IKS source],$F766,TblApplications[Action],"À migrer",TblApplications[Mois prov (calc)],"&lt;="&amp;$E766)-SUMIFS(TblApplications[RAM IKS libérable (Go)],TblApplications[Cluster IKS source],$F766,TblApplications[Action],"À décommissionner",TblApplications[Mois lib (calc)],"&lt;="&amp;$E766)))))</f>
        <v/>
      </c>
      <c r="Z766" s="14" t="str">
        <f aca="false">IF($D766&lt;&gt;1,"",IF($AI766=1,0,MAX($J766,ROUNDUP(MAX($X766/$H766,$Y766/$I766),0))))</f>
        <v/>
      </c>
      <c r="AA766" s="84" t="str">
        <f aca="false">IF($D766&lt;&gt;1,"",IF(p_mode="Nœud",$Z766*$K766,$X766*IF($G766="IKS",p_iks_cpu,p_roks_cpu)+$Y766*IF($G766="IKS",p_iks_ram,p_roks_ram))*p_facteur)</f>
        <v/>
      </c>
      <c r="AB766" s="14" t="str">
        <f aca="false">IF($D766&lt;&gt;1,"",MAX($J766,ROUNDUP(MAX($L766/$H766,$M766/$I766),0)))</f>
        <v/>
      </c>
      <c r="AC766" s="84" t="str">
        <f aca="false">IF($D766&lt;&gt;1,"",IF(p_mode="Nœud",$AB766*$K766,$L766*IF($G766="IKS",p_iks_cpu,p_roks_cpu)+$M766*IF($G766="IKS",p_iks_ram,p_roks_ram))*p_facteur)</f>
        <v/>
      </c>
      <c r="AD766" s="14" t="str">
        <f aca="false">IF($D766&lt;&gt;1,"",IF(AND($G766="IKS",$AI766&lt;&gt;1,OR($L766-$P766&lt;$N766,$M766-$Q766&lt;$O766)),1,0))</f>
        <v/>
      </c>
      <c r="AE766" s="14" t="str">
        <f aca="false">IF($D766&lt;&gt;1,"",IF(AND($G766="ROKS",$T766&gt;p_maxworkers),1,0))</f>
        <v/>
      </c>
      <c r="AF766" s="14" t="str">
        <f aca="false">IF($D766&lt;&gt;1,"",IF(INDEX(TblClusters[Environnement],$B766)="","(vide)",INDEX(TblClusters[Environnement],$B766)))</f>
        <v/>
      </c>
      <c r="AG766" s="14" t="str">
        <f aca="false">IF($D766&lt;&gt;1,"",$R766+p_poidsram*$S766)</f>
        <v/>
      </c>
      <c r="AH766" s="14" t="str">
        <f aca="false">IF($D766&lt;&gt;1,"",IFERROR($W766/$AG766,0))</f>
        <v/>
      </c>
      <c r="AI766" s="14" t="str">
        <f aca="false">IF($D766&lt;&gt;1,"",IF(AND($G766="IKS",ISNUMBER(INDEX(TblClusters[Fermeture retenue],$B766))),IF($E766&gt;=INDEX(TblClusters[Fermeture retenue],$B766),1,0),0))</f>
        <v/>
      </c>
    </row>
    <row r="767" customFormat="false" ht="15" hidden="false" customHeight="false" outlineLevel="0" collapsed="false">
      <c r="A767" s="14" t="n">
        <v>762</v>
      </c>
      <c r="B767" s="14" t="n">
        <f aca="false">INT(($A767-1)/36)+1</f>
        <v>22</v>
      </c>
      <c r="C767" s="14" t="n">
        <f aca="false">MOD($A767-1,36)+1</f>
        <v>6</v>
      </c>
      <c r="D767" s="14" t="n">
        <f aca="false">IF($C767&gt;p_horizon,0,IFERROR(IF(AND(INDEX(TblClusters[Cluster],$B767)&lt;&gt;"",ISNUMBER(INDEX(TblClusters[CPU initial (vCPU)],$B767)),ISNUMBER(INDEX(TblClusters[CPU min (vCPU)],$B767)),OR(INDEX(TblClusters[Plateforme],$B767)="IKS",INDEX(TblClusters[Plateforme],$B767)="ROKS")),1,0),0))</f>
        <v>0</v>
      </c>
      <c r="E767" s="83" t="str">
        <f aca="false">IF($D767=1,EDATE(p_debut,$C767-1),"")</f>
        <v/>
      </c>
      <c r="F767" s="14" t="str">
        <f aca="false">IF($D767=1,INDEX(TblClusters[Cluster],$B767),"")</f>
        <v/>
      </c>
      <c r="G767" s="14" t="str">
        <f aca="false">IF($D767=1,INDEX(TblClusters[Plateforme],$B767),"")</f>
        <v/>
      </c>
      <c r="H767" s="14" t="str">
        <f aca="false">IF($D767=1,INDEX(TblClusters[vCPU par nœud],$B767),"")</f>
        <v/>
      </c>
      <c r="I767" s="14" t="str">
        <f aca="false">IF($D767=1,INDEX(TblClusters[RAM par nœud (Go)],$B767),"")</f>
        <v/>
      </c>
      <c r="J767" s="14" t="str">
        <f aca="false">IF($D767=1,INDEX(TblClusters[Workers min],$B767),"")</f>
        <v/>
      </c>
      <c r="K767" s="84" t="str">
        <f aca="false">IF($D767=1,INDEX(TblClusters[Tarif par nœud],$B767),"")</f>
        <v/>
      </c>
      <c r="L767" s="14" t="str">
        <f aca="false">IF($D767=1,INDEX(TblClusters[CPU initial (vCPU)],$B767),"")</f>
        <v/>
      </c>
      <c r="M767" s="14" t="str">
        <f aca="false">IF($D767=1,INDEX(TblClusters[RAM initiale (Go)],$B767),"")</f>
        <v/>
      </c>
      <c r="N767" s="14" t="str">
        <f aca="false">IF($D767=1,INDEX(TblClusters[CPU min (vCPU)],$B767),"")</f>
        <v/>
      </c>
      <c r="O767" s="14" t="str">
        <f aca="false">IF($D767=1,INDEX(TblClusters[RAM min (Go)],$B767),"")</f>
        <v/>
      </c>
      <c r="P767" s="14" t="str">
        <f aca="false">IF($D767&lt;&gt;1,"",IF($G767="ROKS",SUMIFS(TblApplications[Besoin ROKS CPU (vCPU)],TblApplications[Cluster ROKS cible],$F767,TblApplications[Action],"À migrer",TblApplications[Déjà incluse ROKS],"Non",TblApplications[Mois prov (calc)],"&lt;="&amp;$E767),SUMIFS(TblApplications[CPU IKS libérable (vCPU)],TblApplications[Cluster IKS source],$F767,TblApplications[Mois lib (calc)],"&lt;="&amp;$E767)))</f>
        <v/>
      </c>
      <c r="Q767" s="14" t="str">
        <f aca="false">IF($D767&lt;&gt;1,"",IF($G767="ROKS",SUMIFS(TblApplications[Besoin ROKS RAM (Go)],TblApplications[Cluster ROKS cible],$F767,TblApplications[Action],"À migrer",TblApplications[Déjà incluse ROKS],"Non",TblApplications[Mois prov (calc)],"&lt;="&amp;$E767),SUMIFS(TblApplications[RAM IKS libérable (Go)],TblApplications[Cluster IKS source],$F767,TblApplications[Mois lib (calc)],"&lt;="&amp;$E767)))</f>
        <v/>
      </c>
      <c r="R767" s="14" t="str">
        <f aca="false">IF($D767&lt;&gt;1,"",IF($G767="ROKS",$L767+$P767,IF($AI767=1,0,MAX($N767,$L767-$P767))))</f>
        <v/>
      </c>
      <c r="S767" s="14" t="str">
        <f aca="false">IF($D767&lt;&gt;1,"",IF($G767="ROKS",$M767+$Q767,IF($AI767=1,0,MAX($O767,$M767-$Q767))))</f>
        <v/>
      </c>
      <c r="T767" s="14" t="str">
        <f aca="false">IF($D767&lt;&gt;1,"",IF($AI767=1,0,MAX($J767,ROUNDUP(MAX($R767/$H767,$S767/$I767),0))))</f>
        <v/>
      </c>
      <c r="U767" s="14" t="str">
        <f aca="false">IF($D767&lt;&gt;1,"",IF(p_mode="Nœud",$T767*$H767,$R767))</f>
        <v/>
      </c>
      <c r="V767" s="14" t="str">
        <f aca="false">IF($D767&lt;&gt;1,"",IF(p_mode="Nœud",$T767*$I767,$S767))</f>
        <v/>
      </c>
      <c r="W767" s="84" t="str">
        <f aca="false">IF($D767&lt;&gt;1,"",IF(p_mode="Nœud",$T767*$K767,$R767*IF($G767="IKS",p_iks_cpu,p_roks_cpu)+$S767*IF($G767="IKS",p_iks_ram,p_roks_ram))*p_facteur)</f>
        <v/>
      </c>
      <c r="X767" s="14" t="str">
        <f aca="false">IF($D767&lt;&gt;1,"",IF($G767="ROKS",$R767,IF($AI767=1,0,MAX($N767,$L767-SUMIFS(TblApplications[CPU IKS libérable (vCPU)],TblApplications[Cluster IKS source],$F767,TblApplications[Action],"À migrer",TblApplications[Mois prov (calc)],"&lt;="&amp;$E767)-SUMIFS(TblApplications[CPU IKS libérable (vCPU)],TblApplications[Cluster IKS source],$F767,TblApplications[Action],"À décommissionner",TblApplications[Mois lib (calc)],"&lt;="&amp;$E767)))))</f>
        <v/>
      </c>
      <c r="Y767" s="14" t="str">
        <f aca="false">IF($D767&lt;&gt;1,"",IF($G767="ROKS",$S767,IF($AI767=1,0,MAX($O767,$M767-SUMIFS(TblApplications[RAM IKS libérable (Go)],TblApplications[Cluster IKS source],$F767,TblApplications[Action],"À migrer",TblApplications[Mois prov (calc)],"&lt;="&amp;$E767)-SUMIFS(TblApplications[RAM IKS libérable (Go)],TblApplications[Cluster IKS source],$F767,TblApplications[Action],"À décommissionner",TblApplications[Mois lib (calc)],"&lt;="&amp;$E767)))))</f>
        <v/>
      </c>
      <c r="Z767" s="14" t="str">
        <f aca="false">IF($D767&lt;&gt;1,"",IF($AI767=1,0,MAX($J767,ROUNDUP(MAX($X767/$H767,$Y767/$I767),0))))</f>
        <v/>
      </c>
      <c r="AA767" s="84" t="str">
        <f aca="false">IF($D767&lt;&gt;1,"",IF(p_mode="Nœud",$Z767*$K767,$X767*IF($G767="IKS",p_iks_cpu,p_roks_cpu)+$Y767*IF($G767="IKS",p_iks_ram,p_roks_ram))*p_facteur)</f>
        <v/>
      </c>
      <c r="AB767" s="14" t="str">
        <f aca="false">IF($D767&lt;&gt;1,"",MAX($J767,ROUNDUP(MAX($L767/$H767,$M767/$I767),0)))</f>
        <v/>
      </c>
      <c r="AC767" s="84" t="str">
        <f aca="false">IF($D767&lt;&gt;1,"",IF(p_mode="Nœud",$AB767*$K767,$L767*IF($G767="IKS",p_iks_cpu,p_roks_cpu)+$M767*IF($G767="IKS",p_iks_ram,p_roks_ram))*p_facteur)</f>
        <v/>
      </c>
      <c r="AD767" s="14" t="str">
        <f aca="false">IF($D767&lt;&gt;1,"",IF(AND($G767="IKS",$AI767&lt;&gt;1,OR($L767-$P767&lt;$N767,$M767-$Q767&lt;$O767)),1,0))</f>
        <v/>
      </c>
      <c r="AE767" s="14" t="str">
        <f aca="false">IF($D767&lt;&gt;1,"",IF(AND($G767="ROKS",$T767&gt;p_maxworkers),1,0))</f>
        <v/>
      </c>
      <c r="AF767" s="14" t="str">
        <f aca="false">IF($D767&lt;&gt;1,"",IF(INDEX(TblClusters[Environnement],$B767)="","(vide)",INDEX(TblClusters[Environnement],$B767)))</f>
        <v/>
      </c>
      <c r="AG767" s="14" t="str">
        <f aca="false">IF($D767&lt;&gt;1,"",$R767+p_poidsram*$S767)</f>
        <v/>
      </c>
      <c r="AH767" s="14" t="str">
        <f aca="false">IF($D767&lt;&gt;1,"",IFERROR($W767/$AG767,0))</f>
        <v/>
      </c>
      <c r="AI767" s="14" t="str">
        <f aca="false">IF($D767&lt;&gt;1,"",IF(AND($G767="IKS",ISNUMBER(INDEX(TblClusters[Fermeture retenue],$B767))),IF($E767&gt;=INDEX(TblClusters[Fermeture retenue],$B767),1,0),0))</f>
        <v/>
      </c>
    </row>
    <row r="768" customFormat="false" ht="15" hidden="false" customHeight="false" outlineLevel="0" collapsed="false">
      <c r="A768" s="14" t="n">
        <v>763</v>
      </c>
      <c r="B768" s="14" t="n">
        <f aca="false">INT(($A768-1)/36)+1</f>
        <v>22</v>
      </c>
      <c r="C768" s="14" t="n">
        <f aca="false">MOD($A768-1,36)+1</f>
        <v>7</v>
      </c>
      <c r="D768" s="14" t="n">
        <f aca="false">IF($C768&gt;p_horizon,0,IFERROR(IF(AND(INDEX(TblClusters[Cluster],$B768)&lt;&gt;"",ISNUMBER(INDEX(TblClusters[CPU initial (vCPU)],$B768)),ISNUMBER(INDEX(TblClusters[CPU min (vCPU)],$B768)),OR(INDEX(TblClusters[Plateforme],$B768)="IKS",INDEX(TblClusters[Plateforme],$B768)="ROKS")),1,0),0))</f>
        <v>0</v>
      </c>
      <c r="E768" s="83" t="str">
        <f aca="false">IF($D768=1,EDATE(p_debut,$C768-1),"")</f>
        <v/>
      </c>
      <c r="F768" s="14" t="str">
        <f aca="false">IF($D768=1,INDEX(TblClusters[Cluster],$B768),"")</f>
        <v/>
      </c>
      <c r="G768" s="14" t="str">
        <f aca="false">IF($D768=1,INDEX(TblClusters[Plateforme],$B768),"")</f>
        <v/>
      </c>
      <c r="H768" s="14" t="str">
        <f aca="false">IF($D768=1,INDEX(TblClusters[vCPU par nœud],$B768),"")</f>
        <v/>
      </c>
      <c r="I768" s="14" t="str">
        <f aca="false">IF($D768=1,INDEX(TblClusters[RAM par nœud (Go)],$B768),"")</f>
        <v/>
      </c>
      <c r="J768" s="14" t="str">
        <f aca="false">IF($D768=1,INDEX(TblClusters[Workers min],$B768),"")</f>
        <v/>
      </c>
      <c r="K768" s="84" t="str">
        <f aca="false">IF($D768=1,INDEX(TblClusters[Tarif par nœud],$B768),"")</f>
        <v/>
      </c>
      <c r="L768" s="14" t="str">
        <f aca="false">IF($D768=1,INDEX(TblClusters[CPU initial (vCPU)],$B768),"")</f>
        <v/>
      </c>
      <c r="M768" s="14" t="str">
        <f aca="false">IF($D768=1,INDEX(TblClusters[RAM initiale (Go)],$B768),"")</f>
        <v/>
      </c>
      <c r="N768" s="14" t="str">
        <f aca="false">IF($D768=1,INDEX(TblClusters[CPU min (vCPU)],$B768),"")</f>
        <v/>
      </c>
      <c r="O768" s="14" t="str">
        <f aca="false">IF($D768=1,INDEX(TblClusters[RAM min (Go)],$B768),"")</f>
        <v/>
      </c>
      <c r="P768" s="14" t="str">
        <f aca="false">IF($D768&lt;&gt;1,"",IF($G768="ROKS",SUMIFS(TblApplications[Besoin ROKS CPU (vCPU)],TblApplications[Cluster ROKS cible],$F768,TblApplications[Action],"À migrer",TblApplications[Déjà incluse ROKS],"Non",TblApplications[Mois prov (calc)],"&lt;="&amp;$E768),SUMIFS(TblApplications[CPU IKS libérable (vCPU)],TblApplications[Cluster IKS source],$F768,TblApplications[Mois lib (calc)],"&lt;="&amp;$E768)))</f>
        <v/>
      </c>
      <c r="Q768" s="14" t="str">
        <f aca="false">IF($D768&lt;&gt;1,"",IF($G768="ROKS",SUMIFS(TblApplications[Besoin ROKS RAM (Go)],TblApplications[Cluster ROKS cible],$F768,TblApplications[Action],"À migrer",TblApplications[Déjà incluse ROKS],"Non",TblApplications[Mois prov (calc)],"&lt;="&amp;$E768),SUMIFS(TblApplications[RAM IKS libérable (Go)],TblApplications[Cluster IKS source],$F768,TblApplications[Mois lib (calc)],"&lt;="&amp;$E768)))</f>
        <v/>
      </c>
      <c r="R768" s="14" t="str">
        <f aca="false">IF($D768&lt;&gt;1,"",IF($G768="ROKS",$L768+$P768,IF($AI768=1,0,MAX($N768,$L768-$P768))))</f>
        <v/>
      </c>
      <c r="S768" s="14" t="str">
        <f aca="false">IF($D768&lt;&gt;1,"",IF($G768="ROKS",$M768+$Q768,IF($AI768=1,0,MAX($O768,$M768-$Q768))))</f>
        <v/>
      </c>
      <c r="T768" s="14" t="str">
        <f aca="false">IF($D768&lt;&gt;1,"",IF($AI768=1,0,MAX($J768,ROUNDUP(MAX($R768/$H768,$S768/$I768),0))))</f>
        <v/>
      </c>
      <c r="U768" s="14" t="str">
        <f aca="false">IF($D768&lt;&gt;1,"",IF(p_mode="Nœud",$T768*$H768,$R768))</f>
        <v/>
      </c>
      <c r="V768" s="14" t="str">
        <f aca="false">IF($D768&lt;&gt;1,"",IF(p_mode="Nœud",$T768*$I768,$S768))</f>
        <v/>
      </c>
      <c r="W768" s="84" t="str">
        <f aca="false">IF($D768&lt;&gt;1,"",IF(p_mode="Nœud",$T768*$K768,$R768*IF($G768="IKS",p_iks_cpu,p_roks_cpu)+$S768*IF($G768="IKS",p_iks_ram,p_roks_ram))*p_facteur)</f>
        <v/>
      </c>
      <c r="X768" s="14" t="str">
        <f aca="false">IF($D768&lt;&gt;1,"",IF($G768="ROKS",$R768,IF($AI768=1,0,MAX($N768,$L768-SUMIFS(TblApplications[CPU IKS libérable (vCPU)],TblApplications[Cluster IKS source],$F768,TblApplications[Action],"À migrer",TblApplications[Mois prov (calc)],"&lt;="&amp;$E768)-SUMIFS(TblApplications[CPU IKS libérable (vCPU)],TblApplications[Cluster IKS source],$F768,TblApplications[Action],"À décommissionner",TblApplications[Mois lib (calc)],"&lt;="&amp;$E768)))))</f>
        <v/>
      </c>
      <c r="Y768" s="14" t="str">
        <f aca="false">IF($D768&lt;&gt;1,"",IF($G768="ROKS",$S768,IF($AI768=1,0,MAX($O768,$M768-SUMIFS(TblApplications[RAM IKS libérable (Go)],TblApplications[Cluster IKS source],$F768,TblApplications[Action],"À migrer",TblApplications[Mois prov (calc)],"&lt;="&amp;$E768)-SUMIFS(TblApplications[RAM IKS libérable (Go)],TblApplications[Cluster IKS source],$F768,TblApplications[Action],"À décommissionner",TblApplications[Mois lib (calc)],"&lt;="&amp;$E768)))))</f>
        <v/>
      </c>
      <c r="Z768" s="14" t="str">
        <f aca="false">IF($D768&lt;&gt;1,"",IF($AI768=1,0,MAX($J768,ROUNDUP(MAX($X768/$H768,$Y768/$I768),0))))</f>
        <v/>
      </c>
      <c r="AA768" s="84" t="str">
        <f aca="false">IF($D768&lt;&gt;1,"",IF(p_mode="Nœud",$Z768*$K768,$X768*IF($G768="IKS",p_iks_cpu,p_roks_cpu)+$Y768*IF($G768="IKS",p_iks_ram,p_roks_ram))*p_facteur)</f>
        <v/>
      </c>
      <c r="AB768" s="14" t="str">
        <f aca="false">IF($D768&lt;&gt;1,"",MAX($J768,ROUNDUP(MAX($L768/$H768,$M768/$I768),0)))</f>
        <v/>
      </c>
      <c r="AC768" s="84" t="str">
        <f aca="false">IF($D768&lt;&gt;1,"",IF(p_mode="Nœud",$AB768*$K768,$L768*IF($G768="IKS",p_iks_cpu,p_roks_cpu)+$M768*IF($G768="IKS",p_iks_ram,p_roks_ram))*p_facteur)</f>
        <v/>
      </c>
      <c r="AD768" s="14" t="str">
        <f aca="false">IF($D768&lt;&gt;1,"",IF(AND($G768="IKS",$AI768&lt;&gt;1,OR($L768-$P768&lt;$N768,$M768-$Q768&lt;$O768)),1,0))</f>
        <v/>
      </c>
      <c r="AE768" s="14" t="str">
        <f aca="false">IF($D768&lt;&gt;1,"",IF(AND($G768="ROKS",$T768&gt;p_maxworkers),1,0))</f>
        <v/>
      </c>
      <c r="AF768" s="14" t="str">
        <f aca="false">IF($D768&lt;&gt;1,"",IF(INDEX(TblClusters[Environnement],$B768)="","(vide)",INDEX(TblClusters[Environnement],$B768)))</f>
        <v/>
      </c>
      <c r="AG768" s="14" t="str">
        <f aca="false">IF($D768&lt;&gt;1,"",$R768+p_poidsram*$S768)</f>
        <v/>
      </c>
      <c r="AH768" s="14" t="str">
        <f aca="false">IF($D768&lt;&gt;1,"",IFERROR($W768/$AG768,0))</f>
        <v/>
      </c>
      <c r="AI768" s="14" t="str">
        <f aca="false">IF($D768&lt;&gt;1,"",IF(AND($G768="IKS",ISNUMBER(INDEX(TblClusters[Fermeture retenue],$B768))),IF($E768&gt;=INDEX(TblClusters[Fermeture retenue],$B768),1,0),0))</f>
        <v/>
      </c>
    </row>
    <row r="769" customFormat="false" ht="15" hidden="false" customHeight="false" outlineLevel="0" collapsed="false">
      <c r="A769" s="14" t="n">
        <v>764</v>
      </c>
      <c r="B769" s="14" t="n">
        <f aca="false">INT(($A769-1)/36)+1</f>
        <v>22</v>
      </c>
      <c r="C769" s="14" t="n">
        <f aca="false">MOD($A769-1,36)+1</f>
        <v>8</v>
      </c>
      <c r="D769" s="14" t="n">
        <f aca="false">IF($C769&gt;p_horizon,0,IFERROR(IF(AND(INDEX(TblClusters[Cluster],$B769)&lt;&gt;"",ISNUMBER(INDEX(TblClusters[CPU initial (vCPU)],$B769)),ISNUMBER(INDEX(TblClusters[CPU min (vCPU)],$B769)),OR(INDEX(TblClusters[Plateforme],$B769)="IKS",INDEX(TblClusters[Plateforme],$B769)="ROKS")),1,0),0))</f>
        <v>0</v>
      </c>
      <c r="E769" s="83" t="str">
        <f aca="false">IF($D769=1,EDATE(p_debut,$C769-1),"")</f>
        <v/>
      </c>
      <c r="F769" s="14" t="str">
        <f aca="false">IF($D769=1,INDEX(TblClusters[Cluster],$B769),"")</f>
        <v/>
      </c>
      <c r="G769" s="14" t="str">
        <f aca="false">IF($D769=1,INDEX(TblClusters[Plateforme],$B769),"")</f>
        <v/>
      </c>
      <c r="H769" s="14" t="str">
        <f aca="false">IF($D769=1,INDEX(TblClusters[vCPU par nœud],$B769),"")</f>
        <v/>
      </c>
      <c r="I769" s="14" t="str">
        <f aca="false">IF($D769=1,INDEX(TblClusters[RAM par nœud (Go)],$B769),"")</f>
        <v/>
      </c>
      <c r="J769" s="14" t="str">
        <f aca="false">IF($D769=1,INDEX(TblClusters[Workers min],$B769),"")</f>
        <v/>
      </c>
      <c r="K769" s="84" t="str">
        <f aca="false">IF($D769=1,INDEX(TblClusters[Tarif par nœud],$B769),"")</f>
        <v/>
      </c>
      <c r="L769" s="14" t="str">
        <f aca="false">IF($D769=1,INDEX(TblClusters[CPU initial (vCPU)],$B769),"")</f>
        <v/>
      </c>
      <c r="M769" s="14" t="str">
        <f aca="false">IF($D769=1,INDEX(TblClusters[RAM initiale (Go)],$B769),"")</f>
        <v/>
      </c>
      <c r="N769" s="14" t="str">
        <f aca="false">IF($D769=1,INDEX(TblClusters[CPU min (vCPU)],$B769),"")</f>
        <v/>
      </c>
      <c r="O769" s="14" t="str">
        <f aca="false">IF($D769=1,INDEX(TblClusters[RAM min (Go)],$B769),"")</f>
        <v/>
      </c>
      <c r="P769" s="14" t="str">
        <f aca="false">IF($D769&lt;&gt;1,"",IF($G769="ROKS",SUMIFS(TblApplications[Besoin ROKS CPU (vCPU)],TblApplications[Cluster ROKS cible],$F769,TblApplications[Action],"À migrer",TblApplications[Déjà incluse ROKS],"Non",TblApplications[Mois prov (calc)],"&lt;="&amp;$E769),SUMIFS(TblApplications[CPU IKS libérable (vCPU)],TblApplications[Cluster IKS source],$F769,TblApplications[Mois lib (calc)],"&lt;="&amp;$E769)))</f>
        <v/>
      </c>
      <c r="Q769" s="14" t="str">
        <f aca="false">IF($D769&lt;&gt;1,"",IF($G769="ROKS",SUMIFS(TblApplications[Besoin ROKS RAM (Go)],TblApplications[Cluster ROKS cible],$F769,TblApplications[Action],"À migrer",TblApplications[Déjà incluse ROKS],"Non",TblApplications[Mois prov (calc)],"&lt;="&amp;$E769),SUMIFS(TblApplications[RAM IKS libérable (Go)],TblApplications[Cluster IKS source],$F769,TblApplications[Mois lib (calc)],"&lt;="&amp;$E769)))</f>
        <v/>
      </c>
      <c r="R769" s="14" t="str">
        <f aca="false">IF($D769&lt;&gt;1,"",IF($G769="ROKS",$L769+$P769,IF($AI769=1,0,MAX($N769,$L769-$P769))))</f>
        <v/>
      </c>
      <c r="S769" s="14" t="str">
        <f aca="false">IF($D769&lt;&gt;1,"",IF($G769="ROKS",$M769+$Q769,IF($AI769=1,0,MAX($O769,$M769-$Q769))))</f>
        <v/>
      </c>
      <c r="T769" s="14" t="str">
        <f aca="false">IF($D769&lt;&gt;1,"",IF($AI769=1,0,MAX($J769,ROUNDUP(MAX($R769/$H769,$S769/$I769),0))))</f>
        <v/>
      </c>
      <c r="U769" s="14" t="str">
        <f aca="false">IF($D769&lt;&gt;1,"",IF(p_mode="Nœud",$T769*$H769,$R769))</f>
        <v/>
      </c>
      <c r="V769" s="14" t="str">
        <f aca="false">IF($D769&lt;&gt;1,"",IF(p_mode="Nœud",$T769*$I769,$S769))</f>
        <v/>
      </c>
      <c r="W769" s="84" t="str">
        <f aca="false">IF($D769&lt;&gt;1,"",IF(p_mode="Nœud",$T769*$K769,$R769*IF($G769="IKS",p_iks_cpu,p_roks_cpu)+$S769*IF($G769="IKS",p_iks_ram,p_roks_ram))*p_facteur)</f>
        <v/>
      </c>
      <c r="X769" s="14" t="str">
        <f aca="false">IF($D769&lt;&gt;1,"",IF($G769="ROKS",$R769,IF($AI769=1,0,MAX($N769,$L769-SUMIFS(TblApplications[CPU IKS libérable (vCPU)],TblApplications[Cluster IKS source],$F769,TblApplications[Action],"À migrer",TblApplications[Mois prov (calc)],"&lt;="&amp;$E769)-SUMIFS(TblApplications[CPU IKS libérable (vCPU)],TblApplications[Cluster IKS source],$F769,TblApplications[Action],"À décommissionner",TblApplications[Mois lib (calc)],"&lt;="&amp;$E769)))))</f>
        <v/>
      </c>
      <c r="Y769" s="14" t="str">
        <f aca="false">IF($D769&lt;&gt;1,"",IF($G769="ROKS",$S769,IF($AI769=1,0,MAX($O769,$M769-SUMIFS(TblApplications[RAM IKS libérable (Go)],TblApplications[Cluster IKS source],$F769,TblApplications[Action],"À migrer",TblApplications[Mois prov (calc)],"&lt;="&amp;$E769)-SUMIFS(TblApplications[RAM IKS libérable (Go)],TblApplications[Cluster IKS source],$F769,TblApplications[Action],"À décommissionner",TblApplications[Mois lib (calc)],"&lt;="&amp;$E769)))))</f>
        <v/>
      </c>
      <c r="Z769" s="14" t="str">
        <f aca="false">IF($D769&lt;&gt;1,"",IF($AI769=1,0,MAX($J769,ROUNDUP(MAX($X769/$H769,$Y769/$I769),0))))</f>
        <v/>
      </c>
      <c r="AA769" s="84" t="str">
        <f aca="false">IF($D769&lt;&gt;1,"",IF(p_mode="Nœud",$Z769*$K769,$X769*IF($G769="IKS",p_iks_cpu,p_roks_cpu)+$Y769*IF($G769="IKS",p_iks_ram,p_roks_ram))*p_facteur)</f>
        <v/>
      </c>
      <c r="AB769" s="14" t="str">
        <f aca="false">IF($D769&lt;&gt;1,"",MAX($J769,ROUNDUP(MAX($L769/$H769,$M769/$I769),0)))</f>
        <v/>
      </c>
      <c r="AC769" s="84" t="str">
        <f aca="false">IF($D769&lt;&gt;1,"",IF(p_mode="Nœud",$AB769*$K769,$L769*IF($G769="IKS",p_iks_cpu,p_roks_cpu)+$M769*IF($G769="IKS",p_iks_ram,p_roks_ram))*p_facteur)</f>
        <v/>
      </c>
      <c r="AD769" s="14" t="str">
        <f aca="false">IF($D769&lt;&gt;1,"",IF(AND($G769="IKS",$AI769&lt;&gt;1,OR($L769-$P769&lt;$N769,$M769-$Q769&lt;$O769)),1,0))</f>
        <v/>
      </c>
      <c r="AE769" s="14" t="str">
        <f aca="false">IF($D769&lt;&gt;1,"",IF(AND($G769="ROKS",$T769&gt;p_maxworkers),1,0))</f>
        <v/>
      </c>
      <c r="AF769" s="14" t="str">
        <f aca="false">IF($D769&lt;&gt;1,"",IF(INDEX(TblClusters[Environnement],$B769)="","(vide)",INDEX(TblClusters[Environnement],$B769)))</f>
        <v/>
      </c>
      <c r="AG769" s="14" t="str">
        <f aca="false">IF($D769&lt;&gt;1,"",$R769+p_poidsram*$S769)</f>
        <v/>
      </c>
      <c r="AH769" s="14" t="str">
        <f aca="false">IF($D769&lt;&gt;1,"",IFERROR($W769/$AG769,0))</f>
        <v/>
      </c>
      <c r="AI769" s="14" t="str">
        <f aca="false">IF($D769&lt;&gt;1,"",IF(AND($G769="IKS",ISNUMBER(INDEX(TblClusters[Fermeture retenue],$B769))),IF($E769&gt;=INDEX(TblClusters[Fermeture retenue],$B769),1,0),0))</f>
        <v/>
      </c>
    </row>
    <row r="770" customFormat="false" ht="15" hidden="false" customHeight="false" outlineLevel="0" collapsed="false">
      <c r="A770" s="14" t="n">
        <v>765</v>
      </c>
      <c r="B770" s="14" t="n">
        <f aca="false">INT(($A770-1)/36)+1</f>
        <v>22</v>
      </c>
      <c r="C770" s="14" t="n">
        <f aca="false">MOD($A770-1,36)+1</f>
        <v>9</v>
      </c>
      <c r="D770" s="14" t="n">
        <f aca="false">IF($C770&gt;p_horizon,0,IFERROR(IF(AND(INDEX(TblClusters[Cluster],$B770)&lt;&gt;"",ISNUMBER(INDEX(TblClusters[CPU initial (vCPU)],$B770)),ISNUMBER(INDEX(TblClusters[CPU min (vCPU)],$B770)),OR(INDEX(TblClusters[Plateforme],$B770)="IKS",INDEX(TblClusters[Plateforme],$B770)="ROKS")),1,0),0))</f>
        <v>0</v>
      </c>
      <c r="E770" s="83" t="str">
        <f aca="false">IF($D770=1,EDATE(p_debut,$C770-1),"")</f>
        <v/>
      </c>
      <c r="F770" s="14" t="str">
        <f aca="false">IF($D770=1,INDEX(TblClusters[Cluster],$B770),"")</f>
        <v/>
      </c>
      <c r="G770" s="14" t="str">
        <f aca="false">IF($D770=1,INDEX(TblClusters[Plateforme],$B770),"")</f>
        <v/>
      </c>
      <c r="H770" s="14" t="str">
        <f aca="false">IF($D770=1,INDEX(TblClusters[vCPU par nœud],$B770),"")</f>
        <v/>
      </c>
      <c r="I770" s="14" t="str">
        <f aca="false">IF($D770=1,INDEX(TblClusters[RAM par nœud (Go)],$B770),"")</f>
        <v/>
      </c>
      <c r="J770" s="14" t="str">
        <f aca="false">IF($D770=1,INDEX(TblClusters[Workers min],$B770),"")</f>
        <v/>
      </c>
      <c r="K770" s="84" t="str">
        <f aca="false">IF($D770=1,INDEX(TblClusters[Tarif par nœud],$B770),"")</f>
        <v/>
      </c>
      <c r="L770" s="14" t="str">
        <f aca="false">IF($D770=1,INDEX(TblClusters[CPU initial (vCPU)],$B770),"")</f>
        <v/>
      </c>
      <c r="M770" s="14" t="str">
        <f aca="false">IF($D770=1,INDEX(TblClusters[RAM initiale (Go)],$B770),"")</f>
        <v/>
      </c>
      <c r="N770" s="14" t="str">
        <f aca="false">IF($D770=1,INDEX(TblClusters[CPU min (vCPU)],$B770),"")</f>
        <v/>
      </c>
      <c r="O770" s="14" t="str">
        <f aca="false">IF($D770=1,INDEX(TblClusters[RAM min (Go)],$B770),"")</f>
        <v/>
      </c>
      <c r="P770" s="14" t="str">
        <f aca="false">IF($D770&lt;&gt;1,"",IF($G770="ROKS",SUMIFS(TblApplications[Besoin ROKS CPU (vCPU)],TblApplications[Cluster ROKS cible],$F770,TblApplications[Action],"À migrer",TblApplications[Déjà incluse ROKS],"Non",TblApplications[Mois prov (calc)],"&lt;="&amp;$E770),SUMIFS(TblApplications[CPU IKS libérable (vCPU)],TblApplications[Cluster IKS source],$F770,TblApplications[Mois lib (calc)],"&lt;="&amp;$E770)))</f>
        <v/>
      </c>
      <c r="Q770" s="14" t="str">
        <f aca="false">IF($D770&lt;&gt;1,"",IF($G770="ROKS",SUMIFS(TblApplications[Besoin ROKS RAM (Go)],TblApplications[Cluster ROKS cible],$F770,TblApplications[Action],"À migrer",TblApplications[Déjà incluse ROKS],"Non",TblApplications[Mois prov (calc)],"&lt;="&amp;$E770),SUMIFS(TblApplications[RAM IKS libérable (Go)],TblApplications[Cluster IKS source],$F770,TblApplications[Mois lib (calc)],"&lt;="&amp;$E770)))</f>
        <v/>
      </c>
      <c r="R770" s="14" t="str">
        <f aca="false">IF($D770&lt;&gt;1,"",IF($G770="ROKS",$L770+$P770,IF($AI770=1,0,MAX($N770,$L770-$P770))))</f>
        <v/>
      </c>
      <c r="S770" s="14" t="str">
        <f aca="false">IF($D770&lt;&gt;1,"",IF($G770="ROKS",$M770+$Q770,IF($AI770=1,0,MAX($O770,$M770-$Q770))))</f>
        <v/>
      </c>
      <c r="T770" s="14" t="str">
        <f aca="false">IF($D770&lt;&gt;1,"",IF($AI770=1,0,MAX($J770,ROUNDUP(MAX($R770/$H770,$S770/$I770),0))))</f>
        <v/>
      </c>
      <c r="U770" s="14" t="str">
        <f aca="false">IF($D770&lt;&gt;1,"",IF(p_mode="Nœud",$T770*$H770,$R770))</f>
        <v/>
      </c>
      <c r="V770" s="14" t="str">
        <f aca="false">IF($D770&lt;&gt;1,"",IF(p_mode="Nœud",$T770*$I770,$S770))</f>
        <v/>
      </c>
      <c r="W770" s="84" t="str">
        <f aca="false">IF($D770&lt;&gt;1,"",IF(p_mode="Nœud",$T770*$K770,$R770*IF($G770="IKS",p_iks_cpu,p_roks_cpu)+$S770*IF($G770="IKS",p_iks_ram,p_roks_ram))*p_facteur)</f>
        <v/>
      </c>
      <c r="X770" s="14" t="str">
        <f aca="false">IF($D770&lt;&gt;1,"",IF($G770="ROKS",$R770,IF($AI770=1,0,MAX($N770,$L770-SUMIFS(TblApplications[CPU IKS libérable (vCPU)],TblApplications[Cluster IKS source],$F770,TblApplications[Action],"À migrer",TblApplications[Mois prov (calc)],"&lt;="&amp;$E770)-SUMIFS(TblApplications[CPU IKS libérable (vCPU)],TblApplications[Cluster IKS source],$F770,TblApplications[Action],"À décommissionner",TblApplications[Mois lib (calc)],"&lt;="&amp;$E770)))))</f>
        <v/>
      </c>
      <c r="Y770" s="14" t="str">
        <f aca="false">IF($D770&lt;&gt;1,"",IF($G770="ROKS",$S770,IF($AI770=1,0,MAX($O770,$M770-SUMIFS(TblApplications[RAM IKS libérable (Go)],TblApplications[Cluster IKS source],$F770,TblApplications[Action],"À migrer",TblApplications[Mois prov (calc)],"&lt;="&amp;$E770)-SUMIFS(TblApplications[RAM IKS libérable (Go)],TblApplications[Cluster IKS source],$F770,TblApplications[Action],"À décommissionner",TblApplications[Mois lib (calc)],"&lt;="&amp;$E770)))))</f>
        <v/>
      </c>
      <c r="Z770" s="14" t="str">
        <f aca="false">IF($D770&lt;&gt;1,"",IF($AI770=1,0,MAX($J770,ROUNDUP(MAX($X770/$H770,$Y770/$I770),0))))</f>
        <v/>
      </c>
      <c r="AA770" s="84" t="str">
        <f aca="false">IF($D770&lt;&gt;1,"",IF(p_mode="Nœud",$Z770*$K770,$X770*IF($G770="IKS",p_iks_cpu,p_roks_cpu)+$Y770*IF($G770="IKS",p_iks_ram,p_roks_ram))*p_facteur)</f>
        <v/>
      </c>
      <c r="AB770" s="14" t="str">
        <f aca="false">IF($D770&lt;&gt;1,"",MAX($J770,ROUNDUP(MAX($L770/$H770,$M770/$I770),0)))</f>
        <v/>
      </c>
      <c r="AC770" s="84" t="str">
        <f aca="false">IF($D770&lt;&gt;1,"",IF(p_mode="Nœud",$AB770*$K770,$L770*IF($G770="IKS",p_iks_cpu,p_roks_cpu)+$M770*IF($G770="IKS",p_iks_ram,p_roks_ram))*p_facteur)</f>
        <v/>
      </c>
      <c r="AD770" s="14" t="str">
        <f aca="false">IF($D770&lt;&gt;1,"",IF(AND($G770="IKS",$AI770&lt;&gt;1,OR($L770-$P770&lt;$N770,$M770-$Q770&lt;$O770)),1,0))</f>
        <v/>
      </c>
      <c r="AE770" s="14" t="str">
        <f aca="false">IF($D770&lt;&gt;1,"",IF(AND($G770="ROKS",$T770&gt;p_maxworkers),1,0))</f>
        <v/>
      </c>
      <c r="AF770" s="14" t="str">
        <f aca="false">IF($D770&lt;&gt;1,"",IF(INDEX(TblClusters[Environnement],$B770)="","(vide)",INDEX(TblClusters[Environnement],$B770)))</f>
        <v/>
      </c>
      <c r="AG770" s="14" t="str">
        <f aca="false">IF($D770&lt;&gt;1,"",$R770+p_poidsram*$S770)</f>
        <v/>
      </c>
      <c r="AH770" s="14" t="str">
        <f aca="false">IF($D770&lt;&gt;1,"",IFERROR($W770/$AG770,0))</f>
        <v/>
      </c>
      <c r="AI770" s="14" t="str">
        <f aca="false">IF($D770&lt;&gt;1,"",IF(AND($G770="IKS",ISNUMBER(INDEX(TblClusters[Fermeture retenue],$B770))),IF($E770&gt;=INDEX(TblClusters[Fermeture retenue],$B770),1,0),0))</f>
        <v/>
      </c>
    </row>
    <row r="771" customFormat="false" ht="15" hidden="false" customHeight="false" outlineLevel="0" collapsed="false">
      <c r="A771" s="14" t="n">
        <v>766</v>
      </c>
      <c r="B771" s="14" t="n">
        <f aca="false">INT(($A771-1)/36)+1</f>
        <v>22</v>
      </c>
      <c r="C771" s="14" t="n">
        <f aca="false">MOD($A771-1,36)+1</f>
        <v>10</v>
      </c>
      <c r="D771" s="14" t="n">
        <f aca="false">IF($C771&gt;p_horizon,0,IFERROR(IF(AND(INDEX(TblClusters[Cluster],$B771)&lt;&gt;"",ISNUMBER(INDEX(TblClusters[CPU initial (vCPU)],$B771)),ISNUMBER(INDEX(TblClusters[CPU min (vCPU)],$B771)),OR(INDEX(TblClusters[Plateforme],$B771)="IKS",INDEX(TblClusters[Plateforme],$B771)="ROKS")),1,0),0))</f>
        <v>0</v>
      </c>
      <c r="E771" s="83" t="str">
        <f aca="false">IF($D771=1,EDATE(p_debut,$C771-1),"")</f>
        <v/>
      </c>
      <c r="F771" s="14" t="str">
        <f aca="false">IF($D771=1,INDEX(TblClusters[Cluster],$B771),"")</f>
        <v/>
      </c>
      <c r="G771" s="14" t="str">
        <f aca="false">IF($D771=1,INDEX(TblClusters[Plateforme],$B771),"")</f>
        <v/>
      </c>
      <c r="H771" s="14" t="str">
        <f aca="false">IF($D771=1,INDEX(TblClusters[vCPU par nœud],$B771),"")</f>
        <v/>
      </c>
      <c r="I771" s="14" t="str">
        <f aca="false">IF($D771=1,INDEX(TblClusters[RAM par nœud (Go)],$B771),"")</f>
        <v/>
      </c>
      <c r="J771" s="14" t="str">
        <f aca="false">IF($D771=1,INDEX(TblClusters[Workers min],$B771),"")</f>
        <v/>
      </c>
      <c r="K771" s="84" t="str">
        <f aca="false">IF($D771=1,INDEX(TblClusters[Tarif par nœud],$B771),"")</f>
        <v/>
      </c>
      <c r="L771" s="14" t="str">
        <f aca="false">IF($D771=1,INDEX(TblClusters[CPU initial (vCPU)],$B771),"")</f>
        <v/>
      </c>
      <c r="M771" s="14" t="str">
        <f aca="false">IF($D771=1,INDEX(TblClusters[RAM initiale (Go)],$B771),"")</f>
        <v/>
      </c>
      <c r="N771" s="14" t="str">
        <f aca="false">IF($D771=1,INDEX(TblClusters[CPU min (vCPU)],$B771),"")</f>
        <v/>
      </c>
      <c r="O771" s="14" t="str">
        <f aca="false">IF($D771=1,INDEX(TblClusters[RAM min (Go)],$B771),"")</f>
        <v/>
      </c>
      <c r="P771" s="14" t="str">
        <f aca="false">IF($D771&lt;&gt;1,"",IF($G771="ROKS",SUMIFS(TblApplications[Besoin ROKS CPU (vCPU)],TblApplications[Cluster ROKS cible],$F771,TblApplications[Action],"À migrer",TblApplications[Déjà incluse ROKS],"Non",TblApplications[Mois prov (calc)],"&lt;="&amp;$E771),SUMIFS(TblApplications[CPU IKS libérable (vCPU)],TblApplications[Cluster IKS source],$F771,TblApplications[Mois lib (calc)],"&lt;="&amp;$E771)))</f>
        <v/>
      </c>
      <c r="Q771" s="14" t="str">
        <f aca="false">IF($D771&lt;&gt;1,"",IF($G771="ROKS",SUMIFS(TblApplications[Besoin ROKS RAM (Go)],TblApplications[Cluster ROKS cible],$F771,TblApplications[Action],"À migrer",TblApplications[Déjà incluse ROKS],"Non",TblApplications[Mois prov (calc)],"&lt;="&amp;$E771),SUMIFS(TblApplications[RAM IKS libérable (Go)],TblApplications[Cluster IKS source],$F771,TblApplications[Mois lib (calc)],"&lt;="&amp;$E771)))</f>
        <v/>
      </c>
      <c r="R771" s="14" t="str">
        <f aca="false">IF($D771&lt;&gt;1,"",IF($G771="ROKS",$L771+$P771,IF($AI771=1,0,MAX($N771,$L771-$P771))))</f>
        <v/>
      </c>
      <c r="S771" s="14" t="str">
        <f aca="false">IF($D771&lt;&gt;1,"",IF($G771="ROKS",$M771+$Q771,IF($AI771=1,0,MAX($O771,$M771-$Q771))))</f>
        <v/>
      </c>
      <c r="T771" s="14" t="str">
        <f aca="false">IF($D771&lt;&gt;1,"",IF($AI771=1,0,MAX($J771,ROUNDUP(MAX($R771/$H771,$S771/$I771),0))))</f>
        <v/>
      </c>
      <c r="U771" s="14" t="str">
        <f aca="false">IF($D771&lt;&gt;1,"",IF(p_mode="Nœud",$T771*$H771,$R771))</f>
        <v/>
      </c>
      <c r="V771" s="14" t="str">
        <f aca="false">IF($D771&lt;&gt;1,"",IF(p_mode="Nœud",$T771*$I771,$S771))</f>
        <v/>
      </c>
      <c r="W771" s="84" t="str">
        <f aca="false">IF($D771&lt;&gt;1,"",IF(p_mode="Nœud",$T771*$K771,$R771*IF($G771="IKS",p_iks_cpu,p_roks_cpu)+$S771*IF($G771="IKS",p_iks_ram,p_roks_ram))*p_facteur)</f>
        <v/>
      </c>
      <c r="X771" s="14" t="str">
        <f aca="false">IF($D771&lt;&gt;1,"",IF($G771="ROKS",$R771,IF($AI771=1,0,MAX($N771,$L771-SUMIFS(TblApplications[CPU IKS libérable (vCPU)],TblApplications[Cluster IKS source],$F771,TblApplications[Action],"À migrer",TblApplications[Mois prov (calc)],"&lt;="&amp;$E771)-SUMIFS(TblApplications[CPU IKS libérable (vCPU)],TblApplications[Cluster IKS source],$F771,TblApplications[Action],"À décommissionner",TblApplications[Mois lib (calc)],"&lt;="&amp;$E771)))))</f>
        <v/>
      </c>
      <c r="Y771" s="14" t="str">
        <f aca="false">IF($D771&lt;&gt;1,"",IF($G771="ROKS",$S771,IF($AI771=1,0,MAX($O771,$M771-SUMIFS(TblApplications[RAM IKS libérable (Go)],TblApplications[Cluster IKS source],$F771,TblApplications[Action],"À migrer",TblApplications[Mois prov (calc)],"&lt;="&amp;$E771)-SUMIFS(TblApplications[RAM IKS libérable (Go)],TblApplications[Cluster IKS source],$F771,TblApplications[Action],"À décommissionner",TblApplications[Mois lib (calc)],"&lt;="&amp;$E771)))))</f>
        <v/>
      </c>
      <c r="Z771" s="14" t="str">
        <f aca="false">IF($D771&lt;&gt;1,"",IF($AI771=1,0,MAX($J771,ROUNDUP(MAX($X771/$H771,$Y771/$I771),0))))</f>
        <v/>
      </c>
      <c r="AA771" s="84" t="str">
        <f aca="false">IF($D771&lt;&gt;1,"",IF(p_mode="Nœud",$Z771*$K771,$X771*IF($G771="IKS",p_iks_cpu,p_roks_cpu)+$Y771*IF($G771="IKS",p_iks_ram,p_roks_ram))*p_facteur)</f>
        <v/>
      </c>
      <c r="AB771" s="14" t="str">
        <f aca="false">IF($D771&lt;&gt;1,"",MAX($J771,ROUNDUP(MAX($L771/$H771,$M771/$I771),0)))</f>
        <v/>
      </c>
      <c r="AC771" s="84" t="str">
        <f aca="false">IF($D771&lt;&gt;1,"",IF(p_mode="Nœud",$AB771*$K771,$L771*IF($G771="IKS",p_iks_cpu,p_roks_cpu)+$M771*IF($G771="IKS",p_iks_ram,p_roks_ram))*p_facteur)</f>
        <v/>
      </c>
      <c r="AD771" s="14" t="str">
        <f aca="false">IF($D771&lt;&gt;1,"",IF(AND($G771="IKS",$AI771&lt;&gt;1,OR($L771-$P771&lt;$N771,$M771-$Q771&lt;$O771)),1,0))</f>
        <v/>
      </c>
      <c r="AE771" s="14" t="str">
        <f aca="false">IF($D771&lt;&gt;1,"",IF(AND($G771="ROKS",$T771&gt;p_maxworkers),1,0))</f>
        <v/>
      </c>
      <c r="AF771" s="14" t="str">
        <f aca="false">IF($D771&lt;&gt;1,"",IF(INDEX(TblClusters[Environnement],$B771)="","(vide)",INDEX(TblClusters[Environnement],$B771)))</f>
        <v/>
      </c>
      <c r="AG771" s="14" t="str">
        <f aca="false">IF($D771&lt;&gt;1,"",$R771+p_poidsram*$S771)</f>
        <v/>
      </c>
      <c r="AH771" s="14" t="str">
        <f aca="false">IF($D771&lt;&gt;1,"",IFERROR($W771/$AG771,0))</f>
        <v/>
      </c>
      <c r="AI771" s="14" t="str">
        <f aca="false">IF($D771&lt;&gt;1,"",IF(AND($G771="IKS",ISNUMBER(INDEX(TblClusters[Fermeture retenue],$B771))),IF($E771&gt;=INDEX(TblClusters[Fermeture retenue],$B771),1,0),0))</f>
        <v/>
      </c>
    </row>
    <row r="772" customFormat="false" ht="15" hidden="false" customHeight="false" outlineLevel="0" collapsed="false">
      <c r="A772" s="14" t="n">
        <v>767</v>
      </c>
      <c r="B772" s="14" t="n">
        <f aca="false">INT(($A772-1)/36)+1</f>
        <v>22</v>
      </c>
      <c r="C772" s="14" t="n">
        <f aca="false">MOD($A772-1,36)+1</f>
        <v>11</v>
      </c>
      <c r="D772" s="14" t="n">
        <f aca="false">IF($C772&gt;p_horizon,0,IFERROR(IF(AND(INDEX(TblClusters[Cluster],$B772)&lt;&gt;"",ISNUMBER(INDEX(TblClusters[CPU initial (vCPU)],$B772)),ISNUMBER(INDEX(TblClusters[CPU min (vCPU)],$B772)),OR(INDEX(TblClusters[Plateforme],$B772)="IKS",INDEX(TblClusters[Plateforme],$B772)="ROKS")),1,0),0))</f>
        <v>0</v>
      </c>
      <c r="E772" s="83" t="str">
        <f aca="false">IF($D772=1,EDATE(p_debut,$C772-1),"")</f>
        <v/>
      </c>
      <c r="F772" s="14" t="str">
        <f aca="false">IF($D772=1,INDEX(TblClusters[Cluster],$B772),"")</f>
        <v/>
      </c>
      <c r="G772" s="14" t="str">
        <f aca="false">IF($D772=1,INDEX(TblClusters[Plateforme],$B772),"")</f>
        <v/>
      </c>
      <c r="H772" s="14" t="str">
        <f aca="false">IF($D772=1,INDEX(TblClusters[vCPU par nœud],$B772),"")</f>
        <v/>
      </c>
      <c r="I772" s="14" t="str">
        <f aca="false">IF($D772=1,INDEX(TblClusters[RAM par nœud (Go)],$B772),"")</f>
        <v/>
      </c>
      <c r="J772" s="14" t="str">
        <f aca="false">IF($D772=1,INDEX(TblClusters[Workers min],$B772),"")</f>
        <v/>
      </c>
      <c r="K772" s="84" t="str">
        <f aca="false">IF($D772=1,INDEX(TblClusters[Tarif par nœud],$B772),"")</f>
        <v/>
      </c>
      <c r="L772" s="14" t="str">
        <f aca="false">IF($D772=1,INDEX(TblClusters[CPU initial (vCPU)],$B772),"")</f>
        <v/>
      </c>
      <c r="M772" s="14" t="str">
        <f aca="false">IF($D772=1,INDEX(TblClusters[RAM initiale (Go)],$B772),"")</f>
        <v/>
      </c>
      <c r="N772" s="14" t="str">
        <f aca="false">IF($D772=1,INDEX(TblClusters[CPU min (vCPU)],$B772),"")</f>
        <v/>
      </c>
      <c r="O772" s="14" t="str">
        <f aca="false">IF($D772=1,INDEX(TblClusters[RAM min (Go)],$B772),"")</f>
        <v/>
      </c>
      <c r="P772" s="14" t="str">
        <f aca="false">IF($D772&lt;&gt;1,"",IF($G772="ROKS",SUMIFS(TblApplications[Besoin ROKS CPU (vCPU)],TblApplications[Cluster ROKS cible],$F772,TblApplications[Action],"À migrer",TblApplications[Déjà incluse ROKS],"Non",TblApplications[Mois prov (calc)],"&lt;="&amp;$E772),SUMIFS(TblApplications[CPU IKS libérable (vCPU)],TblApplications[Cluster IKS source],$F772,TblApplications[Mois lib (calc)],"&lt;="&amp;$E772)))</f>
        <v/>
      </c>
      <c r="Q772" s="14" t="str">
        <f aca="false">IF($D772&lt;&gt;1,"",IF($G772="ROKS",SUMIFS(TblApplications[Besoin ROKS RAM (Go)],TblApplications[Cluster ROKS cible],$F772,TblApplications[Action],"À migrer",TblApplications[Déjà incluse ROKS],"Non",TblApplications[Mois prov (calc)],"&lt;="&amp;$E772),SUMIFS(TblApplications[RAM IKS libérable (Go)],TblApplications[Cluster IKS source],$F772,TblApplications[Mois lib (calc)],"&lt;="&amp;$E772)))</f>
        <v/>
      </c>
      <c r="R772" s="14" t="str">
        <f aca="false">IF($D772&lt;&gt;1,"",IF($G772="ROKS",$L772+$P772,IF($AI772=1,0,MAX($N772,$L772-$P772))))</f>
        <v/>
      </c>
      <c r="S772" s="14" t="str">
        <f aca="false">IF($D772&lt;&gt;1,"",IF($G772="ROKS",$M772+$Q772,IF($AI772=1,0,MAX($O772,$M772-$Q772))))</f>
        <v/>
      </c>
      <c r="T772" s="14" t="str">
        <f aca="false">IF($D772&lt;&gt;1,"",IF($AI772=1,0,MAX($J772,ROUNDUP(MAX($R772/$H772,$S772/$I772),0))))</f>
        <v/>
      </c>
      <c r="U772" s="14" t="str">
        <f aca="false">IF($D772&lt;&gt;1,"",IF(p_mode="Nœud",$T772*$H772,$R772))</f>
        <v/>
      </c>
      <c r="V772" s="14" t="str">
        <f aca="false">IF($D772&lt;&gt;1,"",IF(p_mode="Nœud",$T772*$I772,$S772))</f>
        <v/>
      </c>
      <c r="W772" s="84" t="str">
        <f aca="false">IF($D772&lt;&gt;1,"",IF(p_mode="Nœud",$T772*$K772,$R772*IF($G772="IKS",p_iks_cpu,p_roks_cpu)+$S772*IF($G772="IKS",p_iks_ram,p_roks_ram))*p_facteur)</f>
        <v/>
      </c>
      <c r="X772" s="14" t="str">
        <f aca="false">IF($D772&lt;&gt;1,"",IF($G772="ROKS",$R772,IF($AI772=1,0,MAX($N772,$L772-SUMIFS(TblApplications[CPU IKS libérable (vCPU)],TblApplications[Cluster IKS source],$F772,TblApplications[Action],"À migrer",TblApplications[Mois prov (calc)],"&lt;="&amp;$E772)-SUMIFS(TblApplications[CPU IKS libérable (vCPU)],TblApplications[Cluster IKS source],$F772,TblApplications[Action],"À décommissionner",TblApplications[Mois lib (calc)],"&lt;="&amp;$E772)))))</f>
        <v/>
      </c>
      <c r="Y772" s="14" t="str">
        <f aca="false">IF($D772&lt;&gt;1,"",IF($G772="ROKS",$S772,IF($AI772=1,0,MAX($O772,$M772-SUMIFS(TblApplications[RAM IKS libérable (Go)],TblApplications[Cluster IKS source],$F772,TblApplications[Action],"À migrer",TblApplications[Mois prov (calc)],"&lt;="&amp;$E772)-SUMIFS(TblApplications[RAM IKS libérable (Go)],TblApplications[Cluster IKS source],$F772,TblApplications[Action],"À décommissionner",TblApplications[Mois lib (calc)],"&lt;="&amp;$E772)))))</f>
        <v/>
      </c>
      <c r="Z772" s="14" t="str">
        <f aca="false">IF($D772&lt;&gt;1,"",IF($AI772=1,0,MAX($J772,ROUNDUP(MAX($X772/$H772,$Y772/$I772),0))))</f>
        <v/>
      </c>
      <c r="AA772" s="84" t="str">
        <f aca="false">IF($D772&lt;&gt;1,"",IF(p_mode="Nœud",$Z772*$K772,$X772*IF($G772="IKS",p_iks_cpu,p_roks_cpu)+$Y772*IF($G772="IKS",p_iks_ram,p_roks_ram))*p_facteur)</f>
        <v/>
      </c>
      <c r="AB772" s="14" t="str">
        <f aca="false">IF($D772&lt;&gt;1,"",MAX($J772,ROUNDUP(MAX($L772/$H772,$M772/$I772),0)))</f>
        <v/>
      </c>
      <c r="AC772" s="84" t="str">
        <f aca="false">IF($D772&lt;&gt;1,"",IF(p_mode="Nœud",$AB772*$K772,$L772*IF($G772="IKS",p_iks_cpu,p_roks_cpu)+$M772*IF($G772="IKS",p_iks_ram,p_roks_ram))*p_facteur)</f>
        <v/>
      </c>
      <c r="AD772" s="14" t="str">
        <f aca="false">IF($D772&lt;&gt;1,"",IF(AND($G772="IKS",$AI772&lt;&gt;1,OR($L772-$P772&lt;$N772,$M772-$Q772&lt;$O772)),1,0))</f>
        <v/>
      </c>
      <c r="AE772" s="14" t="str">
        <f aca="false">IF($D772&lt;&gt;1,"",IF(AND($G772="ROKS",$T772&gt;p_maxworkers),1,0))</f>
        <v/>
      </c>
      <c r="AF772" s="14" t="str">
        <f aca="false">IF($D772&lt;&gt;1,"",IF(INDEX(TblClusters[Environnement],$B772)="","(vide)",INDEX(TblClusters[Environnement],$B772)))</f>
        <v/>
      </c>
      <c r="AG772" s="14" t="str">
        <f aca="false">IF($D772&lt;&gt;1,"",$R772+p_poidsram*$S772)</f>
        <v/>
      </c>
      <c r="AH772" s="14" t="str">
        <f aca="false">IF($D772&lt;&gt;1,"",IFERROR($W772/$AG772,0))</f>
        <v/>
      </c>
      <c r="AI772" s="14" t="str">
        <f aca="false">IF($D772&lt;&gt;1,"",IF(AND($G772="IKS",ISNUMBER(INDEX(TblClusters[Fermeture retenue],$B772))),IF($E772&gt;=INDEX(TblClusters[Fermeture retenue],$B772),1,0),0))</f>
        <v/>
      </c>
    </row>
    <row r="773" customFormat="false" ht="15" hidden="false" customHeight="false" outlineLevel="0" collapsed="false">
      <c r="A773" s="14" t="n">
        <v>768</v>
      </c>
      <c r="B773" s="14" t="n">
        <f aca="false">INT(($A773-1)/36)+1</f>
        <v>22</v>
      </c>
      <c r="C773" s="14" t="n">
        <f aca="false">MOD($A773-1,36)+1</f>
        <v>12</v>
      </c>
      <c r="D773" s="14" t="n">
        <f aca="false">IF($C773&gt;p_horizon,0,IFERROR(IF(AND(INDEX(TblClusters[Cluster],$B773)&lt;&gt;"",ISNUMBER(INDEX(TblClusters[CPU initial (vCPU)],$B773)),ISNUMBER(INDEX(TblClusters[CPU min (vCPU)],$B773)),OR(INDEX(TblClusters[Plateforme],$B773)="IKS",INDEX(TblClusters[Plateforme],$B773)="ROKS")),1,0),0))</f>
        <v>0</v>
      </c>
      <c r="E773" s="83" t="str">
        <f aca="false">IF($D773=1,EDATE(p_debut,$C773-1),"")</f>
        <v/>
      </c>
      <c r="F773" s="14" t="str">
        <f aca="false">IF($D773=1,INDEX(TblClusters[Cluster],$B773),"")</f>
        <v/>
      </c>
      <c r="G773" s="14" t="str">
        <f aca="false">IF($D773=1,INDEX(TblClusters[Plateforme],$B773),"")</f>
        <v/>
      </c>
      <c r="H773" s="14" t="str">
        <f aca="false">IF($D773=1,INDEX(TblClusters[vCPU par nœud],$B773),"")</f>
        <v/>
      </c>
      <c r="I773" s="14" t="str">
        <f aca="false">IF($D773=1,INDEX(TblClusters[RAM par nœud (Go)],$B773),"")</f>
        <v/>
      </c>
      <c r="J773" s="14" t="str">
        <f aca="false">IF($D773=1,INDEX(TblClusters[Workers min],$B773),"")</f>
        <v/>
      </c>
      <c r="K773" s="84" t="str">
        <f aca="false">IF($D773=1,INDEX(TblClusters[Tarif par nœud],$B773),"")</f>
        <v/>
      </c>
      <c r="L773" s="14" t="str">
        <f aca="false">IF($D773=1,INDEX(TblClusters[CPU initial (vCPU)],$B773),"")</f>
        <v/>
      </c>
      <c r="M773" s="14" t="str">
        <f aca="false">IF($D773=1,INDEX(TblClusters[RAM initiale (Go)],$B773),"")</f>
        <v/>
      </c>
      <c r="N773" s="14" t="str">
        <f aca="false">IF($D773=1,INDEX(TblClusters[CPU min (vCPU)],$B773),"")</f>
        <v/>
      </c>
      <c r="O773" s="14" t="str">
        <f aca="false">IF($D773=1,INDEX(TblClusters[RAM min (Go)],$B773),"")</f>
        <v/>
      </c>
      <c r="P773" s="14" t="str">
        <f aca="false">IF($D773&lt;&gt;1,"",IF($G773="ROKS",SUMIFS(TblApplications[Besoin ROKS CPU (vCPU)],TblApplications[Cluster ROKS cible],$F773,TblApplications[Action],"À migrer",TblApplications[Déjà incluse ROKS],"Non",TblApplications[Mois prov (calc)],"&lt;="&amp;$E773),SUMIFS(TblApplications[CPU IKS libérable (vCPU)],TblApplications[Cluster IKS source],$F773,TblApplications[Mois lib (calc)],"&lt;="&amp;$E773)))</f>
        <v/>
      </c>
      <c r="Q773" s="14" t="str">
        <f aca="false">IF($D773&lt;&gt;1,"",IF($G773="ROKS",SUMIFS(TblApplications[Besoin ROKS RAM (Go)],TblApplications[Cluster ROKS cible],$F773,TblApplications[Action],"À migrer",TblApplications[Déjà incluse ROKS],"Non",TblApplications[Mois prov (calc)],"&lt;="&amp;$E773),SUMIFS(TblApplications[RAM IKS libérable (Go)],TblApplications[Cluster IKS source],$F773,TblApplications[Mois lib (calc)],"&lt;="&amp;$E773)))</f>
        <v/>
      </c>
      <c r="R773" s="14" t="str">
        <f aca="false">IF($D773&lt;&gt;1,"",IF($G773="ROKS",$L773+$P773,IF($AI773=1,0,MAX($N773,$L773-$P773))))</f>
        <v/>
      </c>
      <c r="S773" s="14" t="str">
        <f aca="false">IF($D773&lt;&gt;1,"",IF($G773="ROKS",$M773+$Q773,IF($AI773=1,0,MAX($O773,$M773-$Q773))))</f>
        <v/>
      </c>
      <c r="T773" s="14" t="str">
        <f aca="false">IF($D773&lt;&gt;1,"",IF($AI773=1,0,MAX($J773,ROUNDUP(MAX($R773/$H773,$S773/$I773),0))))</f>
        <v/>
      </c>
      <c r="U773" s="14" t="str">
        <f aca="false">IF($D773&lt;&gt;1,"",IF(p_mode="Nœud",$T773*$H773,$R773))</f>
        <v/>
      </c>
      <c r="V773" s="14" t="str">
        <f aca="false">IF($D773&lt;&gt;1,"",IF(p_mode="Nœud",$T773*$I773,$S773))</f>
        <v/>
      </c>
      <c r="W773" s="84" t="str">
        <f aca="false">IF($D773&lt;&gt;1,"",IF(p_mode="Nœud",$T773*$K773,$R773*IF($G773="IKS",p_iks_cpu,p_roks_cpu)+$S773*IF($G773="IKS",p_iks_ram,p_roks_ram))*p_facteur)</f>
        <v/>
      </c>
      <c r="X773" s="14" t="str">
        <f aca="false">IF($D773&lt;&gt;1,"",IF($G773="ROKS",$R773,IF($AI773=1,0,MAX($N773,$L773-SUMIFS(TblApplications[CPU IKS libérable (vCPU)],TblApplications[Cluster IKS source],$F773,TblApplications[Action],"À migrer",TblApplications[Mois prov (calc)],"&lt;="&amp;$E773)-SUMIFS(TblApplications[CPU IKS libérable (vCPU)],TblApplications[Cluster IKS source],$F773,TblApplications[Action],"À décommissionner",TblApplications[Mois lib (calc)],"&lt;="&amp;$E773)))))</f>
        <v/>
      </c>
      <c r="Y773" s="14" t="str">
        <f aca="false">IF($D773&lt;&gt;1,"",IF($G773="ROKS",$S773,IF($AI773=1,0,MAX($O773,$M773-SUMIFS(TblApplications[RAM IKS libérable (Go)],TblApplications[Cluster IKS source],$F773,TblApplications[Action],"À migrer",TblApplications[Mois prov (calc)],"&lt;="&amp;$E773)-SUMIFS(TblApplications[RAM IKS libérable (Go)],TblApplications[Cluster IKS source],$F773,TblApplications[Action],"À décommissionner",TblApplications[Mois lib (calc)],"&lt;="&amp;$E773)))))</f>
        <v/>
      </c>
      <c r="Z773" s="14" t="str">
        <f aca="false">IF($D773&lt;&gt;1,"",IF($AI773=1,0,MAX($J773,ROUNDUP(MAX($X773/$H773,$Y773/$I773),0))))</f>
        <v/>
      </c>
      <c r="AA773" s="84" t="str">
        <f aca="false">IF($D773&lt;&gt;1,"",IF(p_mode="Nœud",$Z773*$K773,$X773*IF($G773="IKS",p_iks_cpu,p_roks_cpu)+$Y773*IF($G773="IKS",p_iks_ram,p_roks_ram))*p_facteur)</f>
        <v/>
      </c>
      <c r="AB773" s="14" t="str">
        <f aca="false">IF($D773&lt;&gt;1,"",MAX($J773,ROUNDUP(MAX($L773/$H773,$M773/$I773),0)))</f>
        <v/>
      </c>
      <c r="AC773" s="84" t="str">
        <f aca="false">IF($D773&lt;&gt;1,"",IF(p_mode="Nœud",$AB773*$K773,$L773*IF($G773="IKS",p_iks_cpu,p_roks_cpu)+$M773*IF($G773="IKS",p_iks_ram,p_roks_ram))*p_facteur)</f>
        <v/>
      </c>
      <c r="AD773" s="14" t="str">
        <f aca="false">IF($D773&lt;&gt;1,"",IF(AND($G773="IKS",$AI773&lt;&gt;1,OR($L773-$P773&lt;$N773,$M773-$Q773&lt;$O773)),1,0))</f>
        <v/>
      </c>
      <c r="AE773" s="14" t="str">
        <f aca="false">IF($D773&lt;&gt;1,"",IF(AND($G773="ROKS",$T773&gt;p_maxworkers),1,0))</f>
        <v/>
      </c>
      <c r="AF773" s="14" t="str">
        <f aca="false">IF($D773&lt;&gt;1,"",IF(INDEX(TblClusters[Environnement],$B773)="","(vide)",INDEX(TblClusters[Environnement],$B773)))</f>
        <v/>
      </c>
      <c r="AG773" s="14" t="str">
        <f aca="false">IF($D773&lt;&gt;1,"",$R773+p_poidsram*$S773)</f>
        <v/>
      </c>
      <c r="AH773" s="14" t="str">
        <f aca="false">IF($D773&lt;&gt;1,"",IFERROR($W773/$AG773,0))</f>
        <v/>
      </c>
      <c r="AI773" s="14" t="str">
        <f aca="false">IF($D773&lt;&gt;1,"",IF(AND($G773="IKS",ISNUMBER(INDEX(TblClusters[Fermeture retenue],$B773))),IF($E773&gt;=INDEX(TblClusters[Fermeture retenue],$B773),1,0),0))</f>
        <v/>
      </c>
    </row>
    <row r="774" customFormat="false" ht="15" hidden="false" customHeight="false" outlineLevel="0" collapsed="false">
      <c r="A774" s="14" t="n">
        <v>769</v>
      </c>
      <c r="B774" s="14" t="n">
        <f aca="false">INT(($A774-1)/36)+1</f>
        <v>22</v>
      </c>
      <c r="C774" s="14" t="n">
        <f aca="false">MOD($A774-1,36)+1</f>
        <v>13</v>
      </c>
      <c r="D774" s="14" t="n">
        <f aca="false">IF($C774&gt;p_horizon,0,IFERROR(IF(AND(INDEX(TblClusters[Cluster],$B774)&lt;&gt;"",ISNUMBER(INDEX(TblClusters[CPU initial (vCPU)],$B774)),ISNUMBER(INDEX(TblClusters[CPU min (vCPU)],$B774)),OR(INDEX(TblClusters[Plateforme],$B774)="IKS",INDEX(TblClusters[Plateforme],$B774)="ROKS")),1,0),0))</f>
        <v>0</v>
      </c>
      <c r="E774" s="83" t="str">
        <f aca="false">IF($D774=1,EDATE(p_debut,$C774-1),"")</f>
        <v/>
      </c>
      <c r="F774" s="14" t="str">
        <f aca="false">IF($D774=1,INDEX(TblClusters[Cluster],$B774),"")</f>
        <v/>
      </c>
      <c r="G774" s="14" t="str">
        <f aca="false">IF($D774=1,INDEX(TblClusters[Plateforme],$B774),"")</f>
        <v/>
      </c>
      <c r="H774" s="14" t="str">
        <f aca="false">IF($D774=1,INDEX(TblClusters[vCPU par nœud],$B774),"")</f>
        <v/>
      </c>
      <c r="I774" s="14" t="str">
        <f aca="false">IF($D774=1,INDEX(TblClusters[RAM par nœud (Go)],$B774),"")</f>
        <v/>
      </c>
      <c r="J774" s="14" t="str">
        <f aca="false">IF($D774=1,INDEX(TblClusters[Workers min],$B774),"")</f>
        <v/>
      </c>
      <c r="K774" s="84" t="str">
        <f aca="false">IF($D774=1,INDEX(TblClusters[Tarif par nœud],$B774),"")</f>
        <v/>
      </c>
      <c r="L774" s="14" t="str">
        <f aca="false">IF($D774=1,INDEX(TblClusters[CPU initial (vCPU)],$B774),"")</f>
        <v/>
      </c>
      <c r="M774" s="14" t="str">
        <f aca="false">IF($D774=1,INDEX(TblClusters[RAM initiale (Go)],$B774),"")</f>
        <v/>
      </c>
      <c r="N774" s="14" t="str">
        <f aca="false">IF($D774=1,INDEX(TblClusters[CPU min (vCPU)],$B774),"")</f>
        <v/>
      </c>
      <c r="O774" s="14" t="str">
        <f aca="false">IF($D774=1,INDEX(TblClusters[RAM min (Go)],$B774),"")</f>
        <v/>
      </c>
      <c r="P774" s="14" t="str">
        <f aca="false">IF($D774&lt;&gt;1,"",IF($G774="ROKS",SUMIFS(TblApplications[Besoin ROKS CPU (vCPU)],TblApplications[Cluster ROKS cible],$F774,TblApplications[Action],"À migrer",TblApplications[Déjà incluse ROKS],"Non",TblApplications[Mois prov (calc)],"&lt;="&amp;$E774),SUMIFS(TblApplications[CPU IKS libérable (vCPU)],TblApplications[Cluster IKS source],$F774,TblApplications[Mois lib (calc)],"&lt;="&amp;$E774)))</f>
        <v/>
      </c>
      <c r="Q774" s="14" t="str">
        <f aca="false">IF($D774&lt;&gt;1,"",IF($G774="ROKS",SUMIFS(TblApplications[Besoin ROKS RAM (Go)],TblApplications[Cluster ROKS cible],$F774,TblApplications[Action],"À migrer",TblApplications[Déjà incluse ROKS],"Non",TblApplications[Mois prov (calc)],"&lt;="&amp;$E774),SUMIFS(TblApplications[RAM IKS libérable (Go)],TblApplications[Cluster IKS source],$F774,TblApplications[Mois lib (calc)],"&lt;="&amp;$E774)))</f>
        <v/>
      </c>
      <c r="R774" s="14" t="str">
        <f aca="false">IF($D774&lt;&gt;1,"",IF($G774="ROKS",$L774+$P774,IF($AI774=1,0,MAX($N774,$L774-$P774))))</f>
        <v/>
      </c>
      <c r="S774" s="14" t="str">
        <f aca="false">IF($D774&lt;&gt;1,"",IF($G774="ROKS",$M774+$Q774,IF($AI774=1,0,MAX($O774,$M774-$Q774))))</f>
        <v/>
      </c>
      <c r="T774" s="14" t="str">
        <f aca="false">IF($D774&lt;&gt;1,"",IF($AI774=1,0,MAX($J774,ROUNDUP(MAX($R774/$H774,$S774/$I774),0))))</f>
        <v/>
      </c>
      <c r="U774" s="14" t="str">
        <f aca="false">IF($D774&lt;&gt;1,"",IF(p_mode="Nœud",$T774*$H774,$R774))</f>
        <v/>
      </c>
      <c r="V774" s="14" t="str">
        <f aca="false">IF($D774&lt;&gt;1,"",IF(p_mode="Nœud",$T774*$I774,$S774))</f>
        <v/>
      </c>
      <c r="W774" s="84" t="str">
        <f aca="false">IF($D774&lt;&gt;1,"",IF(p_mode="Nœud",$T774*$K774,$R774*IF($G774="IKS",p_iks_cpu,p_roks_cpu)+$S774*IF($G774="IKS",p_iks_ram,p_roks_ram))*p_facteur)</f>
        <v/>
      </c>
      <c r="X774" s="14" t="str">
        <f aca="false">IF($D774&lt;&gt;1,"",IF($G774="ROKS",$R774,IF($AI774=1,0,MAX($N774,$L774-SUMIFS(TblApplications[CPU IKS libérable (vCPU)],TblApplications[Cluster IKS source],$F774,TblApplications[Action],"À migrer",TblApplications[Mois prov (calc)],"&lt;="&amp;$E774)-SUMIFS(TblApplications[CPU IKS libérable (vCPU)],TblApplications[Cluster IKS source],$F774,TblApplications[Action],"À décommissionner",TblApplications[Mois lib (calc)],"&lt;="&amp;$E774)))))</f>
        <v/>
      </c>
      <c r="Y774" s="14" t="str">
        <f aca="false">IF($D774&lt;&gt;1,"",IF($G774="ROKS",$S774,IF($AI774=1,0,MAX($O774,$M774-SUMIFS(TblApplications[RAM IKS libérable (Go)],TblApplications[Cluster IKS source],$F774,TblApplications[Action],"À migrer",TblApplications[Mois prov (calc)],"&lt;="&amp;$E774)-SUMIFS(TblApplications[RAM IKS libérable (Go)],TblApplications[Cluster IKS source],$F774,TblApplications[Action],"À décommissionner",TblApplications[Mois lib (calc)],"&lt;="&amp;$E774)))))</f>
        <v/>
      </c>
      <c r="Z774" s="14" t="str">
        <f aca="false">IF($D774&lt;&gt;1,"",IF($AI774=1,0,MAX($J774,ROUNDUP(MAX($X774/$H774,$Y774/$I774),0))))</f>
        <v/>
      </c>
      <c r="AA774" s="84" t="str">
        <f aca="false">IF($D774&lt;&gt;1,"",IF(p_mode="Nœud",$Z774*$K774,$X774*IF($G774="IKS",p_iks_cpu,p_roks_cpu)+$Y774*IF($G774="IKS",p_iks_ram,p_roks_ram))*p_facteur)</f>
        <v/>
      </c>
      <c r="AB774" s="14" t="str">
        <f aca="false">IF($D774&lt;&gt;1,"",MAX($J774,ROUNDUP(MAX($L774/$H774,$M774/$I774),0)))</f>
        <v/>
      </c>
      <c r="AC774" s="84" t="str">
        <f aca="false">IF($D774&lt;&gt;1,"",IF(p_mode="Nœud",$AB774*$K774,$L774*IF($G774="IKS",p_iks_cpu,p_roks_cpu)+$M774*IF($G774="IKS",p_iks_ram,p_roks_ram))*p_facteur)</f>
        <v/>
      </c>
      <c r="AD774" s="14" t="str">
        <f aca="false">IF($D774&lt;&gt;1,"",IF(AND($G774="IKS",$AI774&lt;&gt;1,OR($L774-$P774&lt;$N774,$M774-$Q774&lt;$O774)),1,0))</f>
        <v/>
      </c>
      <c r="AE774" s="14" t="str">
        <f aca="false">IF($D774&lt;&gt;1,"",IF(AND($G774="ROKS",$T774&gt;p_maxworkers),1,0))</f>
        <v/>
      </c>
      <c r="AF774" s="14" t="str">
        <f aca="false">IF($D774&lt;&gt;1,"",IF(INDEX(TblClusters[Environnement],$B774)="","(vide)",INDEX(TblClusters[Environnement],$B774)))</f>
        <v/>
      </c>
      <c r="AG774" s="14" t="str">
        <f aca="false">IF($D774&lt;&gt;1,"",$R774+p_poidsram*$S774)</f>
        <v/>
      </c>
      <c r="AH774" s="14" t="str">
        <f aca="false">IF($D774&lt;&gt;1,"",IFERROR($W774/$AG774,0))</f>
        <v/>
      </c>
      <c r="AI774" s="14" t="str">
        <f aca="false">IF($D774&lt;&gt;1,"",IF(AND($G774="IKS",ISNUMBER(INDEX(TblClusters[Fermeture retenue],$B774))),IF($E774&gt;=INDEX(TblClusters[Fermeture retenue],$B774),1,0),0))</f>
        <v/>
      </c>
    </row>
    <row r="775" customFormat="false" ht="15" hidden="false" customHeight="false" outlineLevel="0" collapsed="false">
      <c r="A775" s="14" t="n">
        <v>770</v>
      </c>
      <c r="B775" s="14" t="n">
        <f aca="false">INT(($A775-1)/36)+1</f>
        <v>22</v>
      </c>
      <c r="C775" s="14" t="n">
        <f aca="false">MOD($A775-1,36)+1</f>
        <v>14</v>
      </c>
      <c r="D775" s="14" t="n">
        <f aca="false">IF($C775&gt;p_horizon,0,IFERROR(IF(AND(INDEX(TblClusters[Cluster],$B775)&lt;&gt;"",ISNUMBER(INDEX(TblClusters[CPU initial (vCPU)],$B775)),ISNUMBER(INDEX(TblClusters[CPU min (vCPU)],$B775)),OR(INDEX(TblClusters[Plateforme],$B775)="IKS",INDEX(TblClusters[Plateforme],$B775)="ROKS")),1,0),0))</f>
        <v>0</v>
      </c>
      <c r="E775" s="83" t="str">
        <f aca="false">IF($D775=1,EDATE(p_debut,$C775-1),"")</f>
        <v/>
      </c>
      <c r="F775" s="14" t="str">
        <f aca="false">IF($D775=1,INDEX(TblClusters[Cluster],$B775),"")</f>
        <v/>
      </c>
      <c r="G775" s="14" t="str">
        <f aca="false">IF($D775=1,INDEX(TblClusters[Plateforme],$B775),"")</f>
        <v/>
      </c>
      <c r="H775" s="14" t="str">
        <f aca="false">IF($D775=1,INDEX(TblClusters[vCPU par nœud],$B775),"")</f>
        <v/>
      </c>
      <c r="I775" s="14" t="str">
        <f aca="false">IF($D775=1,INDEX(TblClusters[RAM par nœud (Go)],$B775),"")</f>
        <v/>
      </c>
      <c r="J775" s="14" t="str">
        <f aca="false">IF($D775=1,INDEX(TblClusters[Workers min],$B775),"")</f>
        <v/>
      </c>
      <c r="K775" s="84" t="str">
        <f aca="false">IF($D775=1,INDEX(TblClusters[Tarif par nœud],$B775),"")</f>
        <v/>
      </c>
      <c r="L775" s="14" t="str">
        <f aca="false">IF($D775=1,INDEX(TblClusters[CPU initial (vCPU)],$B775),"")</f>
        <v/>
      </c>
      <c r="M775" s="14" t="str">
        <f aca="false">IF($D775=1,INDEX(TblClusters[RAM initiale (Go)],$B775),"")</f>
        <v/>
      </c>
      <c r="N775" s="14" t="str">
        <f aca="false">IF($D775=1,INDEX(TblClusters[CPU min (vCPU)],$B775),"")</f>
        <v/>
      </c>
      <c r="O775" s="14" t="str">
        <f aca="false">IF($D775=1,INDEX(TblClusters[RAM min (Go)],$B775),"")</f>
        <v/>
      </c>
      <c r="P775" s="14" t="str">
        <f aca="false">IF($D775&lt;&gt;1,"",IF($G775="ROKS",SUMIFS(TblApplications[Besoin ROKS CPU (vCPU)],TblApplications[Cluster ROKS cible],$F775,TblApplications[Action],"À migrer",TblApplications[Déjà incluse ROKS],"Non",TblApplications[Mois prov (calc)],"&lt;="&amp;$E775),SUMIFS(TblApplications[CPU IKS libérable (vCPU)],TblApplications[Cluster IKS source],$F775,TblApplications[Mois lib (calc)],"&lt;="&amp;$E775)))</f>
        <v/>
      </c>
      <c r="Q775" s="14" t="str">
        <f aca="false">IF($D775&lt;&gt;1,"",IF($G775="ROKS",SUMIFS(TblApplications[Besoin ROKS RAM (Go)],TblApplications[Cluster ROKS cible],$F775,TblApplications[Action],"À migrer",TblApplications[Déjà incluse ROKS],"Non",TblApplications[Mois prov (calc)],"&lt;="&amp;$E775),SUMIFS(TblApplications[RAM IKS libérable (Go)],TblApplications[Cluster IKS source],$F775,TblApplications[Mois lib (calc)],"&lt;="&amp;$E775)))</f>
        <v/>
      </c>
      <c r="R775" s="14" t="str">
        <f aca="false">IF($D775&lt;&gt;1,"",IF($G775="ROKS",$L775+$P775,IF($AI775=1,0,MAX($N775,$L775-$P775))))</f>
        <v/>
      </c>
      <c r="S775" s="14" t="str">
        <f aca="false">IF($D775&lt;&gt;1,"",IF($G775="ROKS",$M775+$Q775,IF($AI775=1,0,MAX($O775,$M775-$Q775))))</f>
        <v/>
      </c>
      <c r="T775" s="14" t="str">
        <f aca="false">IF($D775&lt;&gt;1,"",IF($AI775=1,0,MAX($J775,ROUNDUP(MAX($R775/$H775,$S775/$I775),0))))</f>
        <v/>
      </c>
      <c r="U775" s="14" t="str">
        <f aca="false">IF($D775&lt;&gt;1,"",IF(p_mode="Nœud",$T775*$H775,$R775))</f>
        <v/>
      </c>
      <c r="V775" s="14" t="str">
        <f aca="false">IF($D775&lt;&gt;1,"",IF(p_mode="Nœud",$T775*$I775,$S775))</f>
        <v/>
      </c>
      <c r="W775" s="84" t="str">
        <f aca="false">IF($D775&lt;&gt;1,"",IF(p_mode="Nœud",$T775*$K775,$R775*IF($G775="IKS",p_iks_cpu,p_roks_cpu)+$S775*IF($G775="IKS",p_iks_ram,p_roks_ram))*p_facteur)</f>
        <v/>
      </c>
      <c r="X775" s="14" t="str">
        <f aca="false">IF($D775&lt;&gt;1,"",IF($G775="ROKS",$R775,IF($AI775=1,0,MAX($N775,$L775-SUMIFS(TblApplications[CPU IKS libérable (vCPU)],TblApplications[Cluster IKS source],$F775,TblApplications[Action],"À migrer",TblApplications[Mois prov (calc)],"&lt;="&amp;$E775)-SUMIFS(TblApplications[CPU IKS libérable (vCPU)],TblApplications[Cluster IKS source],$F775,TblApplications[Action],"À décommissionner",TblApplications[Mois lib (calc)],"&lt;="&amp;$E775)))))</f>
        <v/>
      </c>
      <c r="Y775" s="14" t="str">
        <f aca="false">IF($D775&lt;&gt;1,"",IF($G775="ROKS",$S775,IF($AI775=1,0,MAX($O775,$M775-SUMIFS(TblApplications[RAM IKS libérable (Go)],TblApplications[Cluster IKS source],$F775,TblApplications[Action],"À migrer",TblApplications[Mois prov (calc)],"&lt;="&amp;$E775)-SUMIFS(TblApplications[RAM IKS libérable (Go)],TblApplications[Cluster IKS source],$F775,TblApplications[Action],"À décommissionner",TblApplications[Mois lib (calc)],"&lt;="&amp;$E775)))))</f>
        <v/>
      </c>
      <c r="Z775" s="14" t="str">
        <f aca="false">IF($D775&lt;&gt;1,"",IF($AI775=1,0,MAX($J775,ROUNDUP(MAX($X775/$H775,$Y775/$I775),0))))</f>
        <v/>
      </c>
      <c r="AA775" s="84" t="str">
        <f aca="false">IF($D775&lt;&gt;1,"",IF(p_mode="Nœud",$Z775*$K775,$X775*IF($G775="IKS",p_iks_cpu,p_roks_cpu)+$Y775*IF($G775="IKS",p_iks_ram,p_roks_ram))*p_facteur)</f>
        <v/>
      </c>
      <c r="AB775" s="14" t="str">
        <f aca="false">IF($D775&lt;&gt;1,"",MAX($J775,ROUNDUP(MAX($L775/$H775,$M775/$I775),0)))</f>
        <v/>
      </c>
      <c r="AC775" s="84" t="str">
        <f aca="false">IF($D775&lt;&gt;1,"",IF(p_mode="Nœud",$AB775*$K775,$L775*IF($G775="IKS",p_iks_cpu,p_roks_cpu)+$M775*IF($G775="IKS",p_iks_ram,p_roks_ram))*p_facteur)</f>
        <v/>
      </c>
      <c r="AD775" s="14" t="str">
        <f aca="false">IF($D775&lt;&gt;1,"",IF(AND($G775="IKS",$AI775&lt;&gt;1,OR($L775-$P775&lt;$N775,$M775-$Q775&lt;$O775)),1,0))</f>
        <v/>
      </c>
      <c r="AE775" s="14" t="str">
        <f aca="false">IF($D775&lt;&gt;1,"",IF(AND($G775="ROKS",$T775&gt;p_maxworkers),1,0))</f>
        <v/>
      </c>
      <c r="AF775" s="14" t="str">
        <f aca="false">IF($D775&lt;&gt;1,"",IF(INDEX(TblClusters[Environnement],$B775)="","(vide)",INDEX(TblClusters[Environnement],$B775)))</f>
        <v/>
      </c>
      <c r="AG775" s="14" t="str">
        <f aca="false">IF($D775&lt;&gt;1,"",$R775+p_poidsram*$S775)</f>
        <v/>
      </c>
      <c r="AH775" s="14" t="str">
        <f aca="false">IF($D775&lt;&gt;1,"",IFERROR($W775/$AG775,0))</f>
        <v/>
      </c>
      <c r="AI775" s="14" t="str">
        <f aca="false">IF($D775&lt;&gt;1,"",IF(AND($G775="IKS",ISNUMBER(INDEX(TblClusters[Fermeture retenue],$B775))),IF($E775&gt;=INDEX(TblClusters[Fermeture retenue],$B775),1,0),0))</f>
        <v/>
      </c>
    </row>
    <row r="776" customFormat="false" ht="15" hidden="false" customHeight="false" outlineLevel="0" collapsed="false">
      <c r="A776" s="14" t="n">
        <v>771</v>
      </c>
      <c r="B776" s="14" t="n">
        <f aca="false">INT(($A776-1)/36)+1</f>
        <v>22</v>
      </c>
      <c r="C776" s="14" t="n">
        <f aca="false">MOD($A776-1,36)+1</f>
        <v>15</v>
      </c>
      <c r="D776" s="14" t="n">
        <f aca="false">IF($C776&gt;p_horizon,0,IFERROR(IF(AND(INDEX(TblClusters[Cluster],$B776)&lt;&gt;"",ISNUMBER(INDEX(TblClusters[CPU initial (vCPU)],$B776)),ISNUMBER(INDEX(TblClusters[CPU min (vCPU)],$B776)),OR(INDEX(TblClusters[Plateforme],$B776)="IKS",INDEX(TblClusters[Plateforme],$B776)="ROKS")),1,0),0))</f>
        <v>0</v>
      </c>
      <c r="E776" s="83" t="str">
        <f aca="false">IF($D776=1,EDATE(p_debut,$C776-1),"")</f>
        <v/>
      </c>
      <c r="F776" s="14" t="str">
        <f aca="false">IF($D776=1,INDEX(TblClusters[Cluster],$B776),"")</f>
        <v/>
      </c>
      <c r="G776" s="14" t="str">
        <f aca="false">IF($D776=1,INDEX(TblClusters[Plateforme],$B776),"")</f>
        <v/>
      </c>
      <c r="H776" s="14" t="str">
        <f aca="false">IF($D776=1,INDEX(TblClusters[vCPU par nœud],$B776),"")</f>
        <v/>
      </c>
      <c r="I776" s="14" t="str">
        <f aca="false">IF($D776=1,INDEX(TblClusters[RAM par nœud (Go)],$B776),"")</f>
        <v/>
      </c>
      <c r="J776" s="14" t="str">
        <f aca="false">IF($D776=1,INDEX(TblClusters[Workers min],$B776),"")</f>
        <v/>
      </c>
      <c r="K776" s="84" t="str">
        <f aca="false">IF($D776=1,INDEX(TblClusters[Tarif par nœud],$B776),"")</f>
        <v/>
      </c>
      <c r="L776" s="14" t="str">
        <f aca="false">IF($D776=1,INDEX(TblClusters[CPU initial (vCPU)],$B776),"")</f>
        <v/>
      </c>
      <c r="M776" s="14" t="str">
        <f aca="false">IF($D776=1,INDEX(TblClusters[RAM initiale (Go)],$B776),"")</f>
        <v/>
      </c>
      <c r="N776" s="14" t="str">
        <f aca="false">IF($D776=1,INDEX(TblClusters[CPU min (vCPU)],$B776),"")</f>
        <v/>
      </c>
      <c r="O776" s="14" t="str">
        <f aca="false">IF($D776=1,INDEX(TblClusters[RAM min (Go)],$B776),"")</f>
        <v/>
      </c>
      <c r="P776" s="14" t="str">
        <f aca="false">IF($D776&lt;&gt;1,"",IF($G776="ROKS",SUMIFS(TblApplications[Besoin ROKS CPU (vCPU)],TblApplications[Cluster ROKS cible],$F776,TblApplications[Action],"À migrer",TblApplications[Déjà incluse ROKS],"Non",TblApplications[Mois prov (calc)],"&lt;="&amp;$E776),SUMIFS(TblApplications[CPU IKS libérable (vCPU)],TblApplications[Cluster IKS source],$F776,TblApplications[Mois lib (calc)],"&lt;="&amp;$E776)))</f>
        <v/>
      </c>
      <c r="Q776" s="14" t="str">
        <f aca="false">IF($D776&lt;&gt;1,"",IF($G776="ROKS",SUMIFS(TblApplications[Besoin ROKS RAM (Go)],TblApplications[Cluster ROKS cible],$F776,TblApplications[Action],"À migrer",TblApplications[Déjà incluse ROKS],"Non",TblApplications[Mois prov (calc)],"&lt;="&amp;$E776),SUMIFS(TblApplications[RAM IKS libérable (Go)],TblApplications[Cluster IKS source],$F776,TblApplications[Mois lib (calc)],"&lt;="&amp;$E776)))</f>
        <v/>
      </c>
      <c r="R776" s="14" t="str">
        <f aca="false">IF($D776&lt;&gt;1,"",IF($G776="ROKS",$L776+$P776,IF($AI776=1,0,MAX($N776,$L776-$P776))))</f>
        <v/>
      </c>
      <c r="S776" s="14" t="str">
        <f aca="false">IF($D776&lt;&gt;1,"",IF($G776="ROKS",$M776+$Q776,IF($AI776=1,0,MAX($O776,$M776-$Q776))))</f>
        <v/>
      </c>
      <c r="T776" s="14" t="str">
        <f aca="false">IF($D776&lt;&gt;1,"",IF($AI776=1,0,MAX($J776,ROUNDUP(MAX($R776/$H776,$S776/$I776),0))))</f>
        <v/>
      </c>
      <c r="U776" s="14" t="str">
        <f aca="false">IF($D776&lt;&gt;1,"",IF(p_mode="Nœud",$T776*$H776,$R776))</f>
        <v/>
      </c>
      <c r="V776" s="14" t="str">
        <f aca="false">IF($D776&lt;&gt;1,"",IF(p_mode="Nœud",$T776*$I776,$S776))</f>
        <v/>
      </c>
      <c r="W776" s="84" t="str">
        <f aca="false">IF($D776&lt;&gt;1,"",IF(p_mode="Nœud",$T776*$K776,$R776*IF($G776="IKS",p_iks_cpu,p_roks_cpu)+$S776*IF($G776="IKS",p_iks_ram,p_roks_ram))*p_facteur)</f>
        <v/>
      </c>
      <c r="X776" s="14" t="str">
        <f aca="false">IF($D776&lt;&gt;1,"",IF($G776="ROKS",$R776,IF($AI776=1,0,MAX($N776,$L776-SUMIFS(TblApplications[CPU IKS libérable (vCPU)],TblApplications[Cluster IKS source],$F776,TblApplications[Action],"À migrer",TblApplications[Mois prov (calc)],"&lt;="&amp;$E776)-SUMIFS(TblApplications[CPU IKS libérable (vCPU)],TblApplications[Cluster IKS source],$F776,TblApplications[Action],"À décommissionner",TblApplications[Mois lib (calc)],"&lt;="&amp;$E776)))))</f>
        <v/>
      </c>
      <c r="Y776" s="14" t="str">
        <f aca="false">IF($D776&lt;&gt;1,"",IF($G776="ROKS",$S776,IF($AI776=1,0,MAX($O776,$M776-SUMIFS(TblApplications[RAM IKS libérable (Go)],TblApplications[Cluster IKS source],$F776,TblApplications[Action],"À migrer",TblApplications[Mois prov (calc)],"&lt;="&amp;$E776)-SUMIFS(TblApplications[RAM IKS libérable (Go)],TblApplications[Cluster IKS source],$F776,TblApplications[Action],"À décommissionner",TblApplications[Mois lib (calc)],"&lt;="&amp;$E776)))))</f>
        <v/>
      </c>
      <c r="Z776" s="14" t="str">
        <f aca="false">IF($D776&lt;&gt;1,"",IF($AI776=1,0,MAX($J776,ROUNDUP(MAX($X776/$H776,$Y776/$I776),0))))</f>
        <v/>
      </c>
      <c r="AA776" s="84" t="str">
        <f aca="false">IF($D776&lt;&gt;1,"",IF(p_mode="Nœud",$Z776*$K776,$X776*IF($G776="IKS",p_iks_cpu,p_roks_cpu)+$Y776*IF($G776="IKS",p_iks_ram,p_roks_ram))*p_facteur)</f>
        <v/>
      </c>
      <c r="AB776" s="14" t="str">
        <f aca="false">IF($D776&lt;&gt;1,"",MAX($J776,ROUNDUP(MAX($L776/$H776,$M776/$I776),0)))</f>
        <v/>
      </c>
      <c r="AC776" s="84" t="str">
        <f aca="false">IF($D776&lt;&gt;1,"",IF(p_mode="Nœud",$AB776*$K776,$L776*IF($G776="IKS",p_iks_cpu,p_roks_cpu)+$M776*IF($G776="IKS",p_iks_ram,p_roks_ram))*p_facteur)</f>
        <v/>
      </c>
      <c r="AD776" s="14" t="str">
        <f aca="false">IF($D776&lt;&gt;1,"",IF(AND($G776="IKS",$AI776&lt;&gt;1,OR($L776-$P776&lt;$N776,$M776-$Q776&lt;$O776)),1,0))</f>
        <v/>
      </c>
      <c r="AE776" s="14" t="str">
        <f aca="false">IF($D776&lt;&gt;1,"",IF(AND($G776="ROKS",$T776&gt;p_maxworkers),1,0))</f>
        <v/>
      </c>
      <c r="AF776" s="14" t="str">
        <f aca="false">IF($D776&lt;&gt;1,"",IF(INDEX(TblClusters[Environnement],$B776)="","(vide)",INDEX(TblClusters[Environnement],$B776)))</f>
        <v/>
      </c>
      <c r="AG776" s="14" t="str">
        <f aca="false">IF($D776&lt;&gt;1,"",$R776+p_poidsram*$S776)</f>
        <v/>
      </c>
      <c r="AH776" s="14" t="str">
        <f aca="false">IF($D776&lt;&gt;1,"",IFERROR($W776/$AG776,0))</f>
        <v/>
      </c>
      <c r="AI776" s="14" t="str">
        <f aca="false">IF($D776&lt;&gt;1,"",IF(AND($G776="IKS",ISNUMBER(INDEX(TblClusters[Fermeture retenue],$B776))),IF($E776&gt;=INDEX(TblClusters[Fermeture retenue],$B776),1,0),0))</f>
        <v/>
      </c>
    </row>
    <row r="777" customFormat="false" ht="15" hidden="false" customHeight="false" outlineLevel="0" collapsed="false">
      <c r="A777" s="14" t="n">
        <v>772</v>
      </c>
      <c r="B777" s="14" t="n">
        <f aca="false">INT(($A777-1)/36)+1</f>
        <v>22</v>
      </c>
      <c r="C777" s="14" t="n">
        <f aca="false">MOD($A777-1,36)+1</f>
        <v>16</v>
      </c>
      <c r="D777" s="14" t="n">
        <f aca="false">IF($C777&gt;p_horizon,0,IFERROR(IF(AND(INDEX(TblClusters[Cluster],$B777)&lt;&gt;"",ISNUMBER(INDEX(TblClusters[CPU initial (vCPU)],$B777)),ISNUMBER(INDEX(TblClusters[CPU min (vCPU)],$B777)),OR(INDEX(TblClusters[Plateforme],$B777)="IKS",INDEX(TblClusters[Plateforme],$B777)="ROKS")),1,0),0))</f>
        <v>0</v>
      </c>
      <c r="E777" s="83" t="str">
        <f aca="false">IF($D777=1,EDATE(p_debut,$C777-1),"")</f>
        <v/>
      </c>
      <c r="F777" s="14" t="str">
        <f aca="false">IF($D777=1,INDEX(TblClusters[Cluster],$B777),"")</f>
        <v/>
      </c>
      <c r="G777" s="14" t="str">
        <f aca="false">IF($D777=1,INDEX(TblClusters[Plateforme],$B777),"")</f>
        <v/>
      </c>
      <c r="H777" s="14" t="str">
        <f aca="false">IF($D777=1,INDEX(TblClusters[vCPU par nœud],$B777),"")</f>
        <v/>
      </c>
      <c r="I777" s="14" t="str">
        <f aca="false">IF($D777=1,INDEX(TblClusters[RAM par nœud (Go)],$B777),"")</f>
        <v/>
      </c>
      <c r="J777" s="14" t="str">
        <f aca="false">IF($D777=1,INDEX(TblClusters[Workers min],$B777),"")</f>
        <v/>
      </c>
      <c r="K777" s="84" t="str">
        <f aca="false">IF($D777=1,INDEX(TblClusters[Tarif par nœud],$B777),"")</f>
        <v/>
      </c>
      <c r="L777" s="14" t="str">
        <f aca="false">IF($D777=1,INDEX(TblClusters[CPU initial (vCPU)],$B777),"")</f>
        <v/>
      </c>
      <c r="M777" s="14" t="str">
        <f aca="false">IF($D777=1,INDEX(TblClusters[RAM initiale (Go)],$B777),"")</f>
        <v/>
      </c>
      <c r="N777" s="14" t="str">
        <f aca="false">IF($D777=1,INDEX(TblClusters[CPU min (vCPU)],$B777),"")</f>
        <v/>
      </c>
      <c r="O777" s="14" t="str">
        <f aca="false">IF($D777=1,INDEX(TblClusters[RAM min (Go)],$B777),"")</f>
        <v/>
      </c>
      <c r="P777" s="14" t="str">
        <f aca="false">IF($D777&lt;&gt;1,"",IF($G777="ROKS",SUMIFS(TblApplications[Besoin ROKS CPU (vCPU)],TblApplications[Cluster ROKS cible],$F777,TblApplications[Action],"À migrer",TblApplications[Déjà incluse ROKS],"Non",TblApplications[Mois prov (calc)],"&lt;="&amp;$E777),SUMIFS(TblApplications[CPU IKS libérable (vCPU)],TblApplications[Cluster IKS source],$F777,TblApplications[Mois lib (calc)],"&lt;="&amp;$E777)))</f>
        <v/>
      </c>
      <c r="Q777" s="14" t="str">
        <f aca="false">IF($D777&lt;&gt;1,"",IF($G777="ROKS",SUMIFS(TblApplications[Besoin ROKS RAM (Go)],TblApplications[Cluster ROKS cible],$F777,TblApplications[Action],"À migrer",TblApplications[Déjà incluse ROKS],"Non",TblApplications[Mois prov (calc)],"&lt;="&amp;$E777),SUMIFS(TblApplications[RAM IKS libérable (Go)],TblApplications[Cluster IKS source],$F777,TblApplications[Mois lib (calc)],"&lt;="&amp;$E777)))</f>
        <v/>
      </c>
      <c r="R777" s="14" t="str">
        <f aca="false">IF($D777&lt;&gt;1,"",IF($G777="ROKS",$L777+$P777,IF($AI777=1,0,MAX($N777,$L777-$P777))))</f>
        <v/>
      </c>
      <c r="S777" s="14" t="str">
        <f aca="false">IF($D777&lt;&gt;1,"",IF($G777="ROKS",$M777+$Q777,IF($AI777=1,0,MAX($O777,$M777-$Q777))))</f>
        <v/>
      </c>
      <c r="T777" s="14" t="str">
        <f aca="false">IF($D777&lt;&gt;1,"",IF($AI777=1,0,MAX($J777,ROUNDUP(MAX($R777/$H777,$S777/$I777),0))))</f>
        <v/>
      </c>
      <c r="U777" s="14" t="str">
        <f aca="false">IF($D777&lt;&gt;1,"",IF(p_mode="Nœud",$T777*$H777,$R777))</f>
        <v/>
      </c>
      <c r="V777" s="14" t="str">
        <f aca="false">IF($D777&lt;&gt;1,"",IF(p_mode="Nœud",$T777*$I777,$S777))</f>
        <v/>
      </c>
      <c r="W777" s="84" t="str">
        <f aca="false">IF($D777&lt;&gt;1,"",IF(p_mode="Nœud",$T777*$K777,$R777*IF($G777="IKS",p_iks_cpu,p_roks_cpu)+$S777*IF($G777="IKS",p_iks_ram,p_roks_ram))*p_facteur)</f>
        <v/>
      </c>
      <c r="X777" s="14" t="str">
        <f aca="false">IF($D777&lt;&gt;1,"",IF($G777="ROKS",$R777,IF($AI777=1,0,MAX($N777,$L777-SUMIFS(TblApplications[CPU IKS libérable (vCPU)],TblApplications[Cluster IKS source],$F777,TblApplications[Action],"À migrer",TblApplications[Mois prov (calc)],"&lt;="&amp;$E777)-SUMIFS(TblApplications[CPU IKS libérable (vCPU)],TblApplications[Cluster IKS source],$F777,TblApplications[Action],"À décommissionner",TblApplications[Mois lib (calc)],"&lt;="&amp;$E777)))))</f>
        <v/>
      </c>
      <c r="Y777" s="14" t="str">
        <f aca="false">IF($D777&lt;&gt;1,"",IF($G777="ROKS",$S777,IF($AI777=1,0,MAX($O777,$M777-SUMIFS(TblApplications[RAM IKS libérable (Go)],TblApplications[Cluster IKS source],$F777,TblApplications[Action],"À migrer",TblApplications[Mois prov (calc)],"&lt;="&amp;$E777)-SUMIFS(TblApplications[RAM IKS libérable (Go)],TblApplications[Cluster IKS source],$F777,TblApplications[Action],"À décommissionner",TblApplications[Mois lib (calc)],"&lt;="&amp;$E777)))))</f>
        <v/>
      </c>
      <c r="Z777" s="14" t="str">
        <f aca="false">IF($D777&lt;&gt;1,"",IF($AI777=1,0,MAX($J777,ROUNDUP(MAX($X777/$H777,$Y777/$I777),0))))</f>
        <v/>
      </c>
      <c r="AA777" s="84" t="str">
        <f aca="false">IF($D777&lt;&gt;1,"",IF(p_mode="Nœud",$Z777*$K777,$X777*IF($G777="IKS",p_iks_cpu,p_roks_cpu)+$Y777*IF($G777="IKS",p_iks_ram,p_roks_ram))*p_facteur)</f>
        <v/>
      </c>
      <c r="AB777" s="14" t="str">
        <f aca="false">IF($D777&lt;&gt;1,"",MAX($J777,ROUNDUP(MAX($L777/$H777,$M777/$I777),0)))</f>
        <v/>
      </c>
      <c r="AC777" s="84" t="str">
        <f aca="false">IF($D777&lt;&gt;1,"",IF(p_mode="Nœud",$AB777*$K777,$L777*IF($G777="IKS",p_iks_cpu,p_roks_cpu)+$M777*IF($G777="IKS",p_iks_ram,p_roks_ram))*p_facteur)</f>
        <v/>
      </c>
      <c r="AD777" s="14" t="str">
        <f aca="false">IF($D777&lt;&gt;1,"",IF(AND($G777="IKS",$AI777&lt;&gt;1,OR($L777-$P777&lt;$N777,$M777-$Q777&lt;$O777)),1,0))</f>
        <v/>
      </c>
      <c r="AE777" s="14" t="str">
        <f aca="false">IF($D777&lt;&gt;1,"",IF(AND($G777="ROKS",$T777&gt;p_maxworkers),1,0))</f>
        <v/>
      </c>
      <c r="AF777" s="14" t="str">
        <f aca="false">IF($D777&lt;&gt;1,"",IF(INDEX(TblClusters[Environnement],$B777)="","(vide)",INDEX(TblClusters[Environnement],$B777)))</f>
        <v/>
      </c>
      <c r="AG777" s="14" t="str">
        <f aca="false">IF($D777&lt;&gt;1,"",$R777+p_poidsram*$S777)</f>
        <v/>
      </c>
      <c r="AH777" s="14" t="str">
        <f aca="false">IF($D777&lt;&gt;1,"",IFERROR($W777/$AG777,0))</f>
        <v/>
      </c>
      <c r="AI777" s="14" t="str">
        <f aca="false">IF($D777&lt;&gt;1,"",IF(AND($G777="IKS",ISNUMBER(INDEX(TblClusters[Fermeture retenue],$B777))),IF($E777&gt;=INDEX(TblClusters[Fermeture retenue],$B777),1,0),0))</f>
        <v/>
      </c>
    </row>
    <row r="778" customFormat="false" ht="15" hidden="false" customHeight="false" outlineLevel="0" collapsed="false">
      <c r="A778" s="14" t="n">
        <v>773</v>
      </c>
      <c r="B778" s="14" t="n">
        <f aca="false">INT(($A778-1)/36)+1</f>
        <v>22</v>
      </c>
      <c r="C778" s="14" t="n">
        <f aca="false">MOD($A778-1,36)+1</f>
        <v>17</v>
      </c>
      <c r="D778" s="14" t="n">
        <f aca="false">IF($C778&gt;p_horizon,0,IFERROR(IF(AND(INDEX(TblClusters[Cluster],$B778)&lt;&gt;"",ISNUMBER(INDEX(TblClusters[CPU initial (vCPU)],$B778)),ISNUMBER(INDEX(TblClusters[CPU min (vCPU)],$B778)),OR(INDEX(TblClusters[Plateforme],$B778)="IKS",INDEX(TblClusters[Plateforme],$B778)="ROKS")),1,0),0))</f>
        <v>0</v>
      </c>
      <c r="E778" s="83" t="str">
        <f aca="false">IF($D778=1,EDATE(p_debut,$C778-1),"")</f>
        <v/>
      </c>
      <c r="F778" s="14" t="str">
        <f aca="false">IF($D778=1,INDEX(TblClusters[Cluster],$B778),"")</f>
        <v/>
      </c>
      <c r="G778" s="14" t="str">
        <f aca="false">IF($D778=1,INDEX(TblClusters[Plateforme],$B778),"")</f>
        <v/>
      </c>
      <c r="H778" s="14" t="str">
        <f aca="false">IF($D778=1,INDEX(TblClusters[vCPU par nœud],$B778),"")</f>
        <v/>
      </c>
      <c r="I778" s="14" t="str">
        <f aca="false">IF($D778=1,INDEX(TblClusters[RAM par nœud (Go)],$B778),"")</f>
        <v/>
      </c>
      <c r="J778" s="14" t="str">
        <f aca="false">IF($D778=1,INDEX(TblClusters[Workers min],$B778),"")</f>
        <v/>
      </c>
      <c r="K778" s="84" t="str">
        <f aca="false">IF($D778=1,INDEX(TblClusters[Tarif par nœud],$B778),"")</f>
        <v/>
      </c>
      <c r="L778" s="14" t="str">
        <f aca="false">IF($D778=1,INDEX(TblClusters[CPU initial (vCPU)],$B778),"")</f>
        <v/>
      </c>
      <c r="M778" s="14" t="str">
        <f aca="false">IF($D778=1,INDEX(TblClusters[RAM initiale (Go)],$B778),"")</f>
        <v/>
      </c>
      <c r="N778" s="14" t="str">
        <f aca="false">IF($D778=1,INDEX(TblClusters[CPU min (vCPU)],$B778),"")</f>
        <v/>
      </c>
      <c r="O778" s="14" t="str">
        <f aca="false">IF($D778=1,INDEX(TblClusters[RAM min (Go)],$B778),"")</f>
        <v/>
      </c>
      <c r="P778" s="14" t="str">
        <f aca="false">IF($D778&lt;&gt;1,"",IF($G778="ROKS",SUMIFS(TblApplications[Besoin ROKS CPU (vCPU)],TblApplications[Cluster ROKS cible],$F778,TblApplications[Action],"À migrer",TblApplications[Déjà incluse ROKS],"Non",TblApplications[Mois prov (calc)],"&lt;="&amp;$E778),SUMIFS(TblApplications[CPU IKS libérable (vCPU)],TblApplications[Cluster IKS source],$F778,TblApplications[Mois lib (calc)],"&lt;="&amp;$E778)))</f>
        <v/>
      </c>
      <c r="Q778" s="14" t="str">
        <f aca="false">IF($D778&lt;&gt;1,"",IF($G778="ROKS",SUMIFS(TblApplications[Besoin ROKS RAM (Go)],TblApplications[Cluster ROKS cible],$F778,TblApplications[Action],"À migrer",TblApplications[Déjà incluse ROKS],"Non",TblApplications[Mois prov (calc)],"&lt;="&amp;$E778),SUMIFS(TblApplications[RAM IKS libérable (Go)],TblApplications[Cluster IKS source],$F778,TblApplications[Mois lib (calc)],"&lt;="&amp;$E778)))</f>
        <v/>
      </c>
      <c r="R778" s="14" t="str">
        <f aca="false">IF($D778&lt;&gt;1,"",IF($G778="ROKS",$L778+$P778,IF($AI778=1,0,MAX($N778,$L778-$P778))))</f>
        <v/>
      </c>
      <c r="S778" s="14" t="str">
        <f aca="false">IF($D778&lt;&gt;1,"",IF($G778="ROKS",$M778+$Q778,IF($AI778=1,0,MAX($O778,$M778-$Q778))))</f>
        <v/>
      </c>
      <c r="T778" s="14" t="str">
        <f aca="false">IF($D778&lt;&gt;1,"",IF($AI778=1,0,MAX($J778,ROUNDUP(MAX($R778/$H778,$S778/$I778),0))))</f>
        <v/>
      </c>
      <c r="U778" s="14" t="str">
        <f aca="false">IF($D778&lt;&gt;1,"",IF(p_mode="Nœud",$T778*$H778,$R778))</f>
        <v/>
      </c>
      <c r="V778" s="14" t="str">
        <f aca="false">IF($D778&lt;&gt;1,"",IF(p_mode="Nœud",$T778*$I778,$S778))</f>
        <v/>
      </c>
      <c r="W778" s="84" t="str">
        <f aca="false">IF($D778&lt;&gt;1,"",IF(p_mode="Nœud",$T778*$K778,$R778*IF($G778="IKS",p_iks_cpu,p_roks_cpu)+$S778*IF($G778="IKS",p_iks_ram,p_roks_ram))*p_facteur)</f>
        <v/>
      </c>
      <c r="X778" s="14" t="str">
        <f aca="false">IF($D778&lt;&gt;1,"",IF($G778="ROKS",$R778,IF($AI778=1,0,MAX($N778,$L778-SUMIFS(TblApplications[CPU IKS libérable (vCPU)],TblApplications[Cluster IKS source],$F778,TblApplications[Action],"À migrer",TblApplications[Mois prov (calc)],"&lt;="&amp;$E778)-SUMIFS(TblApplications[CPU IKS libérable (vCPU)],TblApplications[Cluster IKS source],$F778,TblApplications[Action],"À décommissionner",TblApplications[Mois lib (calc)],"&lt;="&amp;$E778)))))</f>
        <v/>
      </c>
      <c r="Y778" s="14" t="str">
        <f aca="false">IF($D778&lt;&gt;1,"",IF($G778="ROKS",$S778,IF($AI778=1,0,MAX($O778,$M778-SUMIFS(TblApplications[RAM IKS libérable (Go)],TblApplications[Cluster IKS source],$F778,TblApplications[Action],"À migrer",TblApplications[Mois prov (calc)],"&lt;="&amp;$E778)-SUMIFS(TblApplications[RAM IKS libérable (Go)],TblApplications[Cluster IKS source],$F778,TblApplications[Action],"À décommissionner",TblApplications[Mois lib (calc)],"&lt;="&amp;$E778)))))</f>
        <v/>
      </c>
      <c r="Z778" s="14" t="str">
        <f aca="false">IF($D778&lt;&gt;1,"",IF($AI778=1,0,MAX($J778,ROUNDUP(MAX($X778/$H778,$Y778/$I778),0))))</f>
        <v/>
      </c>
      <c r="AA778" s="84" t="str">
        <f aca="false">IF($D778&lt;&gt;1,"",IF(p_mode="Nœud",$Z778*$K778,$X778*IF($G778="IKS",p_iks_cpu,p_roks_cpu)+$Y778*IF($G778="IKS",p_iks_ram,p_roks_ram))*p_facteur)</f>
        <v/>
      </c>
      <c r="AB778" s="14" t="str">
        <f aca="false">IF($D778&lt;&gt;1,"",MAX($J778,ROUNDUP(MAX($L778/$H778,$M778/$I778),0)))</f>
        <v/>
      </c>
      <c r="AC778" s="84" t="str">
        <f aca="false">IF($D778&lt;&gt;1,"",IF(p_mode="Nœud",$AB778*$K778,$L778*IF($G778="IKS",p_iks_cpu,p_roks_cpu)+$M778*IF($G778="IKS",p_iks_ram,p_roks_ram))*p_facteur)</f>
        <v/>
      </c>
      <c r="AD778" s="14" t="str">
        <f aca="false">IF($D778&lt;&gt;1,"",IF(AND($G778="IKS",$AI778&lt;&gt;1,OR($L778-$P778&lt;$N778,$M778-$Q778&lt;$O778)),1,0))</f>
        <v/>
      </c>
      <c r="AE778" s="14" t="str">
        <f aca="false">IF($D778&lt;&gt;1,"",IF(AND($G778="ROKS",$T778&gt;p_maxworkers),1,0))</f>
        <v/>
      </c>
      <c r="AF778" s="14" t="str">
        <f aca="false">IF($D778&lt;&gt;1,"",IF(INDEX(TblClusters[Environnement],$B778)="","(vide)",INDEX(TblClusters[Environnement],$B778)))</f>
        <v/>
      </c>
      <c r="AG778" s="14" t="str">
        <f aca="false">IF($D778&lt;&gt;1,"",$R778+p_poidsram*$S778)</f>
        <v/>
      </c>
      <c r="AH778" s="14" t="str">
        <f aca="false">IF($D778&lt;&gt;1,"",IFERROR($W778/$AG778,0))</f>
        <v/>
      </c>
      <c r="AI778" s="14" t="str">
        <f aca="false">IF($D778&lt;&gt;1,"",IF(AND($G778="IKS",ISNUMBER(INDEX(TblClusters[Fermeture retenue],$B778))),IF($E778&gt;=INDEX(TblClusters[Fermeture retenue],$B778),1,0),0))</f>
        <v/>
      </c>
    </row>
    <row r="779" customFormat="false" ht="15" hidden="false" customHeight="false" outlineLevel="0" collapsed="false">
      <c r="A779" s="14" t="n">
        <v>774</v>
      </c>
      <c r="B779" s="14" t="n">
        <f aca="false">INT(($A779-1)/36)+1</f>
        <v>22</v>
      </c>
      <c r="C779" s="14" t="n">
        <f aca="false">MOD($A779-1,36)+1</f>
        <v>18</v>
      </c>
      <c r="D779" s="14" t="n">
        <f aca="false">IF($C779&gt;p_horizon,0,IFERROR(IF(AND(INDEX(TblClusters[Cluster],$B779)&lt;&gt;"",ISNUMBER(INDEX(TblClusters[CPU initial (vCPU)],$B779)),ISNUMBER(INDEX(TblClusters[CPU min (vCPU)],$B779)),OR(INDEX(TblClusters[Plateforme],$B779)="IKS",INDEX(TblClusters[Plateforme],$B779)="ROKS")),1,0),0))</f>
        <v>0</v>
      </c>
      <c r="E779" s="83" t="str">
        <f aca="false">IF($D779=1,EDATE(p_debut,$C779-1),"")</f>
        <v/>
      </c>
      <c r="F779" s="14" t="str">
        <f aca="false">IF($D779=1,INDEX(TblClusters[Cluster],$B779),"")</f>
        <v/>
      </c>
      <c r="G779" s="14" t="str">
        <f aca="false">IF($D779=1,INDEX(TblClusters[Plateforme],$B779),"")</f>
        <v/>
      </c>
      <c r="H779" s="14" t="str">
        <f aca="false">IF($D779=1,INDEX(TblClusters[vCPU par nœud],$B779),"")</f>
        <v/>
      </c>
      <c r="I779" s="14" t="str">
        <f aca="false">IF($D779=1,INDEX(TblClusters[RAM par nœud (Go)],$B779),"")</f>
        <v/>
      </c>
      <c r="J779" s="14" t="str">
        <f aca="false">IF($D779=1,INDEX(TblClusters[Workers min],$B779),"")</f>
        <v/>
      </c>
      <c r="K779" s="84" t="str">
        <f aca="false">IF($D779=1,INDEX(TblClusters[Tarif par nœud],$B779),"")</f>
        <v/>
      </c>
      <c r="L779" s="14" t="str">
        <f aca="false">IF($D779=1,INDEX(TblClusters[CPU initial (vCPU)],$B779),"")</f>
        <v/>
      </c>
      <c r="M779" s="14" t="str">
        <f aca="false">IF($D779=1,INDEX(TblClusters[RAM initiale (Go)],$B779),"")</f>
        <v/>
      </c>
      <c r="N779" s="14" t="str">
        <f aca="false">IF($D779=1,INDEX(TblClusters[CPU min (vCPU)],$B779),"")</f>
        <v/>
      </c>
      <c r="O779" s="14" t="str">
        <f aca="false">IF($D779=1,INDEX(TblClusters[RAM min (Go)],$B779),"")</f>
        <v/>
      </c>
      <c r="P779" s="14" t="str">
        <f aca="false">IF($D779&lt;&gt;1,"",IF($G779="ROKS",SUMIFS(TblApplications[Besoin ROKS CPU (vCPU)],TblApplications[Cluster ROKS cible],$F779,TblApplications[Action],"À migrer",TblApplications[Déjà incluse ROKS],"Non",TblApplications[Mois prov (calc)],"&lt;="&amp;$E779),SUMIFS(TblApplications[CPU IKS libérable (vCPU)],TblApplications[Cluster IKS source],$F779,TblApplications[Mois lib (calc)],"&lt;="&amp;$E779)))</f>
        <v/>
      </c>
      <c r="Q779" s="14" t="str">
        <f aca="false">IF($D779&lt;&gt;1,"",IF($G779="ROKS",SUMIFS(TblApplications[Besoin ROKS RAM (Go)],TblApplications[Cluster ROKS cible],$F779,TblApplications[Action],"À migrer",TblApplications[Déjà incluse ROKS],"Non",TblApplications[Mois prov (calc)],"&lt;="&amp;$E779),SUMIFS(TblApplications[RAM IKS libérable (Go)],TblApplications[Cluster IKS source],$F779,TblApplications[Mois lib (calc)],"&lt;="&amp;$E779)))</f>
        <v/>
      </c>
      <c r="R779" s="14" t="str">
        <f aca="false">IF($D779&lt;&gt;1,"",IF($G779="ROKS",$L779+$P779,IF($AI779=1,0,MAX($N779,$L779-$P779))))</f>
        <v/>
      </c>
      <c r="S779" s="14" t="str">
        <f aca="false">IF($D779&lt;&gt;1,"",IF($G779="ROKS",$M779+$Q779,IF($AI779=1,0,MAX($O779,$M779-$Q779))))</f>
        <v/>
      </c>
      <c r="T779" s="14" t="str">
        <f aca="false">IF($D779&lt;&gt;1,"",IF($AI779=1,0,MAX($J779,ROUNDUP(MAX($R779/$H779,$S779/$I779),0))))</f>
        <v/>
      </c>
      <c r="U779" s="14" t="str">
        <f aca="false">IF($D779&lt;&gt;1,"",IF(p_mode="Nœud",$T779*$H779,$R779))</f>
        <v/>
      </c>
      <c r="V779" s="14" t="str">
        <f aca="false">IF($D779&lt;&gt;1,"",IF(p_mode="Nœud",$T779*$I779,$S779))</f>
        <v/>
      </c>
      <c r="W779" s="84" t="str">
        <f aca="false">IF($D779&lt;&gt;1,"",IF(p_mode="Nœud",$T779*$K779,$R779*IF($G779="IKS",p_iks_cpu,p_roks_cpu)+$S779*IF($G779="IKS",p_iks_ram,p_roks_ram))*p_facteur)</f>
        <v/>
      </c>
      <c r="X779" s="14" t="str">
        <f aca="false">IF($D779&lt;&gt;1,"",IF($G779="ROKS",$R779,IF($AI779=1,0,MAX($N779,$L779-SUMIFS(TblApplications[CPU IKS libérable (vCPU)],TblApplications[Cluster IKS source],$F779,TblApplications[Action],"À migrer",TblApplications[Mois prov (calc)],"&lt;="&amp;$E779)-SUMIFS(TblApplications[CPU IKS libérable (vCPU)],TblApplications[Cluster IKS source],$F779,TblApplications[Action],"À décommissionner",TblApplications[Mois lib (calc)],"&lt;="&amp;$E779)))))</f>
        <v/>
      </c>
      <c r="Y779" s="14" t="str">
        <f aca="false">IF($D779&lt;&gt;1,"",IF($G779="ROKS",$S779,IF($AI779=1,0,MAX($O779,$M779-SUMIFS(TblApplications[RAM IKS libérable (Go)],TblApplications[Cluster IKS source],$F779,TblApplications[Action],"À migrer",TblApplications[Mois prov (calc)],"&lt;="&amp;$E779)-SUMIFS(TblApplications[RAM IKS libérable (Go)],TblApplications[Cluster IKS source],$F779,TblApplications[Action],"À décommissionner",TblApplications[Mois lib (calc)],"&lt;="&amp;$E779)))))</f>
        <v/>
      </c>
      <c r="Z779" s="14" t="str">
        <f aca="false">IF($D779&lt;&gt;1,"",IF($AI779=1,0,MAX($J779,ROUNDUP(MAX($X779/$H779,$Y779/$I779),0))))</f>
        <v/>
      </c>
      <c r="AA779" s="84" t="str">
        <f aca="false">IF($D779&lt;&gt;1,"",IF(p_mode="Nœud",$Z779*$K779,$X779*IF($G779="IKS",p_iks_cpu,p_roks_cpu)+$Y779*IF($G779="IKS",p_iks_ram,p_roks_ram))*p_facteur)</f>
        <v/>
      </c>
      <c r="AB779" s="14" t="str">
        <f aca="false">IF($D779&lt;&gt;1,"",MAX($J779,ROUNDUP(MAX($L779/$H779,$M779/$I779),0)))</f>
        <v/>
      </c>
      <c r="AC779" s="84" t="str">
        <f aca="false">IF($D779&lt;&gt;1,"",IF(p_mode="Nœud",$AB779*$K779,$L779*IF($G779="IKS",p_iks_cpu,p_roks_cpu)+$M779*IF($G779="IKS",p_iks_ram,p_roks_ram))*p_facteur)</f>
        <v/>
      </c>
      <c r="AD779" s="14" t="str">
        <f aca="false">IF($D779&lt;&gt;1,"",IF(AND($G779="IKS",$AI779&lt;&gt;1,OR($L779-$P779&lt;$N779,$M779-$Q779&lt;$O779)),1,0))</f>
        <v/>
      </c>
      <c r="AE779" s="14" t="str">
        <f aca="false">IF($D779&lt;&gt;1,"",IF(AND($G779="ROKS",$T779&gt;p_maxworkers),1,0))</f>
        <v/>
      </c>
      <c r="AF779" s="14" t="str">
        <f aca="false">IF($D779&lt;&gt;1,"",IF(INDEX(TblClusters[Environnement],$B779)="","(vide)",INDEX(TblClusters[Environnement],$B779)))</f>
        <v/>
      </c>
      <c r="AG779" s="14" t="str">
        <f aca="false">IF($D779&lt;&gt;1,"",$R779+p_poidsram*$S779)</f>
        <v/>
      </c>
      <c r="AH779" s="14" t="str">
        <f aca="false">IF($D779&lt;&gt;1,"",IFERROR($W779/$AG779,0))</f>
        <v/>
      </c>
      <c r="AI779" s="14" t="str">
        <f aca="false">IF($D779&lt;&gt;1,"",IF(AND($G779="IKS",ISNUMBER(INDEX(TblClusters[Fermeture retenue],$B779))),IF($E779&gt;=INDEX(TblClusters[Fermeture retenue],$B779),1,0),0))</f>
        <v/>
      </c>
    </row>
    <row r="780" customFormat="false" ht="15" hidden="false" customHeight="false" outlineLevel="0" collapsed="false">
      <c r="A780" s="14" t="n">
        <v>775</v>
      </c>
      <c r="B780" s="14" t="n">
        <f aca="false">INT(($A780-1)/36)+1</f>
        <v>22</v>
      </c>
      <c r="C780" s="14" t="n">
        <f aca="false">MOD($A780-1,36)+1</f>
        <v>19</v>
      </c>
      <c r="D780" s="14" t="n">
        <f aca="false">IF($C780&gt;p_horizon,0,IFERROR(IF(AND(INDEX(TblClusters[Cluster],$B780)&lt;&gt;"",ISNUMBER(INDEX(TblClusters[CPU initial (vCPU)],$B780)),ISNUMBER(INDEX(TblClusters[CPU min (vCPU)],$B780)),OR(INDEX(TblClusters[Plateforme],$B780)="IKS",INDEX(TblClusters[Plateforme],$B780)="ROKS")),1,0),0))</f>
        <v>0</v>
      </c>
      <c r="E780" s="83" t="str">
        <f aca="false">IF($D780=1,EDATE(p_debut,$C780-1),"")</f>
        <v/>
      </c>
      <c r="F780" s="14" t="str">
        <f aca="false">IF($D780=1,INDEX(TblClusters[Cluster],$B780),"")</f>
        <v/>
      </c>
      <c r="G780" s="14" t="str">
        <f aca="false">IF($D780=1,INDEX(TblClusters[Plateforme],$B780),"")</f>
        <v/>
      </c>
      <c r="H780" s="14" t="str">
        <f aca="false">IF($D780=1,INDEX(TblClusters[vCPU par nœud],$B780),"")</f>
        <v/>
      </c>
      <c r="I780" s="14" t="str">
        <f aca="false">IF($D780=1,INDEX(TblClusters[RAM par nœud (Go)],$B780),"")</f>
        <v/>
      </c>
      <c r="J780" s="14" t="str">
        <f aca="false">IF($D780=1,INDEX(TblClusters[Workers min],$B780),"")</f>
        <v/>
      </c>
      <c r="K780" s="84" t="str">
        <f aca="false">IF($D780=1,INDEX(TblClusters[Tarif par nœud],$B780),"")</f>
        <v/>
      </c>
      <c r="L780" s="14" t="str">
        <f aca="false">IF($D780=1,INDEX(TblClusters[CPU initial (vCPU)],$B780),"")</f>
        <v/>
      </c>
      <c r="M780" s="14" t="str">
        <f aca="false">IF($D780=1,INDEX(TblClusters[RAM initiale (Go)],$B780),"")</f>
        <v/>
      </c>
      <c r="N780" s="14" t="str">
        <f aca="false">IF($D780=1,INDEX(TblClusters[CPU min (vCPU)],$B780),"")</f>
        <v/>
      </c>
      <c r="O780" s="14" t="str">
        <f aca="false">IF($D780=1,INDEX(TblClusters[RAM min (Go)],$B780),"")</f>
        <v/>
      </c>
      <c r="P780" s="14" t="str">
        <f aca="false">IF($D780&lt;&gt;1,"",IF($G780="ROKS",SUMIFS(TblApplications[Besoin ROKS CPU (vCPU)],TblApplications[Cluster ROKS cible],$F780,TblApplications[Action],"À migrer",TblApplications[Déjà incluse ROKS],"Non",TblApplications[Mois prov (calc)],"&lt;="&amp;$E780),SUMIFS(TblApplications[CPU IKS libérable (vCPU)],TblApplications[Cluster IKS source],$F780,TblApplications[Mois lib (calc)],"&lt;="&amp;$E780)))</f>
        <v/>
      </c>
      <c r="Q780" s="14" t="str">
        <f aca="false">IF($D780&lt;&gt;1,"",IF($G780="ROKS",SUMIFS(TblApplications[Besoin ROKS RAM (Go)],TblApplications[Cluster ROKS cible],$F780,TblApplications[Action],"À migrer",TblApplications[Déjà incluse ROKS],"Non",TblApplications[Mois prov (calc)],"&lt;="&amp;$E780),SUMIFS(TblApplications[RAM IKS libérable (Go)],TblApplications[Cluster IKS source],$F780,TblApplications[Mois lib (calc)],"&lt;="&amp;$E780)))</f>
        <v/>
      </c>
      <c r="R780" s="14" t="str">
        <f aca="false">IF($D780&lt;&gt;1,"",IF($G780="ROKS",$L780+$P780,IF($AI780=1,0,MAX($N780,$L780-$P780))))</f>
        <v/>
      </c>
      <c r="S780" s="14" t="str">
        <f aca="false">IF($D780&lt;&gt;1,"",IF($G780="ROKS",$M780+$Q780,IF($AI780=1,0,MAX($O780,$M780-$Q780))))</f>
        <v/>
      </c>
      <c r="T780" s="14" t="str">
        <f aca="false">IF($D780&lt;&gt;1,"",IF($AI780=1,0,MAX($J780,ROUNDUP(MAX($R780/$H780,$S780/$I780),0))))</f>
        <v/>
      </c>
      <c r="U780" s="14" t="str">
        <f aca="false">IF($D780&lt;&gt;1,"",IF(p_mode="Nœud",$T780*$H780,$R780))</f>
        <v/>
      </c>
      <c r="V780" s="14" t="str">
        <f aca="false">IF($D780&lt;&gt;1,"",IF(p_mode="Nœud",$T780*$I780,$S780))</f>
        <v/>
      </c>
      <c r="W780" s="84" t="str">
        <f aca="false">IF($D780&lt;&gt;1,"",IF(p_mode="Nœud",$T780*$K780,$R780*IF($G780="IKS",p_iks_cpu,p_roks_cpu)+$S780*IF($G780="IKS",p_iks_ram,p_roks_ram))*p_facteur)</f>
        <v/>
      </c>
      <c r="X780" s="14" t="str">
        <f aca="false">IF($D780&lt;&gt;1,"",IF($G780="ROKS",$R780,IF($AI780=1,0,MAX($N780,$L780-SUMIFS(TblApplications[CPU IKS libérable (vCPU)],TblApplications[Cluster IKS source],$F780,TblApplications[Action],"À migrer",TblApplications[Mois prov (calc)],"&lt;="&amp;$E780)-SUMIFS(TblApplications[CPU IKS libérable (vCPU)],TblApplications[Cluster IKS source],$F780,TblApplications[Action],"À décommissionner",TblApplications[Mois lib (calc)],"&lt;="&amp;$E780)))))</f>
        <v/>
      </c>
      <c r="Y780" s="14" t="str">
        <f aca="false">IF($D780&lt;&gt;1,"",IF($G780="ROKS",$S780,IF($AI780=1,0,MAX($O780,$M780-SUMIFS(TblApplications[RAM IKS libérable (Go)],TblApplications[Cluster IKS source],$F780,TblApplications[Action],"À migrer",TblApplications[Mois prov (calc)],"&lt;="&amp;$E780)-SUMIFS(TblApplications[RAM IKS libérable (Go)],TblApplications[Cluster IKS source],$F780,TblApplications[Action],"À décommissionner",TblApplications[Mois lib (calc)],"&lt;="&amp;$E780)))))</f>
        <v/>
      </c>
      <c r="Z780" s="14" t="str">
        <f aca="false">IF($D780&lt;&gt;1,"",IF($AI780=1,0,MAX($J780,ROUNDUP(MAX($X780/$H780,$Y780/$I780),0))))</f>
        <v/>
      </c>
      <c r="AA780" s="84" t="str">
        <f aca="false">IF($D780&lt;&gt;1,"",IF(p_mode="Nœud",$Z780*$K780,$X780*IF($G780="IKS",p_iks_cpu,p_roks_cpu)+$Y780*IF($G780="IKS",p_iks_ram,p_roks_ram))*p_facteur)</f>
        <v/>
      </c>
      <c r="AB780" s="14" t="str">
        <f aca="false">IF($D780&lt;&gt;1,"",MAX($J780,ROUNDUP(MAX($L780/$H780,$M780/$I780),0)))</f>
        <v/>
      </c>
      <c r="AC780" s="84" t="str">
        <f aca="false">IF($D780&lt;&gt;1,"",IF(p_mode="Nœud",$AB780*$K780,$L780*IF($G780="IKS",p_iks_cpu,p_roks_cpu)+$M780*IF($G780="IKS",p_iks_ram,p_roks_ram))*p_facteur)</f>
        <v/>
      </c>
      <c r="AD780" s="14" t="str">
        <f aca="false">IF($D780&lt;&gt;1,"",IF(AND($G780="IKS",$AI780&lt;&gt;1,OR($L780-$P780&lt;$N780,$M780-$Q780&lt;$O780)),1,0))</f>
        <v/>
      </c>
      <c r="AE780" s="14" t="str">
        <f aca="false">IF($D780&lt;&gt;1,"",IF(AND($G780="ROKS",$T780&gt;p_maxworkers),1,0))</f>
        <v/>
      </c>
      <c r="AF780" s="14" t="str">
        <f aca="false">IF($D780&lt;&gt;1,"",IF(INDEX(TblClusters[Environnement],$B780)="","(vide)",INDEX(TblClusters[Environnement],$B780)))</f>
        <v/>
      </c>
      <c r="AG780" s="14" t="str">
        <f aca="false">IF($D780&lt;&gt;1,"",$R780+p_poidsram*$S780)</f>
        <v/>
      </c>
      <c r="AH780" s="14" t="str">
        <f aca="false">IF($D780&lt;&gt;1,"",IFERROR($W780/$AG780,0))</f>
        <v/>
      </c>
      <c r="AI780" s="14" t="str">
        <f aca="false">IF($D780&lt;&gt;1,"",IF(AND($G780="IKS",ISNUMBER(INDEX(TblClusters[Fermeture retenue],$B780))),IF($E780&gt;=INDEX(TblClusters[Fermeture retenue],$B780),1,0),0))</f>
        <v/>
      </c>
    </row>
    <row r="781" customFormat="false" ht="15" hidden="false" customHeight="false" outlineLevel="0" collapsed="false">
      <c r="A781" s="14" t="n">
        <v>776</v>
      </c>
      <c r="B781" s="14" t="n">
        <f aca="false">INT(($A781-1)/36)+1</f>
        <v>22</v>
      </c>
      <c r="C781" s="14" t="n">
        <f aca="false">MOD($A781-1,36)+1</f>
        <v>20</v>
      </c>
      <c r="D781" s="14" t="n">
        <f aca="false">IF($C781&gt;p_horizon,0,IFERROR(IF(AND(INDEX(TblClusters[Cluster],$B781)&lt;&gt;"",ISNUMBER(INDEX(TblClusters[CPU initial (vCPU)],$B781)),ISNUMBER(INDEX(TblClusters[CPU min (vCPU)],$B781)),OR(INDEX(TblClusters[Plateforme],$B781)="IKS",INDEX(TblClusters[Plateforme],$B781)="ROKS")),1,0),0))</f>
        <v>0</v>
      </c>
      <c r="E781" s="83" t="str">
        <f aca="false">IF($D781=1,EDATE(p_debut,$C781-1),"")</f>
        <v/>
      </c>
      <c r="F781" s="14" t="str">
        <f aca="false">IF($D781=1,INDEX(TblClusters[Cluster],$B781),"")</f>
        <v/>
      </c>
      <c r="G781" s="14" t="str">
        <f aca="false">IF($D781=1,INDEX(TblClusters[Plateforme],$B781),"")</f>
        <v/>
      </c>
      <c r="H781" s="14" t="str">
        <f aca="false">IF($D781=1,INDEX(TblClusters[vCPU par nœud],$B781),"")</f>
        <v/>
      </c>
      <c r="I781" s="14" t="str">
        <f aca="false">IF($D781=1,INDEX(TblClusters[RAM par nœud (Go)],$B781),"")</f>
        <v/>
      </c>
      <c r="J781" s="14" t="str">
        <f aca="false">IF($D781=1,INDEX(TblClusters[Workers min],$B781),"")</f>
        <v/>
      </c>
      <c r="K781" s="84" t="str">
        <f aca="false">IF($D781=1,INDEX(TblClusters[Tarif par nœud],$B781),"")</f>
        <v/>
      </c>
      <c r="L781" s="14" t="str">
        <f aca="false">IF($D781=1,INDEX(TblClusters[CPU initial (vCPU)],$B781),"")</f>
        <v/>
      </c>
      <c r="M781" s="14" t="str">
        <f aca="false">IF($D781=1,INDEX(TblClusters[RAM initiale (Go)],$B781),"")</f>
        <v/>
      </c>
      <c r="N781" s="14" t="str">
        <f aca="false">IF($D781=1,INDEX(TblClusters[CPU min (vCPU)],$B781),"")</f>
        <v/>
      </c>
      <c r="O781" s="14" t="str">
        <f aca="false">IF($D781=1,INDEX(TblClusters[RAM min (Go)],$B781),"")</f>
        <v/>
      </c>
      <c r="P781" s="14" t="str">
        <f aca="false">IF($D781&lt;&gt;1,"",IF($G781="ROKS",SUMIFS(TblApplications[Besoin ROKS CPU (vCPU)],TblApplications[Cluster ROKS cible],$F781,TblApplications[Action],"À migrer",TblApplications[Déjà incluse ROKS],"Non",TblApplications[Mois prov (calc)],"&lt;="&amp;$E781),SUMIFS(TblApplications[CPU IKS libérable (vCPU)],TblApplications[Cluster IKS source],$F781,TblApplications[Mois lib (calc)],"&lt;="&amp;$E781)))</f>
        <v/>
      </c>
      <c r="Q781" s="14" t="str">
        <f aca="false">IF($D781&lt;&gt;1,"",IF($G781="ROKS",SUMIFS(TblApplications[Besoin ROKS RAM (Go)],TblApplications[Cluster ROKS cible],$F781,TblApplications[Action],"À migrer",TblApplications[Déjà incluse ROKS],"Non",TblApplications[Mois prov (calc)],"&lt;="&amp;$E781),SUMIFS(TblApplications[RAM IKS libérable (Go)],TblApplications[Cluster IKS source],$F781,TblApplications[Mois lib (calc)],"&lt;="&amp;$E781)))</f>
        <v/>
      </c>
      <c r="R781" s="14" t="str">
        <f aca="false">IF($D781&lt;&gt;1,"",IF($G781="ROKS",$L781+$P781,IF($AI781=1,0,MAX($N781,$L781-$P781))))</f>
        <v/>
      </c>
      <c r="S781" s="14" t="str">
        <f aca="false">IF($D781&lt;&gt;1,"",IF($G781="ROKS",$M781+$Q781,IF($AI781=1,0,MAX($O781,$M781-$Q781))))</f>
        <v/>
      </c>
      <c r="T781" s="14" t="str">
        <f aca="false">IF($D781&lt;&gt;1,"",IF($AI781=1,0,MAX($J781,ROUNDUP(MAX($R781/$H781,$S781/$I781),0))))</f>
        <v/>
      </c>
      <c r="U781" s="14" t="str">
        <f aca="false">IF($D781&lt;&gt;1,"",IF(p_mode="Nœud",$T781*$H781,$R781))</f>
        <v/>
      </c>
      <c r="V781" s="14" t="str">
        <f aca="false">IF($D781&lt;&gt;1,"",IF(p_mode="Nœud",$T781*$I781,$S781))</f>
        <v/>
      </c>
      <c r="W781" s="84" t="str">
        <f aca="false">IF($D781&lt;&gt;1,"",IF(p_mode="Nœud",$T781*$K781,$R781*IF($G781="IKS",p_iks_cpu,p_roks_cpu)+$S781*IF($G781="IKS",p_iks_ram,p_roks_ram))*p_facteur)</f>
        <v/>
      </c>
      <c r="X781" s="14" t="str">
        <f aca="false">IF($D781&lt;&gt;1,"",IF($G781="ROKS",$R781,IF($AI781=1,0,MAX($N781,$L781-SUMIFS(TblApplications[CPU IKS libérable (vCPU)],TblApplications[Cluster IKS source],$F781,TblApplications[Action],"À migrer",TblApplications[Mois prov (calc)],"&lt;="&amp;$E781)-SUMIFS(TblApplications[CPU IKS libérable (vCPU)],TblApplications[Cluster IKS source],$F781,TblApplications[Action],"À décommissionner",TblApplications[Mois lib (calc)],"&lt;="&amp;$E781)))))</f>
        <v/>
      </c>
      <c r="Y781" s="14" t="str">
        <f aca="false">IF($D781&lt;&gt;1,"",IF($G781="ROKS",$S781,IF($AI781=1,0,MAX($O781,$M781-SUMIFS(TblApplications[RAM IKS libérable (Go)],TblApplications[Cluster IKS source],$F781,TblApplications[Action],"À migrer",TblApplications[Mois prov (calc)],"&lt;="&amp;$E781)-SUMIFS(TblApplications[RAM IKS libérable (Go)],TblApplications[Cluster IKS source],$F781,TblApplications[Action],"À décommissionner",TblApplications[Mois lib (calc)],"&lt;="&amp;$E781)))))</f>
        <v/>
      </c>
      <c r="Z781" s="14" t="str">
        <f aca="false">IF($D781&lt;&gt;1,"",IF($AI781=1,0,MAX($J781,ROUNDUP(MAX($X781/$H781,$Y781/$I781),0))))</f>
        <v/>
      </c>
      <c r="AA781" s="84" t="str">
        <f aca="false">IF($D781&lt;&gt;1,"",IF(p_mode="Nœud",$Z781*$K781,$X781*IF($G781="IKS",p_iks_cpu,p_roks_cpu)+$Y781*IF($G781="IKS",p_iks_ram,p_roks_ram))*p_facteur)</f>
        <v/>
      </c>
      <c r="AB781" s="14" t="str">
        <f aca="false">IF($D781&lt;&gt;1,"",MAX($J781,ROUNDUP(MAX($L781/$H781,$M781/$I781),0)))</f>
        <v/>
      </c>
      <c r="AC781" s="84" t="str">
        <f aca="false">IF($D781&lt;&gt;1,"",IF(p_mode="Nœud",$AB781*$K781,$L781*IF($G781="IKS",p_iks_cpu,p_roks_cpu)+$M781*IF($G781="IKS",p_iks_ram,p_roks_ram))*p_facteur)</f>
        <v/>
      </c>
      <c r="AD781" s="14" t="str">
        <f aca="false">IF($D781&lt;&gt;1,"",IF(AND($G781="IKS",$AI781&lt;&gt;1,OR($L781-$P781&lt;$N781,$M781-$Q781&lt;$O781)),1,0))</f>
        <v/>
      </c>
      <c r="AE781" s="14" t="str">
        <f aca="false">IF($D781&lt;&gt;1,"",IF(AND($G781="ROKS",$T781&gt;p_maxworkers),1,0))</f>
        <v/>
      </c>
      <c r="AF781" s="14" t="str">
        <f aca="false">IF($D781&lt;&gt;1,"",IF(INDEX(TblClusters[Environnement],$B781)="","(vide)",INDEX(TblClusters[Environnement],$B781)))</f>
        <v/>
      </c>
      <c r="AG781" s="14" t="str">
        <f aca="false">IF($D781&lt;&gt;1,"",$R781+p_poidsram*$S781)</f>
        <v/>
      </c>
      <c r="AH781" s="14" t="str">
        <f aca="false">IF($D781&lt;&gt;1,"",IFERROR($W781/$AG781,0))</f>
        <v/>
      </c>
      <c r="AI781" s="14" t="str">
        <f aca="false">IF($D781&lt;&gt;1,"",IF(AND($G781="IKS",ISNUMBER(INDEX(TblClusters[Fermeture retenue],$B781))),IF($E781&gt;=INDEX(TblClusters[Fermeture retenue],$B781),1,0),0))</f>
        <v/>
      </c>
    </row>
    <row r="782" customFormat="false" ht="15" hidden="false" customHeight="false" outlineLevel="0" collapsed="false">
      <c r="A782" s="14" t="n">
        <v>777</v>
      </c>
      <c r="B782" s="14" t="n">
        <f aca="false">INT(($A782-1)/36)+1</f>
        <v>22</v>
      </c>
      <c r="C782" s="14" t="n">
        <f aca="false">MOD($A782-1,36)+1</f>
        <v>21</v>
      </c>
      <c r="D782" s="14" t="n">
        <f aca="false">IF($C782&gt;p_horizon,0,IFERROR(IF(AND(INDEX(TblClusters[Cluster],$B782)&lt;&gt;"",ISNUMBER(INDEX(TblClusters[CPU initial (vCPU)],$B782)),ISNUMBER(INDEX(TblClusters[CPU min (vCPU)],$B782)),OR(INDEX(TblClusters[Plateforme],$B782)="IKS",INDEX(TblClusters[Plateforme],$B782)="ROKS")),1,0),0))</f>
        <v>0</v>
      </c>
      <c r="E782" s="83" t="str">
        <f aca="false">IF($D782=1,EDATE(p_debut,$C782-1),"")</f>
        <v/>
      </c>
      <c r="F782" s="14" t="str">
        <f aca="false">IF($D782=1,INDEX(TblClusters[Cluster],$B782),"")</f>
        <v/>
      </c>
      <c r="G782" s="14" t="str">
        <f aca="false">IF($D782=1,INDEX(TblClusters[Plateforme],$B782),"")</f>
        <v/>
      </c>
      <c r="H782" s="14" t="str">
        <f aca="false">IF($D782=1,INDEX(TblClusters[vCPU par nœud],$B782),"")</f>
        <v/>
      </c>
      <c r="I782" s="14" t="str">
        <f aca="false">IF($D782=1,INDEX(TblClusters[RAM par nœud (Go)],$B782),"")</f>
        <v/>
      </c>
      <c r="J782" s="14" t="str">
        <f aca="false">IF($D782=1,INDEX(TblClusters[Workers min],$B782),"")</f>
        <v/>
      </c>
      <c r="K782" s="84" t="str">
        <f aca="false">IF($D782=1,INDEX(TblClusters[Tarif par nœud],$B782),"")</f>
        <v/>
      </c>
      <c r="L782" s="14" t="str">
        <f aca="false">IF($D782=1,INDEX(TblClusters[CPU initial (vCPU)],$B782),"")</f>
        <v/>
      </c>
      <c r="M782" s="14" t="str">
        <f aca="false">IF($D782=1,INDEX(TblClusters[RAM initiale (Go)],$B782),"")</f>
        <v/>
      </c>
      <c r="N782" s="14" t="str">
        <f aca="false">IF($D782=1,INDEX(TblClusters[CPU min (vCPU)],$B782),"")</f>
        <v/>
      </c>
      <c r="O782" s="14" t="str">
        <f aca="false">IF($D782=1,INDEX(TblClusters[RAM min (Go)],$B782),"")</f>
        <v/>
      </c>
      <c r="P782" s="14" t="str">
        <f aca="false">IF($D782&lt;&gt;1,"",IF($G782="ROKS",SUMIFS(TblApplications[Besoin ROKS CPU (vCPU)],TblApplications[Cluster ROKS cible],$F782,TblApplications[Action],"À migrer",TblApplications[Déjà incluse ROKS],"Non",TblApplications[Mois prov (calc)],"&lt;="&amp;$E782),SUMIFS(TblApplications[CPU IKS libérable (vCPU)],TblApplications[Cluster IKS source],$F782,TblApplications[Mois lib (calc)],"&lt;="&amp;$E782)))</f>
        <v/>
      </c>
      <c r="Q782" s="14" t="str">
        <f aca="false">IF($D782&lt;&gt;1,"",IF($G782="ROKS",SUMIFS(TblApplications[Besoin ROKS RAM (Go)],TblApplications[Cluster ROKS cible],$F782,TblApplications[Action],"À migrer",TblApplications[Déjà incluse ROKS],"Non",TblApplications[Mois prov (calc)],"&lt;="&amp;$E782),SUMIFS(TblApplications[RAM IKS libérable (Go)],TblApplications[Cluster IKS source],$F782,TblApplications[Mois lib (calc)],"&lt;="&amp;$E782)))</f>
        <v/>
      </c>
      <c r="R782" s="14" t="str">
        <f aca="false">IF($D782&lt;&gt;1,"",IF($G782="ROKS",$L782+$P782,IF($AI782=1,0,MAX($N782,$L782-$P782))))</f>
        <v/>
      </c>
      <c r="S782" s="14" t="str">
        <f aca="false">IF($D782&lt;&gt;1,"",IF($G782="ROKS",$M782+$Q782,IF($AI782=1,0,MAX($O782,$M782-$Q782))))</f>
        <v/>
      </c>
      <c r="T782" s="14" t="str">
        <f aca="false">IF($D782&lt;&gt;1,"",IF($AI782=1,0,MAX($J782,ROUNDUP(MAX($R782/$H782,$S782/$I782),0))))</f>
        <v/>
      </c>
      <c r="U782" s="14" t="str">
        <f aca="false">IF($D782&lt;&gt;1,"",IF(p_mode="Nœud",$T782*$H782,$R782))</f>
        <v/>
      </c>
      <c r="V782" s="14" t="str">
        <f aca="false">IF($D782&lt;&gt;1,"",IF(p_mode="Nœud",$T782*$I782,$S782))</f>
        <v/>
      </c>
      <c r="W782" s="84" t="str">
        <f aca="false">IF($D782&lt;&gt;1,"",IF(p_mode="Nœud",$T782*$K782,$R782*IF($G782="IKS",p_iks_cpu,p_roks_cpu)+$S782*IF($G782="IKS",p_iks_ram,p_roks_ram))*p_facteur)</f>
        <v/>
      </c>
      <c r="X782" s="14" t="str">
        <f aca="false">IF($D782&lt;&gt;1,"",IF($G782="ROKS",$R782,IF($AI782=1,0,MAX($N782,$L782-SUMIFS(TblApplications[CPU IKS libérable (vCPU)],TblApplications[Cluster IKS source],$F782,TblApplications[Action],"À migrer",TblApplications[Mois prov (calc)],"&lt;="&amp;$E782)-SUMIFS(TblApplications[CPU IKS libérable (vCPU)],TblApplications[Cluster IKS source],$F782,TblApplications[Action],"À décommissionner",TblApplications[Mois lib (calc)],"&lt;="&amp;$E782)))))</f>
        <v/>
      </c>
      <c r="Y782" s="14" t="str">
        <f aca="false">IF($D782&lt;&gt;1,"",IF($G782="ROKS",$S782,IF($AI782=1,0,MAX($O782,$M782-SUMIFS(TblApplications[RAM IKS libérable (Go)],TblApplications[Cluster IKS source],$F782,TblApplications[Action],"À migrer",TblApplications[Mois prov (calc)],"&lt;="&amp;$E782)-SUMIFS(TblApplications[RAM IKS libérable (Go)],TblApplications[Cluster IKS source],$F782,TblApplications[Action],"À décommissionner",TblApplications[Mois lib (calc)],"&lt;="&amp;$E782)))))</f>
        <v/>
      </c>
      <c r="Z782" s="14" t="str">
        <f aca="false">IF($D782&lt;&gt;1,"",IF($AI782=1,0,MAX($J782,ROUNDUP(MAX($X782/$H782,$Y782/$I782),0))))</f>
        <v/>
      </c>
      <c r="AA782" s="84" t="str">
        <f aca="false">IF($D782&lt;&gt;1,"",IF(p_mode="Nœud",$Z782*$K782,$X782*IF($G782="IKS",p_iks_cpu,p_roks_cpu)+$Y782*IF($G782="IKS",p_iks_ram,p_roks_ram))*p_facteur)</f>
        <v/>
      </c>
      <c r="AB782" s="14" t="str">
        <f aca="false">IF($D782&lt;&gt;1,"",MAX($J782,ROUNDUP(MAX($L782/$H782,$M782/$I782),0)))</f>
        <v/>
      </c>
      <c r="AC782" s="84" t="str">
        <f aca="false">IF($D782&lt;&gt;1,"",IF(p_mode="Nœud",$AB782*$K782,$L782*IF($G782="IKS",p_iks_cpu,p_roks_cpu)+$M782*IF($G782="IKS",p_iks_ram,p_roks_ram))*p_facteur)</f>
        <v/>
      </c>
      <c r="AD782" s="14" t="str">
        <f aca="false">IF($D782&lt;&gt;1,"",IF(AND($G782="IKS",$AI782&lt;&gt;1,OR($L782-$P782&lt;$N782,$M782-$Q782&lt;$O782)),1,0))</f>
        <v/>
      </c>
      <c r="AE782" s="14" t="str">
        <f aca="false">IF($D782&lt;&gt;1,"",IF(AND($G782="ROKS",$T782&gt;p_maxworkers),1,0))</f>
        <v/>
      </c>
      <c r="AF782" s="14" t="str">
        <f aca="false">IF($D782&lt;&gt;1,"",IF(INDEX(TblClusters[Environnement],$B782)="","(vide)",INDEX(TblClusters[Environnement],$B782)))</f>
        <v/>
      </c>
      <c r="AG782" s="14" t="str">
        <f aca="false">IF($D782&lt;&gt;1,"",$R782+p_poidsram*$S782)</f>
        <v/>
      </c>
      <c r="AH782" s="14" t="str">
        <f aca="false">IF($D782&lt;&gt;1,"",IFERROR($W782/$AG782,0))</f>
        <v/>
      </c>
      <c r="AI782" s="14" t="str">
        <f aca="false">IF($D782&lt;&gt;1,"",IF(AND($G782="IKS",ISNUMBER(INDEX(TblClusters[Fermeture retenue],$B782))),IF($E782&gt;=INDEX(TblClusters[Fermeture retenue],$B782),1,0),0))</f>
        <v/>
      </c>
    </row>
    <row r="783" customFormat="false" ht="15" hidden="false" customHeight="false" outlineLevel="0" collapsed="false">
      <c r="A783" s="14" t="n">
        <v>778</v>
      </c>
      <c r="B783" s="14" t="n">
        <f aca="false">INT(($A783-1)/36)+1</f>
        <v>22</v>
      </c>
      <c r="C783" s="14" t="n">
        <f aca="false">MOD($A783-1,36)+1</f>
        <v>22</v>
      </c>
      <c r="D783" s="14" t="n">
        <f aca="false">IF($C783&gt;p_horizon,0,IFERROR(IF(AND(INDEX(TblClusters[Cluster],$B783)&lt;&gt;"",ISNUMBER(INDEX(TblClusters[CPU initial (vCPU)],$B783)),ISNUMBER(INDEX(TblClusters[CPU min (vCPU)],$B783)),OR(INDEX(TblClusters[Plateforme],$B783)="IKS",INDEX(TblClusters[Plateforme],$B783)="ROKS")),1,0),0))</f>
        <v>0</v>
      </c>
      <c r="E783" s="83" t="str">
        <f aca="false">IF($D783=1,EDATE(p_debut,$C783-1),"")</f>
        <v/>
      </c>
      <c r="F783" s="14" t="str">
        <f aca="false">IF($D783=1,INDEX(TblClusters[Cluster],$B783),"")</f>
        <v/>
      </c>
      <c r="G783" s="14" t="str">
        <f aca="false">IF($D783=1,INDEX(TblClusters[Plateforme],$B783),"")</f>
        <v/>
      </c>
      <c r="H783" s="14" t="str">
        <f aca="false">IF($D783=1,INDEX(TblClusters[vCPU par nœud],$B783),"")</f>
        <v/>
      </c>
      <c r="I783" s="14" t="str">
        <f aca="false">IF($D783=1,INDEX(TblClusters[RAM par nœud (Go)],$B783),"")</f>
        <v/>
      </c>
      <c r="J783" s="14" t="str">
        <f aca="false">IF($D783=1,INDEX(TblClusters[Workers min],$B783),"")</f>
        <v/>
      </c>
      <c r="K783" s="84" t="str">
        <f aca="false">IF($D783=1,INDEX(TblClusters[Tarif par nœud],$B783),"")</f>
        <v/>
      </c>
      <c r="L783" s="14" t="str">
        <f aca="false">IF($D783=1,INDEX(TblClusters[CPU initial (vCPU)],$B783),"")</f>
        <v/>
      </c>
      <c r="M783" s="14" t="str">
        <f aca="false">IF($D783=1,INDEX(TblClusters[RAM initiale (Go)],$B783),"")</f>
        <v/>
      </c>
      <c r="N783" s="14" t="str">
        <f aca="false">IF($D783=1,INDEX(TblClusters[CPU min (vCPU)],$B783),"")</f>
        <v/>
      </c>
      <c r="O783" s="14" t="str">
        <f aca="false">IF($D783=1,INDEX(TblClusters[RAM min (Go)],$B783),"")</f>
        <v/>
      </c>
      <c r="P783" s="14" t="str">
        <f aca="false">IF($D783&lt;&gt;1,"",IF($G783="ROKS",SUMIFS(TblApplications[Besoin ROKS CPU (vCPU)],TblApplications[Cluster ROKS cible],$F783,TblApplications[Action],"À migrer",TblApplications[Déjà incluse ROKS],"Non",TblApplications[Mois prov (calc)],"&lt;="&amp;$E783),SUMIFS(TblApplications[CPU IKS libérable (vCPU)],TblApplications[Cluster IKS source],$F783,TblApplications[Mois lib (calc)],"&lt;="&amp;$E783)))</f>
        <v/>
      </c>
      <c r="Q783" s="14" t="str">
        <f aca="false">IF($D783&lt;&gt;1,"",IF($G783="ROKS",SUMIFS(TblApplications[Besoin ROKS RAM (Go)],TblApplications[Cluster ROKS cible],$F783,TblApplications[Action],"À migrer",TblApplications[Déjà incluse ROKS],"Non",TblApplications[Mois prov (calc)],"&lt;="&amp;$E783),SUMIFS(TblApplications[RAM IKS libérable (Go)],TblApplications[Cluster IKS source],$F783,TblApplications[Mois lib (calc)],"&lt;="&amp;$E783)))</f>
        <v/>
      </c>
      <c r="R783" s="14" t="str">
        <f aca="false">IF($D783&lt;&gt;1,"",IF($G783="ROKS",$L783+$P783,IF($AI783=1,0,MAX($N783,$L783-$P783))))</f>
        <v/>
      </c>
      <c r="S783" s="14" t="str">
        <f aca="false">IF($D783&lt;&gt;1,"",IF($G783="ROKS",$M783+$Q783,IF($AI783=1,0,MAX($O783,$M783-$Q783))))</f>
        <v/>
      </c>
      <c r="T783" s="14" t="str">
        <f aca="false">IF($D783&lt;&gt;1,"",IF($AI783=1,0,MAX($J783,ROUNDUP(MAX($R783/$H783,$S783/$I783),0))))</f>
        <v/>
      </c>
      <c r="U783" s="14" t="str">
        <f aca="false">IF($D783&lt;&gt;1,"",IF(p_mode="Nœud",$T783*$H783,$R783))</f>
        <v/>
      </c>
      <c r="V783" s="14" t="str">
        <f aca="false">IF($D783&lt;&gt;1,"",IF(p_mode="Nœud",$T783*$I783,$S783))</f>
        <v/>
      </c>
      <c r="W783" s="84" t="str">
        <f aca="false">IF($D783&lt;&gt;1,"",IF(p_mode="Nœud",$T783*$K783,$R783*IF($G783="IKS",p_iks_cpu,p_roks_cpu)+$S783*IF($G783="IKS",p_iks_ram,p_roks_ram))*p_facteur)</f>
        <v/>
      </c>
      <c r="X783" s="14" t="str">
        <f aca="false">IF($D783&lt;&gt;1,"",IF($G783="ROKS",$R783,IF($AI783=1,0,MAX($N783,$L783-SUMIFS(TblApplications[CPU IKS libérable (vCPU)],TblApplications[Cluster IKS source],$F783,TblApplications[Action],"À migrer",TblApplications[Mois prov (calc)],"&lt;="&amp;$E783)-SUMIFS(TblApplications[CPU IKS libérable (vCPU)],TblApplications[Cluster IKS source],$F783,TblApplications[Action],"À décommissionner",TblApplications[Mois lib (calc)],"&lt;="&amp;$E783)))))</f>
        <v/>
      </c>
      <c r="Y783" s="14" t="str">
        <f aca="false">IF($D783&lt;&gt;1,"",IF($G783="ROKS",$S783,IF($AI783=1,0,MAX($O783,$M783-SUMIFS(TblApplications[RAM IKS libérable (Go)],TblApplications[Cluster IKS source],$F783,TblApplications[Action],"À migrer",TblApplications[Mois prov (calc)],"&lt;="&amp;$E783)-SUMIFS(TblApplications[RAM IKS libérable (Go)],TblApplications[Cluster IKS source],$F783,TblApplications[Action],"À décommissionner",TblApplications[Mois lib (calc)],"&lt;="&amp;$E783)))))</f>
        <v/>
      </c>
      <c r="Z783" s="14" t="str">
        <f aca="false">IF($D783&lt;&gt;1,"",IF($AI783=1,0,MAX($J783,ROUNDUP(MAX($X783/$H783,$Y783/$I783),0))))</f>
        <v/>
      </c>
      <c r="AA783" s="84" t="str">
        <f aca="false">IF($D783&lt;&gt;1,"",IF(p_mode="Nœud",$Z783*$K783,$X783*IF($G783="IKS",p_iks_cpu,p_roks_cpu)+$Y783*IF($G783="IKS",p_iks_ram,p_roks_ram))*p_facteur)</f>
        <v/>
      </c>
      <c r="AB783" s="14" t="str">
        <f aca="false">IF($D783&lt;&gt;1,"",MAX($J783,ROUNDUP(MAX($L783/$H783,$M783/$I783),0)))</f>
        <v/>
      </c>
      <c r="AC783" s="84" t="str">
        <f aca="false">IF($D783&lt;&gt;1,"",IF(p_mode="Nœud",$AB783*$K783,$L783*IF($G783="IKS",p_iks_cpu,p_roks_cpu)+$M783*IF($G783="IKS",p_iks_ram,p_roks_ram))*p_facteur)</f>
        <v/>
      </c>
      <c r="AD783" s="14" t="str">
        <f aca="false">IF($D783&lt;&gt;1,"",IF(AND($G783="IKS",$AI783&lt;&gt;1,OR($L783-$P783&lt;$N783,$M783-$Q783&lt;$O783)),1,0))</f>
        <v/>
      </c>
      <c r="AE783" s="14" t="str">
        <f aca="false">IF($D783&lt;&gt;1,"",IF(AND($G783="ROKS",$T783&gt;p_maxworkers),1,0))</f>
        <v/>
      </c>
      <c r="AF783" s="14" t="str">
        <f aca="false">IF($D783&lt;&gt;1,"",IF(INDEX(TblClusters[Environnement],$B783)="","(vide)",INDEX(TblClusters[Environnement],$B783)))</f>
        <v/>
      </c>
      <c r="AG783" s="14" t="str">
        <f aca="false">IF($D783&lt;&gt;1,"",$R783+p_poidsram*$S783)</f>
        <v/>
      </c>
      <c r="AH783" s="14" t="str">
        <f aca="false">IF($D783&lt;&gt;1,"",IFERROR($W783/$AG783,0))</f>
        <v/>
      </c>
      <c r="AI783" s="14" t="str">
        <f aca="false">IF($D783&lt;&gt;1,"",IF(AND($G783="IKS",ISNUMBER(INDEX(TblClusters[Fermeture retenue],$B783))),IF($E783&gt;=INDEX(TblClusters[Fermeture retenue],$B783),1,0),0))</f>
        <v/>
      </c>
    </row>
    <row r="784" customFormat="false" ht="15" hidden="false" customHeight="false" outlineLevel="0" collapsed="false">
      <c r="A784" s="14" t="n">
        <v>779</v>
      </c>
      <c r="B784" s="14" t="n">
        <f aca="false">INT(($A784-1)/36)+1</f>
        <v>22</v>
      </c>
      <c r="C784" s="14" t="n">
        <f aca="false">MOD($A784-1,36)+1</f>
        <v>23</v>
      </c>
      <c r="D784" s="14" t="n">
        <f aca="false">IF($C784&gt;p_horizon,0,IFERROR(IF(AND(INDEX(TblClusters[Cluster],$B784)&lt;&gt;"",ISNUMBER(INDEX(TblClusters[CPU initial (vCPU)],$B784)),ISNUMBER(INDEX(TblClusters[CPU min (vCPU)],$B784)),OR(INDEX(TblClusters[Plateforme],$B784)="IKS",INDEX(TblClusters[Plateforme],$B784)="ROKS")),1,0),0))</f>
        <v>0</v>
      </c>
      <c r="E784" s="83" t="str">
        <f aca="false">IF($D784=1,EDATE(p_debut,$C784-1),"")</f>
        <v/>
      </c>
      <c r="F784" s="14" t="str">
        <f aca="false">IF($D784=1,INDEX(TblClusters[Cluster],$B784),"")</f>
        <v/>
      </c>
      <c r="G784" s="14" t="str">
        <f aca="false">IF($D784=1,INDEX(TblClusters[Plateforme],$B784),"")</f>
        <v/>
      </c>
      <c r="H784" s="14" t="str">
        <f aca="false">IF($D784=1,INDEX(TblClusters[vCPU par nœud],$B784),"")</f>
        <v/>
      </c>
      <c r="I784" s="14" t="str">
        <f aca="false">IF($D784=1,INDEX(TblClusters[RAM par nœud (Go)],$B784),"")</f>
        <v/>
      </c>
      <c r="J784" s="14" t="str">
        <f aca="false">IF($D784=1,INDEX(TblClusters[Workers min],$B784),"")</f>
        <v/>
      </c>
      <c r="K784" s="84" t="str">
        <f aca="false">IF($D784=1,INDEX(TblClusters[Tarif par nœud],$B784),"")</f>
        <v/>
      </c>
      <c r="L784" s="14" t="str">
        <f aca="false">IF($D784=1,INDEX(TblClusters[CPU initial (vCPU)],$B784),"")</f>
        <v/>
      </c>
      <c r="M784" s="14" t="str">
        <f aca="false">IF($D784=1,INDEX(TblClusters[RAM initiale (Go)],$B784),"")</f>
        <v/>
      </c>
      <c r="N784" s="14" t="str">
        <f aca="false">IF($D784=1,INDEX(TblClusters[CPU min (vCPU)],$B784),"")</f>
        <v/>
      </c>
      <c r="O784" s="14" t="str">
        <f aca="false">IF($D784=1,INDEX(TblClusters[RAM min (Go)],$B784),"")</f>
        <v/>
      </c>
      <c r="P784" s="14" t="str">
        <f aca="false">IF($D784&lt;&gt;1,"",IF($G784="ROKS",SUMIFS(TblApplications[Besoin ROKS CPU (vCPU)],TblApplications[Cluster ROKS cible],$F784,TblApplications[Action],"À migrer",TblApplications[Déjà incluse ROKS],"Non",TblApplications[Mois prov (calc)],"&lt;="&amp;$E784),SUMIFS(TblApplications[CPU IKS libérable (vCPU)],TblApplications[Cluster IKS source],$F784,TblApplications[Mois lib (calc)],"&lt;="&amp;$E784)))</f>
        <v/>
      </c>
      <c r="Q784" s="14" t="str">
        <f aca="false">IF($D784&lt;&gt;1,"",IF($G784="ROKS",SUMIFS(TblApplications[Besoin ROKS RAM (Go)],TblApplications[Cluster ROKS cible],$F784,TblApplications[Action],"À migrer",TblApplications[Déjà incluse ROKS],"Non",TblApplications[Mois prov (calc)],"&lt;="&amp;$E784),SUMIFS(TblApplications[RAM IKS libérable (Go)],TblApplications[Cluster IKS source],$F784,TblApplications[Mois lib (calc)],"&lt;="&amp;$E784)))</f>
        <v/>
      </c>
      <c r="R784" s="14" t="str">
        <f aca="false">IF($D784&lt;&gt;1,"",IF($G784="ROKS",$L784+$P784,IF($AI784=1,0,MAX($N784,$L784-$P784))))</f>
        <v/>
      </c>
      <c r="S784" s="14" t="str">
        <f aca="false">IF($D784&lt;&gt;1,"",IF($G784="ROKS",$M784+$Q784,IF($AI784=1,0,MAX($O784,$M784-$Q784))))</f>
        <v/>
      </c>
      <c r="T784" s="14" t="str">
        <f aca="false">IF($D784&lt;&gt;1,"",IF($AI784=1,0,MAX($J784,ROUNDUP(MAX($R784/$H784,$S784/$I784),0))))</f>
        <v/>
      </c>
      <c r="U784" s="14" t="str">
        <f aca="false">IF($D784&lt;&gt;1,"",IF(p_mode="Nœud",$T784*$H784,$R784))</f>
        <v/>
      </c>
      <c r="V784" s="14" t="str">
        <f aca="false">IF($D784&lt;&gt;1,"",IF(p_mode="Nœud",$T784*$I784,$S784))</f>
        <v/>
      </c>
      <c r="W784" s="84" t="str">
        <f aca="false">IF($D784&lt;&gt;1,"",IF(p_mode="Nœud",$T784*$K784,$R784*IF($G784="IKS",p_iks_cpu,p_roks_cpu)+$S784*IF($G784="IKS",p_iks_ram,p_roks_ram))*p_facteur)</f>
        <v/>
      </c>
      <c r="X784" s="14" t="str">
        <f aca="false">IF($D784&lt;&gt;1,"",IF($G784="ROKS",$R784,IF($AI784=1,0,MAX($N784,$L784-SUMIFS(TblApplications[CPU IKS libérable (vCPU)],TblApplications[Cluster IKS source],$F784,TblApplications[Action],"À migrer",TblApplications[Mois prov (calc)],"&lt;="&amp;$E784)-SUMIFS(TblApplications[CPU IKS libérable (vCPU)],TblApplications[Cluster IKS source],$F784,TblApplications[Action],"À décommissionner",TblApplications[Mois lib (calc)],"&lt;="&amp;$E784)))))</f>
        <v/>
      </c>
      <c r="Y784" s="14" t="str">
        <f aca="false">IF($D784&lt;&gt;1,"",IF($G784="ROKS",$S784,IF($AI784=1,0,MAX($O784,$M784-SUMIFS(TblApplications[RAM IKS libérable (Go)],TblApplications[Cluster IKS source],$F784,TblApplications[Action],"À migrer",TblApplications[Mois prov (calc)],"&lt;="&amp;$E784)-SUMIFS(TblApplications[RAM IKS libérable (Go)],TblApplications[Cluster IKS source],$F784,TblApplications[Action],"À décommissionner",TblApplications[Mois lib (calc)],"&lt;="&amp;$E784)))))</f>
        <v/>
      </c>
      <c r="Z784" s="14" t="str">
        <f aca="false">IF($D784&lt;&gt;1,"",IF($AI784=1,0,MAX($J784,ROUNDUP(MAX($X784/$H784,$Y784/$I784),0))))</f>
        <v/>
      </c>
      <c r="AA784" s="84" t="str">
        <f aca="false">IF($D784&lt;&gt;1,"",IF(p_mode="Nœud",$Z784*$K784,$X784*IF($G784="IKS",p_iks_cpu,p_roks_cpu)+$Y784*IF($G784="IKS",p_iks_ram,p_roks_ram))*p_facteur)</f>
        <v/>
      </c>
      <c r="AB784" s="14" t="str">
        <f aca="false">IF($D784&lt;&gt;1,"",MAX($J784,ROUNDUP(MAX($L784/$H784,$M784/$I784),0)))</f>
        <v/>
      </c>
      <c r="AC784" s="84" t="str">
        <f aca="false">IF($D784&lt;&gt;1,"",IF(p_mode="Nœud",$AB784*$K784,$L784*IF($G784="IKS",p_iks_cpu,p_roks_cpu)+$M784*IF($G784="IKS",p_iks_ram,p_roks_ram))*p_facteur)</f>
        <v/>
      </c>
      <c r="AD784" s="14" t="str">
        <f aca="false">IF($D784&lt;&gt;1,"",IF(AND($G784="IKS",$AI784&lt;&gt;1,OR($L784-$P784&lt;$N784,$M784-$Q784&lt;$O784)),1,0))</f>
        <v/>
      </c>
      <c r="AE784" s="14" t="str">
        <f aca="false">IF($D784&lt;&gt;1,"",IF(AND($G784="ROKS",$T784&gt;p_maxworkers),1,0))</f>
        <v/>
      </c>
      <c r="AF784" s="14" t="str">
        <f aca="false">IF($D784&lt;&gt;1,"",IF(INDEX(TblClusters[Environnement],$B784)="","(vide)",INDEX(TblClusters[Environnement],$B784)))</f>
        <v/>
      </c>
      <c r="AG784" s="14" t="str">
        <f aca="false">IF($D784&lt;&gt;1,"",$R784+p_poidsram*$S784)</f>
        <v/>
      </c>
      <c r="AH784" s="14" t="str">
        <f aca="false">IF($D784&lt;&gt;1,"",IFERROR($W784/$AG784,0))</f>
        <v/>
      </c>
      <c r="AI784" s="14" t="str">
        <f aca="false">IF($D784&lt;&gt;1,"",IF(AND($G784="IKS",ISNUMBER(INDEX(TblClusters[Fermeture retenue],$B784))),IF($E784&gt;=INDEX(TblClusters[Fermeture retenue],$B784),1,0),0))</f>
        <v/>
      </c>
    </row>
    <row r="785" customFormat="false" ht="15" hidden="false" customHeight="false" outlineLevel="0" collapsed="false">
      <c r="A785" s="14" t="n">
        <v>780</v>
      </c>
      <c r="B785" s="14" t="n">
        <f aca="false">INT(($A785-1)/36)+1</f>
        <v>22</v>
      </c>
      <c r="C785" s="14" t="n">
        <f aca="false">MOD($A785-1,36)+1</f>
        <v>24</v>
      </c>
      <c r="D785" s="14" t="n">
        <f aca="false">IF($C785&gt;p_horizon,0,IFERROR(IF(AND(INDEX(TblClusters[Cluster],$B785)&lt;&gt;"",ISNUMBER(INDEX(TblClusters[CPU initial (vCPU)],$B785)),ISNUMBER(INDEX(TblClusters[CPU min (vCPU)],$B785)),OR(INDEX(TblClusters[Plateforme],$B785)="IKS",INDEX(TblClusters[Plateforme],$B785)="ROKS")),1,0),0))</f>
        <v>0</v>
      </c>
      <c r="E785" s="83" t="str">
        <f aca="false">IF($D785=1,EDATE(p_debut,$C785-1),"")</f>
        <v/>
      </c>
      <c r="F785" s="14" t="str">
        <f aca="false">IF($D785=1,INDEX(TblClusters[Cluster],$B785),"")</f>
        <v/>
      </c>
      <c r="G785" s="14" t="str">
        <f aca="false">IF($D785=1,INDEX(TblClusters[Plateforme],$B785),"")</f>
        <v/>
      </c>
      <c r="H785" s="14" t="str">
        <f aca="false">IF($D785=1,INDEX(TblClusters[vCPU par nœud],$B785),"")</f>
        <v/>
      </c>
      <c r="I785" s="14" t="str">
        <f aca="false">IF($D785=1,INDEX(TblClusters[RAM par nœud (Go)],$B785),"")</f>
        <v/>
      </c>
      <c r="J785" s="14" t="str">
        <f aca="false">IF($D785=1,INDEX(TblClusters[Workers min],$B785),"")</f>
        <v/>
      </c>
      <c r="K785" s="84" t="str">
        <f aca="false">IF($D785=1,INDEX(TblClusters[Tarif par nœud],$B785),"")</f>
        <v/>
      </c>
      <c r="L785" s="14" t="str">
        <f aca="false">IF($D785=1,INDEX(TblClusters[CPU initial (vCPU)],$B785),"")</f>
        <v/>
      </c>
      <c r="M785" s="14" t="str">
        <f aca="false">IF($D785=1,INDEX(TblClusters[RAM initiale (Go)],$B785),"")</f>
        <v/>
      </c>
      <c r="N785" s="14" t="str">
        <f aca="false">IF($D785=1,INDEX(TblClusters[CPU min (vCPU)],$B785),"")</f>
        <v/>
      </c>
      <c r="O785" s="14" t="str">
        <f aca="false">IF($D785=1,INDEX(TblClusters[RAM min (Go)],$B785),"")</f>
        <v/>
      </c>
      <c r="P785" s="14" t="str">
        <f aca="false">IF($D785&lt;&gt;1,"",IF($G785="ROKS",SUMIFS(TblApplications[Besoin ROKS CPU (vCPU)],TblApplications[Cluster ROKS cible],$F785,TblApplications[Action],"À migrer",TblApplications[Déjà incluse ROKS],"Non",TblApplications[Mois prov (calc)],"&lt;="&amp;$E785),SUMIFS(TblApplications[CPU IKS libérable (vCPU)],TblApplications[Cluster IKS source],$F785,TblApplications[Mois lib (calc)],"&lt;="&amp;$E785)))</f>
        <v/>
      </c>
      <c r="Q785" s="14" t="str">
        <f aca="false">IF($D785&lt;&gt;1,"",IF($G785="ROKS",SUMIFS(TblApplications[Besoin ROKS RAM (Go)],TblApplications[Cluster ROKS cible],$F785,TblApplications[Action],"À migrer",TblApplications[Déjà incluse ROKS],"Non",TblApplications[Mois prov (calc)],"&lt;="&amp;$E785),SUMIFS(TblApplications[RAM IKS libérable (Go)],TblApplications[Cluster IKS source],$F785,TblApplications[Mois lib (calc)],"&lt;="&amp;$E785)))</f>
        <v/>
      </c>
      <c r="R785" s="14" t="str">
        <f aca="false">IF($D785&lt;&gt;1,"",IF($G785="ROKS",$L785+$P785,IF($AI785=1,0,MAX($N785,$L785-$P785))))</f>
        <v/>
      </c>
      <c r="S785" s="14" t="str">
        <f aca="false">IF($D785&lt;&gt;1,"",IF($G785="ROKS",$M785+$Q785,IF($AI785=1,0,MAX($O785,$M785-$Q785))))</f>
        <v/>
      </c>
      <c r="T785" s="14" t="str">
        <f aca="false">IF($D785&lt;&gt;1,"",IF($AI785=1,0,MAX($J785,ROUNDUP(MAX($R785/$H785,$S785/$I785),0))))</f>
        <v/>
      </c>
      <c r="U785" s="14" t="str">
        <f aca="false">IF($D785&lt;&gt;1,"",IF(p_mode="Nœud",$T785*$H785,$R785))</f>
        <v/>
      </c>
      <c r="V785" s="14" t="str">
        <f aca="false">IF($D785&lt;&gt;1,"",IF(p_mode="Nœud",$T785*$I785,$S785))</f>
        <v/>
      </c>
      <c r="W785" s="84" t="str">
        <f aca="false">IF($D785&lt;&gt;1,"",IF(p_mode="Nœud",$T785*$K785,$R785*IF($G785="IKS",p_iks_cpu,p_roks_cpu)+$S785*IF($G785="IKS",p_iks_ram,p_roks_ram))*p_facteur)</f>
        <v/>
      </c>
      <c r="X785" s="14" t="str">
        <f aca="false">IF($D785&lt;&gt;1,"",IF($G785="ROKS",$R785,IF($AI785=1,0,MAX($N785,$L785-SUMIFS(TblApplications[CPU IKS libérable (vCPU)],TblApplications[Cluster IKS source],$F785,TblApplications[Action],"À migrer",TblApplications[Mois prov (calc)],"&lt;="&amp;$E785)-SUMIFS(TblApplications[CPU IKS libérable (vCPU)],TblApplications[Cluster IKS source],$F785,TblApplications[Action],"À décommissionner",TblApplications[Mois lib (calc)],"&lt;="&amp;$E785)))))</f>
        <v/>
      </c>
      <c r="Y785" s="14" t="str">
        <f aca="false">IF($D785&lt;&gt;1,"",IF($G785="ROKS",$S785,IF($AI785=1,0,MAX($O785,$M785-SUMIFS(TblApplications[RAM IKS libérable (Go)],TblApplications[Cluster IKS source],$F785,TblApplications[Action],"À migrer",TblApplications[Mois prov (calc)],"&lt;="&amp;$E785)-SUMIFS(TblApplications[RAM IKS libérable (Go)],TblApplications[Cluster IKS source],$F785,TblApplications[Action],"À décommissionner",TblApplications[Mois lib (calc)],"&lt;="&amp;$E785)))))</f>
        <v/>
      </c>
      <c r="Z785" s="14" t="str">
        <f aca="false">IF($D785&lt;&gt;1,"",IF($AI785=1,0,MAX($J785,ROUNDUP(MAX($X785/$H785,$Y785/$I785),0))))</f>
        <v/>
      </c>
      <c r="AA785" s="84" t="str">
        <f aca="false">IF($D785&lt;&gt;1,"",IF(p_mode="Nœud",$Z785*$K785,$X785*IF($G785="IKS",p_iks_cpu,p_roks_cpu)+$Y785*IF($G785="IKS",p_iks_ram,p_roks_ram))*p_facteur)</f>
        <v/>
      </c>
      <c r="AB785" s="14" t="str">
        <f aca="false">IF($D785&lt;&gt;1,"",MAX($J785,ROUNDUP(MAX($L785/$H785,$M785/$I785),0)))</f>
        <v/>
      </c>
      <c r="AC785" s="84" t="str">
        <f aca="false">IF($D785&lt;&gt;1,"",IF(p_mode="Nœud",$AB785*$K785,$L785*IF($G785="IKS",p_iks_cpu,p_roks_cpu)+$M785*IF($G785="IKS",p_iks_ram,p_roks_ram))*p_facteur)</f>
        <v/>
      </c>
      <c r="AD785" s="14" t="str">
        <f aca="false">IF($D785&lt;&gt;1,"",IF(AND($G785="IKS",$AI785&lt;&gt;1,OR($L785-$P785&lt;$N785,$M785-$Q785&lt;$O785)),1,0))</f>
        <v/>
      </c>
      <c r="AE785" s="14" t="str">
        <f aca="false">IF($D785&lt;&gt;1,"",IF(AND($G785="ROKS",$T785&gt;p_maxworkers),1,0))</f>
        <v/>
      </c>
      <c r="AF785" s="14" t="str">
        <f aca="false">IF($D785&lt;&gt;1,"",IF(INDEX(TblClusters[Environnement],$B785)="","(vide)",INDEX(TblClusters[Environnement],$B785)))</f>
        <v/>
      </c>
      <c r="AG785" s="14" t="str">
        <f aca="false">IF($D785&lt;&gt;1,"",$R785+p_poidsram*$S785)</f>
        <v/>
      </c>
      <c r="AH785" s="14" t="str">
        <f aca="false">IF($D785&lt;&gt;1,"",IFERROR($W785/$AG785,0))</f>
        <v/>
      </c>
      <c r="AI785" s="14" t="str">
        <f aca="false">IF($D785&lt;&gt;1,"",IF(AND($G785="IKS",ISNUMBER(INDEX(TblClusters[Fermeture retenue],$B785))),IF($E785&gt;=INDEX(TblClusters[Fermeture retenue],$B785),1,0),0))</f>
        <v/>
      </c>
    </row>
    <row r="786" customFormat="false" ht="15" hidden="false" customHeight="false" outlineLevel="0" collapsed="false">
      <c r="A786" s="14" t="n">
        <v>781</v>
      </c>
      <c r="B786" s="14" t="n">
        <f aca="false">INT(($A786-1)/36)+1</f>
        <v>22</v>
      </c>
      <c r="C786" s="14" t="n">
        <f aca="false">MOD($A786-1,36)+1</f>
        <v>25</v>
      </c>
      <c r="D786" s="14" t="n">
        <f aca="false">IF($C786&gt;p_horizon,0,IFERROR(IF(AND(INDEX(TblClusters[Cluster],$B786)&lt;&gt;"",ISNUMBER(INDEX(TblClusters[CPU initial (vCPU)],$B786)),ISNUMBER(INDEX(TblClusters[CPU min (vCPU)],$B786)),OR(INDEX(TblClusters[Plateforme],$B786)="IKS",INDEX(TblClusters[Plateforme],$B786)="ROKS")),1,0),0))</f>
        <v>0</v>
      </c>
      <c r="E786" s="83" t="str">
        <f aca="false">IF($D786=1,EDATE(p_debut,$C786-1),"")</f>
        <v/>
      </c>
      <c r="F786" s="14" t="str">
        <f aca="false">IF($D786=1,INDEX(TblClusters[Cluster],$B786),"")</f>
        <v/>
      </c>
      <c r="G786" s="14" t="str">
        <f aca="false">IF($D786=1,INDEX(TblClusters[Plateforme],$B786),"")</f>
        <v/>
      </c>
      <c r="H786" s="14" t="str">
        <f aca="false">IF($D786=1,INDEX(TblClusters[vCPU par nœud],$B786),"")</f>
        <v/>
      </c>
      <c r="I786" s="14" t="str">
        <f aca="false">IF($D786=1,INDEX(TblClusters[RAM par nœud (Go)],$B786),"")</f>
        <v/>
      </c>
      <c r="J786" s="14" t="str">
        <f aca="false">IF($D786=1,INDEX(TblClusters[Workers min],$B786),"")</f>
        <v/>
      </c>
      <c r="K786" s="84" t="str">
        <f aca="false">IF($D786=1,INDEX(TblClusters[Tarif par nœud],$B786),"")</f>
        <v/>
      </c>
      <c r="L786" s="14" t="str">
        <f aca="false">IF($D786=1,INDEX(TblClusters[CPU initial (vCPU)],$B786),"")</f>
        <v/>
      </c>
      <c r="M786" s="14" t="str">
        <f aca="false">IF($D786=1,INDEX(TblClusters[RAM initiale (Go)],$B786),"")</f>
        <v/>
      </c>
      <c r="N786" s="14" t="str">
        <f aca="false">IF($D786=1,INDEX(TblClusters[CPU min (vCPU)],$B786),"")</f>
        <v/>
      </c>
      <c r="O786" s="14" t="str">
        <f aca="false">IF($D786=1,INDEX(TblClusters[RAM min (Go)],$B786),"")</f>
        <v/>
      </c>
      <c r="P786" s="14" t="str">
        <f aca="false">IF($D786&lt;&gt;1,"",IF($G786="ROKS",SUMIFS(TblApplications[Besoin ROKS CPU (vCPU)],TblApplications[Cluster ROKS cible],$F786,TblApplications[Action],"À migrer",TblApplications[Déjà incluse ROKS],"Non",TblApplications[Mois prov (calc)],"&lt;="&amp;$E786),SUMIFS(TblApplications[CPU IKS libérable (vCPU)],TblApplications[Cluster IKS source],$F786,TblApplications[Mois lib (calc)],"&lt;="&amp;$E786)))</f>
        <v/>
      </c>
      <c r="Q786" s="14" t="str">
        <f aca="false">IF($D786&lt;&gt;1,"",IF($G786="ROKS",SUMIFS(TblApplications[Besoin ROKS RAM (Go)],TblApplications[Cluster ROKS cible],$F786,TblApplications[Action],"À migrer",TblApplications[Déjà incluse ROKS],"Non",TblApplications[Mois prov (calc)],"&lt;="&amp;$E786),SUMIFS(TblApplications[RAM IKS libérable (Go)],TblApplications[Cluster IKS source],$F786,TblApplications[Mois lib (calc)],"&lt;="&amp;$E786)))</f>
        <v/>
      </c>
      <c r="R786" s="14" t="str">
        <f aca="false">IF($D786&lt;&gt;1,"",IF($G786="ROKS",$L786+$P786,IF($AI786=1,0,MAX($N786,$L786-$P786))))</f>
        <v/>
      </c>
      <c r="S786" s="14" t="str">
        <f aca="false">IF($D786&lt;&gt;1,"",IF($G786="ROKS",$M786+$Q786,IF($AI786=1,0,MAX($O786,$M786-$Q786))))</f>
        <v/>
      </c>
      <c r="T786" s="14" t="str">
        <f aca="false">IF($D786&lt;&gt;1,"",IF($AI786=1,0,MAX($J786,ROUNDUP(MAX($R786/$H786,$S786/$I786),0))))</f>
        <v/>
      </c>
      <c r="U786" s="14" t="str">
        <f aca="false">IF($D786&lt;&gt;1,"",IF(p_mode="Nœud",$T786*$H786,$R786))</f>
        <v/>
      </c>
      <c r="V786" s="14" t="str">
        <f aca="false">IF($D786&lt;&gt;1,"",IF(p_mode="Nœud",$T786*$I786,$S786))</f>
        <v/>
      </c>
      <c r="W786" s="84" t="str">
        <f aca="false">IF($D786&lt;&gt;1,"",IF(p_mode="Nœud",$T786*$K786,$R786*IF($G786="IKS",p_iks_cpu,p_roks_cpu)+$S786*IF($G786="IKS",p_iks_ram,p_roks_ram))*p_facteur)</f>
        <v/>
      </c>
      <c r="X786" s="14" t="str">
        <f aca="false">IF($D786&lt;&gt;1,"",IF($G786="ROKS",$R786,IF($AI786=1,0,MAX($N786,$L786-SUMIFS(TblApplications[CPU IKS libérable (vCPU)],TblApplications[Cluster IKS source],$F786,TblApplications[Action],"À migrer",TblApplications[Mois prov (calc)],"&lt;="&amp;$E786)-SUMIFS(TblApplications[CPU IKS libérable (vCPU)],TblApplications[Cluster IKS source],$F786,TblApplications[Action],"À décommissionner",TblApplications[Mois lib (calc)],"&lt;="&amp;$E786)))))</f>
        <v/>
      </c>
      <c r="Y786" s="14" t="str">
        <f aca="false">IF($D786&lt;&gt;1,"",IF($G786="ROKS",$S786,IF($AI786=1,0,MAX($O786,$M786-SUMIFS(TblApplications[RAM IKS libérable (Go)],TblApplications[Cluster IKS source],$F786,TblApplications[Action],"À migrer",TblApplications[Mois prov (calc)],"&lt;="&amp;$E786)-SUMIFS(TblApplications[RAM IKS libérable (Go)],TblApplications[Cluster IKS source],$F786,TblApplications[Action],"À décommissionner",TblApplications[Mois lib (calc)],"&lt;="&amp;$E786)))))</f>
        <v/>
      </c>
      <c r="Z786" s="14" t="str">
        <f aca="false">IF($D786&lt;&gt;1,"",IF($AI786=1,0,MAX($J786,ROUNDUP(MAX($X786/$H786,$Y786/$I786),0))))</f>
        <v/>
      </c>
      <c r="AA786" s="84" t="str">
        <f aca="false">IF($D786&lt;&gt;1,"",IF(p_mode="Nœud",$Z786*$K786,$X786*IF($G786="IKS",p_iks_cpu,p_roks_cpu)+$Y786*IF($G786="IKS",p_iks_ram,p_roks_ram))*p_facteur)</f>
        <v/>
      </c>
      <c r="AB786" s="14" t="str">
        <f aca="false">IF($D786&lt;&gt;1,"",MAX($J786,ROUNDUP(MAX($L786/$H786,$M786/$I786),0)))</f>
        <v/>
      </c>
      <c r="AC786" s="84" t="str">
        <f aca="false">IF($D786&lt;&gt;1,"",IF(p_mode="Nœud",$AB786*$K786,$L786*IF($G786="IKS",p_iks_cpu,p_roks_cpu)+$M786*IF($G786="IKS",p_iks_ram,p_roks_ram))*p_facteur)</f>
        <v/>
      </c>
      <c r="AD786" s="14" t="str">
        <f aca="false">IF($D786&lt;&gt;1,"",IF(AND($G786="IKS",$AI786&lt;&gt;1,OR($L786-$P786&lt;$N786,$M786-$Q786&lt;$O786)),1,0))</f>
        <v/>
      </c>
      <c r="AE786" s="14" t="str">
        <f aca="false">IF($D786&lt;&gt;1,"",IF(AND($G786="ROKS",$T786&gt;p_maxworkers),1,0))</f>
        <v/>
      </c>
      <c r="AF786" s="14" t="str">
        <f aca="false">IF($D786&lt;&gt;1,"",IF(INDEX(TblClusters[Environnement],$B786)="","(vide)",INDEX(TblClusters[Environnement],$B786)))</f>
        <v/>
      </c>
      <c r="AG786" s="14" t="str">
        <f aca="false">IF($D786&lt;&gt;1,"",$R786+p_poidsram*$S786)</f>
        <v/>
      </c>
      <c r="AH786" s="14" t="str">
        <f aca="false">IF($D786&lt;&gt;1,"",IFERROR($W786/$AG786,0))</f>
        <v/>
      </c>
      <c r="AI786" s="14" t="str">
        <f aca="false">IF($D786&lt;&gt;1,"",IF(AND($G786="IKS",ISNUMBER(INDEX(TblClusters[Fermeture retenue],$B786))),IF($E786&gt;=INDEX(TblClusters[Fermeture retenue],$B786),1,0),0))</f>
        <v/>
      </c>
    </row>
    <row r="787" customFormat="false" ht="15" hidden="false" customHeight="false" outlineLevel="0" collapsed="false">
      <c r="A787" s="14" t="n">
        <v>782</v>
      </c>
      <c r="B787" s="14" t="n">
        <f aca="false">INT(($A787-1)/36)+1</f>
        <v>22</v>
      </c>
      <c r="C787" s="14" t="n">
        <f aca="false">MOD($A787-1,36)+1</f>
        <v>26</v>
      </c>
      <c r="D787" s="14" t="n">
        <f aca="false">IF($C787&gt;p_horizon,0,IFERROR(IF(AND(INDEX(TblClusters[Cluster],$B787)&lt;&gt;"",ISNUMBER(INDEX(TblClusters[CPU initial (vCPU)],$B787)),ISNUMBER(INDEX(TblClusters[CPU min (vCPU)],$B787)),OR(INDEX(TblClusters[Plateforme],$B787)="IKS",INDEX(TblClusters[Plateforme],$B787)="ROKS")),1,0),0))</f>
        <v>0</v>
      </c>
      <c r="E787" s="83" t="str">
        <f aca="false">IF($D787=1,EDATE(p_debut,$C787-1),"")</f>
        <v/>
      </c>
      <c r="F787" s="14" t="str">
        <f aca="false">IF($D787=1,INDEX(TblClusters[Cluster],$B787),"")</f>
        <v/>
      </c>
      <c r="G787" s="14" t="str">
        <f aca="false">IF($D787=1,INDEX(TblClusters[Plateforme],$B787),"")</f>
        <v/>
      </c>
      <c r="H787" s="14" t="str">
        <f aca="false">IF($D787=1,INDEX(TblClusters[vCPU par nœud],$B787),"")</f>
        <v/>
      </c>
      <c r="I787" s="14" t="str">
        <f aca="false">IF($D787=1,INDEX(TblClusters[RAM par nœud (Go)],$B787),"")</f>
        <v/>
      </c>
      <c r="J787" s="14" t="str">
        <f aca="false">IF($D787=1,INDEX(TblClusters[Workers min],$B787),"")</f>
        <v/>
      </c>
      <c r="K787" s="84" t="str">
        <f aca="false">IF($D787=1,INDEX(TblClusters[Tarif par nœud],$B787),"")</f>
        <v/>
      </c>
      <c r="L787" s="14" t="str">
        <f aca="false">IF($D787=1,INDEX(TblClusters[CPU initial (vCPU)],$B787),"")</f>
        <v/>
      </c>
      <c r="M787" s="14" t="str">
        <f aca="false">IF($D787=1,INDEX(TblClusters[RAM initiale (Go)],$B787),"")</f>
        <v/>
      </c>
      <c r="N787" s="14" t="str">
        <f aca="false">IF($D787=1,INDEX(TblClusters[CPU min (vCPU)],$B787),"")</f>
        <v/>
      </c>
      <c r="O787" s="14" t="str">
        <f aca="false">IF($D787=1,INDEX(TblClusters[RAM min (Go)],$B787),"")</f>
        <v/>
      </c>
      <c r="P787" s="14" t="str">
        <f aca="false">IF($D787&lt;&gt;1,"",IF($G787="ROKS",SUMIFS(TblApplications[Besoin ROKS CPU (vCPU)],TblApplications[Cluster ROKS cible],$F787,TblApplications[Action],"À migrer",TblApplications[Déjà incluse ROKS],"Non",TblApplications[Mois prov (calc)],"&lt;="&amp;$E787),SUMIFS(TblApplications[CPU IKS libérable (vCPU)],TblApplications[Cluster IKS source],$F787,TblApplications[Mois lib (calc)],"&lt;="&amp;$E787)))</f>
        <v/>
      </c>
      <c r="Q787" s="14" t="str">
        <f aca="false">IF($D787&lt;&gt;1,"",IF($G787="ROKS",SUMIFS(TblApplications[Besoin ROKS RAM (Go)],TblApplications[Cluster ROKS cible],$F787,TblApplications[Action],"À migrer",TblApplications[Déjà incluse ROKS],"Non",TblApplications[Mois prov (calc)],"&lt;="&amp;$E787),SUMIFS(TblApplications[RAM IKS libérable (Go)],TblApplications[Cluster IKS source],$F787,TblApplications[Mois lib (calc)],"&lt;="&amp;$E787)))</f>
        <v/>
      </c>
      <c r="R787" s="14" t="str">
        <f aca="false">IF($D787&lt;&gt;1,"",IF($G787="ROKS",$L787+$P787,IF($AI787=1,0,MAX($N787,$L787-$P787))))</f>
        <v/>
      </c>
      <c r="S787" s="14" t="str">
        <f aca="false">IF($D787&lt;&gt;1,"",IF($G787="ROKS",$M787+$Q787,IF($AI787=1,0,MAX($O787,$M787-$Q787))))</f>
        <v/>
      </c>
      <c r="T787" s="14" t="str">
        <f aca="false">IF($D787&lt;&gt;1,"",IF($AI787=1,0,MAX($J787,ROUNDUP(MAX($R787/$H787,$S787/$I787),0))))</f>
        <v/>
      </c>
      <c r="U787" s="14" t="str">
        <f aca="false">IF($D787&lt;&gt;1,"",IF(p_mode="Nœud",$T787*$H787,$R787))</f>
        <v/>
      </c>
      <c r="V787" s="14" t="str">
        <f aca="false">IF($D787&lt;&gt;1,"",IF(p_mode="Nœud",$T787*$I787,$S787))</f>
        <v/>
      </c>
      <c r="W787" s="84" t="str">
        <f aca="false">IF($D787&lt;&gt;1,"",IF(p_mode="Nœud",$T787*$K787,$R787*IF($G787="IKS",p_iks_cpu,p_roks_cpu)+$S787*IF($G787="IKS",p_iks_ram,p_roks_ram))*p_facteur)</f>
        <v/>
      </c>
      <c r="X787" s="14" t="str">
        <f aca="false">IF($D787&lt;&gt;1,"",IF($G787="ROKS",$R787,IF($AI787=1,0,MAX($N787,$L787-SUMIFS(TblApplications[CPU IKS libérable (vCPU)],TblApplications[Cluster IKS source],$F787,TblApplications[Action],"À migrer",TblApplications[Mois prov (calc)],"&lt;="&amp;$E787)-SUMIFS(TblApplications[CPU IKS libérable (vCPU)],TblApplications[Cluster IKS source],$F787,TblApplications[Action],"À décommissionner",TblApplications[Mois lib (calc)],"&lt;="&amp;$E787)))))</f>
        <v/>
      </c>
      <c r="Y787" s="14" t="str">
        <f aca="false">IF($D787&lt;&gt;1,"",IF($G787="ROKS",$S787,IF($AI787=1,0,MAX($O787,$M787-SUMIFS(TblApplications[RAM IKS libérable (Go)],TblApplications[Cluster IKS source],$F787,TblApplications[Action],"À migrer",TblApplications[Mois prov (calc)],"&lt;="&amp;$E787)-SUMIFS(TblApplications[RAM IKS libérable (Go)],TblApplications[Cluster IKS source],$F787,TblApplications[Action],"À décommissionner",TblApplications[Mois lib (calc)],"&lt;="&amp;$E787)))))</f>
        <v/>
      </c>
      <c r="Z787" s="14" t="str">
        <f aca="false">IF($D787&lt;&gt;1,"",IF($AI787=1,0,MAX($J787,ROUNDUP(MAX($X787/$H787,$Y787/$I787),0))))</f>
        <v/>
      </c>
      <c r="AA787" s="84" t="str">
        <f aca="false">IF($D787&lt;&gt;1,"",IF(p_mode="Nœud",$Z787*$K787,$X787*IF($G787="IKS",p_iks_cpu,p_roks_cpu)+$Y787*IF($G787="IKS",p_iks_ram,p_roks_ram))*p_facteur)</f>
        <v/>
      </c>
      <c r="AB787" s="14" t="str">
        <f aca="false">IF($D787&lt;&gt;1,"",MAX($J787,ROUNDUP(MAX($L787/$H787,$M787/$I787),0)))</f>
        <v/>
      </c>
      <c r="AC787" s="84" t="str">
        <f aca="false">IF($D787&lt;&gt;1,"",IF(p_mode="Nœud",$AB787*$K787,$L787*IF($G787="IKS",p_iks_cpu,p_roks_cpu)+$M787*IF($G787="IKS",p_iks_ram,p_roks_ram))*p_facteur)</f>
        <v/>
      </c>
      <c r="AD787" s="14" t="str">
        <f aca="false">IF($D787&lt;&gt;1,"",IF(AND($G787="IKS",$AI787&lt;&gt;1,OR($L787-$P787&lt;$N787,$M787-$Q787&lt;$O787)),1,0))</f>
        <v/>
      </c>
      <c r="AE787" s="14" t="str">
        <f aca="false">IF($D787&lt;&gt;1,"",IF(AND($G787="ROKS",$T787&gt;p_maxworkers),1,0))</f>
        <v/>
      </c>
      <c r="AF787" s="14" t="str">
        <f aca="false">IF($D787&lt;&gt;1,"",IF(INDEX(TblClusters[Environnement],$B787)="","(vide)",INDEX(TblClusters[Environnement],$B787)))</f>
        <v/>
      </c>
      <c r="AG787" s="14" t="str">
        <f aca="false">IF($D787&lt;&gt;1,"",$R787+p_poidsram*$S787)</f>
        <v/>
      </c>
      <c r="AH787" s="14" t="str">
        <f aca="false">IF($D787&lt;&gt;1,"",IFERROR($W787/$AG787,0))</f>
        <v/>
      </c>
      <c r="AI787" s="14" t="str">
        <f aca="false">IF($D787&lt;&gt;1,"",IF(AND($G787="IKS",ISNUMBER(INDEX(TblClusters[Fermeture retenue],$B787))),IF($E787&gt;=INDEX(TblClusters[Fermeture retenue],$B787),1,0),0))</f>
        <v/>
      </c>
    </row>
    <row r="788" customFormat="false" ht="15" hidden="false" customHeight="false" outlineLevel="0" collapsed="false">
      <c r="A788" s="14" t="n">
        <v>783</v>
      </c>
      <c r="B788" s="14" t="n">
        <f aca="false">INT(($A788-1)/36)+1</f>
        <v>22</v>
      </c>
      <c r="C788" s="14" t="n">
        <f aca="false">MOD($A788-1,36)+1</f>
        <v>27</v>
      </c>
      <c r="D788" s="14" t="n">
        <f aca="false">IF($C788&gt;p_horizon,0,IFERROR(IF(AND(INDEX(TblClusters[Cluster],$B788)&lt;&gt;"",ISNUMBER(INDEX(TblClusters[CPU initial (vCPU)],$B788)),ISNUMBER(INDEX(TblClusters[CPU min (vCPU)],$B788)),OR(INDEX(TblClusters[Plateforme],$B788)="IKS",INDEX(TblClusters[Plateforme],$B788)="ROKS")),1,0),0))</f>
        <v>0</v>
      </c>
      <c r="E788" s="83" t="str">
        <f aca="false">IF($D788=1,EDATE(p_debut,$C788-1),"")</f>
        <v/>
      </c>
      <c r="F788" s="14" t="str">
        <f aca="false">IF($D788=1,INDEX(TblClusters[Cluster],$B788),"")</f>
        <v/>
      </c>
      <c r="G788" s="14" t="str">
        <f aca="false">IF($D788=1,INDEX(TblClusters[Plateforme],$B788),"")</f>
        <v/>
      </c>
      <c r="H788" s="14" t="str">
        <f aca="false">IF($D788=1,INDEX(TblClusters[vCPU par nœud],$B788),"")</f>
        <v/>
      </c>
      <c r="I788" s="14" t="str">
        <f aca="false">IF($D788=1,INDEX(TblClusters[RAM par nœud (Go)],$B788),"")</f>
        <v/>
      </c>
      <c r="J788" s="14" t="str">
        <f aca="false">IF($D788=1,INDEX(TblClusters[Workers min],$B788),"")</f>
        <v/>
      </c>
      <c r="K788" s="84" t="str">
        <f aca="false">IF($D788=1,INDEX(TblClusters[Tarif par nœud],$B788),"")</f>
        <v/>
      </c>
      <c r="L788" s="14" t="str">
        <f aca="false">IF($D788=1,INDEX(TblClusters[CPU initial (vCPU)],$B788),"")</f>
        <v/>
      </c>
      <c r="M788" s="14" t="str">
        <f aca="false">IF($D788=1,INDEX(TblClusters[RAM initiale (Go)],$B788),"")</f>
        <v/>
      </c>
      <c r="N788" s="14" t="str">
        <f aca="false">IF($D788=1,INDEX(TblClusters[CPU min (vCPU)],$B788),"")</f>
        <v/>
      </c>
      <c r="O788" s="14" t="str">
        <f aca="false">IF($D788=1,INDEX(TblClusters[RAM min (Go)],$B788),"")</f>
        <v/>
      </c>
      <c r="P788" s="14" t="str">
        <f aca="false">IF($D788&lt;&gt;1,"",IF($G788="ROKS",SUMIFS(TblApplications[Besoin ROKS CPU (vCPU)],TblApplications[Cluster ROKS cible],$F788,TblApplications[Action],"À migrer",TblApplications[Déjà incluse ROKS],"Non",TblApplications[Mois prov (calc)],"&lt;="&amp;$E788),SUMIFS(TblApplications[CPU IKS libérable (vCPU)],TblApplications[Cluster IKS source],$F788,TblApplications[Mois lib (calc)],"&lt;="&amp;$E788)))</f>
        <v/>
      </c>
      <c r="Q788" s="14" t="str">
        <f aca="false">IF($D788&lt;&gt;1,"",IF($G788="ROKS",SUMIFS(TblApplications[Besoin ROKS RAM (Go)],TblApplications[Cluster ROKS cible],$F788,TblApplications[Action],"À migrer",TblApplications[Déjà incluse ROKS],"Non",TblApplications[Mois prov (calc)],"&lt;="&amp;$E788),SUMIFS(TblApplications[RAM IKS libérable (Go)],TblApplications[Cluster IKS source],$F788,TblApplications[Mois lib (calc)],"&lt;="&amp;$E788)))</f>
        <v/>
      </c>
      <c r="R788" s="14" t="str">
        <f aca="false">IF($D788&lt;&gt;1,"",IF($G788="ROKS",$L788+$P788,IF($AI788=1,0,MAX($N788,$L788-$P788))))</f>
        <v/>
      </c>
      <c r="S788" s="14" t="str">
        <f aca="false">IF($D788&lt;&gt;1,"",IF($G788="ROKS",$M788+$Q788,IF($AI788=1,0,MAX($O788,$M788-$Q788))))</f>
        <v/>
      </c>
      <c r="T788" s="14" t="str">
        <f aca="false">IF($D788&lt;&gt;1,"",IF($AI788=1,0,MAX($J788,ROUNDUP(MAX($R788/$H788,$S788/$I788),0))))</f>
        <v/>
      </c>
      <c r="U788" s="14" t="str">
        <f aca="false">IF($D788&lt;&gt;1,"",IF(p_mode="Nœud",$T788*$H788,$R788))</f>
        <v/>
      </c>
      <c r="V788" s="14" t="str">
        <f aca="false">IF($D788&lt;&gt;1,"",IF(p_mode="Nœud",$T788*$I788,$S788))</f>
        <v/>
      </c>
      <c r="W788" s="84" t="str">
        <f aca="false">IF($D788&lt;&gt;1,"",IF(p_mode="Nœud",$T788*$K788,$R788*IF($G788="IKS",p_iks_cpu,p_roks_cpu)+$S788*IF($G788="IKS",p_iks_ram,p_roks_ram))*p_facteur)</f>
        <v/>
      </c>
      <c r="X788" s="14" t="str">
        <f aca="false">IF($D788&lt;&gt;1,"",IF($G788="ROKS",$R788,IF($AI788=1,0,MAX($N788,$L788-SUMIFS(TblApplications[CPU IKS libérable (vCPU)],TblApplications[Cluster IKS source],$F788,TblApplications[Action],"À migrer",TblApplications[Mois prov (calc)],"&lt;="&amp;$E788)-SUMIFS(TblApplications[CPU IKS libérable (vCPU)],TblApplications[Cluster IKS source],$F788,TblApplications[Action],"À décommissionner",TblApplications[Mois lib (calc)],"&lt;="&amp;$E788)))))</f>
        <v/>
      </c>
      <c r="Y788" s="14" t="str">
        <f aca="false">IF($D788&lt;&gt;1,"",IF($G788="ROKS",$S788,IF($AI788=1,0,MAX($O788,$M788-SUMIFS(TblApplications[RAM IKS libérable (Go)],TblApplications[Cluster IKS source],$F788,TblApplications[Action],"À migrer",TblApplications[Mois prov (calc)],"&lt;="&amp;$E788)-SUMIFS(TblApplications[RAM IKS libérable (Go)],TblApplications[Cluster IKS source],$F788,TblApplications[Action],"À décommissionner",TblApplications[Mois lib (calc)],"&lt;="&amp;$E788)))))</f>
        <v/>
      </c>
      <c r="Z788" s="14" t="str">
        <f aca="false">IF($D788&lt;&gt;1,"",IF($AI788=1,0,MAX($J788,ROUNDUP(MAX($X788/$H788,$Y788/$I788),0))))</f>
        <v/>
      </c>
      <c r="AA788" s="84" t="str">
        <f aca="false">IF($D788&lt;&gt;1,"",IF(p_mode="Nœud",$Z788*$K788,$X788*IF($G788="IKS",p_iks_cpu,p_roks_cpu)+$Y788*IF($G788="IKS",p_iks_ram,p_roks_ram))*p_facteur)</f>
        <v/>
      </c>
      <c r="AB788" s="14" t="str">
        <f aca="false">IF($D788&lt;&gt;1,"",MAX($J788,ROUNDUP(MAX($L788/$H788,$M788/$I788),0)))</f>
        <v/>
      </c>
      <c r="AC788" s="84" t="str">
        <f aca="false">IF($D788&lt;&gt;1,"",IF(p_mode="Nœud",$AB788*$K788,$L788*IF($G788="IKS",p_iks_cpu,p_roks_cpu)+$M788*IF($G788="IKS",p_iks_ram,p_roks_ram))*p_facteur)</f>
        <v/>
      </c>
      <c r="AD788" s="14" t="str">
        <f aca="false">IF($D788&lt;&gt;1,"",IF(AND($G788="IKS",$AI788&lt;&gt;1,OR($L788-$P788&lt;$N788,$M788-$Q788&lt;$O788)),1,0))</f>
        <v/>
      </c>
      <c r="AE788" s="14" t="str">
        <f aca="false">IF($D788&lt;&gt;1,"",IF(AND($G788="ROKS",$T788&gt;p_maxworkers),1,0))</f>
        <v/>
      </c>
      <c r="AF788" s="14" t="str">
        <f aca="false">IF($D788&lt;&gt;1,"",IF(INDEX(TblClusters[Environnement],$B788)="","(vide)",INDEX(TblClusters[Environnement],$B788)))</f>
        <v/>
      </c>
      <c r="AG788" s="14" t="str">
        <f aca="false">IF($D788&lt;&gt;1,"",$R788+p_poidsram*$S788)</f>
        <v/>
      </c>
      <c r="AH788" s="14" t="str">
        <f aca="false">IF($D788&lt;&gt;1,"",IFERROR($W788/$AG788,0))</f>
        <v/>
      </c>
      <c r="AI788" s="14" t="str">
        <f aca="false">IF($D788&lt;&gt;1,"",IF(AND($G788="IKS",ISNUMBER(INDEX(TblClusters[Fermeture retenue],$B788))),IF($E788&gt;=INDEX(TblClusters[Fermeture retenue],$B788),1,0),0))</f>
        <v/>
      </c>
    </row>
    <row r="789" customFormat="false" ht="15" hidden="false" customHeight="false" outlineLevel="0" collapsed="false">
      <c r="A789" s="14" t="n">
        <v>784</v>
      </c>
      <c r="B789" s="14" t="n">
        <f aca="false">INT(($A789-1)/36)+1</f>
        <v>22</v>
      </c>
      <c r="C789" s="14" t="n">
        <f aca="false">MOD($A789-1,36)+1</f>
        <v>28</v>
      </c>
      <c r="D789" s="14" t="n">
        <f aca="false">IF($C789&gt;p_horizon,0,IFERROR(IF(AND(INDEX(TblClusters[Cluster],$B789)&lt;&gt;"",ISNUMBER(INDEX(TblClusters[CPU initial (vCPU)],$B789)),ISNUMBER(INDEX(TblClusters[CPU min (vCPU)],$B789)),OR(INDEX(TblClusters[Plateforme],$B789)="IKS",INDEX(TblClusters[Plateforme],$B789)="ROKS")),1,0),0))</f>
        <v>0</v>
      </c>
      <c r="E789" s="83" t="str">
        <f aca="false">IF($D789=1,EDATE(p_debut,$C789-1),"")</f>
        <v/>
      </c>
      <c r="F789" s="14" t="str">
        <f aca="false">IF($D789=1,INDEX(TblClusters[Cluster],$B789),"")</f>
        <v/>
      </c>
      <c r="G789" s="14" t="str">
        <f aca="false">IF($D789=1,INDEX(TblClusters[Plateforme],$B789),"")</f>
        <v/>
      </c>
      <c r="H789" s="14" t="str">
        <f aca="false">IF($D789=1,INDEX(TblClusters[vCPU par nœud],$B789),"")</f>
        <v/>
      </c>
      <c r="I789" s="14" t="str">
        <f aca="false">IF($D789=1,INDEX(TblClusters[RAM par nœud (Go)],$B789),"")</f>
        <v/>
      </c>
      <c r="J789" s="14" t="str">
        <f aca="false">IF($D789=1,INDEX(TblClusters[Workers min],$B789),"")</f>
        <v/>
      </c>
      <c r="K789" s="84" t="str">
        <f aca="false">IF($D789=1,INDEX(TblClusters[Tarif par nœud],$B789),"")</f>
        <v/>
      </c>
      <c r="L789" s="14" t="str">
        <f aca="false">IF($D789=1,INDEX(TblClusters[CPU initial (vCPU)],$B789),"")</f>
        <v/>
      </c>
      <c r="M789" s="14" t="str">
        <f aca="false">IF($D789=1,INDEX(TblClusters[RAM initiale (Go)],$B789),"")</f>
        <v/>
      </c>
      <c r="N789" s="14" t="str">
        <f aca="false">IF($D789=1,INDEX(TblClusters[CPU min (vCPU)],$B789),"")</f>
        <v/>
      </c>
      <c r="O789" s="14" t="str">
        <f aca="false">IF($D789=1,INDEX(TblClusters[RAM min (Go)],$B789),"")</f>
        <v/>
      </c>
      <c r="P789" s="14" t="str">
        <f aca="false">IF($D789&lt;&gt;1,"",IF($G789="ROKS",SUMIFS(TblApplications[Besoin ROKS CPU (vCPU)],TblApplications[Cluster ROKS cible],$F789,TblApplications[Action],"À migrer",TblApplications[Déjà incluse ROKS],"Non",TblApplications[Mois prov (calc)],"&lt;="&amp;$E789),SUMIFS(TblApplications[CPU IKS libérable (vCPU)],TblApplications[Cluster IKS source],$F789,TblApplications[Mois lib (calc)],"&lt;="&amp;$E789)))</f>
        <v/>
      </c>
      <c r="Q789" s="14" t="str">
        <f aca="false">IF($D789&lt;&gt;1,"",IF($G789="ROKS",SUMIFS(TblApplications[Besoin ROKS RAM (Go)],TblApplications[Cluster ROKS cible],$F789,TblApplications[Action],"À migrer",TblApplications[Déjà incluse ROKS],"Non",TblApplications[Mois prov (calc)],"&lt;="&amp;$E789),SUMIFS(TblApplications[RAM IKS libérable (Go)],TblApplications[Cluster IKS source],$F789,TblApplications[Mois lib (calc)],"&lt;="&amp;$E789)))</f>
        <v/>
      </c>
      <c r="R789" s="14" t="str">
        <f aca="false">IF($D789&lt;&gt;1,"",IF($G789="ROKS",$L789+$P789,IF($AI789=1,0,MAX($N789,$L789-$P789))))</f>
        <v/>
      </c>
      <c r="S789" s="14" t="str">
        <f aca="false">IF($D789&lt;&gt;1,"",IF($G789="ROKS",$M789+$Q789,IF($AI789=1,0,MAX($O789,$M789-$Q789))))</f>
        <v/>
      </c>
      <c r="T789" s="14" t="str">
        <f aca="false">IF($D789&lt;&gt;1,"",IF($AI789=1,0,MAX($J789,ROUNDUP(MAX($R789/$H789,$S789/$I789),0))))</f>
        <v/>
      </c>
      <c r="U789" s="14" t="str">
        <f aca="false">IF($D789&lt;&gt;1,"",IF(p_mode="Nœud",$T789*$H789,$R789))</f>
        <v/>
      </c>
      <c r="V789" s="14" t="str">
        <f aca="false">IF($D789&lt;&gt;1,"",IF(p_mode="Nœud",$T789*$I789,$S789))</f>
        <v/>
      </c>
      <c r="W789" s="84" t="str">
        <f aca="false">IF($D789&lt;&gt;1,"",IF(p_mode="Nœud",$T789*$K789,$R789*IF($G789="IKS",p_iks_cpu,p_roks_cpu)+$S789*IF($G789="IKS",p_iks_ram,p_roks_ram))*p_facteur)</f>
        <v/>
      </c>
      <c r="X789" s="14" t="str">
        <f aca="false">IF($D789&lt;&gt;1,"",IF($G789="ROKS",$R789,IF($AI789=1,0,MAX($N789,$L789-SUMIFS(TblApplications[CPU IKS libérable (vCPU)],TblApplications[Cluster IKS source],$F789,TblApplications[Action],"À migrer",TblApplications[Mois prov (calc)],"&lt;="&amp;$E789)-SUMIFS(TblApplications[CPU IKS libérable (vCPU)],TblApplications[Cluster IKS source],$F789,TblApplications[Action],"À décommissionner",TblApplications[Mois lib (calc)],"&lt;="&amp;$E789)))))</f>
        <v/>
      </c>
      <c r="Y789" s="14" t="str">
        <f aca="false">IF($D789&lt;&gt;1,"",IF($G789="ROKS",$S789,IF($AI789=1,0,MAX($O789,$M789-SUMIFS(TblApplications[RAM IKS libérable (Go)],TblApplications[Cluster IKS source],$F789,TblApplications[Action],"À migrer",TblApplications[Mois prov (calc)],"&lt;="&amp;$E789)-SUMIFS(TblApplications[RAM IKS libérable (Go)],TblApplications[Cluster IKS source],$F789,TblApplications[Action],"À décommissionner",TblApplications[Mois lib (calc)],"&lt;="&amp;$E789)))))</f>
        <v/>
      </c>
      <c r="Z789" s="14" t="str">
        <f aca="false">IF($D789&lt;&gt;1,"",IF($AI789=1,0,MAX($J789,ROUNDUP(MAX($X789/$H789,$Y789/$I789),0))))</f>
        <v/>
      </c>
      <c r="AA789" s="84" t="str">
        <f aca="false">IF($D789&lt;&gt;1,"",IF(p_mode="Nœud",$Z789*$K789,$X789*IF($G789="IKS",p_iks_cpu,p_roks_cpu)+$Y789*IF($G789="IKS",p_iks_ram,p_roks_ram))*p_facteur)</f>
        <v/>
      </c>
      <c r="AB789" s="14" t="str">
        <f aca="false">IF($D789&lt;&gt;1,"",MAX($J789,ROUNDUP(MAX($L789/$H789,$M789/$I789),0)))</f>
        <v/>
      </c>
      <c r="AC789" s="84" t="str">
        <f aca="false">IF($D789&lt;&gt;1,"",IF(p_mode="Nœud",$AB789*$K789,$L789*IF($G789="IKS",p_iks_cpu,p_roks_cpu)+$M789*IF($G789="IKS",p_iks_ram,p_roks_ram))*p_facteur)</f>
        <v/>
      </c>
      <c r="AD789" s="14" t="str">
        <f aca="false">IF($D789&lt;&gt;1,"",IF(AND($G789="IKS",$AI789&lt;&gt;1,OR($L789-$P789&lt;$N789,$M789-$Q789&lt;$O789)),1,0))</f>
        <v/>
      </c>
      <c r="AE789" s="14" t="str">
        <f aca="false">IF($D789&lt;&gt;1,"",IF(AND($G789="ROKS",$T789&gt;p_maxworkers),1,0))</f>
        <v/>
      </c>
      <c r="AF789" s="14" t="str">
        <f aca="false">IF($D789&lt;&gt;1,"",IF(INDEX(TblClusters[Environnement],$B789)="","(vide)",INDEX(TblClusters[Environnement],$B789)))</f>
        <v/>
      </c>
      <c r="AG789" s="14" t="str">
        <f aca="false">IF($D789&lt;&gt;1,"",$R789+p_poidsram*$S789)</f>
        <v/>
      </c>
      <c r="AH789" s="14" t="str">
        <f aca="false">IF($D789&lt;&gt;1,"",IFERROR($W789/$AG789,0))</f>
        <v/>
      </c>
      <c r="AI789" s="14" t="str">
        <f aca="false">IF($D789&lt;&gt;1,"",IF(AND($G789="IKS",ISNUMBER(INDEX(TblClusters[Fermeture retenue],$B789))),IF($E789&gt;=INDEX(TblClusters[Fermeture retenue],$B789),1,0),0))</f>
        <v/>
      </c>
    </row>
    <row r="790" customFormat="false" ht="15" hidden="false" customHeight="false" outlineLevel="0" collapsed="false">
      <c r="A790" s="14" t="n">
        <v>785</v>
      </c>
      <c r="B790" s="14" t="n">
        <f aca="false">INT(($A790-1)/36)+1</f>
        <v>22</v>
      </c>
      <c r="C790" s="14" t="n">
        <f aca="false">MOD($A790-1,36)+1</f>
        <v>29</v>
      </c>
      <c r="D790" s="14" t="n">
        <f aca="false">IF($C790&gt;p_horizon,0,IFERROR(IF(AND(INDEX(TblClusters[Cluster],$B790)&lt;&gt;"",ISNUMBER(INDEX(TblClusters[CPU initial (vCPU)],$B790)),ISNUMBER(INDEX(TblClusters[CPU min (vCPU)],$B790)),OR(INDEX(TblClusters[Plateforme],$B790)="IKS",INDEX(TblClusters[Plateforme],$B790)="ROKS")),1,0),0))</f>
        <v>0</v>
      </c>
      <c r="E790" s="83" t="str">
        <f aca="false">IF($D790=1,EDATE(p_debut,$C790-1),"")</f>
        <v/>
      </c>
      <c r="F790" s="14" t="str">
        <f aca="false">IF($D790=1,INDEX(TblClusters[Cluster],$B790),"")</f>
        <v/>
      </c>
      <c r="G790" s="14" t="str">
        <f aca="false">IF($D790=1,INDEX(TblClusters[Plateforme],$B790),"")</f>
        <v/>
      </c>
      <c r="H790" s="14" t="str">
        <f aca="false">IF($D790=1,INDEX(TblClusters[vCPU par nœud],$B790),"")</f>
        <v/>
      </c>
      <c r="I790" s="14" t="str">
        <f aca="false">IF($D790=1,INDEX(TblClusters[RAM par nœud (Go)],$B790),"")</f>
        <v/>
      </c>
      <c r="J790" s="14" t="str">
        <f aca="false">IF($D790=1,INDEX(TblClusters[Workers min],$B790),"")</f>
        <v/>
      </c>
      <c r="K790" s="84" t="str">
        <f aca="false">IF($D790=1,INDEX(TblClusters[Tarif par nœud],$B790),"")</f>
        <v/>
      </c>
      <c r="L790" s="14" t="str">
        <f aca="false">IF($D790=1,INDEX(TblClusters[CPU initial (vCPU)],$B790),"")</f>
        <v/>
      </c>
      <c r="M790" s="14" t="str">
        <f aca="false">IF($D790=1,INDEX(TblClusters[RAM initiale (Go)],$B790),"")</f>
        <v/>
      </c>
      <c r="N790" s="14" t="str">
        <f aca="false">IF($D790=1,INDEX(TblClusters[CPU min (vCPU)],$B790),"")</f>
        <v/>
      </c>
      <c r="O790" s="14" t="str">
        <f aca="false">IF($D790=1,INDEX(TblClusters[RAM min (Go)],$B790),"")</f>
        <v/>
      </c>
      <c r="P790" s="14" t="str">
        <f aca="false">IF($D790&lt;&gt;1,"",IF($G790="ROKS",SUMIFS(TblApplications[Besoin ROKS CPU (vCPU)],TblApplications[Cluster ROKS cible],$F790,TblApplications[Action],"À migrer",TblApplications[Déjà incluse ROKS],"Non",TblApplications[Mois prov (calc)],"&lt;="&amp;$E790),SUMIFS(TblApplications[CPU IKS libérable (vCPU)],TblApplications[Cluster IKS source],$F790,TblApplications[Mois lib (calc)],"&lt;="&amp;$E790)))</f>
        <v/>
      </c>
      <c r="Q790" s="14" t="str">
        <f aca="false">IF($D790&lt;&gt;1,"",IF($G790="ROKS",SUMIFS(TblApplications[Besoin ROKS RAM (Go)],TblApplications[Cluster ROKS cible],$F790,TblApplications[Action],"À migrer",TblApplications[Déjà incluse ROKS],"Non",TblApplications[Mois prov (calc)],"&lt;="&amp;$E790),SUMIFS(TblApplications[RAM IKS libérable (Go)],TblApplications[Cluster IKS source],$F790,TblApplications[Mois lib (calc)],"&lt;="&amp;$E790)))</f>
        <v/>
      </c>
      <c r="R790" s="14" t="str">
        <f aca="false">IF($D790&lt;&gt;1,"",IF($G790="ROKS",$L790+$P790,IF($AI790=1,0,MAX($N790,$L790-$P790))))</f>
        <v/>
      </c>
      <c r="S790" s="14" t="str">
        <f aca="false">IF($D790&lt;&gt;1,"",IF($G790="ROKS",$M790+$Q790,IF($AI790=1,0,MAX($O790,$M790-$Q790))))</f>
        <v/>
      </c>
      <c r="T790" s="14" t="str">
        <f aca="false">IF($D790&lt;&gt;1,"",IF($AI790=1,0,MAX($J790,ROUNDUP(MAX($R790/$H790,$S790/$I790),0))))</f>
        <v/>
      </c>
      <c r="U790" s="14" t="str">
        <f aca="false">IF($D790&lt;&gt;1,"",IF(p_mode="Nœud",$T790*$H790,$R790))</f>
        <v/>
      </c>
      <c r="V790" s="14" t="str">
        <f aca="false">IF($D790&lt;&gt;1,"",IF(p_mode="Nœud",$T790*$I790,$S790))</f>
        <v/>
      </c>
      <c r="W790" s="84" t="str">
        <f aca="false">IF($D790&lt;&gt;1,"",IF(p_mode="Nœud",$T790*$K790,$R790*IF($G790="IKS",p_iks_cpu,p_roks_cpu)+$S790*IF($G790="IKS",p_iks_ram,p_roks_ram))*p_facteur)</f>
        <v/>
      </c>
      <c r="X790" s="14" t="str">
        <f aca="false">IF($D790&lt;&gt;1,"",IF($G790="ROKS",$R790,IF($AI790=1,0,MAX($N790,$L790-SUMIFS(TblApplications[CPU IKS libérable (vCPU)],TblApplications[Cluster IKS source],$F790,TblApplications[Action],"À migrer",TblApplications[Mois prov (calc)],"&lt;="&amp;$E790)-SUMIFS(TblApplications[CPU IKS libérable (vCPU)],TblApplications[Cluster IKS source],$F790,TblApplications[Action],"À décommissionner",TblApplications[Mois lib (calc)],"&lt;="&amp;$E790)))))</f>
        <v/>
      </c>
      <c r="Y790" s="14" t="str">
        <f aca="false">IF($D790&lt;&gt;1,"",IF($G790="ROKS",$S790,IF($AI790=1,0,MAX($O790,$M790-SUMIFS(TblApplications[RAM IKS libérable (Go)],TblApplications[Cluster IKS source],$F790,TblApplications[Action],"À migrer",TblApplications[Mois prov (calc)],"&lt;="&amp;$E790)-SUMIFS(TblApplications[RAM IKS libérable (Go)],TblApplications[Cluster IKS source],$F790,TblApplications[Action],"À décommissionner",TblApplications[Mois lib (calc)],"&lt;="&amp;$E790)))))</f>
        <v/>
      </c>
      <c r="Z790" s="14" t="str">
        <f aca="false">IF($D790&lt;&gt;1,"",IF($AI790=1,0,MAX($J790,ROUNDUP(MAX($X790/$H790,$Y790/$I790),0))))</f>
        <v/>
      </c>
      <c r="AA790" s="84" t="str">
        <f aca="false">IF($D790&lt;&gt;1,"",IF(p_mode="Nœud",$Z790*$K790,$X790*IF($G790="IKS",p_iks_cpu,p_roks_cpu)+$Y790*IF($G790="IKS",p_iks_ram,p_roks_ram))*p_facteur)</f>
        <v/>
      </c>
      <c r="AB790" s="14" t="str">
        <f aca="false">IF($D790&lt;&gt;1,"",MAX($J790,ROUNDUP(MAX($L790/$H790,$M790/$I790),0)))</f>
        <v/>
      </c>
      <c r="AC790" s="84" t="str">
        <f aca="false">IF($D790&lt;&gt;1,"",IF(p_mode="Nœud",$AB790*$K790,$L790*IF($G790="IKS",p_iks_cpu,p_roks_cpu)+$M790*IF($G790="IKS",p_iks_ram,p_roks_ram))*p_facteur)</f>
        <v/>
      </c>
      <c r="AD790" s="14" t="str">
        <f aca="false">IF($D790&lt;&gt;1,"",IF(AND($G790="IKS",$AI790&lt;&gt;1,OR($L790-$P790&lt;$N790,$M790-$Q790&lt;$O790)),1,0))</f>
        <v/>
      </c>
      <c r="AE790" s="14" t="str">
        <f aca="false">IF($D790&lt;&gt;1,"",IF(AND($G790="ROKS",$T790&gt;p_maxworkers),1,0))</f>
        <v/>
      </c>
      <c r="AF790" s="14" t="str">
        <f aca="false">IF($D790&lt;&gt;1,"",IF(INDEX(TblClusters[Environnement],$B790)="","(vide)",INDEX(TblClusters[Environnement],$B790)))</f>
        <v/>
      </c>
      <c r="AG790" s="14" t="str">
        <f aca="false">IF($D790&lt;&gt;1,"",$R790+p_poidsram*$S790)</f>
        <v/>
      </c>
      <c r="AH790" s="14" t="str">
        <f aca="false">IF($D790&lt;&gt;1,"",IFERROR($W790/$AG790,0))</f>
        <v/>
      </c>
      <c r="AI790" s="14" t="str">
        <f aca="false">IF($D790&lt;&gt;1,"",IF(AND($G790="IKS",ISNUMBER(INDEX(TblClusters[Fermeture retenue],$B790))),IF($E790&gt;=INDEX(TblClusters[Fermeture retenue],$B790),1,0),0))</f>
        <v/>
      </c>
    </row>
    <row r="791" customFormat="false" ht="15" hidden="false" customHeight="false" outlineLevel="0" collapsed="false">
      <c r="A791" s="14" t="n">
        <v>786</v>
      </c>
      <c r="B791" s="14" t="n">
        <f aca="false">INT(($A791-1)/36)+1</f>
        <v>22</v>
      </c>
      <c r="C791" s="14" t="n">
        <f aca="false">MOD($A791-1,36)+1</f>
        <v>30</v>
      </c>
      <c r="D791" s="14" t="n">
        <f aca="false">IF($C791&gt;p_horizon,0,IFERROR(IF(AND(INDEX(TblClusters[Cluster],$B791)&lt;&gt;"",ISNUMBER(INDEX(TblClusters[CPU initial (vCPU)],$B791)),ISNUMBER(INDEX(TblClusters[CPU min (vCPU)],$B791)),OR(INDEX(TblClusters[Plateforme],$B791)="IKS",INDEX(TblClusters[Plateforme],$B791)="ROKS")),1,0),0))</f>
        <v>0</v>
      </c>
      <c r="E791" s="83" t="str">
        <f aca="false">IF($D791=1,EDATE(p_debut,$C791-1),"")</f>
        <v/>
      </c>
      <c r="F791" s="14" t="str">
        <f aca="false">IF($D791=1,INDEX(TblClusters[Cluster],$B791),"")</f>
        <v/>
      </c>
      <c r="G791" s="14" t="str">
        <f aca="false">IF($D791=1,INDEX(TblClusters[Plateforme],$B791),"")</f>
        <v/>
      </c>
      <c r="H791" s="14" t="str">
        <f aca="false">IF($D791=1,INDEX(TblClusters[vCPU par nœud],$B791),"")</f>
        <v/>
      </c>
      <c r="I791" s="14" t="str">
        <f aca="false">IF($D791=1,INDEX(TblClusters[RAM par nœud (Go)],$B791),"")</f>
        <v/>
      </c>
      <c r="J791" s="14" t="str">
        <f aca="false">IF($D791=1,INDEX(TblClusters[Workers min],$B791),"")</f>
        <v/>
      </c>
      <c r="K791" s="84" t="str">
        <f aca="false">IF($D791=1,INDEX(TblClusters[Tarif par nœud],$B791),"")</f>
        <v/>
      </c>
      <c r="L791" s="14" t="str">
        <f aca="false">IF($D791=1,INDEX(TblClusters[CPU initial (vCPU)],$B791),"")</f>
        <v/>
      </c>
      <c r="M791" s="14" t="str">
        <f aca="false">IF($D791=1,INDEX(TblClusters[RAM initiale (Go)],$B791),"")</f>
        <v/>
      </c>
      <c r="N791" s="14" t="str">
        <f aca="false">IF($D791=1,INDEX(TblClusters[CPU min (vCPU)],$B791),"")</f>
        <v/>
      </c>
      <c r="O791" s="14" t="str">
        <f aca="false">IF($D791=1,INDEX(TblClusters[RAM min (Go)],$B791),"")</f>
        <v/>
      </c>
      <c r="P791" s="14" t="str">
        <f aca="false">IF($D791&lt;&gt;1,"",IF($G791="ROKS",SUMIFS(TblApplications[Besoin ROKS CPU (vCPU)],TblApplications[Cluster ROKS cible],$F791,TblApplications[Action],"À migrer",TblApplications[Déjà incluse ROKS],"Non",TblApplications[Mois prov (calc)],"&lt;="&amp;$E791),SUMIFS(TblApplications[CPU IKS libérable (vCPU)],TblApplications[Cluster IKS source],$F791,TblApplications[Mois lib (calc)],"&lt;="&amp;$E791)))</f>
        <v/>
      </c>
      <c r="Q791" s="14" t="str">
        <f aca="false">IF($D791&lt;&gt;1,"",IF($G791="ROKS",SUMIFS(TblApplications[Besoin ROKS RAM (Go)],TblApplications[Cluster ROKS cible],$F791,TblApplications[Action],"À migrer",TblApplications[Déjà incluse ROKS],"Non",TblApplications[Mois prov (calc)],"&lt;="&amp;$E791),SUMIFS(TblApplications[RAM IKS libérable (Go)],TblApplications[Cluster IKS source],$F791,TblApplications[Mois lib (calc)],"&lt;="&amp;$E791)))</f>
        <v/>
      </c>
      <c r="R791" s="14" t="str">
        <f aca="false">IF($D791&lt;&gt;1,"",IF($G791="ROKS",$L791+$P791,IF($AI791=1,0,MAX($N791,$L791-$P791))))</f>
        <v/>
      </c>
      <c r="S791" s="14" t="str">
        <f aca="false">IF($D791&lt;&gt;1,"",IF($G791="ROKS",$M791+$Q791,IF($AI791=1,0,MAX($O791,$M791-$Q791))))</f>
        <v/>
      </c>
      <c r="T791" s="14" t="str">
        <f aca="false">IF($D791&lt;&gt;1,"",IF($AI791=1,0,MAX($J791,ROUNDUP(MAX($R791/$H791,$S791/$I791),0))))</f>
        <v/>
      </c>
      <c r="U791" s="14" t="str">
        <f aca="false">IF($D791&lt;&gt;1,"",IF(p_mode="Nœud",$T791*$H791,$R791))</f>
        <v/>
      </c>
      <c r="V791" s="14" t="str">
        <f aca="false">IF($D791&lt;&gt;1,"",IF(p_mode="Nœud",$T791*$I791,$S791))</f>
        <v/>
      </c>
      <c r="W791" s="84" t="str">
        <f aca="false">IF($D791&lt;&gt;1,"",IF(p_mode="Nœud",$T791*$K791,$R791*IF($G791="IKS",p_iks_cpu,p_roks_cpu)+$S791*IF($G791="IKS",p_iks_ram,p_roks_ram))*p_facteur)</f>
        <v/>
      </c>
      <c r="X791" s="14" t="str">
        <f aca="false">IF($D791&lt;&gt;1,"",IF($G791="ROKS",$R791,IF($AI791=1,0,MAX($N791,$L791-SUMIFS(TblApplications[CPU IKS libérable (vCPU)],TblApplications[Cluster IKS source],$F791,TblApplications[Action],"À migrer",TblApplications[Mois prov (calc)],"&lt;="&amp;$E791)-SUMIFS(TblApplications[CPU IKS libérable (vCPU)],TblApplications[Cluster IKS source],$F791,TblApplications[Action],"À décommissionner",TblApplications[Mois lib (calc)],"&lt;="&amp;$E791)))))</f>
        <v/>
      </c>
      <c r="Y791" s="14" t="str">
        <f aca="false">IF($D791&lt;&gt;1,"",IF($G791="ROKS",$S791,IF($AI791=1,0,MAX($O791,$M791-SUMIFS(TblApplications[RAM IKS libérable (Go)],TblApplications[Cluster IKS source],$F791,TblApplications[Action],"À migrer",TblApplications[Mois prov (calc)],"&lt;="&amp;$E791)-SUMIFS(TblApplications[RAM IKS libérable (Go)],TblApplications[Cluster IKS source],$F791,TblApplications[Action],"À décommissionner",TblApplications[Mois lib (calc)],"&lt;="&amp;$E791)))))</f>
        <v/>
      </c>
      <c r="Z791" s="14" t="str">
        <f aca="false">IF($D791&lt;&gt;1,"",IF($AI791=1,0,MAX($J791,ROUNDUP(MAX($X791/$H791,$Y791/$I791),0))))</f>
        <v/>
      </c>
      <c r="AA791" s="84" t="str">
        <f aca="false">IF($D791&lt;&gt;1,"",IF(p_mode="Nœud",$Z791*$K791,$X791*IF($G791="IKS",p_iks_cpu,p_roks_cpu)+$Y791*IF($G791="IKS",p_iks_ram,p_roks_ram))*p_facteur)</f>
        <v/>
      </c>
      <c r="AB791" s="14" t="str">
        <f aca="false">IF($D791&lt;&gt;1,"",MAX($J791,ROUNDUP(MAX($L791/$H791,$M791/$I791),0)))</f>
        <v/>
      </c>
      <c r="AC791" s="84" t="str">
        <f aca="false">IF($D791&lt;&gt;1,"",IF(p_mode="Nœud",$AB791*$K791,$L791*IF($G791="IKS",p_iks_cpu,p_roks_cpu)+$M791*IF($G791="IKS",p_iks_ram,p_roks_ram))*p_facteur)</f>
        <v/>
      </c>
      <c r="AD791" s="14" t="str">
        <f aca="false">IF($D791&lt;&gt;1,"",IF(AND($G791="IKS",$AI791&lt;&gt;1,OR($L791-$P791&lt;$N791,$M791-$Q791&lt;$O791)),1,0))</f>
        <v/>
      </c>
      <c r="AE791" s="14" t="str">
        <f aca="false">IF($D791&lt;&gt;1,"",IF(AND($G791="ROKS",$T791&gt;p_maxworkers),1,0))</f>
        <v/>
      </c>
      <c r="AF791" s="14" t="str">
        <f aca="false">IF($D791&lt;&gt;1,"",IF(INDEX(TblClusters[Environnement],$B791)="","(vide)",INDEX(TblClusters[Environnement],$B791)))</f>
        <v/>
      </c>
      <c r="AG791" s="14" t="str">
        <f aca="false">IF($D791&lt;&gt;1,"",$R791+p_poidsram*$S791)</f>
        <v/>
      </c>
      <c r="AH791" s="14" t="str">
        <f aca="false">IF($D791&lt;&gt;1,"",IFERROR($W791/$AG791,0))</f>
        <v/>
      </c>
      <c r="AI791" s="14" t="str">
        <f aca="false">IF($D791&lt;&gt;1,"",IF(AND($G791="IKS",ISNUMBER(INDEX(TblClusters[Fermeture retenue],$B791))),IF($E791&gt;=INDEX(TblClusters[Fermeture retenue],$B791),1,0),0))</f>
        <v/>
      </c>
    </row>
    <row r="792" customFormat="false" ht="15" hidden="false" customHeight="false" outlineLevel="0" collapsed="false">
      <c r="A792" s="14" t="n">
        <v>787</v>
      </c>
      <c r="B792" s="14" t="n">
        <f aca="false">INT(($A792-1)/36)+1</f>
        <v>22</v>
      </c>
      <c r="C792" s="14" t="n">
        <f aca="false">MOD($A792-1,36)+1</f>
        <v>31</v>
      </c>
      <c r="D792" s="14" t="n">
        <f aca="false">IF($C792&gt;p_horizon,0,IFERROR(IF(AND(INDEX(TblClusters[Cluster],$B792)&lt;&gt;"",ISNUMBER(INDEX(TblClusters[CPU initial (vCPU)],$B792)),ISNUMBER(INDEX(TblClusters[CPU min (vCPU)],$B792)),OR(INDEX(TblClusters[Plateforme],$B792)="IKS",INDEX(TblClusters[Plateforme],$B792)="ROKS")),1,0),0))</f>
        <v>0</v>
      </c>
      <c r="E792" s="83" t="str">
        <f aca="false">IF($D792=1,EDATE(p_debut,$C792-1),"")</f>
        <v/>
      </c>
      <c r="F792" s="14" t="str">
        <f aca="false">IF($D792=1,INDEX(TblClusters[Cluster],$B792),"")</f>
        <v/>
      </c>
      <c r="G792" s="14" t="str">
        <f aca="false">IF($D792=1,INDEX(TblClusters[Plateforme],$B792),"")</f>
        <v/>
      </c>
      <c r="H792" s="14" t="str">
        <f aca="false">IF($D792=1,INDEX(TblClusters[vCPU par nœud],$B792),"")</f>
        <v/>
      </c>
      <c r="I792" s="14" t="str">
        <f aca="false">IF($D792=1,INDEX(TblClusters[RAM par nœud (Go)],$B792),"")</f>
        <v/>
      </c>
      <c r="J792" s="14" t="str">
        <f aca="false">IF($D792=1,INDEX(TblClusters[Workers min],$B792),"")</f>
        <v/>
      </c>
      <c r="K792" s="84" t="str">
        <f aca="false">IF($D792=1,INDEX(TblClusters[Tarif par nœud],$B792),"")</f>
        <v/>
      </c>
      <c r="L792" s="14" t="str">
        <f aca="false">IF($D792=1,INDEX(TblClusters[CPU initial (vCPU)],$B792),"")</f>
        <v/>
      </c>
      <c r="M792" s="14" t="str">
        <f aca="false">IF($D792=1,INDEX(TblClusters[RAM initiale (Go)],$B792),"")</f>
        <v/>
      </c>
      <c r="N792" s="14" t="str">
        <f aca="false">IF($D792=1,INDEX(TblClusters[CPU min (vCPU)],$B792),"")</f>
        <v/>
      </c>
      <c r="O792" s="14" t="str">
        <f aca="false">IF($D792=1,INDEX(TblClusters[RAM min (Go)],$B792),"")</f>
        <v/>
      </c>
      <c r="P792" s="14" t="str">
        <f aca="false">IF($D792&lt;&gt;1,"",IF($G792="ROKS",SUMIFS(TblApplications[Besoin ROKS CPU (vCPU)],TblApplications[Cluster ROKS cible],$F792,TblApplications[Action],"À migrer",TblApplications[Déjà incluse ROKS],"Non",TblApplications[Mois prov (calc)],"&lt;="&amp;$E792),SUMIFS(TblApplications[CPU IKS libérable (vCPU)],TblApplications[Cluster IKS source],$F792,TblApplications[Mois lib (calc)],"&lt;="&amp;$E792)))</f>
        <v/>
      </c>
      <c r="Q792" s="14" t="str">
        <f aca="false">IF($D792&lt;&gt;1,"",IF($G792="ROKS",SUMIFS(TblApplications[Besoin ROKS RAM (Go)],TblApplications[Cluster ROKS cible],$F792,TblApplications[Action],"À migrer",TblApplications[Déjà incluse ROKS],"Non",TblApplications[Mois prov (calc)],"&lt;="&amp;$E792),SUMIFS(TblApplications[RAM IKS libérable (Go)],TblApplications[Cluster IKS source],$F792,TblApplications[Mois lib (calc)],"&lt;="&amp;$E792)))</f>
        <v/>
      </c>
      <c r="R792" s="14" t="str">
        <f aca="false">IF($D792&lt;&gt;1,"",IF($G792="ROKS",$L792+$P792,IF($AI792=1,0,MAX($N792,$L792-$P792))))</f>
        <v/>
      </c>
      <c r="S792" s="14" t="str">
        <f aca="false">IF($D792&lt;&gt;1,"",IF($G792="ROKS",$M792+$Q792,IF($AI792=1,0,MAX($O792,$M792-$Q792))))</f>
        <v/>
      </c>
      <c r="T792" s="14" t="str">
        <f aca="false">IF($D792&lt;&gt;1,"",IF($AI792=1,0,MAX($J792,ROUNDUP(MAX($R792/$H792,$S792/$I792),0))))</f>
        <v/>
      </c>
      <c r="U792" s="14" t="str">
        <f aca="false">IF($D792&lt;&gt;1,"",IF(p_mode="Nœud",$T792*$H792,$R792))</f>
        <v/>
      </c>
      <c r="V792" s="14" t="str">
        <f aca="false">IF($D792&lt;&gt;1,"",IF(p_mode="Nœud",$T792*$I792,$S792))</f>
        <v/>
      </c>
      <c r="W792" s="84" t="str">
        <f aca="false">IF($D792&lt;&gt;1,"",IF(p_mode="Nœud",$T792*$K792,$R792*IF($G792="IKS",p_iks_cpu,p_roks_cpu)+$S792*IF($G792="IKS",p_iks_ram,p_roks_ram))*p_facteur)</f>
        <v/>
      </c>
      <c r="X792" s="14" t="str">
        <f aca="false">IF($D792&lt;&gt;1,"",IF($G792="ROKS",$R792,IF($AI792=1,0,MAX($N792,$L792-SUMIFS(TblApplications[CPU IKS libérable (vCPU)],TblApplications[Cluster IKS source],$F792,TblApplications[Action],"À migrer",TblApplications[Mois prov (calc)],"&lt;="&amp;$E792)-SUMIFS(TblApplications[CPU IKS libérable (vCPU)],TblApplications[Cluster IKS source],$F792,TblApplications[Action],"À décommissionner",TblApplications[Mois lib (calc)],"&lt;="&amp;$E792)))))</f>
        <v/>
      </c>
      <c r="Y792" s="14" t="str">
        <f aca="false">IF($D792&lt;&gt;1,"",IF($G792="ROKS",$S792,IF($AI792=1,0,MAX($O792,$M792-SUMIFS(TblApplications[RAM IKS libérable (Go)],TblApplications[Cluster IKS source],$F792,TblApplications[Action],"À migrer",TblApplications[Mois prov (calc)],"&lt;="&amp;$E792)-SUMIFS(TblApplications[RAM IKS libérable (Go)],TblApplications[Cluster IKS source],$F792,TblApplications[Action],"À décommissionner",TblApplications[Mois lib (calc)],"&lt;="&amp;$E792)))))</f>
        <v/>
      </c>
      <c r="Z792" s="14" t="str">
        <f aca="false">IF($D792&lt;&gt;1,"",IF($AI792=1,0,MAX($J792,ROUNDUP(MAX($X792/$H792,$Y792/$I792),0))))</f>
        <v/>
      </c>
      <c r="AA792" s="84" t="str">
        <f aca="false">IF($D792&lt;&gt;1,"",IF(p_mode="Nœud",$Z792*$K792,$X792*IF($G792="IKS",p_iks_cpu,p_roks_cpu)+$Y792*IF($G792="IKS",p_iks_ram,p_roks_ram))*p_facteur)</f>
        <v/>
      </c>
      <c r="AB792" s="14" t="str">
        <f aca="false">IF($D792&lt;&gt;1,"",MAX($J792,ROUNDUP(MAX($L792/$H792,$M792/$I792),0)))</f>
        <v/>
      </c>
      <c r="AC792" s="84" t="str">
        <f aca="false">IF($D792&lt;&gt;1,"",IF(p_mode="Nœud",$AB792*$K792,$L792*IF($G792="IKS",p_iks_cpu,p_roks_cpu)+$M792*IF($G792="IKS",p_iks_ram,p_roks_ram))*p_facteur)</f>
        <v/>
      </c>
      <c r="AD792" s="14" t="str">
        <f aca="false">IF($D792&lt;&gt;1,"",IF(AND($G792="IKS",$AI792&lt;&gt;1,OR($L792-$P792&lt;$N792,$M792-$Q792&lt;$O792)),1,0))</f>
        <v/>
      </c>
      <c r="AE792" s="14" t="str">
        <f aca="false">IF($D792&lt;&gt;1,"",IF(AND($G792="ROKS",$T792&gt;p_maxworkers),1,0))</f>
        <v/>
      </c>
      <c r="AF792" s="14" t="str">
        <f aca="false">IF($D792&lt;&gt;1,"",IF(INDEX(TblClusters[Environnement],$B792)="","(vide)",INDEX(TblClusters[Environnement],$B792)))</f>
        <v/>
      </c>
      <c r="AG792" s="14" t="str">
        <f aca="false">IF($D792&lt;&gt;1,"",$R792+p_poidsram*$S792)</f>
        <v/>
      </c>
      <c r="AH792" s="14" t="str">
        <f aca="false">IF($D792&lt;&gt;1,"",IFERROR($W792/$AG792,0))</f>
        <v/>
      </c>
      <c r="AI792" s="14" t="str">
        <f aca="false">IF($D792&lt;&gt;1,"",IF(AND($G792="IKS",ISNUMBER(INDEX(TblClusters[Fermeture retenue],$B792))),IF($E792&gt;=INDEX(TblClusters[Fermeture retenue],$B792),1,0),0))</f>
        <v/>
      </c>
    </row>
    <row r="793" customFormat="false" ht="15" hidden="false" customHeight="false" outlineLevel="0" collapsed="false">
      <c r="A793" s="14" t="n">
        <v>788</v>
      </c>
      <c r="B793" s="14" t="n">
        <f aca="false">INT(($A793-1)/36)+1</f>
        <v>22</v>
      </c>
      <c r="C793" s="14" t="n">
        <f aca="false">MOD($A793-1,36)+1</f>
        <v>32</v>
      </c>
      <c r="D793" s="14" t="n">
        <f aca="false">IF($C793&gt;p_horizon,0,IFERROR(IF(AND(INDEX(TblClusters[Cluster],$B793)&lt;&gt;"",ISNUMBER(INDEX(TblClusters[CPU initial (vCPU)],$B793)),ISNUMBER(INDEX(TblClusters[CPU min (vCPU)],$B793)),OR(INDEX(TblClusters[Plateforme],$B793)="IKS",INDEX(TblClusters[Plateforme],$B793)="ROKS")),1,0),0))</f>
        <v>0</v>
      </c>
      <c r="E793" s="83" t="str">
        <f aca="false">IF($D793=1,EDATE(p_debut,$C793-1),"")</f>
        <v/>
      </c>
      <c r="F793" s="14" t="str">
        <f aca="false">IF($D793=1,INDEX(TblClusters[Cluster],$B793),"")</f>
        <v/>
      </c>
      <c r="G793" s="14" t="str">
        <f aca="false">IF($D793=1,INDEX(TblClusters[Plateforme],$B793),"")</f>
        <v/>
      </c>
      <c r="H793" s="14" t="str">
        <f aca="false">IF($D793=1,INDEX(TblClusters[vCPU par nœud],$B793),"")</f>
        <v/>
      </c>
      <c r="I793" s="14" t="str">
        <f aca="false">IF($D793=1,INDEX(TblClusters[RAM par nœud (Go)],$B793),"")</f>
        <v/>
      </c>
      <c r="J793" s="14" t="str">
        <f aca="false">IF($D793=1,INDEX(TblClusters[Workers min],$B793),"")</f>
        <v/>
      </c>
      <c r="K793" s="84" t="str">
        <f aca="false">IF($D793=1,INDEX(TblClusters[Tarif par nœud],$B793),"")</f>
        <v/>
      </c>
      <c r="L793" s="14" t="str">
        <f aca="false">IF($D793=1,INDEX(TblClusters[CPU initial (vCPU)],$B793),"")</f>
        <v/>
      </c>
      <c r="M793" s="14" t="str">
        <f aca="false">IF($D793=1,INDEX(TblClusters[RAM initiale (Go)],$B793),"")</f>
        <v/>
      </c>
      <c r="N793" s="14" t="str">
        <f aca="false">IF($D793=1,INDEX(TblClusters[CPU min (vCPU)],$B793),"")</f>
        <v/>
      </c>
      <c r="O793" s="14" t="str">
        <f aca="false">IF($D793=1,INDEX(TblClusters[RAM min (Go)],$B793),"")</f>
        <v/>
      </c>
      <c r="P793" s="14" t="str">
        <f aca="false">IF($D793&lt;&gt;1,"",IF($G793="ROKS",SUMIFS(TblApplications[Besoin ROKS CPU (vCPU)],TblApplications[Cluster ROKS cible],$F793,TblApplications[Action],"À migrer",TblApplications[Déjà incluse ROKS],"Non",TblApplications[Mois prov (calc)],"&lt;="&amp;$E793),SUMIFS(TblApplications[CPU IKS libérable (vCPU)],TblApplications[Cluster IKS source],$F793,TblApplications[Mois lib (calc)],"&lt;="&amp;$E793)))</f>
        <v/>
      </c>
      <c r="Q793" s="14" t="str">
        <f aca="false">IF($D793&lt;&gt;1,"",IF($G793="ROKS",SUMIFS(TblApplications[Besoin ROKS RAM (Go)],TblApplications[Cluster ROKS cible],$F793,TblApplications[Action],"À migrer",TblApplications[Déjà incluse ROKS],"Non",TblApplications[Mois prov (calc)],"&lt;="&amp;$E793),SUMIFS(TblApplications[RAM IKS libérable (Go)],TblApplications[Cluster IKS source],$F793,TblApplications[Mois lib (calc)],"&lt;="&amp;$E793)))</f>
        <v/>
      </c>
      <c r="R793" s="14" t="str">
        <f aca="false">IF($D793&lt;&gt;1,"",IF($G793="ROKS",$L793+$P793,IF($AI793=1,0,MAX($N793,$L793-$P793))))</f>
        <v/>
      </c>
      <c r="S793" s="14" t="str">
        <f aca="false">IF($D793&lt;&gt;1,"",IF($G793="ROKS",$M793+$Q793,IF($AI793=1,0,MAX($O793,$M793-$Q793))))</f>
        <v/>
      </c>
      <c r="T793" s="14" t="str">
        <f aca="false">IF($D793&lt;&gt;1,"",IF($AI793=1,0,MAX($J793,ROUNDUP(MAX($R793/$H793,$S793/$I793),0))))</f>
        <v/>
      </c>
      <c r="U793" s="14" t="str">
        <f aca="false">IF($D793&lt;&gt;1,"",IF(p_mode="Nœud",$T793*$H793,$R793))</f>
        <v/>
      </c>
      <c r="V793" s="14" t="str">
        <f aca="false">IF($D793&lt;&gt;1,"",IF(p_mode="Nœud",$T793*$I793,$S793))</f>
        <v/>
      </c>
      <c r="W793" s="84" t="str">
        <f aca="false">IF($D793&lt;&gt;1,"",IF(p_mode="Nœud",$T793*$K793,$R793*IF($G793="IKS",p_iks_cpu,p_roks_cpu)+$S793*IF($G793="IKS",p_iks_ram,p_roks_ram))*p_facteur)</f>
        <v/>
      </c>
      <c r="X793" s="14" t="str">
        <f aca="false">IF($D793&lt;&gt;1,"",IF($G793="ROKS",$R793,IF($AI793=1,0,MAX($N793,$L793-SUMIFS(TblApplications[CPU IKS libérable (vCPU)],TblApplications[Cluster IKS source],$F793,TblApplications[Action],"À migrer",TblApplications[Mois prov (calc)],"&lt;="&amp;$E793)-SUMIFS(TblApplications[CPU IKS libérable (vCPU)],TblApplications[Cluster IKS source],$F793,TblApplications[Action],"À décommissionner",TblApplications[Mois lib (calc)],"&lt;="&amp;$E793)))))</f>
        <v/>
      </c>
      <c r="Y793" s="14" t="str">
        <f aca="false">IF($D793&lt;&gt;1,"",IF($G793="ROKS",$S793,IF($AI793=1,0,MAX($O793,$M793-SUMIFS(TblApplications[RAM IKS libérable (Go)],TblApplications[Cluster IKS source],$F793,TblApplications[Action],"À migrer",TblApplications[Mois prov (calc)],"&lt;="&amp;$E793)-SUMIFS(TblApplications[RAM IKS libérable (Go)],TblApplications[Cluster IKS source],$F793,TblApplications[Action],"À décommissionner",TblApplications[Mois lib (calc)],"&lt;="&amp;$E793)))))</f>
        <v/>
      </c>
      <c r="Z793" s="14" t="str">
        <f aca="false">IF($D793&lt;&gt;1,"",IF($AI793=1,0,MAX($J793,ROUNDUP(MAX($X793/$H793,$Y793/$I793),0))))</f>
        <v/>
      </c>
      <c r="AA793" s="84" t="str">
        <f aca="false">IF($D793&lt;&gt;1,"",IF(p_mode="Nœud",$Z793*$K793,$X793*IF($G793="IKS",p_iks_cpu,p_roks_cpu)+$Y793*IF($G793="IKS",p_iks_ram,p_roks_ram))*p_facteur)</f>
        <v/>
      </c>
      <c r="AB793" s="14" t="str">
        <f aca="false">IF($D793&lt;&gt;1,"",MAX($J793,ROUNDUP(MAX($L793/$H793,$M793/$I793),0)))</f>
        <v/>
      </c>
      <c r="AC793" s="84" t="str">
        <f aca="false">IF($D793&lt;&gt;1,"",IF(p_mode="Nœud",$AB793*$K793,$L793*IF($G793="IKS",p_iks_cpu,p_roks_cpu)+$M793*IF($G793="IKS",p_iks_ram,p_roks_ram))*p_facteur)</f>
        <v/>
      </c>
      <c r="AD793" s="14" t="str">
        <f aca="false">IF($D793&lt;&gt;1,"",IF(AND($G793="IKS",$AI793&lt;&gt;1,OR($L793-$P793&lt;$N793,$M793-$Q793&lt;$O793)),1,0))</f>
        <v/>
      </c>
      <c r="AE793" s="14" t="str">
        <f aca="false">IF($D793&lt;&gt;1,"",IF(AND($G793="ROKS",$T793&gt;p_maxworkers),1,0))</f>
        <v/>
      </c>
      <c r="AF793" s="14" t="str">
        <f aca="false">IF($D793&lt;&gt;1,"",IF(INDEX(TblClusters[Environnement],$B793)="","(vide)",INDEX(TblClusters[Environnement],$B793)))</f>
        <v/>
      </c>
      <c r="AG793" s="14" t="str">
        <f aca="false">IF($D793&lt;&gt;1,"",$R793+p_poidsram*$S793)</f>
        <v/>
      </c>
      <c r="AH793" s="14" t="str">
        <f aca="false">IF($D793&lt;&gt;1,"",IFERROR($W793/$AG793,0))</f>
        <v/>
      </c>
      <c r="AI793" s="14" t="str">
        <f aca="false">IF($D793&lt;&gt;1,"",IF(AND($G793="IKS",ISNUMBER(INDEX(TblClusters[Fermeture retenue],$B793))),IF($E793&gt;=INDEX(TblClusters[Fermeture retenue],$B793),1,0),0))</f>
        <v/>
      </c>
    </row>
    <row r="794" customFormat="false" ht="15" hidden="false" customHeight="false" outlineLevel="0" collapsed="false">
      <c r="A794" s="14" t="n">
        <v>789</v>
      </c>
      <c r="B794" s="14" t="n">
        <f aca="false">INT(($A794-1)/36)+1</f>
        <v>22</v>
      </c>
      <c r="C794" s="14" t="n">
        <f aca="false">MOD($A794-1,36)+1</f>
        <v>33</v>
      </c>
      <c r="D794" s="14" t="n">
        <f aca="false">IF($C794&gt;p_horizon,0,IFERROR(IF(AND(INDEX(TblClusters[Cluster],$B794)&lt;&gt;"",ISNUMBER(INDEX(TblClusters[CPU initial (vCPU)],$B794)),ISNUMBER(INDEX(TblClusters[CPU min (vCPU)],$B794)),OR(INDEX(TblClusters[Plateforme],$B794)="IKS",INDEX(TblClusters[Plateforme],$B794)="ROKS")),1,0),0))</f>
        <v>0</v>
      </c>
      <c r="E794" s="83" t="str">
        <f aca="false">IF($D794=1,EDATE(p_debut,$C794-1),"")</f>
        <v/>
      </c>
      <c r="F794" s="14" t="str">
        <f aca="false">IF($D794=1,INDEX(TblClusters[Cluster],$B794),"")</f>
        <v/>
      </c>
      <c r="G794" s="14" t="str">
        <f aca="false">IF($D794=1,INDEX(TblClusters[Plateforme],$B794),"")</f>
        <v/>
      </c>
      <c r="H794" s="14" t="str">
        <f aca="false">IF($D794=1,INDEX(TblClusters[vCPU par nœud],$B794),"")</f>
        <v/>
      </c>
      <c r="I794" s="14" t="str">
        <f aca="false">IF($D794=1,INDEX(TblClusters[RAM par nœud (Go)],$B794),"")</f>
        <v/>
      </c>
      <c r="J794" s="14" t="str">
        <f aca="false">IF($D794=1,INDEX(TblClusters[Workers min],$B794),"")</f>
        <v/>
      </c>
      <c r="K794" s="84" t="str">
        <f aca="false">IF($D794=1,INDEX(TblClusters[Tarif par nœud],$B794),"")</f>
        <v/>
      </c>
      <c r="L794" s="14" t="str">
        <f aca="false">IF($D794=1,INDEX(TblClusters[CPU initial (vCPU)],$B794),"")</f>
        <v/>
      </c>
      <c r="M794" s="14" t="str">
        <f aca="false">IF($D794=1,INDEX(TblClusters[RAM initiale (Go)],$B794),"")</f>
        <v/>
      </c>
      <c r="N794" s="14" t="str">
        <f aca="false">IF($D794=1,INDEX(TblClusters[CPU min (vCPU)],$B794),"")</f>
        <v/>
      </c>
      <c r="O794" s="14" t="str">
        <f aca="false">IF($D794=1,INDEX(TblClusters[RAM min (Go)],$B794),"")</f>
        <v/>
      </c>
      <c r="P794" s="14" t="str">
        <f aca="false">IF($D794&lt;&gt;1,"",IF($G794="ROKS",SUMIFS(TblApplications[Besoin ROKS CPU (vCPU)],TblApplications[Cluster ROKS cible],$F794,TblApplications[Action],"À migrer",TblApplications[Déjà incluse ROKS],"Non",TblApplications[Mois prov (calc)],"&lt;="&amp;$E794),SUMIFS(TblApplications[CPU IKS libérable (vCPU)],TblApplications[Cluster IKS source],$F794,TblApplications[Mois lib (calc)],"&lt;="&amp;$E794)))</f>
        <v/>
      </c>
      <c r="Q794" s="14" t="str">
        <f aca="false">IF($D794&lt;&gt;1,"",IF($G794="ROKS",SUMIFS(TblApplications[Besoin ROKS RAM (Go)],TblApplications[Cluster ROKS cible],$F794,TblApplications[Action],"À migrer",TblApplications[Déjà incluse ROKS],"Non",TblApplications[Mois prov (calc)],"&lt;="&amp;$E794),SUMIFS(TblApplications[RAM IKS libérable (Go)],TblApplications[Cluster IKS source],$F794,TblApplications[Mois lib (calc)],"&lt;="&amp;$E794)))</f>
        <v/>
      </c>
      <c r="R794" s="14" t="str">
        <f aca="false">IF($D794&lt;&gt;1,"",IF($G794="ROKS",$L794+$P794,IF($AI794=1,0,MAX($N794,$L794-$P794))))</f>
        <v/>
      </c>
      <c r="S794" s="14" t="str">
        <f aca="false">IF($D794&lt;&gt;1,"",IF($G794="ROKS",$M794+$Q794,IF($AI794=1,0,MAX($O794,$M794-$Q794))))</f>
        <v/>
      </c>
      <c r="T794" s="14" t="str">
        <f aca="false">IF($D794&lt;&gt;1,"",IF($AI794=1,0,MAX($J794,ROUNDUP(MAX($R794/$H794,$S794/$I794),0))))</f>
        <v/>
      </c>
      <c r="U794" s="14" t="str">
        <f aca="false">IF($D794&lt;&gt;1,"",IF(p_mode="Nœud",$T794*$H794,$R794))</f>
        <v/>
      </c>
      <c r="V794" s="14" t="str">
        <f aca="false">IF($D794&lt;&gt;1,"",IF(p_mode="Nœud",$T794*$I794,$S794))</f>
        <v/>
      </c>
      <c r="W794" s="84" t="str">
        <f aca="false">IF($D794&lt;&gt;1,"",IF(p_mode="Nœud",$T794*$K794,$R794*IF($G794="IKS",p_iks_cpu,p_roks_cpu)+$S794*IF($G794="IKS",p_iks_ram,p_roks_ram))*p_facteur)</f>
        <v/>
      </c>
      <c r="X794" s="14" t="str">
        <f aca="false">IF($D794&lt;&gt;1,"",IF($G794="ROKS",$R794,IF($AI794=1,0,MAX($N794,$L794-SUMIFS(TblApplications[CPU IKS libérable (vCPU)],TblApplications[Cluster IKS source],$F794,TblApplications[Action],"À migrer",TblApplications[Mois prov (calc)],"&lt;="&amp;$E794)-SUMIFS(TblApplications[CPU IKS libérable (vCPU)],TblApplications[Cluster IKS source],$F794,TblApplications[Action],"À décommissionner",TblApplications[Mois lib (calc)],"&lt;="&amp;$E794)))))</f>
        <v/>
      </c>
      <c r="Y794" s="14" t="str">
        <f aca="false">IF($D794&lt;&gt;1,"",IF($G794="ROKS",$S794,IF($AI794=1,0,MAX($O794,$M794-SUMIFS(TblApplications[RAM IKS libérable (Go)],TblApplications[Cluster IKS source],$F794,TblApplications[Action],"À migrer",TblApplications[Mois prov (calc)],"&lt;="&amp;$E794)-SUMIFS(TblApplications[RAM IKS libérable (Go)],TblApplications[Cluster IKS source],$F794,TblApplications[Action],"À décommissionner",TblApplications[Mois lib (calc)],"&lt;="&amp;$E794)))))</f>
        <v/>
      </c>
      <c r="Z794" s="14" t="str">
        <f aca="false">IF($D794&lt;&gt;1,"",IF($AI794=1,0,MAX($J794,ROUNDUP(MAX($X794/$H794,$Y794/$I794),0))))</f>
        <v/>
      </c>
      <c r="AA794" s="84" t="str">
        <f aca="false">IF($D794&lt;&gt;1,"",IF(p_mode="Nœud",$Z794*$K794,$X794*IF($G794="IKS",p_iks_cpu,p_roks_cpu)+$Y794*IF($G794="IKS",p_iks_ram,p_roks_ram))*p_facteur)</f>
        <v/>
      </c>
      <c r="AB794" s="14" t="str">
        <f aca="false">IF($D794&lt;&gt;1,"",MAX($J794,ROUNDUP(MAX($L794/$H794,$M794/$I794),0)))</f>
        <v/>
      </c>
      <c r="AC794" s="84" t="str">
        <f aca="false">IF($D794&lt;&gt;1,"",IF(p_mode="Nœud",$AB794*$K794,$L794*IF($G794="IKS",p_iks_cpu,p_roks_cpu)+$M794*IF($G794="IKS",p_iks_ram,p_roks_ram))*p_facteur)</f>
        <v/>
      </c>
      <c r="AD794" s="14" t="str">
        <f aca="false">IF($D794&lt;&gt;1,"",IF(AND($G794="IKS",$AI794&lt;&gt;1,OR($L794-$P794&lt;$N794,$M794-$Q794&lt;$O794)),1,0))</f>
        <v/>
      </c>
      <c r="AE794" s="14" t="str">
        <f aca="false">IF($D794&lt;&gt;1,"",IF(AND($G794="ROKS",$T794&gt;p_maxworkers),1,0))</f>
        <v/>
      </c>
      <c r="AF794" s="14" t="str">
        <f aca="false">IF($D794&lt;&gt;1,"",IF(INDEX(TblClusters[Environnement],$B794)="","(vide)",INDEX(TblClusters[Environnement],$B794)))</f>
        <v/>
      </c>
      <c r="AG794" s="14" t="str">
        <f aca="false">IF($D794&lt;&gt;1,"",$R794+p_poidsram*$S794)</f>
        <v/>
      </c>
      <c r="AH794" s="14" t="str">
        <f aca="false">IF($D794&lt;&gt;1,"",IFERROR($W794/$AG794,0))</f>
        <v/>
      </c>
      <c r="AI794" s="14" t="str">
        <f aca="false">IF($D794&lt;&gt;1,"",IF(AND($G794="IKS",ISNUMBER(INDEX(TblClusters[Fermeture retenue],$B794))),IF($E794&gt;=INDEX(TblClusters[Fermeture retenue],$B794),1,0),0))</f>
        <v/>
      </c>
    </row>
    <row r="795" customFormat="false" ht="15" hidden="false" customHeight="false" outlineLevel="0" collapsed="false">
      <c r="A795" s="14" t="n">
        <v>790</v>
      </c>
      <c r="B795" s="14" t="n">
        <f aca="false">INT(($A795-1)/36)+1</f>
        <v>22</v>
      </c>
      <c r="C795" s="14" t="n">
        <f aca="false">MOD($A795-1,36)+1</f>
        <v>34</v>
      </c>
      <c r="D795" s="14" t="n">
        <f aca="false">IF($C795&gt;p_horizon,0,IFERROR(IF(AND(INDEX(TblClusters[Cluster],$B795)&lt;&gt;"",ISNUMBER(INDEX(TblClusters[CPU initial (vCPU)],$B795)),ISNUMBER(INDEX(TblClusters[CPU min (vCPU)],$B795)),OR(INDEX(TblClusters[Plateforme],$B795)="IKS",INDEX(TblClusters[Plateforme],$B795)="ROKS")),1,0),0))</f>
        <v>0</v>
      </c>
      <c r="E795" s="83" t="str">
        <f aca="false">IF($D795=1,EDATE(p_debut,$C795-1),"")</f>
        <v/>
      </c>
      <c r="F795" s="14" t="str">
        <f aca="false">IF($D795=1,INDEX(TblClusters[Cluster],$B795),"")</f>
        <v/>
      </c>
      <c r="G795" s="14" t="str">
        <f aca="false">IF($D795=1,INDEX(TblClusters[Plateforme],$B795),"")</f>
        <v/>
      </c>
      <c r="H795" s="14" t="str">
        <f aca="false">IF($D795=1,INDEX(TblClusters[vCPU par nœud],$B795),"")</f>
        <v/>
      </c>
      <c r="I795" s="14" t="str">
        <f aca="false">IF($D795=1,INDEX(TblClusters[RAM par nœud (Go)],$B795),"")</f>
        <v/>
      </c>
      <c r="J795" s="14" t="str">
        <f aca="false">IF($D795=1,INDEX(TblClusters[Workers min],$B795),"")</f>
        <v/>
      </c>
      <c r="K795" s="84" t="str">
        <f aca="false">IF($D795=1,INDEX(TblClusters[Tarif par nœud],$B795),"")</f>
        <v/>
      </c>
      <c r="L795" s="14" t="str">
        <f aca="false">IF($D795=1,INDEX(TblClusters[CPU initial (vCPU)],$B795),"")</f>
        <v/>
      </c>
      <c r="M795" s="14" t="str">
        <f aca="false">IF($D795=1,INDEX(TblClusters[RAM initiale (Go)],$B795),"")</f>
        <v/>
      </c>
      <c r="N795" s="14" t="str">
        <f aca="false">IF($D795=1,INDEX(TblClusters[CPU min (vCPU)],$B795),"")</f>
        <v/>
      </c>
      <c r="O795" s="14" t="str">
        <f aca="false">IF($D795=1,INDEX(TblClusters[RAM min (Go)],$B795),"")</f>
        <v/>
      </c>
      <c r="P795" s="14" t="str">
        <f aca="false">IF($D795&lt;&gt;1,"",IF($G795="ROKS",SUMIFS(TblApplications[Besoin ROKS CPU (vCPU)],TblApplications[Cluster ROKS cible],$F795,TblApplications[Action],"À migrer",TblApplications[Déjà incluse ROKS],"Non",TblApplications[Mois prov (calc)],"&lt;="&amp;$E795),SUMIFS(TblApplications[CPU IKS libérable (vCPU)],TblApplications[Cluster IKS source],$F795,TblApplications[Mois lib (calc)],"&lt;="&amp;$E795)))</f>
        <v/>
      </c>
      <c r="Q795" s="14" t="str">
        <f aca="false">IF($D795&lt;&gt;1,"",IF($G795="ROKS",SUMIFS(TblApplications[Besoin ROKS RAM (Go)],TblApplications[Cluster ROKS cible],$F795,TblApplications[Action],"À migrer",TblApplications[Déjà incluse ROKS],"Non",TblApplications[Mois prov (calc)],"&lt;="&amp;$E795),SUMIFS(TblApplications[RAM IKS libérable (Go)],TblApplications[Cluster IKS source],$F795,TblApplications[Mois lib (calc)],"&lt;="&amp;$E795)))</f>
        <v/>
      </c>
      <c r="R795" s="14" t="str">
        <f aca="false">IF($D795&lt;&gt;1,"",IF($G795="ROKS",$L795+$P795,IF($AI795=1,0,MAX($N795,$L795-$P795))))</f>
        <v/>
      </c>
      <c r="S795" s="14" t="str">
        <f aca="false">IF($D795&lt;&gt;1,"",IF($G795="ROKS",$M795+$Q795,IF($AI795=1,0,MAX($O795,$M795-$Q795))))</f>
        <v/>
      </c>
      <c r="T795" s="14" t="str">
        <f aca="false">IF($D795&lt;&gt;1,"",IF($AI795=1,0,MAX($J795,ROUNDUP(MAX($R795/$H795,$S795/$I795),0))))</f>
        <v/>
      </c>
      <c r="U795" s="14" t="str">
        <f aca="false">IF($D795&lt;&gt;1,"",IF(p_mode="Nœud",$T795*$H795,$R795))</f>
        <v/>
      </c>
      <c r="V795" s="14" t="str">
        <f aca="false">IF($D795&lt;&gt;1,"",IF(p_mode="Nœud",$T795*$I795,$S795))</f>
        <v/>
      </c>
      <c r="W795" s="84" t="str">
        <f aca="false">IF($D795&lt;&gt;1,"",IF(p_mode="Nœud",$T795*$K795,$R795*IF($G795="IKS",p_iks_cpu,p_roks_cpu)+$S795*IF($G795="IKS",p_iks_ram,p_roks_ram))*p_facteur)</f>
        <v/>
      </c>
      <c r="X795" s="14" t="str">
        <f aca="false">IF($D795&lt;&gt;1,"",IF($G795="ROKS",$R795,IF($AI795=1,0,MAX($N795,$L795-SUMIFS(TblApplications[CPU IKS libérable (vCPU)],TblApplications[Cluster IKS source],$F795,TblApplications[Action],"À migrer",TblApplications[Mois prov (calc)],"&lt;="&amp;$E795)-SUMIFS(TblApplications[CPU IKS libérable (vCPU)],TblApplications[Cluster IKS source],$F795,TblApplications[Action],"À décommissionner",TblApplications[Mois lib (calc)],"&lt;="&amp;$E795)))))</f>
        <v/>
      </c>
      <c r="Y795" s="14" t="str">
        <f aca="false">IF($D795&lt;&gt;1,"",IF($G795="ROKS",$S795,IF($AI795=1,0,MAX($O795,$M795-SUMIFS(TblApplications[RAM IKS libérable (Go)],TblApplications[Cluster IKS source],$F795,TblApplications[Action],"À migrer",TblApplications[Mois prov (calc)],"&lt;="&amp;$E795)-SUMIFS(TblApplications[RAM IKS libérable (Go)],TblApplications[Cluster IKS source],$F795,TblApplications[Action],"À décommissionner",TblApplications[Mois lib (calc)],"&lt;="&amp;$E795)))))</f>
        <v/>
      </c>
      <c r="Z795" s="14" t="str">
        <f aca="false">IF($D795&lt;&gt;1,"",IF($AI795=1,0,MAX($J795,ROUNDUP(MAX($X795/$H795,$Y795/$I795),0))))</f>
        <v/>
      </c>
      <c r="AA795" s="84" t="str">
        <f aca="false">IF($D795&lt;&gt;1,"",IF(p_mode="Nœud",$Z795*$K795,$X795*IF($G795="IKS",p_iks_cpu,p_roks_cpu)+$Y795*IF($G795="IKS",p_iks_ram,p_roks_ram))*p_facteur)</f>
        <v/>
      </c>
      <c r="AB795" s="14" t="str">
        <f aca="false">IF($D795&lt;&gt;1,"",MAX($J795,ROUNDUP(MAX($L795/$H795,$M795/$I795),0)))</f>
        <v/>
      </c>
      <c r="AC795" s="84" t="str">
        <f aca="false">IF($D795&lt;&gt;1,"",IF(p_mode="Nœud",$AB795*$K795,$L795*IF($G795="IKS",p_iks_cpu,p_roks_cpu)+$M795*IF($G795="IKS",p_iks_ram,p_roks_ram))*p_facteur)</f>
        <v/>
      </c>
      <c r="AD795" s="14" t="str">
        <f aca="false">IF($D795&lt;&gt;1,"",IF(AND($G795="IKS",$AI795&lt;&gt;1,OR($L795-$P795&lt;$N795,$M795-$Q795&lt;$O795)),1,0))</f>
        <v/>
      </c>
      <c r="AE795" s="14" t="str">
        <f aca="false">IF($D795&lt;&gt;1,"",IF(AND($G795="ROKS",$T795&gt;p_maxworkers),1,0))</f>
        <v/>
      </c>
      <c r="AF795" s="14" t="str">
        <f aca="false">IF($D795&lt;&gt;1,"",IF(INDEX(TblClusters[Environnement],$B795)="","(vide)",INDEX(TblClusters[Environnement],$B795)))</f>
        <v/>
      </c>
      <c r="AG795" s="14" t="str">
        <f aca="false">IF($D795&lt;&gt;1,"",$R795+p_poidsram*$S795)</f>
        <v/>
      </c>
      <c r="AH795" s="14" t="str">
        <f aca="false">IF($D795&lt;&gt;1,"",IFERROR($W795/$AG795,0))</f>
        <v/>
      </c>
      <c r="AI795" s="14" t="str">
        <f aca="false">IF($D795&lt;&gt;1,"",IF(AND($G795="IKS",ISNUMBER(INDEX(TblClusters[Fermeture retenue],$B795))),IF($E795&gt;=INDEX(TblClusters[Fermeture retenue],$B795),1,0),0))</f>
        <v/>
      </c>
    </row>
    <row r="796" customFormat="false" ht="15" hidden="false" customHeight="false" outlineLevel="0" collapsed="false">
      <c r="A796" s="14" t="n">
        <v>791</v>
      </c>
      <c r="B796" s="14" t="n">
        <f aca="false">INT(($A796-1)/36)+1</f>
        <v>22</v>
      </c>
      <c r="C796" s="14" t="n">
        <f aca="false">MOD($A796-1,36)+1</f>
        <v>35</v>
      </c>
      <c r="D796" s="14" t="n">
        <f aca="false">IF($C796&gt;p_horizon,0,IFERROR(IF(AND(INDEX(TblClusters[Cluster],$B796)&lt;&gt;"",ISNUMBER(INDEX(TblClusters[CPU initial (vCPU)],$B796)),ISNUMBER(INDEX(TblClusters[CPU min (vCPU)],$B796)),OR(INDEX(TblClusters[Plateforme],$B796)="IKS",INDEX(TblClusters[Plateforme],$B796)="ROKS")),1,0),0))</f>
        <v>0</v>
      </c>
      <c r="E796" s="83" t="str">
        <f aca="false">IF($D796=1,EDATE(p_debut,$C796-1),"")</f>
        <v/>
      </c>
      <c r="F796" s="14" t="str">
        <f aca="false">IF($D796=1,INDEX(TblClusters[Cluster],$B796),"")</f>
        <v/>
      </c>
      <c r="G796" s="14" t="str">
        <f aca="false">IF($D796=1,INDEX(TblClusters[Plateforme],$B796),"")</f>
        <v/>
      </c>
      <c r="H796" s="14" t="str">
        <f aca="false">IF($D796=1,INDEX(TblClusters[vCPU par nœud],$B796),"")</f>
        <v/>
      </c>
      <c r="I796" s="14" t="str">
        <f aca="false">IF($D796=1,INDEX(TblClusters[RAM par nœud (Go)],$B796),"")</f>
        <v/>
      </c>
      <c r="J796" s="14" t="str">
        <f aca="false">IF($D796=1,INDEX(TblClusters[Workers min],$B796),"")</f>
        <v/>
      </c>
      <c r="K796" s="84" t="str">
        <f aca="false">IF($D796=1,INDEX(TblClusters[Tarif par nœud],$B796),"")</f>
        <v/>
      </c>
      <c r="L796" s="14" t="str">
        <f aca="false">IF($D796=1,INDEX(TblClusters[CPU initial (vCPU)],$B796),"")</f>
        <v/>
      </c>
      <c r="M796" s="14" t="str">
        <f aca="false">IF($D796=1,INDEX(TblClusters[RAM initiale (Go)],$B796),"")</f>
        <v/>
      </c>
      <c r="N796" s="14" t="str">
        <f aca="false">IF($D796=1,INDEX(TblClusters[CPU min (vCPU)],$B796),"")</f>
        <v/>
      </c>
      <c r="O796" s="14" t="str">
        <f aca="false">IF($D796=1,INDEX(TblClusters[RAM min (Go)],$B796),"")</f>
        <v/>
      </c>
      <c r="P796" s="14" t="str">
        <f aca="false">IF($D796&lt;&gt;1,"",IF($G796="ROKS",SUMIFS(TblApplications[Besoin ROKS CPU (vCPU)],TblApplications[Cluster ROKS cible],$F796,TblApplications[Action],"À migrer",TblApplications[Déjà incluse ROKS],"Non",TblApplications[Mois prov (calc)],"&lt;="&amp;$E796),SUMIFS(TblApplications[CPU IKS libérable (vCPU)],TblApplications[Cluster IKS source],$F796,TblApplications[Mois lib (calc)],"&lt;="&amp;$E796)))</f>
        <v/>
      </c>
      <c r="Q796" s="14" t="str">
        <f aca="false">IF($D796&lt;&gt;1,"",IF($G796="ROKS",SUMIFS(TblApplications[Besoin ROKS RAM (Go)],TblApplications[Cluster ROKS cible],$F796,TblApplications[Action],"À migrer",TblApplications[Déjà incluse ROKS],"Non",TblApplications[Mois prov (calc)],"&lt;="&amp;$E796),SUMIFS(TblApplications[RAM IKS libérable (Go)],TblApplications[Cluster IKS source],$F796,TblApplications[Mois lib (calc)],"&lt;="&amp;$E796)))</f>
        <v/>
      </c>
      <c r="R796" s="14" t="str">
        <f aca="false">IF($D796&lt;&gt;1,"",IF($G796="ROKS",$L796+$P796,IF($AI796=1,0,MAX($N796,$L796-$P796))))</f>
        <v/>
      </c>
      <c r="S796" s="14" t="str">
        <f aca="false">IF($D796&lt;&gt;1,"",IF($G796="ROKS",$M796+$Q796,IF($AI796=1,0,MAX($O796,$M796-$Q796))))</f>
        <v/>
      </c>
      <c r="T796" s="14" t="str">
        <f aca="false">IF($D796&lt;&gt;1,"",IF($AI796=1,0,MAX($J796,ROUNDUP(MAX($R796/$H796,$S796/$I796),0))))</f>
        <v/>
      </c>
      <c r="U796" s="14" t="str">
        <f aca="false">IF($D796&lt;&gt;1,"",IF(p_mode="Nœud",$T796*$H796,$R796))</f>
        <v/>
      </c>
      <c r="V796" s="14" t="str">
        <f aca="false">IF($D796&lt;&gt;1,"",IF(p_mode="Nœud",$T796*$I796,$S796))</f>
        <v/>
      </c>
      <c r="W796" s="84" t="str">
        <f aca="false">IF($D796&lt;&gt;1,"",IF(p_mode="Nœud",$T796*$K796,$R796*IF($G796="IKS",p_iks_cpu,p_roks_cpu)+$S796*IF($G796="IKS",p_iks_ram,p_roks_ram))*p_facteur)</f>
        <v/>
      </c>
      <c r="X796" s="14" t="str">
        <f aca="false">IF($D796&lt;&gt;1,"",IF($G796="ROKS",$R796,IF($AI796=1,0,MAX($N796,$L796-SUMIFS(TblApplications[CPU IKS libérable (vCPU)],TblApplications[Cluster IKS source],$F796,TblApplications[Action],"À migrer",TblApplications[Mois prov (calc)],"&lt;="&amp;$E796)-SUMIFS(TblApplications[CPU IKS libérable (vCPU)],TblApplications[Cluster IKS source],$F796,TblApplications[Action],"À décommissionner",TblApplications[Mois lib (calc)],"&lt;="&amp;$E796)))))</f>
        <v/>
      </c>
      <c r="Y796" s="14" t="str">
        <f aca="false">IF($D796&lt;&gt;1,"",IF($G796="ROKS",$S796,IF($AI796=1,0,MAX($O796,$M796-SUMIFS(TblApplications[RAM IKS libérable (Go)],TblApplications[Cluster IKS source],$F796,TblApplications[Action],"À migrer",TblApplications[Mois prov (calc)],"&lt;="&amp;$E796)-SUMIFS(TblApplications[RAM IKS libérable (Go)],TblApplications[Cluster IKS source],$F796,TblApplications[Action],"À décommissionner",TblApplications[Mois lib (calc)],"&lt;="&amp;$E796)))))</f>
        <v/>
      </c>
      <c r="Z796" s="14" t="str">
        <f aca="false">IF($D796&lt;&gt;1,"",IF($AI796=1,0,MAX($J796,ROUNDUP(MAX($X796/$H796,$Y796/$I796),0))))</f>
        <v/>
      </c>
      <c r="AA796" s="84" t="str">
        <f aca="false">IF($D796&lt;&gt;1,"",IF(p_mode="Nœud",$Z796*$K796,$X796*IF($G796="IKS",p_iks_cpu,p_roks_cpu)+$Y796*IF($G796="IKS",p_iks_ram,p_roks_ram))*p_facteur)</f>
        <v/>
      </c>
      <c r="AB796" s="14" t="str">
        <f aca="false">IF($D796&lt;&gt;1,"",MAX($J796,ROUNDUP(MAX($L796/$H796,$M796/$I796),0)))</f>
        <v/>
      </c>
      <c r="AC796" s="84" t="str">
        <f aca="false">IF($D796&lt;&gt;1,"",IF(p_mode="Nœud",$AB796*$K796,$L796*IF($G796="IKS",p_iks_cpu,p_roks_cpu)+$M796*IF($G796="IKS",p_iks_ram,p_roks_ram))*p_facteur)</f>
        <v/>
      </c>
      <c r="AD796" s="14" t="str">
        <f aca="false">IF($D796&lt;&gt;1,"",IF(AND($G796="IKS",$AI796&lt;&gt;1,OR($L796-$P796&lt;$N796,$M796-$Q796&lt;$O796)),1,0))</f>
        <v/>
      </c>
      <c r="AE796" s="14" t="str">
        <f aca="false">IF($D796&lt;&gt;1,"",IF(AND($G796="ROKS",$T796&gt;p_maxworkers),1,0))</f>
        <v/>
      </c>
      <c r="AF796" s="14" t="str">
        <f aca="false">IF($D796&lt;&gt;1,"",IF(INDEX(TblClusters[Environnement],$B796)="","(vide)",INDEX(TblClusters[Environnement],$B796)))</f>
        <v/>
      </c>
      <c r="AG796" s="14" t="str">
        <f aca="false">IF($D796&lt;&gt;1,"",$R796+p_poidsram*$S796)</f>
        <v/>
      </c>
      <c r="AH796" s="14" t="str">
        <f aca="false">IF($D796&lt;&gt;1,"",IFERROR($W796/$AG796,0))</f>
        <v/>
      </c>
      <c r="AI796" s="14" t="str">
        <f aca="false">IF($D796&lt;&gt;1,"",IF(AND($G796="IKS",ISNUMBER(INDEX(TblClusters[Fermeture retenue],$B796))),IF($E796&gt;=INDEX(TblClusters[Fermeture retenue],$B796),1,0),0))</f>
        <v/>
      </c>
    </row>
    <row r="797" customFormat="false" ht="15" hidden="false" customHeight="false" outlineLevel="0" collapsed="false">
      <c r="A797" s="14" t="n">
        <v>792</v>
      </c>
      <c r="B797" s="14" t="n">
        <f aca="false">INT(($A797-1)/36)+1</f>
        <v>22</v>
      </c>
      <c r="C797" s="14" t="n">
        <f aca="false">MOD($A797-1,36)+1</f>
        <v>36</v>
      </c>
      <c r="D797" s="14" t="n">
        <f aca="false">IF($C797&gt;p_horizon,0,IFERROR(IF(AND(INDEX(TblClusters[Cluster],$B797)&lt;&gt;"",ISNUMBER(INDEX(TblClusters[CPU initial (vCPU)],$B797)),ISNUMBER(INDEX(TblClusters[CPU min (vCPU)],$B797)),OR(INDEX(TblClusters[Plateforme],$B797)="IKS",INDEX(TblClusters[Plateforme],$B797)="ROKS")),1,0),0))</f>
        <v>0</v>
      </c>
      <c r="E797" s="83" t="str">
        <f aca="false">IF($D797=1,EDATE(p_debut,$C797-1),"")</f>
        <v/>
      </c>
      <c r="F797" s="14" t="str">
        <f aca="false">IF($D797=1,INDEX(TblClusters[Cluster],$B797),"")</f>
        <v/>
      </c>
      <c r="G797" s="14" t="str">
        <f aca="false">IF($D797=1,INDEX(TblClusters[Plateforme],$B797),"")</f>
        <v/>
      </c>
      <c r="H797" s="14" t="str">
        <f aca="false">IF($D797=1,INDEX(TblClusters[vCPU par nœud],$B797),"")</f>
        <v/>
      </c>
      <c r="I797" s="14" t="str">
        <f aca="false">IF($D797=1,INDEX(TblClusters[RAM par nœud (Go)],$B797),"")</f>
        <v/>
      </c>
      <c r="J797" s="14" t="str">
        <f aca="false">IF($D797=1,INDEX(TblClusters[Workers min],$B797),"")</f>
        <v/>
      </c>
      <c r="K797" s="84" t="str">
        <f aca="false">IF($D797=1,INDEX(TblClusters[Tarif par nœud],$B797),"")</f>
        <v/>
      </c>
      <c r="L797" s="14" t="str">
        <f aca="false">IF($D797=1,INDEX(TblClusters[CPU initial (vCPU)],$B797),"")</f>
        <v/>
      </c>
      <c r="M797" s="14" t="str">
        <f aca="false">IF($D797=1,INDEX(TblClusters[RAM initiale (Go)],$B797),"")</f>
        <v/>
      </c>
      <c r="N797" s="14" t="str">
        <f aca="false">IF($D797=1,INDEX(TblClusters[CPU min (vCPU)],$B797),"")</f>
        <v/>
      </c>
      <c r="O797" s="14" t="str">
        <f aca="false">IF($D797=1,INDEX(TblClusters[RAM min (Go)],$B797),"")</f>
        <v/>
      </c>
      <c r="P797" s="14" t="str">
        <f aca="false">IF($D797&lt;&gt;1,"",IF($G797="ROKS",SUMIFS(TblApplications[Besoin ROKS CPU (vCPU)],TblApplications[Cluster ROKS cible],$F797,TblApplications[Action],"À migrer",TblApplications[Déjà incluse ROKS],"Non",TblApplications[Mois prov (calc)],"&lt;="&amp;$E797),SUMIFS(TblApplications[CPU IKS libérable (vCPU)],TblApplications[Cluster IKS source],$F797,TblApplications[Mois lib (calc)],"&lt;="&amp;$E797)))</f>
        <v/>
      </c>
      <c r="Q797" s="14" t="str">
        <f aca="false">IF($D797&lt;&gt;1,"",IF($G797="ROKS",SUMIFS(TblApplications[Besoin ROKS RAM (Go)],TblApplications[Cluster ROKS cible],$F797,TblApplications[Action],"À migrer",TblApplications[Déjà incluse ROKS],"Non",TblApplications[Mois prov (calc)],"&lt;="&amp;$E797),SUMIFS(TblApplications[RAM IKS libérable (Go)],TblApplications[Cluster IKS source],$F797,TblApplications[Mois lib (calc)],"&lt;="&amp;$E797)))</f>
        <v/>
      </c>
      <c r="R797" s="14" t="str">
        <f aca="false">IF($D797&lt;&gt;1,"",IF($G797="ROKS",$L797+$P797,IF($AI797=1,0,MAX($N797,$L797-$P797))))</f>
        <v/>
      </c>
      <c r="S797" s="14" t="str">
        <f aca="false">IF($D797&lt;&gt;1,"",IF($G797="ROKS",$M797+$Q797,IF($AI797=1,0,MAX($O797,$M797-$Q797))))</f>
        <v/>
      </c>
      <c r="T797" s="14" t="str">
        <f aca="false">IF($D797&lt;&gt;1,"",IF($AI797=1,0,MAX($J797,ROUNDUP(MAX($R797/$H797,$S797/$I797),0))))</f>
        <v/>
      </c>
      <c r="U797" s="14" t="str">
        <f aca="false">IF($D797&lt;&gt;1,"",IF(p_mode="Nœud",$T797*$H797,$R797))</f>
        <v/>
      </c>
      <c r="V797" s="14" t="str">
        <f aca="false">IF($D797&lt;&gt;1,"",IF(p_mode="Nœud",$T797*$I797,$S797))</f>
        <v/>
      </c>
      <c r="W797" s="84" t="str">
        <f aca="false">IF($D797&lt;&gt;1,"",IF(p_mode="Nœud",$T797*$K797,$R797*IF($G797="IKS",p_iks_cpu,p_roks_cpu)+$S797*IF($G797="IKS",p_iks_ram,p_roks_ram))*p_facteur)</f>
        <v/>
      </c>
      <c r="X797" s="14" t="str">
        <f aca="false">IF($D797&lt;&gt;1,"",IF($G797="ROKS",$R797,IF($AI797=1,0,MAX($N797,$L797-SUMIFS(TblApplications[CPU IKS libérable (vCPU)],TblApplications[Cluster IKS source],$F797,TblApplications[Action],"À migrer",TblApplications[Mois prov (calc)],"&lt;="&amp;$E797)-SUMIFS(TblApplications[CPU IKS libérable (vCPU)],TblApplications[Cluster IKS source],$F797,TblApplications[Action],"À décommissionner",TblApplications[Mois lib (calc)],"&lt;="&amp;$E797)))))</f>
        <v/>
      </c>
      <c r="Y797" s="14" t="str">
        <f aca="false">IF($D797&lt;&gt;1,"",IF($G797="ROKS",$S797,IF($AI797=1,0,MAX($O797,$M797-SUMIFS(TblApplications[RAM IKS libérable (Go)],TblApplications[Cluster IKS source],$F797,TblApplications[Action],"À migrer",TblApplications[Mois prov (calc)],"&lt;="&amp;$E797)-SUMIFS(TblApplications[RAM IKS libérable (Go)],TblApplications[Cluster IKS source],$F797,TblApplications[Action],"À décommissionner",TblApplications[Mois lib (calc)],"&lt;="&amp;$E797)))))</f>
        <v/>
      </c>
      <c r="Z797" s="14" t="str">
        <f aca="false">IF($D797&lt;&gt;1,"",IF($AI797=1,0,MAX($J797,ROUNDUP(MAX($X797/$H797,$Y797/$I797),0))))</f>
        <v/>
      </c>
      <c r="AA797" s="84" t="str">
        <f aca="false">IF($D797&lt;&gt;1,"",IF(p_mode="Nœud",$Z797*$K797,$X797*IF($G797="IKS",p_iks_cpu,p_roks_cpu)+$Y797*IF($G797="IKS",p_iks_ram,p_roks_ram))*p_facteur)</f>
        <v/>
      </c>
      <c r="AB797" s="14" t="str">
        <f aca="false">IF($D797&lt;&gt;1,"",MAX($J797,ROUNDUP(MAX($L797/$H797,$M797/$I797),0)))</f>
        <v/>
      </c>
      <c r="AC797" s="84" t="str">
        <f aca="false">IF($D797&lt;&gt;1,"",IF(p_mode="Nœud",$AB797*$K797,$L797*IF($G797="IKS",p_iks_cpu,p_roks_cpu)+$M797*IF($G797="IKS",p_iks_ram,p_roks_ram))*p_facteur)</f>
        <v/>
      </c>
      <c r="AD797" s="14" t="str">
        <f aca="false">IF($D797&lt;&gt;1,"",IF(AND($G797="IKS",$AI797&lt;&gt;1,OR($L797-$P797&lt;$N797,$M797-$Q797&lt;$O797)),1,0))</f>
        <v/>
      </c>
      <c r="AE797" s="14" t="str">
        <f aca="false">IF($D797&lt;&gt;1,"",IF(AND($G797="ROKS",$T797&gt;p_maxworkers),1,0))</f>
        <v/>
      </c>
      <c r="AF797" s="14" t="str">
        <f aca="false">IF($D797&lt;&gt;1,"",IF(INDEX(TblClusters[Environnement],$B797)="","(vide)",INDEX(TblClusters[Environnement],$B797)))</f>
        <v/>
      </c>
      <c r="AG797" s="14" t="str">
        <f aca="false">IF($D797&lt;&gt;1,"",$R797+p_poidsram*$S797)</f>
        <v/>
      </c>
      <c r="AH797" s="14" t="str">
        <f aca="false">IF($D797&lt;&gt;1,"",IFERROR($W797/$AG797,0))</f>
        <v/>
      </c>
      <c r="AI797" s="14" t="str">
        <f aca="false">IF($D797&lt;&gt;1,"",IF(AND($G797="IKS",ISNUMBER(INDEX(TblClusters[Fermeture retenue],$B797))),IF($E797&gt;=INDEX(TblClusters[Fermeture retenue],$B797),1,0),0))</f>
        <v/>
      </c>
    </row>
    <row r="798" customFormat="false" ht="15" hidden="false" customHeight="false" outlineLevel="0" collapsed="false">
      <c r="A798" s="14" t="n">
        <v>793</v>
      </c>
      <c r="B798" s="14" t="n">
        <f aca="false">INT(($A798-1)/36)+1</f>
        <v>23</v>
      </c>
      <c r="C798" s="14" t="n">
        <f aca="false">MOD($A798-1,36)+1</f>
        <v>1</v>
      </c>
      <c r="D798" s="14" t="n">
        <f aca="false">IF($C798&gt;p_horizon,0,IFERROR(IF(AND(INDEX(TblClusters[Cluster],$B798)&lt;&gt;"",ISNUMBER(INDEX(TblClusters[CPU initial (vCPU)],$B798)),ISNUMBER(INDEX(TblClusters[CPU min (vCPU)],$B798)),OR(INDEX(TblClusters[Plateforme],$B798)="IKS",INDEX(TblClusters[Plateforme],$B798)="ROKS")),1,0),0))</f>
        <v>0</v>
      </c>
      <c r="E798" s="83" t="str">
        <f aca="false">IF($D798=1,EDATE(p_debut,$C798-1),"")</f>
        <v/>
      </c>
      <c r="F798" s="14" t="str">
        <f aca="false">IF($D798=1,INDEX(TblClusters[Cluster],$B798),"")</f>
        <v/>
      </c>
      <c r="G798" s="14" t="str">
        <f aca="false">IF($D798=1,INDEX(TblClusters[Plateforme],$B798),"")</f>
        <v/>
      </c>
      <c r="H798" s="14" t="str">
        <f aca="false">IF($D798=1,INDEX(TblClusters[vCPU par nœud],$B798),"")</f>
        <v/>
      </c>
      <c r="I798" s="14" t="str">
        <f aca="false">IF($D798=1,INDEX(TblClusters[RAM par nœud (Go)],$B798),"")</f>
        <v/>
      </c>
      <c r="J798" s="14" t="str">
        <f aca="false">IF($D798=1,INDEX(TblClusters[Workers min],$B798),"")</f>
        <v/>
      </c>
      <c r="K798" s="84" t="str">
        <f aca="false">IF($D798=1,INDEX(TblClusters[Tarif par nœud],$B798),"")</f>
        <v/>
      </c>
      <c r="L798" s="14" t="str">
        <f aca="false">IF($D798=1,INDEX(TblClusters[CPU initial (vCPU)],$B798),"")</f>
        <v/>
      </c>
      <c r="M798" s="14" t="str">
        <f aca="false">IF($D798=1,INDEX(TblClusters[RAM initiale (Go)],$B798),"")</f>
        <v/>
      </c>
      <c r="N798" s="14" t="str">
        <f aca="false">IF($D798=1,INDEX(TblClusters[CPU min (vCPU)],$B798),"")</f>
        <v/>
      </c>
      <c r="O798" s="14" t="str">
        <f aca="false">IF($D798=1,INDEX(TblClusters[RAM min (Go)],$B798),"")</f>
        <v/>
      </c>
      <c r="P798" s="14" t="str">
        <f aca="false">IF($D798&lt;&gt;1,"",IF($G798="ROKS",SUMIFS(TblApplications[Besoin ROKS CPU (vCPU)],TblApplications[Cluster ROKS cible],$F798,TblApplications[Action],"À migrer",TblApplications[Déjà incluse ROKS],"Non",TblApplications[Mois prov (calc)],"&lt;="&amp;$E798),SUMIFS(TblApplications[CPU IKS libérable (vCPU)],TblApplications[Cluster IKS source],$F798,TblApplications[Mois lib (calc)],"&lt;="&amp;$E798)))</f>
        <v/>
      </c>
      <c r="Q798" s="14" t="str">
        <f aca="false">IF($D798&lt;&gt;1,"",IF($G798="ROKS",SUMIFS(TblApplications[Besoin ROKS RAM (Go)],TblApplications[Cluster ROKS cible],$F798,TblApplications[Action],"À migrer",TblApplications[Déjà incluse ROKS],"Non",TblApplications[Mois prov (calc)],"&lt;="&amp;$E798),SUMIFS(TblApplications[RAM IKS libérable (Go)],TblApplications[Cluster IKS source],$F798,TblApplications[Mois lib (calc)],"&lt;="&amp;$E798)))</f>
        <v/>
      </c>
      <c r="R798" s="14" t="str">
        <f aca="false">IF($D798&lt;&gt;1,"",IF($G798="ROKS",$L798+$P798,IF($AI798=1,0,MAX($N798,$L798-$P798))))</f>
        <v/>
      </c>
      <c r="S798" s="14" t="str">
        <f aca="false">IF($D798&lt;&gt;1,"",IF($G798="ROKS",$M798+$Q798,IF($AI798=1,0,MAX($O798,$M798-$Q798))))</f>
        <v/>
      </c>
      <c r="T798" s="14" t="str">
        <f aca="false">IF($D798&lt;&gt;1,"",IF($AI798=1,0,MAX($J798,ROUNDUP(MAX($R798/$H798,$S798/$I798),0))))</f>
        <v/>
      </c>
      <c r="U798" s="14" t="str">
        <f aca="false">IF($D798&lt;&gt;1,"",IF(p_mode="Nœud",$T798*$H798,$R798))</f>
        <v/>
      </c>
      <c r="V798" s="14" t="str">
        <f aca="false">IF($D798&lt;&gt;1,"",IF(p_mode="Nœud",$T798*$I798,$S798))</f>
        <v/>
      </c>
      <c r="W798" s="84" t="str">
        <f aca="false">IF($D798&lt;&gt;1,"",IF(p_mode="Nœud",$T798*$K798,$R798*IF($G798="IKS",p_iks_cpu,p_roks_cpu)+$S798*IF($G798="IKS",p_iks_ram,p_roks_ram))*p_facteur)</f>
        <v/>
      </c>
      <c r="X798" s="14" t="str">
        <f aca="false">IF($D798&lt;&gt;1,"",IF($G798="ROKS",$R798,IF($AI798=1,0,MAX($N798,$L798-SUMIFS(TblApplications[CPU IKS libérable (vCPU)],TblApplications[Cluster IKS source],$F798,TblApplications[Action],"À migrer",TblApplications[Mois prov (calc)],"&lt;="&amp;$E798)-SUMIFS(TblApplications[CPU IKS libérable (vCPU)],TblApplications[Cluster IKS source],$F798,TblApplications[Action],"À décommissionner",TblApplications[Mois lib (calc)],"&lt;="&amp;$E798)))))</f>
        <v/>
      </c>
      <c r="Y798" s="14" t="str">
        <f aca="false">IF($D798&lt;&gt;1,"",IF($G798="ROKS",$S798,IF($AI798=1,0,MAX($O798,$M798-SUMIFS(TblApplications[RAM IKS libérable (Go)],TblApplications[Cluster IKS source],$F798,TblApplications[Action],"À migrer",TblApplications[Mois prov (calc)],"&lt;="&amp;$E798)-SUMIFS(TblApplications[RAM IKS libérable (Go)],TblApplications[Cluster IKS source],$F798,TblApplications[Action],"À décommissionner",TblApplications[Mois lib (calc)],"&lt;="&amp;$E798)))))</f>
        <v/>
      </c>
      <c r="Z798" s="14" t="str">
        <f aca="false">IF($D798&lt;&gt;1,"",IF($AI798=1,0,MAX($J798,ROUNDUP(MAX($X798/$H798,$Y798/$I798),0))))</f>
        <v/>
      </c>
      <c r="AA798" s="84" t="str">
        <f aca="false">IF($D798&lt;&gt;1,"",IF(p_mode="Nœud",$Z798*$K798,$X798*IF($G798="IKS",p_iks_cpu,p_roks_cpu)+$Y798*IF($G798="IKS",p_iks_ram,p_roks_ram))*p_facteur)</f>
        <v/>
      </c>
      <c r="AB798" s="14" t="str">
        <f aca="false">IF($D798&lt;&gt;1,"",MAX($J798,ROUNDUP(MAX($L798/$H798,$M798/$I798),0)))</f>
        <v/>
      </c>
      <c r="AC798" s="84" t="str">
        <f aca="false">IF($D798&lt;&gt;1,"",IF(p_mode="Nœud",$AB798*$K798,$L798*IF($G798="IKS",p_iks_cpu,p_roks_cpu)+$M798*IF($G798="IKS",p_iks_ram,p_roks_ram))*p_facteur)</f>
        <v/>
      </c>
      <c r="AD798" s="14" t="str">
        <f aca="false">IF($D798&lt;&gt;1,"",IF(AND($G798="IKS",$AI798&lt;&gt;1,OR($L798-$P798&lt;$N798,$M798-$Q798&lt;$O798)),1,0))</f>
        <v/>
      </c>
      <c r="AE798" s="14" t="str">
        <f aca="false">IF($D798&lt;&gt;1,"",IF(AND($G798="ROKS",$T798&gt;p_maxworkers),1,0))</f>
        <v/>
      </c>
      <c r="AF798" s="14" t="str">
        <f aca="false">IF($D798&lt;&gt;1,"",IF(INDEX(TblClusters[Environnement],$B798)="","(vide)",INDEX(TblClusters[Environnement],$B798)))</f>
        <v/>
      </c>
      <c r="AG798" s="14" t="str">
        <f aca="false">IF($D798&lt;&gt;1,"",$R798+p_poidsram*$S798)</f>
        <v/>
      </c>
      <c r="AH798" s="14" t="str">
        <f aca="false">IF($D798&lt;&gt;1,"",IFERROR($W798/$AG798,0))</f>
        <v/>
      </c>
      <c r="AI798" s="14" t="str">
        <f aca="false">IF($D798&lt;&gt;1,"",IF(AND($G798="IKS",ISNUMBER(INDEX(TblClusters[Fermeture retenue],$B798))),IF($E798&gt;=INDEX(TblClusters[Fermeture retenue],$B798),1,0),0))</f>
        <v/>
      </c>
    </row>
    <row r="799" customFormat="false" ht="15" hidden="false" customHeight="false" outlineLevel="0" collapsed="false">
      <c r="A799" s="14" t="n">
        <v>794</v>
      </c>
      <c r="B799" s="14" t="n">
        <f aca="false">INT(($A799-1)/36)+1</f>
        <v>23</v>
      </c>
      <c r="C799" s="14" t="n">
        <f aca="false">MOD($A799-1,36)+1</f>
        <v>2</v>
      </c>
      <c r="D799" s="14" t="n">
        <f aca="false">IF($C799&gt;p_horizon,0,IFERROR(IF(AND(INDEX(TblClusters[Cluster],$B799)&lt;&gt;"",ISNUMBER(INDEX(TblClusters[CPU initial (vCPU)],$B799)),ISNUMBER(INDEX(TblClusters[CPU min (vCPU)],$B799)),OR(INDEX(TblClusters[Plateforme],$B799)="IKS",INDEX(TblClusters[Plateforme],$B799)="ROKS")),1,0),0))</f>
        <v>0</v>
      </c>
      <c r="E799" s="83" t="str">
        <f aca="false">IF($D799=1,EDATE(p_debut,$C799-1),"")</f>
        <v/>
      </c>
      <c r="F799" s="14" t="str">
        <f aca="false">IF($D799=1,INDEX(TblClusters[Cluster],$B799),"")</f>
        <v/>
      </c>
      <c r="G799" s="14" t="str">
        <f aca="false">IF($D799=1,INDEX(TblClusters[Plateforme],$B799),"")</f>
        <v/>
      </c>
      <c r="H799" s="14" t="str">
        <f aca="false">IF($D799=1,INDEX(TblClusters[vCPU par nœud],$B799),"")</f>
        <v/>
      </c>
      <c r="I799" s="14" t="str">
        <f aca="false">IF($D799=1,INDEX(TblClusters[RAM par nœud (Go)],$B799),"")</f>
        <v/>
      </c>
      <c r="J799" s="14" t="str">
        <f aca="false">IF($D799=1,INDEX(TblClusters[Workers min],$B799),"")</f>
        <v/>
      </c>
      <c r="K799" s="84" t="str">
        <f aca="false">IF($D799=1,INDEX(TblClusters[Tarif par nœud],$B799),"")</f>
        <v/>
      </c>
      <c r="L799" s="14" t="str">
        <f aca="false">IF($D799=1,INDEX(TblClusters[CPU initial (vCPU)],$B799),"")</f>
        <v/>
      </c>
      <c r="M799" s="14" t="str">
        <f aca="false">IF($D799=1,INDEX(TblClusters[RAM initiale (Go)],$B799),"")</f>
        <v/>
      </c>
      <c r="N799" s="14" t="str">
        <f aca="false">IF($D799=1,INDEX(TblClusters[CPU min (vCPU)],$B799),"")</f>
        <v/>
      </c>
      <c r="O799" s="14" t="str">
        <f aca="false">IF($D799=1,INDEX(TblClusters[RAM min (Go)],$B799),"")</f>
        <v/>
      </c>
      <c r="P799" s="14" t="str">
        <f aca="false">IF($D799&lt;&gt;1,"",IF($G799="ROKS",SUMIFS(TblApplications[Besoin ROKS CPU (vCPU)],TblApplications[Cluster ROKS cible],$F799,TblApplications[Action],"À migrer",TblApplications[Déjà incluse ROKS],"Non",TblApplications[Mois prov (calc)],"&lt;="&amp;$E799),SUMIFS(TblApplications[CPU IKS libérable (vCPU)],TblApplications[Cluster IKS source],$F799,TblApplications[Mois lib (calc)],"&lt;="&amp;$E799)))</f>
        <v/>
      </c>
      <c r="Q799" s="14" t="str">
        <f aca="false">IF($D799&lt;&gt;1,"",IF($G799="ROKS",SUMIFS(TblApplications[Besoin ROKS RAM (Go)],TblApplications[Cluster ROKS cible],$F799,TblApplications[Action],"À migrer",TblApplications[Déjà incluse ROKS],"Non",TblApplications[Mois prov (calc)],"&lt;="&amp;$E799),SUMIFS(TblApplications[RAM IKS libérable (Go)],TblApplications[Cluster IKS source],$F799,TblApplications[Mois lib (calc)],"&lt;="&amp;$E799)))</f>
        <v/>
      </c>
      <c r="R799" s="14" t="str">
        <f aca="false">IF($D799&lt;&gt;1,"",IF($G799="ROKS",$L799+$P799,IF($AI799=1,0,MAX($N799,$L799-$P799))))</f>
        <v/>
      </c>
      <c r="S799" s="14" t="str">
        <f aca="false">IF($D799&lt;&gt;1,"",IF($G799="ROKS",$M799+$Q799,IF($AI799=1,0,MAX($O799,$M799-$Q799))))</f>
        <v/>
      </c>
      <c r="T799" s="14" t="str">
        <f aca="false">IF($D799&lt;&gt;1,"",IF($AI799=1,0,MAX($J799,ROUNDUP(MAX($R799/$H799,$S799/$I799),0))))</f>
        <v/>
      </c>
      <c r="U799" s="14" t="str">
        <f aca="false">IF($D799&lt;&gt;1,"",IF(p_mode="Nœud",$T799*$H799,$R799))</f>
        <v/>
      </c>
      <c r="V799" s="14" t="str">
        <f aca="false">IF($D799&lt;&gt;1,"",IF(p_mode="Nœud",$T799*$I799,$S799))</f>
        <v/>
      </c>
      <c r="W799" s="84" t="str">
        <f aca="false">IF($D799&lt;&gt;1,"",IF(p_mode="Nœud",$T799*$K799,$R799*IF($G799="IKS",p_iks_cpu,p_roks_cpu)+$S799*IF($G799="IKS",p_iks_ram,p_roks_ram))*p_facteur)</f>
        <v/>
      </c>
      <c r="X799" s="14" t="str">
        <f aca="false">IF($D799&lt;&gt;1,"",IF($G799="ROKS",$R799,IF($AI799=1,0,MAX($N799,$L799-SUMIFS(TblApplications[CPU IKS libérable (vCPU)],TblApplications[Cluster IKS source],$F799,TblApplications[Action],"À migrer",TblApplications[Mois prov (calc)],"&lt;="&amp;$E799)-SUMIFS(TblApplications[CPU IKS libérable (vCPU)],TblApplications[Cluster IKS source],$F799,TblApplications[Action],"À décommissionner",TblApplications[Mois lib (calc)],"&lt;="&amp;$E799)))))</f>
        <v/>
      </c>
      <c r="Y799" s="14" t="str">
        <f aca="false">IF($D799&lt;&gt;1,"",IF($G799="ROKS",$S799,IF($AI799=1,0,MAX($O799,$M799-SUMIFS(TblApplications[RAM IKS libérable (Go)],TblApplications[Cluster IKS source],$F799,TblApplications[Action],"À migrer",TblApplications[Mois prov (calc)],"&lt;="&amp;$E799)-SUMIFS(TblApplications[RAM IKS libérable (Go)],TblApplications[Cluster IKS source],$F799,TblApplications[Action],"À décommissionner",TblApplications[Mois lib (calc)],"&lt;="&amp;$E799)))))</f>
        <v/>
      </c>
      <c r="Z799" s="14" t="str">
        <f aca="false">IF($D799&lt;&gt;1,"",IF($AI799=1,0,MAX($J799,ROUNDUP(MAX($X799/$H799,$Y799/$I799),0))))</f>
        <v/>
      </c>
      <c r="AA799" s="84" t="str">
        <f aca="false">IF($D799&lt;&gt;1,"",IF(p_mode="Nœud",$Z799*$K799,$X799*IF($G799="IKS",p_iks_cpu,p_roks_cpu)+$Y799*IF($G799="IKS",p_iks_ram,p_roks_ram))*p_facteur)</f>
        <v/>
      </c>
      <c r="AB799" s="14" t="str">
        <f aca="false">IF($D799&lt;&gt;1,"",MAX($J799,ROUNDUP(MAX($L799/$H799,$M799/$I799),0)))</f>
        <v/>
      </c>
      <c r="AC799" s="84" t="str">
        <f aca="false">IF($D799&lt;&gt;1,"",IF(p_mode="Nœud",$AB799*$K799,$L799*IF($G799="IKS",p_iks_cpu,p_roks_cpu)+$M799*IF($G799="IKS",p_iks_ram,p_roks_ram))*p_facteur)</f>
        <v/>
      </c>
      <c r="AD799" s="14" t="str">
        <f aca="false">IF($D799&lt;&gt;1,"",IF(AND($G799="IKS",$AI799&lt;&gt;1,OR($L799-$P799&lt;$N799,$M799-$Q799&lt;$O799)),1,0))</f>
        <v/>
      </c>
      <c r="AE799" s="14" t="str">
        <f aca="false">IF($D799&lt;&gt;1,"",IF(AND($G799="ROKS",$T799&gt;p_maxworkers),1,0))</f>
        <v/>
      </c>
      <c r="AF799" s="14" t="str">
        <f aca="false">IF($D799&lt;&gt;1,"",IF(INDEX(TblClusters[Environnement],$B799)="","(vide)",INDEX(TblClusters[Environnement],$B799)))</f>
        <v/>
      </c>
      <c r="AG799" s="14" t="str">
        <f aca="false">IF($D799&lt;&gt;1,"",$R799+p_poidsram*$S799)</f>
        <v/>
      </c>
      <c r="AH799" s="14" t="str">
        <f aca="false">IF($D799&lt;&gt;1,"",IFERROR($W799/$AG799,0))</f>
        <v/>
      </c>
      <c r="AI799" s="14" t="str">
        <f aca="false">IF($D799&lt;&gt;1,"",IF(AND($G799="IKS",ISNUMBER(INDEX(TblClusters[Fermeture retenue],$B799))),IF($E799&gt;=INDEX(TblClusters[Fermeture retenue],$B799),1,0),0))</f>
        <v/>
      </c>
    </row>
    <row r="800" customFormat="false" ht="15" hidden="false" customHeight="false" outlineLevel="0" collapsed="false">
      <c r="A800" s="14" t="n">
        <v>795</v>
      </c>
      <c r="B800" s="14" t="n">
        <f aca="false">INT(($A800-1)/36)+1</f>
        <v>23</v>
      </c>
      <c r="C800" s="14" t="n">
        <f aca="false">MOD($A800-1,36)+1</f>
        <v>3</v>
      </c>
      <c r="D800" s="14" t="n">
        <f aca="false">IF($C800&gt;p_horizon,0,IFERROR(IF(AND(INDEX(TblClusters[Cluster],$B800)&lt;&gt;"",ISNUMBER(INDEX(TblClusters[CPU initial (vCPU)],$B800)),ISNUMBER(INDEX(TblClusters[CPU min (vCPU)],$B800)),OR(INDEX(TblClusters[Plateforme],$B800)="IKS",INDEX(TblClusters[Plateforme],$B800)="ROKS")),1,0),0))</f>
        <v>0</v>
      </c>
      <c r="E800" s="83" t="str">
        <f aca="false">IF($D800=1,EDATE(p_debut,$C800-1),"")</f>
        <v/>
      </c>
      <c r="F800" s="14" t="str">
        <f aca="false">IF($D800=1,INDEX(TblClusters[Cluster],$B800),"")</f>
        <v/>
      </c>
      <c r="G800" s="14" t="str">
        <f aca="false">IF($D800=1,INDEX(TblClusters[Plateforme],$B800),"")</f>
        <v/>
      </c>
      <c r="H800" s="14" t="str">
        <f aca="false">IF($D800=1,INDEX(TblClusters[vCPU par nœud],$B800),"")</f>
        <v/>
      </c>
      <c r="I800" s="14" t="str">
        <f aca="false">IF($D800=1,INDEX(TblClusters[RAM par nœud (Go)],$B800),"")</f>
        <v/>
      </c>
      <c r="J800" s="14" t="str">
        <f aca="false">IF($D800=1,INDEX(TblClusters[Workers min],$B800),"")</f>
        <v/>
      </c>
      <c r="K800" s="84" t="str">
        <f aca="false">IF($D800=1,INDEX(TblClusters[Tarif par nœud],$B800),"")</f>
        <v/>
      </c>
      <c r="L800" s="14" t="str">
        <f aca="false">IF($D800=1,INDEX(TblClusters[CPU initial (vCPU)],$B800),"")</f>
        <v/>
      </c>
      <c r="M800" s="14" t="str">
        <f aca="false">IF($D800=1,INDEX(TblClusters[RAM initiale (Go)],$B800),"")</f>
        <v/>
      </c>
      <c r="N800" s="14" t="str">
        <f aca="false">IF($D800=1,INDEX(TblClusters[CPU min (vCPU)],$B800),"")</f>
        <v/>
      </c>
      <c r="O800" s="14" t="str">
        <f aca="false">IF($D800=1,INDEX(TblClusters[RAM min (Go)],$B800),"")</f>
        <v/>
      </c>
      <c r="P800" s="14" t="str">
        <f aca="false">IF($D800&lt;&gt;1,"",IF($G800="ROKS",SUMIFS(TblApplications[Besoin ROKS CPU (vCPU)],TblApplications[Cluster ROKS cible],$F800,TblApplications[Action],"À migrer",TblApplications[Déjà incluse ROKS],"Non",TblApplications[Mois prov (calc)],"&lt;="&amp;$E800),SUMIFS(TblApplications[CPU IKS libérable (vCPU)],TblApplications[Cluster IKS source],$F800,TblApplications[Mois lib (calc)],"&lt;="&amp;$E800)))</f>
        <v/>
      </c>
      <c r="Q800" s="14" t="str">
        <f aca="false">IF($D800&lt;&gt;1,"",IF($G800="ROKS",SUMIFS(TblApplications[Besoin ROKS RAM (Go)],TblApplications[Cluster ROKS cible],$F800,TblApplications[Action],"À migrer",TblApplications[Déjà incluse ROKS],"Non",TblApplications[Mois prov (calc)],"&lt;="&amp;$E800),SUMIFS(TblApplications[RAM IKS libérable (Go)],TblApplications[Cluster IKS source],$F800,TblApplications[Mois lib (calc)],"&lt;="&amp;$E800)))</f>
        <v/>
      </c>
      <c r="R800" s="14" t="str">
        <f aca="false">IF($D800&lt;&gt;1,"",IF($G800="ROKS",$L800+$P800,IF($AI800=1,0,MAX($N800,$L800-$P800))))</f>
        <v/>
      </c>
      <c r="S800" s="14" t="str">
        <f aca="false">IF($D800&lt;&gt;1,"",IF($G800="ROKS",$M800+$Q800,IF($AI800=1,0,MAX($O800,$M800-$Q800))))</f>
        <v/>
      </c>
      <c r="T800" s="14" t="str">
        <f aca="false">IF($D800&lt;&gt;1,"",IF($AI800=1,0,MAX($J800,ROUNDUP(MAX($R800/$H800,$S800/$I800),0))))</f>
        <v/>
      </c>
      <c r="U800" s="14" t="str">
        <f aca="false">IF($D800&lt;&gt;1,"",IF(p_mode="Nœud",$T800*$H800,$R800))</f>
        <v/>
      </c>
      <c r="V800" s="14" t="str">
        <f aca="false">IF($D800&lt;&gt;1,"",IF(p_mode="Nœud",$T800*$I800,$S800))</f>
        <v/>
      </c>
      <c r="W800" s="84" t="str">
        <f aca="false">IF($D800&lt;&gt;1,"",IF(p_mode="Nœud",$T800*$K800,$R800*IF($G800="IKS",p_iks_cpu,p_roks_cpu)+$S800*IF($G800="IKS",p_iks_ram,p_roks_ram))*p_facteur)</f>
        <v/>
      </c>
      <c r="X800" s="14" t="str">
        <f aca="false">IF($D800&lt;&gt;1,"",IF($G800="ROKS",$R800,IF($AI800=1,0,MAX($N800,$L800-SUMIFS(TblApplications[CPU IKS libérable (vCPU)],TblApplications[Cluster IKS source],$F800,TblApplications[Action],"À migrer",TblApplications[Mois prov (calc)],"&lt;="&amp;$E800)-SUMIFS(TblApplications[CPU IKS libérable (vCPU)],TblApplications[Cluster IKS source],$F800,TblApplications[Action],"À décommissionner",TblApplications[Mois lib (calc)],"&lt;="&amp;$E800)))))</f>
        <v/>
      </c>
      <c r="Y800" s="14" t="str">
        <f aca="false">IF($D800&lt;&gt;1,"",IF($G800="ROKS",$S800,IF($AI800=1,0,MAX($O800,$M800-SUMIFS(TblApplications[RAM IKS libérable (Go)],TblApplications[Cluster IKS source],$F800,TblApplications[Action],"À migrer",TblApplications[Mois prov (calc)],"&lt;="&amp;$E800)-SUMIFS(TblApplications[RAM IKS libérable (Go)],TblApplications[Cluster IKS source],$F800,TblApplications[Action],"À décommissionner",TblApplications[Mois lib (calc)],"&lt;="&amp;$E800)))))</f>
        <v/>
      </c>
      <c r="Z800" s="14" t="str">
        <f aca="false">IF($D800&lt;&gt;1,"",IF($AI800=1,0,MAX($J800,ROUNDUP(MAX($X800/$H800,$Y800/$I800),0))))</f>
        <v/>
      </c>
      <c r="AA800" s="84" t="str">
        <f aca="false">IF($D800&lt;&gt;1,"",IF(p_mode="Nœud",$Z800*$K800,$X800*IF($G800="IKS",p_iks_cpu,p_roks_cpu)+$Y800*IF($G800="IKS",p_iks_ram,p_roks_ram))*p_facteur)</f>
        <v/>
      </c>
      <c r="AB800" s="14" t="str">
        <f aca="false">IF($D800&lt;&gt;1,"",MAX($J800,ROUNDUP(MAX($L800/$H800,$M800/$I800),0)))</f>
        <v/>
      </c>
      <c r="AC800" s="84" t="str">
        <f aca="false">IF($D800&lt;&gt;1,"",IF(p_mode="Nœud",$AB800*$K800,$L800*IF($G800="IKS",p_iks_cpu,p_roks_cpu)+$M800*IF($G800="IKS",p_iks_ram,p_roks_ram))*p_facteur)</f>
        <v/>
      </c>
      <c r="AD800" s="14" t="str">
        <f aca="false">IF($D800&lt;&gt;1,"",IF(AND($G800="IKS",$AI800&lt;&gt;1,OR($L800-$P800&lt;$N800,$M800-$Q800&lt;$O800)),1,0))</f>
        <v/>
      </c>
      <c r="AE800" s="14" t="str">
        <f aca="false">IF($D800&lt;&gt;1,"",IF(AND($G800="ROKS",$T800&gt;p_maxworkers),1,0))</f>
        <v/>
      </c>
      <c r="AF800" s="14" t="str">
        <f aca="false">IF($D800&lt;&gt;1,"",IF(INDEX(TblClusters[Environnement],$B800)="","(vide)",INDEX(TblClusters[Environnement],$B800)))</f>
        <v/>
      </c>
      <c r="AG800" s="14" t="str">
        <f aca="false">IF($D800&lt;&gt;1,"",$R800+p_poidsram*$S800)</f>
        <v/>
      </c>
      <c r="AH800" s="14" t="str">
        <f aca="false">IF($D800&lt;&gt;1,"",IFERROR($W800/$AG800,0))</f>
        <v/>
      </c>
      <c r="AI800" s="14" t="str">
        <f aca="false">IF($D800&lt;&gt;1,"",IF(AND($G800="IKS",ISNUMBER(INDEX(TblClusters[Fermeture retenue],$B800))),IF($E800&gt;=INDEX(TblClusters[Fermeture retenue],$B800),1,0),0))</f>
        <v/>
      </c>
    </row>
    <row r="801" customFormat="false" ht="15" hidden="false" customHeight="false" outlineLevel="0" collapsed="false">
      <c r="A801" s="14" t="n">
        <v>796</v>
      </c>
      <c r="B801" s="14" t="n">
        <f aca="false">INT(($A801-1)/36)+1</f>
        <v>23</v>
      </c>
      <c r="C801" s="14" t="n">
        <f aca="false">MOD($A801-1,36)+1</f>
        <v>4</v>
      </c>
      <c r="D801" s="14" t="n">
        <f aca="false">IF($C801&gt;p_horizon,0,IFERROR(IF(AND(INDEX(TblClusters[Cluster],$B801)&lt;&gt;"",ISNUMBER(INDEX(TblClusters[CPU initial (vCPU)],$B801)),ISNUMBER(INDEX(TblClusters[CPU min (vCPU)],$B801)),OR(INDEX(TblClusters[Plateforme],$B801)="IKS",INDEX(TblClusters[Plateforme],$B801)="ROKS")),1,0),0))</f>
        <v>0</v>
      </c>
      <c r="E801" s="83" t="str">
        <f aca="false">IF($D801=1,EDATE(p_debut,$C801-1),"")</f>
        <v/>
      </c>
      <c r="F801" s="14" t="str">
        <f aca="false">IF($D801=1,INDEX(TblClusters[Cluster],$B801),"")</f>
        <v/>
      </c>
      <c r="G801" s="14" t="str">
        <f aca="false">IF($D801=1,INDEX(TblClusters[Plateforme],$B801),"")</f>
        <v/>
      </c>
      <c r="H801" s="14" t="str">
        <f aca="false">IF($D801=1,INDEX(TblClusters[vCPU par nœud],$B801),"")</f>
        <v/>
      </c>
      <c r="I801" s="14" t="str">
        <f aca="false">IF($D801=1,INDEX(TblClusters[RAM par nœud (Go)],$B801),"")</f>
        <v/>
      </c>
      <c r="J801" s="14" t="str">
        <f aca="false">IF($D801=1,INDEX(TblClusters[Workers min],$B801),"")</f>
        <v/>
      </c>
      <c r="K801" s="84" t="str">
        <f aca="false">IF($D801=1,INDEX(TblClusters[Tarif par nœud],$B801),"")</f>
        <v/>
      </c>
      <c r="L801" s="14" t="str">
        <f aca="false">IF($D801=1,INDEX(TblClusters[CPU initial (vCPU)],$B801),"")</f>
        <v/>
      </c>
      <c r="M801" s="14" t="str">
        <f aca="false">IF($D801=1,INDEX(TblClusters[RAM initiale (Go)],$B801),"")</f>
        <v/>
      </c>
      <c r="N801" s="14" t="str">
        <f aca="false">IF($D801=1,INDEX(TblClusters[CPU min (vCPU)],$B801),"")</f>
        <v/>
      </c>
      <c r="O801" s="14" t="str">
        <f aca="false">IF($D801=1,INDEX(TblClusters[RAM min (Go)],$B801),"")</f>
        <v/>
      </c>
      <c r="P801" s="14" t="str">
        <f aca="false">IF($D801&lt;&gt;1,"",IF($G801="ROKS",SUMIFS(TblApplications[Besoin ROKS CPU (vCPU)],TblApplications[Cluster ROKS cible],$F801,TblApplications[Action],"À migrer",TblApplications[Déjà incluse ROKS],"Non",TblApplications[Mois prov (calc)],"&lt;="&amp;$E801),SUMIFS(TblApplications[CPU IKS libérable (vCPU)],TblApplications[Cluster IKS source],$F801,TblApplications[Mois lib (calc)],"&lt;="&amp;$E801)))</f>
        <v/>
      </c>
      <c r="Q801" s="14" t="str">
        <f aca="false">IF($D801&lt;&gt;1,"",IF($G801="ROKS",SUMIFS(TblApplications[Besoin ROKS RAM (Go)],TblApplications[Cluster ROKS cible],$F801,TblApplications[Action],"À migrer",TblApplications[Déjà incluse ROKS],"Non",TblApplications[Mois prov (calc)],"&lt;="&amp;$E801),SUMIFS(TblApplications[RAM IKS libérable (Go)],TblApplications[Cluster IKS source],$F801,TblApplications[Mois lib (calc)],"&lt;="&amp;$E801)))</f>
        <v/>
      </c>
      <c r="R801" s="14" t="str">
        <f aca="false">IF($D801&lt;&gt;1,"",IF($G801="ROKS",$L801+$P801,IF($AI801=1,0,MAX($N801,$L801-$P801))))</f>
        <v/>
      </c>
      <c r="S801" s="14" t="str">
        <f aca="false">IF($D801&lt;&gt;1,"",IF($G801="ROKS",$M801+$Q801,IF($AI801=1,0,MAX($O801,$M801-$Q801))))</f>
        <v/>
      </c>
      <c r="T801" s="14" t="str">
        <f aca="false">IF($D801&lt;&gt;1,"",IF($AI801=1,0,MAX($J801,ROUNDUP(MAX($R801/$H801,$S801/$I801),0))))</f>
        <v/>
      </c>
      <c r="U801" s="14" t="str">
        <f aca="false">IF($D801&lt;&gt;1,"",IF(p_mode="Nœud",$T801*$H801,$R801))</f>
        <v/>
      </c>
      <c r="V801" s="14" t="str">
        <f aca="false">IF($D801&lt;&gt;1,"",IF(p_mode="Nœud",$T801*$I801,$S801))</f>
        <v/>
      </c>
      <c r="W801" s="84" t="str">
        <f aca="false">IF($D801&lt;&gt;1,"",IF(p_mode="Nœud",$T801*$K801,$R801*IF($G801="IKS",p_iks_cpu,p_roks_cpu)+$S801*IF($G801="IKS",p_iks_ram,p_roks_ram))*p_facteur)</f>
        <v/>
      </c>
      <c r="X801" s="14" t="str">
        <f aca="false">IF($D801&lt;&gt;1,"",IF($G801="ROKS",$R801,IF($AI801=1,0,MAX($N801,$L801-SUMIFS(TblApplications[CPU IKS libérable (vCPU)],TblApplications[Cluster IKS source],$F801,TblApplications[Action],"À migrer",TblApplications[Mois prov (calc)],"&lt;="&amp;$E801)-SUMIFS(TblApplications[CPU IKS libérable (vCPU)],TblApplications[Cluster IKS source],$F801,TblApplications[Action],"À décommissionner",TblApplications[Mois lib (calc)],"&lt;="&amp;$E801)))))</f>
        <v/>
      </c>
      <c r="Y801" s="14" t="str">
        <f aca="false">IF($D801&lt;&gt;1,"",IF($G801="ROKS",$S801,IF($AI801=1,0,MAX($O801,$M801-SUMIFS(TblApplications[RAM IKS libérable (Go)],TblApplications[Cluster IKS source],$F801,TblApplications[Action],"À migrer",TblApplications[Mois prov (calc)],"&lt;="&amp;$E801)-SUMIFS(TblApplications[RAM IKS libérable (Go)],TblApplications[Cluster IKS source],$F801,TblApplications[Action],"À décommissionner",TblApplications[Mois lib (calc)],"&lt;="&amp;$E801)))))</f>
        <v/>
      </c>
      <c r="Z801" s="14" t="str">
        <f aca="false">IF($D801&lt;&gt;1,"",IF($AI801=1,0,MAX($J801,ROUNDUP(MAX($X801/$H801,$Y801/$I801),0))))</f>
        <v/>
      </c>
      <c r="AA801" s="84" t="str">
        <f aca="false">IF($D801&lt;&gt;1,"",IF(p_mode="Nœud",$Z801*$K801,$X801*IF($G801="IKS",p_iks_cpu,p_roks_cpu)+$Y801*IF($G801="IKS",p_iks_ram,p_roks_ram))*p_facteur)</f>
        <v/>
      </c>
      <c r="AB801" s="14" t="str">
        <f aca="false">IF($D801&lt;&gt;1,"",MAX($J801,ROUNDUP(MAX($L801/$H801,$M801/$I801),0)))</f>
        <v/>
      </c>
      <c r="AC801" s="84" t="str">
        <f aca="false">IF($D801&lt;&gt;1,"",IF(p_mode="Nœud",$AB801*$K801,$L801*IF($G801="IKS",p_iks_cpu,p_roks_cpu)+$M801*IF($G801="IKS",p_iks_ram,p_roks_ram))*p_facteur)</f>
        <v/>
      </c>
      <c r="AD801" s="14" t="str">
        <f aca="false">IF($D801&lt;&gt;1,"",IF(AND($G801="IKS",$AI801&lt;&gt;1,OR($L801-$P801&lt;$N801,$M801-$Q801&lt;$O801)),1,0))</f>
        <v/>
      </c>
      <c r="AE801" s="14" t="str">
        <f aca="false">IF($D801&lt;&gt;1,"",IF(AND($G801="ROKS",$T801&gt;p_maxworkers),1,0))</f>
        <v/>
      </c>
      <c r="AF801" s="14" t="str">
        <f aca="false">IF($D801&lt;&gt;1,"",IF(INDEX(TblClusters[Environnement],$B801)="","(vide)",INDEX(TblClusters[Environnement],$B801)))</f>
        <v/>
      </c>
      <c r="AG801" s="14" t="str">
        <f aca="false">IF($D801&lt;&gt;1,"",$R801+p_poidsram*$S801)</f>
        <v/>
      </c>
      <c r="AH801" s="14" t="str">
        <f aca="false">IF($D801&lt;&gt;1,"",IFERROR($W801/$AG801,0))</f>
        <v/>
      </c>
      <c r="AI801" s="14" t="str">
        <f aca="false">IF($D801&lt;&gt;1,"",IF(AND($G801="IKS",ISNUMBER(INDEX(TblClusters[Fermeture retenue],$B801))),IF($E801&gt;=INDEX(TblClusters[Fermeture retenue],$B801),1,0),0))</f>
        <v/>
      </c>
    </row>
    <row r="802" customFormat="false" ht="15" hidden="false" customHeight="false" outlineLevel="0" collapsed="false">
      <c r="A802" s="14" t="n">
        <v>797</v>
      </c>
      <c r="B802" s="14" t="n">
        <f aca="false">INT(($A802-1)/36)+1</f>
        <v>23</v>
      </c>
      <c r="C802" s="14" t="n">
        <f aca="false">MOD($A802-1,36)+1</f>
        <v>5</v>
      </c>
      <c r="D802" s="14" t="n">
        <f aca="false">IF($C802&gt;p_horizon,0,IFERROR(IF(AND(INDEX(TblClusters[Cluster],$B802)&lt;&gt;"",ISNUMBER(INDEX(TblClusters[CPU initial (vCPU)],$B802)),ISNUMBER(INDEX(TblClusters[CPU min (vCPU)],$B802)),OR(INDEX(TblClusters[Plateforme],$B802)="IKS",INDEX(TblClusters[Plateforme],$B802)="ROKS")),1,0),0))</f>
        <v>0</v>
      </c>
      <c r="E802" s="83" t="str">
        <f aca="false">IF($D802=1,EDATE(p_debut,$C802-1),"")</f>
        <v/>
      </c>
      <c r="F802" s="14" t="str">
        <f aca="false">IF($D802=1,INDEX(TblClusters[Cluster],$B802),"")</f>
        <v/>
      </c>
      <c r="G802" s="14" t="str">
        <f aca="false">IF($D802=1,INDEX(TblClusters[Plateforme],$B802),"")</f>
        <v/>
      </c>
      <c r="H802" s="14" t="str">
        <f aca="false">IF($D802=1,INDEX(TblClusters[vCPU par nœud],$B802),"")</f>
        <v/>
      </c>
      <c r="I802" s="14" t="str">
        <f aca="false">IF($D802=1,INDEX(TblClusters[RAM par nœud (Go)],$B802),"")</f>
        <v/>
      </c>
      <c r="J802" s="14" t="str">
        <f aca="false">IF($D802=1,INDEX(TblClusters[Workers min],$B802),"")</f>
        <v/>
      </c>
      <c r="K802" s="84" t="str">
        <f aca="false">IF($D802=1,INDEX(TblClusters[Tarif par nœud],$B802),"")</f>
        <v/>
      </c>
      <c r="L802" s="14" t="str">
        <f aca="false">IF($D802=1,INDEX(TblClusters[CPU initial (vCPU)],$B802),"")</f>
        <v/>
      </c>
      <c r="M802" s="14" t="str">
        <f aca="false">IF($D802=1,INDEX(TblClusters[RAM initiale (Go)],$B802),"")</f>
        <v/>
      </c>
      <c r="N802" s="14" t="str">
        <f aca="false">IF($D802=1,INDEX(TblClusters[CPU min (vCPU)],$B802),"")</f>
        <v/>
      </c>
      <c r="O802" s="14" t="str">
        <f aca="false">IF($D802=1,INDEX(TblClusters[RAM min (Go)],$B802),"")</f>
        <v/>
      </c>
      <c r="P802" s="14" t="str">
        <f aca="false">IF($D802&lt;&gt;1,"",IF($G802="ROKS",SUMIFS(TblApplications[Besoin ROKS CPU (vCPU)],TblApplications[Cluster ROKS cible],$F802,TblApplications[Action],"À migrer",TblApplications[Déjà incluse ROKS],"Non",TblApplications[Mois prov (calc)],"&lt;="&amp;$E802),SUMIFS(TblApplications[CPU IKS libérable (vCPU)],TblApplications[Cluster IKS source],$F802,TblApplications[Mois lib (calc)],"&lt;="&amp;$E802)))</f>
        <v/>
      </c>
      <c r="Q802" s="14" t="str">
        <f aca="false">IF($D802&lt;&gt;1,"",IF($G802="ROKS",SUMIFS(TblApplications[Besoin ROKS RAM (Go)],TblApplications[Cluster ROKS cible],$F802,TblApplications[Action],"À migrer",TblApplications[Déjà incluse ROKS],"Non",TblApplications[Mois prov (calc)],"&lt;="&amp;$E802),SUMIFS(TblApplications[RAM IKS libérable (Go)],TblApplications[Cluster IKS source],$F802,TblApplications[Mois lib (calc)],"&lt;="&amp;$E802)))</f>
        <v/>
      </c>
      <c r="R802" s="14" t="str">
        <f aca="false">IF($D802&lt;&gt;1,"",IF($G802="ROKS",$L802+$P802,IF($AI802=1,0,MAX($N802,$L802-$P802))))</f>
        <v/>
      </c>
      <c r="S802" s="14" t="str">
        <f aca="false">IF($D802&lt;&gt;1,"",IF($G802="ROKS",$M802+$Q802,IF($AI802=1,0,MAX($O802,$M802-$Q802))))</f>
        <v/>
      </c>
      <c r="T802" s="14" t="str">
        <f aca="false">IF($D802&lt;&gt;1,"",IF($AI802=1,0,MAX($J802,ROUNDUP(MAX($R802/$H802,$S802/$I802),0))))</f>
        <v/>
      </c>
      <c r="U802" s="14" t="str">
        <f aca="false">IF($D802&lt;&gt;1,"",IF(p_mode="Nœud",$T802*$H802,$R802))</f>
        <v/>
      </c>
      <c r="V802" s="14" t="str">
        <f aca="false">IF($D802&lt;&gt;1,"",IF(p_mode="Nœud",$T802*$I802,$S802))</f>
        <v/>
      </c>
      <c r="W802" s="84" t="str">
        <f aca="false">IF($D802&lt;&gt;1,"",IF(p_mode="Nœud",$T802*$K802,$R802*IF($G802="IKS",p_iks_cpu,p_roks_cpu)+$S802*IF($G802="IKS",p_iks_ram,p_roks_ram))*p_facteur)</f>
        <v/>
      </c>
      <c r="X802" s="14" t="str">
        <f aca="false">IF($D802&lt;&gt;1,"",IF($G802="ROKS",$R802,IF($AI802=1,0,MAX($N802,$L802-SUMIFS(TblApplications[CPU IKS libérable (vCPU)],TblApplications[Cluster IKS source],$F802,TblApplications[Action],"À migrer",TblApplications[Mois prov (calc)],"&lt;="&amp;$E802)-SUMIFS(TblApplications[CPU IKS libérable (vCPU)],TblApplications[Cluster IKS source],$F802,TblApplications[Action],"À décommissionner",TblApplications[Mois lib (calc)],"&lt;="&amp;$E802)))))</f>
        <v/>
      </c>
      <c r="Y802" s="14" t="str">
        <f aca="false">IF($D802&lt;&gt;1,"",IF($G802="ROKS",$S802,IF($AI802=1,0,MAX($O802,$M802-SUMIFS(TblApplications[RAM IKS libérable (Go)],TblApplications[Cluster IKS source],$F802,TblApplications[Action],"À migrer",TblApplications[Mois prov (calc)],"&lt;="&amp;$E802)-SUMIFS(TblApplications[RAM IKS libérable (Go)],TblApplications[Cluster IKS source],$F802,TblApplications[Action],"À décommissionner",TblApplications[Mois lib (calc)],"&lt;="&amp;$E802)))))</f>
        <v/>
      </c>
      <c r="Z802" s="14" t="str">
        <f aca="false">IF($D802&lt;&gt;1,"",IF($AI802=1,0,MAX($J802,ROUNDUP(MAX($X802/$H802,$Y802/$I802),0))))</f>
        <v/>
      </c>
      <c r="AA802" s="84" t="str">
        <f aca="false">IF($D802&lt;&gt;1,"",IF(p_mode="Nœud",$Z802*$K802,$X802*IF($G802="IKS",p_iks_cpu,p_roks_cpu)+$Y802*IF($G802="IKS",p_iks_ram,p_roks_ram))*p_facteur)</f>
        <v/>
      </c>
      <c r="AB802" s="14" t="str">
        <f aca="false">IF($D802&lt;&gt;1,"",MAX($J802,ROUNDUP(MAX($L802/$H802,$M802/$I802),0)))</f>
        <v/>
      </c>
      <c r="AC802" s="84" t="str">
        <f aca="false">IF($D802&lt;&gt;1,"",IF(p_mode="Nœud",$AB802*$K802,$L802*IF($G802="IKS",p_iks_cpu,p_roks_cpu)+$M802*IF($G802="IKS",p_iks_ram,p_roks_ram))*p_facteur)</f>
        <v/>
      </c>
      <c r="AD802" s="14" t="str">
        <f aca="false">IF($D802&lt;&gt;1,"",IF(AND($G802="IKS",$AI802&lt;&gt;1,OR($L802-$P802&lt;$N802,$M802-$Q802&lt;$O802)),1,0))</f>
        <v/>
      </c>
      <c r="AE802" s="14" t="str">
        <f aca="false">IF($D802&lt;&gt;1,"",IF(AND($G802="ROKS",$T802&gt;p_maxworkers),1,0))</f>
        <v/>
      </c>
      <c r="AF802" s="14" t="str">
        <f aca="false">IF($D802&lt;&gt;1,"",IF(INDEX(TblClusters[Environnement],$B802)="","(vide)",INDEX(TblClusters[Environnement],$B802)))</f>
        <v/>
      </c>
      <c r="AG802" s="14" t="str">
        <f aca="false">IF($D802&lt;&gt;1,"",$R802+p_poidsram*$S802)</f>
        <v/>
      </c>
      <c r="AH802" s="14" t="str">
        <f aca="false">IF($D802&lt;&gt;1,"",IFERROR($W802/$AG802,0))</f>
        <v/>
      </c>
      <c r="AI802" s="14" t="str">
        <f aca="false">IF($D802&lt;&gt;1,"",IF(AND($G802="IKS",ISNUMBER(INDEX(TblClusters[Fermeture retenue],$B802))),IF($E802&gt;=INDEX(TblClusters[Fermeture retenue],$B802),1,0),0))</f>
        <v/>
      </c>
    </row>
    <row r="803" customFormat="false" ht="15" hidden="false" customHeight="false" outlineLevel="0" collapsed="false">
      <c r="A803" s="14" t="n">
        <v>798</v>
      </c>
      <c r="B803" s="14" t="n">
        <f aca="false">INT(($A803-1)/36)+1</f>
        <v>23</v>
      </c>
      <c r="C803" s="14" t="n">
        <f aca="false">MOD($A803-1,36)+1</f>
        <v>6</v>
      </c>
      <c r="D803" s="14" t="n">
        <f aca="false">IF($C803&gt;p_horizon,0,IFERROR(IF(AND(INDEX(TblClusters[Cluster],$B803)&lt;&gt;"",ISNUMBER(INDEX(TblClusters[CPU initial (vCPU)],$B803)),ISNUMBER(INDEX(TblClusters[CPU min (vCPU)],$B803)),OR(INDEX(TblClusters[Plateforme],$B803)="IKS",INDEX(TblClusters[Plateforme],$B803)="ROKS")),1,0),0))</f>
        <v>0</v>
      </c>
      <c r="E803" s="83" t="str">
        <f aca="false">IF($D803=1,EDATE(p_debut,$C803-1),"")</f>
        <v/>
      </c>
      <c r="F803" s="14" t="str">
        <f aca="false">IF($D803=1,INDEX(TblClusters[Cluster],$B803),"")</f>
        <v/>
      </c>
      <c r="G803" s="14" t="str">
        <f aca="false">IF($D803=1,INDEX(TblClusters[Plateforme],$B803),"")</f>
        <v/>
      </c>
      <c r="H803" s="14" t="str">
        <f aca="false">IF($D803=1,INDEX(TblClusters[vCPU par nœud],$B803),"")</f>
        <v/>
      </c>
      <c r="I803" s="14" t="str">
        <f aca="false">IF($D803=1,INDEX(TblClusters[RAM par nœud (Go)],$B803),"")</f>
        <v/>
      </c>
      <c r="J803" s="14" t="str">
        <f aca="false">IF($D803=1,INDEX(TblClusters[Workers min],$B803),"")</f>
        <v/>
      </c>
      <c r="K803" s="84" t="str">
        <f aca="false">IF($D803=1,INDEX(TblClusters[Tarif par nœud],$B803),"")</f>
        <v/>
      </c>
      <c r="L803" s="14" t="str">
        <f aca="false">IF($D803=1,INDEX(TblClusters[CPU initial (vCPU)],$B803),"")</f>
        <v/>
      </c>
      <c r="M803" s="14" t="str">
        <f aca="false">IF($D803=1,INDEX(TblClusters[RAM initiale (Go)],$B803),"")</f>
        <v/>
      </c>
      <c r="N803" s="14" t="str">
        <f aca="false">IF($D803=1,INDEX(TblClusters[CPU min (vCPU)],$B803),"")</f>
        <v/>
      </c>
      <c r="O803" s="14" t="str">
        <f aca="false">IF($D803=1,INDEX(TblClusters[RAM min (Go)],$B803),"")</f>
        <v/>
      </c>
      <c r="P803" s="14" t="str">
        <f aca="false">IF($D803&lt;&gt;1,"",IF($G803="ROKS",SUMIFS(TblApplications[Besoin ROKS CPU (vCPU)],TblApplications[Cluster ROKS cible],$F803,TblApplications[Action],"À migrer",TblApplications[Déjà incluse ROKS],"Non",TblApplications[Mois prov (calc)],"&lt;="&amp;$E803),SUMIFS(TblApplications[CPU IKS libérable (vCPU)],TblApplications[Cluster IKS source],$F803,TblApplications[Mois lib (calc)],"&lt;="&amp;$E803)))</f>
        <v/>
      </c>
      <c r="Q803" s="14" t="str">
        <f aca="false">IF($D803&lt;&gt;1,"",IF($G803="ROKS",SUMIFS(TblApplications[Besoin ROKS RAM (Go)],TblApplications[Cluster ROKS cible],$F803,TblApplications[Action],"À migrer",TblApplications[Déjà incluse ROKS],"Non",TblApplications[Mois prov (calc)],"&lt;="&amp;$E803),SUMIFS(TblApplications[RAM IKS libérable (Go)],TblApplications[Cluster IKS source],$F803,TblApplications[Mois lib (calc)],"&lt;="&amp;$E803)))</f>
        <v/>
      </c>
      <c r="R803" s="14" t="str">
        <f aca="false">IF($D803&lt;&gt;1,"",IF($G803="ROKS",$L803+$P803,IF($AI803=1,0,MAX($N803,$L803-$P803))))</f>
        <v/>
      </c>
      <c r="S803" s="14" t="str">
        <f aca="false">IF($D803&lt;&gt;1,"",IF($G803="ROKS",$M803+$Q803,IF($AI803=1,0,MAX($O803,$M803-$Q803))))</f>
        <v/>
      </c>
      <c r="T803" s="14" t="str">
        <f aca="false">IF($D803&lt;&gt;1,"",IF($AI803=1,0,MAX($J803,ROUNDUP(MAX($R803/$H803,$S803/$I803),0))))</f>
        <v/>
      </c>
      <c r="U803" s="14" t="str">
        <f aca="false">IF($D803&lt;&gt;1,"",IF(p_mode="Nœud",$T803*$H803,$R803))</f>
        <v/>
      </c>
      <c r="V803" s="14" t="str">
        <f aca="false">IF($D803&lt;&gt;1,"",IF(p_mode="Nœud",$T803*$I803,$S803))</f>
        <v/>
      </c>
      <c r="W803" s="84" t="str">
        <f aca="false">IF($D803&lt;&gt;1,"",IF(p_mode="Nœud",$T803*$K803,$R803*IF($G803="IKS",p_iks_cpu,p_roks_cpu)+$S803*IF($G803="IKS",p_iks_ram,p_roks_ram))*p_facteur)</f>
        <v/>
      </c>
      <c r="X803" s="14" t="str">
        <f aca="false">IF($D803&lt;&gt;1,"",IF($G803="ROKS",$R803,IF($AI803=1,0,MAX($N803,$L803-SUMIFS(TblApplications[CPU IKS libérable (vCPU)],TblApplications[Cluster IKS source],$F803,TblApplications[Action],"À migrer",TblApplications[Mois prov (calc)],"&lt;="&amp;$E803)-SUMIFS(TblApplications[CPU IKS libérable (vCPU)],TblApplications[Cluster IKS source],$F803,TblApplications[Action],"À décommissionner",TblApplications[Mois lib (calc)],"&lt;="&amp;$E803)))))</f>
        <v/>
      </c>
      <c r="Y803" s="14" t="str">
        <f aca="false">IF($D803&lt;&gt;1,"",IF($G803="ROKS",$S803,IF($AI803=1,0,MAX($O803,$M803-SUMIFS(TblApplications[RAM IKS libérable (Go)],TblApplications[Cluster IKS source],$F803,TblApplications[Action],"À migrer",TblApplications[Mois prov (calc)],"&lt;="&amp;$E803)-SUMIFS(TblApplications[RAM IKS libérable (Go)],TblApplications[Cluster IKS source],$F803,TblApplications[Action],"À décommissionner",TblApplications[Mois lib (calc)],"&lt;="&amp;$E803)))))</f>
        <v/>
      </c>
      <c r="Z803" s="14" t="str">
        <f aca="false">IF($D803&lt;&gt;1,"",IF($AI803=1,0,MAX($J803,ROUNDUP(MAX($X803/$H803,$Y803/$I803),0))))</f>
        <v/>
      </c>
      <c r="AA803" s="84" t="str">
        <f aca="false">IF($D803&lt;&gt;1,"",IF(p_mode="Nœud",$Z803*$K803,$X803*IF($G803="IKS",p_iks_cpu,p_roks_cpu)+$Y803*IF($G803="IKS",p_iks_ram,p_roks_ram))*p_facteur)</f>
        <v/>
      </c>
      <c r="AB803" s="14" t="str">
        <f aca="false">IF($D803&lt;&gt;1,"",MAX($J803,ROUNDUP(MAX($L803/$H803,$M803/$I803),0)))</f>
        <v/>
      </c>
      <c r="AC803" s="84" t="str">
        <f aca="false">IF($D803&lt;&gt;1,"",IF(p_mode="Nœud",$AB803*$K803,$L803*IF($G803="IKS",p_iks_cpu,p_roks_cpu)+$M803*IF($G803="IKS",p_iks_ram,p_roks_ram))*p_facteur)</f>
        <v/>
      </c>
      <c r="AD803" s="14" t="str">
        <f aca="false">IF($D803&lt;&gt;1,"",IF(AND($G803="IKS",$AI803&lt;&gt;1,OR($L803-$P803&lt;$N803,$M803-$Q803&lt;$O803)),1,0))</f>
        <v/>
      </c>
      <c r="AE803" s="14" t="str">
        <f aca="false">IF($D803&lt;&gt;1,"",IF(AND($G803="ROKS",$T803&gt;p_maxworkers),1,0))</f>
        <v/>
      </c>
      <c r="AF803" s="14" t="str">
        <f aca="false">IF($D803&lt;&gt;1,"",IF(INDEX(TblClusters[Environnement],$B803)="","(vide)",INDEX(TblClusters[Environnement],$B803)))</f>
        <v/>
      </c>
      <c r="AG803" s="14" t="str">
        <f aca="false">IF($D803&lt;&gt;1,"",$R803+p_poidsram*$S803)</f>
        <v/>
      </c>
      <c r="AH803" s="14" t="str">
        <f aca="false">IF($D803&lt;&gt;1,"",IFERROR($W803/$AG803,0))</f>
        <v/>
      </c>
      <c r="AI803" s="14" t="str">
        <f aca="false">IF($D803&lt;&gt;1,"",IF(AND($G803="IKS",ISNUMBER(INDEX(TblClusters[Fermeture retenue],$B803))),IF($E803&gt;=INDEX(TblClusters[Fermeture retenue],$B803),1,0),0))</f>
        <v/>
      </c>
    </row>
    <row r="804" customFormat="false" ht="15" hidden="false" customHeight="false" outlineLevel="0" collapsed="false">
      <c r="A804" s="14" t="n">
        <v>799</v>
      </c>
      <c r="B804" s="14" t="n">
        <f aca="false">INT(($A804-1)/36)+1</f>
        <v>23</v>
      </c>
      <c r="C804" s="14" t="n">
        <f aca="false">MOD($A804-1,36)+1</f>
        <v>7</v>
      </c>
      <c r="D804" s="14" t="n">
        <f aca="false">IF($C804&gt;p_horizon,0,IFERROR(IF(AND(INDEX(TblClusters[Cluster],$B804)&lt;&gt;"",ISNUMBER(INDEX(TblClusters[CPU initial (vCPU)],$B804)),ISNUMBER(INDEX(TblClusters[CPU min (vCPU)],$B804)),OR(INDEX(TblClusters[Plateforme],$B804)="IKS",INDEX(TblClusters[Plateforme],$B804)="ROKS")),1,0),0))</f>
        <v>0</v>
      </c>
      <c r="E804" s="83" t="str">
        <f aca="false">IF($D804=1,EDATE(p_debut,$C804-1),"")</f>
        <v/>
      </c>
      <c r="F804" s="14" t="str">
        <f aca="false">IF($D804=1,INDEX(TblClusters[Cluster],$B804),"")</f>
        <v/>
      </c>
      <c r="G804" s="14" t="str">
        <f aca="false">IF($D804=1,INDEX(TblClusters[Plateforme],$B804),"")</f>
        <v/>
      </c>
      <c r="H804" s="14" t="str">
        <f aca="false">IF($D804=1,INDEX(TblClusters[vCPU par nœud],$B804),"")</f>
        <v/>
      </c>
      <c r="I804" s="14" t="str">
        <f aca="false">IF($D804=1,INDEX(TblClusters[RAM par nœud (Go)],$B804),"")</f>
        <v/>
      </c>
      <c r="J804" s="14" t="str">
        <f aca="false">IF($D804=1,INDEX(TblClusters[Workers min],$B804),"")</f>
        <v/>
      </c>
      <c r="K804" s="84" t="str">
        <f aca="false">IF($D804=1,INDEX(TblClusters[Tarif par nœud],$B804),"")</f>
        <v/>
      </c>
      <c r="L804" s="14" t="str">
        <f aca="false">IF($D804=1,INDEX(TblClusters[CPU initial (vCPU)],$B804),"")</f>
        <v/>
      </c>
      <c r="M804" s="14" t="str">
        <f aca="false">IF($D804=1,INDEX(TblClusters[RAM initiale (Go)],$B804),"")</f>
        <v/>
      </c>
      <c r="N804" s="14" t="str">
        <f aca="false">IF($D804=1,INDEX(TblClusters[CPU min (vCPU)],$B804),"")</f>
        <v/>
      </c>
      <c r="O804" s="14" t="str">
        <f aca="false">IF($D804=1,INDEX(TblClusters[RAM min (Go)],$B804),"")</f>
        <v/>
      </c>
      <c r="P804" s="14" t="str">
        <f aca="false">IF($D804&lt;&gt;1,"",IF($G804="ROKS",SUMIFS(TblApplications[Besoin ROKS CPU (vCPU)],TblApplications[Cluster ROKS cible],$F804,TblApplications[Action],"À migrer",TblApplications[Déjà incluse ROKS],"Non",TblApplications[Mois prov (calc)],"&lt;="&amp;$E804),SUMIFS(TblApplications[CPU IKS libérable (vCPU)],TblApplications[Cluster IKS source],$F804,TblApplications[Mois lib (calc)],"&lt;="&amp;$E804)))</f>
        <v/>
      </c>
      <c r="Q804" s="14" t="str">
        <f aca="false">IF($D804&lt;&gt;1,"",IF($G804="ROKS",SUMIFS(TblApplications[Besoin ROKS RAM (Go)],TblApplications[Cluster ROKS cible],$F804,TblApplications[Action],"À migrer",TblApplications[Déjà incluse ROKS],"Non",TblApplications[Mois prov (calc)],"&lt;="&amp;$E804),SUMIFS(TblApplications[RAM IKS libérable (Go)],TblApplications[Cluster IKS source],$F804,TblApplications[Mois lib (calc)],"&lt;="&amp;$E804)))</f>
        <v/>
      </c>
      <c r="R804" s="14" t="str">
        <f aca="false">IF($D804&lt;&gt;1,"",IF($G804="ROKS",$L804+$P804,IF($AI804=1,0,MAX($N804,$L804-$P804))))</f>
        <v/>
      </c>
      <c r="S804" s="14" t="str">
        <f aca="false">IF($D804&lt;&gt;1,"",IF($G804="ROKS",$M804+$Q804,IF($AI804=1,0,MAX($O804,$M804-$Q804))))</f>
        <v/>
      </c>
      <c r="T804" s="14" t="str">
        <f aca="false">IF($D804&lt;&gt;1,"",IF($AI804=1,0,MAX($J804,ROUNDUP(MAX($R804/$H804,$S804/$I804),0))))</f>
        <v/>
      </c>
      <c r="U804" s="14" t="str">
        <f aca="false">IF($D804&lt;&gt;1,"",IF(p_mode="Nœud",$T804*$H804,$R804))</f>
        <v/>
      </c>
      <c r="V804" s="14" t="str">
        <f aca="false">IF($D804&lt;&gt;1,"",IF(p_mode="Nœud",$T804*$I804,$S804))</f>
        <v/>
      </c>
      <c r="W804" s="84" t="str">
        <f aca="false">IF($D804&lt;&gt;1,"",IF(p_mode="Nœud",$T804*$K804,$R804*IF($G804="IKS",p_iks_cpu,p_roks_cpu)+$S804*IF($G804="IKS",p_iks_ram,p_roks_ram))*p_facteur)</f>
        <v/>
      </c>
      <c r="X804" s="14" t="str">
        <f aca="false">IF($D804&lt;&gt;1,"",IF($G804="ROKS",$R804,IF($AI804=1,0,MAX($N804,$L804-SUMIFS(TblApplications[CPU IKS libérable (vCPU)],TblApplications[Cluster IKS source],$F804,TblApplications[Action],"À migrer",TblApplications[Mois prov (calc)],"&lt;="&amp;$E804)-SUMIFS(TblApplications[CPU IKS libérable (vCPU)],TblApplications[Cluster IKS source],$F804,TblApplications[Action],"À décommissionner",TblApplications[Mois lib (calc)],"&lt;="&amp;$E804)))))</f>
        <v/>
      </c>
      <c r="Y804" s="14" t="str">
        <f aca="false">IF($D804&lt;&gt;1,"",IF($G804="ROKS",$S804,IF($AI804=1,0,MAX($O804,$M804-SUMIFS(TblApplications[RAM IKS libérable (Go)],TblApplications[Cluster IKS source],$F804,TblApplications[Action],"À migrer",TblApplications[Mois prov (calc)],"&lt;="&amp;$E804)-SUMIFS(TblApplications[RAM IKS libérable (Go)],TblApplications[Cluster IKS source],$F804,TblApplications[Action],"À décommissionner",TblApplications[Mois lib (calc)],"&lt;="&amp;$E804)))))</f>
        <v/>
      </c>
      <c r="Z804" s="14" t="str">
        <f aca="false">IF($D804&lt;&gt;1,"",IF($AI804=1,0,MAX($J804,ROUNDUP(MAX($X804/$H804,$Y804/$I804),0))))</f>
        <v/>
      </c>
      <c r="AA804" s="84" t="str">
        <f aca="false">IF($D804&lt;&gt;1,"",IF(p_mode="Nœud",$Z804*$K804,$X804*IF($G804="IKS",p_iks_cpu,p_roks_cpu)+$Y804*IF($G804="IKS",p_iks_ram,p_roks_ram))*p_facteur)</f>
        <v/>
      </c>
      <c r="AB804" s="14" t="str">
        <f aca="false">IF($D804&lt;&gt;1,"",MAX($J804,ROUNDUP(MAX($L804/$H804,$M804/$I804),0)))</f>
        <v/>
      </c>
      <c r="AC804" s="84" t="str">
        <f aca="false">IF($D804&lt;&gt;1,"",IF(p_mode="Nœud",$AB804*$K804,$L804*IF($G804="IKS",p_iks_cpu,p_roks_cpu)+$M804*IF($G804="IKS",p_iks_ram,p_roks_ram))*p_facteur)</f>
        <v/>
      </c>
      <c r="AD804" s="14" t="str">
        <f aca="false">IF($D804&lt;&gt;1,"",IF(AND($G804="IKS",$AI804&lt;&gt;1,OR($L804-$P804&lt;$N804,$M804-$Q804&lt;$O804)),1,0))</f>
        <v/>
      </c>
      <c r="AE804" s="14" t="str">
        <f aca="false">IF($D804&lt;&gt;1,"",IF(AND($G804="ROKS",$T804&gt;p_maxworkers),1,0))</f>
        <v/>
      </c>
      <c r="AF804" s="14" t="str">
        <f aca="false">IF($D804&lt;&gt;1,"",IF(INDEX(TblClusters[Environnement],$B804)="","(vide)",INDEX(TblClusters[Environnement],$B804)))</f>
        <v/>
      </c>
      <c r="AG804" s="14" t="str">
        <f aca="false">IF($D804&lt;&gt;1,"",$R804+p_poidsram*$S804)</f>
        <v/>
      </c>
      <c r="AH804" s="14" t="str">
        <f aca="false">IF($D804&lt;&gt;1,"",IFERROR($W804/$AG804,0))</f>
        <v/>
      </c>
      <c r="AI804" s="14" t="str">
        <f aca="false">IF($D804&lt;&gt;1,"",IF(AND($G804="IKS",ISNUMBER(INDEX(TblClusters[Fermeture retenue],$B804))),IF($E804&gt;=INDEX(TblClusters[Fermeture retenue],$B804),1,0),0))</f>
        <v/>
      </c>
    </row>
    <row r="805" customFormat="false" ht="15" hidden="false" customHeight="false" outlineLevel="0" collapsed="false">
      <c r="A805" s="14" t="n">
        <v>800</v>
      </c>
      <c r="B805" s="14" t="n">
        <f aca="false">INT(($A805-1)/36)+1</f>
        <v>23</v>
      </c>
      <c r="C805" s="14" t="n">
        <f aca="false">MOD($A805-1,36)+1</f>
        <v>8</v>
      </c>
      <c r="D805" s="14" t="n">
        <f aca="false">IF($C805&gt;p_horizon,0,IFERROR(IF(AND(INDEX(TblClusters[Cluster],$B805)&lt;&gt;"",ISNUMBER(INDEX(TblClusters[CPU initial (vCPU)],$B805)),ISNUMBER(INDEX(TblClusters[CPU min (vCPU)],$B805)),OR(INDEX(TblClusters[Plateforme],$B805)="IKS",INDEX(TblClusters[Plateforme],$B805)="ROKS")),1,0),0))</f>
        <v>0</v>
      </c>
      <c r="E805" s="83" t="str">
        <f aca="false">IF($D805=1,EDATE(p_debut,$C805-1),"")</f>
        <v/>
      </c>
      <c r="F805" s="14" t="str">
        <f aca="false">IF($D805=1,INDEX(TblClusters[Cluster],$B805),"")</f>
        <v/>
      </c>
      <c r="G805" s="14" t="str">
        <f aca="false">IF($D805=1,INDEX(TblClusters[Plateforme],$B805),"")</f>
        <v/>
      </c>
      <c r="H805" s="14" t="str">
        <f aca="false">IF($D805=1,INDEX(TblClusters[vCPU par nœud],$B805),"")</f>
        <v/>
      </c>
      <c r="I805" s="14" t="str">
        <f aca="false">IF($D805=1,INDEX(TblClusters[RAM par nœud (Go)],$B805),"")</f>
        <v/>
      </c>
      <c r="J805" s="14" t="str">
        <f aca="false">IF($D805=1,INDEX(TblClusters[Workers min],$B805),"")</f>
        <v/>
      </c>
      <c r="K805" s="84" t="str">
        <f aca="false">IF($D805=1,INDEX(TblClusters[Tarif par nœud],$B805),"")</f>
        <v/>
      </c>
      <c r="L805" s="14" t="str">
        <f aca="false">IF($D805=1,INDEX(TblClusters[CPU initial (vCPU)],$B805),"")</f>
        <v/>
      </c>
      <c r="M805" s="14" t="str">
        <f aca="false">IF($D805=1,INDEX(TblClusters[RAM initiale (Go)],$B805),"")</f>
        <v/>
      </c>
      <c r="N805" s="14" t="str">
        <f aca="false">IF($D805=1,INDEX(TblClusters[CPU min (vCPU)],$B805),"")</f>
        <v/>
      </c>
      <c r="O805" s="14" t="str">
        <f aca="false">IF($D805=1,INDEX(TblClusters[RAM min (Go)],$B805),"")</f>
        <v/>
      </c>
      <c r="P805" s="14" t="str">
        <f aca="false">IF($D805&lt;&gt;1,"",IF($G805="ROKS",SUMIFS(TblApplications[Besoin ROKS CPU (vCPU)],TblApplications[Cluster ROKS cible],$F805,TblApplications[Action],"À migrer",TblApplications[Déjà incluse ROKS],"Non",TblApplications[Mois prov (calc)],"&lt;="&amp;$E805),SUMIFS(TblApplications[CPU IKS libérable (vCPU)],TblApplications[Cluster IKS source],$F805,TblApplications[Mois lib (calc)],"&lt;="&amp;$E805)))</f>
        <v/>
      </c>
      <c r="Q805" s="14" t="str">
        <f aca="false">IF($D805&lt;&gt;1,"",IF($G805="ROKS",SUMIFS(TblApplications[Besoin ROKS RAM (Go)],TblApplications[Cluster ROKS cible],$F805,TblApplications[Action],"À migrer",TblApplications[Déjà incluse ROKS],"Non",TblApplications[Mois prov (calc)],"&lt;="&amp;$E805),SUMIFS(TblApplications[RAM IKS libérable (Go)],TblApplications[Cluster IKS source],$F805,TblApplications[Mois lib (calc)],"&lt;="&amp;$E805)))</f>
        <v/>
      </c>
      <c r="R805" s="14" t="str">
        <f aca="false">IF($D805&lt;&gt;1,"",IF($G805="ROKS",$L805+$P805,IF($AI805=1,0,MAX($N805,$L805-$P805))))</f>
        <v/>
      </c>
      <c r="S805" s="14" t="str">
        <f aca="false">IF($D805&lt;&gt;1,"",IF($G805="ROKS",$M805+$Q805,IF($AI805=1,0,MAX($O805,$M805-$Q805))))</f>
        <v/>
      </c>
      <c r="T805" s="14" t="str">
        <f aca="false">IF($D805&lt;&gt;1,"",IF($AI805=1,0,MAX($J805,ROUNDUP(MAX($R805/$H805,$S805/$I805),0))))</f>
        <v/>
      </c>
      <c r="U805" s="14" t="str">
        <f aca="false">IF($D805&lt;&gt;1,"",IF(p_mode="Nœud",$T805*$H805,$R805))</f>
        <v/>
      </c>
      <c r="V805" s="14" t="str">
        <f aca="false">IF($D805&lt;&gt;1,"",IF(p_mode="Nœud",$T805*$I805,$S805))</f>
        <v/>
      </c>
      <c r="W805" s="84" t="str">
        <f aca="false">IF($D805&lt;&gt;1,"",IF(p_mode="Nœud",$T805*$K805,$R805*IF($G805="IKS",p_iks_cpu,p_roks_cpu)+$S805*IF($G805="IKS",p_iks_ram,p_roks_ram))*p_facteur)</f>
        <v/>
      </c>
      <c r="X805" s="14" t="str">
        <f aca="false">IF($D805&lt;&gt;1,"",IF($G805="ROKS",$R805,IF($AI805=1,0,MAX($N805,$L805-SUMIFS(TblApplications[CPU IKS libérable (vCPU)],TblApplications[Cluster IKS source],$F805,TblApplications[Action],"À migrer",TblApplications[Mois prov (calc)],"&lt;="&amp;$E805)-SUMIFS(TblApplications[CPU IKS libérable (vCPU)],TblApplications[Cluster IKS source],$F805,TblApplications[Action],"À décommissionner",TblApplications[Mois lib (calc)],"&lt;="&amp;$E805)))))</f>
        <v/>
      </c>
      <c r="Y805" s="14" t="str">
        <f aca="false">IF($D805&lt;&gt;1,"",IF($G805="ROKS",$S805,IF($AI805=1,0,MAX($O805,$M805-SUMIFS(TblApplications[RAM IKS libérable (Go)],TblApplications[Cluster IKS source],$F805,TblApplications[Action],"À migrer",TblApplications[Mois prov (calc)],"&lt;="&amp;$E805)-SUMIFS(TblApplications[RAM IKS libérable (Go)],TblApplications[Cluster IKS source],$F805,TblApplications[Action],"À décommissionner",TblApplications[Mois lib (calc)],"&lt;="&amp;$E805)))))</f>
        <v/>
      </c>
      <c r="Z805" s="14" t="str">
        <f aca="false">IF($D805&lt;&gt;1,"",IF($AI805=1,0,MAX($J805,ROUNDUP(MAX($X805/$H805,$Y805/$I805),0))))</f>
        <v/>
      </c>
      <c r="AA805" s="84" t="str">
        <f aca="false">IF($D805&lt;&gt;1,"",IF(p_mode="Nœud",$Z805*$K805,$X805*IF($G805="IKS",p_iks_cpu,p_roks_cpu)+$Y805*IF($G805="IKS",p_iks_ram,p_roks_ram))*p_facteur)</f>
        <v/>
      </c>
      <c r="AB805" s="14" t="str">
        <f aca="false">IF($D805&lt;&gt;1,"",MAX($J805,ROUNDUP(MAX($L805/$H805,$M805/$I805),0)))</f>
        <v/>
      </c>
      <c r="AC805" s="84" t="str">
        <f aca="false">IF($D805&lt;&gt;1,"",IF(p_mode="Nœud",$AB805*$K805,$L805*IF($G805="IKS",p_iks_cpu,p_roks_cpu)+$M805*IF($G805="IKS",p_iks_ram,p_roks_ram))*p_facteur)</f>
        <v/>
      </c>
      <c r="AD805" s="14" t="str">
        <f aca="false">IF($D805&lt;&gt;1,"",IF(AND($G805="IKS",$AI805&lt;&gt;1,OR($L805-$P805&lt;$N805,$M805-$Q805&lt;$O805)),1,0))</f>
        <v/>
      </c>
      <c r="AE805" s="14" t="str">
        <f aca="false">IF($D805&lt;&gt;1,"",IF(AND($G805="ROKS",$T805&gt;p_maxworkers),1,0))</f>
        <v/>
      </c>
      <c r="AF805" s="14" t="str">
        <f aca="false">IF($D805&lt;&gt;1,"",IF(INDEX(TblClusters[Environnement],$B805)="","(vide)",INDEX(TblClusters[Environnement],$B805)))</f>
        <v/>
      </c>
      <c r="AG805" s="14" t="str">
        <f aca="false">IF($D805&lt;&gt;1,"",$R805+p_poidsram*$S805)</f>
        <v/>
      </c>
      <c r="AH805" s="14" t="str">
        <f aca="false">IF($D805&lt;&gt;1,"",IFERROR($W805/$AG805,0))</f>
        <v/>
      </c>
      <c r="AI805" s="14" t="str">
        <f aca="false">IF($D805&lt;&gt;1,"",IF(AND($G805="IKS",ISNUMBER(INDEX(TblClusters[Fermeture retenue],$B805))),IF($E805&gt;=INDEX(TblClusters[Fermeture retenue],$B805),1,0),0))</f>
        <v/>
      </c>
    </row>
    <row r="806" customFormat="false" ht="15" hidden="false" customHeight="false" outlineLevel="0" collapsed="false">
      <c r="A806" s="14" t="n">
        <v>801</v>
      </c>
      <c r="B806" s="14" t="n">
        <f aca="false">INT(($A806-1)/36)+1</f>
        <v>23</v>
      </c>
      <c r="C806" s="14" t="n">
        <f aca="false">MOD($A806-1,36)+1</f>
        <v>9</v>
      </c>
      <c r="D806" s="14" t="n">
        <f aca="false">IF($C806&gt;p_horizon,0,IFERROR(IF(AND(INDEX(TblClusters[Cluster],$B806)&lt;&gt;"",ISNUMBER(INDEX(TblClusters[CPU initial (vCPU)],$B806)),ISNUMBER(INDEX(TblClusters[CPU min (vCPU)],$B806)),OR(INDEX(TblClusters[Plateforme],$B806)="IKS",INDEX(TblClusters[Plateforme],$B806)="ROKS")),1,0),0))</f>
        <v>0</v>
      </c>
      <c r="E806" s="83" t="str">
        <f aca="false">IF($D806=1,EDATE(p_debut,$C806-1),"")</f>
        <v/>
      </c>
      <c r="F806" s="14" t="str">
        <f aca="false">IF($D806=1,INDEX(TblClusters[Cluster],$B806),"")</f>
        <v/>
      </c>
      <c r="G806" s="14" t="str">
        <f aca="false">IF($D806=1,INDEX(TblClusters[Plateforme],$B806),"")</f>
        <v/>
      </c>
      <c r="H806" s="14" t="str">
        <f aca="false">IF($D806=1,INDEX(TblClusters[vCPU par nœud],$B806),"")</f>
        <v/>
      </c>
      <c r="I806" s="14" t="str">
        <f aca="false">IF($D806=1,INDEX(TblClusters[RAM par nœud (Go)],$B806),"")</f>
        <v/>
      </c>
      <c r="J806" s="14" t="str">
        <f aca="false">IF($D806=1,INDEX(TblClusters[Workers min],$B806),"")</f>
        <v/>
      </c>
      <c r="K806" s="84" t="str">
        <f aca="false">IF($D806=1,INDEX(TblClusters[Tarif par nœud],$B806),"")</f>
        <v/>
      </c>
      <c r="L806" s="14" t="str">
        <f aca="false">IF($D806=1,INDEX(TblClusters[CPU initial (vCPU)],$B806),"")</f>
        <v/>
      </c>
      <c r="M806" s="14" t="str">
        <f aca="false">IF($D806=1,INDEX(TblClusters[RAM initiale (Go)],$B806),"")</f>
        <v/>
      </c>
      <c r="N806" s="14" t="str">
        <f aca="false">IF($D806=1,INDEX(TblClusters[CPU min (vCPU)],$B806),"")</f>
        <v/>
      </c>
      <c r="O806" s="14" t="str">
        <f aca="false">IF($D806=1,INDEX(TblClusters[RAM min (Go)],$B806),"")</f>
        <v/>
      </c>
      <c r="P806" s="14" t="str">
        <f aca="false">IF($D806&lt;&gt;1,"",IF($G806="ROKS",SUMIFS(TblApplications[Besoin ROKS CPU (vCPU)],TblApplications[Cluster ROKS cible],$F806,TblApplications[Action],"À migrer",TblApplications[Déjà incluse ROKS],"Non",TblApplications[Mois prov (calc)],"&lt;="&amp;$E806),SUMIFS(TblApplications[CPU IKS libérable (vCPU)],TblApplications[Cluster IKS source],$F806,TblApplications[Mois lib (calc)],"&lt;="&amp;$E806)))</f>
        <v/>
      </c>
      <c r="Q806" s="14" t="str">
        <f aca="false">IF($D806&lt;&gt;1,"",IF($G806="ROKS",SUMIFS(TblApplications[Besoin ROKS RAM (Go)],TblApplications[Cluster ROKS cible],$F806,TblApplications[Action],"À migrer",TblApplications[Déjà incluse ROKS],"Non",TblApplications[Mois prov (calc)],"&lt;="&amp;$E806),SUMIFS(TblApplications[RAM IKS libérable (Go)],TblApplications[Cluster IKS source],$F806,TblApplications[Mois lib (calc)],"&lt;="&amp;$E806)))</f>
        <v/>
      </c>
      <c r="R806" s="14" t="str">
        <f aca="false">IF($D806&lt;&gt;1,"",IF($G806="ROKS",$L806+$P806,IF($AI806=1,0,MAX($N806,$L806-$P806))))</f>
        <v/>
      </c>
      <c r="S806" s="14" t="str">
        <f aca="false">IF($D806&lt;&gt;1,"",IF($G806="ROKS",$M806+$Q806,IF($AI806=1,0,MAX($O806,$M806-$Q806))))</f>
        <v/>
      </c>
      <c r="T806" s="14" t="str">
        <f aca="false">IF($D806&lt;&gt;1,"",IF($AI806=1,0,MAX($J806,ROUNDUP(MAX($R806/$H806,$S806/$I806),0))))</f>
        <v/>
      </c>
      <c r="U806" s="14" t="str">
        <f aca="false">IF($D806&lt;&gt;1,"",IF(p_mode="Nœud",$T806*$H806,$R806))</f>
        <v/>
      </c>
      <c r="V806" s="14" t="str">
        <f aca="false">IF($D806&lt;&gt;1,"",IF(p_mode="Nœud",$T806*$I806,$S806))</f>
        <v/>
      </c>
      <c r="W806" s="84" t="str">
        <f aca="false">IF($D806&lt;&gt;1,"",IF(p_mode="Nœud",$T806*$K806,$R806*IF($G806="IKS",p_iks_cpu,p_roks_cpu)+$S806*IF($G806="IKS",p_iks_ram,p_roks_ram))*p_facteur)</f>
        <v/>
      </c>
      <c r="X806" s="14" t="str">
        <f aca="false">IF($D806&lt;&gt;1,"",IF($G806="ROKS",$R806,IF($AI806=1,0,MAX($N806,$L806-SUMIFS(TblApplications[CPU IKS libérable (vCPU)],TblApplications[Cluster IKS source],$F806,TblApplications[Action],"À migrer",TblApplications[Mois prov (calc)],"&lt;="&amp;$E806)-SUMIFS(TblApplications[CPU IKS libérable (vCPU)],TblApplications[Cluster IKS source],$F806,TblApplications[Action],"À décommissionner",TblApplications[Mois lib (calc)],"&lt;="&amp;$E806)))))</f>
        <v/>
      </c>
      <c r="Y806" s="14" t="str">
        <f aca="false">IF($D806&lt;&gt;1,"",IF($G806="ROKS",$S806,IF($AI806=1,0,MAX($O806,$M806-SUMIFS(TblApplications[RAM IKS libérable (Go)],TblApplications[Cluster IKS source],$F806,TblApplications[Action],"À migrer",TblApplications[Mois prov (calc)],"&lt;="&amp;$E806)-SUMIFS(TblApplications[RAM IKS libérable (Go)],TblApplications[Cluster IKS source],$F806,TblApplications[Action],"À décommissionner",TblApplications[Mois lib (calc)],"&lt;="&amp;$E806)))))</f>
        <v/>
      </c>
      <c r="Z806" s="14" t="str">
        <f aca="false">IF($D806&lt;&gt;1,"",IF($AI806=1,0,MAX($J806,ROUNDUP(MAX($X806/$H806,$Y806/$I806),0))))</f>
        <v/>
      </c>
      <c r="AA806" s="84" t="str">
        <f aca="false">IF($D806&lt;&gt;1,"",IF(p_mode="Nœud",$Z806*$K806,$X806*IF($G806="IKS",p_iks_cpu,p_roks_cpu)+$Y806*IF($G806="IKS",p_iks_ram,p_roks_ram))*p_facteur)</f>
        <v/>
      </c>
      <c r="AB806" s="14" t="str">
        <f aca="false">IF($D806&lt;&gt;1,"",MAX($J806,ROUNDUP(MAX($L806/$H806,$M806/$I806),0)))</f>
        <v/>
      </c>
      <c r="AC806" s="84" t="str">
        <f aca="false">IF($D806&lt;&gt;1,"",IF(p_mode="Nœud",$AB806*$K806,$L806*IF($G806="IKS",p_iks_cpu,p_roks_cpu)+$M806*IF($G806="IKS",p_iks_ram,p_roks_ram))*p_facteur)</f>
        <v/>
      </c>
      <c r="AD806" s="14" t="str">
        <f aca="false">IF($D806&lt;&gt;1,"",IF(AND($G806="IKS",$AI806&lt;&gt;1,OR($L806-$P806&lt;$N806,$M806-$Q806&lt;$O806)),1,0))</f>
        <v/>
      </c>
      <c r="AE806" s="14" t="str">
        <f aca="false">IF($D806&lt;&gt;1,"",IF(AND($G806="ROKS",$T806&gt;p_maxworkers),1,0))</f>
        <v/>
      </c>
      <c r="AF806" s="14" t="str">
        <f aca="false">IF($D806&lt;&gt;1,"",IF(INDEX(TblClusters[Environnement],$B806)="","(vide)",INDEX(TblClusters[Environnement],$B806)))</f>
        <v/>
      </c>
      <c r="AG806" s="14" t="str">
        <f aca="false">IF($D806&lt;&gt;1,"",$R806+p_poidsram*$S806)</f>
        <v/>
      </c>
      <c r="AH806" s="14" t="str">
        <f aca="false">IF($D806&lt;&gt;1,"",IFERROR($W806/$AG806,0))</f>
        <v/>
      </c>
      <c r="AI806" s="14" t="str">
        <f aca="false">IF($D806&lt;&gt;1,"",IF(AND($G806="IKS",ISNUMBER(INDEX(TblClusters[Fermeture retenue],$B806))),IF($E806&gt;=INDEX(TblClusters[Fermeture retenue],$B806),1,0),0))</f>
        <v/>
      </c>
    </row>
    <row r="807" customFormat="false" ht="15" hidden="false" customHeight="false" outlineLevel="0" collapsed="false">
      <c r="A807" s="14" t="n">
        <v>802</v>
      </c>
      <c r="B807" s="14" t="n">
        <f aca="false">INT(($A807-1)/36)+1</f>
        <v>23</v>
      </c>
      <c r="C807" s="14" t="n">
        <f aca="false">MOD($A807-1,36)+1</f>
        <v>10</v>
      </c>
      <c r="D807" s="14" t="n">
        <f aca="false">IF($C807&gt;p_horizon,0,IFERROR(IF(AND(INDEX(TblClusters[Cluster],$B807)&lt;&gt;"",ISNUMBER(INDEX(TblClusters[CPU initial (vCPU)],$B807)),ISNUMBER(INDEX(TblClusters[CPU min (vCPU)],$B807)),OR(INDEX(TblClusters[Plateforme],$B807)="IKS",INDEX(TblClusters[Plateforme],$B807)="ROKS")),1,0),0))</f>
        <v>0</v>
      </c>
      <c r="E807" s="83" t="str">
        <f aca="false">IF($D807=1,EDATE(p_debut,$C807-1),"")</f>
        <v/>
      </c>
      <c r="F807" s="14" t="str">
        <f aca="false">IF($D807=1,INDEX(TblClusters[Cluster],$B807),"")</f>
        <v/>
      </c>
      <c r="G807" s="14" t="str">
        <f aca="false">IF($D807=1,INDEX(TblClusters[Plateforme],$B807),"")</f>
        <v/>
      </c>
      <c r="H807" s="14" t="str">
        <f aca="false">IF($D807=1,INDEX(TblClusters[vCPU par nœud],$B807),"")</f>
        <v/>
      </c>
      <c r="I807" s="14" t="str">
        <f aca="false">IF($D807=1,INDEX(TblClusters[RAM par nœud (Go)],$B807),"")</f>
        <v/>
      </c>
      <c r="J807" s="14" t="str">
        <f aca="false">IF($D807=1,INDEX(TblClusters[Workers min],$B807),"")</f>
        <v/>
      </c>
      <c r="K807" s="84" t="str">
        <f aca="false">IF($D807=1,INDEX(TblClusters[Tarif par nœud],$B807),"")</f>
        <v/>
      </c>
      <c r="L807" s="14" t="str">
        <f aca="false">IF($D807=1,INDEX(TblClusters[CPU initial (vCPU)],$B807),"")</f>
        <v/>
      </c>
      <c r="M807" s="14" t="str">
        <f aca="false">IF($D807=1,INDEX(TblClusters[RAM initiale (Go)],$B807),"")</f>
        <v/>
      </c>
      <c r="N807" s="14" t="str">
        <f aca="false">IF($D807=1,INDEX(TblClusters[CPU min (vCPU)],$B807),"")</f>
        <v/>
      </c>
      <c r="O807" s="14" t="str">
        <f aca="false">IF($D807=1,INDEX(TblClusters[RAM min (Go)],$B807),"")</f>
        <v/>
      </c>
      <c r="P807" s="14" t="str">
        <f aca="false">IF($D807&lt;&gt;1,"",IF($G807="ROKS",SUMIFS(TblApplications[Besoin ROKS CPU (vCPU)],TblApplications[Cluster ROKS cible],$F807,TblApplications[Action],"À migrer",TblApplications[Déjà incluse ROKS],"Non",TblApplications[Mois prov (calc)],"&lt;="&amp;$E807),SUMIFS(TblApplications[CPU IKS libérable (vCPU)],TblApplications[Cluster IKS source],$F807,TblApplications[Mois lib (calc)],"&lt;="&amp;$E807)))</f>
        <v/>
      </c>
      <c r="Q807" s="14" t="str">
        <f aca="false">IF($D807&lt;&gt;1,"",IF($G807="ROKS",SUMIFS(TblApplications[Besoin ROKS RAM (Go)],TblApplications[Cluster ROKS cible],$F807,TblApplications[Action],"À migrer",TblApplications[Déjà incluse ROKS],"Non",TblApplications[Mois prov (calc)],"&lt;="&amp;$E807),SUMIFS(TblApplications[RAM IKS libérable (Go)],TblApplications[Cluster IKS source],$F807,TblApplications[Mois lib (calc)],"&lt;="&amp;$E807)))</f>
        <v/>
      </c>
      <c r="R807" s="14" t="str">
        <f aca="false">IF($D807&lt;&gt;1,"",IF($G807="ROKS",$L807+$P807,IF($AI807=1,0,MAX($N807,$L807-$P807))))</f>
        <v/>
      </c>
      <c r="S807" s="14" t="str">
        <f aca="false">IF($D807&lt;&gt;1,"",IF($G807="ROKS",$M807+$Q807,IF($AI807=1,0,MAX($O807,$M807-$Q807))))</f>
        <v/>
      </c>
      <c r="T807" s="14" t="str">
        <f aca="false">IF($D807&lt;&gt;1,"",IF($AI807=1,0,MAX($J807,ROUNDUP(MAX($R807/$H807,$S807/$I807),0))))</f>
        <v/>
      </c>
      <c r="U807" s="14" t="str">
        <f aca="false">IF($D807&lt;&gt;1,"",IF(p_mode="Nœud",$T807*$H807,$R807))</f>
        <v/>
      </c>
      <c r="V807" s="14" t="str">
        <f aca="false">IF($D807&lt;&gt;1,"",IF(p_mode="Nœud",$T807*$I807,$S807))</f>
        <v/>
      </c>
      <c r="W807" s="84" t="str">
        <f aca="false">IF($D807&lt;&gt;1,"",IF(p_mode="Nœud",$T807*$K807,$R807*IF($G807="IKS",p_iks_cpu,p_roks_cpu)+$S807*IF($G807="IKS",p_iks_ram,p_roks_ram))*p_facteur)</f>
        <v/>
      </c>
      <c r="X807" s="14" t="str">
        <f aca="false">IF($D807&lt;&gt;1,"",IF($G807="ROKS",$R807,IF($AI807=1,0,MAX($N807,$L807-SUMIFS(TblApplications[CPU IKS libérable (vCPU)],TblApplications[Cluster IKS source],$F807,TblApplications[Action],"À migrer",TblApplications[Mois prov (calc)],"&lt;="&amp;$E807)-SUMIFS(TblApplications[CPU IKS libérable (vCPU)],TblApplications[Cluster IKS source],$F807,TblApplications[Action],"À décommissionner",TblApplications[Mois lib (calc)],"&lt;="&amp;$E807)))))</f>
        <v/>
      </c>
      <c r="Y807" s="14" t="str">
        <f aca="false">IF($D807&lt;&gt;1,"",IF($G807="ROKS",$S807,IF($AI807=1,0,MAX($O807,$M807-SUMIFS(TblApplications[RAM IKS libérable (Go)],TblApplications[Cluster IKS source],$F807,TblApplications[Action],"À migrer",TblApplications[Mois prov (calc)],"&lt;="&amp;$E807)-SUMIFS(TblApplications[RAM IKS libérable (Go)],TblApplications[Cluster IKS source],$F807,TblApplications[Action],"À décommissionner",TblApplications[Mois lib (calc)],"&lt;="&amp;$E807)))))</f>
        <v/>
      </c>
      <c r="Z807" s="14" t="str">
        <f aca="false">IF($D807&lt;&gt;1,"",IF($AI807=1,0,MAX($J807,ROUNDUP(MAX($X807/$H807,$Y807/$I807),0))))</f>
        <v/>
      </c>
      <c r="AA807" s="84" t="str">
        <f aca="false">IF($D807&lt;&gt;1,"",IF(p_mode="Nœud",$Z807*$K807,$X807*IF($G807="IKS",p_iks_cpu,p_roks_cpu)+$Y807*IF($G807="IKS",p_iks_ram,p_roks_ram))*p_facteur)</f>
        <v/>
      </c>
      <c r="AB807" s="14" t="str">
        <f aca="false">IF($D807&lt;&gt;1,"",MAX($J807,ROUNDUP(MAX($L807/$H807,$M807/$I807),0)))</f>
        <v/>
      </c>
      <c r="AC807" s="84" t="str">
        <f aca="false">IF($D807&lt;&gt;1,"",IF(p_mode="Nœud",$AB807*$K807,$L807*IF($G807="IKS",p_iks_cpu,p_roks_cpu)+$M807*IF($G807="IKS",p_iks_ram,p_roks_ram))*p_facteur)</f>
        <v/>
      </c>
      <c r="AD807" s="14" t="str">
        <f aca="false">IF($D807&lt;&gt;1,"",IF(AND($G807="IKS",$AI807&lt;&gt;1,OR($L807-$P807&lt;$N807,$M807-$Q807&lt;$O807)),1,0))</f>
        <v/>
      </c>
      <c r="AE807" s="14" t="str">
        <f aca="false">IF($D807&lt;&gt;1,"",IF(AND($G807="ROKS",$T807&gt;p_maxworkers),1,0))</f>
        <v/>
      </c>
      <c r="AF807" s="14" t="str">
        <f aca="false">IF($D807&lt;&gt;1,"",IF(INDEX(TblClusters[Environnement],$B807)="","(vide)",INDEX(TblClusters[Environnement],$B807)))</f>
        <v/>
      </c>
      <c r="AG807" s="14" t="str">
        <f aca="false">IF($D807&lt;&gt;1,"",$R807+p_poidsram*$S807)</f>
        <v/>
      </c>
      <c r="AH807" s="14" t="str">
        <f aca="false">IF($D807&lt;&gt;1,"",IFERROR($W807/$AG807,0))</f>
        <v/>
      </c>
      <c r="AI807" s="14" t="str">
        <f aca="false">IF($D807&lt;&gt;1,"",IF(AND($G807="IKS",ISNUMBER(INDEX(TblClusters[Fermeture retenue],$B807))),IF($E807&gt;=INDEX(TblClusters[Fermeture retenue],$B807),1,0),0))</f>
        <v/>
      </c>
    </row>
    <row r="808" customFormat="false" ht="15" hidden="false" customHeight="false" outlineLevel="0" collapsed="false">
      <c r="A808" s="14" t="n">
        <v>803</v>
      </c>
      <c r="B808" s="14" t="n">
        <f aca="false">INT(($A808-1)/36)+1</f>
        <v>23</v>
      </c>
      <c r="C808" s="14" t="n">
        <f aca="false">MOD($A808-1,36)+1</f>
        <v>11</v>
      </c>
      <c r="D808" s="14" t="n">
        <f aca="false">IF($C808&gt;p_horizon,0,IFERROR(IF(AND(INDEX(TblClusters[Cluster],$B808)&lt;&gt;"",ISNUMBER(INDEX(TblClusters[CPU initial (vCPU)],$B808)),ISNUMBER(INDEX(TblClusters[CPU min (vCPU)],$B808)),OR(INDEX(TblClusters[Plateforme],$B808)="IKS",INDEX(TblClusters[Plateforme],$B808)="ROKS")),1,0),0))</f>
        <v>0</v>
      </c>
      <c r="E808" s="83" t="str">
        <f aca="false">IF($D808=1,EDATE(p_debut,$C808-1),"")</f>
        <v/>
      </c>
      <c r="F808" s="14" t="str">
        <f aca="false">IF($D808=1,INDEX(TblClusters[Cluster],$B808),"")</f>
        <v/>
      </c>
      <c r="G808" s="14" t="str">
        <f aca="false">IF($D808=1,INDEX(TblClusters[Plateforme],$B808),"")</f>
        <v/>
      </c>
      <c r="H808" s="14" t="str">
        <f aca="false">IF($D808=1,INDEX(TblClusters[vCPU par nœud],$B808),"")</f>
        <v/>
      </c>
      <c r="I808" s="14" t="str">
        <f aca="false">IF($D808=1,INDEX(TblClusters[RAM par nœud (Go)],$B808),"")</f>
        <v/>
      </c>
      <c r="J808" s="14" t="str">
        <f aca="false">IF($D808=1,INDEX(TblClusters[Workers min],$B808),"")</f>
        <v/>
      </c>
      <c r="K808" s="84" t="str">
        <f aca="false">IF($D808=1,INDEX(TblClusters[Tarif par nœud],$B808),"")</f>
        <v/>
      </c>
      <c r="L808" s="14" t="str">
        <f aca="false">IF($D808=1,INDEX(TblClusters[CPU initial (vCPU)],$B808),"")</f>
        <v/>
      </c>
      <c r="M808" s="14" t="str">
        <f aca="false">IF($D808=1,INDEX(TblClusters[RAM initiale (Go)],$B808),"")</f>
        <v/>
      </c>
      <c r="N808" s="14" t="str">
        <f aca="false">IF($D808=1,INDEX(TblClusters[CPU min (vCPU)],$B808),"")</f>
        <v/>
      </c>
      <c r="O808" s="14" t="str">
        <f aca="false">IF($D808=1,INDEX(TblClusters[RAM min (Go)],$B808),"")</f>
        <v/>
      </c>
      <c r="P808" s="14" t="str">
        <f aca="false">IF($D808&lt;&gt;1,"",IF($G808="ROKS",SUMIFS(TblApplications[Besoin ROKS CPU (vCPU)],TblApplications[Cluster ROKS cible],$F808,TblApplications[Action],"À migrer",TblApplications[Déjà incluse ROKS],"Non",TblApplications[Mois prov (calc)],"&lt;="&amp;$E808),SUMIFS(TblApplications[CPU IKS libérable (vCPU)],TblApplications[Cluster IKS source],$F808,TblApplications[Mois lib (calc)],"&lt;="&amp;$E808)))</f>
        <v/>
      </c>
      <c r="Q808" s="14" t="str">
        <f aca="false">IF($D808&lt;&gt;1,"",IF($G808="ROKS",SUMIFS(TblApplications[Besoin ROKS RAM (Go)],TblApplications[Cluster ROKS cible],$F808,TblApplications[Action],"À migrer",TblApplications[Déjà incluse ROKS],"Non",TblApplications[Mois prov (calc)],"&lt;="&amp;$E808),SUMIFS(TblApplications[RAM IKS libérable (Go)],TblApplications[Cluster IKS source],$F808,TblApplications[Mois lib (calc)],"&lt;="&amp;$E808)))</f>
        <v/>
      </c>
      <c r="R808" s="14" t="str">
        <f aca="false">IF($D808&lt;&gt;1,"",IF($G808="ROKS",$L808+$P808,IF($AI808=1,0,MAX($N808,$L808-$P808))))</f>
        <v/>
      </c>
      <c r="S808" s="14" t="str">
        <f aca="false">IF($D808&lt;&gt;1,"",IF($G808="ROKS",$M808+$Q808,IF($AI808=1,0,MAX($O808,$M808-$Q808))))</f>
        <v/>
      </c>
      <c r="T808" s="14" t="str">
        <f aca="false">IF($D808&lt;&gt;1,"",IF($AI808=1,0,MAX($J808,ROUNDUP(MAX($R808/$H808,$S808/$I808),0))))</f>
        <v/>
      </c>
      <c r="U808" s="14" t="str">
        <f aca="false">IF($D808&lt;&gt;1,"",IF(p_mode="Nœud",$T808*$H808,$R808))</f>
        <v/>
      </c>
      <c r="V808" s="14" t="str">
        <f aca="false">IF($D808&lt;&gt;1,"",IF(p_mode="Nœud",$T808*$I808,$S808))</f>
        <v/>
      </c>
      <c r="W808" s="84" t="str">
        <f aca="false">IF($D808&lt;&gt;1,"",IF(p_mode="Nœud",$T808*$K808,$R808*IF($G808="IKS",p_iks_cpu,p_roks_cpu)+$S808*IF($G808="IKS",p_iks_ram,p_roks_ram))*p_facteur)</f>
        <v/>
      </c>
      <c r="X808" s="14" t="str">
        <f aca="false">IF($D808&lt;&gt;1,"",IF($G808="ROKS",$R808,IF($AI808=1,0,MAX($N808,$L808-SUMIFS(TblApplications[CPU IKS libérable (vCPU)],TblApplications[Cluster IKS source],$F808,TblApplications[Action],"À migrer",TblApplications[Mois prov (calc)],"&lt;="&amp;$E808)-SUMIFS(TblApplications[CPU IKS libérable (vCPU)],TblApplications[Cluster IKS source],$F808,TblApplications[Action],"À décommissionner",TblApplications[Mois lib (calc)],"&lt;="&amp;$E808)))))</f>
        <v/>
      </c>
      <c r="Y808" s="14" t="str">
        <f aca="false">IF($D808&lt;&gt;1,"",IF($G808="ROKS",$S808,IF($AI808=1,0,MAX($O808,$M808-SUMIFS(TblApplications[RAM IKS libérable (Go)],TblApplications[Cluster IKS source],$F808,TblApplications[Action],"À migrer",TblApplications[Mois prov (calc)],"&lt;="&amp;$E808)-SUMIFS(TblApplications[RAM IKS libérable (Go)],TblApplications[Cluster IKS source],$F808,TblApplications[Action],"À décommissionner",TblApplications[Mois lib (calc)],"&lt;="&amp;$E808)))))</f>
        <v/>
      </c>
      <c r="Z808" s="14" t="str">
        <f aca="false">IF($D808&lt;&gt;1,"",IF($AI808=1,0,MAX($J808,ROUNDUP(MAX($X808/$H808,$Y808/$I808),0))))</f>
        <v/>
      </c>
      <c r="AA808" s="84" t="str">
        <f aca="false">IF($D808&lt;&gt;1,"",IF(p_mode="Nœud",$Z808*$K808,$X808*IF($G808="IKS",p_iks_cpu,p_roks_cpu)+$Y808*IF($G808="IKS",p_iks_ram,p_roks_ram))*p_facteur)</f>
        <v/>
      </c>
      <c r="AB808" s="14" t="str">
        <f aca="false">IF($D808&lt;&gt;1,"",MAX($J808,ROUNDUP(MAX($L808/$H808,$M808/$I808),0)))</f>
        <v/>
      </c>
      <c r="AC808" s="84" t="str">
        <f aca="false">IF($D808&lt;&gt;1,"",IF(p_mode="Nœud",$AB808*$K808,$L808*IF($G808="IKS",p_iks_cpu,p_roks_cpu)+$M808*IF($G808="IKS",p_iks_ram,p_roks_ram))*p_facteur)</f>
        <v/>
      </c>
      <c r="AD808" s="14" t="str">
        <f aca="false">IF($D808&lt;&gt;1,"",IF(AND($G808="IKS",$AI808&lt;&gt;1,OR($L808-$P808&lt;$N808,$M808-$Q808&lt;$O808)),1,0))</f>
        <v/>
      </c>
      <c r="AE808" s="14" t="str">
        <f aca="false">IF($D808&lt;&gt;1,"",IF(AND($G808="ROKS",$T808&gt;p_maxworkers),1,0))</f>
        <v/>
      </c>
      <c r="AF808" s="14" t="str">
        <f aca="false">IF($D808&lt;&gt;1,"",IF(INDEX(TblClusters[Environnement],$B808)="","(vide)",INDEX(TblClusters[Environnement],$B808)))</f>
        <v/>
      </c>
      <c r="AG808" s="14" t="str">
        <f aca="false">IF($D808&lt;&gt;1,"",$R808+p_poidsram*$S808)</f>
        <v/>
      </c>
      <c r="AH808" s="14" t="str">
        <f aca="false">IF($D808&lt;&gt;1,"",IFERROR($W808/$AG808,0))</f>
        <v/>
      </c>
      <c r="AI808" s="14" t="str">
        <f aca="false">IF($D808&lt;&gt;1,"",IF(AND($G808="IKS",ISNUMBER(INDEX(TblClusters[Fermeture retenue],$B808))),IF($E808&gt;=INDEX(TblClusters[Fermeture retenue],$B808),1,0),0))</f>
        <v/>
      </c>
    </row>
    <row r="809" customFormat="false" ht="15" hidden="false" customHeight="false" outlineLevel="0" collapsed="false">
      <c r="A809" s="14" t="n">
        <v>804</v>
      </c>
      <c r="B809" s="14" t="n">
        <f aca="false">INT(($A809-1)/36)+1</f>
        <v>23</v>
      </c>
      <c r="C809" s="14" t="n">
        <f aca="false">MOD($A809-1,36)+1</f>
        <v>12</v>
      </c>
      <c r="D809" s="14" t="n">
        <f aca="false">IF($C809&gt;p_horizon,0,IFERROR(IF(AND(INDEX(TblClusters[Cluster],$B809)&lt;&gt;"",ISNUMBER(INDEX(TblClusters[CPU initial (vCPU)],$B809)),ISNUMBER(INDEX(TblClusters[CPU min (vCPU)],$B809)),OR(INDEX(TblClusters[Plateforme],$B809)="IKS",INDEX(TblClusters[Plateforme],$B809)="ROKS")),1,0),0))</f>
        <v>0</v>
      </c>
      <c r="E809" s="83" t="str">
        <f aca="false">IF($D809=1,EDATE(p_debut,$C809-1),"")</f>
        <v/>
      </c>
      <c r="F809" s="14" t="str">
        <f aca="false">IF($D809=1,INDEX(TblClusters[Cluster],$B809),"")</f>
        <v/>
      </c>
      <c r="G809" s="14" t="str">
        <f aca="false">IF($D809=1,INDEX(TblClusters[Plateforme],$B809),"")</f>
        <v/>
      </c>
      <c r="H809" s="14" t="str">
        <f aca="false">IF($D809=1,INDEX(TblClusters[vCPU par nœud],$B809),"")</f>
        <v/>
      </c>
      <c r="I809" s="14" t="str">
        <f aca="false">IF($D809=1,INDEX(TblClusters[RAM par nœud (Go)],$B809),"")</f>
        <v/>
      </c>
      <c r="J809" s="14" t="str">
        <f aca="false">IF($D809=1,INDEX(TblClusters[Workers min],$B809),"")</f>
        <v/>
      </c>
      <c r="K809" s="84" t="str">
        <f aca="false">IF($D809=1,INDEX(TblClusters[Tarif par nœud],$B809),"")</f>
        <v/>
      </c>
      <c r="L809" s="14" t="str">
        <f aca="false">IF($D809=1,INDEX(TblClusters[CPU initial (vCPU)],$B809),"")</f>
        <v/>
      </c>
      <c r="M809" s="14" t="str">
        <f aca="false">IF($D809=1,INDEX(TblClusters[RAM initiale (Go)],$B809),"")</f>
        <v/>
      </c>
      <c r="N809" s="14" t="str">
        <f aca="false">IF($D809=1,INDEX(TblClusters[CPU min (vCPU)],$B809),"")</f>
        <v/>
      </c>
      <c r="O809" s="14" t="str">
        <f aca="false">IF($D809=1,INDEX(TblClusters[RAM min (Go)],$B809),"")</f>
        <v/>
      </c>
      <c r="P809" s="14" t="str">
        <f aca="false">IF($D809&lt;&gt;1,"",IF($G809="ROKS",SUMIFS(TblApplications[Besoin ROKS CPU (vCPU)],TblApplications[Cluster ROKS cible],$F809,TblApplications[Action],"À migrer",TblApplications[Déjà incluse ROKS],"Non",TblApplications[Mois prov (calc)],"&lt;="&amp;$E809),SUMIFS(TblApplications[CPU IKS libérable (vCPU)],TblApplications[Cluster IKS source],$F809,TblApplications[Mois lib (calc)],"&lt;="&amp;$E809)))</f>
        <v/>
      </c>
      <c r="Q809" s="14" t="str">
        <f aca="false">IF($D809&lt;&gt;1,"",IF($G809="ROKS",SUMIFS(TblApplications[Besoin ROKS RAM (Go)],TblApplications[Cluster ROKS cible],$F809,TblApplications[Action],"À migrer",TblApplications[Déjà incluse ROKS],"Non",TblApplications[Mois prov (calc)],"&lt;="&amp;$E809),SUMIFS(TblApplications[RAM IKS libérable (Go)],TblApplications[Cluster IKS source],$F809,TblApplications[Mois lib (calc)],"&lt;="&amp;$E809)))</f>
        <v/>
      </c>
      <c r="R809" s="14" t="str">
        <f aca="false">IF($D809&lt;&gt;1,"",IF($G809="ROKS",$L809+$P809,IF($AI809=1,0,MAX($N809,$L809-$P809))))</f>
        <v/>
      </c>
      <c r="S809" s="14" t="str">
        <f aca="false">IF($D809&lt;&gt;1,"",IF($G809="ROKS",$M809+$Q809,IF($AI809=1,0,MAX($O809,$M809-$Q809))))</f>
        <v/>
      </c>
      <c r="T809" s="14" t="str">
        <f aca="false">IF($D809&lt;&gt;1,"",IF($AI809=1,0,MAX($J809,ROUNDUP(MAX($R809/$H809,$S809/$I809),0))))</f>
        <v/>
      </c>
      <c r="U809" s="14" t="str">
        <f aca="false">IF($D809&lt;&gt;1,"",IF(p_mode="Nœud",$T809*$H809,$R809))</f>
        <v/>
      </c>
      <c r="V809" s="14" t="str">
        <f aca="false">IF($D809&lt;&gt;1,"",IF(p_mode="Nœud",$T809*$I809,$S809))</f>
        <v/>
      </c>
      <c r="W809" s="84" t="str">
        <f aca="false">IF($D809&lt;&gt;1,"",IF(p_mode="Nœud",$T809*$K809,$R809*IF($G809="IKS",p_iks_cpu,p_roks_cpu)+$S809*IF($G809="IKS",p_iks_ram,p_roks_ram))*p_facteur)</f>
        <v/>
      </c>
      <c r="X809" s="14" t="str">
        <f aca="false">IF($D809&lt;&gt;1,"",IF($G809="ROKS",$R809,IF($AI809=1,0,MAX($N809,$L809-SUMIFS(TblApplications[CPU IKS libérable (vCPU)],TblApplications[Cluster IKS source],$F809,TblApplications[Action],"À migrer",TblApplications[Mois prov (calc)],"&lt;="&amp;$E809)-SUMIFS(TblApplications[CPU IKS libérable (vCPU)],TblApplications[Cluster IKS source],$F809,TblApplications[Action],"À décommissionner",TblApplications[Mois lib (calc)],"&lt;="&amp;$E809)))))</f>
        <v/>
      </c>
      <c r="Y809" s="14" t="str">
        <f aca="false">IF($D809&lt;&gt;1,"",IF($G809="ROKS",$S809,IF($AI809=1,0,MAX($O809,$M809-SUMIFS(TblApplications[RAM IKS libérable (Go)],TblApplications[Cluster IKS source],$F809,TblApplications[Action],"À migrer",TblApplications[Mois prov (calc)],"&lt;="&amp;$E809)-SUMIFS(TblApplications[RAM IKS libérable (Go)],TblApplications[Cluster IKS source],$F809,TblApplications[Action],"À décommissionner",TblApplications[Mois lib (calc)],"&lt;="&amp;$E809)))))</f>
        <v/>
      </c>
      <c r="Z809" s="14" t="str">
        <f aca="false">IF($D809&lt;&gt;1,"",IF($AI809=1,0,MAX($J809,ROUNDUP(MAX($X809/$H809,$Y809/$I809),0))))</f>
        <v/>
      </c>
      <c r="AA809" s="84" t="str">
        <f aca="false">IF($D809&lt;&gt;1,"",IF(p_mode="Nœud",$Z809*$K809,$X809*IF($G809="IKS",p_iks_cpu,p_roks_cpu)+$Y809*IF($G809="IKS",p_iks_ram,p_roks_ram))*p_facteur)</f>
        <v/>
      </c>
      <c r="AB809" s="14" t="str">
        <f aca="false">IF($D809&lt;&gt;1,"",MAX($J809,ROUNDUP(MAX($L809/$H809,$M809/$I809),0)))</f>
        <v/>
      </c>
      <c r="AC809" s="84" t="str">
        <f aca="false">IF($D809&lt;&gt;1,"",IF(p_mode="Nœud",$AB809*$K809,$L809*IF($G809="IKS",p_iks_cpu,p_roks_cpu)+$M809*IF($G809="IKS",p_iks_ram,p_roks_ram))*p_facteur)</f>
        <v/>
      </c>
      <c r="AD809" s="14" t="str">
        <f aca="false">IF($D809&lt;&gt;1,"",IF(AND($G809="IKS",$AI809&lt;&gt;1,OR($L809-$P809&lt;$N809,$M809-$Q809&lt;$O809)),1,0))</f>
        <v/>
      </c>
      <c r="AE809" s="14" t="str">
        <f aca="false">IF($D809&lt;&gt;1,"",IF(AND($G809="ROKS",$T809&gt;p_maxworkers),1,0))</f>
        <v/>
      </c>
      <c r="AF809" s="14" t="str">
        <f aca="false">IF($D809&lt;&gt;1,"",IF(INDEX(TblClusters[Environnement],$B809)="","(vide)",INDEX(TblClusters[Environnement],$B809)))</f>
        <v/>
      </c>
      <c r="AG809" s="14" t="str">
        <f aca="false">IF($D809&lt;&gt;1,"",$R809+p_poidsram*$S809)</f>
        <v/>
      </c>
      <c r="AH809" s="14" t="str">
        <f aca="false">IF($D809&lt;&gt;1,"",IFERROR($W809/$AG809,0))</f>
        <v/>
      </c>
      <c r="AI809" s="14" t="str">
        <f aca="false">IF($D809&lt;&gt;1,"",IF(AND($G809="IKS",ISNUMBER(INDEX(TblClusters[Fermeture retenue],$B809))),IF($E809&gt;=INDEX(TblClusters[Fermeture retenue],$B809),1,0),0))</f>
        <v/>
      </c>
    </row>
    <row r="810" customFormat="false" ht="15" hidden="false" customHeight="false" outlineLevel="0" collapsed="false">
      <c r="A810" s="14" t="n">
        <v>805</v>
      </c>
      <c r="B810" s="14" t="n">
        <f aca="false">INT(($A810-1)/36)+1</f>
        <v>23</v>
      </c>
      <c r="C810" s="14" t="n">
        <f aca="false">MOD($A810-1,36)+1</f>
        <v>13</v>
      </c>
      <c r="D810" s="14" t="n">
        <f aca="false">IF($C810&gt;p_horizon,0,IFERROR(IF(AND(INDEX(TblClusters[Cluster],$B810)&lt;&gt;"",ISNUMBER(INDEX(TblClusters[CPU initial (vCPU)],$B810)),ISNUMBER(INDEX(TblClusters[CPU min (vCPU)],$B810)),OR(INDEX(TblClusters[Plateforme],$B810)="IKS",INDEX(TblClusters[Plateforme],$B810)="ROKS")),1,0),0))</f>
        <v>0</v>
      </c>
      <c r="E810" s="83" t="str">
        <f aca="false">IF($D810=1,EDATE(p_debut,$C810-1),"")</f>
        <v/>
      </c>
      <c r="F810" s="14" t="str">
        <f aca="false">IF($D810=1,INDEX(TblClusters[Cluster],$B810),"")</f>
        <v/>
      </c>
      <c r="G810" s="14" t="str">
        <f aca="false">IF($D810=1,INDEX(TblClusters[Plateforme],$B810),"")</f>
        <v/>
      </c>
      <c r="H810" s="14" t="str">
        <f aca="false">IF($D810=1,INDEX(TblClusters[vCPU par nœud],$B810),"")</f>
        <v/>
      </c>
      <c r="I810" s="14" t="str">
        <f aca="false">IF($D810=1,INDEX(TblClusters[RAM par nœud (Go)],$B810),"")</f>
        <v/>
      </c>
      <c r="J810" s="14" t="str">
        <f aca="false">IF($D810=1,INDEX(TblClusters[Workers min],$B810),"")</f>
        <v/>
      </c>
      <c r="K810" s="84" t="str">
        <f aca="false">IF($D810=1,INDEX(TblClusters[Tarif par nœud],$B810),"")</f>
        <v/>
      </c>
      <c r="L810" s="14" t="str">
        <f aca="false">IF($D810=1,INDEX(TblClusters[CPU initial (vCPU)],$B810),"")</f>
        <v/>
      </c>
      <c r="M810" s="14" t="str">
        <f aca="false">IF($D810=1,INDEX(TblClusters[RAM initiale (Go)],$B810),"")</f>
        <v/>
      </c>
      <c r="N810" s="14" t="str">
        <f aca="false">IF($D810=1,INDEX(TblClusters[CPU min (vCPU)],$B810),"")</f>
        <v/>
      </c>
      <c r="O810" s="14" t="str">
        <f aca="false">IF($D810=1,INDEX(TblClusters[RAM min (Go)],$B810),"")</f>
        <v/>
      </c>
      <c r="P810" s="14" t="str">
        <f aca="false">IF($D810&lt;&gt;1,"",IF($G810="ROKS",SUMIFS(TblApplications[Besoin ROKS CPU (vCPU)],TblApplications[Cluster ROKS cible],$F810,TblApplications[Action],"À migrer",TblApplications[Déjà incluse ROKS],"Non",TblApplications[Mois prov (calc)],"&lt;="&amp;$E810),SUMIFS(TblApplications[CPU IKS libérable (vCPU)],TblApplications[Cluster IKS source],$F810,TblApplications[Mois lib (calc)],"&lt;="&amp;$E810)))</f>
        <v/>
      </c>
      <c r="Q810" s="14" t="str">
        <f aca="false">IF($D810&lt;&gt;1,"",IF($G810="ROKS",SUMIFS(TblApplications[Besoin ROKS RAM (Go)],TblApplications[Cluster ROKS cible],$F810,TblApplications[Action],"À migrer",TblApplications[Déjà incluse ROKS],"Non",TblApplications[Mois prov (calc)],"&lt;="&amp;$E810),SUMIFS(TblApplications[RAM IKS libérable (Go)],TblApplications[Cluster IKS source],$F810,TblApplications[Mois lib (calc)],"&lt;="&amp;$E810)))</f>
        <v/>
      </c>
      <c r="R810" s="14" t="str">
        <f aca="false">IF($D810&lt;&gt;1,"",IF($G810="ROKS",$L810+$P810,IF($AI810=1,0,MAX($N810,$L810-$P810))))</f>
        <v/>
      </c>
      <c r="S810" s="14" t="str">
        <f aca="false">IF($D810&lt;&gt;1,"",IF($G810="ROKS",$M810+$Q810,IF($AI810=1,0,MAX($O810,$M810-$Q810))))</f>
        <v/>
      </c>
      <c r="T810" s="14" t="str">
        <f aca="false">IF($D810&lt;&gt;1,"",IF($AI810=1,0,MAX($J810,ROUNDUP(MAX($R810/$H810,$S810/$I810),0))))</f>
        <v/>
      </c>
      <c r="U810" s="14" t="str">
        <f aca="false">IF($D810&lt;&gt;1,"",IF(p_mode="Nœud",$T810*$H810,$R810))</f>
        <v/>
      </c>
      <c r="V810" s="14" t="str">
        <f aca="false">IF($D810&lt;&gt;1,"",IF(p_mode="Nœud",$T810*$I810,$S810))</f>
        <v/>
      </c>
      <c r="W810" s="84" t="str">
        <f aca="false">IF($D810&lt;&gt;1,"",IF(p_mode="Nœud",$T810*$K810,$R810*IF($G810="IKS",p_iks_cpu,p_roks_cpu)+$S810*IF($G810="IKS",p_iks_ram,p_roks_ram))*p_facteur)</f>
        <v/>
      </c>
      <c r="X810" s="14" t="str">
        <f aca="false">IF($D810&lt;&gt;1,"",IF($G810="ROKS",$R810,IF($AI810=1,0,MAX($N810,$L810-SUMIFS(TblApplications[CPU IKS libérable (vCPU)],TblApplications[Cluster IKS source],$F810,TblApplications[Action],"À migrer",TblApplications[Mois prov (calc)],"&lt;="&amp;$E810)-SUMIFS(TblApplications[CPU IKS libérable (vCPU)],TblApplications[Cluster IKS source],$F810,TblApplications[Action],"À décommissionner",TblApplications[Mois lib (calc)],"&lt;="&amp;$E810)))))</f>
        <v/>
      </c>
      <c r="Y810" s="14" t="str">
        <f aca="false">IF($D810&lt;&gt;1,"",IF($G810="ROKS",$S810,IF($AI810=1,0,MAX($O810,$M810-SUMIFS(TblApplications[RAM IKS libérable (Go)],TblApplications[Cluster IKS source],$F810,TblApplications[Action],"À migrer",TblApplications[Mois prov (calc)],"&lt;="&amp;$E810)-SUMIFS(TblApplications[RAM IKS libérable (Go)],TblApplications[Cluster IKS source],$F810,TblApplications[Action],"À décommissionner",TblApplications[Mois lib (calc)],"&lt;="&amp;$E810)))))</f>
        <v/>
      </c>
      <c r="Z810" s="14" t="str">
        <f aca="false">IF($D810&lt;&gt;1,"",IF($AI810=1,0,MAX($J810,ROUNDUP(MAX($X810/$H810,$Y810/$I810),0))))</f>
        <v/>
      </c>
      <c r="AA810" s="84" t="str">
        <f aca="false">IF($D810&lt;&gt;1,"",IF(p_mode="Nœud",$Z810*$K810,$X810*IF($G810="IKS",p_iks_cpu,p_roks_cpu)+$Y810*IF($G810="IKS",p_iks_ram,p_roks_ram))*p_facteur)</f>
        <v/>
      </c>
      <c r="AB810" s="14" t="str">
        <f aca="false">IF($D810&lt;&gt;1,"",MAX($J810,ROUNDUP(MAX($L810/$H810,$M810/$I810),0)))</f>
        <v/>
      </c>
      <c r="AC810" s="84" t="str">
        <f aca="false">IF($D810&lt;&gt;1,"",IF(p_mode="Nœud",$AB810*$K810,$L810*IF($G810="IKS",p_iks_cpu,p_roks_cpu)+$M810*IF($G810="IKS",p_iks_ram,p_roks_ram))*p_facteur)</f>
        <v/>
      </c>
      <c r="AD810" s="14" t="str">
        <f aca="false">IF($D810&lt;&gt;1,"",IF(AND($G810="IKS",$AI810&lt;&gt;1,OR($L810-$P810&lt;$N810,$M810-$Q810&lt;$O810)),1,0))</f>
        <v/>
      </c>
      <c r="AE810" s="14" t="str">
        <f aca="false">IF($D810&lt;&gt;1,"",IF(AND($G810="ROKS",$T810&gt;p_maxworkers),1,0))</f>
        <v/>
      </c>
      <c r="AF810" s="14" t="str">
        <f aca="false">IF($D810&lt;&gt;1,"",IF(INDEX(TblClusters[Environnement],$B810)="","(vide)",INDEX(TblClusters[Environnement],$B810)))</f>
        <v/>
      </c>
      <c r="AG810" s="14" t="str">
        <f aca="false">IF($D810&lt;&gt;1,"",$R810+p_poidsram*$S810)</f>
        <v/>
      </c>
      <c r="AH810" s="14" t="str">
        <f aca="false">IF($D810&lt;&gt;1,"",IFERROR($W810/$AG810,0))</f>
        <v/>
      </c>
      <c r="AI810" s="14" t="str">
        <f aca="false">IF($D810&lt;&gt;1,"",IF(AND($G810="IKS",ISNUMBER(INDEX(TblClusters[Fermeture retenue],$B810))),IF($E810&gt;=INDEX(TblClusters[Fermeture retenue],$B810),1,0),0))</f>
        <v/>
      </c>
    </row>
    <row r="811" customFormat="false" ht="15" hidden="false" customHeight="false" outlineLevel="0" collapsed="false">
      <c r="A811" s="14" t="n">
        <v>806</v>
      </c>
      <c r="B811" s="14" t="n">
        <f aca="false">INT(($A811-1)/36)+1</f>
        <v>23</v>
      </c>
      <c r="C811" s="14" t="n">
        <f aca="false">MOD($A811-1,36)+1</f>
        <v>14</v>
      </c>
      <c r="D811" s="14" t="n">
        <f aca="false">IF($C811&gt;p_horizon,0,IFERROR(IF(AND(INDEX(TblClusters[Cluster],$B811)&lt;&gt;"",ISNUMBER(INDEX(TblClusters[CPU initial (vCPU)],$B811)),ISNUMBER(INDEX(TblClusters[CPU min (vCPU)],$B811)),OR(INDEX(TblClusters[Plateforme],$B811)="IKS",INDEX(TblClusters[Plateforme],$B811)="ROKS")),1,0),0))</f>
        <v>0</v>
      </c>
      <c r="E811" s="83" t="str">
        <f aca="false">IF($D811=1,EDATE(p_debut,$C811-1),"")</f>
        <v/>
      </c>
      <c r="F811" s="14" t="str">
        <f aca="false">IF($D811=1,INDEX(TblClusters[Cluster],$B811),"")</f>
        <v/>
      </c>
      <c r="G811" s="14" t="str">
        <f aca="false">IF($D811=1,INDEX(TblClusters[Plateforme],$B811),"")</f>
        <v/>
      </c>
      <c r="H811" s="14" t="str">
        <f aca="false">IF($D811=1,INDEX(TblClusters[vCPU par nœud],$B811),"")</f>
        <v/>
      </c>
      <c r="I811" s="14" t="str">
        <f aca="false">IF($D811=1,INDEX(TblClusters[RAM par nœud (Go)],$B811),"")</f>
        <v/>
      </c>
      <c r="J811" s="14" t="str">
        <f aca="false">IF($D811=1,INDEX(TblClusters[Workers min],$B811),"")</f>
        <v/>
      </c>
      <c r="K811" s="84" t="str">
        <f aca="false">IF($D811=1,INDEX(TblClusters[Tarif par nœud],$B811),"")</f>
        <v/>
      </c>
      <c r="L811" s="14" t="str">
        <f aca="false">IF($D811=1,INDEX(TblClusters[CPU initial (vCPU)],$B811),"")</f>
        <v/>
      </c>
      <c r="M811" s="14" t="str">
        <f aca="false">IF($D811=1,INDEX(TblClusters[RAM initiale (Go)],$B811),"")</f>
        <v/>
      </c>
      <c r="N811" s="14" t="str">
        <f aca="false">IF($D811=1,INDEX(TblClusters[CPU min (vCPU)],$B811),"")</f>
        <v/>
      </c>
      <c r="O811" s="14" t="str">
        <f aca="false">IF($D811=1,INDEX(TblClusters[RAM min (Go)],$B811),"")</f>
        <v/>
      </c>
      <c r="P811" s="14" t="str">
        <f aca="false">IF($D811&lt;&gt;1,"",IF($G811="ROKS",SUMIFS(TblApplications[Besoin ROKS CPU (vCPU)],TblApplications[Cluster ROKS cible],$F811,TblApplications[Action],"À migrer",TblApplications[Déjà incluse ROKS],"Non",TblApplications[Mois prov (calc)],"&lt;="&amp;$E811),SUMIFS(TblApplications[CPU IKS libérable (vCPU)],TblApplications[Cluster IKS source],$F811,TblApplications[Mois lib (calc)],"&lt;="&amp;$E811)))</f>
        <v/>
      </c>
      <c r="Q811" s="14" t="str">
        <f aca="false">IF($D811&lt;&gt;1,"",IF($G811="ROKS",SUMIFS(TblApplications[Besoin ROKS RAM (Go)],TblApplications[Cluster ROKS cible],$F811,TblApplications[Action],"À migrer",TblApplications[Déjà incluse ROKS],"Non",TblApplications[Mois prov (calc)],"&lt;="&amp;$E811),SUMIFS(TblApplications[RAM IKS libérable (Go)],TblApplications[Cluster IKS source],$F811,TblApplications[Mois lib (calc)],"&lt;="&amp;$E811)))</f>
        <v/>
      </c>
      <c r="R811" s="14" t="str">
        <f aca="false">IF($D811&lt;&gt;1,"",IF($G811="ROKS",$L811+$P811,IF($AI811=1,0,MAX($N811,$L811-$P811))))</f>
        <v/>
      </c>
      <c r="S811" s="14" t="str">
        <f aca="false">IF($D811&lt;&gt;1,"",IF($G811="ROKS",$M811+$Q811,IF($AI811=1,0,MAX($O811,$M811-$Q811))))</f>
        <v/>
      </c>
      <c r="T811" s="14" t="str">
        <f aca="false">IF($D811&lt;&gt;1,"",IF($AI811=1,0,MAX($J811,ROUNDUP(MAX($R811/$H811,$S811/$I811),0))))</f>
        <v/>
      </c>
      <c r="U811" s="14" t="str">
        <f aca="false">IF($D811&lt;&gt;1,"",IF(p_mode="Nœud",$T811*$H811,$R811))</f>
        <v/>
      </c>
      <c r="V811" s="14" t="str">
        <f aca="false">IF($D811&lt;&gt;1,"",IF(p_mode="Nœud",$T811*$I811,$S811))</f>
        <v/>
      </c>
      <c r="W811" s="84" t="str">
        <f aca="false">IF($D811&lt;&gt;1,"",IF(p_mode="Nœud",$T811*$K811,$R811*IF($G811="IKS",p_iks_cpu,p_roks_cpu)+$S811*IF($G811="IKS",p_iks_ram,p_roks_ram))*p_facteur)</f>
        <v/>
      </c>
      <c r="X811" s="14" t="str">
        <f aca="false">IF($D811&lt;&gt;1,"",IF($G811="ROKS",$R811,IF($AI811=1,0,MAX($N811,$L811-SUMIFS(TblApplications[CPU IKS libérable (vCPU)],TblApplications[Cluster IKS source],$F811,TblApplications[Action],"À migrer",TblApplications[Mois prov (calc)],"&lt;="&amp;$E811)-SUMIFS(TblApplications[CPU IKS libérable (vCPU)],TblApplications[Cluster IKS source],$F811,TblApplications[Action],"À décommissionner",TblApplications[Mois lib (calc)],"&lt;="&amp;$E811)))))</f>
        <v/>
      </c>
      <c r="Y811" s="14" t="str">
        <f aca="false">IF($D811&lt;&gt;1,"",IF($G811="ROKS",$S811,IF($AI811=1,0,MAX($O811,$M811-SUMIFS(TblApplications[RAM IKS libérable (Go)],TblApplications[Cluster IKS source],$F811,TblApplications[Action],"À migrer",TblApplications[Mois prov (calc)],"&lt;="&amp;$E811)-SUMIFS(TblApplications[RAM IKS libérable (Go)],TblApplications[Cluster IKS source],$F811,TblApplications[Action],"À décommissionner",TblApplications[Mois lib (calc)],"&lt;="&amp;$E811)))))</f>
        <v/>
      </c>
      <c r="Z811" s="14" t="str">
        <f aca="false">IF($D811&lt;&gt;1,"",IF($AI811=1,0,MAX($J811,ROUNDUP(MAX($X811/$H811,$Y811/$I811),0))))</f>
        <v/>
      </c>
      <c r="AA811" s="84" t="str">
        <f aca="false">IF($D811&lt;&gt;1,"",IF(p_mode="Nœud",$Z811*$K811,$X811*IF($G811="IKS",p_iks_cpu,p_roks_cpu)+$Y811*IF($G811="IKS",p_iks_ram,p_roks_ram))*p_facteur)</f>
        <v/>
      </c>
      <c r="AB811" s="14" t="str">
        <f aca="false">IF($D811&lt;&gt;1,"",MAX($J811,ROUNDUP(MAX($L811/$H811,$M811/$I811),0)))</f>
        <v/>
      </c>
      <c r="AC811" s="84" t="str">
        <f aca="false">IF($D811&lt;&gt;1,"",IF(p_mode="Nœud",$AB811*$K811,$L811*IF($G811="IKS",p_iks_cpu,p_roks_cpu)+$M811*IF($G811="IKS",p_iks_ram,p_roks_ram))*p_facteur)</f>
        <v/>
      </c>
      <c r="AD811" s="14" t="str">
        <f aca="false">IF($D811&lt;&gt;1,"",IF(AND($G811="IKS",$AI811&lt;&gt;1,OR($L811-$P811&lt;$N811,$M811-$Q811&lt;$O811)),1,0))</f>
        <v/>
      </c>
      <c r="AE811" s="14" t="str">
        <f aca="false">IF($D811&lt;&gt;1,"",IF(AND($G811="ROKS",$T811&gt;p_maxworkers),1,0))</f>
        <v/>
      </c>
      <c r="AF811" s="14" t="str">
        <f aca="false">IF($D811&lt;&gt;1,"",IF(INDEX(TblClusters[Environnement],$B811)="","(vide)",INDEX(TblClusters[Environnement],$B811)))</f>
        <v/>
      </c>
      <c r="AG811" s="14" t="str">
        <f aca="false">IF($D811&lt;&gt;1,"",$R811+p_poidsram*$S811)</f>
        <v/>
      </c>
      <c r="AH811" s="14" t="str">
        <f aca="false">IF($D811&lt;&gt;1,"",IFERROR($W811/$AG811,0))</f>
        <v/>
      </c>
      <c r="AI811" s="14" t="str">
        <f aca="false">IF($D811&lt;&gt;1,"",IF(AND($G811="IKS",ISNUMBER(INDEX(TblClusters[Fermeture retenue],$B811))),IF($E811&gt;=INDEX(TblClusters[Fermeture retenue],$B811),1,0),0))</f>
        <v/>
      </c>
    </row>
    <row r="812" customFormat="false" ht="15" hidden="false" customHeight="false" outlineLevel="0" collapsed="false">
      <c r="A812" s="14" t="n">
        <v>807</v>
      </c>
      <c r="B812" s="14" t="n">
        <f aca="false">INT(($A812-1)/36)+1</f>
        <v>23</v>
      </c>
      <c r="C812" s="14" t="n">
        <f aca="false">MOD($A812-1,36)+1</f>
        <v>15</v>
      </c>
      <c r="D812" s="14" t="n">
        <f aca="false">IF($C812&gt;p_horizon,0,IFERROR(IF(AND(INDEX(TblClusters[Cluster],$B812)&lt;&gt;"",ISNUMBER(INDEX(TblClusters[CPU initial (vCPU)],$B812)),ISNUMBER(INDEX(TblClusters[CPU min (vCPU)],$B812)),OR(INDEX(TblClusters[Plateforme],$B812)="IKS",INDEX(TblClusters[Plateforme],$B812)="ROKS")),1,0),0))</f>
        <v>0</v>
      </c>
      <c r="E812" s="83" t="str">
        <f aca="false">IF($D812=1,EDATE(p_debut,$C812-1),"")</f>
        <v/>
      </c>
      <c r="F812" s="14" t="str">
        <f aca="false">IF($D812=1,INDEX(TblClusters[Cluster],$B812),"")</f>
        <v/>
      </c>
      <c r="G812" s="14" t="str">
        <f aca="false">IF($D812=1,INDEX(TblClusters[Plateforme],$B812),"")</f>
        <v/>
      </c>
      <c r="H812" s="14" t="str">
        <f aca="false">IF($D812=1,INDEX(TblClusters[vCPU par nœud],$B812),"")</f>
        <v/>
      </c>
      <c r="I812" s="14" t="str">
        <f aca="false">IF($D812=1,INDEX(TblClusters[RAM par nœud (Go)],$B812),"")</f>
        <v/>
      </c>
      <c r="J812" s="14" t="str">
        <f aca="false">IF($D812=1,INDEX(TblClusters[Workers min],$B812),"")</f>
        <v/>
      </c>
      <c r="K812" s="84" t="str">
        <f aca="false">IF($D812=1,INDEX(TblClusters[Tarif par nœud],$B812),"")</f>
        <v/>
      </c>
      <c r="L812" s="14" t="str">
        <f aca="false">IF($D812=1,INDEX(TblClusters[CPU initial (vCPU)],$B812),"")</f>
        <v/>
      </c>
      <c r="M812" s="14" t="str">
        <f aca="false">IF($D812=1,INDEX(TblClusters[RAM initiale (Go)],$B812),"")</f>
        <v/>
      </c>
      <c r="N812" s="14" t="str">
        <f aca="false">IF($D812=1,INDEX(TblClusters[CPU min (vCPU)],$B812),"")</f>
        <v/>
      </c>
      <c r="O812" s="14" t="str">
        <f aca="false">IF($D812=1,INDEX(TblClusters[RAM min (Go)],$B812),"")</f>
        <v/>
      </c>
      <c r="P812" s="14" t="str">
        <f aca="false">IF($D812&lt;&gt;1,"",IF($G812="ROKS",SUMIFS(TblApplications[Besoin ROKS CPU (vCPU)],TblApplications[Cluster ROKS cible],$F812,TblApplications[Action],"À migrer",TblApplications[Déjà incluse ROKS],"Non",TblApplications[Mois prov (calc)],"&lt;="&amp;$E812),SUMIFS(TblApplications[CPU IKS libérable (vCPU)],TblApplications[Cluster IKS source],$F812,TblApplications[Mois lib (calc)],"&lt;="&amp;$E812)))</f>
        <v/>
      </c>
      <c r="Q812" s="14" t="str">
        <f aca="false">IF($D812&lt;&gt;1,"",IF($G812="ROKS",SUMIFS(TblApplications[Besoin ROKS RAM (Go)],TblApplications[Cluster ROKS cible],$F812,TblApplications[Action],"À migrer",TblApplications[Déjà incluse ROKS],"Non",TblApplications[Mois prov (calc)],"&lt;="&amp;$E812),SUMIFS(TblApplications[RAM IKS libérable (Go)],TblApplications[Cluster IKS source],$F812,TblApplications[Mois lib (calc)],"&lt;="&amp;$E812)))</f>
        <v/>
      </c>
      <c r="R812" s="14" t="str">
        <f aca="false">IF($D812&lt;&gt;1,"",IF($G812="ROKS",$L812+$P812,IF($AI812=1,0,MAX($N812,$L812-$P812))))</f>
        <v/>
      </c>
      <c r="S812" s="14" t="str">
        <f aca="false">IF($D812&lt;&gt;1,"",IF($G812="ROKS",$M812+$Q812,IF($AI812=1,0,MAX($O812,$M812-$Q812))))</f>
        <v/>
      </c>
      <c r="T812" s="14" t="str">
        <f aca="false">IF($D812&lt;&gt;1,"",IF($AI812=1,0,MAX($J812,ROUNDUP(MAX($R812/$H812,$S812/$I812),0))))</f>
        <v/>
      </c>
      <c r="U812" s="14" t="str">
        <f aca="false">IF($D812&lt;&gt;1,"",IF(p_mode="Nœud",$T812*$H812,$R812))</f>
        <v/>
      </c>
      <c r="V812" s="14" t="str">
        <f aca="false">IF($D812&lt;&gt;1,"",IF(p_mode="Nœud",$T812*$I812,$S812))</f>
        <v/>
      </c>
      <c r="W812" s="84" t="str">
        <f aca="false">IF($D812&lt;&gt;1,"",IF(p_mode="Nœud",$T812*$K812,$R812*IF($G812="IKS",p_iks_cpu,p_roks_cpu)+$S812*IF($G812="IKS",p_iks_ram,p_roks_ram))*p_facteur)</f>
        <v/>
      </c>
      <c r="X812" s="14" t="str">
        <f aca="false">IF($D812&lt;&gt;1,"",IF($G812="ROKS",$R812,IF($AI812=1,0,MAX($N812,$L812-SUMIFS(TblApplications[CPU IKS libérable (vCPU)],TblApplications[Cluster IKS source],$F812,TblApplications[Action],"À migrer",TblApplications[Mois prov (calc)],"&lt;="&amp;$E812)-SUMIFS(TblApplications[CPU IKS libérable (vCPU)],TblApplications[Cluster IKS source],$F812,TblApplications[Action],"À décommissionner",TblApplications[Mois lib (calc)],"&lt;="&amp;$E812)))))</f>
        <v/>
      </c>
      <c r="Y812" s="14" t="str">
        <f aca="false">IF($D812&lt;&gt;1,"",IF($G812="ROKS",$S812,IF($AI812=1,0,MAX($O812,$M812-SUMIFS(TblApplications[RAM IKS libérable (Go)],TblApplications[Cluster IKS source],$F812,TblApplications[Action],"À migrer",TblApplications[Mois prov (calc)],"&lt;="&amp;$E812)-SUMIFS(TblApplications[RAM IKS libérable (Go)],TblApplications[Cluster IKS source],$F812,TblApplications[Action],"À décommissionner",TblApplications[Mois lib (calc)],"&lt;="&amp;$E812)))))</f>
        <v/>
      </c>
      <c r="Z812" s="14" t="str">
        <f aca="false">IF($D812&lt;&gt;1,"",IF($AI812=1,0,MAX($J812,ROUNDUP(MAX($X812/$H812,$Y812/$I812),0))))</f>
        <v/>
      </c>
      <c r="AA812" s="84" t="str">
        <f aca="false">IF($D812&lt;&gt;1,"",IF(p_mode="Nœud",$Z812*$K812,$X812*IF($G812="IKS",p_iks_cpu,p_roks_cpu)+$Y812*IF($G812="IKS",p_iks_ram,p_roks_ram))*p_facteur)</f>
        <v/>
      </c>
      <c r="AB812" s="14" t="str">
        <f aca="false">IF($D812&lt;&gt;1,"",MAX($J812,ROUNDUP(MAX($L812/$H812,$M812/$I812),0)))</f>
        <v/>
      </c>
      <c r="AC812" s="84" t="str">
        <f aca="false">IF($D812&lt;&gt;1,"",IF(p_mode="Nœud",$AB812*$K812,$L812*IF($G812="IKS",p_iks_cpu,p_roks_cpu)+$M812*IF($G812="IKS",p_iks_ram,p_roks_ram))*p_facteur)</f>
        <v/>
      </c>
      <c r="AD812" s="14" t="str">
        <f aca="false">IF($D812&lt;&gt;1,"",IF(AND($G812="IKS",$AI812&lt;&gt;1,OR($L812-$P812&lt;$N812,$M812-$Q812&lt;$O812)),1,0))</f>
        <v/>
      </c>
      <c r="AE812" s="14" t="str">
        <f aca="false">IF($D812&lt;&gt;1,"",IF(AND($G812="ROKS",$T812&gt;p_maxworkers),1,0))</f>
        <v/>
      </c>
      <c r="AF812" s="14" t="str">
        <f aca="false">IF($D812&lt;&gt;1,"",IF(INDEX(TblClusters[Environnement],$B812)="","(vide)",INDEX(TblClusters[Environnement],$B812)))</f>
        <v/>
      </c>
      <c r="AG812" s="14" t="str">
        <f aca="false">IF($D812&lt;&gt;1,"",$R812+p_poidsram*$S812)</f>
        <v/>
      </c>
      <c r="AH812" s="14" t="str">
        <f aca="false">IF($D812&lt;&gt;1,"",IFERROR($W812/$AG812,0))</f>
        <v/>
      </c>
      <c r="AI812" s="14" t="str">
        <f aca="false">IF($D812&lt;&gt;1,"",IF(AND($G812="IKS",ISNUMBER(INDEX(TblClusters[Fermeture retenue],$B812))),IF($E812&gt;=INDEX(TblClusters[Fermeture retenue],$B812),1,0),0))</f>
        <v/>
      </c>
    </row>
    <row r="813" customFormat="false" ht="15" hidden="false" customHeight="false" outlineLevel="0" collapsed="false">
      <c r="A813" s="14" t="n">
        <v>808</v>
      </c>
      <c r="B813" s="14" t="n">
        <f aca="false">INT(($A813-1)/36)+1</f>
        <v>23</v>
      </c>
      <c r="C813" s="14" t="n">
        <f aca="false">MOD($A813-1,36)+1</f>
        <v>16</v>
      </c>
      <c r="D813" s="14" t="n">
        <f aca="false">IF($C813&gt;p_horizon,0,IFERROR(IF(AND(INDEX(TblClusters[Cluster],$B813)&lt;&gt;"",ISNUMBER(INDEX(TblClusters[CPU initial (vCPU)],$B813)),ISNUMBER(INDEX(TblClusters[CPU min (vCPU)],$B813)),OR(INDEX(TblClusters[Plateforme],$B813)="IKS",INDEX(TblClusters[Plateforme],$B813)="ROKS")),1,0),0))</f>
        <v>0</v>
      </c>
      <c r="E813" s="83" t="str">
        <f aca="false">IF($D813=1,EDATE(p_debut,$C813-1),"")</f>
        <v/>
      </c>
      <c r="F813" s="14" t="str">
        <f aca="false">IF($D813=1,INDEX(TblClusters[Cluster],$B813),"")</f>
        <v/>
      </c>
      <c r="G813" s="14" t="str">
        <f aca="false">IF($D813=1,INDEX(TblClusters[Plateforme],$B813),"")</f>
        <v/>
      </c>
      <c r="H813" s="14" t="str">
        <f aca="false">IF($D813=1,INDEX(TblClusters[vCPU par nœud],$B813),"")</f>
        <v/>
      </c>
      <c r="I813" s="14" t="str">
        <f aca="false">IF($D813=1,INDEX(TblClusters[RAM par nœud (Go)],$B813),"")</f>
        <v/>
      </c>
      <c r="J813" s="14" t="str">
        <f aca="false">IF($D813=1,INDEX(TblClusters[Workers min],$B813),"")</f>
        <v/>
      </c>
      <c r="K813" s="84" t="str">
        <f aca="false">IF($D813=1,INDEX(TblClusters[Tarif par nœud],$B813),"")</f>
        <v/>
      </c>
      <c r="L813" s="14" t="str">
        <f aca="false">IF($D813=1,INDEX(TblClusters[CPU initial (vCPU)],$B813),"")</f>
        <v/>
      </c>
      <c r="M813" s="14" t="str">
        <f aca="false">IF($D813=1,INDEX(TblClusters[RAM initiale (Go)],$B813),"")</f>
        <v/>
      </c>
      <c r="N813" s="14" t="str">
        <f aca="false">IF($D813=1,INDEX(TblClusters[CPU min (vCPU)],$B813),"")</f>
        <v/>
      </c>
      <c r="O813" s="14" t="str">
        <f aca="false">IF($D813=1,INDEX(TblClusters[RAM min (Go)],$B813),"")</f>
        <v/>
      </c>
      <c r="P813" s="14" t="str">
        <f aca="false">IF($D813&lt;&gt;1,"",IF($G813="ROKS",SUMIFS(TblApplications[Besoin ROKS CPU (vCPU)],TblApplications[Cluster ROKS cible],$F813,TblApplications[Action],"À migrer",TblApplications[Déjà incluse ROKS],"Non",TblApplications[Mois prov (calc)],"&lt;="&amp;$E813),SUMIFS(TblApplications[CPU IKS libérable (vCPU)],TblApplications[Cluster IKS source],$F813,TblApplications[Mois lib (calc)],"&lt;="&amp;$E813)))</f>
        <v/>
      </c>
      <c r="Q813" s="14" t="str">
        <f aca="false">IF($D813&lt;&gt;1,"",IF($G813="ROKS",SUMIFS(TblApplications[Besoin ROKS RAM (Go)],TblApplications[Cluster ROKS cible],$F813,TblApplications[Action],"À migrer",TblApplications[Déjà incluse ROKS],"Non",TblApplications[Mois prov (calc)],"&lt;="&amp;$E813),SUMIFS(TblApplications[RAM IKS libérable (Go)],TblApplications[Cluster IKS source],$F813,TblApplications[Mois lib (calc)],"&lt;="&amp;$E813)))</f>
        <v/>
      </c>
      <c r="R813" s="14" t="str">
        <f aca="false">IF($D813&lt;&gt;1,"",IF($G813="ROKS",$L813+$P813,IF($AI813=1,0,MAX($N813,$L813-$P813))))</f>
        <v/>
      </c>
      <c r="S813" s="14" t="str">
        <f aca="false">IF($D813&lt;&gt;1,"",IF($G813="ROKS",$M813+$Q813,IF($AI813=1,0,MAX($O813,$M813-$Q813))))</f>
        <v/>
      </c>
      <c r="T813" s="14" t="str">
        <f aca="false">IF($D813&lt;&gt;1,"",IF($AI813=1,0,MAX($J813,ROUNDUP(MAX($R813/$H813,$S813/$I813),0))))</f>
        <v/>
      </c>
      <c r="U813" s="14" t="str">
        <f aca="false">IF($D813&lt;&gt;1,"",IF(p_mode="Nœud",$T813*$H813,$R813))</f>
        <v/>
      </c>
      <c r="V813" s="14" t="str">
        <f aca="false">IF($D813&lt;&gt;1,"",IF(p_mode="Nœud",$T813*$I813,$S813))</f>
        <v/>
      </c>
      <c r="W813" s="84" t="str">
        <f aca="false">IF($D813&lt;&gt;1,"",IF(p_mode="Nœud",$T813*$K813,$R813*IF($G813="IKS",p_iks_cpu,p_roks_cpu)+$S813*IF($G813="IKS",p_iks_ram,p_roks_ram))*p_facteur)</f>
        <v/>
      </c>
      <c r="X813" s="14" t="str">
        <f aca="false">IF($D813&lt;&gt;1,"",IF($G813="ROKS",$R813,IF($AI813=1,0,MAX($N813,$L813-SUMIFS(TblApplications[CPU IKS libérable (vCPU)],TblApplications[Cluster IKS source],$F813,TblApplications[Action],"À migrer",TblApplications[Mois prov (calc)],"&lt;="&amp;$E813)-SUMIFS(TblApplications[CPU IKS libérable (vCPU)],TblApplications[Cluster IKS source],$F813,TblApplications[Action],"À décommissionner",TblApplications[Mois lib (calc)],"&lt;="&amp;$E813)))))</f>
        <v/>
      </c>
      <c r="Y813" s="14" t="str">
        <f aca="false">IF($D813&lt;&gt;1,"",IF($G813="ROKS",$S813,IF($AI813=1,0,MAX($O813,$M813-SUMIFS(TblApplications[RAM IKS libérable (Go)],TblApplications[Cluster IKS source],$F813,TblApplications[Action],"À migrer",TblApplications[Mois prov (calc)],"&lt;="&amp;$E813)-SUMIFS(TblApplications[RAM IKS libérable (Go)],TblApplications[Cluster IKS source],$F813,TblApplications[Action],"À décommissionner",TblApplications[Mois lib (calc)],"&lt;="&amp;$E813)))))</f>
        <v/>
      </c>
      <c r="Z813" s="14" t="str">
        <f aca="false">IF($D813&lt;&gt;1,"",IF($AI813=1,0,MAX($J813,ROUNDUP(MAX($X813/$H813,$Y813/$I813),0))))</f>
        <v/>
      </c>
      <c r="AA813" s="84" t="str">
        <f aca="false">IF($D813&lt;&gt;1,"",IF(p_mode="Nœud",$Z813*$K813,$X813*IF($G813="IKS",p_iks_cpu,p_roks_cpu)+$Y813*IF($G813="IKS",p_iks_ram,p_roks_ram))*p_facteur)</f>
        <v/>
      </c>
      <c r="AB813" s="14" t="str">
        <f aca="false">IF($D813&lt;&gt;1,"",MAX($J813,ROUNDUP(MAX($L813/$H813,$M813/$I813),0)))</f>
        <v/>
      </c>
      <c r="AC813" s="84" t="str">
        <f aca="false">IF($D813&lt;&gt;1,"",IF(p_mode="Nœud",$AB813*$K813,$L813*IF($G813="IKS",p_iks_cpu,p_roks_cpu)+$M813*IF($G813="IKS",p_iks_ram,p_roks_ram))*p_facteur)</f>
        <v/>
      </c>
      <c r="AD813" s="14" t="str">
        <f aca="false">IF($D813&lt;&gt;1,"",IF(AND($G813="IKS",$AI813&lt;&gt;1,OR($L813-$P813&lt;$N813,$M813-$Q813&lt;$O813)),1,0))</f>
        <v/>
      </c>
      <c r="AE813" s="14" t="str">
        <f aca="false">IF($D813&lt;&gt;1,"",IF(AND($G813="ROKS",$T813&gt;p_maxworkers),1,0))</f>
        <v/>
      </c>
      <c r="AF813" s="14" t="str">
        <f aca="false">IF($D813&lt;&gt;1,"",IF(INDEX(TblClusters[Environnement],$B813)="","(vide)",INDEX(TblClusters[Environnement],$B813)))</f>
        <v/>
      </c>
      <c r="AG813" s="14" t="str">
        <f aca="false">IF($D813&lt;&gt;1,"",$R813+p_poidsram*$S813)</f>
        <v/>
      </c>
      <c r="AH813" s="14" t="str">
        <f aca="false">IF($D813&lt;&gt;1,"",IFERROR($W813/$AG813,0))</f>
        <v/>
      </c>
      <c r="AI813" s="14" t="str">
        <f aca="false">IF($D813&lt;&gt;1,"",IF(AND($G813="IKS",ISNUMBER(INDEX(TblClusters[Fermeture retenue],$B813))),IF($E813&gt;=INDEX(TblClusters[Fermeture retenue],$B813),1,0),0))</f>
        <v/>
      </c>
    </row>
    <row r="814" customFormat="false" ht="15" hidden="false" customHeight="false" outlineLevel="0" collapsed="false">
      <c r="A814" s="14" t="n">
        <v>809</v>
      </c>
      <c r="B814" s="14" t="n">
        <f aca="false">INT(($A814-1)/36)+1</f>
        <v>23</v>
      </c>
      <c r="C814" s="14" t="n">
        <f aca="false">MOD($A814-1,36)+1</f>
        <v>17</v>
      </c>
      <c r="D814" s="14" t="n">
        <f aca="false">IF($C814&gt;p_horizon,0,IFERROR(IF(AND(INDEX(TblClusters[Cluster],$B814)&lt;&gt;"",ISNUMBER(INDEX(TblClusters[CPU initial (vCPU)],$B814)),ISNUMBER(INDEX(TblClusters[CPU min (vCPU)],$B814)),OR(INDEX(TblClusters[Plateforme],$B814)="IKS",INDEX(TblClusters[Plateforme],$B814)="ROKS")),1,0),0))</f>
        <v>0</v>
      </c>
      <c r="E814" s="83" t="str">
        <f aca="false">IF($D814=1,EDATE(p_debut,$C814-1),"")</f>
        <v/>
      </c>
      <c r="F814" s="14" t="str">
        <f aca="false">IF($D814=1,INDEX(TblClusters[Cluster],$B814),"")</f>
        <v/>
      </c>
      <c r="G814" s="14" t="str">
        <f aca="false">IF($D814=1,INDEX(TblClusters[Plateforme],$B814),"")</f>
        <v/>
      </c>
      <c r="H814" s="14" t="str">
        <f aca="false">IF($D814=1,INDEX(TblClusters[vCPU par nœud],$B814),"")</f>
        <v/>
      </c>
      <c r="I814" s="14" t="str">
        <f aca="false">IF($D814=1,INDEX(TblClusters[RAM par nœud (Go)],$B814),"")</f>
        <v/>
      </c>
      <c r="J814" s="14" t="str">
        <f aca="false">IF($D814=1,INDEX(TblClusters[Workers min],$B814),"")</f>
        <v/>
      </c>
      <c r="K814" s="84" t="str">
        <f aca="false">IF($D814=1,INDEX(TblClusters[Tarif par nœud],$B814),"")</f>
        <v/>
      </c>
      <c r="L814" s="14" t="str">
        <f aca="false">IF($D814=1,INDEX(TblClusters[CPU initial (vCPU)],$B814),"")</f>
        <v/>
      </c>
      <c r="M814" s="14" t="str">
        <f aca="false">IF($D814=1,INDEX(TblClusters[RAM initiale (Go)],$B814),"")</f>
        <v/>
      </c>
      <c r="N814" s="14" t="str">
        <f aca="false">IF($D814=1,INDEX(TblClusters[CPU min (vCPU)],$B814),"")</f>
        <v/>
      </c>
      <c r="O814" s="14" t="str">
        <f aca="false">IF($D814=1,INDEX(TblClusters[RAM min (Go)],$B814),"")</f>
        <v/>
      </c>
      <c r="P814" s="14" t="str">
        <f aca="false">IF($D814&lt;&gt;1,"",IF($G814="ROKS",SUMIFS(TblApplications[Besoin ROKS CPU (vCPU)],TblApplications[Cluster ROKS cible],$F814,TblApplications[Action],"À migrer",TblApplications[Déjà incluse ROKS],"Non",TblApplications[Mois prov (calc)],"&lt;="&amp;$E814),SUMIFS(TblApplications[CPU IKS libérable (vCPU)],TblApplications[Cluster IKS source],$F814,TblApplications[Mois lib (calc)],"&lt;="&amp;$E814)))</f>
        <v/>
      </c>
      <c r="Q814" s="14" t="str">
        <f aca="false">IF($D814&lt;&gt;1,"",IF($G814="ROKS",SUMIFS(TblApplications[Besoin ROKS RAM (Go)],TblApplications[Cluster ROKS cible],$F814,TblApplications[Action],"À migrer",TblApplications[Déjà incluse ROKS],"Non",TblApplications[Mois prov (calc)],"&lt;="&amp;$E814),SUMIFS(TblApplications[RAM IKS libérable (Go)],TblApplications[Cluster IKS source],$F814,TblApplications[Mois lib (calc)],"&lt;="&amp;$E814)))</f>
        <v/>
      </c>
      <c r="R814" s="14" t="str">
        <f aca="false">IF($D814&lt;&gt;1,"",IF($G814="ROKS",$L814+$P814,IF($AI814=1,0,MAX($N814,$L814-$P814))))</f>
        <v/>
      </c>
      <c r="S814" s="14" t="str">
        <f aca="false">IF($D814&lt;&gt;1,"",IF($G814="ROKS",$M814+$Q814,IF($AI814=1,0,MAX($O814,$M814-$Q814))))</f>
        <v/>
      </c>
      <c r="T814" s="14" t="str">
        <f aca="false">IF($D814&lt;&gt;1,"",IF($AI814=1,0,MAX($J814,ROUNDUP(MAX($R814/$H814,$S814/$I814),0))))</f>
        <v/>
      </c>
      <c r="U814" s="14" t="str">
        <f aca="false">IF($D814&lt;&gt;1,"",IF(p_mode="Nœud",$T814*$H814,$R814))</f>
        <v/>
      </c>
      <c r="V814" s="14" t="str">
        <f aca="false">IF($D814&lt;&gt;1,"",IF(p_mode="Nœud",$T814*$I814,$S814))</f>
        <v/>
      </c>
      <c r="W814" s="84" t="str">
        <f aca="false">IF($D814&lt;&gt;1,"",IF(p_mode="Nœud",$T814*$K814,$R814*IF($G814="IKS",p_iks_cpu,p_roks_cpu)+$S814*IF($G814="IKS",p_iks_ram,p_roks_ram))*p_facteur)</f>
        <v/>
      </c>
      <c r="X814" s="14" t="str">
        <f aca="false">IF($D814&lt;&gt;1,"",IF($G814="ROKS",$R814,IF($AI814=1,0,MAX($N814,$L814-SUMIFS(TblApplications[CPU IKS libérable (vCPU)],TblApplications[Cluster IKS source],$F814,TblApplications[Action],"À migrer",TblApplications[Mois prov (calc)],"&lt;="&amp;$E814)-SUMIFS(TblApplications[CPU IKS libérable (vCPU)],TblApplications[Cluster IKS source],$F814,TblApplications[Action],"À décommissionner",TblApplications[Mois lib (calc)],"&lt;="&amp;$E814)))))</f>
        <v/>
      </c>
      <c r="Y814" s="14" t="str">
        <f aca="false">IF($D814&lt;&gt;1,"",IF($G814="ROKS",$S814,IF($AI814=1,0,MAX($O814,$M814-SUMIFS(TblApplications[RAM IKS libérable (Go)],TblApplications[Cluster IKS source],$F814,TblApplications[Action],"À migrer",TblApplications[Mois prov (calc)],"&lt;="&amp;$E814)-SUMIFS(TblApplications[RAM IKS libérable (Go)],TblApplications[Cluster IKS source],$F814,TblApplications[Action],"À décommissionner",TblApplications[Mois lib (calc)],"&lt;="&amp;$E814)))))</f>
        <v/>
      </c>
      <c r="Z814" s="14" t="str">
        <f aca="false">IF($D814&lt;&gt;1,"",IF($AI814=1,0,MAX($J814,ROUNDUP(MAX($X814/$H814,$Y814/$I814),0))))</f>
        <v/>
      </c>
      <c r="AA814" s="84" t="str">
        <f aca="false">IF($D814&lt;&gt;1,"",IF(p_mode="Nœud",$Z814*$K814,$X814*IF($G814="IKS",p_iks_cpu,p_roks_cpu)+$Y814*IF($G814="IKS",p_iks_ram,p_roks_ram))*p_facteur)</f>
        <v/>
      </c>
      <c r="AB814" s="14" t="str">
        <f aca="false">IF($D814&lt;&gt;1,"",MAX($J814,ROUNDUP(MAX($L814/$H814,$M814/$I814),0)))</f>
        <v/>
      </c>
      <c r="AC814" s="84" t="str">
        <f aca="false">IF($D814&lt;&gt;1,"",IF(p_mode="Nœud",$AB814*$K814,$L814*IF($G814="IKS",p_iks_cpu,p_roks_cpu)+$M814*IF($G814="IKS",p_iks_ram,p_roks_ram))*p_facteur)</f>
        <v/>
      </c>
      <c r="AD814" s="14" t="str">
        <f aca="false">IF($D814&lt;&gt;1,"",IF(AND($G814="IKS",$AI814&lt;&gt;1,OR($L814-$P814&lt;$N814,$M814-$Q814&lt;$O814)),1,0))</f>
        <v/>
      </c>
      <c r="AE814" s="14" t="str">
        <f aca="false">IF($D814&lt;&gt;1,"",IF(AND($G814="ROKS",$T814&gt;p_maxworkers),1,0))</f>
        <v/>
      </c>
      <c r="AF814" s="14" t="str">
        <f aca="false">IF($D814&lt;&gt;1,"",IF(INDEX(TblClusters[Environnement],$B814)="","(vide)",INDEX(TblClusters[Environnement],$B814)))</f>
        <v/>
      </c>
      <c r="AG814" s="14" t="str">
        <f aca="false">IF($D814&lt;&gt;1,"",$R814+p_poidsram*$S814)</f>
        <v/>
      </c>
      <c r="AH814" s="14" t="str">
        <f aca="false">IF($D814&lt;&gt;1,"",IFERROR($W814/$AG814,0))</f>
        <v/>
      </c>
      <c r="AI814" s="14" t="str">
        <f aca="false">IF($D814&lt;&gt;1,"",IF(AND($G814="IKS",ISNUMBER(INDEX(TblClusters[Fermeture retenue],$B814))),IF($E814&gt;=INDEX(TblClusters[Fermeture retenue],$B814),1,0),0))</f>
        <v/>
      </c>
    </row>
    <row r="815" customFormat="false" ht="15" hidden="false" customHeight="false" outlineLevel="0" collapsed="false">
      <c r="A815" s="14" t="n">
        <v>810</v>
      </c>
      <c r="B815" s="14" t="n">
        <f aca="false">INT(($A815-1)/36)+1</f>
        <v>23</v>
      </c>
      <c r="C815" s="14" t="n">
        <f aca="false">MOD($A815-1,36)+1</f>
        <v>18</v>
      </c>
      <c r="D815" s="14" t="n">
        <f aca="false">IF($C815&gt;p_horizon,0,IFERROR(IF(AND(INDEX(TblClusters[Cluster],$B815)&lt;&gt;"",ISNUMBER(INDEX(TblClusters[CPU initial (vCPU)],$B815)),ISNUMBER(INDEX(TblClusters[CPU min (vCPU)],$B815)),OR(INDEX(TblClusters[Plateforme],$B815)="IKS",INDEX(TblClusters[Plateforme],$B815)="ROKS")),1,0),0))</f>
        <v>0</v>
      </c>
      <c r="E815" s="83" t="str">
        <f aca="false">IF($D815=1,EDATE(p_debut,$C815-1),"")</f>
        <v/>
      </c>
      <c r="F815" s="14" t="str">
        <f aca="false">IF($D815=1,INDEX(TblClusters[Cluster],$B815),"")</f>
        <v/>
      </c>
      <c r="G815" s="14" t="str">
        <f aca="false">IF($D815=1,INDEX(TblClusters[Plateforme],$B815),"")</f>
        <v/>
      </c>
      <c r="H815" s="14" t="str">
        <f aca="false">IF($D815=1,INDEX(TblClusters[vCPU par nœud],$B815),"")</f>
        <v/>
      </c>
      <c r="I815" s="14" t="str">
        <f aca="false">IF($D815=1,INDEX(TblClusters[RAM par nœud (Go)],$B815),"")</f>
        <v/>
      </c>
      <c r="J815" s="14" t="str">
        <f aca="false">IF($D815=1,INDEX(TblClusters[Workers min],$B815),"")</f>
        <v/>
      </c>
      <c r="K815" s="84" t="str">
        <f aca="false">IF($D815=1,INDEX(TblClusters[Tarif par nœud],$B815),"")</f>
        <v/>
      </c>
      <c r="L815" s="14" t="str">
        <f aca="false">IF($D815=1,INDEX(TblClusters[CPU initial (vCPU)],$B815),"")</f>
        <v/>
      </c>
      <c r="M815" s="14" t="str">
        <f aca="false">IF($D815=1,INDEX(TblClusters[RAM initiale (Go)],$B815),"")</f>
        <v/>
      </c>
      <c r="N815" s="14" t="str">
        <f aca="false">IF($D815=1,INDEX(TblClusters[CPU min (vCPU)],$B815),"")</f>
        <v/>
      </c>
      <c r="O815" s="14" t="str">
        <f aca="false">IF($D815=1,INDEX(TblClusters[RAM min (Go)],$B815),"")</f>
        <v/>
      </c>
      <c r="P815" s="14" t="str">
        <f aca="false">IF($D815&lt;&gt;1,"",IF($G815="ROKS",SUMIFS(TblApplications[Besoin ROKS CPU (vCPU)],TblApplications[Cluster ROKS cible],$F815,TblApplications[Action],"À migrer",TblApplications[Déjà incluse ROKS],"Non",TblApplications[Mois prov (calc)],"&lt;="&amp;$E815),SUMIFS(TblApplications[CPU IKS libérable (vCPU)],TblApplications[Cluster IKS source],$F815,TblApplications[Mois lib (calc)],"&lt;="&amp;$E815)))</f>
        <v/>
      </c>
      <c r="Q815" s="14" t="str">
        <f aca="false">IF($D815&lt;&gt;1,"",IF($G815="ROKS",SUMIFS(TblApplications[Besoin ROKS RAM (Go)],TblApplications[Cluster ROKS cible],$F815,TblApplications[Action],"À migrer",TblApplications[Déjà incluse ROKS],"Non",TblApplications[Mois prov (calc)],"&lt;="&amp;$E815),SUMIFS(TblApplications[RAM IKS libérable (Go)],TblApplications[Cluster IKS source],$F815,TblApplications[Mois lib (calc)],"&lt;="&amp;$E815)))</f>
        <v/>
      </c>
      <c r="R815" s="14" t="str">
        <f aca="false">IF($D815&lt;&gt;1,"",IF($G815="ROKS",$L815+$P815,IF($AI815=1,0,MAX($N815,$L815-$P815))))</f>
        <v/>
      </c>
      <c r="S815" s="14" t="str">
        <f aca="false">IF($D815&lt;&gt;1,"",IF($G815="ROKS",$M815+$Q815,IF($AI815=1,0,MAX($O815,$M815-$Q815))))</f>
        <v/>
      </c>
      <c r="T815" s="14" t="str">
        <f aca="false">IF($D815&lt;&gt;1,"",IF($AI815=1,0,MAX($J815,ROUNDUP(MAX($R815/$H815,$S815/$I815),0))))</f>
        <v/>
      </c>
      <c r="U815" s="14" t="str">
        <f aca="false">IF($D815&lt;&gt;1,"",IF(p_mode="Nœud",$T815*$H815,$R815))</f>
        <v/>
      </c>
      <c r="V815" s="14" t="str">
        <f aca="false">IF($D815&lt;&gt;1,"",IF(p_mode="Nœud",$T815*$I815,$S815))</f>
        <v/>
      </c>
      <c r="W815" s="84" t="str">
        <f aca="false">IF($D815&lt;&gt;1,"",IF(p_mode="Nœud",$T815*$K815,$R815*IF($G815="IKS",p_iks_cpu,p_roks_cpu)+$S815*IF($G815="IKS",p_iks_ram,p_roks_ram))*p_facteur)</f>
        <v/>
      </c>
      <c r="X815" s="14" t="str">
        <f aca="false">IF($D815&lt;&gt;1,"",IF($G815="ROKS",$R815,IF($AI815=1,0,MAX($N815,$L815-SUMIFS(TblApplications[CPU IKS libérable (vCPU)],TblApplications[Cluster IKS source],$F815,TblApplications[Action],"À migrer",TblApplications[Mois prov (calc)],"&lt;="&amp;$E815)-SUMIFS(TblApplications[CPU IKS libérable (vCPU)],TblApplications[Cluster IKS source],$F815,TblApplications[Action],"À décommissionner",TblApplications[Mois lib (calc)],"&lt;="&amp;$E815)))))</f>
        <v/>
      </c>
      <c r="Y815" s="14" t="str">
        <f aca="false">IF($D815&lt;&gt;1,"",IF($G815="ROKS",$S815,IF($AI815=1,0,MAX($O815,$M815-SUMIFS(TblApplications[RAM IKS libérable (Go)],TblApplications[Cluster IKS source],$F815,TblApplications[Action],"À migrer",TblApplications[Mois prov (calc)],"&lt;="&amp;$E815)-SUMIFS(TblApplications[RAM IKS libérable (Go)],TblApplications[Cluster IKS source],$F815,TblApplications[Action],"À décommissionner",TblApplications[Mois lib (calc)],"&lt;="&amp;$E815)))))</f>
        <v/>
      </c>
      <c r="Z815" s="14" t="str">
        <f aca="false">IF($D815&lt;&gt;1,"",IF($AI815=1,0,MAX($J815,ROUNDUP(MAX($X815/$H815,$Y815/$I815),0))))</f>
        <v/>
      </c>
      <c r="AA815" s="84" t="str">
        <f aca="false">IF($D815&lt;&gt;1,"",IF(p_mode="Nœud",$Z815*$K815,$X815*IF($G815="IKS",p_iks_cpu,p_roks_cpu)+$Y815*IF($G815="IKS",p_iks_ram,p_roks_ram))*p_facteur)</f>
        <v/>
      </c>
      <c r="AB815" s="14" t="str">
        <f aca="false">IF($D815&lt;&gt;1,"",MAX($J815,ROUNDUP(MAX($L815/$H815,$M815/$I815),0)))</f>
        <v/>
      </c>
      <c r="AC815" s="84" t="str">
        <f aca="false">IF($D815&lt;&gt;1,"",IF(p_mode="Nœud",$AB815*$K815,$L815*IF($G815="IKS",p_iks_cpu,p_roks_cpu)+$M815*IF($G815="IKS",p_iks_ram,p_roks_ram))*p_facteur)</f>
        <v/>
      </c>
      <c r="AD815" s="14" t="str">
        <f aca="false">IF($D815&lt;&gt;1,"",IF(AND($G815="IKS",$AI815&lt;&gt;1,OR($L815-$P815&lt;$N815,$M815-$Q815&lt;$O815)),1,0))</f>
        <v/>
      </c>
      <c r="AE815" s="14" t="str">
        <f aca="false">IF($D815&lt;&gt;1,"",IF(AND($G815="ROKS",$T815&gt;p_maxworkers),1,0))</f>
        <v/>
      </c>
      <c r="AF815" s="14" t="str">
        <f aca="false">IF($D815&lt;&gt;1,"",IF(INDEX(TblClusters[Environnement],$B815)="","(vide)",INDEX(TblClusters[Environnement],$B815)))</f>
        <v/>
      </c>
      <c r="AG815" s="14" t="str">
        <f aca="false">IF($D815&lt;&gt;1,"",$R815+p_poidsram*$S815)</f>
        <v/>
      </c>
      <c r="AH815" s="14" t="str">
        <f aca="false">IF($D815&lt;&gt;1,"",IFERROR($W815/$AG815,0))</f>
        <v/>
      </c>
      <c r="AI815" s="14" t="str">
        <f aca="false">IF($D815&lt;&gt;1,"",IF(AND($G815="IKS",ISNUMBER(INDEX(TblClusters[Fermeture retenue],$B815))),IF($E815&gt;=INDEX(TblClusters[Fermeture retenue],$B815),1,0),0))</f>
        <v/>
      </c>
    </row>
    <row r="816" customFormat="false" ht="15" hidden="false" customHeight="false" outlineLevel="0" collapsed="false">
      <c r="A816" s="14" t="n">
        <v>811</v>
      </c>
      <c r="B816" s="14" t="n">
        <f aca="false">INT(($A816-1)/36)+1</f>
        <v>23</v>
      </c>
      <c r="C816" s="14" t="n">
        <f aca="false">MOD($A816-1,36)+1</f>
        <v>19</v>
      </c>
      <c r="D816" s="14" t="n">
        <f aca="false">IF($C816&gt;p_horizon,0,IFERROR(IF(AND(INDEX(TblClusters[Cluster],$B816)&lt;&gt;"",ISNUMBER(INDEX(TblClusters[CPU initial (vCPU)],$B816)),ISNUMBER(INDEX(TblClusters[CPU min (vCPU)],$B816)),OR(INDEX(TblClusters[Plateforme],$B816)="IKS",INDEX(TblClusters[Plateforme],$B816)="ROKS")),1,0),0))</f>
        <v>0</v>
      </c>
      <c r="E816" s="83" t="str">
        <f aca="false">IF($D816=1,EDATE(p_debut,$C816-1),"")</f>
        <v/>
      </c>
      <c r="F816" s="14" t="str">
        <f aca="false">IF($D816=1,INDEX(TblClusters[Cluster],$B816),"")</f>
        <v/>
      </c>
      <c r="G816" s="14" t="str">
        <f aca="false">IF($D816=1,INDEX(TblClusters[Plateforme],$B816),"")</f>
        <v/>
      </c>
      <c r="H816" s="14" t="str">
        <f aca="false">IF($D816=1,INDEX(TblClusters[vCPU par nœud],$B816),"")</f>
        <v/>
      </c>
      <c r="I816" s="14" t="str">
        <f aca="false">IF($D816=1,INDEX(TblClusters[RAM par nœud (Go)],$B816),"")</f>
        <v/>
      </c>
      <c r="J816" s="14" t="str">
        <f aca="false">IF($D816=1,INDEX(TblClusters[Workers min],$B816),"")</f>
        <v/>
      </c>
      <c r="K816" s="84" t="str">
        <f aca="false">IF($D816=1,INDEX(TblClusters[Tarif par nœud],$B816),"")</f>
        <v/>
      </c>
      <c r="L816" s="14" t="str">
        <f aca="false">IF($D816=1,INDEX(TblClusters[CPU initial (vCPU)],$B816),"")</f>
        <v/>
      </c>
      <c r="M816" s="14" t="str">
        <f aca="false">IF($D816=1,INDEX(TblClusters[RAM initiale (Go)],$B816),"")</f>
        <v/>
      </c>
      <c r="N816" s="14" t="str">
        <f aca="false">IF($D816=1,INDEX(TblClusters[CPU min (vCPU)],$B816),"")</f>
        <v/>
      </c>
      <c r="O816" s="14" t="str">
        <f aca="false">IF($D816=1,INDEX(TblClusters[RAM min (Go)],$B816),"")</f>
        <v/>
      </c>
      <c r="P816" s="14" t="str">
        <f aca="false">IF($D816&lt;&gt;1,"",IF($G816="ROKS",SUMIFS(TblApplications[Besoin ROKS CPU (vCPU)],TblApplications[Cluster ROKS cible],$F816,TblApplications[Action],"À migrer",TblApplications[Déjà incluse ROKS],"Non",TblApplications[Mois prov (calc)],"&lt;="&amp;$E816),SUMIFS(TblApplications[CPU IKS libérable (vCPU)],TblApplications[Cluster IKS source],$F816,TblApplications[Mois lib (calc)],"&lt;="&amp;$E816)))</f>
        <v/>
      </c>
      <c r="Q816" s="14" t="str">
        <f aca="false">IF($D816&lt;&gt;1,"",IF($G816="ROKS",SUMIFS(TblApplications[Besoin ROKS RAM (Go)],TblApplications[Cluster ROKS cible],$F816,TblApplications[Action],"À migrer",TblApplications[Déjà incluse ROKS],"Non",TblApplications[Mois prov (calc)],"&lt;="&amp;$E816),SUMIFS(TblApplications[RAM IKS libérable (Go)],TblApplications[Cluster IKS source],$F816,TblApplications[Mois lib (calc)],"&lt;="&amp;$E816)))</f>
        <v/>
      </c>
      <c r="R816" s="14" t="str">
        <f aca="false">IF($D816&lt;&gt;1,"",IF($G816="ROKS",$L816+$P816,IF($AI816=1,0,MAX($N816,$L816-$P816))))</f>
        <v/>
      </c>
      <c r="S816" s="14" t="str">
        <f aca="false">IF($D816&lt;&gt;1,"",IF($G816="ROKS",$M816+$Q816,IF($AI816=1,0,MAX($O816,$M816-$Q816))))</f>
        <v/>
      </c>
      <c r="T816" s="14" t="str">
        <f aca="false">IF($D816&lt;&gt;1,"",IF($AI816=1,0,MAX($J816,ROUNDUP(MAX($R816/$H816,$S816/$I816),0))))</f>
        <v/>
      </c>
      <c r="U816" s="14" t="str">
        <f aca="false">IF($D816&lt;&gt;1,"",IF(p_mode="Nœud",$T816*$H816,$R816))</f>
        <v/>
      </c>
      <c r="V816" s="14" t="str">
        <f aca="false">IF($D816&lt;&gt;1,"",IF(p_mode="Nœud",$T816*$I816,$S816))</f>
        <v/>
      </c>
      <c r="W816" s="84" t="str">
        <f aca="false">IF($D816&lt;&gt;1,"",IF(p_mode="Nœud",$T816*$K816,$R816*IF($G816="IKS",p_iks_cpu,p_roks_cpu)+$S816*IF($G816="IKS",p_iks_ram,p_roks_ram))*p_facteur)</f>
        <v/>
      </c>
      <c r="X816" s="14" t="str">
        <f aca="false">IF($D816&lt;&gt;1,"",IF($G816="ROKS",$R816,IF($AI816=1,0,MAX($N816,$L816-SUMIFS(TblApplications[CPU IKS libérable (vCPU)],TblApplications[Cluster IKS source],$F816,TblApplications[Action],"À migrer",TblApplications[Mois prov (calc)],"&lt;="&amp;$E816)-SUMIFS(TblApplications[CPU IKS libérable (vCPU)],TblApplications[Cluster IKS source],$F816,TblApplications[Action],"À décommissionner",TblApplications[Mois lib (calc)],"&lt;="&amp;$E816)))))</f>
        <v/>
      </c>
      <c r="Y816" s="14" t="str">
        <f aca="false">IF($D816&lt;&gt;1,"",IF($G816="ROKS",$S816,IF($AI816=1,0,MAX($O816,$M816-SUMIFS(TblApplications[RAM IKS libérable (Go)],TblApplications[Cluster IKS source],$F816,TblApplications[Action],"À migrer",TblApplications[Mois prov (calc)],"&lt;="&amp;$E816)-SUMIFS(TblApplications[RAM IKS libérable (Go)],TblApplications[Cluster IKS source],$F816,TblApplications[Action],"À décommissionner",TblApplications[Mois lib (calc)],"&lt;="&amp;$E816)))))</f>
        <v/>
      </c>
      <c r="Z816" s="14" t="str">
        <f aca="false">IF($D816&lt;&gt;1,"",IF($AI816=1,0,MAX($J816,ROUNDUP(MAX($X816/$H816,$Y816/$I816),0))))</f>
        <v/>
      </c>
      <c r="AA816" s="84" t="str">
        <f aca="false">IF($D816&lt;&gt;1,"",IF(p_mode="Nœud",$Z816*$K816,$X816*IF($G816="IKS",p_iks_cpu,p_roks_cpu)+$Y816*IF($G816="IKS",p_iks_ram,p_roks_ram))*p_facteur)</f>
        <v/>
      </c>
      <c r="AB816" s="14" t="str">
        <f aca="false">IF($D816&lt;&gt;1,"",MAX($J816,ROUNDUP(MAX($L816/$H816,$M816/$I816),0)))</f>
        <v/>
      </c>
      <c r="AC816" s="84" t="str">
        <f aca="false">IF($D816&lt;&gt;1,"",IF(p_mode="Nœud",$AB816*$K816,$L816*IF($G816="IKS",p_iks_cpu,p_roks_cpu)+$M816*IF($G816="IKS",p_iks_ram,p_roks_ram))*p_facteur)</f>
        <v/>
      </c>
      <c r="AD816" s="14" t="str">
        <f aca="false">IF($D816&lt;&gt;1,"",IF(AND($G816="IKS",$AI816&lt;&gt;1,OR($L816-$P816&lt;$N816,$M816-$Q816&lt;$O816)),1,0))</f>
        <v/>
      </c>
      <c r="AE816" s="14" t="str">
        <f aca="false">IF($D816&lt;&gt;1,"",IF(AND($G816="ROKS",$T816&gt;p_maxworkers),1,0))</f>
        <v/>
      </c>
      <c r="AF816" s="14" t="str">
        <f aca="false">IF($D816&lt;&gt;1,"",IF(INDEX(TblClusters[Environnement],$B816)="","(vide)",INDEX(TblClusters[Environnement],$B816)))</f>
        <v/>
      </c>
      <c r="AG816" s="14" t="str">
        <f aca="false">IF($D816&lt;&gt;1,"",$R816+p_poidsram*$S816)</f>
        <v/>
      </c>
      <c r="AH816" s="14" t="str">
        <f aca="false">IF($D816&lt;&gt;1,"",IFERROR($W816/$AG816,0))</f>
        <v/>
      </c>
      <c r="AI816" s="14" t="str">
        <f aca="false">IF($D816&lt;&gt;1,"",IF(AND($G816="IKS",ISNUMBER(INDEX(TblClusters[Fermeture retenue],$B816))),IF($E816&gt;=INDEX(TblClusters[Fermeture retenue],$B816),1,0),0))</f>
        <v/>
      </c>
    </row>
    <row r="817" customFormat="false" ht="15" hidden="false" customHeight="false" outlineLevel="0" collapsed="false">
      <c r="A817" s="14" t="n">
        <v>812</v>
      </c>
      <c r="B817" s="14" t="n">
        <f aca="false">INT(($A817-1)/36)+1</f>
        <v>23</v>
      </c>
      <c r="C817" s="14" t="n">
        <f aca="false">MOD($A817-1,36)+1</f>
        <v>20</v>
      </c>
      <c r="D817" s="14" t="n">
        <f aca="false">IF($C817&gt;p_horizon,0,IFERROR(IF(AND(INDEX(TblClusters[Cluster],$B817)&lt;&gt;"",ISNUMBER(INDEX(TblClusters[CPU initial (vCPU)],$B817)),ISNUMBER(INDEX(TblClusters[CPU min (vCPU)],$B817)),OR(INDEX(TblClusters[Plateforme],$B817)="IKS",INDEX(TblClusters[Plateforme],$B817)="ROKS")),1,0),0))</f>
        <v>0</v>
      </c>
      <c r="E817" s="83" t="str">
        <f aca="false">IF($D817=1,EDATE(p_debut,$C817-1),"")</f>
        <v/>
      </c>
      <c r="F817" s="14" t="str">
        <f aca="false">IF($D817=1,INDEX(TblClusters[Cluster],$B817),"")</f>
        <v/>
      </c>
      <c r="G817" s="14" t="str">
        <f aca="false">IF($D817=1,INDEX(TblClusters[Plateforme],$B817),"")</f>
        <v/>
      </c>
      <c r="H817" s="14" t="str">
        <f aca="false">IF($D817=1,INDEX(TblClusters[vCPU par nœud],$B817),"")</f>
        <v/>
      </c>
      <c r="I817" s="14" t="str">
        <f aca="false">IF($D817=1,INDEX(TblClusters[RAM par nœud (Go)],$B817),"")</f>
        <v/>
      </c>
      <c r="J817" s="14" t="str">
        <f aca="false">IF($D817=1,INDEX(TblClusters[Workers min],$B817),"")</f>
        <v/>
      </c>
      <c r="K817" s="84" t="str">
        <f aca="false">IF($D817=1,INDEX(TblClusters[Tarif par nœud],$B817),"")</f>
        <v/>
      </c>
      <c r="L817" s="14" t="str">
        <f aca="false">IF($D817=1,INDEX(TblClusters[CPU initial (vCPU)],$B817),"")</f>
        <v/>
      </c>
      <c r="M817" s="14" t="str">
        <f aca="false">IF($D817=1,INDEX(TblClusters[RAM initiale (Go)],$B817),"")</f>
        <v/>
      </c>
      <c r="N817" s="14" t="str">
        <f aca="false">IF($D817=1,INDEX(TblClusters[CPU min (vCPU)],$B817),"")</f>
        <v/>
      </c>
      <c r="O817" s="14" t="str">
        <f aca="false">IF($D817=1,INDEX(TblClusters[RAM min (Go)],$B817),"")</f>
        <v/>
      </c>
      <c r="P817" s="14" t="str">
        <f aca="false">IF($D817&lt;&gt;1,"",IF($G817="ROKS",SUMIFS(TblApplications[Besoin ROKS CPU (vCPU)],TblApplications[Cluster ROKS cible],$F817,TblApplications[Action],"À migrer",TblApplications[Déjà incluse ROKS],"Non",TblApplications[Mois prov (calc)],"&lt;="&amp;$E817),SUMIFS(TblApplications[CPU IKS libérable (vCPU)],TblApplications[Cluster IKS source],$F817,TblApplications[Mois lib (calc)],"&lt;="&amp;$E817)))</f>
        <v/>
      </c>
      <c r="Q817" s="14" t="str">
        <f aca="false">IF($D817&lt;&gt;1,"",IF($G817="ROKS",SUMIFS(TblApplications[Besoin ROKS RAM (Go)],TblApplications[Cluster ROKS cible],$F817,TblApplications[Action],"À migrer",TblApplications[Déjà incluse ROKS],"Non",TblApplications[Mois prov (calc)],"&lt;="&amp;$E817),SUMIFS(TblApplications[RAM IKS libérable (Go)],TblApplications[Cluster IKS source],$F817,TblApplications[Mois lib (calc)],"&lt;="&amp;$E817)))</f>
        <v/>
      </c>
      <c r="R817" s="14" t="str">
        <f aca="false">IF($D817&lt;&gt;1,"",IF($G817="ROKS",$L817+$P817,IF($AI817=1,0,MAX($N817,$L817-$P817))))</f>
        <v/>
      </c>
      <c r="S817" s="14" t="str">
        <f aca="false">IF($D817&lt;&gt;1,"",IF($G817="ROKS",$M817+$Q817,IF($AI817=1,0,MAX($O817,$M817-$Q817))))</f>
        <v/>
      </c>
      <c r="T817" s="14" t="str">
        <f aca="false">IF($D817&lt;&gt;1,"",IF($AI817=1,0,MAX($J817,ROUNDUP(MAX($R817/$H817,$S817/$I817),0))))</f>
        <v/>
      </c>
      <c r="U817" s="14" t="str">
        <f aca="false">IF($D817&lt;&gt;1,"",IF(p_mode="Nœud",$T817*$H817,$R817))</f>
        <v/>
      </c>
      <c r="V817" s="14" t="str">
        <f aca="false">IF($D817&lt;&gt;1,"",IF(p_mode="Nœud",$T817*$I817,$S817))</f>
        <v/>
      </c>
      <c r="W817" s="84" t="str">
        <f aca="false">IF($D817&lt;&gt;1,"",IF(p_mode="Nœud",$T817*$K817,$R817*IF($G817="IKS",p_iks_cpu,p_roks_cpu)+$S817*IF($G817="IKS",p_iks_ram,p_roks_ram))*p_facteur)</f>
        <v/>
      </c>
      <c r="X817" s="14" t="str">
        <f aca="false">IF($D817&lt;&gt;1,"",IF($G817="ROKS",$R817,IF($AI817=1,0,MAX($N817,$L817-SUMIFS(TblApplications[CPU IKS libérable (vCPU)],TblApplications[Cluster IKS source],$F817,TblApplications[Action],"À migrer",TblApplications[Mois prov (calc)],"&lt;="&amp;$E817)-SUMIFS(TblApplications[CPU IKS libérable (vCPU)],TblApplications[Cluster IKS source],$F817,TblApplications[Action],"À décommissionner",TblApplications[Mois lib (calc)],"&lt;="&amp;$E817)))))</f>
        <v/>
      </c>
      <c r="Y817" s="14" t="str">
        <f aca="false">IF($D817&lt;&gt;1,"",IF($G817="ROKS",$S817,IF($AI817=1,0,MAX($O817,$M817-SUMIFS(TblApplications[RAM IKS libérable (Go)],TblApplications[Cluster IKS source],$F817,TblApplications[Action],"À migrer",TblApplications[Mois prov (calc)],"&lt;="&amp;$E817)-SUMIFS(TblApplications[RAM IKS libérable (Go)],TblApplications[Cluster IKS source],$F817,TblApplications[Action],"À décommissionner",TblApplications[Mois lib (calc)],"&lt;="&amp;$E817)))))</f>
        <v/>
      </c>
      <c r="Z817" s="14" t="str">
        <f aca="false">IF($D817&lt;&gt;1,"",IF($AI817=1,0,MAX($J817,ROUNDUP(MAX($X817/$H817,$Y817/$I817),0))))</f>
        <v/>
      </c>
      <c r="AA817" s="84" t="str">
        <f aca="false">IF($D817&lt;&gt;1,"",IF(p_mode="Nœud",$Z817*$K817,$X817*IF($G817="IKS",p_iks_cpu,p_roks_cpu)+$Y817*IF($G817="IKS",p_iks_ram,p_roks_ram))*p_facteur)</f>
        <v/>
      </c>
      <c r="AB817" s="14" t="str">
        <f aca="false">IF($D817&lt;&gt;1,"",MAX($J817,ROUNDUP(MAX($L817/$H817,$M817/$I817),0)))</f>
        <v/>
      </c>
      <c r="AC817" s="84" t="str">
        <f aca="false">IF($D817&lt;&gt;1,"",IF(p_mode="Nœud",$AB817*$K817,$L817*IF($G817="IKS",p_iks_cpu,p_roks_cpu)+$M817*IF($G817="IKS",p_iks_ram,p_roks_ram))*p_facteur)</f>
        <v/>
      </c>
      <c r="AD817" s="14" t="str">
        <f aca="false">IF($D817&lt;&gt;1,"",IF(AND($G817="IKS",$AI817&lt;&gt;1,OR($L817-$P817&lt;$N817,$M817-$Q817&lt;$O817)),1,0))</f>
        <v/>
      </c>
      <c r="AE817" s="14" t="str">
        <f aca="false">IF($D817&lt;&gt;1,"",IF(AND($G817="ROKS",$T817&gt;p_maxworkers),1,0))</f>
        <v/>
      </c>
      <c r="AF817" s="14" t="str">
        <f aca="false">IF($D817&lt;&gt;1,"",IF(INDEX(TblClusters[Environnement],$B817)="","(vide)",INDEX(TblClusters[Environnement],$B817)))</f>
        <v/>
      </c>
      <c r="AG817" s="14" t="str">
        <f aca="false">IF($D817&lt;&gt;1,"",$R817+p_poidsram*$S817)</f>
        <v/>
      </c>
      <c r="AH817" s="14" t="str">
        <f aca="false">IF($D817&lt;&gt;1,"",IFERROR($W817/$AG817,0))</f>
        <v/>
      </c>
      <c r="AI817" s="14" t="str">
        <f aca="false">IF($D817&lt;&gt;1,"",IF(AND($G817="IKS",ISNUMBER(INDEX(TblClusters[Fermeture retenue],$B817))),IF($E817&gt;=INDEX(TblClusters[Fermeture retenue],$B817),1,0),0))</f>
        <v/>
      </c>
    </row>
    <row r="818" customFormat="false" ht="15" hidden="false" customHeight="false" outlineLevel="0" collapsed="false">
      <c r="A818" s="14" t="n">
        <v>813</v>
      </c>
      <c r="B818" s="14" t="n">
        <f aca="false">INT(($A818-1)/36)+1</f>
        <v>23</v>
      </c>
      <c r="C818" s="14" t="n">
        <f aca="false">MOD($A818-1,36)+1</f>
        <v>21</v>
      </c>
      <c r="D818" s="14" t="n">
        <f aca="false">IF($C818&gt;p_horizon,0,IFERROR(IF(AND(INDEX(TblClusters[Cluster],$B818)&lt;&gt;"",ISNUMBER(INDEX(TblClusters[CPU initial (vCPU)],$B818)),ISNUMBER(INDEX(TblClusters[CPU min (vCPU)],$B818)),OR(INDEX(TblClusters[Plateforme],$B818)="IKS",INDEX(TblClusters[Plateforme],$B818)="ROKS")),1,0),0))</f>
        <v>0</v>
      </c>
      <c r="E818" s="83" t="str">
        <f aca="false">IF($D818=1,EDATE(p_debut,$C818-1),"")</f>
        <v/>
      </c>
      <c r="F818" s="14" t="str">
        <f aca="false">IF($D818=1,INDEX(TblClusters[Cluster],$B818),"")</f>
        <v/>
      </c>
      <c r="G818" s="14" t="str">
        <f aca="false">IF($D818=1,INDEX(TblClusters[Plateforme],$B818),"")</f>
        <v/>
      </c>
      <c r="H818" s="14" t="str">
        <f aca="false">IF($D818=1,INDEX(TblClusters[vCPU par nœud],$B818),"")</f>
        <v/>
      </c>
      <c r="I818" s="14" t="str">
        <f aca="false">IF($D818=1,INDEX(TblClusters[RAM par nœud (Go)],$B818),"")</f>
        <v/>
      </c>
      <c r="J818" s="14" t="str">
        <f aca="false">IF($D818=1,INDEX(TblClusters[Workers min],$B818),"")</f>
        <v/>
      </c>
      <c r="K818" s="84" t="str">
        <f aca="false">IF($D818=1,INDEX(TblClusters[Tarif par nœud],$B818),"")</f>
        <v/>
      </c>
      <c r="L818" s="14" t="str">
        <f aca="false">IF($D818=1,INDEX(TblClusters[CPU initial (vCPU)],$B818),"")</f>
        <v/>
      </c>
      <c r="M818" s="14" t="str">
        <f aca="false">IF($D818=1,INDEX(TblClusters[RAM initiale (Go)],$B818),"")</f>
        <v/>
      </c>
      <c r="N818" s="14" t="str">
        <f aca="false">IF($D818=1,INDEX(TblClusters[CPU min (vCPU)],$B818),"")</f>
        <v/>
      </c>
      <c r="O818" s="14" t="str">
        <f aca="false">IF($D818=1,INDEX(TblClusters[RAM min (Go)],$B818),"")</f>
        <v/>
      </c>
      <c r="P818" s="14" t="str">
        <f aca="false">IF($D818&lt;&gt;1,"",IF($G818="ROKS",SUMIFS(TblApplications[Besoin ROKS CPU (vCPU)],TblApplications[Cluster ROKS cible],$F818,TblApplications[Action],"À migrer",TblApplications[Déjà incluse ROKS],"Non",TblApplications[Mois prov (calc)],"&lt;="&amp;$E818),SUMIFS(TblApplications[CPU IKS libérable (vCPU)],TblApplications[Cluster IKS source],$F818,TblApplications[Mois lib (calc)],"&lt;="&amp;$E818)))</f>
        <v/>
      </c>
      <c r="Q818" s="14" t="str">
        <f aca="false">IF($D818&lt;&gt;1,"",IF($G818="ROKS",SUMIFS(TblApplications[Besoin ROKS RAM (Go)],TblApplications[Cluster ROKS cible],$F818,TblApplications[Action],"À migrer",TblApplications[Déjà incluse ROKS],"Non",TblApplications[Mois prov (calc)],"&lt;="&amp;$E818),SUMIFS(TblApplications[RAM IKS libérable (Go)],TblApplications[Cluster IKS source],$F818,TblApplications[Mois lib (calc)],"&lt;="&amp;$E818)))</f>
        <v/>
      </c>
      <c r="R818" s="14" t="str">
        <f aca="false">IF($D818&lt;&gt;1,"",IF($G818="ROKS",$L818+$P818,IF($AI818=1,0,MAX($N818,$L818-$P818))))</f>
        <v/>
      </c>
      <c r="S818" s="14" t="str">
        <f aca="false">IF($D818&lt;&gt;1,"",IF($G818="ROKS",$M818+$Q818,IF($AI818=1,0,MAX($O818,$M818-$Q818))))</f>
        <v/>
      </c>
      <c r="T818" s="14" t="str">
        <f aca="false">IF($D818&lt;&gt;1,"",IF($AI818=1,0,MAX($J818,ROUNDUP(MAX($R818/$H818,$S818/$I818),0))))</f>
        <v/>
      </c>
      <c r="U818" s="14" t="str">
        <f aca="false">IF($D818&lt;&gt;1,"",IF(p_mode="Nœud",$T818*$H818,$R818))</f>
        <v/>
      </c>
      <c r="V818" s="14" t="str">
        <f aca="false">IF($D818&lt;&gt;1,"",IF(p_mode="Nœud",$T818*$I818,$S818))</f>
        <v/>
      </c>
      <c r="W818" s="84" t="str">
        <f aca="false">IF($D818&lt;&gt;1,"",IF(p_mode="Nœud",$T818*$K818,$R818*IF($G818="IKS",p_iks_cpu,p_roks_cpu)+$S818*IF($G818="IKS",p_iks_ram,p_roks_ram))*p_facteur)</f>
        <v/>
      </c>
      <c r="X818" s="14" t="str">
        <f aca="false">IF($D818&lt;&gt;1,"",IF($G818="ROKS",$R818,IF($AI818=1,0,MAX($N818,$L818-SUMIFS(TblApplications[CPU IKS libérable (vCPU)],TblApplications[Cluster IKS source],$F818,TblApplications[Action],"À migrer",TblApplications[Mois prov (calc)],"&lt;="&amp;$E818)-SUMIFS(TblApplications[CPU IKS libérable (vCPU)],TblApplications[Cluster IKS source],$F818,TblApplications[Action],"À décommissionner",TblApplications[Mois lib (calc)],"&lt;="&amp;$E818)))))</f>
        <v/>
      </c>
      <c r="Y818" s="14" t="str">
        <f aca="false">IF($D818&lt;&gt;1,"",IF($G818="ROKS",$S818,IF($AI818=1,0,MAX($O818,$M818-SUMIFS(TblApplications[RAM IKS libérable (Go)],TblApplications[Cluster IKS source],$F818,TblApplications[Action],"À migrer",TblApplications[Mois prov (calc)],"&lt;="&amp;$E818)-SUMIFS(TblApplications[RAM IKS libérable (Go)],TblApplications[Cluster IKS source],$F818,TblApplications[Action],"À décommissionner",TblApplications[Mois lib (calc)],"&lt;="&amp;$E818)))))</f>
        <v/>
      </c>
      <c r="Z818" s="14" t="str">
        <f aca="false">IF($D818&lt;&gt;1,"",IF($AI818=1,0,MAX($J818,ROUNDUP(MAX($X818/$H818,$Y818/$I818),0))))</f>
        <v/>
      </c>
      <c r="AA818" s="84" t="str">
        <f aca="false">IF($D818&lt;&gt;1,"",IF(p_mode="Nœud",$Z818*$K818,$X818*IF($G818="IKS",p_iks_cpu,p_roks_cpu)+$Y818*IF($G818="IKS",p_iks_ram,p_roks_ram))*p_facteur)</f>
        <v/>
      </c>
      <c r="AB818" s="14" t="str">
        <f aca="false">IF($D818&lt;&gt;1,"",MAX($J818,ROUNDUP(MAX($L818/$H818,$M818/$I818),0)))</f>
        <v/>
      </c>
      <c r="AC818" s="84" t="str">
        <f aca="false">IF($D818&lt;&gt;1,"",IF(p_mode="Nœud",$AB818*$K818,$L818*IF($G818="IKS",p_iks_cpu,p_roks_cpu)+$M818*IF($G818="IKS",p_iks_ram,p_roks_ram))*p_facteur)</f>
        <v/>
      </c>
      <c r="AD818" s="14" t="str">
        <f aca="false">IF($D818&lt;&gt;1,"",IF(AND($G818="IKS",$AI818&lt;&gt;1,OR($L818-$P818&lt;$N818,$M818-$Q818&lt;$O818)),1,0))</f>
        <v/>
      </c>
      <c r="AE818" s="14" t="str">
        <f aca="false">IF($D818&lt;&gt;1,"",IF(AND($G818="ROKS",$T818&gt;p_maxworkers),1,0))</f>
        <v/>
      </c>
      <c r="AF818" s="14" t="str">
        <f aca="false">IF($D818&lt;&gt;1,"",IF(INDEX(TblClusters[Environnement],$B818)="","(vide)",INDEX(TblClusters[Environnement],$B818)))</f>
        <v/>
      </c>
      <c r="AG818" s="14" t="str">
        <f aca="false">IF($D818&lt;&gt;1,"",$R818+p_poidsram*$S818)</f>
        <v/>
      </c>
      <c r="AH818" s="14" t="str">
        <f aca="false">IF($D818&lt;&gt;1,"",IFERROR($W818/$AG818,0))</f>
        <v/>
      </c>
      <c r="AI818" s="14" t="str">
        <f aca="false">IF($D818&lt;&gt;1,"",IF(AND($G818="IKS",ISNUMBER(INDEX(TblClusters[Fermeture retenue],$B818))),IF($E818&gt;=INDEX(TblClusters[Fermeture retenue],$B818),1,0),0))</f>
        <v/>
      </c>
    </row>
    <row r="819" customFormat="false" ht="15" hidden="false" customHeight="false" outlineLevel="0" collapsed="false">
      <c r="A819" s="14" t="n">
        <v>814</v>
      </c>
      <c r="B819" s="14" t="n">
        <f aca="false">INT(($A819-1)/36)+1</f>
        <v>23</v>
      </c>
      <c r="C819" s="14" t="n">
        <f aca="false">MOD($A819-1,36)+1</f>
        <v>22</v>
      </c>
      <c r="D819" s="14" t="n">
        <f aca="false">IF($C819&gt;p_horizon,0,IFERROR(IF(AND(INDEX(TblClusters[Cluster],$B819)&lt;&gt;"",ISNUMBER(INDEX(TblClusters[CPU initial (vCPU)],$B819)),ISNUMBER(INDEX(TblClusters[CPU min (vCPU)],$B819)),OR(INDEX(TblClusters[Plateforme],$B819)="IKS",INDEX(TblClusters[Plateforme],$B819)="ROKS")),1,0),0))</f>
        <v>0</v>
      </c>
      <c r="E819" s="83" t="str">
        <f aca="false">IF($D819=1,EDATE(p_debut,$C819-1),"")</f>
        <v/>
      </c>
      <c r="F819" s="14" t="str">
        <f aca="false">IF($D819=1,INDEX(TblClusters[Cluster],$B819),"")</f>
        <v/>
      </c>
      <c r="G819" s="14" t="str">
        <f aca="false">IF($D819=1,INDEX(TblClusters[Plateforme],$B819),"")</f>
        <v/>
      </c>
      <c r="H819" s="14" t="str">
        <f aca="false">IF($D819=1,INDEX(TblClusters[vCPU par nœud],$B819),"")</f>
        <v/>
      </c>
      <c r="I819" s="14" t="str">
        <f aca="false">IF($D819=1,INDEX(TblClusters[RAM par nœud (Go)],$B819),"")</f>
        <v/>
      </c>
      <c r="J819" s="14" t="str">
        <f aca="false">IF($D819=1,INDEX(TblClusters[Workers min],$B819),"")</f>
        <v/>
      </c>
      <c r="K819" s="84" t="str">
        <f aca="false">IF($D819=1,INDEX(TblClusters[Tarif par nœud],$B819),"")</f>
        <v/>
      </c>
      <c r="L819" s="14" t="str">
        <f aca="false">IF($D819=1,INDEX(TblClusters[CPU initial (vCPU)],$B819),"")</f>
        <v/>
      </c>
      <c r="M819" s="14" t="str">
        <f aca="false">IF($D819=1,INDEX(TblClusters[RAM initiale (Go)],$B819),"")</f>
        <v/>
      </c>
      <c r="N819" s="14" t="str">
        <f aca="false">IF($D819=1,INDEX(TblClusters[CPU min (vCPU)],$B819),"")</f>
        <v/>
      </c>
      <c r="O819" s="14" t="str">
        <f aca="false">IF($D819=1,INDEX(TblClusters[RAM min (Go)],$B819),"")</f>
        <v/>
      </c>
      <c r="P819" s="14" t="str">
        <f aca="false">IF($D819&lt;&gt;1,"",IF($G819="ROKS",SUMIFS(TblApplications[Besoin ROKS CPU (vCPU)],TblApplications[Cluster ROKS cible],$F819,TblApplications[Action],"À migrer",TblApplications[Déjà incluse ROKS],"Non",TblApplications[Mois prov (calc)],"&lt;="&amp;$E819),SUMIFS(TblApplications[CPU IKS libérable (vCPU)],TblApplications[Cluster IKS source],$F819,TblApplications[Mois lib (calc)],"&lt;="&amp;$E819)))</f>
        <v/>
      </c>
      <c r="Q819" s="14" t="str">
        <f aca="false">IF($D819&lt;&gt;1,"",IF($G819="ROKS",SUMIFS(TblApplications[Besoin ROKS RAM (Go)],TblApplications[Cluster ROKS cible],$F819,TblApplications[Action],"À migrer",TblApplications[Déjà incluse ROKS],"Non",TblApplications[Mois prov (calc)],"&lt;="&amp;$E819),SUMIFS(TblApplications[RAM IKS libérable (Go)],TblApplications[Cluster IKS source],$F819,TblApplications[Mois lib (calc)],"&lt;="&amp;$E819)))</f>
        <v/>
      </c>
      <c r="R819" s="14" t="str">
        <f aca="false">IF($D819&lt;&gt;1,"",IF($G819="ROKS",$L819+$P819,IF($AI819=1,0,MAX($N819,$L819-$P819))))</f>
        <v/>
      </c>
      <c r="S819" s="14" t="str">
        <f aca="false">IF($D819&lt;&gt;1,"",IF($G819="ROKS",$M819+$Q819,IF($AI819=1,0,MAX($O819,$M819-$Q819))))</f>
        <v/>
      </c>
      <c r="T819" s="14" t="str">
        <f aca="false">IF($D819&lt;&gt;1,"",IF($AI819=1,0,MAX($J819,ROUNDUP(MAX($R819/$H819,$S819/$I819),0))))</f>
        <v/>
      </c>
      <c r="U819" s="14" t="str">
        <f aca="false">IF($D819&lt;&gt;1,"",IF(p_mode="Nœud",$T819*$H819,$R819))</f>
        <v/>
      </c>
      <c r="V819" s="14" t="str">
        <f aca="false">IF($D819&lt;&gt;1,"",IF(p_mode="Nœud",$T819*$I819,$S819))</f>
        <v/>
      </c>
      <c r="W819" s="84" t="str">
        <f aca="false">IF($D819&lt;&gt;1,"",IF(p_mode="Nœud",$T819*$K819,$R819*IF($G819="IKS",p_iks_cpu,p_roks_cpu)+$S819*IF($G819="IKS",p_iks_ram,p_roks_ram))*p_facteur)</f>
        <v/>
      </c>
      <c r="X819" s="14" t="str">
        <f aca="false">IF($D819&lt;&gt;1,"",IF($G819="ROKS",$R819,IF($AI819=1,0,MAX($N819,$L819-SUMIFS(TblApplications[CPU IKS libérable (vCPU)],TblApplications[Cluster IKS source],$F819,TblApplications[Action],"À migrer",TblApplications[Mois prov (calc)],"&lt;="&amp;$E819)-SUMIFS(TblApplications[CPU IKS libérable (vCPU)],TblApplications[Cluster IKS source],$F819,TblApplications[Action],"À décommissionner",TblApplications[Mois lib (calc)],"&lt;="&amp;$E819)))))</f>
        <v/>
      </c>
      <c r="Y819" s="14" t="str">
        <f aca="false">IF($D819&lt;&gt;1,"",IF($G819="ROKS",$S819,IF($AI819=1,0,MAX($O819,$M819-SUMIFS(TblApplications[RAM IKS libérable (Go)],TblApplications[Cluster IKS source],$F819,TblApplications[Action],"À migrer",TblApplications[Mois prov (calc)],"&lt;="&amp;$E819)-SUMIFS(TblApplications[RAM IKS libérable (Go)],TblApplications[Cluster IKS source],$F819,TblApplications[Action],"À décommissionner",TblApplications[Mois lib (calc)],"&lt;="&amp;$E819)))))</f>
        <v/>
      </c>
      <c r="Z819" s="14" t="str">
        <f aca="false">IF($D819&lt;&gt;1,"",IF($AI819=1,0,MAX($J819,ROUNDUP(MAX($X819/$H819,$Y819/$I819),0))))</f>
        <v/>
      </c>
      <c r="AA819" s="84" t="str">
        <f aca="false">IF($D819&lt;&gt;1,"",IF(p_mode="Nœud",$Z819*$K819,$X819*IF($G819="IKS",p_iks_cpu,p_roks_cpu)+$Y819*IF($G819="IKS",p_iks_ram,p_roks_ram))*p_facteur)</f>
        <v/>
      </c>
      <c r="AB819" s="14" t="str">
        <f aca="false">IF($D819&lt;&gt;1,"",MAX($J819,ROUNDUP(MAX($L819/$H819,$M819/$I819),0)))</f>
        <v/>
      </c>
      <c r="AC819" s="84" t="str">
        <f aca="false">IF($D819&lt;&gt;1,"",IF(p_mode="Nœud",$AB819*$K819,$L819*IF($G819="IKS",p_iks_cpu,p_roks_cpu)+$M819*IF($G819="IKS",p_iks_ram,p_roks_ram))*p_facteur)</f>
        <v/>
      </c>
      <c r="AD819" s="14" t="str">
        <f aca="false">IF($D819&lt;&gt;1,"",IF(AND($G819="IKS",$AI819&lt;&gt;1,OR($L819-$P819&lt;$N819,$M819-$Q819&lt;$O819)),1,0))</f>
        <v/>
      </c>
      <c r="AE819" s="14" t="str">
        <f aca="false">IF($D819&lt;&gt;1,"",IF(AND($G819="ROKS",$T819&gt;p_maxworkers),1,0))</f>
        <v/>
      </c>
      <c r="AF819" s="14" t="str">
        <f aca="false">IF($D819&lt;&gt;1,"",IF(INDEX(TblClusters[Environnement],$B819)="","(vide)",INDEX(TblClusters[Environnement],$B819)))</f>
        <v/>
      </c>
      <c r="AG819" s="14" t="str">
        <f aca="false">IF($D819&lt;&gt;1,"",$R819+p_poidsram*$S819)</f>
        <v/>
      </c>
      <c r="AH819" s="14" t="str">
        <f aca="false">IF($D819&lt;&gt;1,"",IFERROR($W819/$AG819,0))</f>
        <v/>
      </c>
      <c r="AI819" s="14" t="str">
        <f aca="false">IF($D819&lt;&gt;1,"",IF(AND($G819="IKS",ISNUMBER(INDEX(TblClusters[Fermeture retenue],$B819))),IF($E819&gt;=INDEX(TblClusters[Fermeture retenue],$B819),1,0),0))</f>
        <v/>
      </c>
    </row>
    <row r="820" customFormat="false" ht="15" hidden="false" customHeight="false" outlineLevel="0" collapsed="false">
      <c r="A820" s="14" t="n">
        <v>815</v>
      </c>
      <c r="B820" s="14" t="n">
        <f aca="false">INT(($A820-1)/36)+1</f>
        <v>23</v>
      </c>
      <c r="C820" s="14" t="n">
        <f aca="false">MOD($A820-1,36)+1</f>
        <v>23</v>
      </c>
      <c r="D820" s="14" t="n">
        <f aca="false">IF($C820&gt;p_horizon,0,IFERROR(IF(AND(INDEX(TblClusters[Cluster],$B820)&lt;&gt;"",ISNUMBER(INDEX(TblClusters[CPU initial (vCPU)],$B820)),ISNUMBER(INDEX(TblClusters[CPU min (vCPU)],$B820)),OR(INDEX(TblClusters[Plateforme],$B820)="IKS",INDEX(TblClusters[Plateforme],$B820)="ROKS")),1,0),0))</f>
        <v>0</v>
      </c>
      <c r="E820" s="83" t="str">
        <f aca="false">IF($D820=1,EDATE(p_debut,$C820-1),"")</f>
        <v/>
      </c>
      <c r="F820" s="14" t="str">
        <f aca="false">IF($D820=1,INDEX(TblClusters[Cluster],$B820),"")</f>
        <v/>
      </c>
      <c r="G820" s="14" t="str">
        <f aca="false">IF($D820=1,INDEX(TblClusters[Plateforme],$B820),"")</f>
        <v/>
      </c>
      <c r="H820" s="14" t="str">
        <f aca="false">IF($D820=1,INDEX(TblClusters[vCPU par nœud],$B820),"")</f>
        <v/>
      </c>
      <c r="I820" s="14" t="str">
        <f aca="false">IF($D820=1,INDEX(TblClusters[RAM par nœud (Go)],$B820),"")</f>
        <v/>
      </c>
      <c r="J820" s="14" t="str">
        <f aca="false">IF($D820=1,INDEX(TblClusters[Workers min],$B820),"")</f>
        <v/>
      </c>
      <c r="K820" s="84" t="str">
        <f aca="false">IF($D820=1,INDEX(TblClusters[Tarif par nœud],$B820),"")</f>
        <v/>
      </c>
      <c r="L820" s="14" t="str">
        <f aca="false">IF($D820=1,INDEX(TblClusters[CPU initial (vCPU)],$B820),"")</f>
        <v/>
      </c>
      <c r="M820" s="14" t="str">
        <f aca="false">IF($D820=1,INDEX(TblClusters[RAM initiale (Go)],$B820),"")</f>
        <v/>
      </c>
      <c r="N820" s="14" t="str">
        <f aca="false">IF($D820=1,INDEX(TblClusters[CPU min (vCPU)],$B820),"")</f>
        <v/>
      </c>
      <c r="O820" s="14" t="str">
        <f aca="false">IF($D820=1,INDEX(TblClusters[RAM min (Go)],$B820),"")</f>
        <v/>
      </c>
      <c r="P820" s="14" t="str">
        <f aca="false">IF($D820&lt;&gt;1,"",IF($G820="ROKS",SUMIFS(TblApplications[Besoin ROKS CPU (vCPU)],TblApplications[Cluster ROKS cible],$F820,TblApplications[Action],"À migrer",TblApplications[Déjà incluse ROKS],"Non",TblApplications[Mois prov (calc)],"&lt;="&amp;$E820),SUMIFS(TblApplications[CPU IKS libérable (vCPU)],TblApplications[Cluster IKS source],$F820,TblApplications[Mois lib (calc)],"&lt;="&amp;$E820)))</f>
        <v/>
      </c>
      <c r="Q820" s="14" t="str">
        <f aca="false">IF($D820&lt;&gt;1,"",IF($G820="ROKS",SUMIFS(TblApplications[Besoin ROKS RAM (Go)],TblApplications[Cluster ROKS cible],$F820,TblApplications[Action],"À migrer",TblApplications[Déjà incluse ROKS],"Non",TblApplications[Mois prov (calc)],"&lt;="&amp;$E820),SUMIFS(TblApplications[RAM IKS libérable (Go)],TblApplications[Cluster IKS source],$F820,TblApplications[Mois lib (calc)],"&lt;="&amp;$E820)))</f>
        <v/>
      </c>
      <c r="R820" s="14" t="str">
        <f aca="false">IF($D820&lt;&gt;1,"",IF($G820="ROKS",$L820+$P820,IF($AI820=1,0,MAX($N820,$L820-$P820))))</f>
        <v/>
      </c>
      <c r="S820" s="14" t="str">
        <f aca="false">IF($D820&lt;&gt;1,"",IF($G820="ROKS",$M820+$Q820,IF($AI820=1,0,MAX($O820,$M820-$Q820))))</f>
        <v/>
      </c>
      <c r="T820" s="14" t="str">
        <f aca="false">IF($D820&lt;&gt;1,"",IF($AI820=1,0,MAX($J820,ROUNDUP(MAX($R820/$H820,$S820/$I820),0))))</f>
        <v/>
      </c>
      <c r="U820" s="14" t="str">
        <f aca="false">IF($D820&lt;&gt;1,"",IF(p_mode="Nœud",$T820*$H820,$R820))</f>
        <v/>
      </c>
      <c r="V820" s="14" t="str">
        <f aca="false">IF($D820&lt;&gt;1,"",IF(p_mode="Nœud",$T820*$I820,$S820))</f>
        <v/>
      </c>
      <c r="W820" s="84" t="str">
        <f aca="false">IF($D820&lt;&gt;1,"",IF(p_mode="Nœud",$T820*$K820,$R820*IF($G820="IKS",p_iks_cpu,p_roks_cpu)+$S820*IF($G820="IKS",p_iks_ram,p_roks_ram))*p_facteur)</f>
        <v/>
      </c>
      <c r="X820" s="14" t="str">
        <f aca="false">IF($D820&lt;&gt;1,"",IF($G820="ROKS",$R820,IF($AI820=1,0,MAX($N820,$L820-SUMIFS(TblApplications[CPU IKS libérable (vCPU)],TblApplications[Cluster IKS source],$F820,TblApplications[Action],"À migrer",TblApplications[Mois prov (calc)],"&lt;="&amp;$E820)-SUMIFS(TblApplications[CPU IKS libérable (vCPU)],TblApplications[Cluster IKS source],$F820,TblApplications[Action],"À décommissionner",TblApplications[Mois lib (calc)],"&lt;="&amp;$E820)))))</f>
        <v/>
      </c>
      <c r="Y820" s="14" t="str">
        <f aca="false">IF($D820&lt;&gt;1,"",IF($G820="ROKS",$S820,IF($AI820=1,0,MAX($O820,$M820-SUMIFS(TblApplications[RAM IKS libérable (Go)],TblApplications[Cluster IKS source],$F820,TblApplications[Action],"À migrer",TblApplications[Mois prov (calc)],"&lt;="&amp;$E820)-SUMIFS(TblApplications[RAM IKS libérable (Go)],TblApplications[Cluster IKS source],$F820,TblApplications[Action],"À décommissionner",TblApplications[Mois lib (calc)],"&lt;="&amp;$E820)))))</f>
        <v/>
      </c>
      <c r="Z820" s="14" t="str">
        <f aca="false">IF($D820&lt;&gt;1,"",IF($AI820=1,0,MAX($J820,ROUNDUP(MAX($X820/$H820,$Y820/$I820),0))))</f>
        <v/>
      </c>
      <c r="AA820" s="84" t="str">
        <f aca="false">IF($D820&lt;&gt;1,"",IF(p_mode="Nœud",$Z820*$K820,$X820*IF($G820="IKS",p_iks_cpu,p_roks_cpu)+$Y820*IF($G820="IKS",p_iks_ram,p_roks_ram))*p_facteur)</f>
        <v/>
      </c>
      <c r="AB820" s="14" t="str">
        <f aca="false">IF($D820&lt;&gt;1,"",MAX($J820,ROUNDUP(MAX($L820/$H820,$M820/$I820),0)))</f>
        <v/>
      </c>
      <c r="AC820" s="84" t="str">
        <f aca="false">IF($D820&lt;&gt;1,"",IF(p_mode="Nœud",$AB820*$K820,$L820*IF($G820="IKS",p_iks_cpu,p_roks_cpu)+$M820*IF($G820="IKS",p_iks_ram,p_roks_ram))*p_facteur)</f>
        <v/>
      </c>
      <c r="AD820" s="14" t="str">
        <f aca="false">IF($D820&lt;&gt;1,"",IF(AND($G820="IKS",$AI820&lt;&gt;1,OR($L820-$P820&lt;$N820,$M820-$Q820&lt;$O820)),1,0))</f>
        <v/>
      </c>
      <c r="AE820" s="14" t="str">
        <f aca="false">IF($D820&lt;&gt;1,"",IF(AND($G820="ROKS",$T820&gt;p_maxworkers),1,0))</f>
        <v/>
      </c>
      <c r="AF820" s="14" t="str">
        <f aca="false">IF($D820&lt;&gt;1,"",IF(INDEX(TblClusters[Environnement],$B820)="","(vide)",INDEX(TblClusters[Environnement],$B820)))</f>
        <v/>
      </c>
      <c r="AG820" s="14" t="str">
        <f aca="false">IF($D820&lt;&gt;1,"",$R820+p_poidsram*$S820)</f>
        <v/>
      </c>
      <c r="AH820" s="14" t="str">
        <f aca="false">IF($D820&lt;&gt;1,"",IFERROR($W820/$AG820,0))</f>
        <v/>
      </c>
      <c r="AI820" s="14" t="str">
        <f aca="false">IF($D820&lt;&gt;1,"",IF(AND($G820="IKS",ISNUMBER(INDEX(TblClusters[Fermeture retenue],$B820))),IF($E820&gt;=INDEX(TblClusters[Fermeture retenue],$B820),1,0),0))</f>
        <v/>
      </c>
    </row>
    <row r="821" customFormat="false" ht="15" hidden="false" customHeight="false" outlineLevel="0" collapsed="false">
      <c r="A821" s="14" t="n">
        <v>816</v>
      </c>
      <c r="B821" s="14" t="n">
        <f aca="false">INT(($A821-1)/36)+1</f>
        <v>23</v>
      </c>
      <c r="C821" s="14" t="n">
        <f aca="false">MOD($A821-1,36)+1</f>
        <v>24</v>
      </c>
      <c r="D821" s="14" t="n">
        <f aca="false">IF($C821&gt;p_horizon,0,IFERROR(IF(AND(INDEX(TblClusters[Cluster],$B821)&lt;&gt;"",ISNUMBER(INDEX(TblClusters[CPU initial (vCPU)],$B821)),ISNUMBER(INDEX(TblClusters[CPU min (vCPU)],$B821)),OR(INDEX(TblClusters[Plateforme],$B821)="IKS",INDEX(TblClusters[Plateforme],$B821)="ROKS")),1,0),0))</f>
        <v>0</v>
      </c>
      <c r="E821" s="83" t="str">
        <f aca="false">IF($D821=1,EDATE(p_debut,$C821-1),"")</f>
        <v/>
      </c>
      <c r="F821" s="14" t="str">
        <f aca="false">IF($D821=1,INDEX(TblClusters[Cluster],$B821),"")</f>
        <v/>
      </c>
      <c r="G821" s="14" t="str">
        <f aca="false">IF($D821=1,INDEX(TblClusters[Plateforme],$B821),"")</f>
        <v/>
      </c>
      <c r="H821" s="14" t="str">
        <f aca="false">IF($D821=1,INDEX(TblClusters[vCPU par nœud],$B821),"")</f>
        <v/>
      </c>
      <c r="I821" s="14" t="str">
        <f aca="false">IF($D821=1,INDEX(TblClusters[RAM par nœud (Go)],$B821),"")</f>
        <v/>
      </c>
      <c r="J821" s="14" t="str">
        <f aca="false">IF($D821=1,INDEX(TblClusters[Workers min],$B821),"")</f>
        <v/>
      </c>
      <c r="K821" s="84" t="str">
        <f aca="false">IF($D821=1,INDEX(TblClusters[Tarif par nœud],$B821),"")</f>
        <v/>
      </c>
      <c r="L821" s="14" t="str">
        <f aca="false">IF($D821=1,INDEX(TblClusters[CPU initial (vCPU)],$B821),"")</f>
        <v/>
      </c>
      <c r="M821" s="14" t="str">
        <f aca="false">IF($D821=1,INDEX(TblClusters[RAM initiale (Go)],$B821),"")</f>
        <v/>
      </c>
      <c r="N821" s="14" t="str">
        <f aca="false">IF($D821=1,INDEX(TblClusters[CPU min (vCPU)],$B821),"")</f>
        <v/>
      </c>
      <c r="O821" s="14" t="str">
        <f aca="false">IF($D821=1,INDEX(TblClusters[RAM min (Go)],$B821),"")</f>
        <v/>
      </c>
      <c r="P821" s="14" t="str">
        <f aca="false">IF($D821&lt;&gt;1,"",IF($G821="ROKS",SUMIFS(TblApplications[Besoin ROKS CPU (vCPU)],TblApplications[Cluster ROKS cible],$F821,TblApplications[Action],"À migrer",TblApplications[Déjà incluse ROKS],"Non",TblApplications[Mois prov (calc)],"&lt;="&amp;$E821),SUMIFS(TblApplications[CPU IKS libérable (vCPU)],TblApplications[Cluster IKS source],$F821,TblApplications[Mois lib (calc)],"&lt;="&amp;$E821)))</f>
        <v/>
      </c>
      <c r="Q821" s="14" t="str">
        <f aca="false">IF($D821&lt;&gt;1,"",IF($G821="ROKS",SUMIFS(TblApplications[Besoin ROKS RAM (Go)],TblApplications[Cluster ROKS cible],$F821,TblApplications[Action],"À migrer",TblApplications[Déjà incluse ROKS],"Non",TblApplications[Mois prov (calc)],"&lt;="&amp;$E821),SUMIFS(TblApplications[RAM IKS libérable (Go)],TblApplications[Cluster IKS source],$F821,TblApplications[Mois lib (calc)],"&lt;="&amp;$E821)))</f>
        <v/>
      </c>
      <c r="R821" s="14" t="str">
        <f aca="false">IF($D821&lt;&gt;1,"",IF($G821="ROKS",$L821+$P821,IF($AI821=1,0,MAX($N821,$L821-$P821))))</f>
        <v/>
      </c>
      <c r="S821" s="14" t="str">
        <f aca="false">IF($D821&lt;&gt;1,"",IF($G821="ROKS",$M821+$Q821,IF($AI821=1,0,MAX($O821,$M821-$Q821))))</f>
        <v/>
      </c>
      <c r="T821" s="14" t="str">
        <f aca="false">IF($D821&lt;&gt;1,"",IF($AI821=1,0,MAX($J821,ROUNDUP(MAX($R821/$H821,$S821/$I821),0))))</f>
        <v/>
      </c>
      <c r="U821" s="14" t="str">
        <f aca="false">IF($D821&lt;&gt;1,"",IF(p_mode="Nœud",$T821*$H821,$R821))</f>
        <v/>
      </c>
      <c r="V821" s="14" t="str">
        <f aca="false">IF($D821&lt;&gt;1,"",IF(p_mode="Nœud",$T821*$I821,$S821))</f>
        <v/>
      </c>
      <c r="W821" s="84" t="str">
        <f aca="false">IF($D821&lt;&gt;1,"",IF(p_mode="Nœud",$T821*$K821,$R821*IF($G821="IKS",p_iks_cpu,p_roks_cpu)+$S821*IF($G821="IKS",p_iks_ram,p_roks_ram))*p_facteur)</f>
        <v/>
      </c>
      <c r="X821" s="14" t="str">
        <f aca="false">IF($D821&lt;&gt;1,"",IF($G821="ROKS",$R821,IF($AI821=1,0,MAX($N821,$L821-SUMIFS(TblApplications[CPU IKS libérable (vCPU)],TblApplications[Cluster IKS source],$F821,TblApplications[Action],"À migrer",TblApplications[Mois prov (calc)],"&lt;="&amp;$E821)-SUMIFS(TblApplications[CPU IKS libérable (vCPU)],TblApplications[Cluster IKS source],$F821,TblApplications[Action],"À décommissionner",TblApplications[Mois lib (calc)],"&lt;="&amp;$E821)))))</f>
        <v/>
      </c>
      <c r="Y821" s="14" t="str">
        <f aca="false">IF($D821&lt;&gt;1,"",IF($G821="ROKS",$S821,IF($AI821=1,0,MAX($O821,$M821-SUMIFS(TblApplications[RAM IKS libérable (Go)],TblApplications[Cluster IKS source],$F821,TblApplications[Action],"À migrer",TblApplications[Mois prov (calc)],"&lt;="&amp;$E821)-SUMIFS(TblApplications[RAM IKS libérable (Go)],TblApplications[Cluster IKS source],$F821,TblApplications[Action],"À décommissionner",TblApplications[Mois lib (calc)],"&lt;="&amp;$E821)))))</f>
        <v/>
      </c>
      <c r="Z821" s="14" t="str">
        <f aca="false">IF($D821&lt;&gt;1,"",IF($AI821=1,0,MAX($J821,ROUNDUP(MAX($X821/$H821,$Y821/$I821),0))))</f>
        <v/>
      </c>
      <c r="AA821" s="84" t="str">
        <f aca="false">IF($D821&lt;&gt;1,"",IF(p_mode="Nœud",$Z821*$K821,$X821*IF($G821="IKS",p_iks_cpu,p_roks_cpu)+$Y821*IF($G821="IKS",p_iks_ram,p_roks_ram))*p_facteur)</f>
        <v/>
      </c>
      <c r="AB821" s="14" t="str">
        <f aca="false">IF($D821&lt;&gt;1,"",MAX($J821,ROUNDUP(MAX($L821/$H821,$M821/$I821),0)))</f>
        <v/>
      </c>
      <c r="AC821" s="84" t="str">
        <f aca="false">IF($D821&lt;&gt;1,"",IF(p_mode="Nœud",$AB821*$K821,$L821*IF($G821="IKS",p_iks_cpu,p_roks_cpu)+$M821*IF($G821="IKS",p_iks_ram,p_roks_ram))*p_facteur)</f>
        <v/>
      </c>
      <c r="AD821" s="14" t="str">
        <f aca="false">IF($D821&lt;&gt;1,"",IF(AND($G821="IKS",$AI821&lt;&gt;1,OR($L821-$P821&lt;$N821,$M821-$Q821&lt;$O821)),1,0))</f>
        <v/>
      </c>
      <c r="AE821" s="14" t="str">
        <f aca="false">IF($D821&lt;&gt;1,"",IF(AND($G821="ROKS",$T821&gt;p_maxworkers),1,0))</f>
        <v/>
      </c>
      <c r="AF821" s="14" t="str">
        <f aca="false">IF($D821&lt;&gt;1,"",IF(INDEX(TblClusters[Environnement],$B821)="","(vide)",INDEX(TblClusters[Environnement],$B821)))</f>
        <v/>
      </c>
      <c r="AG821" s="14" t="str">
        <f aca="false">IF($D821&lt;&gt;1,"",$R821+p_poidsram*$S821)</f>
        <v/>
      </c>
      <c r="AH821" s="14" t="str">
        <f aca="false">IF($D821&lt;&gt;1,"",IFERROR($W821/$AG821,0))</f>
        <v/>
      </c>
      <c r="AI821" s="14" t="str">
        <f aca="false">IF($D821&lt;&gt;1,"",IF(AND($G821="IKS",ISNUMBER(INDEX(TblClusters[Fermeture retenue],$B821))),IF($E821&gt;=INDEX(TblClusters[Fermeture retenue],$B821),1,0),0))</f>
        <v/>
      </c>
    </row>
    <row r="822" customFormat="false" ht="15" hidden="false" customHeight="false" outlineLevel="0" collapsed="false">
      <c r="A822" s="14" t="n">
        <v>817</v>
      </c>
      <c r="B822" s="14" t="n">
        <f aca="false">INT(($A822-1)/36)+1</f>
        <v>23</v>
      </c>
      <c r="C822" s="14" t="n">
        <f aca="false">MOD($A822-1,36)+1</f>
        <v>25</v>
      </c>
      <c r="D822" s="14" t="n">
        <f aca="false">IF($C822&gt;p_horizon,0,IFERROR(IF(AND(INDEX(TblClusters[Cluster],$B822)&lt;&gt;"",ISNUMBER(INDEX(TblClusters[CPU initial (vCPU)],$B822)),ISNUMBER(INDEX(TblClusters[CPU min (vCPU)],$B822)),OR(INDEX(TblClusters[Plateforme],$B822)="IKS",INDEX(TblClusters[Plateforme],$B822)="ROKS")),1,0),0))</f>
        <v>0</v>
      </c>
      <c r="E822" s="83" t="str">
        <f aca="false">IF($D822=1,EDATE(p_debut,$C822-1),"")</f>
        <v/>
      </c>
      <c r="F822" s="14" t="str">
        <f aca="false">IF($D822=1,INDEX(TblClusters[Cluster],$B822),"")</f>
        <v/>
      </c>
      <c r="G822" s="14" t="str">
        <f aca="false">IF($D822=1,INDEX(TblClusters[Plateforme],$B822),"")</f>
        <v/>
      </c>
      <c r="H822" s="14" t="str">
        <f aca="false">IF($D822=1,INDEX(TblClusters[vCPU par nœud],$B822),"")</f>
        <v/>
      </c>
      <c r="I822" s="14" t="str">
        <f aca="false">IF($D822=1,INDEX(TblClusters[RAM par nœud (Go)],$B822),"")</f>
        <v/>
      </c>
      <c r="J822" s="14" t="str">
        <f aca="false">IF($D822=1,INDEX(TblClusters[Workers min],$B822),"")</f>
        <v/>
      </c>
      <c r="K822" s="84" t="str">
        <f aca="false">IF($D822=1,INDEX(TblClusters[Tarif par nœud],$B822),"")</f>
        <v/>
      </c>
      <c r="L822" s="14" t="str">
        <f aca="false">IF($D822=1,INDEX(TblClusters[CPU initial (vCPU)],$B822),"")</f>
        <v/>
      </c>
      <c r="M822" s="14" t="str">
        <f aca="false">IF($D822=1,INDEX(TblClusters[RAM initiale (Go)],$B822),"")</f>
        <v/>
      </c>
      <c r="N822" s="14" t="str">
        <f aca="false">IF($D822=1,INDEX(TblClusters[CPU min (vCPU)],$B822),"")</f>
        <v/>
      </c>
      <c r="O822" s="14" t="str">
        <f aca="false">IF($D822=1,INDEX(TblClusters[RAM min (Go)],$B822),"")</f>
        <v/>
      </c>
      <c r="P822" s="14" t="str">
        <f aca="false">IF($D822&lt;&gt;1,"",IF($G822="ROKS",SUMIFS(TblApplications[Besoin ROKS CPU (vCPU)],TblApplications[Cluster ROKS cible],$F822,TblApplications[Action],"À migrer",TblApplications[Déjà incluse ROKS],"Non",TblApplications[Mois prov (calc)],"&lt;="&amp;$E822),SUMIFS(TblApplications[CPU IKS libérable (vCPU)],TblApplications[Cluster IKS source],$F822,TblApplications[Mois lib (calc)],"&lt;="&amp;$E822)))</f>
        <v/>
      </c>
      <c r="Q822" s="14" t="str">
        <f aca="false">IF($D822&lt;&gt;1,"",IF($G822="ROKS",SUMIFS(TblApplications[Besoin ROKS RAM (Go)],TblApplications[Cluster ROKS cible],$F822,TblApplications[Action],"À migrer",TblApplications[Déjà incluse ROKS],"Non",TblApplications[Mois prov (calc)],"&lt;="&amp;$E822),SUMIFS(TblApplications[RAM IKS libérable (Go)],TblApplications[Cluster IKS source],$F822,TblApplications[Mois lib (calc)],"&lt;="&amp;$E822)))</f>
        <v/>
      </c>
      <c r="R822" s="14" t="str">
        <f aca="false">IF($D822&lt;&gt;1,"",IF($G822="ROKS",$L822+$P822,IF($AI822=1,0,MAX($N822,$L822-$P822))))</f>
        <v/>
      </c>
      <c r="S822" s="14" t="str">
        <f aca="false">IF($D822&lt;&gt;1,"",IF($G822="ROKS",$M822+$Q822,IF($AI822=1,0,MAX($O822,$M822-$Q822))))</f>
        <v/>
      </c>
      <c r="T822" s="14" t="str">
        <f aca="false">IF($D822&lt;&gt;1,"",IF($AI822=1,0,MAX($J822,ROUNDUP(MAX($R822/$H822,$S822/$I822),0))))</f>
        <v/>
      </c>
      <c r="U822" s="14" t="str">
        <f aca="false">IF($D822&lt;&gt;1,"",IF(p_mode="Nœud",$T822*$H822,$R822))</f>
        <v/>
      </c>
      <c r="V822" s="14" t="str">
        <f aca="false">IF($D822&lt;&gt;1,"",IF(p_mode="Nœud",$T822*$I822,$S822))</f>
        <v/>
      </c>
      <c r="W822" s="84" t="str">
        <f aca="false">IF($D822&lt;&gt;1,"",IF(p_mode="Nœud",$T822*$K822,$R822*IF($G822="IKS",p_iks_cpu,p_roks_cpu)+$S822*IF($G822="IKS",p_iks_ram,p_roks_ram))*p_facteur)</f>
        <v/>
      </c>
      <c r="X822" s="14" t="str">
        <f aca="false">IF($D822&lt;&gt;1,"",IF($G822="ROKS",$R822,IF($AI822=1,0,MAX($N822,$L822-SUMIFS(TblApplications[CPU IKS libérable (vCPU)],TblApplications[Cluster IKS source],$F822,TblApplications[Action],"À migrer",TblApplications[Mois prov (calc)],"&lt;="&amp;$E822)-SUMIFS(TblApplications[CPU IKS libérable (vCPU)],TblApplications[Cluster IKS source],$F822,TblApplications[Action],"À décommissionner",TblApplications[Mois lib (calc)],"&lt;="&amp;$E822)))))</f>
        <v/>
      </c>
      <c r="Y822" s="14" t="str">
        <f aca="false">IF($D822&lt;&gt;1,"",IF($G822="ROKS",$S822,IF($AI822=1,0,MAX($O822,$M822-SUMIFS(TblApplications[RAM IKS libérable (Go)],TblApplications[Cluster IKS source],$F822,TblApplications[Action],"À migrer",TblApplications[Mois prov (calc)],"&lt;="&amp;$E822)-SUMIFS(TblApplications[RAM IKS libérable (Go)],TblApplications[Cluster IKS source],$F822,TblApplications[Action],"À décommissionner",TblApplications[Mois lib (calc)],"&lt;="&amp;$E822)))))</f>
        <v/>
      </c>
      <c r="Z822" s="14" t="str">
        <f aca="false">IF($D822&lt;&gt;1,"",IF($AI822=1,0,MAX($J822,ROUNDUP(MAX($X822/$H822,$Y822/$I822),0))))</f>
        <v/>
      </c>
      <c r="AA822" s="84" t="str">
        <f aca="false">IF($D822&lt;&gt;1,"",IF(p_mode="Nœud",$Z822*$K822,$X822*IF($G822="IKS",p_iks_cpu,p_roks_cpu)+$Y822*IF($G822="IKS",p_iks_ram,p_roks_ram))*p_facteur)</f>
        <v/>
      </c>
      <c r="AB822" s="14" t="str">
        <f aca="false">IF($D822&lt;&gt;1,"",MAX($J822,ROUNDUP(MAX($L822/$H822,$M822/$I822),0)))</f>
        <v/>
      </c>
      <c r="AC822" s="84" t="str">
        <f aca="false">IF($D822&lt;&gt;1,"",IF(p_mode="Nœud",$AB822*$K822,$L822*IF($G822="IKS",p_iks_cpu,p_roks_cpu)+$M822*IF($G822="IKS",p_iks_ram,p_roks_ram))*p_facteur)</f>
        <v/>
      </c>
      <c r="AD822" s="14" t="str">
        <f aca="false">IF($D822&lt;&gt;1,"",IF(AND($G822="IKS",$AI822&lt;&gt;1,OR($L822-$P822&lt;$N822,$M822-$Q822&lt;$O822)),1,0))</f>
        <v/>
      </c>
      <c r="AE822" s="14" t="str">
        <f aca="false">IF($D822&lt;&gt;1,"",IF(AND($G822="ROKS",$T822&gt;p_maxworkers),1,0))</f>
        <v/>
      </c>
      <c r="AF822" s="14" t="str">
        <f aca="false">IF($D822&lt;&gt;1,"",IF(INDEX(TblClusters[Environnement],$B822)="","(vide)",INDEX(TblClusters[Environnement],$B822)))</f>
        <v/>
      </c>
      <c r="AG822" s="14" t="str">
        <f aca="false">IF($D822&lt;&gt;1,"",$R822+p_poidsram*$S822)</f>
        <v/>
      </c>
      <c r="AH822" s="14" t="str">
        <f aca="false">IF($D822&lt;&gt;1,"",IFERROR($W822/$AG822,0))</f>
        <v/>
      </c>
      <c r="AI822" s="14" t="str">
        <f aca="false">IF($D822&lt;&gt;1,"",IF(AND($G822="IKS",ISNUMBER(INDEX(TblClusters[Fermeture retenue],$B822))),IF($E822&gt;=INDEX(TblClusters[Fermeture retenue],$B822),1,0),0))</f>
        <v/>
      </c>
    </row>
    <row r="823" customFormat="false" ht="15" hidden="false" customHeight="false" outlineLevel="0" collapsed="false">
      <c r="A823" s="14" t="n">
        <v>818</v>
      </c>
      <c r="B823" s="14" t="n">
        <f aca="false">INT(($A823-1)/36)+1</f>
        <v>23</v>
      </c>
      <c r="C823" s="14" t="n">
        <f aca="false">MOD($A823-1,36)+1</f>
        <v>26</v>
      </c>
      <c r="D823" s="14" t="n">
        <f aca="false">IF($C823&gt;p_horizon,0,IFERROR(IF(AND(INDEX(TblClusters[Cluster],$B823)&lt;&gt;"",ISNUMBER(INDEX(TblClusters[CPU initial (vCPU)],$B823)),ISNUMBER(INDEX(TblClusters[CPU min (vCPU)],$B823)),OR(INDEX(TblClusters[Plateforme],$B823)="IKS",INDEX(TblClusters[Plateforme],$B823)="ROKS")),1,0),0))</f>
        <v>0</v>
      </c>
      <c r="E823" s="83" t="str">
        <f aca="false">IF($D823=1,EDATE(p_debut,$C823-1),"")</f>
        <v/>
      </c>
      <c r="F823" s="14" t="str">
        <f aca="false">IF($D823=1,INDEX(TblClusters[Cluster],$B823),"")</f>
        <v/>
      </c>
      <c r="G823" s="14" t="str">
        <f aca="false">IF($D823=1,INDEX(TblClusters[Plateforme],$B823),"")</f>
        <v/>
      </c>
      <c r="H823" s="14" t="str">
        <f aca="false">IF($D823=1,INDEX(TblClusters[vCPU par nœud],$B823),"")</f>
        <v/>
      </c>
      <c r="I823" s="14" t="str">
        <f aca="false">IF($D823=1,INDEX(TblClusters[RAM par nœud (Go)],$B823),"")</f>
        <v/>
      </c>
      <c r="J823" s="14" t="str">
        <f aca="false">IF($D823=1,INDEX(TblClusters[Workers min],$B823),"")</f>
        <v/>
      </c>
      <c r="K823" s="84" t="str">
        <f aca="false">IF($D823=1,INDEX(TblClusters[Tarif par nœud],$B823),"")</f>
        <v/>
      </c>
      <c r="L823" s="14" t="str">
        <f aca="false">IF($D823=1,INDEX(TblClusters[CPU initial (vCPU)],$B823),"")</f>
        <v/>
      </c>
      <c r="M823" s="14" t="str">
        <f aca="false">IF($D823=1,INDEX(TblClusters[RAM initiale (Go)],$B823),"")</f>
        <v/>
      </c>
      <c r="N823" s="14" t="str">
        <f aca="false">IF($D823=1,INDEX(TblClusters[CPU min (vCPU)],$B823),"")</f>
        <v/>
      </c>
      <c r="O823" s="14" t="str">
        <f aca="false">IF($D823=1,INDEX(TblClusters[RAM min (Go)],$B823),"")</f>
        <v/>
      </c>
      <c r="P823" s="14" t="str">
        <f aca="false">IF($D823&lt;&gt;1,"",IF($G823="ROKS",SUMIFS(TblApplications[Besoin ROKS CPU (vCPU)],TblApplications[Cluster ROKS cible],$F823,TblApplications[Action],"À migrer",TblApplications[Déjà incluse ROKS],"Non",TblApplications[Mois prov (calc)],"&lt;="&amp;$E823),SUMIFS(TblApplications[CPU IKS libérable (vCPU)],TblApplications[Cluster IKS source],$F823,TblApplications[Mois lib (calc)],"&lt;="&amp;$E823)))</f>
        <v/>
      </c>
      <c r="Q823" s="14" t="str">
        <f aca="false">IF($D823&lt;&gt;1,"",IF($G823="ROKS",SUMIFS(TblApplications[Besoin ROKS RAM (Go)],TblApplications[Cluster ROKS cible],$F823,TblApplications[Action],"À migrer",TblApplications[Déjà incluse ROKS],"Non",TblApplications[Mois prov (calc)],"&lt;="&amp;$E823),SUMIFS(TblApplications[RAM IKS libérable (Go)],TblApplications[Cluster IKS source],$F823,TblApplications[Mois lib (calc)],"&lt;="&amp;$E823)))</f>
        <v/>
      </c>
      <c r="R823" s="14" t="str">
        <f aca="false">IF($D823&lt;&gt;1,"",IF($G823="ROKS",$L823+$P823,IF($AI823=1,0,MAX($N823,$L823-$P823))))</f>
        <v/>
      </c>
      <c r="S823" s="14" t="str">
        <f aca="false">IF($D823&lt;&gt;1,"",IF($G823="ROKS",$M823+$Q823,IF($AI823=1,0,MAX($O823,$M823-$Q823))))</f>
        <v/>
      </c>
      <c r="T823" s="14" t="str">
        <f aca="false">IF($D823&lt;&gt;1,"",IF($AI823=1,0,MAX($J823,ROUNDUP(MAX($R823/$H823,$S823/$I823),0))))</f>
        <v/>
      </c>
      <c r="U823" s="14" t="str">
        <f aca="false">IF($D823&lt;&gt;1,"",IF(p_mode="Nœud",$T823*$H823,$R823))</f>
        <v/>
      </c>
      <c r="V823" s="14" t="str">
        <f aca="false">IF($D823&lt;&gt;1,"",IF(p_mode="Nœud",$T823*$I823,$S823))</f>
        <v/>
      </c>
      <c r="W823" s="84" t="str">
        <f aca="false">IF($D823&lt;&gt;1,"",IF(p_mode="Nœud",$T823*$K823,$R823*IF($G823="IKS",p_iks_cpu,p_roks_cpu)+$S823*IF($G823="IKS",p_iks_ram,p_roks_ram))*p_facteur)</f>
        <v/>
      </c>
      <c r="X823" s="14" t="str">
        <f aca="false">IF($D823&lt;&gt;1,"",IF($G823="ROKS",$R823,IF($AI823=1,0,MAX($N823,$L823-SUMIFS(TblApplications[CPU IKS libérable (vCPU)],TblApplications[Cluster IKS source],$F823,TblApplications[Action],"À migrer",TblApplications[Mois prov (calc)],"&lt;="&amp;$E823)-SUMIFS(TblApplications[CPU IKS libérable (vCPU)],TblApplications[Cluster IKS source],$F823,TblApplications[Action],"À décommissionner",TblApplications[Mois lib (calc)],"&lt;="&amp;$E823)))))</f>
        <v/>
      </c>
      <c r="Y823" s="14" t="str">
        <f aca="false">IF($D823&lt;&gt;1,"",IF($G823="ROKS",$S823,IF($AI823=1,0,MAX($O823,$M823-SUMIFS(TblApplications[RAM IKS libérable (Go)],TblApplications[Cluster IKS source],$F823,TblApplications[Action],"À migrer",TblApplications[Mois prov (calc)],"&lt;="&amp;$E823)-SUMIFS(TblApplications[RAM IKS libérable (Go)],TblApplications[Cluster IKS source],$F823,TblApplications[Action],"À décommissionner",TblApplications[Mois lib (calc)],"&lt;="&amp;$E823)))))</f>
        <v/>
      </c>
      <c r="Z823" s="14" t="str">
        <f aca="false">IF($D823&lt;&gt;1,"",IF($AI823=1,0,MAX($J823,ROUNDUP(MAX($X823/$H823,$Y823/$I823),0))))</f>
        <v/>
      </c>
      <c r="AA823" s="84" t="str">
        <f aca="false">IF($D823&lt;&gt;1,"",IF(p_mode="Nœud",$Z823*$K823,$X823*IF($G823="IKS",p_iks_cpu,p_roks_cpu)+$Y823*IF($G823="IKS",p_iks_ram,p_roks_ram))*p_facteur)</f>
        <v/>
      </c>
      <c r="AB823" s="14" t="str">
        <f aca="false">IF($D823&lt;&gt;1,"",MAX($J823,ROUNDUP(MAX($L823/$H823,$M823/$I823),0)))</f>
        <v/>
      </c>
      <c r="AC823" s="84" t="str">
        <f aca="false">IF($D823&lt;&gt;1,"",IF(p_mode="Nœud",$AB823*$K823,$L823*IF($G823="IKS",p_iks_cpu,p_roks_cpu)+$M823*IF($G823="IKS",p_iks_ram,p_roks_ram))*p_facteur)</f>
        <v/>
      </c>
      <c r="AD823" s="14" t="str">
        <f aca="false">IF($D823&lt;&gt;1,"",IF(AND($G823="IKS",$AI823&lt;&gt;1,OR($L823-$P823&lt;$N823,$M823-$Q823&lt;$O823)),1,0))</f>
        <v/>
      </c>
      <c r="AE823" s="14" t="str">
        <f aca="false">IF($D823&lt;&gt;1,"",IF(AND($G823="ROKS",$T823&gt;p_maxworkers),1,0))</f>
        <v/>
      </c>
      <c r="AF823" s="14" t="str">
        <f aca="false">IF($D823&lt;&gt;1,"",IF(INDEX(TblClusters[Environnement],$B823)="","(vide)",INDEX(TblClusters[Environnement],$B823)))</f>
        <v/>
      </c>
      <c r="AG823" s="14" t="str">
        <f aca="false">IF($D823&lt;&gt;1,"",$R823+p_poidsram*$S823)</f>
        <v/>
      </c>
      <c r="AH823" s="14" t="str">
        <f aca="false">IF($D823&lt;&gt;1,"",IFERROR($W823/$AG823,0))</f>
        <v/>
      </c>
      <c r="AI823" s="14" t="str">
        <f aca="false">IF($D823&lt;&gt;1,"",IF(AND($G823="IKS",ISNUMBER(INDEX(TblClusters[Fermeture retenue],$B823))),IF($E823&gt;=INDEX(TblClusters[Fermeture retenue],$B823),1,0),0))</f>
        <v/>
      </c>
    </row>
    <row r="824" customFormat="false" ht="15" hidden="false" customHeight="false" outlineLevel="0" collapsed="false">
      <c r="A824" s="14" t="n">
        <v>819</v>
      </c>
      <c r="B824" s="14" t="n">
        <f aca="false">INT(($A824-1)/36)+1</f>
        <v>23</v>
      </c>
      <c r="C824" s="14" t="n">
        <f aca="false">MOD($A824-1,36)+1</f>
        <v>27</v>
      </c>
      <c r="D824" s="14" t="n">
        <f aca="false">IF($C824&gt;p_horizon,0,IFERROR(IF(AND(INDEX(TblClusters[Cluster],$B824)&lt;&gt;"",ISNUMBER(INDEX(TblClusters[CPU initial (vCPU)],$B824)),ISNUMBER(INDEX(TblClusters[CPU min (vCPU)],$B824)),OR(INDEX(TblClusters[Plateforme],$B824)="IKS",INDEX(TblClusters[Plateforme],$B824)="ROKS")),1,0),0))</f>
        <v>0</v>
      </c>
      <c r="E824" s="83" t="str">
        <f aca="false">IF($D824=1,EDATE(p_debut,$C824-1),"")</f>
        <v/>
      </c>
      <c r="F824" s="14" t="str">
        <f aca="false">IF($D824=1,INDEX(TblClusters[Cluster],$B824),"")</f>
        <v/>
      </c>
      <c r="G824" s="14" t="str">
        <f aca="false">IF($D824=1,INDEX(TblClusters[Plateforme],$B824),"")</f>
        <v/>
      </c>
      <c r="H824" s="14" t="str">
        <f aca="false">IF($D824=1,INDEX(TblClusters[vCPU par nœud],$B824),"")</f>
        <v/>
      </c>
      <c r="I824" s="14" t="str">
        <f aca="false">IF($D824=1,INDEX(TblClusters[RAM par nœud (Go)],$B824),"")</f>
        <v/>
      </c>
      <c r="J824" s="14" t="str">
        <f aca="false">IF($D824=1,INDEX(TblClusters[Workers min],$B824),"")</f>
        <v/>
      </c>
      <c r="K824" s="84" t="str">
        <f aca="false">IF($D824=1,INDEX(TblClusters[Tarif par nœud],$B824),"")</f>
        <v/>
      </c>
      <c r="L824" s="14" t="str">
        <f aca="false">IF($D824=1,INDEX(TblClusters[CPU initial (vCPU)],$B824),"")</f>
        <v/>
      </c>
      <c r="M824" s="14" t="str">
        <f aca="false">IF($D824=1,INDEX(TblClusters[RAM initiale (Go)],$B824),"")</f>
        <v/>
      </c>
      <c r="N824" s="14" t="str">
        <f aca="false">IF($D824=1,INDEX(TblClusters[CPU min (vCPU)],$B824),"")</f>
        <v/>
      </c>
      <c r="O824" s="14" t="str">
        <f aca="false">IF($D824=1,INDEX(TblClusters[RAM min (Go)],$B824),"")</f>
        <v/>
      </c>
      <c r="P824" s="14" t="str">
        <f aca="false">IF($D824&lt;&gt;1,"",IF($G824="ROKS",SUMIFS(TblApplications[Besoin ROKS CPU (vCPU)],TblApplications[Cluster ROKS cible],$F824,TblApplications[Action],"À migrer",TblApplications[Déjà incluse ROKS],"Non",TblApplications[Mois prov (calc)],"&lt;="&amp;$E824),SUMIFS(TblApplications[CPU IKS libérable (vCPU)],TblApplications[Cluster IKS source],$F824,TblApplications[Mois lib (calc)],"&lt;="&amp;$E824)))</f>
        <v/>
      </c>
      <c r="Q824" s="14" t="str">
        <f aca="false">IF($D824&lt;&gt;1,"",IF($G824="ROKS",SUMIFS(TblApplications[Besoin ROKS RAM (Go)],TblApplications[Cluster ROKS cible],$F824,TblApplications[Action],"À migrer",TblApplications[Déjà incluse ROKS],"Non",TblApplications[Mois prov (calc)],"&lt;="&amp;$E824),SUMIFS(TblApplications[RAM IKS libérable (Go)],TblApplications[Cluster IKS source],$F824,TblApplications[Mois lib (calc)],"&lt;="&amp;$E824)))</f>
        <v/>
      </c>
      <c r="R824" s="14" t="str">
        <f aca="false">IF($D824&lt;&gt;1,"",IF($G824="ROKS",$L824+$P824,IF($AI824=1,0,MAX($N824,$L824-$P824))))</f>
        <v/>
      </c>
      <c r="S824" s="14" t="str">
        <f aca="false">IF($D824&lt;&gt;1,"",IF($G824="ROKS",$M824+$Q824,IF($AI824=1,0,MAX($O824,$M824-$Q824))))</f>
        <v/>
      </c>
      <c r="T824" s="14" t="str">
        <f aca="false">IF($D824&lt;&gt;1,"",IF($AI824=1,0,MAX($J824,ROUNDUP(MAX($R824/$H824,$S824/$I824),0))))</f>
        <v/>
      </c>
      <c r="U824" s="14" t="str">
        <f aca="false">IF($D824&lt;&gt;1,"",IF(p_mode="Nœud",$T824*$H824,$R824))</f>
        <v/>
      </c>
      <c r="V824" s="14" t="str">
        <f aca="false">IF($D824&lt;&gt;1,"",IF(p_mode="Nœud",$T824*$I824,$S824))</f>
        <v/>
      </c>
      <c r="W824" s="84" t="str">
        <f aca="false">IF($D824&lt;&gt;1,"",IF(p_mode="Nœud",$T824*$K824,$R824*IF($G824="IKS",p_iks_cpu,p_roks_cpu)+$S824*IF($G824="IKS",p_iks_ram,p_roks_ram))*p_facteur)</f>
        <v/>
      </c>
      <c r="X824" s="14" t="str">
        <f aca="false">IF($D824&lt;&gt;1,"",IF($G824="ROKS",$R824,IF($AI824=1,0,MAX($N824,$L824-SUMIFS(TblApplications[CPU IKS libérable (vCPU)],TblApplications[Cluster IKS source],$F824,TblApplications[Action],"À migrer",TblApplications[Mois prov (calc)],"&lt;="&amp;$E824)-SUMIFS(TblApplications[CPU IKS libérable (vCPU)],TblApplications[Cluster IKS source],$F824,TblApplications[Action],"À décommissionner",TblApplications[Mois lib (calc)],"&lt;="&amp;$E824)))))</f>
        <v/>
      </c>
      <c r="Y824" s="14" t="str">
        <f aca="false">IF($D824&lt;&gt;1,"",IF($G824="ROKS",$S824,IF($AI824=1,0,MAX($O824,$M824-SUMIFS(TblApplications[RAM IKS libérable (Go)],TblApplications[Cluster IKS source],$F824,TblApplications[Action],"À migrer",TblApplications[Mois prov (calc)],"&lt;="&amp;$E824)-SUMIFS(TblApplications[RAM IKS libérable (Go)],TblApplications[Cluster IKS source],$F824,TblApplications[Action],"À décommissionner",TblApplications[Mois lib (calc)],"&lt;="&amp;$E824)))))</f>
        <v/>
      </c>
      <c r="Z824" s="14" t="str">
        <f aca="false">IF($D824&lt;&gt;1,"",IF($AI824=1,0,MAX($J824,ROUNDUP(MAX($X824/$H824,$Y824/$I824),0))))</f>
        <v/>
      </c>
      <c r="AA824" s="84" t="str">
        <f aca="false">IF($D824&lt;&gt;1,"",IF(p_mode="Nœud",$Z824*$K824,$X824*IF($G824="IKS",p_iks_cpu,p_roks_cpu)+$Y824*IF($G824="IKS",p_iks_ram,p_roks_ram))*p_facteur)</f>
        <v/>
      </c>
      <c r="AB824" s="14" t="str">
        <f aca="false">IF($D824&lt;&gt;1,"",MAX($J824,ROUNDUP(MAX($L824/$H824,$M824/$I824),0)))</f>
        <v/>
      </c>
      <c r="AC824" s="84" t="str">
        <f aca="false">IF($D824&lt;&gt;1,"",IF(p_mode="Nœud",$AB824*$K824,$L824*IF($G824="IKS",p_iks_cpu,p_roks_cpu)+$M824*IF($G824="IKS",p_iks_ram,p_roks_ram))*p_facteur)</f>
        <v/>
      </c>
      <c r="AD824" s="14" t="str">
        <f aca="false">IF($D824&lt;&gt;1,"",IF(AND($G824="IKS",$AI824&lt;&gt;1,OR($L824-$P824&lt;$N824,$M824-$Q824&lt;$O824)),1,0))</f>
        <v/>
      </c>
      <c r="AE824" s="14" t="str">
        <f aca="false">IF($D824&lt;&gt;1,"",IF(AND($G824="ROKS",$T824&gt;p_maxworkers),1,0))</f>
        <v/>
      </c>
      <c r="AF824" s="14" t="str">
        <f aca="false">IF($D824&lt;&gt;1,"",IF(INDEX(TblClusters[Environnement],$B824)="","(vide)",INDEX(TblClusters[Environnement],$B824)))</f>
        <v/>
      </c>
      <c r="AG824" s="14" t="str">
        <f aca="false">IF($D824&lt;&gt;1,"",$R824+p_poidsram*$S824)</f>
        <v/>
      </c>
      <c r="AH824" s="14" t="str">
        <f aca="false">IF($D824&lt;&gt;1,"",IFERROR($W824/$AG824,0))</f>
        <v/>
      </c>
      <c r="AI824" s="14" t="str">
        <f aca="false">IF($D824&lt;&gt;1,"",IF(AND($G824="IKS",ISNUMBER(INDEX(TblClusters[Fermeture retenue],$B824))),IF($E824&gt;=INDEX(TblClusters[Fermeture retenue],$B824),1,0),0))</f>
        <v/>
      </c>
    </row>
    <row r="825" customFormat="false" ht="15" hidden="false" customHeight="false" outlineLevel="0" collapsed="false">
      <c r="A825" s="14" t="n">
        <v>820</v>
      </c>
      <c r="B825" s="14" t="n">
        <f aca="false">INT(($A825-1)/36)+1</f>
        <v>23</v>
      </c>
      <c r="C825" s="14" t="n">
        <f aca="false">MOD($A825-1,36)+1</f>
        <v>28</v>
      </c>
      <c r="D825" s="14" t="n">
        <f aca="false">IF($C825&gt;p_horizon,0,IFERROR(IF(AND(INDEX(TblClusters[Cluster],$B825)&lt;&gt;"",ISNUMBER(INDEX(TblClusters[CPU initial (vCPU)],$B825)),ISNUMBER(INDEX(TblClusters[CPU min (vCPU)],$B825)),OR(INDEX(TblClusters[Plateforme],$B825)="IKS",INDEX(TblClusters[Plateforme],$B825)="ROKS")),1,0),0))</f>
        <v>0</v>
      </c>
      <c r="E825" s="83" t="str">
        <f aca="false">IF($D825=1,EDATE(p_debut,$C825-1),"")</f>
        <v/>
      </c>
      <c r="F825" s="14" t="str">
        <f aca="false">IF($D825=1,INDEX(TblClusters[Cluster],$B825),"")</f>
        <v/>
      </c>
      <c r="G825" s="14" t="str">
        <f aca="false">IF($D825=1,INDEX(TblClusters[Plateforme],$B825),"")</f>
        <v/>
      </c>
      <c r="H825" s="14" t="str">
        <f aca="false">IF($D825=1,INDEX(TblClusters[vCPU par nœud],$B825),"")</f>
        <v/>
      </c>
      <c r="I825" s="14" t="str">
        <f aca="false">IF($D825=1,INDEX(TblClusters[RAM par nœud (Go)],$B825),"")</f>
        <v/>
      </c>
      <c r="J825" s="14" t="str">
        <f aca="false">IF($D825=1,INDEX(TblClusters[Workers min],$B825),"")</f>
        <v/>
      </c>
      <c r="K825" s="84" t="str">
        <f aca="false">IF($D825=1,INDEX(TblClusters[Tarif par nœud],$B825),"")</f>
        <v/>
      </c>
      <c r="L825" s="14" t="str">
        <f aca="false">IF($D825=1,INDEX(TblClusters[CPU initial (vCPU)],$B825),"")</f>
        <v/>
      </c>
      <c r="M825" s="14" t="str">
        <f aca="false">IF($D825=1,INDEX(TblClusters[RAM initiale (Go)],$B825),"")</f>
        <v/>
      </c>
      <c r="N825" s="14" t="str">
        <f aca="false">IF($D825=1,INDEX(TblClusters[CPU min (vCPU)],$B825),"")</f>
        <v/>
      </c>
      <c r="O825" s="14" t="str">
        <f aca="false">IF($D825=1,INDEX(TblClusters[RAM min (Go)],$B825),"")</f>
        <v/>
      </c>
      <c r="P825" s="14" t="str">
        <f aca="false">IF($D825&lt;&gt;1,"",IF($G825="ROKS",SUMIFS(TblApplications[Besoin ROKS CPU (vCPU)],TblApplications[Cluster ROKS cible],$F825,TblApplications[Action],"À migrer",TblApplications[Déjà incluse ROKS],"Non",TblApplications[Mois prov (calc)],"&lt;="&amp;$E825),SUMIFS(TblApplications[CPU IKS libérable (vCPU)],TblApplications[Cluster IKS source],$F825,TblApplications[Mois lib (calc)],"&lt;="&amp;$E825)))</f>
        <v/>
      </c>
      <c r="Q825" s="14" t="str">
        <f aca="false">IF($D825&lt;&gt;1,"",IF($G825="ROKS",SUMIFS(TblApplications[Besoin ROKS RAM (Go)],TblApplications[Cluster ROKS cible],$F825,TblApplications[Action],"À migrer",TblApplications[Déjà incluse ROKS],"Non",TblApplications[Mois prov (calc)],"&lt;="&amp;$E825),SUMIFS(TblApplications[RAM IKS libérable (Go)],TblApplications[Cluster IKS source],$F825,TblApplications[Mois lib (calc)],"&lt;="&amp;$E825)))</f>
        <v/>
      </c>
      <c r="R825" s="14" t="str">
        <f aca="false">IF($D825&lt;&gt;1,"",IF($G825="ROKS",$L825+$P825,IF($AI825=1,0,MAX($N825,$L825-$P825))))</f>
        <v/>
      </c>
      <c r="S825" s="14" t="str">
        <f aca="false">IF($D825&lt;&gt;1,"",IF($G825="ROKS",$M825+$Q825,IF($AI825=1,0,MAX($O825,$M825-$Q825))))</f>
        <v/>
      </c>
      <c r="T825" s="14" t="str">
        <f aca="false">IF($D825&lt;&gt;1,"",IF($AI825=1,0,MAX($J825,ROUNDUP(MAX($R825/$H825,$S825/$I825),0))))</f>
        <v/>
      </c>
      <c r="U825" s="14" t="str">
        <f aca="false">IF($D825&lt;&gt;1,"",IF(p_mode="Nœud",$T825*$H825,$R825))</f>
        <v/>
      </c>
      <c r="V825" s="14" t="str">
        <f aca="false">IF($D825&lt;&gt;1,"",IF(p_mode="Nœud",$T825*$I825,$S825))</f>
        <v/>
      </c>
      <c r="W825" s="84" t="str">
        <f aca="false">IF($D825&lt;&gt;1,"",IF(p_mode="Nœud",$T825*$K825,$R825*IF($G825="IKS",p_iks_cpu,p_roks_cpu)+$S825*IF($G825="IKS",p_iks_ram,p_roks_ram))*p_facteur)</f>
        <v/>
      </c>
      <c r="X825" s="14" t="str">
        <f aca="false">IF($D825&lt;&gt;1,"",IF($G825="ROKS",$R825,IF($AI825=1,0,MAX($N825,$L825-SUMIFS(TblApplications[CPU IKS libérable (vCPU)],TblApplications[Cluster IKS source],$F825,TblApplications[Action],"À migrer",TblApplications[Mois prov (calc)],"&lt;="&amp;$E825)-SUMIFS(TblApplications[CPU IKS libérable (vCPU)],TblApplications[Cluster IKS source],$F825,TblApplications[Action],"À décommissionner",TblApplications[Mois lib (calc)],"&lt;="&amp;$E825)))))</f>
        <v/>
      </c>
      <c r="Y825" s="14" t="str">
        <f aca="false">IF($D825&lt;&gt;1,"",IF($G825="ROKS",$S825,IF($AI825=1,0,MAX($O825,$M825-SUMIFS(TblApplications[RAM IKS libérable (Go)],TblApplications[Cluster IKS source],$F825,TblApplications[Action],"À migrer",TblApplications[Mois prov (calc)],"&lt;="&amp;$E825)-SUMIFS(TblApplications[RAM IKS libérable (Go)],TblApplications[Cluster IKS source],$F825,TblApplications[Action],"À décommissionner",TblApplications[Mois lib (calc)],"&lt;="&amp;$E825)))))</f>
        <v/>
      </c>
      <c r="Z825" s="14" t="str">
        <f aca="false">IF($D825&lt;&gt;1,"",IF($AI825=1,0,MAX($J825,ROUNDUP(MAX($X825/$H825,$Y825/$I825),0))))</f>
        <v/>
      </c>
      <c r="AA825" s="84" t="str">
        <f aca="false">IF($D825&lt;&gt;1,"",IF(p_mode="Nœud",$Z825*$K825,$X825*IF($G825="IKS",p_iks_cpu,p_roks_cpu)+$Y825*IF($G825="IKS",p_iks_ram,p_roks_ram))*p_facteur)</f>
        <v/>
      </c>
      <c r="AB825" s="14" t="str">
        <f aca="false">IF($D825&lt;&gt;1,"",MAX($J825,ROUNDUP(MAX($L825/$H825,$M825/$I825),0)))</f>
        <v/>
      </c>
      <c r="AC825" s="84" t="str">
        <f aca="false">IF($D825&lt;&gt;1,"",IF(p_mode="Nœud",$AB825*$K825,$L825*IF($G825="IKS",p_iks_cpu,p_roks_cpu)+$M825*IF($G825="IKS",p_iks_ram,p_roks_ram))*p_facteur)</f>
        <v/>
      </c>
      <c r="AD825" s="14" t="str">
        <f aca="false">IF($D825&lt;&gt;1,"",IF(AND($G825="IKS",$AI825&lt;&gt;1,OR($L825-$P825&lt;$N825,$M825-$Q825&lt;$O825)),1,0))</f>
        <v/>
      </c>
      <c r="AE825" s="14" t="str">
        <f aca="false">IF($D825&lt;&gt;1,"",IF(AND($G825="ROKS",$T825&gt;p_maxworkers),1,0))</f>
        <v/>
      </c>
      <c r="AF825" s="14" t="str">
        <f aca="false">IF($D825&lt;&gt;1,"",IF(INDEX(TblClusters[Environnement],$B825)="","(vide)",INDEX(TblClusters[Environnement],$B825)))</f>
        <v/>
      </c>
      <c r="AG825" s="14" t="str">
        <f aca="false">IF($D825&lt;&gt;1,"",$R825+p_poidsram*$S825)</f>
        <v/>
      </c>
      <c r="AH825" s="14" t="str">
        <f aca="false">IF($D825&lt;&gt;1,"",IFERROR($W825/$AG825,0))</f>
        <v/>
      </c>
      <c r="AI825" s="14" t="str">
        <f aca="false">IF($D825&lt;&gt;1,"",IF(AND($G825="IKS",ISNUMBER(INDEX(TblClusters[Fermeture retenue],$B825))),IF($E825&gt;=INDEX(TblClusters[Fermeture retenue],$B825),1,0),0))</f>
        <v/>
      </c>
    </row>
    <row r="826" customFormat="false" ht="15" hidden="false" customHeight="false" outlineLevel="0" collapsed="false">
      <c r="A826" s="14" t="n">
        <v>821</v>
      </c>
      <c r="B826" s="14" t="n">
        <f aca="false">INT(($A826-1)/36)+1</f>
        <v>23</v>
      </c>
      <c r="C826" s="14" t="n">
        <f aca="false">MOD($A826-1,36)+1</f>
        <v>29</v>
      </c>
      <c r="D826" s="14" t="n">
        <f aca="false">IF($C826&gt;p_horizon,0,IFERROR(IF(AND(INDEX(TblClusters[Cluster],$B826)&lt;&gt;"",ISNUMBER(INDEX(TblClusters[CPU initial (vCPU)],$B826)),ISNUMBER(INDEX(TblClusters[CPU min (vCPU)],$B826)),OR(INDEX(TblClusters[Plateforme],$B826)="IKS",INDEX(TblClusters[Plateforme],$B826)="ROKS")),1,0),0))</f>
        <v>0</v>
      </c>
      <c r="E826" s="83" t="str">
        <f aca="false">IF($D826=1,EDATE(p_debut,$C826-1),"")</f>
        <v/>
      </c>
      <c r="F826" s="14" t="str">
        <f aca="false">IF($D826=1,INDEX(TblClusters[Cluster],$B826),"")</f>
        <v/>
      </c>
      <c r="G826" s="14" t="str">
        <f aca="false">IF($D826=1,INDEX(TblClusters[Plateforme],$B826),"")</f>
        <v/>
      </c>
      <c r="H826" s="14" t="str">
        <f aca="false">IF($D826=1,INDEX(TblClusters[vCPU par nœud],$B826),"")</f>
        <v/>
      </c>
      <c r="I826" s="14" t="str">
        <f aca="false">IF($D826=1,INDEX(TblClusters[RAM par nœud (Go)],$B826),"")</f>
        <v/>
      </c>
      <c r="J826" s="14" t="str">
        <f aca="false">IF($D826=1,INDEX(TblClusters[Workers min],$B826),"")</f>
        <v/>
      </c>
      <c r="K826" s="84" t="str">
        <f aca="false">IF($D826=1,INDEX(TblClusters[Tarif par nœud],$B826),"")</f>
        <v/>
      </c>
      <c r="L826" s="14" t="str">
        <f aca="false">IF($D826=1,INDEX(TblClusters[CPU initial (vCPU)],$B826),"")</f>
        <v/>
      </c>
      <c r="M826" s="14" t="str">
        <f aca="false">IF($D826=1,INDEX(TblClusters[RAM initiale (Go)],$B826),"")</f>
        <v/>
      </c>
      <c r="N826" s="14" t="str">
        <f aca="false">IF($D826=1,INDEX(TblClusters[CPU min (vCPU)],$B826),"")</f>
        <v/>
      </c>
      <c r="O826" s="14" t="str">
        <f aca="false">IF($D826=1,INDEX(TblClusters[RAM min (Go)],$B826),"")</f>
        <v/>
      </c>
      <c r="P826" s="14" t="str">
        <f aca="false">IF($D826&lt;&gt;1,"",IF($G826="ROKS",SUMIFS(TblApplications[Besoin ROKS CPU (vCPU)],TblApplications[Cluster ROKS cible],$F826,TblApplications[Action],"À migrer",TblApplications[Déjà incluse ROKS],"Non",TblApplications[Mois prov (calc)],"&lt;="&amp;$E826),SUMIFS(TblApplications[CPU IKS libérable (vCPU)],TblApplications[Cluster IKS source],$F826,TblApplications[Mois lib (calc)],"&lt;="&amp;$E826)))</f>
        <v/>
      </c>
      <c r="Q826" s="14" t="str">
        <f aca="false">IF($D826&lt;&gt;1,"",IF($G826="ROKS",SUMIFS(TblApplications[Besoin ROKS RAM (Go)],TblApplications[Cluster ROKS cible],$F826,TblApplications[Action],"À migrer",TblApplications[Déjà incluse ROKS],"Non",TblApplications[Mois prov (calc)],"&lt;="&amp;$E826),SUMIFS(TblApplications[RAM IKS libérable (Go)],TblApplications[Cluster IKS source],$F826,TblApplications[Mois lib (calc)],"&lt;="&amp;$E826)))</f>
        <v/>
      </c>
      <c r="R826" s="14" t="str">
        <f aca="false">IF($D826&lt;&gt;1,"",IF($G826="ROKS",$L826+$P826,IF($AI826=1,0,MAX($N826,$L826-$P826))))</f>
        <v/>
      </c>
      <c r="S826" s="14" t="str">
        <f aca="false">IF($D826&lt;&gt;1,"",IF($G826="ROKS",$M826+$Q826,IF($AI826=1,0,MAX($O826,$M826-$Q826))))</f>
        <v/>
      </c>
      <c r="T826" s="14" t="str">
        <f aca="false">IF($D826&lt;&gt;1,"",IF($AI826=1,0,MAX($J826,ROUNDUP(MAX($R826/$H826,$S826/$I826),0))))</f>
        <v/>
      </c>
      <c r="U826" s="14" t="str">
        <f aca="false">IF($D826&lt;&gt;1,"",IF(p_mode="Nœud",$T826*$H826,$R826))</f>
        <v/>
      </c>
      <c r="V826" s="14" t="str">
        <f aca="false">IF($D826&lt;&gt;1,"",IF(p_mode="Nœud",$T826*$I826,$S826))</f>
        <v/>
      </c>
      <c r="W826" s="84" t="str">
        <f aca="false">IF($D826&lt;&gt;1,"",IF(p_mode="Nœud",$T826*$K826,$R826*IF($G826="IKS",p_iks_cpu,p_roks_cpu)+$S826*IF($G826="IKS",p_iks_ram,p_roks_ram))*p_facteur)</f>
        <v/>
      </c>
      <c r="X826" s="14" t="str">
        <f aca="false">IF($D826&lt;&gt;1,"",IF($G826="ROKS",$R826,IF($AI826=1,0,MAX($N826,$L826-SUMIFS(TblApplications[CPU IKS libérable (vCPU)],TblApplications[Cluster IKS source],$F826,TblApplications[Action],"À migrer",TblApplications[Mois prov (calc)],"&lt;="&amp;$E826)-SUMIFS(TblApplications[CPU IKS libérable (vCPU)],TblApplications[Cluster IKS source],$F826,TblApplications[Action],"À décommissionner",TblApplications[Mois lib (calc)],"&lt;="&amp;$E826)))))</f>
        <v/>
      </c>
      <c r="Y826" s="14" t="str">
        <f aca="false">IF($D826&lt;&gt;1,"",IF($G826="ROKS",$S826,IF($AI826=1,0,MAX($O826,$M826-SUMIFS(TblApplications[RAM IKS libérable (Go)],TblApplications[Cluster IKS source],$F826,TblApplications[Action],"À migrer",TblApplications[Mois prov (calc)],"&lt;="&amp;$E826)-SUMIFS(TblApplications[RAM IKS libérable (Go)],TblApplications[Cluster IKS source],$F826,TblApplications[Action],"À décommissionner",TblApplications[Mois lib (calc)],"&lt;="&amp;$E826)))))</f>
        <v/>
      </c>
      <c r="Z826" s="14" t="str">
        <f aca="false">IF($D826&lt;&gt;1,"",IF($AI826=1,0,MAX($J826,ROUNDUP(MAX($X826/$H826,$Y826/$I826),0))))</f>
        <v/>
      </c>
      <c r="AA826" s="84" t="str">
        <f aca="false">IF($D826&lt;&gt;1,"",IF(p_mode="Nœud",$Z826*$K826,$X826*IF($G826="IKS",p_iks_cpu,p_roks_cpu)+$Y826*IF($G826="IKS",p_iks_ram,p_roks_ram))*p_facteur)</f>
        <v/>
      </c>
      <c r="AB826" s="14" t="str">
        <f aca="false">IF($D826&lt;&gt;1,"",MAX($J826,ROUNDUP(MAX($L826/$H826,$M826/$I826),0)))</f>
        <v/>
      </c>
      <c r="AC826" s="84" t="str">
        <f aca="false">IF($D826&lt;&gt;1,"",IF(p_mode="Nœud",$AB826*$K826,$L826*IF($G826="IKS",p_iks_cpu,p_roks_cpu)+$M826*IF($G826="IKS",p_iks_ram,p_roks_ram))*p_facteur)</f>
        <v/>
      </c>
      <c r="AD826" s="14" t="str">
        <f aca="false">IF($D826&lt;&gt;1,"",IF(AND($G826="IKS",$AI826&lt;&gt;1,OR($L826-$P826&lt;$N826,$M826-$Q826&lt;$O826)),1,0))</f>
        <v/>
      </c>
      <c r="AE826" s="14" t="str">
        <f aca="false">IF($D826&lt;&gt;1,"",IF(AND($G826="ROKS",$T826&gt;p_maxworkers),1,0))</f>
        <v/>
      </c>
      <c r="AF826" s="14" t="str">
        <f aca="false">IF($D826&lt;&gt;1,"",IF(INDEX(TblClusters[Environnement],$B826)="","(vide)",INDEX(TblClusters[Environnement],$B826)))</f>
        <v/>
      </c>
      <c r="AG826" s="14" t="str">
        <f aca="false">IF($D826&lt;&gt;1,"",$R826+p_poidsram*$S826)</f>
        <v/>
      </c>
      <c r="AH826" s="14" t="str">
        <f aca="false">IF($D826&lt;&gt;1,"",IFERROR($W826/$AG826,0))</f>
        <v/>
      </c>
      <c r="AI826" s="14" t="str">
        <f aca="false">IF($D826&lt;&gt;1,"",IF(AND($G826="IKS",ISNUMBER(INDEX(TblClusters[Fermeture retenue],$B826))),IF($E826&gt;=INDEX(TblClusters[Fermeture retenue],$B826),1,0),0))</f>
        <v/>
      </c>
    </row>
    <row r="827" customFormat="false" ht="15" hidden="false" customHeight="false" outlineLevel="0" collapsed="false">
      <c r="A827" s="14" t="n">
        <v>822</v>
      </c>
      <c r="B827" s="14" t="n">
        <f aca="false">INT(($A827-1)/36)+1</f>
        <v>23</v>
      </c>
      <c r="C827" s="14" t="n">
        <f aca="false">MOD($A827-1,36)+1</f>
        <v>30</v>
      </c>
      <c r="D827" s="14" t="n">
        <f aca="false">IF($C827&gt;p_horizon,0,IFERROR(IF(AND(INDEX(TblClusters[Cluster],$B827)&lt;&gt;"",ISNUMBER(INDEX(TblClusters[CPU initial (vCPU)],$B827)),ISNUMBER(INDEX(TblClusters[CPU min (vCPU)],$B827)),OR(INDEX(TblClusters[Plateforme],$B827)="IKS",INDEX(TblClusters[Plateforme],$B827)="ROKS")),1,0),0))</f>
        <v>0</v>
      </c>
      <c r="E827" s="83" t="str">
        <f aca="false">IF($D827=1,EDATE(p_debut,$C827-1),"")</f>
        <v/>
      </c>
      <c r="F827" s="14" t="str">
        <f aca="false">IF($D827=1,INDEX(TblClusters[Cluster],$B827),"")</f>
        <v/>
      </c>
      <c r="G827" s="14" t="str">
        <f aca="false">IF($D827=1,INDEX(TblClusters[Plateforme],$B827),"")</f>
        <v/>
      </c>
      <c r="H827" s="14" t="str">
        <f aca="false">IF($D827=1,INDEX(TblClusters[vCPU par nœud],$B827),"")</f>
        <v/>
      </c>
      <c r="I827" s="14" t="str">
        <f aca="false">IF($D827=1,INDEX(TblClusters[RAM par nœud (Go)],$B827),"")</f>
        <v/>
      </c>
      <c r="J827" s="14" t="str">
        <f aca="false">IF($D827=1,INDEX(TblClusters[Workers min],$B827),"")</f>
        <v/>
      </c>
      <c r="K827" s="84" t="str">
        <f aca="false">IF($D827=1,INDEX(TblClusters[Tarif par nœud],$B827),"")</f>
        <v/>
      </c>
      <c r="L827" s="14" t="str">
        <f aca="false">IF($D827=1,INDEX(TblClusters[CPU initial (vCPU)],$B827),"")</f>
        <v/>
      </c>
      <c r="M827" s="14" t="str">
        <f aca="false">IF($D827=1,INDEX(TblClusters[RAM initiale (Go)],$B827),"")</f>
        <v/>
      </c>
      <c r="N827" s="14" t="str">
        <f aca="false">IF($D827=1,INDEX(TblClusters[CPU min (vCPU)],$B827),"")</f>
        <v/>
      </c>
      <c r="O827" s="14" t="str">
        <f aca="false">IF($D827=1,INDEX(TblClusters[RAM min (Go)],$B827),"")</f>
        <v/>
      </c>
      <c r="P827" s="14" t="str">
        <f aca="false">IF($D827&lt;&gt;1,"",IF($G827="ROKS",SUMIFS(TblApplications[Besoin ROKS CPU (vCPU)],TblApplications[Cluster ROKS cible],$F827,TblApplications[Action],"À migrer",TblApplications[Déjà incluse ROKS],"Non",TblApplications[Mois prov (calc)],"&lt;="&amp;$E827),SUMIFS(TblApplications[CPU IKS libérable (vCPU)],TblApplications[Cluster IKS source],$F827,TblApplications[Mois lib (calc)],"&lt;="&amp;$E827)))</f>
        <v/>
      </c>
      <c r="Q827" s="14" t="str">
        <f aca="false">IF($D827&lt;&gt;1,"",IF($G827="ROKS",SUMIFS(TblApplications[Besoin ROKS RAM (Go)],TblApplications[Cluster ROKS cible],$F827,TblApplications[Action],"À migrer",TblApplications[Déjà incluse ROKS],"Non",TblApplications[Mois prov (calc)],"&lt;="&amp;$E827),SUMIFS(TblApplications[RAM IKS libérable (Go)],TblApplications[Cluster IKS source],$F827,TblApplications[Mois lib (calc)],"&lt;="&amp;$E827)))</f>
        <v/>
      </c>
      <c r="R827" s="14" t="str">
        <f aca="false">IF($D827&lt;&gt;1,"",IF($G827="ROKS",$L827+$P827,IF($AI827=1,0,MAX($N827,$L827-$P827))))</f>
        <v/>
      </c>
      <c r="S827" s="14" t="str">
        <f aca="false">IF($D827&lt;&gt;1,"",IF($G827="ROKS",$M827+$Q827,IF($AI827=1,0,MAX($O827,$M827-$Q827))))</f>
        <v/>
      </c>
      <c r="T827" s="14" t="str">
        <f aca="false">IF($D827&lt;&gt;1,"",IF($AI827=1,0,MAX($J827,ROUNDUP(MAX($R827/$H827,$S827/$I827),0))))</f>
        <v/>
      </c>
      <c r="U827" s="14" t="str">
        <f aca="false">IF($D827&lt;&gt;1,"",IF(p_mode="Nœud",$T827*$H827,$R827))</f>
        <v/>
      </c>
      <c r="V827" s="14" t="str">
        <f aca="false">IF($D827&lt;&gt;1,"",IF(p_mode="Nœud",$T827*$I827,$S827))</f>
        <v/>
      </c>
      <c r="W827" s="84" t="str">
        <f aca="false">IF($D827&lt;&gt;1,"",IF(p_mode="Nœud",$T827*$K827,$R827*IF($G827="IKS",p_iks_cpu,p_roks_cpu)+$S827*IF($G827="IKS",p_iks_ram,p_roks_ram))*p_facteur)</f>
        <v/>
      </c>
      <c r="X827" s="14" t="str">
        <f aca="false">IF($D827&lt;&gt;1,"",IF($G827="ROKS",$R827,IF($AI827=1,0,MAX($N827,$L827-SUMIFS(TblApplications[CPU IKS libérable (vCPU)],TblApplications[Cluster IKS source],$F827,TblApplications[Action],"À migrer",TblApplications[Mois prov (calc)],"&lt;="&amp;$E827)-SUMIFS(TblApplications[CPU IKS libérable (vCPU)],TblApplications[Cluster IKS source],$F827,TblApplications[Action],"À décommissionner",TblApplications[Mois lib (calc)],"&lt;="&amp;$E827)))))</f>
        <v/>
      </c>
      <c r="Y827" s="14" t="str">
        <f aca="false">IF($D827&lt;&gt;1,"",IF($G827="ROKS",$S827,IF($AI827=1,0,MAX($O827,$M827-SUMIFS(TblApplications[RAM IKS libérable (Go)],TblApplications[Cluster IKS source],$F827,TblApplications[Action],"À migrer",TblApplications[Mois prov (calc)],"&lt;="&amp;$E827)-SUMIFS(TblApplications[RAM IKS libérable (Go)],TblApplications[Cluster IKS source],$F827,TblApplications[Action],"À décommissionner",TblApplications[Mois lib (calc)],"&lt;="&amp;$E827)))))</f>
        <v/>
      </c>
      <c r="Z827" s="14" t="str">
        <f aca="false">IF($D827&lt;&gt;1,"",IF($AI827=1,0,MAX($J827,ROUNDUP(MAX($X827/$H827,$Y827/$I827),0))))</f>
        <v/>
      </c>
      <c r="AA827" s="84" t="str">
        <f aca="false">IF($D827&lt;&gt;1,"",IF(p_mode="Nœud",$Z827*$K827,$X827*IF($G827="IKS",p_iks_cpu,p_roks_cpu)+$Y827*IF($G827="IKS",p_iks_ram,p_roks_ram))*p_facteur)</f>
        <v/>
      </c>
      <c r="AB827" s="14" t="str">
        <f aca="false">IF($D827&lt;&gt;1,"",MAX($J827,ROUNDUP(MAX($L827/$H827,$M827/$I827),0)))</f>
        <v/>
      </c>
      <c r="AC827" s="84" t="str">
        <f aca="false">IF($D827&lt;&gt;1,"",IF(p_mode="Nœud",$AB827*$K827,$L827*IF($G827="IKS",p_iks_cpu,p_roks_cpu)+$M827*IF($G827="IKS",p_iks_ram,p_roks_ram))*p_facteur)</f>
        <v/>
      </c>
      <c r="AD827" s="14" t="str">
        <f aca="false">IF($D827&lt;&gt;1,"",IF(AND($G827="IKS",$AI827&lt;&gt;1,OR($L827-$P827&lt;$N827,$M827-$Q827&lt;$O827)),1,0))</f>
        <v/>
      </c>
      <c r="AE827" s="14" t="str">
        <f aca="false">IF($D827&lt;&gt;1,"",IF(AND($G827="ROKS",$T827&gt;p_maxworkers),1,0))</f>
        <v/>
      </c>
      <c r="AF827" s="14" t="str">
        <f aca="false">IF($D827&lt;&gt;1,"",IF(INDEX(TblClusters[Environnement],$B827)="","(vide)",INDEX(TblClusters[Environnement],$B827)))</f>
        <v/>
      </c>
      <c r="AG827" s="14" t="str">
        <f aca="false">IF($D827&lt;&gt;1,"",$R827+p_poidsram*$S827)</f>
        <v/>
      </c>
      <c r="AH827" s="14" t="str">
        <f aca="false">IF($D827&lt;&gt;1,"",IFERROR($W827/$AG827,0))</f>
        <v/>
      </c>
      <c r="AI827" s="14" t="str">
        <f aca="false">IF($D827&lt;&gt;1,"",IF(AND($G827="IKS",ISNUMBER(INDEX(TblClusters[Fermeture retenue],$B827))),IF($E827&gt;=INDEX(TblClusters[Fermeture retenue],$B827),1,0),0))</f>
        <v/>
      </c>
    </row>
    <row r="828" customFormat="false" ht="15" hidden="false" customHeight="false" outlineLevel="0" collapsed="false">
      <c r="A828" s="14" t="n">
        <v>823</v>
      </c>
      <c r="B828" s="14" t="n">
        <f aca="false">INT(($A828-1)/36)+1</f>
        <v>23</v>
      </c>
      <c r="C828" s="14" t="n">
        <f aca="false">MOD($A828-1,36)+1</f>
        <v>31</v>
      </c>
      <c r="D828" s="14" t="n">
        <f aca="false">IF($C828&gt;p_horizon,0,IFERROR(IF(AND(INDEX(TblClusters[Cluster],$B828)&lt;&gt;"",ISNUMBER(INDEX(TblClusters[CPU initial (vCPU)],$B828)),ISNUMBER(INDEX(TblClusters[CPU min (vCPU)],$B828)),OR(INDEX(TblClusters[Plateforme],$B828)="IKS",INDEX(TblClusters[Plateforme],$B828)="ROKS")),1,0),0))</f>
        <v>0</v>
      </c>
      <c r="E828" s="83" t="str">
        <f aca="false">IF($D828=1,EDATE(p_debut,$C828-1),"")</f>
        <v/>
      </c>
      <c r="F828" s="14" t="str">
        <f aca="false">IF($D828=1,INDEX(TblClusters[Cluster],$B828),"")</f>
        <v/>
      </c>
      <c r="G828" s="14" t="str">
        <f aca="false">IF($D828=1,INDEX(TblClusters[Plateforme],$B828),"")</f>
        <v/>
      </c>
      <c r="H828" s="14" t="str">
        <f aca="false">IF($D828=1,INDEX(TblClusters[vCPU par nœud],$B828),"")</f>
        <v/>
      </c>
      <c r="I828" s="14" t="str">
        <f aca="false">IF($D828=1,INDEX(TblClusters[RAM par nœud (Go)],$B828),"")</f>
        <v/>
      </c>
      <c r="J828" s="14" t="str">
        <f aca="false">IF($D828=1,INDEX(TblClusters[Workers min],$B828),"")</f>
        <v/>
      </c>
      <c r="K828" s="84" t="str">
        <f aca="false">IF($D828=1,INDEX(TblClusters[Tarif par nœud],$B828),"")</f>
        <v/>
      </c>
      <c r="L828" s="14" t="str">
        <f aca="false">IF($D828=1,INDEX(TblClusters[CPU initial (vCPU)],$B828),"")</f>
        <v/>
      </c>
      <c r="M828" s="14" t="str">
        <f aca="false">IF($D828=1,INDEX(TblClusters[RAM initiale (Go)],$B828),"")</f>
        <v/>
      </c>
      <c r="N828" s="14" t="str">
        <f aca="false">IF($D828=1,INDEX(TblClusters[CPU min (vCPU)],$B828),"")</f>
        <v/>
      </c>
      <c r="O828" s="14" t="str">
        <f aca="false">IF($D828=1,INDEX(TblClusters[RAM min (Go)],$B828),"")</f>
        <v/>
      </c>
      <c r="P828" s="14" t="str">
        <f aca="false">IF($D828&lt;&gt;1,"",IF($G828="ROKS",SUMIFS(TblApplications[Besoin ROKS CPU (vCPU)],TblApplications[Cluster ROKS cible],$F828,TblApplications[Action],"À migrer",TblApplications[Déjà incluse ROKS],"Non",TblApplications[Mois prov (calc)],"&lt;="&amp;$E828),SUMIFS(TblApplications[CPU IKS libérable (vCPU)],TblApplications[Cluster IKS source],$F828,TblApplications[Mois lib (calc)],"&lt;="&amp;$E828)))</f>
        <v/>
      </c>
      <c r="Q828" s="14" t="str">
        <f aca="false">IF($D828&lt;&gt;1,"",IF($G828="ROKS",SUMIFS(TblApplications[Besoin ROKS RAM (Go)],TblApplications[Cluster ROKS cible],$F828,TblApplications[Action],"À migrer",TblApplications[Déjà incluse ROKS],"Non",TblApplications[Mois prov (calc)],"&lt;="&amp;$E828),SUMIFS(TblApplications[RAM IKS libérable (Go)],TblApplications[Cluster IKS source],$F828,TblApplications[Mois lib (calc)],"&lt;="&amp;$E828)))</f>
        <v/>
      </c>
      <c r="R828" s="14" t="str">
        <f aca="false">IF($D828&lt;&gt;1,"",IF($G828="ROKS",$L828+$P828,IF($AI828=1,0,MAX($N828,$L828-$P828))))</f>
        <v/>
      </c>
      <c r="S828" s="14" t="str">
        <f aca="false">IF($D828&lt;&gt;1,"",IF($G828="ROKS",$M828+$Q828,IF($AI828=1,0,MAX($O828,$M828-$Q828))))</f>
        <v/>
      </c>
      <c r="T828" s="14" t="str">
        <f aca="false">IF($D828&lt;&gt;1,"",IF($AI828=1,0,MAX($J828,ROUNDUP(MAX($R828/$H828,$S828/$I828),0))))</f>
        <v/>
      </c>
      <c r="U828" s="14" t="str">
        <f aca="false">IF($D828&lt;&gt;1,"",IF(p_mode="Nœud",$T828*$H828,$R828))</f>
        <v/>
      </c>
      <c r="V828" s="14" t="str">
        <f aca="false">IF($D828&lt;&gt;1,"",IF(p_mode="Nœud",$T828*$I828,$S828))</f>
        <v/>
      </c>
      <c r="W828" s="84" t="str">
        <f aca="false">IF($D828&lt;&gt;1,"",IF(p_mode="Nœud",$T828*$K828,$R828*IF($G828="IKS",p_iks_cpu,p_roks_cpu)+$S828*IF($G828="IKS",p_iks_ram,p_roks_ram))*p_facteur)</f>
        <v/>
      </c>
      <c r="X828" s="14" t="str">
        <f aca="false">IF($D828&lt;&gt;1,"",IF($G828="ROKS",$R828,IF($AI828=1,0,MAX($N828,$L828-SUMIFS(TblApplications[CPU IKS libérable (vCPU)],TblApplications[Cluster IKS source],$F828,TblApplications[Action],"À migrer",TblApplications[Mois prov (calc)],"&lt;="&amp;$E828)-SUMIFS(TblApplications[CPU IKS libérable (vCPU)],TblApplications[Cluster IKS source],$F828,TblApplications[Action],"À décommissionner",TblApplications[Mois lib (calc)],"&lt;="&amp;$E828)))))</f>
        <v/>
      </c>
      <c r="Y828" s="14" t="str">
        <f aca="false">IF($D828&lt;&gt;1,"",IF($G828="ROKS",$S828,IF($AI828=1,0,MAX($O828,$M828-SUMIFS(TblApplications[RAM IKS libérable (Go)],TblApplications[Cluster IKS source],$F828,TblApplications[Action],"À migrer",TblApplications[Mois prov (calc)],"&lt;="&amp;$E828)-SUMIFS(TblApplications[RAM IKS libérable (Go)],TblApplications[Cluster IKS source],$F828,TblApplications[Action],"À décommissionner",TblApplications[Mois lib (calc)],"&lt;="&amp;$E828)))))</f>
        <v/>
      </c>
      <c r="Z828" s="14" t="str">
        <f aca="false">IF($D828&lt;&gt;1,"",IF($AI828=1,0,MAX($J828,ROUNDUP(MAX($X828/$H828,$Y828/$I828),0))))</f>
        <v/>
      </c>
      <c r="AA828" s="84" t="str">
        <f aca="false">IF($D828&lt;&gt;1,"",IF(p_mode="Nœud",$Z828*$K828,$X828*IF($G828="IKS",p_iks_cpu,p_roks_cpu)+$Y828*IF($G828="IKS",p_iks_ram,p_roks_ram))*p_facteur)</f>
        <v/>
      </c>
      <c r="AB828" s="14" t="str">
        <f aca="false">IF($D828&lt;&gt;1,"",MAX($J828,ROUNDUP(MAX($L828/$H828,$M828/$I828),0)))</f>
        <v/>
      </c>
      <c r="AC828" s="84" t="str">
        <f aca="false">IF($D828&lt;&gt;1,"",IF(p_mode="Nœud",$AB828*$K828,$L828*IF($G828="IKS",p_iks_cpu,p_roks_cpu)+$M828*IF($G828="IKS",p_iks_ram,p_roks_ram))*p_facteur)</f>
        <v/>
      </c>
      <c r="AD828" s="14" t="str">
        <f aca="false">IF($D828&lt;&gt;1,"",IF(AND($G828="IKS",$AI828&lt;&gt;1,OR($L828-$P828&lt;$N828,$M828-$Q828&lt;$O828)),1,0))</f>
        <v/>
      </c>
      <c r="AE828" s="14" t="str">
        <f aca="false">IF($D828&lt;&gt;1,"",IF(AND($G828="ROKS",$T828&gt;p_maxworkers),1,0))</f>
        <v/>
      </c>
      <c r="AF828" s="14" t="str">
        <f aca="false">IF($D828&lt;&gt;1,"",IF(INDEX(TblClusters[Environnement],$B828)="","(vide)",INDEX(TblClusters[Environnement],$B828)))</f>
        <v/>
      </c>
      <c r="AG828" s="14" t="str">
        <f aca="false">IF($D828&lt;&gt;1,"",$R828+p_poidsram*$S828)</f>
        <v/>
      </c>
      <c r="AH828" s="14" t="str">
        <f aca="false">IF($D828&lt;&gt;1,"",IFERROR($W828/$AG828,0))</f>
        <v/>
      </c>
      <c r="AI828" s="14" t="str">
        <f aca="false">IF($D828&lt;&gt;1,"",IF(AND($G828="IKS",ISNUMBER(INDEX(TblClusters[Fermeture retenue],$B828))),IF($E828&gt;=INDEX(TblClusters[Fermeture retenue],$B828),1,0),0))</f>
        <v/>
      </c>
    </row>
    <row r="829" customFormat="false" ht="15" hidden="false" customHeight="false" outlineLevel="0" collapsed="false">
      <c r="A829" s="14" t="n">
        <v>824</v>
      </c>
      <c r="B829" s="14" t="n">
        <f aca="false">INT(($A829-1)/36)+1</f>
        <v>23</v>
      </c>
      <c r="C829" s="14" t="n">
        <f aca="false">MOD($A829-1,36)+1</f>
        <v>32</v>
      </c>
      <c r="D829" s="14" t="n">
        <f aca="false">IF($C829&gt;p_horizon,0,IFERROR(IF(AND(INDEX(TblClusters[Cluster],$B829)&lt;&gt;"",ISNUMBER(INDEX(TblClusters[CPU initial (vCPU)],$B829)),ISNUMBER(INDEX(TblClusters[CPU min (vCPU)],$B829)),OR(INDEX(TblClusters[Plateforme],$B829)="IKS",INDEX(TblClusters[Plateforme],$B829)="ROKS")),1,0),0))</f>
        <v>0</v>
      </c>
      <c r="E829" s="83" t="str">
        <f aca="false">IF($D829=1,EDATE(p_debut,$C829-1),"")</f>
        <v/>
      </c>
      <c r="F829" s="14" t="str">
        <f aca="false">IF($D829=1,INDEX(TblClusters[Cluster],$B829),"")</f>
        <v/>
      </c>
      <c r="G829" s="14" t="str">
        <f aca="false">IF($D829=1,INDEX(TblClusters[Plateforme],$B829),"")</f>
        <v/>
      </c>
      <c r="H829" s="14" t="str">
        <f aca="false">IF($D829=1,INDEX(TblClusters[vCPU par nœud],$B829),"")</f>
        <v/>
      </c>
      <c r="I829" s="14" t="str">
        <f aca="false">IF($D829=1,INDEX(TblClusters[RAM par nœud (Go)],$B829),"")</f>
        <v/>
      </c>
      <c r="J829" s="14" t="str">
        <f aca="false">IF($D829=1,INDEX(TblClusters[Workers min],$B829),"")</f>
        <v/>
      </c>
      <c r="K829" s="84" t="str">
        <f aca="false">IF($D829=1,INDEX(TblClusters[Tarif par nœud],$B829),"")</f>
        <v/>
      </c>
      <c r="L829" s="14" t="str">
        <f aca="false">IF($D829=1,INDEX(TblClusters[CPU initial (vCPU)],$B829),"")</f>
        <v/>
      </c>
      <c r="M829" s="14" t="str">
        <f aca="false">IF($D829=1,INDEX(TblClusters[RAM initiale (Go)],$B829),"")</f>
        <v/>
      </c>
      <c r="N829" s="14" t="str">
        <f aca="false">IF($D829=1,INDEX(TblClusters[CPU min (vCPU)],$B829),"")</f>
        <v/>
      </c>
      <c r="O829" s="14" t="str">
        <f aca="false">IF($D829=1,INDEX(TblClusters[RAM min (Go)],$B829),"")</f>
        <v/>
      </c>
      <c r="P829" s="14" t="str">
        <f aca="false">IF($D829&lt;&gt;1,"",IF($G829="ROKS",SUMIFS(TblApplications[Besoin ROKS CPU (vCPU)],TblApplications[Cluster ROKS cible],$F829,TblApplications[Action],"À migrer",TblApplications[Déjà incluse ROKS],"Non",TblApplications[Mois prov (calc)],"&lt;="&amp;$E829),SUMIFS(TblApplications[CPU IKS libérable (vCPU)],TblApplications[Cluster IKS source],$F829,TblApplications[Mois lib (calc)],"&lt;="&amp;$E829)))</f>
        <v/>
      </c>
      <c r="Q829" s="14" t="str">
        <f aca="false">IF($D829&lt;&gt;1,"",IF($G829="ROKS",SUMIFS(TblApplications[Besoin ROKS RAM (Go)],TblApplications[Cluster ROKS cible],$F829,TblApplications[Action],"À migrer",TblApplications[Déjà incluse ROKS],"Non",TblApplications[Mois prov (calc)],"&lt;="&amp;$E829),SUMIFS(TblApplications[RAM IKS libérable (Go)],TblApplications[Cluster IKS source],$F829,TblApplications[Mois lib (calc)],"&lt;="&amp;$E829)))</f>
        <v/>
      </c>
      <c r="R829" s="14" t="str">
        <f aca="false">IF($D829&lt;&gt;1,"",IF($G829="ROKS",$L829+$P829,IF($AI829=1,0,MAX($N829,$L829-$P829))))</f>
        <v/>
      </c>
      <c r="S829" s="14" t="str">
        <f aca="false">IF($D829&lt;&gt;1,"",IF($G829="ROKS",$M829+$Q829,IF($AI829=1,0,MAX($O829,$M829-$Q829))))</f>
        <v/>
      </c>
      <c r="T829" s="14" t="str">
        <f aca="false">IF($D829&lt;&gt;1,"",IF($AI829=1,0,MAX($J829,ROUNDUP(MAX($R829/$H829,$S829/$I829),0))))</f>
        <v/>
      </c>
      <c r="U829" s="14" t="str">
        <f aca="false">IF($D829&lt;&gt;1,"",IF(p_mode="Nœud",$T829*$H829,$R829))</f>
        <v/>
      </c>
      <c r="V829" s="14" t="str">
        <f aca="false">IF($D829&lt;&gt;1,"",IF(p_mode="Nœud",$T829*$I829,$S829))</f>
        <v/>
      </c>
      <c r="W829" s="84" t="str">
        <f aca="false">IF($D829&lt;&gt;1,"",IF(p_mode="Nœud",$T829*$K829,$R829*IF($G829="IKS",p_iks_cpu,p_roks_cpu)+$S829*IF($G829="IKS",p_iks_ram,p_roks_ram))*p_facteur)</f>
        <v/>
      </c>
      <c r="X829" s="14" t="str">
        <f aca="false">IF($D829&lt;&gt;1,"",IF($G829="ROKS",$R829,IF($AI829=1,0,MAX($N829,$L829-SUMIFS(TblApplications[CPU IKS libérable (vCPU)],TblApplications[Cluster IKS source],$F829,TblApplications[Action],"À migrer",TblApplications[Mois prov (calc)],"&lt;="&amp;$E829)-SUMIFS(TblApplications[CPU IKS libérable (vCPU)],TblApplications[Cluster IKS source],$F829,TblApplications[Action],"À décommissionner",TblApplications[Mois lib (calc)],"&lt;="&amp;$E829)))))</f>
        <v/>
      </c>
      <c r="Y829" s="14" t="str">
        <f aca="false">IF($D829&lt;&gt;1,"",IF($G829="ROKS",$S829,IF($AI829=1,0,MAX($O829,$M829-SUMIFS(TblApplications[RAM IKS libérable (Go)],TblApplications[Cluster IKS source],$F829,TblApplications[Action],"À migrer",TblApplications[Mois prov (calc)],"&lt;="&amp;$E829)-SUMIFS(TblApplications[RAM IKS libérable (Go)],TblApplications[Cluster IKS source],$F829,TblApplications[Action],"À décommissionner",TblApplications[Mois lib (calc)],"&lt;="&amp;$E829)))))</f>
        <v/>
      </c>
      <c r="Z829" s="14" t="str">
        <f aca="false">IF($D829&lt;&gt;1,"",IF($AI829=1,0,MAX($J829,ROUNDUP(MAX($X829/$H829,$Y829/$I829),0))))</f>
        <v/>
      </c>
      <c r="AA829" s="84" t="str">
        <f aca="false">IF($D829&lt;&gt;1,"",IF(p_mode="Nœud",$Z829*$K829,$X829*IF($G829="IKS",p_iks_cpu,p_roks_cpu)+$Y829*IF($G829="IKS",p_iks_ram,p_roks_ram))*p_facteur)</f>
        <v/>
      </c>
      <c r="AB829" s="14" t="str">
        <f aca="false">IF($D829&lt;&gt;1,"",MAX($J829,ROUNDUP(MAX($L829/$H829,$M829/$I829),0)))</f>
        <v/>
      </c>
      <c r="AC829" s="84" t="str">
        <f aca="false">IF($D829&lt;&gt;1,"",IF(p_mode="Nœud",$AB829*$K829,$L829*IF($G829="IKS",p_iks_cpu,p_roks_cpu)+$M829*IF($G829="IKS",p_iks_ram,p_roks_ram))*p_facteur)</f>
        <v/>
      </c>
      <c r="AD829" s="14" t="str">
        <f aca="false">IF($D829&lt;&gt;1,"",IF(AND($G829="IKS",$AI829&lt;&gt;1,OR($L829-$P829&lt;$N829,$M829-$Q829&lt;$O829)),1,0))</f>
        <v/>
      </c>
      <c r="AE829" s="14" t="str">
        <f aca="false">IF($D829&lt;&gt;1,"",IF(AND($G829="ROKS",$T829&gt;p_maxworkers),1,0))</f>
        <v/>
      </c>
      <c r="AF829" s="14" t="str">
        <f aca="false">IF($D829&lt;&gt;1,"",IF(INDEX(TblClusters[Environnement],$B829)="","(vide)",INDEX(TblClusters[Environnement],$B829)))</f>
        <v/>
      </c>
      <c r="AG829" s="14" t="str">
        <f aca="false">IF($D829&lt;&gt;1,"",$R829+p_poidsram*$S829)</f>
        <v/>
      </c>
      <c r="AH829" s="14" t="str">
        <f aca="false">IF($D829&lt;&gt;1,"",IFERROR($W829/$AG829,0))</f>
        <v/>
      </c>
      <c r="AI829" s="14" t="str">
        <f aca="false">IF($D829&lt;&gt;1,"",IF(AND($G829="IKS",ISNUMBER(INDEX(TblClusters[Fermeture retenue],$B829))),IF($E829&gt;=INDEX(TblClusters[Fermeture retenue],$B829),1,0),0))</f>
        <v/>
      </c>
    </row>
    <row r="830" customFormat="false" ht="15" hidden="false" customHeight="false" outlineLevel="0" collapsed="false">
      <c r="A830" s="14" t="n">
        <v>825</v>
      </c>
      <c r="B830" s="14" t="n">
        <f aca="false">INT(($A830-1)/36)+1</f>
        <v>23</v>
      </c>
      <c r="C830" s="14" t="n">
        <f aca="false">MOD($A830-1,36)+1</f>
        <v>33</v>
      </c>
      <c r="D830" s="14" t="n">
        <f aca="false">IF($C830&gt;p_horizon,0,IFERROR(IF(AND(INDEX(TblClusters[Cluster],$B830)&lt;&gt;"",ISNUMBER(INDEX(TblClusters[CPU initial (vCPU)],$B830)),ISNUMBER(INDEX(TblClusters[CPU min (vCPU)],$B830)),OR(INDEX(TblClusters[Plateforme],$B830)="IKS",INDEX(TblClusters[Plateforme],$B830)="ROKS")),1,0),0))</f>
        <v>0</v>
      </c>
      <c r="E830" s="83" t="str">
        <f aca="false">IF($D830=1,EDATE(p_debut,$C830-1),"")</f>
        <v/>
      </c>
      <c r="F830" s="14" t="str">
        <f aca="false">IF($D830=1,INDEX(TblClusters[Cluster],$B830),"")</f>
        <v/>
      </c>
      <c r="G830" s="14" t="str">
        <f aca="false">IF($D830=1,INDEX(TblClusters[Plateforme],$B830),"")</f>
        <v/>
      </c>
      <c r="H830" s="14" t="str">
        <f aca="false">IF($D830=1,INDEX(TblClusters[vCPU par nœud],$B830),"")</f>
        <v/>
      </c>
      <c r="I830" s="14" t="str">
        <f aca="false">IF($D830=1,INDEX(TblClusters[RAM par nœud (Go)],$B830),"")</f>
        <v/>
      </c>
      <c r="J830" s="14" t="str">
        <f aca="false">IF($D830=1,INDEX(TblClusters[Workers min],$B830),"")</f>
        <v/>
      </c>
      <c r="K830" s="84" t="str">
        <f aca="false">IF($D830=1,INDEX(TblClusters[Tarif par nœud],$B830),"")</f>
        <v/>
      </c>
      <c r="L830" s="14" t="str">
        <f aca="false">IF($D830=1,INDEX(TblClusters[CPU initial (vCPU)],$B830),"")</f>
        <v/>
      </c>
      <c r="M830" s="14" t="str">
        <f aca="false">IF($D830=1,INDEX(TblClusters[RAM initiale (Go)],$B830),"")</f>
        <v/>
      </c>
      <c r="N830" s="14" t="str">
        <f aca="false">IF($D830=1,INDEX(TblClusters[CPU min (vCPU)],$B830),"")</f>
        <v/>
      </c>
      <c r="O830" s="14" t="str">
        <f aca="false">IF($D830=1,INDEX(TblClusters[RAM min (Go)],$B830),"")</f>
        <v/>
      </c>
      <c r="P830" s="14" t="str">
        <f aca="false">IF($D830&lt;&gt;1,"",IF($G830="ROKS",SUMIFS(TblApplications[Besoin ROKS CPU (vCPU)],TblApplications[Cluster ROKS cible],$F830,TblApplications[Action],"À migrer",TblApplications[Déjà incluse ROKS],"Non",TblApplications[Mois prov (calc)],"&lt;="&amp;$E830),SUMIFS(TblApplications[CPU IKS libérable (vCPU)],TblApplications[Cluster IKS source],$F830,TblApplications[Mois lib (calc)],"&lt;="&amp;$E830)))</f>
        <v/>
      </c>
      <c r="Q830" s="14" t="str">
        <f aca="false">IF($D830&lt;&gt;1,"",IF($G830="ROKS",SUMIFS(TblApplications[Besoin ROKS RAM (Go)],TblApplications[Cluster ROKS cible],$F830,TblApplications[Action],"À migrer",TblApplications[Déjà incluse ROKS],"Non",TblApplications[Mois prov (calc)],"&lt;="&amp;$E830),SUMIFS(TblApplications[RAM IKS libérable (Go)],TblApplications[Cluster IKS source],$F830,TblApplications[Mois lib (calc)],"&lt;="&amp;$E830)))</f>
        <v/>
      </c>
      <c r="R830" s="14" t="str">
        <f aca="false">IF($D830&lt;&gt;1,"",IF($G830="ROKS",$L830+$P830,IF($AI830=1,0,MAX($N830,$L830-$P830))))</f>
        <v/>
      </c>
      <c r="S830" s="14" t="str">
        <f aca="false">IF($D830&lt;&gt;1,"",IF($G830="ROKS",$M830+$Q830,IF($AI830=1,0,MAX($O830,$M830-$Q830))))</f>
        <v/>
      </c>
      <c r="T830" s="14" t="str">
        <f aca="false">IF($D830&lt;&gt;1,"",IF($AI830=1,0,MAX($J830,ROUNDUP(MAX($R830/$H830,$S830/$I830),0))))</f>
        <v/>
      </c>
      <c r="U830" s="14" t="str">
        <f aca="false">IF($D830&lt;&gt;1,"",IF(p_mode="Nœud",$T830*$H830,$R830))</f>
        <v/>
      </c>
      <c r="V830" s="14" t="str">
        <f aca="false">IF($D830&lt;&gt;1,"",IF(p_mode="Nœud",$T830*$I830,$S830))</f>
        <v/>
      </c>
      <c r="W830" s="84" t="str">
        <f aca="false">IF($D830&lt;&gt;1,"",IF(p_mode="Nœud",$T830*$K830,$R830*IF($G830="IKS",p_iks_cpu,p_roks_cpu)+$S830*IF($G830="IKS",p_iks_ram,p_roks_ram))*p_facteur)</f>
        <v/>
      </c>
      <c r="X830" s="14" t="str">
        <f aca="false">IF($D830&lt;&gt;1,"",IF($G830="ROKS",$R830,IF($AI830=1,0,MAX($N830,$L830-SUMIFS(TblApplications[CPU IKS libérable (vCPU)],TblApplications[Cluster IKS source],$F830,TblApplications[Action],"À migrer",TblApplications[Mois prov (calc)],"&lt;="&amp;$E830)-SUMIFS(TblApplications[CPU IKS libérable (vCPU)],TblApplications[Cluster IKS source],$F830,TblApplications[Action],"À décommissionner",TblApplications[Mois lib (calc)],"&lt;="&amp;$E830)))))</f>
        <v/>
      </c>
      <c r="Y830" s="14" t="str">
        <f aca="false">IF($D830&lt;&gt;1,"",IF($G830="ROKS",$S830,IF($AI830=1,0,MAX($O830,$M830-SUMIFS(TblApplications[RAM IKS libérable (Go)],TblApplications[Cluster IKS source],$F830,TblApplications[Action],"À migrer",TblApplications[Mois prov (calc)],"&lt;="&amp;$E830)-SUMIFS(TblApplications[RAM IKS libérable (Go)],TblApplications[Cluster IKS source],$F830,TblApplications[Action],"À décommissionner",TblApplications[Mois lib (calc)],"&lt;="&amp;$E830)))))</f>
        <v/>
      </c>
      <c r="Z830" s="14" t="str">
        <f aca="false">IF($D830&lt;&gt;1,"",IF($AI830=1,0,MAX($J830,ROUNDUP(MAX($X830/$H830,$Y830/$I830),0))))</f>
        <v/>
      </c>
      <c r="AA830" s="84" t="str">
        <f aca="false">IF($D830&lt;&gt;1,"",IF(p_mode="Nœud",$Z830*$K830,$X830*IF($G830="IKS",p_iks_cpu,p_roks_cpu)+$Y830*IF($G830="IKS",p_iks_ram,p_roks_ram))*p_facteur)</f>
        <v/>
      </c>
      <c r="AB830" s="14" t="str">
        <f aca="false">IF($D830&lt;&gt;1,"",MAX($J830,ROUNDUP(MAX($L830/$H830,$M830/$I830),0)))</f>
        <v/>
      </c>
      <c r="AC830" s="84" t="str">
        <f aca="false">IF($D830&lt;&gt;1,"",IF(p_mode="Nœud",$AB830*$K830,$L830*IF($G830="IKS",p_iks_cpu,p_roks_cpu)+$M830*IF($G830="IKS",p_iks_ram,p_roks_ram))*p_facteur)</f>
        <v/>
      </c>
      <c r="AD830" s="14" t="str">
        <f aca="false">IF($D830&lt;&gt;1,"",IF(AND($G830="IKS",$AI830&lt;&gt;1,OR($L830-$P830&lt;$N830,$M830-$Q830&lt;$O830)),1,0))</f>
        <v/>
      </c>
      <c r="AE830" s="14" t="str">
        <f aca="false">IF($D830&lt;&gt;1,"",IF(AND($G830="ROKS",$T830&gt;p_maxworkers),1,0))</f>
        <v/>
      </c>
      <c r="AF830" s="14" t="str">
        <f aca="false">IF($D830&lt;&gt;1,"",IF(INDEX(TblClusters[Environnement],$B830)="","(vide)",INDEX(TblClusters[Environnement],$B830)))</f>
        <v/>
      </c>
      <c r="AG830" s="14" t="str">
        <f aca="false">IF($D830&lt;&gt;1,"",$R830+p_poidsram*$S830)</f>
        <v/>
      </c>
      <c r="AH830" s="14" t="str">
        <f aca="false">IF($D830&lt;&gt;1,"",IFERROR($W830/$AG830,0))</f>
        <v/>
      </c>
      <c r="AI830" s="14" t="str">
        <f aca="false">IF($D830&lt;&gt;1,"",IF(AND($G830="IKS",ISNUMBER(INDEX(TblClusters[Fermeture retenue],$B830))),IF($E830&gt;=INDEX(TblClusters[Fermeture retenue],$B830),1,0),0))</f>
        <v/>
      </c>
    </row>
    <row r="831" customFormat="false" ht="15" hidden="false" customHeight="false" outlineLevel="0" collapsed="false">
      <c r="A831" s="14" t="n">
        <v>826</v>
      </c>
      <c r="B831" s="14" t="n">
        <f aca="false">INT(($A831-1)/36)+1</f>
        <v>23</v>
      </c>
      <c r="C831" s="14" t="n">
        <f aca="false">MOD($A831-1,36)+1</f>
        <v>34</v>
      </c>
      <c r="D831" s="14" t="n">
        <f aca="false">IF($C831&gt;p_horizon,0,IFERROR(IF(AND(INDEX(TblClusters[Cluster],$B831)&lt;&gt;"",ISNUMBER(INDEX(TblClusters[CPU initial (vCPU)],$B831)),ISNUMBER(INDEX(TblClusters[CPU min (vCPU)],$B831)),OR(INDEX(TblClusters[Plateforme],$B831)="IKS",INDEX(TblClusters[Plateforme],$B831)="ROKS")),1,0),0))</f>
        <v>0</v>
      </c>
      <c r="E831" s="83" t="str">
        <f aca="false">IF($D831=1,EDATE(p_debut,$C831-1),"")</f>
        <v/>
      </c>
      <c r="F831" s="14" t="str">
        <f aca="false">IF($D831=1,INDEX(TblClusters[Cluster],$B831),"")</f>
        <v/>
      </c>
      <c r="G831" s="14" t="str">
        <f aca="false">IF($D831=1,INDEX(TblClusters[Plateforme],$B831),"")</f>
        <v/>
      </c>
      <c r="H831" s="14" t="str">
        <f aca="false">IF($D831=1,INDEX(TblClusters[vCPU par nœud],$B831),"")</f>
        <v/>
      </c>
      <c r="I831" s="14" t="str">
        <f aca="false">IF($D831=1,INDEX(TblClusters[RAM par nœud (Go)],$B831),"")</f>
        <v/>
      </c>
      <c r="J831" s="14" t="str">
        <f aca="false">IF($D831=1,INDEX(TblClusters[Workers min],$B831),"")</f>
        <v/>
      </c>
      <c r="K831" s="84" t="str">
        <f aca="false">IF($D831=1,INDEX(TblClusters[Tarif par nœud],$B831),"")</f>
        <v/>
      </c>
      <c r="L831" s="14" t="str">
        <f aca="false">IF($D831=1,INDEX(TblClusters[CPU initial (vCPU)],$B831),"")</f>
        <v/>
      </c>
      <c r="M831" s="14" t="str">
        <f aca="false">IF($D831=1,INDEX(TblClusters[RAM initiale (Go)],$B831),"")</f>
        <v/>
      </c>
      <c r="N831" s="14" t="str">
        <f aca="false">IF($D831=1,INDEX(TblClusters[CPU min (vCPU)],$B831),"")</f>
        <v/>
      </c>
      <c r="O831" s="14" t="str">
        <f aca="false">IF($D831=1,INDEX(TblClusters[RAM min (Go)],$B831),"")</f>
        <v/>
      </c>
      <c r="P831" s="14" t="str">
        <f aca="false">IF($D831&lt;&gt;1,"",IF($G831="ROKS",SUMIFS(TblApplications[Besoin ROKS CPU (vCPU)],TblApplications[Cluster ROKS cible],$F831,TblApplications[Action],"À migrer",TblApplications[Déjà incluse ROKS],"Non",TblApplications[Mois prov (calc)],"&lt;="&amp;$E831),SUMIFS(TblApplications[CPU IKS libérable (vCPU)],TblApplications[Cluster IKS source],$F831,TblApplications[Mois lib (calc)],"&lt;="&amp;$E831)))</f>
        <v/>
      </c>
      <c r="Q831" s="14" t="str">
        <f aca="false">IF($D831&lt;&gt;1,"",IF($G831="ROKS",SUMIFS(TblApplications[Besoin ROKS RAM (Go)],TblApplications[Cluster ROKS cible],$F831,TblApplications[Action],"À migrer",TblApplications[Déjà incluse ROKS],"Non",TblApplications[Mois prov (calc)],"&lt;="&amp;$E831),SUMIFS(TblApplications[RAM IKS libérable (Go)],TblApplications[Cluster IKS source],$F831,TblApplications[Mois lib (calc)],"&lt;="&amp;$E831)))</f>
        <v/>
      </c>
      <c r="R831" s="14" t="str">
        <f aca="false">IF($D831&lt;&gt;1,"",IF($G831="ROKS",$L831+$P831,IF($AI831=1,0,MAX($N831,$L831-$P831))))</f>
        <v/>
      </c>
      <c r="S831" s="14" t="str">
        <f aca="false">IF($D831&lt;&gt;1,"",IF($G831="ROKS",$M831+$Q831,IF($AI831=1,0,MAX($O831,$M831-$Q831))))</f>
        <v/>
      </c>
      <c r="T831" s="14" t="str">
        <f aca="false">IF($D831&lt;&gt;1,"",IF($AI831=1,0,MAX($J831,ROUNDUP(MAX($R831/$H831,$S831/$I831),0))))</f>
        <v/>
      </c>
      <c r="U831" s="14" t="str">
        <f aca="false">IF($D831&lt;&gt;1,"",IF(p_mode="Nœud",$T831*$H831,$R831))</f>
        <v/>
      </c>
      <c r="V831" s="14" t="str">
        <f aca="false">IF($D831&lt;&gt;1,"",IF(p_mode="Nœud",$T831*$I831,$S831))</f>
        <v/>
      </c>
      <c r="W831" s="84" t="str">
        <f aca="false">IF($D831&lt;&gt;1,"",IF(p_mode="Nœud",$T831*$K831,$R831*IF($G831="IKS",p_iks_cpu,p_roks_cpu)+$S831*IF($G831="IKS",p_iks_ram,p_roks_ram))*p_facteur)</f>
        <v/>
      </c>
      <c r="X831" s="14" t="str">
        <f aca="false">IF($D831&lt;&gt;1,"",IF($G831="ROKS",$R831,IF($AI831=1,0,MAX($N831,$L831-SUMIFS(TblApplications[CPU IKS libérable (vCPU)],TblApplications[Cluster IKS source],$F831,TblApplications[Action],"À migrer",TblApplications[Mois prov (calc)],"&lt;="&amp;$E831)-SUMIFS(TblApplications[CPU IKS libérable (vCPU)],TblApplications[Cluster IKS source],$F831,TblApplications[Action],"À décommissionner",TblApplications[Mois lib (calc)],"&lt;="&amp;$E831)))))</f>
        <v/>
      </c>
      <c r="Y831" s="14" t="str">
        <f aca="false">IF($D831&lt;&gt;1,"",IF($G831="ROKS",$S831,IF($AI831=1,0,MAX($O831,$M831-SUMIFS(TblApplications[RAM IKS libérable (Go)],TblApplications[Cluster IKS source],$F831,TblApplications[Action],"À migrer",TblApplications[Mois prov (calc)],"&lt;="&amp;$E831)-SUMIFS(TblApplications[RAM IKS libérable (Go)],TblApplications[Cluster IKS source],$F831,TblApplications[Action],"À décommissionner",TblApplications[Mois lib (calc)],"&lt;="&amp;$E831)))))</f>
        <v/>
      </c>
      <c r="Z831" s="14" t="str">
        <f aca="false">IF($D831&lt;&gt;1,"",IF($AI831=1,0,MAX($J831,ROUNDUP(MAX($X831/$H831,$Y831/$I831),0))))</f>
        <v/>
      </c>
      <c r="AA831" s="84" t="str">
        <f aca="false">IF($D831&lt;&gt;1,"",IF(p_mode="Nœud",$Z831*$K831,$X831*IF($G831="IKS",p_iks_cpu,p_roks_cpu)+$Y831*IF($G831="IKS",p_iks_ram,p_roks_ram))*p_facteur)</f>
        <v/>
      </c>
      <c r="AB831" s="14" t="str">
        <f aca="false">IF($D831&lt;&gt;1,"",MAX($J831,ROUNDUP(MAX($L831/$H831,$M831/$I831),0)))</f>
        <v/>
      </c>
      <c r="AC831" s="84" t="str">
        <f aca="false">IF($D831&lt;&gt;1,"",IF(p_mode="Nœud",$AB831*$K831,$L831*IF($G831="IKS",p_iks_cpu,p_roks_cpu)+$M831*IF($G831="IKS",p_iks_ram,p_roks_ram))*p_facteur)</f>
        <v/>
      </c>
      <c r="AD831" s="14" t="str">
        <f aca="false">IF($D831&lt;&gt;1,"",IF(AND($G831="IKS",$AI831&lt;&gt;1,OR($L831-$P831&lt;$N831,$M831-$Q831&lt;$O831)),1,0))</f>
        <v/>
      </c>
      <c r="AE831" s="14" t="str">
        <f aca="false">IF($D831&lt;&gt;1,"",IF(AND($G831="ROKS",$T831&gt;p_maxworkers),1,0))</f>
        <v/>
      </c>
      <c r="AF831" s="14" t="str">
        <f aca="false">IF($D831&lt;&gt;1,"",IF(INDEX(TblClusters[Environnement],$B831)="","(vide)",INDEX(TblClusters[Environnement],$B831)))</f>
        <v/>
      </c>
      <c r="AG831" s="14" t="str">
        <f aca="false">IF($D831&lt;&gt;1,"",$R831+p_poidsram*$S831)</f>
        <v/>
      </c>
      <c r="AH831" s="14" t="str">
        <f aca="false">IF($D831&lt;&gt;1,"",IFERROR($W831/$AG831,0))</f>
        <v/>
      </c>
      <c r="AI831" s="14" t="str">
        <f aca="false">IF($D831&lt;&gt;1,"",IF(AND($G831="IKS",ISNUMBER(INDEX(TblClusters[Fermeture retenue],$B831))),IF($E831&gt;=INDEX(TblClusters[Fermeture retenue],$B831),1,0),0))</f>
        <v/>
      </c>
    </row>
    <row r="832" customFormat="false" ht="15" hidden="false" customHeight="false" outlineLevel="0" collapsed="false">
      <c r="A832" s="14" t="n">
        <v>827</v>
      </c>
      <c r="B832" s="14" t="n">
        <f aca="false">INT(($A832-1)/36)+1</f>
        <v>23</v>
      </c>
      <c r="C832" s="14" t="n">
        <f aca="false">MOD($A832-1,36)+1</f>
        <v>35</v>
      </c>
      <c r="D832" s="14" t="n">
        <f aca="false">IF($C832&gt;p_horizon,0,IFERROR(IF(AND(INDEX(TblClusters[Cluster],$B832)&lt;&gt;"",ISNUMBER(INDEX(TblClusters[CPU initial (vCPU)],$B832)),ISNUMBER(INDEX(TblClusters[CPU min (vCPU)],$B832)),OR(INDEX(TblClusters[Plateforme],$B832)="IKS",INDEX(TblClusters[Plateforme],$B832)="ROKS")),1,0),0))</f>
        <v>0</v>
      </c>
      <c r="E832" s="83" t="str">
        <f aca="false">IF($D832=1,EDATE(p_debut,$C832-1),"")</f>
        <v/>
      </c>
      <c r="F832" s="14" t="str">
        <f aca="false">IF($D832=1,INDEX(TblClusters[Cluster],$B832),"")</f>
        <v/>
      </c>
      <c r="G832" s="14" t="str">
        <f aca="false">IF($D832=1,INDEX(TblClusters[Plateforme],$B832),"")</f>
        <v/>
      </c>
      <c r="H832" s="14" t="str">
        <f aca="false">IF($D832=1,INDEX(TblClusters[vCPU par nœud],$B832),"")</f>
        <v/>
      </c>
      <c r="I832" s="14" t="str">
        <f aca="false">IF($D832=1,INDEX(TblClusters[RAM par nœud (Go)],$B832),"")</f>
        <v/>
      </c>
      <c r="J832" s="14" t="str">
        <f aca="false">IF($D832=1,INDEX(TblClusters[Workers min],$B832),"")</f>
        <v/>
      </c>
      <c r="K832" s="84" t="str">
        <f aca="false">IF($D832=1,INDEX(TblClusters[Tarif par nœud],$B832),"")</f>
        <v/>
      </c>
      <c r="L832" s="14" t="str">
        <f aca="false">IF($D832=1,INDEX(TblClusters[CPU initial (vCPU)],$B832),"")</f>
        <v/>
      </c>
      <c r="M832" s="14" t="str">
        <f aca="false">IF($D832=1,INDEX(TblClusters[RAM initiale (Go)],$B832),"")</f>
        <v/>
      </c>
      <c r="N832" s="14" t="str">
        <f aca="false">IF($D832=1,INDEX(TblClusters[CPU min (vCPU)],$B832),"")</f>
        <v/>
      </c>
      <c r="O832" s="14" t="str">
        <f aca="false">IF($D832=1,INDEX(TblClusters[RAM min (Go)],$B832),"")</f>
        <v/>
      </c>
      <c r="P832" s="14" t="str">
        <f aca="false">IF($D832&lt;&gt;1,"",IF($G832="ROKS",SUMIFS(TblApplications[Besoin ROKS CPU (vCPU)],TblApplications[Cluster ROKS cible],$F832,TblApplications[Action],"À migrer",TblApplications[Déjà incluse ROKS],"Non",TblApplications[Mois prov (calc)],"&lt;="&amp;$E832),SUMIFS(TblApplications[CPU IKS libérable (vCPU)],TblApplications[Cluster IKS source],$F832,TblApplications[Mois lib (calc)],"&lt;="&amp;$E832)))</f>
        <v/>
      </c>
      <c r="Q832" s="14" t="str">
        <f aca="false">IF($D832&lt;&gt;1,"",IF($G832="ROKS",SUMIFS(TblApplications[Besoin ROKS RAM (Go)],TblApplications[Cluster ROKS cible],$F832,TblApplications[Action],"À migrer",TblApplications[Déjà incluse ROKS],"Non",TblApplications[Mois prov (calc)],"&lt;="&amp;$E832),SUMIFS(TblApplications[RAM IKS libérable (Go)],TblApplications[Cluster IKS source],$F832,TblApplications[Mois lib (calc)],"&lt;="&amp;$E832)))</f>
        <v/>
      </c>
      <c r="R832" s="14" t="str">
        <f aca="false">IF($D832&lt;&gt;1,"",IF($G832="ROKS",$L832+$P832,IF($AI832=1,0,MAX($N832,$L832-$P832))))</f>
        <v/>
      </c>
      <c r="S832" s="14" t="str">
        <f aca="false">IF($D832&lt;&gt;1,"",IF($G832="ROKS",$M832+$Q832,IF($AI832=1,0,MAX($O832,$M832-$Q832))))</f>
        <v/>
      </c>
      <c r="T832" s="14" t="str">
        <f aca="false">IF($D832&lt;&gt;1,"",IF($AI832=1,0,MAX($J832,ROUNDUP(MAX($R832/$H832,$S832/$I832),0))))</f>
        <v/>
      </c>
      <c r="U832" s="14" t="str">
        <f aca="false">IF($D832&lt;&gt;1,"",IF(p_mode="Nœud",$T832*$H832,$R832))</f>
        <v/>
      </c>
      <c r="V832" s="14" t="str">
        <f aca="false">IF($D832&lt;&gt;1,"",IF(p_mode="Nœud",$T832*$I832,$S832))</f>
        <v/>
      </c>
      <c r="W832" s="84" t="str">
        <f aca="false">IF($D832&lt;&gt;1,"",IF(p_mode="Nœud",$T832*$K832,$R832*IF($G832="IKS",p_iks_cpu,p_roks_cpu)+$S832*IF($G832="IKS",p_iks_ram,p_roks_ram))*p_facteur)</f>
        <v/>
      </c>
      <c r="X832" s="14" t="str">
        <f aca="false">IF($D832&lt;&gt;1,"",IF($G832="ROKS",$R832,IF($AI832=1,0,MAX($N832,$L832-SUMIFS(TblApplications[CPU IKS libérable (vCPU)],TblApplications[Cluster IKS source],$F832,TblApplications[Action],"À migrer",TblApplications[Mois prov (calc)],"&lt;="&amp;$E832)-SUMIFS(TblApplications[CPU IKS libérable (vCPU)],TblApplications[Cluster IKS source],$F832,TblApplications[Action],"À décommissionner",TblApplications[Mois lib (calc)],"&lt;="&amp;$E832)))))</f>
        <v/>
      </c>
      <c r="Y832" s="14" t="str">
        <f aca="false">IF($D832&lt;&gt;1,"",IF($G832="ROKS",$S832,IF($AI832=1,0,MAX($O832,$M832-SUMIFS(TblApplications[RAM IKS libérable (Go)],TblApplications[Cluster IKS source],$F832,TblApplications[Action],"À migrer",TblApplications[Mois prov (calc)],"&lt;="&amp;$E832)-SUMIFS(TblApplications[RAM IKS libérable (Go)],TblApplications[Cluster IKS source],$F832,TblApplications[Action],"À décommissionner",TblApplications[Mois lib (calc)],"&lt;="&amp;$E832)))))</f>
        <v/>
      </c>
      <c r="Z832" s="14" t="str">
        <f aca="false">IF($D832&lt;&gt;1,"",IF($AI832=1,0,MAX($J832,ROUNDUP(MAX($X832/$H832,$Y832/$I832),0))))</f>
        <v/>
      </c>
      <c r="AA832" s="84" t="str">
        <f aca="false">IF($D832&lt;&gt;1,"",IF(p_mode="Nœud",$Z832*$K832,$X832*IF($G832="IKS",p_iks_cpu,p_roks_cpu)+$Y832*IF($G832="IKS",p_iks_ram,p_roks_ram))*p_facteur)</f>
        <v/>
      </c>
      <c r="AB832" s="14" t="str">
        <f aca="false">IF($D832&lt;&gt;1,"",MAX($J832,ROUNDUP(MAX($L832/$H832,$M832/$I832),0)))</f>
        <v/>
      </c>
      <c r="AC832" s="84" t="str">
        <f aca="false">IF($D832&lt;&gt;1,"",IF(p_mode="Nœud",$AB832*$K832,$L832*IF($G832="IKS",p_iks_cpu,p_roks_cpu)+$M832*IF($G832="IKS",p_iks_ram,p_roks_ram))*p_facteur)</f>
        <v/>
      </c>
      <c r="AD832" s="14" t="str">
        <f aca="false">IF($D832&lt;&gt;1,"",IF(AND($G832="IKS",$AI832&lt;&gt;1,OR($L832-$P832&lt;$N832,$M832-$Q832&lt;$O832)),1,0))</f>
        <v/>
      </c>
      <c r="AE832" s="14" t="str">
        <f aca="false">IF($D832&lt;&gt;1,"",IF(AND($G832="ROKS",$T832&gt;p_maxworkers),1,0))</f>
        <v/>
      </c>
      <c r="AF832" s="14" t="str">
        <f aca="false">IF($D832&lt;&gt;1,"",IF(INDEX(TblClusters[Environnement],$B832)="","(vide)",INDEX(TblClusters[Environnement],$B832)))</f>
        <v/>
      </c>
      <c r="AG832" s="14" t="str">
        <f aca="false">IF($D832&lt;&gt;1,"",$R832+p_poidsram*$S832)</f>
        <v/>
      </c>
      <c r="AH832" s="14" t="str">
        <f aca="false">IF($D832&lt;&gt;1,"",IFERROR($W832/$AG832,0))</f>
        <v/>
      </c>
      <c r="AI832" s="14" t="str">
        <f aca="false">IF($D832&lt;&gt;1,"",IF(AND($G832="IKS",ISNUMBER(INDEX(TblClusters[Fermeture retenue],$B832))),IF($E832&gt;=INDEX(TblClusters[Fermeture retenue],$B832),1,0),0))</f>
        <v/>
      </c>
    </row>
    <row r="833" customFormat="false" ht="15" hidden="false" customHeight="false" outlineLevel="0" collapsed="false">
      <c r="A833" s="14" t="n">
        <v>828</v>
      </c>
      <c r="B833" s="14" t="n">
        <f aca="false">INT(($A833-1)/36)+1</f>
        <v>23</v>
      </c>
      <c r="C833" s="14" t="n">
        <f aca="false">MOD($A833-1,36)+1</f>
        <v>36</v>
      </c>
      <c r="D833" s="14" t="n">
        <f aca="false">IF($C833&gt;p_horizon,0,IFERROR(IF(AND(INDEX(TblClusters[Cluster],$B833)&lt;&gt;"",ISNUMBER(INDEX(TblClusters[CPU initial (vCPU)],$B833)),ISNUMBER(INDEX(TblClusters[CPU min (vCPU)],$B833)),OR(INDEX(TblClusters[Plateforme],$B833)="IKS",INDEX(TblClusters[Plateforme],$B833)="ROKS")),1,0),0))</f>
        <v>0</v>
      </c>
      <c r="E833" s="83" t="str">
        <f aca="false">IF($D833=1,EDATE(p_debut,$C833-1),"")</f>
        <v/>
      </c>
      <c r="F833" s="14" t="str">
        <f aca="false">IF($D833=1,INDEX(TblClusters[Cluster],$B833),"")</f>
        <v/>
      </c>
      <c r="G833" s="14" t="str">
        <f aca="false">IF($D833=1,INDEX(TblClusters[Plateforme],$B833),"")</f>
        <v/>
      </c>
      <c r="H833" s="14" t="str">
        <f aca="false">IF($D833=1,INDEX(TblClusters[vCPU par nœud],$B833),"")</f>
        <v/>
      </c>
      <c r="I833" s="14" t="str">
        <f aca="false">IF($D833=1,INDEX(TblClusters[RAM par nœud (Go)],$B833),"")</f>
        <v/>
      </c>
      <c r="J833" s="14" t="str">
        <f aca="false">IF($D833=1,INDEX(TblClusters[Workers min],$B833),"")</f>
        <v/>
      </c>
      <c r="K833" s="84" t="str">
        <f aca="false">IF($D833=1,INDEX(TblClusters[Tarif par nœud],$B833),"")</f>
        <v/>
      </c>
      <c r="L833" s="14" t="str">
        <f aca="false">IF($D833=1,INDEX(TblClusters[CPU initial (vCPU)],$B833),"")</f>
        <v/>
      </c>
      <c r="M833" s="14" t="str">
        <f aca="false">IF($D833=1,INDEX(TblClusters[RAM initiale (Go)],$B833),"")</f>
        <v/>
      </c>
      <c r="N833" s="14" t="str">
        <f aca="false">IF($D833=1,INDEX(TblClusters[CPU min (vCPU)],$B833),"")</f>
        <v/>
      </c>
      <c r="O833" s="14" t="str">
        <f aca="false">IF($D833=1,INDEX(TblClusters[RAM min (Go)],$B833),"")</f>
        <v/>
      </c>
      <c r="P833" s="14" t="str">
        <f aca="false">IF($D833&lt;&gt;1,"",IF($G833="ROKS",SUMIFS(TblApplications[Besoin ROKS CPU (vCPU)],TblApplications[Cluster ROKS cible],$F833,TblApplications[Action],"À migrer",TblApplications[Déjà incluse ROKS],"Non",TblApplications[Mois prov (calc)],"&lt;="&amp;$E833),SUMIFS(TblApplications[CPU IKS libérable (vCPU)],TblApplications[Cluster IKS source],$F833,TblApplications[Mois lib (calc)],"&lt;="&amp;$E833)))</f>
        <v/>
      </c>
      <c r="Q833" s="14" t="str">
        <f aca="false">IF($D833&lt;&gt;1,"",IF($G833="ROKS",SUMIFS(TblApplications[Besoin ROKS RAM (Go)],TblApplications[Cluster ROKS cible],$F833,TblApplications[Action],"À migrer",TblApplications[Déjà incluse ROKS],"Non",TblApplications[Mois prov (calc)],"&lt;="&amp;$E833),SUMIFS(TblApplications[RAM IKS libérable (Go)],TblApplications[Cluster IKS source],$F833,TblApplications[Mois lib (calc)],"&lt;="&amp;$E833)))</f>
        <v/>
      </c>
      <c r="R833" s="14" t="str">
        <f aca="false">IF($D833&lt;&gt;1,"",IF($G833="ROKS",$L833+$P833,IF($AI833=1,0,MAX($N833,$L833-$P833))))</f>
        <v/>
      </c>
      <c r="S833" s="14" t="str">
        <f aca="false">IF($D833&lt;&gt;1,"",IF($G833="ROKS",$M833+$Q833,IF($AI833=1,0,MAX($O833,$M833-$Q833))))</f>
        <v/>
      </c>
      <c r="T833" s="14" t="str">
        <f aca="false">IF($D833&lt;&gt;1,"",IF($AI833=1,0,MAX($J833,ROUNDUP(MAX($R833/$H833,$S833/$I833),0))))</f>
        <v/>
      </c>
      <c r="U833" s="14" t="str">
        <f aca="false">IF($D833&lt;&gt;1,"",IF(p_mode="Nœud",$T833*$H833,$R833))</f>
        <v/>
      </c>
      <c r="V833" s="14" t="str">
        <f aca="false">IF($D833&lt;&gt;1,"",IF(p_mode="Nœud",$T833*$I833,$S833))</f>
        <v/>
      </c>
      <c r="W833" s="84" t="str">
        <f aca="false">IF($D833&lt;&gt;1,"",IF(p_mode="Nœud",$T833*$K833,$R833*IF($G833="IKS",p_iks_cpu,p_roks_cpu)+$S833*IF($G833="IKS",p_iks_ram,p_roks_ram))*p_facteur)</f>
        <v/>
      </c>
      <c r="X833" s="14" t="str">
        <f aca="false">IF($D833&lt;&gt;1,"",IF($G833="ROKS",$R833,IF($AI833=1,0,MAX($N833,$L833-SUMIFS(TblApplications[CPU IKS libérable (vCPU)],TblApplications[Cluster IKS source],$F833,TblApplications[Action],"À migrer",TblApplications[Mois prov (calc)],"&lt;="&amp;$E833)-SUMIFS(TblApplications[CPU IKS libérable (vCPU)],TblApplications[Cluster IKS source],$F833,TblApplications[Action],"À décommissionner",TblApplications[Mois lib (calc)],"&lt;="&amp;$E833)))))</f>
        <v/>
      </c>
      <c r="Y833" s="14" t="str">
        <f aca="false">IF($D833&lt;&gt;1,"",IF($G833="ROKS",$S833,IF($AI833=1,0,MAX($O833,$M833-SUMIFS(TblApplications[RAM IKS libérable (Go)],TblApplications[Cluster IKS source],$F833,TblApplications[Action],"À migrer",TblApplications[Mois prov (calc)],"&lt;="&amp;$E833)-SUMIFS(TblApplications[RAM IKS libérable (Go)],TblApplications[Cluster IKS source],$F833,TblApplications[Action],"À décommissionner",TblApplications[Mois lib (calc)],"&lt;="&amp;$E833)))))</f>
        <v/>
      </c>
      <c r="Z833" s="14" t="str">
        <f aca="false">IF($D833&lt;&gt;1,"",IF($AI833=1,0,MAX($J833,ROUNDUP(MAX($X833/$H833,$Y833/$I833),0))))</f>
        <v/>
      </c>
      <c r="AA833" s="84" t="str">
        <f aca="false">IF($D833&lt;&gt;1,"",IF(p_mode="Nœud",$Z833*$K833,$X833*IF($G833="IKS",p_iks_cpu,p_roks_cpu)+$Y833*IF($G833="IKS",p_iks_ram,p_roks_ram))*p_facteur)</f>
        <v/>
      </c>
      <c r="AB833" s="14" t="str">
        <f aca="false">IF($D833&lt;&gt;1,"",MAX($J833,ROUNDUP(MAX($L833/$H833,$M833/$I833),0)))</f>
        <v/>
      </c>
      <c r="AC833" s="84" t="str">
        <f aca="false">IF($D833&lt;&gt;1,"",IF(p_mode="Nœud",$AB833*$K833,$L833*IF($G833="IKS",p_iks_cpu,p_roks_cpu)+$M833*IF($G833="IKS",p_iks_ram,p_roks_ram))*p_facteur)</f>
        <v/>
      </c>
      <c r="AD833" s="14" t="str">
        <f aca="false">IF($D833&lt;&gt;1,"",IF(AND($G833="IKS",$AI833&lt;&gt;1,OR($L833-$P833&lt;$N833,$M833-$Q833&lt;$O833)),1,0))</f>
        <v/>
      </c>
      <c r="AE833" s="14" t="str">
        <f aca="false">IF($D833&lt;&gt;1,"",IF(AND($G833="ROKS",$T833&gt;p_maxworkers),1,0))</f>
        <v/>
      </c>
      <c r="AF833" s="14" t="str">
        <f aca="false">IF($D833&lt;&gt;1,"",IF(INDEX(TblClusters[Environnement],$B833)="","(vide)",INDEX(TblClusters[Environnement],$B833)))</f>
        <v/>
      </c>
      <c r="AG833" s="14" t="str">
        <f aca="false">IF($D833&lt;&gt;1,"",$R833+p_poidsram*$S833)</f>
        <v/>
      </c>
      <c r="AH833" s="14" t="str">
        <f aca="false">IF($D833&lt;&gt;1,"",IFERROR($W833/$AG833,0))</f>
        <v/>
      </c>
      <c r="AI833" s="14" t="str">
        <f aca="false">IF($D833&lt;&gt;1,"",IF(AND($G833="IKS",ISNUMBER(INDEX(TblClusters[Fermeture retenue],$B833))),IF($E833&gt;=INDEX(TblClusters[Fermeture retenue],$B833),1,0),0))</f>
        <v/>
      </c>
    </row>
    <row r="834" customFormat="false" ht="15" hidden="false" customHeight="false" outlineLevel="0" collapsed="false">
      <c r="A834" s="14" t="n">
        <v>829</v>
      </c>
      <c r="B834" s="14" t="n">
        <f aca="false">INT(($A834-1)/36)+1</f>
        <v>24</v>
      </c>
      <c r="C834" s="14" t="n">
        <f aca="false">MOD($A834-1,36)+1</f>
        <v>1</v>
      </c>
      <c r="D834" s="14" t="n">
        <f aca="false">IF($C834&gt;p_horizon,0,IFERROR(IF(AND(INDEX(TblClusters[Cluster],$B834)&lt;&gt;"",ISNUMBER(INDEX(TblClusters[CPU initial (vCPU)],$B834)),ISNUMBER(INDEX(TblClusters[CPU min (vCPU)],$B834)),OR(INDEX(TblClusters[Plateforme],$B834)="IKS",INDEX(TblClusters[Plateforme],$B834)="ROKS")),1,0),0))</f>
        <v>0</v>
      </c>
      <c r="E834" s="83" t="str">
        <f aca="false">IF($D834=1,EDATE(p_debut,$C834-1),"")</f>
        <v/>
      </c>
      <c r="F834" s="14" t="str">
        <f aca="false">IF($D834=1,INDEX(TblClusters[Cluster],$B834),"")</f>
        <v/>
      </c>
      <c r="G834" s="14" t="str">
        <f aca="false">IF($D834=1,INDEX(TblClusters[Plateforme],$B834),"")</f>
        <v/>
      </c>
      <c r="H834" s="14" t="str">
        <f aca="false">IF($D834=1,INDEX(TblClusters[vCPU par nœud],$B834),"")</f>
        <v/>
      </c>
      <c r="I834" s="14" t="str">
        <f aca="false">IF($D834=1,INDEX(TblClusters[RAM par nœud (Go)],$B834),"")</f>
        <v/>
      </c>
      <c r="J834" s="14" t="str">
        <f aca="false">IF($D834=1,INDEX(TblClusters[Workers min],$B834),"")</f>
        <v/>
      </c>
      <c r="K834" s="84" t="str">
        <f aca="false">IF($D834=1,INDEX(TblClusters[Tarif par nœud],$B834),"")</f>
        <v/>
      </c>
      <c r="L834" s="14" t="str">
        <f aca="false">IF($D834=1,INDEX(TblClusters[CPU initial (vCPU)],$B834),"")</f>
        <v/>
      </c>
      <c r="M834" s="14" t="str">
        <f aca="false">IF($D834=1,INDEX(TblClusters[RAM initiale (Go)],$B834),"")</f>
        <v/>
      </c>
      <c r="N834" s="14" t="str">
        <f aca="false">IF($D834=1,INDEX(TblClusters[CPU min (vCPU)],$B834),"")</f>
        <v/>
      </c>
      <c r="O834" s="14" t="str">
        <f aca="false">IF($D834=1,INDEX(TblClusters[RAM min (Go)],$B834),"")</f>
        <v/>
      </c>
      <c r="P834" s="14" t="str">
        <f aca="false">IF($D834&lt;&gt;1,"",IF($G834="ROKS",SUMIFS(TblApplications[Besoin ROKS CPU (vCPU)],TblApplications[Cluster ROKS cible],$F834,TblApplications[Action],"À migrer",TblApplications[Déjà incluse ROKS],"Non",TblApplications[Mois prov (calc)],"&lt;="&amp;$E834),SUMIFS(TblApplications[CPU IKS libérable (vCPU)],TblApplications[Cluster IKS source],$F834,TblApplications[Mois lib (calc)],"&lt;="&amp;$E834)))</f>
        <v/>
      </c>
      <c r="Q834" s="14" t="str">
        <f aca="false">IF($D834&lt;&gt;1,"",IF($G834="ROKS",SUMIFS(TblApplications[Besoin ROKS RAM (Go)],TblApplications[Cluster ROKS cible],$F834,TblApplications[Action],"À migrer",TblApplications[Déjà incluse ROKS],"Non",TblApplications[Mois prov (calc)],"&lt;="&amp;$E834),SUMIFS(TblApplications[RAM IKS libérable (Go)],TblApplications[Cluster IKS source],$F834,TblApplications[Mois lib (calc)],"&lt;="&amp;$E834)))</f>
        <v/>
      </c>
      <c r="R834" s="14" t="str">
        <f aca="false">IF($D834&lt;&gt;1,"",IF($G834="ROKS",$L834+$P834,IF($AI834=1,0,MAX($N834,$L834-$P834))))</f>
        <v/>
      </c>
      <c r="S834" s="14" t="str">
        <f aca="false">IF($D834&lt;&gt;1,"",IF($G834="ROKS",$M834+$Q834,IF($AI834=1,0,MAX($O834,$M834-$Q834))))</f>
        <v/>
      </c>
      <c r="T834" s="14" t="str">
        <f aca="false">IF($D834&lt;&gt;1,"",IF($AI834=1,0,MAX($J834,ROUNDUP(MAX($R834/$H834,$S834/$I834),0))))</f>
        <v/>
      </c>
      <c r="U834" s="14" t="str">
        <f aca="false">IF($D834&lt;&gt;1,"",IF(p_mode="Nœud",$T834*$H834,$R834))</f>
        <v/>
      </c>
      <c r="V834" s="14" t="str">
        <f aca="false">IF($D834&lt;&gt;1,"",IF(p_mode="Nœud",$T834*$I834,$S834))</f>
        <v/>
      </c>
      <c r="W834" s="84" t="str">
        <f aca="false">IF($D834&lt;&gt;1,"",IF(p_mode="Nœud",$T834*$K834,$R834*IF($G834="IKS",p_iks_cpu,p_roks_cpu)+$S834*IF($G834="IKS",p_iks_ram,p_roks_ram))*p_facteur)</f>
        <v/>
      </c>
      <c r="X834" s="14" t="str">
        <f aca="false">IF($D834&lt;&gt;1,"",IF($G834="ROKS",$R834,IF($AI834=1,0,MAX($N834,$L834-SUMIFS(TblApplications[CPU IKS libérable (vCPU)],TblApplications[Cluster IKS source],$F834,TblApplications[Action],"À migrer",TblApplications[Mois prov (calc)],"&lt;="&amp;$E834)-SUMIFS(TblApplications[CPU IKS libérable (vCPU)],TblApplications[Cluster IKS source],$F834,TblApplications[Action],"À décommissionner",TblApplications[Mois lib (calc)],"&lt;="&amp;$E834)))))</f>
        <v/>
      </c>
      <c r="Y834" s="14" t="str">
        <f aca="false">IF($D834&lt;&gt;1,"",IF($G834="ROKS",$S834,IF($AI834=1,0,MAX($O834,$M834-SUMIFS(TblApplications[RAM IKS libérable (Go)],TblApplications[Cluster IKS source],$F834,TblApplications[Action],"À migrer",TblApplications[Mois prov (calc)],"&lt;="&amp;$E834)-SUMIFS(TblApplications[RAM IKS libérable (Go)],TblApplications[Cluster IKS source],$F834,TblApplications[Action],"À décommissionner",TblApplications[Mois lib (calc)],"&lt;="&amp;$E834)))))</f>
        <v/>
      </c>
      <c r="Z834" s="14" t="str">
        <f aca="false">IF($D834&lt;&gt;1,"",IF($AI834=1,0,MAX($J834,ROUNDUP(MAX($X834/$H834,$Y834/$I834),0))))</f>
        <v/>
      </c>
      <c r="AA834" s="84" t="str">
        <f aca="false">IF($D834&lt;&gt;1,"",IF(p_mode="Nœud",$Z834*$K834,$X834*IF($G834="IKS",p_iks_cpu,p_roks_cpu)+$Y834*IF($G834="IKS",p_iks_ram,p_roks_ram))*p_facteur)</f>
        <v/>
      </c>
      <c r="AB834" s="14" t="str">
        <f aca="false">IF($D834&lt;&gt;1,"",MAX($J834,ROUNDUP(MAX($L834/$H834,$M834/$I834),0)))</f>
        <v/>
      </c>
      <c r="AC834" s="84" t="str">
        <f aca="false">IF($D834&lt;&gt;1,"",IF(p_mode="Nœud",$AB834*$K834,$L834*IF($G834="IKS",p_iks_cpu,p_roks_cpu)+$M834*IF($G834="IKS",p_iks_ram,p_roks_ram))*p_facteur)</f>
        <v/>
      </c>
      <c r="AD834" s="14" t="str">
        <f aca="false">IF($D834&lt;&gt;1,"",IF(AND($G834="IKS",$AI834&lt;&gt;1,OR($L834-$P834&lt;$N834,$M834-$Q834&lt;$O834)),1,0))</f>
        <v/>
      </c>
      <c r="AE834" s="14" t="str">
        <f aca="false">IF($D834&lt;&gt;1,"",IF(AND($G834="ROKS",$T834&gt;p_maxworkers),1,0))</f>
        <v/>
      </c>
      <c r="AF834" s="14" t="str">
        <f aca="false">IF($D834&lt;&gt;1,"",IF(INDEX(TblClusters[Environnement],$B834)="","(vide)",INDEX(TblClusters[Environnement],$B834)))</f>
        <v/>
      </c>
      <c r="AG834" s="14" t="str">
        <f aca="false">IF($D834&lt;&gt;1,"",$R834+p_poidsram*$S834)</f>
        <v/>
      </c>
      <c r="AH834" s="14" t="str">
        <f aca="false">IF($D834&lt;&gt;1,"",IFERROR($W834/$AG834,0))</f>
        <v/>
      </c>
      <c r="AI834" s="14" t="str">
        <f aca="false">IF($D834&lt;&gt;1,"",IF(AND($G834="IKS",ISNUMBER(INDEX(TblClusters[Fermeture retenue],$B834))),IF($E834&gt;=INDEX(TblClusters[Fermeture retenue],$B834),1,0),0))</f>
        <v/>
      </c>
    </row>
    <row r="835" customFormat="false" ht="15" hidden="false" customHeight="false" outlineLevel="0" collapsed="false">
      <c r="A835" s="14" t="n">
        <v>830</v>
      </c>
      <c r="B835" s="14" t="n">
        <f aca="false">INT(($A835-1)/36)+1</f>
        <v>24</v>
      </c>
      <c r="C835" s="14" t="n">
        <f aca="false">MOD($A835-1,36)+1</f>
        <v>2</v>
      </c>
      <c r="D835" s="14" t="n">
        <f aca="false">IF($C835&gt;p_horizon,0,IFERROR(IF(AND(INDEX(TblClusters[Cluster],$B835)&lt;&gt;"",ISNUMBER(INDEX(TblClusters[CPU initial (vCPU)],$B835)),ISNUMBER(INDEX(TblClusters[CPU min (vCPU)],$B835)),OR(INDEX(TblClusters[Plateforme],$B835)="IKS",INDEX(TblClusters[Plateforme],$B835)="ROKS")),1,0),0))</f>
        <v>0</v>
      </c>
      <c r="E835" s="83" t="str">
        <f aca="false">IF($D835=1,EDATE(p_debut,$C835-1),"")</f>
        <v/>
      </c>
      <c r="F835" s="14" t="str">
        <f aca="false">IF($D835=1,INDEX(TblClusters[Cluster],$B835),"")</f>
        <v/>
      </c>
      <c r="G835" s="14" t="str">
        <f aca="false">IF($D835=1,INDEX(TblClusters[Plateforme],$B835),"")</f>
        <v/>
      </c>
      <c r="H835" s="14" t="str">
        <f aca="false">IF($D835=1,INDEX(TblClusters[vCPU par nœud],$B835),"")</f>
        <v/>
      </c>
      <c r="I835" s="14" t="str">
        <f aca="false">IF($D835=1,INDEX(TblClusters[RAM par nœud (Go)],$B835),"")</f>
        <v/>
      </c>
      <c r="J835" s="14" t="str">
        <f aca="false">IF($D835=1,INDEX(TblClusters[Workers min],$B835),"")</f>
        <v/>
      </c>
      <c r="K835" s="84" t="str">
        <f aca="false">IF($D835=1,INDEX(TblClusters[Tarif par nœud],$B835),"")</f>
        <v/>
      </c>
      <c r="L835" s="14" t="str">
        <f aca="false">IF($D835=1,INDEX(TblClusters[CPU initial (vCPU)],$B835),"")</f>
        <v/>
      </c>
      <c r="M835" s="14" t="str">
        <f aca="false">IF($D835=1,INDEX(TblClusters[RAM initiale (Go)],$B835),"")</f>
        <v/>
      </c>
      <c r="N835" s="14" t="str">
        <f aca="false">IF($D835=1,INDEX(TblClusters[CPU min (vCPU)],$B835),"")</f>
        <v/>
      </c>
      <c r="O835" s="14" t="str">
        <f aca="false">IF($D835=1,INDEX(TblClusters[RAM min (Go)],$B835),"")</f>
        <v/>
      </c>
      <c r="P835" s="14" t="str">
        <f aca="false">IF($D835&lt;&gt;1,"",IF($G835="ROKS",SUMIFS(TblApplications[Besoin ROKS CPU (vCPU)],TblApplications[Cluster ROKS cible],$F835,TblApplications[Action],"À migrer",TblApplications[Déjà incluse ROKS],"Non",TblApplications[Mois prov (calc)],"&lt;="&amp;$E835),SUMIFS(TblApplications[CPU IKS libérable (vCPU)],TblApplications[Cluster IKS source],$F835,TblApplications[Mois lib (calc)],"&lt;="&amp;$E835)))</f>
        <v/>
      </c>
      <c r="Q835" s="14" t="str">
        <f aca="false">IF($D835&lt;&gt;1,"",IF($G835="ROKS",SUMIFS(TblApplications[Besoin ROKS RAM (Go)],TblApplications[Cluster ROKS cible],$F835,TblApplications[Action],"À migrer",TblApplications[Déjà incluse ROKS],"Non",TblApplications[Mois prov (calc)],"&lt;="&amp;$E835),SUMIFS(TblApplications[RAM IKS libérable (Go)],TblApplications[Cluster IKS source],$F835,TblApplications[Mois lib (calc)],"&lt;="&amp;$E835)))</f>
        <v/>
      </c>
      <c r="R835" s="14" t="str">
        <f aca="false">IF($D835&lt;&gt;1,"",IF($G835="ROKS",$L835+$P835,IF($AI835=1,0,MAX($N835,$L835-$P835))))</f>
        <v/>
      </c>
      <c r="S835" s="14" t="str">
        <f aca="false">IF($D835&lt;&gt;1,"",IF($G835="ROKS",$M835+$Q835,IF($AI835=1,0,MAX($O835,$M835-$Q835))))</f>
        <v/>
      </c>
      <c r="T835" s="14" t="str">
        <f aca="false">IF($D835&lt;&gt;1,"",IF($AI835=1,0,MAX($J835,ROUNDUP(MAX($R835/$H835,$S835/$I835),0))))</f>
        <v/>
      </c>
      <c r="U835" s="14" t="str">
        <f aca="false">IF($D835&lt;&gt;1,"",IF(p_mode="Nœud",$T835*$H835,$R835))</f>
        <v/>
      </c>
      <c r="V835" s="14" t="str">
        <f aca="false">IF($D835&lt;&gt;1,"",IF(p_mode="Nœud",$T835*$I835,$S835))</f>
        <v/>
      </c>
      <c r="W835" s="84" t="str">
        <f aca="false">IF($D835&lt;&gt;1,"",IF(p_mode="Nœud",$T835*$K835,$R835*IF($G835="IKS",p_iks_cpu,p_roks_cpu)+$S835*IF($G835="IKS",p_iks_ram,p_roks_ram))*p_facteur)</f>
        <v/>
      </c>
      <c r="X835" s="14" t="str">
        <f aca="false">IF($D835&lt;&gt;1,"",IF($G835="ROKS",$R835,IF($AI835=1,0,MAX($N835,$L835-SUMIFS(TblApplications[CPU IKS libérable (vCPU)],TblApplications[Cluster IKS source],$F835,TblApplications[Action],"À migrer",TblApplications[Mois prov (calc)],"&lt;="&amp;$E835)-SUMIFS(TblApplications[CPU IKS libérable (vCPU)],TblApplications[Cluster IKS source],$F835,TblApplications[Action],"À décommissionner",TblApplications[Mois lib (calc)],"&lt;="&amp;$E835)))))</f>
        <v/>
      </c>
      <c r="Y835" s="14" t="str">
        <f aca="false">IF($D835&lt;&gt;1,"",IF($G835="ROKS",$S835,IF($AI835=1,0,MAX($O835,$M835-SUMIFS(TblApplications[RAM IKS libérable (Go)],TblApplications[Cluster IKS source],$F835,TblApplications[Action],"À migrer",TblApplications[Mois prov (calc)],"&lt;="&amp;$E835)-SUMIFS(TblApplications[RAM IKS libérable (Go)],TblApplications[Cluster IKS source],$F835,TblApplications[Action],"À décommissionner",TblApplications[Mois lib (calc)],"&lt;="&amp;$E835)))))</f>
        <v/>
      </c>
      <c r="Z835" s="14" t="str">
        <f aca="false">IF($D835&lt;&gt;1,"",IF($AI835=1,0,MAX($J835,ROUNDUP(MAX($X835/$H835,$Y835/$I835),0))))</f>
        <v/>
      </c>
      <c r="AA835" s="84" t="str">
        <f aca="false">IF($D835&lt;&gt;1,"",IF(p_mode="Nœud",$Z835*$K835,$X835*IF($G835="IKS",p_iks_cpu,p_roks_cpu)+$Y835*IF($G835="IKS",p_iks_ram,p_roks_ram))*p_facteur)</f>
        <v/>
      </c>
      <c r="AB835" s="14" t="str">
        <f aca="false">IF($D835&lt;&gt;1,"",MAX($J835,ROUNDUP(MAX($L835/$H835,$M835/$I835),0)))</f>
        <v/>
      </c>
      <c r="AC835" s="84" t="str">
        <f aca="false">IF($D835&lt;&gt;1,"",IF(p_mode="Nœud",$AB835*$K835,$L835*IF($G835="IKS",p_iks_cpu,p_roks_cpu)+$M835*IF($G835="IKS",p_iks_ram,p_roks_ram))*p_facteur)</f>
        <v/>
      </c>
      <c r="AD835" s="14" t="str">
        <f aca="false">IF($D835&lt;&gt;1,"",IF(AND($G835="IKS",$AI835&lt;&gt;1,OR($L835-$P835&lt;$N835,$M835-$Q835&lt;$O835)),1,0))</f>
        <v/>
      </c>
      <c r="AE835" s="14" t="str">
        <f aca="false">IF($D835&lt;&gt;1,"",IF(AND($G835="ROKS",$T835&gt;p_maxworkers),1,0))</f>
        <v/>
      </c>
      <c r="AF835" s="14" t="str">
        <f aca="false">IF($D835&lt;&gt;1,"",IF(INDEX(TblClusters[Environnement],$B835)="","(vide)",INDEX(TblClusters[Environnement],$B835)))</f>
        <v/>
      </c>
      <c r="AG835" s="14" t="str">
        <f aca="false">IF($D835&lt;&gt;1,"",$R835+p_poidsram*$S835)</f>
        <v/>
      </c>
      <c r="AH835" s="14" t="str">
        <f aca="false">IF($D835&lt;&gt;1,"",IFERROR($W835/$AG835,0))</f>
        <v/>
      </c>
      <c r="AI835" s="14" t="str">
        <f aca="false">IF($D835&lt;&gt;1,"",IF(AND($G835="IKS",ISNUMBER(INDEX(TblClusters[Fermeture retenue],$B835))),IF($E835&gt;=INDEX(TblClusters[Fermeture retenue],$B835),1,0),0))</f>
        <v/>
      </c>
    </row>
    <row r="836" customFormat="false" ht="15" hidden="false" customHeight="false" outlineLevel="0" collapsed="false">
      <c r="A836" s="14" t="n">
        <v>831</v>
      </c>
      <c r="B836" s="14" t="n">
        <f aca="false">INT(($A836-1)/36)+1</f>
        <v>24</v>
      </c>
      <c r="C836" s="14" t="n">
        <f aca="false">MOD($A836-1,36)+1</f>
        <v>3</v>
      </c>
      <c r="D836" s="14" t="n">
        <f aca="false">IF($C836&gt;p_horizon,0,IFERROR(IF(AND(INDEX(TblClusters[Cluster],$B836)&lt;&gt;"",ISNUMBER(INDEX(TblClusters[CPU initial (vCPU)],$B836)),ISNUMBER(INDEX(TblClusters[CPU min (vCPU)],$B836)),OR(INDEX(TblClusters[Plateforme],$B836)="IKS",INDEX(TblClusters[Plateforme],$B836)="ROKS")),1,0),0))</f>
        <v>0</v>
      </c>
      <c r="E836" s="83" t="str">
        <f aca="false">IF($D836=1,EDATE(p_debut,$C836-1),"")</f>
        <v/>
      </c>
      <c r="F836" s="14" t="str">
        <f aca="false">IF($D836=1,INDEX(TblClusters[Cluster],$B836),"")</f>
        <v/>
      </c>
      <c r="G836" s="14" t="str">
        <f aca="false">IF($D836=1,INDEX(TblClusters[Plateforme],$B836),"")</f>
        <v/>
      </c>
      <c r="H836" s="14" t="str">
        <f aca="false">IF($D836=1,INDEX(TblClusters[vCPU par nœud],$B836),"")</f>
        <v/>
      </c>
      <c r="I836" s="14" t="str">
        <f aca="false">IF($D836=1,INDEX(TblClusters[RAM par nœud (Go)],$B836),"")</f>
        <v/>
      </c>
      <c r="J836" s="14" t="str">
        <f aca="false">IF($D836=1,INDEX(TblClusters[Workers min],$B836),"")</f>
        <v/>
      </c>
      <c r="K836" s="84" t="str">
        <f aca="false">IF($D836=1,INDEX(TblClusters[Tarif par nœud],$B836),"")</f>
        <v/>
      </c>
      <c r="L836" s="14" t="str">
        <f aca="false">IF($D836=1,INDEX(TblClusters[CPU initial (vCPU)],$B836),"")</f>
        <v/>
      </c>
      <c r="M836" s="14" t="str">
        <f aca="false">IF($D836=1,INDEX(TblClusters[RAM initiale (Go)],$B836),"")</f>
        <v/>
      </c>
      <c r="N836" s="14" t="str">
        <f aca="false">IF($D836=1,INDEX(TblClusters[CPU min (vCPU)],$B836),"")</f>
        <v/>
      </c>
      <c r="O836" s="14" t="str">
        <f aca="false">IF($D836=1,INDEX(TblClusters[RAM min (Go)],$B836),"")</f>
        <v/>
      </c>
      <c r="P836" s="14" t="str">
        <f aca="false">IF($D836&lt;&gt;1,"",IF($G836="ROKS",SUMIFS(TblApplications[Besoin ROKS CPU (vCPU)],TblApplications[Cluster ROKS cible],$F836,TblApplications[Action],"À migrer",TblApplications[Déjà incluse ROKS],"Non",TblApplications[Mois prov (calc)],"&lt;="&amp;$E836),SUMIFS(TblApplications[CPU IKS libérable (vCPU)],TblApplications[Cluster IKS source],$F836,TblApplications[Mois lib (calc)],"&lt;="&amp;$E836)))</f>
        <v/>
      </c>
      <c r="Q836" s="14" t="str">
        <f aca="false">IF($D836&lt;&gt;1,"",IF($G836="ROKS",SUMIFS(TblApplications[Besoin ROKS RAM (Go)],TblApplications[Cluster ROKS cible],$F836,TblApplications[Action],"À migrer",TblApplications[Déjà incluse ROKS],"Non",TblApplications[Mois prov (calc)],"&lt;="&amp;$E836),SUMIFS(TblApplications[RAM IKS libérable (Go)],TblApplications[Cluster IKS source],$F836,TblApplications[Mois lib (calc)],"&lt;="&amp;$E836)))</f>
        <v/>
      </c>
      <c r="R836" s="14" t="str">
        <f aca="false">IF($D836&lt;&gt;1,"",IF($G836="ROKS",$L836+$P836,IF($AI836=1,0,MAX($N836,$L836-$P836))))</f>
        <v/>
      </c>
      <c r="S836" s="14" t="str">
        <f aca="false">IF($D836&lt;&gt;1,"",IF($G836="ROKS",$M836+$Q836,IF($AI836=1,0,MAX($O836,$M836-$Q836))))</f>
        <v/>
      </c>
      <c r="T836" s="14" t="str">
        <f aca="false">IF($D836&lt;&gt;1,"",IF($AI836=1,0,MAX($J836,ROUNDUP(MAX($R836/$H836,$S836/$I836),0))))</f>
        <v/>
      </c>
      <c r="U836" s="14" t="str">
        <f aca="false">IF($D836&lt;&gt;1,"",IF(p_mode="Nœud",$T836*$H836,$R836))</f>
        <v/>
      </c>
      <c r="V836" s="14" t="str">
        <f aca="false">IF($D836&lt;&gt;1,"",IF(p_mode="Nœud",$T836*$I836,$S836))</f>
        <v/>
      </c>
      <c r="W836" s="84" t="str">
        <f aca="false">IF($D836&lt;&gt;1,"",IF(p_mode="Nœud",$T836*$K836,$R836*IF($G836="IKS",p_iks_cpu,p_roks_cpu)+$S836*IF($G836="IKS",p_iks_ram,p_roks_ram))*p_facteur)</f>
        <v/>
      </c>
      <c r="X836" s="14" t="str">
        <f aca="false">IF($D836&lt;&gt;1,"",IF($G836="ROKS",$R836,IF($AI836=1,0,MAX($N836,$L836-SUMIFS(TblApplications[CPU IKS libérable (vCPU)],TblApplications[Cluster IKS source],$F836,TblApplications[Action],"À migrer",TblApplications[Mois prov (calc)],"&lt;="&amp;$E836)-SUMIFS(TblApplications[CPU IKS libérable (vCPU)],TblApplications[Cluster IKS source],$F836,TblApplications[Action],"À décommissionner",TblApplications[Mois lib (calc)],"&lt;="&amp;$E836)))))</f>
        <v/>
      </c>
      <c r="Y836" s="14" t="str">
        <f aca="false">IF($D836&lt;&gt;1,"",IF($G836="ROKS",$S836,IF($AI836=1,0,MAX($O836,$M836-SUMIFS(TblApplications[RAM IKS libérable (Go)],TblApplications[Cluster IKS source],$F836,TblApplications[Action],"À migrer",TblApplications[Mois prov (calc)],"&lt;="&amp;$E836)-SUMIFS(TblApplications[RAM IKS libérable (Go)],TblApplications[Cluster IKS source],$F836,TblApplications[Action],"À décommissionner",TblApplications[Mois lib (calc)],"&lt;="&amp;$E836)))))</f>
        <v/>
      </c>
      <c r="Z836" s="14" t="str">
        <f aca="false">IF($D836&lt;&gt;1,"",IF($AI836=1,0,MAX($J836,ROUNDUP(MAX($X836/$H836,$Y836/$I836),0))))</f>
        <v/>
      </c>
      <c r="AA836" s="84" t="str">
        <f aca="false">IF($D836&lt;&gt;1,"",IF(p_mode="Nœud",$Z836*$K836,$X836*IF($G836="IKS",p_iks_cpu,p_roks_cpu)+$Y836*IF($G836="IKS",p_iks_ram,p_roks_ram))*p_facteur)</f>
        <v/>
      </c>
      <c r="AB836" s="14" t="str">
        <f aca="false">IF($D836&lt;&gt;1,"",MAX($J836,ROUNDUP(MAX($L836/$H836,$M836/$I836),0)))</f>
        <v/>
      </c>
      <c r="AC836" s="84" t="str">
        <f aca="false">IF($D836&lt;&gt;1,"",IF(p_mode="Nœud",$AB836*$K836,$L836*IF($G836="IKS",p_iks_cpu,p_roks_cpu)+$M836*IF($G836="IKS",p_iks_ram,p_roks_ram))*p_facteur)</f>
        <v/>
      </c>
      <c r="AD836" s="14" t="str">
        <f aca="false">IF($D836&lt;&gt;1,"",IF(AND($G836="IKS",$AI836&lt;&gt;1,OR($L836-$P836&lt;$N836,$M836-$Q836&lt;$O836)),1,0))</f>
        <v/>
      </c>
      <c r="AE836" s="14" t="str">
        <f aca="false">IF($D836&lt;&gt;1,"",IF(AND($G836="ROKS",$T836&gt;p_maxworkers),1,0))</f>
        <v/>
      </c>
      <c r="AF836" s="14" t="str">
        <f aca="false">IF($D836&lt;&gt;1,"",IF(INDEX(TblClusters[Environnement],$B836)="","(vide)",INDEX(TblClusters[Environnement],$B836)))</f>
        <v/>
      </c>
      <c r="AG836" s="14" t="str">
        <f aca="false">IF($D836&lt;&gt;1,"",$R836+p_poidsram*$S836)</f>
        <v/>
      </c>
      <c r="AH836" s="14" t="str">
        <f aca="false">IF($D836&lt;&gt;1,"",IFERROR($W836/$AG836,0))</f>
        <v/>
      </c>
      <c r="AI836" s="14" t="str">
        <f aca="false">IF($D836&lt;&gt;1,"",IF(AND($G836="IKS",ISNUMBER(INDEX(TblClusters[Fermeture retenue],$B836))),IF($E836&gt;=INDEX(TblClusters[Fermeture retenue],$B836),1,0),0))</f>
        <v/>
      </c>
    </row>
    <row r="837" customFormat="false" ht="15" hidden="false" customHeight="false" outlineLevel="0" collapsed="false">
      <c r="A837" s="14" t="n">
        <v>832</v>
      </c>
      <c r="B837" s="14" t="n">
        <f aca="false">INT(($A837-1)/36)+1</f>
        <v>24</v>
      </c>
      <c r="C837" s="14" t="n">
        <f aca="false">MOD($A837-1,36)+1</f>
        <v>4</v>
      </c>
      <c r="D837" s="14" t="n">
        <f aca="false">IF($C837&gt;p_horizon,0,IFERROR(IF(AND(INDEX(TblClusters[Cluster],$B837)&lt;&gt;"",ISNUMBER(INDEX(TblClusters[CPU initial (vCPU)],$B837)),ISNUMBER(INDEX(TblClusters[CPU min (vCPU)],$B837)),OR(INDEX(TblClusters[Plateforme],$B837)="IKS",INDEX(TblClusters[Plateforme],$B837)="ROKS")),1,0),0))</f>
        <v>0</v>
      </c>
      <c r="E837" s="83" t="str">
        <f aca="false">IF($D837=1,EDATE(p_debut,$C837-1),"")</f>
        <v/>
      </c>
      <c r="F837" s="14" t="str">
        <f aca="false">IF($D837=1,INDEX(TblClusters[Cluster],$B837),"")</f>
        <v/>
      </c>
      <c r="G837" s="14" t="str">
        <f aca="false">IF($D837=1,INDEX(TblClusters[Plateforme],$B837),"")</f>
        <v/>
      </c>
      <c r="H837" s="14" t="str">
        <f aca="false">IF($D837=1,INDEX(TblClusters[vCPU par nœud],$B837),"")</f>
        <v/>
      </c>
      <c r="I837" s="14" t="str">
        <f aca="false">IF($D837=1,INDEX(TblClusters[RAM par nœud (Go)],$B837),"")</f>
        <v/>
      </c>
      <c r="J837" s="14" t="str">
        <f aca="false">IF($D837=1,INDEX(TblClusters[Workers min],$B837),"")</f>
        <v/>
      </c>
      <c r="K837" s="84" t="str">
        <f aca="false">IF($D837=1,INDEX(TblClusters[Tarif par nœud],$B837),"")</f>
        <v/>
      </c>
      <c r="L837" s="14" t="str">
        <f aca="false">IF($D837=1,INDEX(TblClusters[CPU initial (vCPU)],$B837),"")</f>
        <v/>
      </c>
      <c r="M837" s="14" t="str">
        <f aca="false">IF($D837=1,INDEX(TblClusters[RAM initiale (Go)],$B837),"")</f>
        <v/>
      </c>
      <c r="N837" s="14" t="str">
        <f aca="false">IF($D837=1,INDEX(TblClusters[CPU min (vCPU)],$B837),"")</f>
        <v/>
      </c>
      <c r="O837" s="14" t="str">
        <f aca="false">IF($D837=1,INDEX(TblClusters[RAM min (Go)],$B837),"")</f>
        <v/>
      </c>
      <c r="P837" s="14" t="str">
        <f aca="false">IF($D837&lt;&gt;1,"",IF($G837="ROKS",SUMIFS(TblApplications[Besoin ROKS CPU (vCPU)],TblApplications[Cluster ROKS cible],$F837,TblApplications[Action],"À migrer",TblApplications[Déjà incluse ROKS],"Non",TblApplications[Mois prov (calc)],"&lt;="&amp;$E837),SUMIFS(TblApplications[CPU IKS libérable (vCPU)],TblApplications[Cluster IKS source],$F837,TblApplications[Mois lib (calc)],"&lt;="&amp;$E837)))</f>
        <v/>
      </c>
      <c r="Q837" s="14" t="str">
        <f aca="false">IF($D837&lt;&gt;1,"",IF($G837="ROKS",SUMIFS(TblApplications[Besoin ROKS RAM (Go)],TblApplications[Cluster ROKS cible],$F837,TblApplications[Action],"À migrer",TblApplications[Déjà incluse ROKS],"Non",TblApplications[Mois prov (calc)],"&lt;="&amp;$E837),SUMIFS(TblApplications[RAM IKS libérable (Go)],TblApplications[Cluster IKS source],$F837,TblApplications[Mois lib (calc)],"&lt;="&amp;$E837)))</f>
        <v/>
      </c>
      <c r="R837" s="14" t="str">
        <f aca="false">IF($D837&lt;&gt;1,"",IF($G837="ROKS",$L837+$P837,IF($AI837=1,0,MAX($N837,$L837-$P837))))</f>
        <v/>
      </c>
      <c r="S837" s="14" t="str">
        <f aca="false">IF($D837&lt;&gt;1,"",IF($G837="ROKS",$M837+$Q837,IF($AI837=1,0,MAX($O837,$M837-$Q837))))</f>
        <v/>
      </c>
      <c r="T837" s="14" t="str">
        <f aca="false">IF($D837&lt;&gt;1,"",IF($AI837=1,0,MAX($J837,ROUNDUP(MAX($R837/$H837,$S837/$I837),0))))</f>
        <v/>
      </c>
      <c r="U837" s="14" t="str">
        <f aca="false">IF($D837&lt;&gt;1,"",IF(p_mode="Nœud",$T837*$H837,$R837))</f>
        <v/>
      </c>
      <c r="V837" s="14" t="str">
        <f aca="false">IF($D837&lt;&gt;1,"",IF(p_mode="Nœud",$T837*$I837,$S837))</f>
        <v/>
      </c>
      <c r="W837" s="84" t="str">
        <f aca="false">IF($D837&lt;&gt;1,"",IF(p_mode="Nœud",$T837*$K837,$R837*IF($G837="IKS",p_iks_cpu,p_roks_cpu)+$S837*IF($G837="IKS",p_iks_ram,p_roks_ram))*p_facteur)</f>
        <v/>
      </c>
      <c r="X837" s="14" t="str">
        <f aca="false">IF($D837&lt;&gt;1,"",IF($G837="ROKS",$R837,IF($AI837=1,0,MAX($N837,$L837-SUMIFS(TblApplications[CPU IKS libérable (vCPU)],TblApplications[Cluster IKS source],$F837,TblApplications[Action],"À migrer",TblApplications[Mois prov (calc)],"&lt;="&amp;$E837)-SUMIFS(TblApplications[CPU IKS libérable (vCPU)],TblApplications[Cluster IKS source],$F837,TblApplications[Action],"À décommissionner",TblApplications[Mois lib (calc)],"&lt;="&amp;$E837)))))</f>
        <v/>
      </c>
      <c r="Y837" s="14" t="str">
        <f aca="false">IF($D837&lt;&gt;1,"",IF($G837="ROKS",$S837,IF($AI837=1,0,MAX($O837,$M837-SUMIFS(TblApplications[RAM IKS libérable (Go)],TblApplications[Cluster IKS source],$F837,TblApplications[Action],"À migrer",TblApplications[Mois prov (calc)],"&lt;="&amp;$E837)-SUMIFS(TblApplications[RAM IKS libérable (Go)],TblApplications[Cluster IKS source],$F837,TblApplications[Action],"À décommissionner",TblApplications[Mois lib (calc)],"&lt;="&amp;$E837)))))</f>
        <v/>
      </c>
      <c r="Z837" s="14" t="str">
        <f aca="false">IF($D837&lt;&gt;1,"",IF($AI837=1,0,MAX($J837,ROUNDUP(MAX($X837/$H837,$Y837/$I837),0))))</f>
        <v/>
      </c>
      <c r="AA837" s="84" t="str">
        <f aca="false">IF($D837&lt;&gt;1,"",IF(p_mode="Nœud",$Z837*$K837,$X837*IF($G837="IKS",p_iks_cpu,p_roks_cpu)+$Y837*IF($G837="IKS",p_iks_ram,p_roks_ram))*p_facteur)</f>
        <v/>
      </c>
      <c r="AB837" s="14" t="str">
        <f aca="false">IF($D837&lt;&gt;1,"",MAX($J837,ROUNDUP(MAX($L837/$H837,$M837/$I837),0)))</f>
        <v/>
      </c>
      <c r="AC837" s="84" t="str">
        <f aca="false">IF($D837&lt;&gt;1,"",IF(p_mode="Nœud",$AB837*$K837,$L837*IF($G837="IKS",p_iks_cpu,p_roks_cpu)+$M837*IF($G837="IKS",p_iks_ram,p_roks_ram))*p_facteur)</f>
        <v/>
      </c>
      <c r="AD837" s="14" t="str">
        <f aca="false">IF($D837&lt;&gt;1,"",IF(AND($G837="IKS",$AI837&lt;&gt;1,OR($L837-$P837&lt;$N837,$M837-$Q837&lt;$O837)),1,0))</f>
        <v/>
      </c>
      <c r="AE837" s="14" t="str">
        <f aca="false">IF($D837&lt;&gt;1,"",IF(AND($G837="ROKS",$T837&gt;p_maxworkers),1,0))</f>
        <v/>
      </c>
      <c r="AF837" s="14" t="str">
        <f aca="false">IF($D837&lt;&gt;1,"",IF(INDEX(TblClusters[Environnement],$B837)="","(vide)",INDEX(TblClusters[Environnement],$B837)))</f>
        <v/>
      </c>
      <c r="AG837" s="14" t="str">
        <f aca="false">IF($D837&lt;&gt;1,"",$R837+p_poidsram*$S837)</f>
        <v/>
      </c>
      <c r="AH837" s="14" t="str">
        <f aca="false">IF($D837&lt;&gt;1,"",IFERROR($W837/$AG837,0))</f>
        <v/>
      </c>
      <c r="AI837" s="14" t="str">
        <f aca="false">IF($D837&lt;&gt;1,"",IF(AND($G837="IKS",ISNUMBER(INDEX(TblClusters[Fermeture retenue],$B837))),IF($E837&gt;=INDEX(TblClusters[Fermeture retenue],$B837),1,0),0))</f>
        <v/>
      </c>
    </row>
    <row r="838" customFormat="false" ht="15" hidden="false" customHeight="false" outlineLevel="0" collapsed="false">
      <c r="A838" s="14" t="n">
        <v>833</v>
      </c>
      <c r="B838" s="14" t="n">
        <f aca="false">INT(($A838-1)/36)+1</f>
        <v>24</v>
      </c>
      <c r="C838" s="14" t="n">
        <f aca="false">MOD($A838-1,36)+1</f>
        <v>5</v>
      </c>
      <c r="D838" s="14" t="n">
        <f aca="false">IF($C838&gt;p_horizon,0,IFERROR(IF(AND(INDEX(TblClusters[Cluster],$B838)&lt;&gt;"",ISNUMBER(INDEX(TblClusters[CPU initial (vCPU)],$B838)),ISNUMBER(INDEX(TblClusters[CPU min (vCPU)],$B838)),OR(INDEX(TblClusters[Plateforme],$B838)="IKS",INDEX(TblClusters[Plateforme],$B838)="ROKS")),1,0),0))</f>
        <v>0</v>
      </c>
      <c r="E838" s="83" t="str">
        <f aca="false">IF($D838=1,EDATE(p_debut,$C838-1),"")</f>
        <v/>
      </c>
      <c r="F838" s="14" t="str">
        <f aca="false">IF($D838=1,INDEX(TblClusters[Cluster],$B838),"")</f>
        <v/>
      </c>
      <c r="G838" s="14" t="str">
        <f aca="false">IF($D838=1,INDEX(TblClusters[Plateforme],$B838),"")</f>
        <v/>
      </c>
      <c r="H838" s="14" t="str">
        <f aca="false">IF($D838=1,INDEX(TblClusters[vCPU par nœud],$B838),"")</f>
        <v/>
      </c>
      <c r="I838" s="14" t="str">
        <f aca="false">IF($D838=1,INDEX(TblClusters[RAM par nœud (Go)],$B838),"")</f>
        <v/>
      </c>
      <c r="J838" s="14" t="str">
        <f aca="false">IF($D838=1,INDEX(TblClusters[Workers min],$B838),"")</f>
        <v/>
      </c>
      <c r="K838" s="84" t="str">
        <f aca="false">IF($D838=1,INDEX(TblClusters[Tarif par nœud],$B838),"")</f>
        <v/>
      </c>
      <c r="L838" s="14" t="str">
        <f aca="false">IF($D838=1,INDEX(TblClusters[CPU initial (vCPU)],$B838),"")</f>
        <v/>
      </c>
      <c r="M838" s="14" t="str">
        <f aca="false">IF($D838=1,INDEX(TblClusters[RAM initiale (Go)],$B838),"")</f>
        <v/>
      </c>
      <c r="N838" s="14" t="str">
        <f aca="false">IF($D838=1,INDEX(TblClusters[CPU min (vCPU)],$B838),"")</f>
        <v/>
      </c>
      <c r="O838" s="14" t="str">
        <f aca="false">IF($D838=1,INDEX(TblClusters[RAM min (Go)],$B838),"")</f>
        <v/>
      </c>
      <c r="P838" s="14" t="str">
        <f aca="false">IF($D838&lt;&gt;1,"",IF($G838="ROKS",SUMIFS(TblApplications[Besoin ROKS CPU (vCPU)],TblApplications[Cluster ROKS cible],$F838,TblApplications[Action],"À migrer",TblApplications[Déjà incluse ROKS],"Non",TblApplications[Mois prov (calc)],"&lt;="&amp;$E838),SUMIFS(TblApplications[CPU IKS libérable (vCPU)],TblApplications[Cluster IKS source],$F838,TblApplications[Mois lib (calc)],"&lt;="&amp;$E838)))</f>
        <v/>
      </c>
      <c r="Q838" s="14" t="str">
        <f aca="false">IF($D838&lt;&gt;1,"",IF($G838="ROKS",SUMIFS(TblApplications[Besoin ROKS RAM (Go)],TblApplications[Cluster ROKS cible],$F838,TblApplications[Action],"À migrer",TblApplications[Déjà incluse ROKS],"Non",TblApplications[Mois prov (calc)],"&lt;="&amp;$E838),SUMIFS(TblApplications[RAM IKS libérable (Go)],TblApplications[Cluster IKS source],$F838,TblApplications[Mois lib (calc)],"&lt;="&amp;$E838)))</f>
        <v/>
      </c>
      <c r="R838" s="14" t="str">
        <f aca="false">IF($D838&lt;&gt;1,"",IF($G838="ROKS",$L838+$P838,IF($AI838=1,0,MAX($N838,$L838-$P838))))</f>
        <v/>
      </c>
      <c r="S838" s="14" t="str">
        <f aca="false">IF($D838&lt;&gt;1,"",IF($G838="ROKS",$M838+$Q838,IF($AI838=1,0,MAX($O838,$M838-$Q838))))</f>
        <v/>
      </c>
      <c r="T838" s="14" t="str">
        <f aca="false">IF($D838&lt;&gt;1,"",IF($AI838=1,0,MAX($J838,ROUNDUP(MAX($R838/$H838,$S838/$I838),0))))</f>
        <v/>
      </c>
      <c r="U838" s="14" t="str">
        <f aca="false">IF($D838&lt;&gt;1,"",IF(p_mode="Nœud",$T838*$H838,$R838))</f>
        <v/>
      </c>
      <c r="V838" s="14" t="str">
        <f aca="false">IF($D838&lt;&gt;1,"",IF(p_mode="Nœud",$T838*$I838,$S838))</f>
        <v/>
      </c>
      <c r="W838" s="84" t="str">
        <f aca="false">IF($D838&lt;&gt;1,"",IF(p_mode="Nœud",$T838*$K838,$R838*IF($G838="IKS",p_iks_cpu,p_roks_cpu)+$S838*IF($G838="IKS",p_iks_ram,p_roks_ram))*p_facteur)</f>
        <v/>
      </c>
      <c r="X838" s="14" t="str">
        <f aca="false">IF($D838&lt;&gt;1,"",IF($G838="ROKS",$R838,IF($AI838=1,0,MAX($N838,$L838-SUMIFS(TblApplications[CPU IKS libérable (vCPU)],TblApplications[Cluster IKS source],$F838,TblApplications[Action],"À migrer",TblApplications[Mois prov (calc)],"&lt;="&amp;$E838)-SUMIFS(TblApplications[CPU IKS libérable (vCPU)],TblApplications[Cluster IKS source],$F838,TblApplications[Action],"À décommissionner",TblApplications[Mois lib (calc)],"&lt;="&amp;$E838)))))</f>
        <v/>
      </c>
      <c r="Y838" s="14" t="str">
        <f aca="false">IF($D838&lt;&gt;1,"",IF($G838="ROKS",$S838,IF($AI838=1,0,MAX($O838,$M838-SUMIFS(TblApplications[RAM IKS libérable (Go)],TblApplications[Cluster IKS source],$F838,TblApplications[Action],"À migrer",TblApplications[Mois prov (calc)],"&lt;="&amp;$E838)-SUMIFS(TblApplications[RAM IKS libérable (Go)],TblApplications[Cluster IKS source],$F838,TblApplications[Action],"À décommissionner",TblApplications[Mois lib (calc)],"&lt;="&amp;$E838)))))</f>
        <v/>
      </c>
      <c r="Z838" s="14" t="str">
        <f aca="false">IF($D838&lt;&gt;1,"",IF($AI838=1,0,MAX($J838,ROUNDUP(MAX($X838/$H838,$Y838/$I838),0))))</f>
        <v/>
      </c>
      <c r="AA838" s="84" t="str">
        <f aca="false">IF($D838&lt;&gt;1,"",IF(p_mode="Nœud",$Z838*$K838,$X838*IF($G838="IKS",p_iks_cpu,p_roks_cpu)+$Y838*IF($G838="IKS",p_iks_ram,p_roks_ram))*p_facteur)</f>
        <v/>
      </c>
      <c r="AB838" s="14" t="str">
        <f aca="false">IF($D838&lt;&gt;1,"",MAX($J838,ROUNDUP(MAX($L838/$H838,$M838/$I838),0)))</f>
        <v/>
      </c>
      <c r="AC838" s="84" t="str">
        <f aca="false">IF($D838&lt;&gt;1,"",IF(p_mode="Nœud",$AB838*$K838,$L838*IF($G838="IKS",p_iks_cpu,p_roks_cpu)+$M838*IF($G838="IKS",p_iks_ram,p_roks_ram))*p_facteur)</f>
        <v/>
      </c>
      <c r="AD838" s="14" t="str">
        <f aca="false">IF($D838&lt;&gt;1,"",IF(AND($G838="IKS",$AI838&lt;&gt;1,OR($L838-$P838&lt;$N838,$M838-$Q838&lt;$O838)),1,0))</f>
        <v/>
      </c>
      <c r="AE838" s="14" t="str">
        <f aca="false">IF($D838&lt;&gt;1,"",IF(AND($G838="ROKS",$T838&gt;p_maxworkers),1,0))</f>
        <v/>
      </c>
      <c r="AF838" s="14" t="str">
        <f aca="false">IF($D838&lt;&gt;1,"",IF(INDEX(TblClusters[Environnement],$B838)="","(vide)",INDEX(TblClusters[Environnement],$B838)))</f>
        <v/>
      </c>
      <c r="AG838" s="14" t="str">
        <f aca="false">IF($D838&lt;&gt;1,"",$R838+p_poidsram*$S838)</f>
        <v/>
      </c>
      <c r="AH838" s="14" t="str">
        <f aca="false">IF($D838&lt;&gt;1,"",IFERROR($W838/$AG838,0))</f>
        <v/>
      </c>
      <c r="AI838" s="14" t="str">
        <f aca="false">IF($D838&lt;&gt;1,"",IF(AND($G838="IKS",ISNUMBER(INDEX(TblClusters[Fermeture retenue],$B838))),IF($E838&gt;=INDEX(TblClusters[Fermeture retenue],$B838),1,0),0))</f>
        <v/>
      </c>
    </row>
    <row r="839" customFormat="false" ht="15" hidden="false" customHeight="false" outlineLevel="0" collapsed="false">
      <c r="A839" s="14" t="n">
        <v>834</v>
      </c>
      <c r="B839" s="14" t="n">
        <f aca="false">INT(($A839-1)/36)+1</f>
        <v>24</v>
      </c>
      <c r="C839" s="14" t="n">
        <f aca="false">MOD($A839-1,36)+1</f>
        <v>6</v>
      </c>
      <c r="D839" s="14" t="n">
        <f aca="false">IF($C839&gt;p_horizon,0,IFERROR(IF(AND(INDEX(TblClusters[Cluster],$B839)&lt;&gt;"",ISNUMBER(INDEX(TblClusters[CPU initial (vCPU)],$B839)),ISNUMBER(INDEX(TblClusters[CPU min (vCPU)],$B839)),OR(INDEX(TblClusters[Plateforme],$B839)="IKS",INDEX(TblClusters[Plateforme],$B839)="ROKS")),1,0),0))</f>
        <v>0</v>
      </c>
      <c r="E839" s="83" t="str">
        <f aca="false">IF($D839=1,EDATE(p_debut,$C839-1),"")</f>
        <v/>
      </c>
      <c r="F839" s="14" t="str">
        <f aca="false">IF($D839=1,INDEX(TblClusters[Cluster],$B839),"")</f>
        <v/>
      </c>
      <c r="G839" s="14" t="str">
        <f aca="false">IF($D839=1,INDEX(TblClusters[Plateforme],$B839),"")</f>
        <v/>
      </c>
      <c r="H839" s="14" t="str">
        <f aca="false">IF($D839=1,INDEX(TblClusters[vCPU par nœud],$B839),"")</f>
        <v/>
      </c>
      <c r="I839" s="14" t="str">
        <f aca="false">IF($D839=1,INDEX(TblClusters[RAM par nœud (Go)],$B839),"")</f>
        <v/>
      </c>
      <c r="J839" s="14" t="str">
        <f aca="false">IF($D839=1,INDEX(TblClusters[Workers min],$B839),"")</f>
        <v/>
      </c>
      <c r="K839" s="84" t="str">
        <f aca="false">IF($D839=1,INDEX(TblClusters[Tarif par nœud],$B839),"")</f>
        <v/>
      </c>
      <c r="L839" s="14" t="str">
        <f aca="false">IF($D839=1,INDEX(TblClusters[CPU initial (vCPU)],$B839),"")</f>
        <v/>
      </c>
      <c r="M839" s="14" t="str">
        <f aca="false">IF($D839=1,INDEX(TblClusters[RAM initiale (Go)],$B839),"")</f>
        <v/>
      </c>
      <c r="N839" s="14" t="str">
        <f aca="false">IF($D839=1,INDEX(TblClusters[CPU min (vCPU)],$B839),"")</f>
        <v/>
      </c>
      <c r="O839" s="14" t="str">
        <f aca="false">IF($D839=1,INDEX(TblClusters[RAM min (Go)],$B839),"")</f>
        <v/>
      </c>
      <c r="P839" s="14" t="str">
        <f aca="false">IF($D839&lt;&gt;1,"",IF($G839="ROKS",SUMIFS(TblApplications[Besoin ROKS CPU (vCPU)],TblApplications[Cluster ROKS cible],$F839,TblApplications[Action],"À migrer",TblApplications[Déjà incluse ROKS],"Non",TblApplications[Mois prov (calc)],"&lt;="&amp;$E839),SUMIFS(TblApplications[CPU IKS libérable (vCPU)],TblApplications[Cluster IKS source],$F839,TblApplications[Mois lib (calc)],"&lt;="&amp;$E839)))</f>
        <v/>
      </c>
      <c r="Q839" s="14" t="str">
        <f aca="false">IF($D839&lt;&gt;1,"",IF($G839="ROKS",SUMIFS(TblApplications[Besoin ROKS RAM (Go)],TblApplications[Cluster ROKS cible],$F839,TblApplications[Action],"À migrer",TblApplications[Déjà incluse ROKS],"Non",TblApplications[Mois prov (calc)],"&lt;="&amp;$E839),SUMIFS(TblApplications[RAM IKS libérable (Go)],TblApplications[Cluster IKS source],$F839,TblApplications[Mois lib (calc)],"&lt;="&amp;$E839)))</f>
        <v/>
      </c>
      <c r="R839" s="14" t="str">
        <f aca="false">IF($D839&lt;&gt;1,"",IF($G839="ROKS",$L839+$P839,IF($AI839=1,0,MAX($N839,$L839-$P839))))</f>
        <v/>
      </c>
      <c r="S839" s="14" t="str">
        <f aca="false">IF($D839&lt;&gt;1,"",IF($G839="ROKS",$M839+$Q839,IF($AI839=1,0,MAX($O839,$M839-$Q839))))</f>
        <v/>
      </c>
      <c r="T839" s="14" t="str">
        <f aca="false">IF($D839&lt;&gt;1,"",IF($AI839=1,0,MAX($J839,ROUNDUP(MAX($R839/$H839,$S839/$I839),0))))</f>
        <v/>
      </c>
      <c r="U839" s="14" t="str">
        <f aca="false">IF($D839&lt;&gt;1,"",IF(p_mode="Nœud",$T839*$H839,$R839))</f>
        <v/>
      </c>
      <c r="V839" s="14" t="str">
        <f aca="false">IF($D839&lt;&gt;1,"",IF(p_mode="Nœud",$T839*$I839,$S839))</f>
        <v/>
      </c>
      <c r="W839" s="84" t="str">
        <f aca="false">IF($D839&lt;&gt;1,"",IF(p_mode="Nœud",$T839*$K839,$R839*IF($G839="IKS",p_iks_cpu,p_roks_cpu)+$S839*IF($G839="IKS",p_iks_ram,p_roks_ram))*p_facteur)</f>
        <v/>
      </c>
      <c r="X839" s="14" t="str">
        <f aca="false">IF($D839&lt;&gt;1,"",IF($G839="ROKS",$R839,IF($AI839=1,0,MAX($N839,$L839-SUMIFS(TblApplications[CPU IKS libérable (vCPU)],TblApplications[Cluster IKS source],$F839,TblApplications[Action],"À migrer",TblApplications[Mois prov (calc)],"&lt;="&amp;$E839)-SUMIFS(TblApplications[CPU IKS libérable (vCPU)],TblApplications[Cluster IKS source],$F839,TblApplications[Action],"À décommissionner",TblApplications[Mois lib (calc)],"&lt;="&amp;$E839)))))</f>
        <v/>
      </c>
      <c r="Y839" s="14" t="str">
        <f aca="false">IF($D839&lt;&gt;1,"",IF($G839="ROKS",$S839,IF($AI839=1,0,MAX($O839,$M839-SUMIFS(TblApplications[RAM IKS libérable (Go)],TblApplications[Cluster IKS source],$F839,TblApplications[Action],"À migrer",TblApplications[Mois prov (calc)],"&lt;="&amp;$E839)-SUMIFS(TblApplications[RAM IKS libérable (Go)],TblApplications[Cluster IKS source],$F839,TblApplications[Action],"À décommissionner",TblApplications[Mois lib (calc)],"&lt;="&amp;$E839)))))</f>
        <v/>
      </c>
      <c r="Z839" s="14" t="str">
        <f aca="false">IF($D839&lt;&gt;1,"",IF($AI839=1,0,MAX($J839,ROUNDUP(MAX($X839/$H839,$Y839/$I839),0))))</f>
        <v/>
      </c>
      <c r="AA839" s="84" t="str">
        <f aca="false">IF($D839&lt;&gt;1,"",IF(p_mode="Nœud",$Z839*$K839,$X839*IF($G839="IKS",p_iks_cpu,p_roks_cpu)+$Y839*IF($G839="IKS",p_iks_ram,p_roks_ram))*p_facteur)</f>
        <v/>
      </c>
      <c r="AB839" s="14" t="str">
        <f aca="false">IF($D839&lt;&gt;1,"",MAX($J839,ROUNDUP(MAX($L839/$H839,$M839/$I839),0)))</f>
        <v/>
      </c>
      <c r="AC839" s="84" t="str">
        <f aca="false">IF($D839&lt;&gt;1,"",IF(p_mode="Nœud",$AB839*$K839,$L839*IF($G839="IKS",p_iks_cpu,p_roks_cpu)+$M839*IF($G839="IKS",p_iks_ram,p_roks_ram))*p_facteur)</f>
        <v/>
      </c>
      <c r="AD839" s="14" t="str">
        <f aca="false">IF($D839&lt;&gt;1,"",IF(AND($G839="IKS",$AI839&lt;&gt;1,OR($L839-$P839&lt;$N839,$M839-$Q839&lt;$O839)),1,0))</f>
        <v/>
      </c>
      <c r="AE839" s="14" t="str">
        <f aca="false">IF($D839&lt;&gt;1,"",IF(AND($G839="ROKS",$T839&gt;p_maxworkers),1,0))</f>
        <v/>
      </c>
      <c r="AF839" s="14" t="str">
        <f aca="false">IF($D839&lt;&gt;1,"",IF(INDEX(TblClusters[Environnement],$B839)="","(vide)",INDEX(TblClusters[Environnement],$B839)))</f>
        <v/>
      </c>
      <c r="AG839" s="14" t="str">
        <f aca="false">IF($D839&lt;&gt;1,"",$R839+p_poidsram*$S839)</f>
        <v/>
      </c>
      <c r="AH839" s="14" t="str">
        <f aca="false">IF($D839&lt;&gt;1,"",IFERROR($W839/$AG839,0))</f>
        <v/>
      </c>
      <c r="AI839" s="14" t="str">
        <f aca="false">IF($D839&lt;&gt;1,"",IF(AND($G839="IKS",ISNUMBER(INDEX(TblClusters[Fermeture retenue],$B839))),IF($E839&gt;=INDEX(TblClusters[Fermeture retenue],$B839),1,0),0))</f>
        <v/>
      </c>
    </row>
    <row r="840" customFormat="false" ht="15" hidden="false" customHeight="false" outlineLevel="0" collapsed="false">
      <c r="A840" s="14" t="n">
        <v>835</v>
      </c>
      <c r="B840" s="14" t="n">
        <f aca="false">INT(($A840-1)/36)+1</f>
        <v>24</v>
      </c>
      <c r="C840" s="14" t="n">
        <f aca="false">MOD($A840-1,36)+1</f>
        <v>7</v>
      </c>
      <c r="D840" s="14" t="n">
        <f aca="false">IF($C840&gt;p_horizon,0,IFERROR(IF(AND(INDEX(TblClusters[Cluster],$B840)&lt;&gt;"",ISNUMBER(INDEX(TblClusters[CPU initial (vCPU)],$B840)),ISNUMBER(INDEX(TblClusters[CPU min (vCPU)],$B840)),OR(INDEX(TblClusters[Plateforme],$B840)="IKS",INDEX(TblClusters[Plateforme],$B840)="ROKS")),1,0),0))</f>
        <v>0</v>
      </c>
      <c r="E840" s="83" t="str">
        <f aca="false">IF($D840=1,EDATE(p_debut,$C840-1),"")</f>
        <v/>
      </c>
      <c r="F840" s="14" t="str">
        <f aca="false">IF($D840=1,INDEX(TblClusters[Cluster],$B840),"")</f>
        <v/>
      </c>
      <c r="G840" s="14" t="str">
        <f aca="false">IF($D840=1,INDEX(TblClusters[Plateforme],$B840),"")</f>
        <v/>
      </c>
      <c r="H840" s="14" t="str">
        <f aca="false">IF($D840=1,INDEX(TblClusters[vCPU par nœud],$B840),"")</f>
        <v/>
      </c>
      <c r="I840" s="14" t="str">
        <f aca="false">IF($D840=1,INDEX(TblClusters[RAM par nœud (Go)],$B840),"")</f>
        <v/>
      </c>
      <c r="J840" s="14" t="str">
        <f aca="false">IF($D840=1,INDEX(TblClusters[Workers min],$B840),"")</f>
        <v/>
      </c>
      <c r="K840" s="84" t="str">
        <f aca="false">IF($D840=1,INDEX(TblClusters[Tarif par nœud],$B840),"")</f>
        <v/>
      </c>
      <c r="L840" s="14" t="str">
        <f aca="false">IF($D840=1,INDEX(TblClusters[CPU initial (vCPU)],$B840),"")</f>
        <v/>
      </c>
      <c r="M840" s="14" t="str">
        <f aca="false">IF($D840=1,INDEX(TblClusters[RAM initiale (Go)],$B840),"")</f>
        <v/>
      </c>
      <c r="N840" s="14" t="str">
        <f aca="false">IF($D840=1,INDEX(TblClusters[CPU min (vCPU)],$B840),"")</f>
        <v/>
      </c>
      <c r="O840" s="14" t="str">
        <f aca="false">IF($D840=1,INDEX(TblClusters[RAM min (Go)],$B840),"")</f>
        <v/>
      </c>
      <c r="P840" s="14" t="str">
        <f aca="false">IF($D840&lt;&gt;1,"",IF($G840="ROKS",SUMIFS(TblApplications[Besoin ROKS CPU (vCPU)],TblApplications[Cluster ROKS cible],$F840,TblApplications[Action],"À migrer",TblApplications[Déjà incluse ROKS],"Non",TblApplications[Mois prov (calc)],"&lt;="&amp;$E840),SUMIFS(TblApplications[CPU IKS libérable (vCPU)],TblApplications[Cluster IKS source],$F840,TblApplications[Mois lib (calc)],"&lt;="&amp;$E840)))</f>
        <v/>
      </c>
      <c r="Q840" s="14" t="str">
        <f aca="false">IF($D840&lt;&gt;1,"",IF($G840="ROKS",SUMIFS(TblApplications[Besoin ROKS RAM (Go)],TblApplications[Cluster ROKS cible],$F840,TblApplications[Action],"À migrer",TblApplications[Déjà incluse ROKS],"Non",TblApplications[Mois prov (calc)],"&lt;="&amp;$E840),SUMIFS(TblApplications[RAM IKS libérable (Go)],TblApplications[Cluster IKS source],$F840,TblApplications[Mois lib (calc)],"&lt;="&amp;$E840)))</f>
        <v/>
      </c>
      <c r="R840" s="14" t="str">
        <f aca="false">IF($D840&lt;&gt;1,"",IF($G840="ROKS",$L840+$P840,IF($AI840=1,0,MAX($N840,$L840-$P840))))</f>
        <v/>
      </c>
      <c r="S840" s="14" t="str">
        <f aca="false">IF($D840&lt;&gt;1,"",IF($G840="ROKS",$M840+$Q840,IF($AI840=1,0,MAX($O840,$M840-$Q840))))</f>
        <v/>
      </c>
      <c r="T840" s="14" t="str">
        <f aca="false">IF($D840&lt;&gt;1,"",IF($AI840=1,0,MAX($J840,ROUNDUP(MAX($R840/$H840,$S840/$I840),0))))</f>
        <v/>
      </c>
      <c r="U840" s="14" t="str">
        <f aca="false">IF($D840&lt;&gt;1,"",IF(p_mode="Nœud",$T840*$H840,$R840))</f>
        <v/>
      </c>
      <c r="V840" s="14" t="str">
        <f aca="false">IF($D840&lt;&gt;1,"",IF(p_mode="Nœud",$T840*$I840,$S840))</f>
        <v/>
      </c>
      <c r="W840" s="84" t="str">
        <f aca="false">IF($D840&lt;&gt;1,"",IF(p_mode="Nœud",$T840*$K840,$R840*IF($G840="IKS",p_iks_cpu,p_roks_cpu)+$S840*IF($G840="IKS",p_iks_ram,p_roks_ram))*p_facteur)</f>
        <v/>
      </c>
      <c r="X840" s="14" t="str">
        <f aca="false">IF($D840&lt;&gt;1,"",IF($G840="ROKS",$R840,IF($AI840=1,0,MAX($N840,$L840-SUMIFS(TblApplications[CPU IKS libérable (vCPU)],TblApplications[Cluster IKS source],$F840,TblApplications[Action],"À migrer",TblApplications[Mois prov (calc)],"&lt;="&amp;$E840)-SUMIFS(TblApplications[CPU IKS libérable (vCPU)],TblApplications[Cluster IKS source],$F840,TblApplications[Action],"À décommissionner",TblApplications[Mois lib (calc)],"&lt;="&amp;$E840)))))</f>
        <v/>
      </c>
      <c r="Y840" s="14" t="str">
        <f aca="false">IF($D840&lt;&gt;1,"",IF($G840="ROKS",$S840,IF($AI840=1,0,MAX($O840,$M840-SUMIFS(TblApplications[RAM IKS libérable (Go)],TblApplications[Cluster IKS source],$F840,TblApplications[Action],"À migrer",TblApplications[Mois prov (calc)],"&lt;="&amp;$E840)-SUMIFS(TblApplications[RAM IKS libérable (Go)],TblApplications[Cluster IKS source],$F840,TblApplications[Action],"À décommissionner",TblApplications[Mois lib (calc)],"&lt;="&amp;$E840)))))</f>
        <v/>
      </c>
      <c r="Z840" s="14" t="str">
        <f aca="false">IF($D840&lt;&gt;1,"",IF($AI840=1,0,MAX($J840,ROUNDUP(MAX($X840/$H840,$Y840/$I840),0))))</f>
        <v/>
      </c>
      <c r="AA840" s="84" t="str">
        <f aca="false">IF($D840&lt;&gt;1,"",IF(p_mode="Nœud",$Z840*$K840,$X840*IF($G840="IKS",p_iks_cpu,p_roks_cpu)+$Y840*IF($G840="IKS",p_iks_ram,p_roks_ram))*p_facteur)</f>
        <v/>
      </c>
      <c r="AB840" s="14" t="str">
        <f aca="false">IF($D840&lt;&gt;1,"",MAX($J840,ROUNDUP(MAX($L840/$H840,$M840/$I840),0)))</f>
        <v/>
      </c>
      <c r="AC840" s="84" t="str">
        <f aca="false">IF($D840&lt;&gt;1,"",IF(p_mode="Nœud",$AB840*$K840,$L840*IF($G840="IKS",p_iks_cpu,p_roks_cpu)+$M840*IF($G840="IKS",p_iks_ram,p_roks_ram))*p_facteur)</f>
        <v/>
      </c>
      <c r="AD840" s="14" t="str">
        <f aca="false">IF($D840&lt;&gt;1,"",IF(AND($G840="IKS",$AI840&lt;&gt;1,OR($L840-$P840&lt;$N840,$M840-$Q840&lt;$O840)),1,0))</f>
        <v/>
      </c>
      <c r="AE840" s="14" t="str">
        <f aca="false">IF($D840&lt;&gt;1,"",IF(AND($G840="ROKS",$T840&gt;p_maxworkers),1,0))</f>
        <v/>
      </c>
      <c r="AF840" s="14" t="str">
        <f aca="false">IF($D840&lt;&gt;1,"",IF(INDEX(TblClusters[Environnement],$B840)="","(vide)",INDEX(TblClusters[Environnement],$B840)))</f>
        <v/>
      </c>
      <c r="AG840" s="14" t="str">
        <f aca="false">IF($D840&lt;&gt;1,"",$R840+p_poidsram*$S840)</f>
        <v/>
      </c>
      <c r="AH840" s="14" t="str">
        <f aca="false">IF($D840&lt;&gt;1,"",IFERROR($W840/$AG840,0))</f>
        <v/>
      </c>
      <c r="AI840" s="14" t="str">
        <f aca="false">IF($D840&lt;&gt;1,"",IF(AND($G840="IKS",ISNUMBER(INDEX(TblClusters[Fermeture retenue],$B840))),IF($E840&gt;=INDEX(TblClusters[Fermeture retenue],$B840),1,0),0))</f>
        <v/>
      </c>
    </row>
    <row r="841" customFormat="false" ht="15" hidden="false" customHeight="false" outlineLevel="0" collapsed="false">
      <c r="A841" s="14" t="n">
        <v>836</v>
      </c>
      <c r="B841" s="14" t="n">
        <f aca="false">INT(($A841-1)/36)+1</f>
        <v>24</v>
      </c>
      <c r="C841" s="14" t="n">
        <f aca="false">MOD($A841-1,36)+1</f>
        <v>8</v>
      </c>
      <c r="D841" s="14" t="n">
        <f aca="false">IF($C841&gt;p_horizon,0,IFERROR(IF(AND(INDEX(TblClusters[Cluster],$B841)&lt;&gt;"",ISNUMBER(INDEX(TblClusters[CPU initial (vCPU)],$B841)),ISNUMBER(INDEX(TblClusters[CPU min (vCPU)],$B841)),OR(INDEX(TblClusters[Plateforme],$B841)="IKS",INDEX(TblClusters[Plateforme],$B841)="ROKS")),1,0),0))</f>
        <v>0</v>
      </c>
      <c r="E841" s="83" t="str">
        <f aca="false">IF($D841=1,EDATE(p_debut,$C841-1),"")</f>
        <v/>
      </c>
      <c r="F841" s="14" t="str">
        <f aca="false">IF($D841=1,INDEX(TblClusters[Cluster],$B841),"")</f>
        <v/>
      </c>
      <c r="G841" s="14" t="str">
        <f aca="false">IF($D841=1,INDEX(TblClusters[Plateforme],$B841),"")</f>
        <v/>
      </c>
      <c r="H841" s="14" t="str">
        <f aca="false">IF($D841=1,INDEX(TblClusters[vCPU par nœud],$B841),"")</f>
        <v/>
      </c>
      <c r="I841" s="14" t="str">
        <f aca="false">IF($D841=1,INDEX(TblClusters[RAM par nœud (Go)],$B841),"")</f>
        <v/>
      </c>
      <c r="J841" s="14" t="str">
        <f aca="false">IF($D841=1,INDEX(TblClusters[Workers min],$B841),"")</f>
        <v/>
      </c>
      <c r="K841" s="84" t="str">
        <f aca="false">IF($D841=1,INDEX(TblClusters[Tarif par nœud],$B841),"")</f>
        <v/>
      </c>
      <c r="L841" s="14" t="str">
        <f aca="false">IF($D841=1,INDEX(TblClusters[CPU initial (vCPU)],$B841),"")</f>
        <v/>
      </c>
      <c r="M841" s="14" t="str">
        <f aca="false">IF($D841=1,INDEX(TblClusters[RAM initiale (Go)],$B841),"")</f>
        <v/>
      </c>
      <c r="N841" s="14" t="str">
        <f aca="false">IF($D841=1,INDEX(TblClusters[CPU min (vCPU)],$B841),"")</f>
        <v/>
      </c>
      <c r="O841" s="14" t="str">
        <f aca="false">IF($D841=1,INDEX(TblClusters[RAM min (Go)],$B841),"")</f>
        <v/>
      </c>
      <c r="P841" s="14" t="str">
        <f aca="false">IF($D841&lt;&gt;1,"",IF($G841="ROKS",SUMIFS(TblApplications[Besoin ROKS CPU (vCPU)],TblApplications[Cluster ROKS cible],$F841,TblApplications[Action],"À migrer",TblApplications[Déjà incluse ROKS],"Non",TblApplications[Mois prov (calc)],"&lt;="&amp;$E841),SUMIFS(TblApplications[CPU IKS libérable (vCPU)],TblApplications[Cluster IKS source],$F841,TblApplications[Mois lib (calc)],"&lt;="&amp;$E841)))</f>
        <v/>
      </c>
      <c r="Q841" s="14" t="str">
        <f aca="false">IF($D841&lt;&gt;1,"",IF($G841="ROKS",SUMIFS(TblApplications[Besoin ROKS RAM (Go)],TblApplications[Cluster ROKS cible],$F841,TblApplications[Action],"À migrer",TblApplications[Déjà incluse ROKS],"Non",TblApplications[Mois prov (calc)],"&lt;="&amp;$E841),SUMIFS(TblApplications[RAM IKS libérable (Go)],TblApplications[Cluster IKS source],$F841,TblApplications[Mois lib (calc)],"&lt;="&amp;$E841)))</f>
        <v/>
      </c>
      <c r="R841" s="14" t="str">
        <f aca="false">IF($D841&lt;&gt;1,"",IF($G841="ROKS",$L841+$P841,IF($AI841=1,0,MAX($N841,$L841-$P841))))</f>
        <v/>
      </c>
      <c r="S841" s="14" t="str">
        <f aca="false">IF($D841&lt;&gt;1,"",IF($G841="ROKS",$M841+$Q841,IF($AI841=1,0,MAX($O841,$M841-$Q841))))</f>
        <v/>
      </c>
      <c r="T841" s="14" t="str">
        <f aca="false">IF($D841&lt;&gt;1,"",IF($AI841=1,0,MAX($J841,ROUNDUP(MAX($R841/$H841,$S841/$I841),0))))</f>
        <v/>
      </c>
      <c r="U841" s="14" t="str">
        <f aca="false">IF($D841&lt;&gt;1,"",IF(p_mode="Nœud",$T841*$H841,$R841))</f>
        <v/>
      </c>
      <c r="V841" s="14" t="str">
        <f aca="false">IF($D841&lt;&gt;1,"",IF(p_mode="Nœud",$T841*$I841,$S841))</f>
        <v/>
      </c>
      <c r="W841" s="84" t="str">
        <f aca="false">IF($D841&lt;&gt;1,"",IF(p_mode="Nœud",$T841*$K841,$R841*IF($G841="IKS",p_iks_cpu,p_roks_cpu)+$S841*IF($G841="IKS",p_iks_ram,p_roks_ram))*p_facteur)</f>
        <v/>
      </c>
      <c r="X841" s="14" t="str">
        <f aca="false">IF($D841&lt;&gt;1,"",IF($G841="ROKS",$R841,IF($AI841=1,0,MAX($N841,$L841-SUMIFS(TblApplications[CPU IKS libérable (vCPU)],TblApplications[Cluster IKS source],$F841,TblApplications[Action],"À migrer",TblApplications[Mois prov (calc)],"&lt;="&amp;$E841)-SUMIFS(TblApplications[CPU IKS libérable (vCPU)],TblApplications[Cluster IKS source],$F841,TblApplications[Action],"À décommissionner",TblApplications[Mois lib (calc)],"&lt;="&amp;$E841)))))</f>
        <v/>
      </c>
      <c r="Y841" s="14" t="str">
        <f aca="false">IF($D841&lt;&gt;1,"",IF($G841="ROKS",$S841,IF($AI841=1,0,MAX($O841,$M841-SUMIFS(TblApplications[RAM IKS libérable (Go)],TblApplications[Cluster IKS source],$F841,TblApplications[Action],"À migrer",TblApplications[Mois prov (calc)],"&lt;="&amp;$E841)-SUMIFS(TblApplications[RAM IKS libérable (Go)],TblApplications[Cluster IKS source],$F841,TblApplications[Action],"À décommissionner",TblApplications[Mois lib (calc)],"&lt;="&amp;$E841)))))</f>
        <v/>
      </c>
      <c r="Z841" s="14" t="str">
        <f aca="false">IF($D841&lt;&gt;1,"",IF($AI841=1,0,MAX($J841,ROUNDUP(MAX($X841/$H841,$Y841/$I841),0))))</f>
        <v/>
      </c>
      <c r="AA841" s="84" t="str">
        <f aca="false">IF($D841&lt;&gt;1,"",IF(p_mode="Nœud",$Z841*$K841,$X841*IF($G841="IKS",p_iks_cpu,p_roks_cpu)+$Y841*IF($G841="IKS",p_iks_ram,p_roks_ram))*p_facteur)</f>
        <v/>
      </c>
      <c r="AB841" s="14" t="str">
        <f aca="false">IF($D841&lt;&gt;1,"",MAX($J841,ROUNDUP(MAX($L841/$H841,$M841/$I841),0)))</f>
        <v/>
      </c>
      <c r="AC841" s="84" t="str">
        <f aca="false">IF($D841&lt;&gt;1,"",IF(p_mode="Nœud",$AB841*$K841,$L841*IF($G841="IKS",p_iks_cpu,p_roks_cpu)+$M841*IF($G841="IKS",p_iks_ram,p_roks_ram))*p_facteur)</f>
        <v/>
      </c>
      <c r="AD841" s="14" t="str">
        <f aca="false">IF($D841&lt;&gt;1,"",IF(AND($G841="IKS",$AI841&lt;&gt;1,OR($L841-$P841&lt;$N841,$M841-$Q841&lt;$O841)),1,0))</f>
        <v/>
      </c>
      <c r="AE841" s="14" t="str">
        <f aca="false">IF($D841&lt;&gt;1,"",IF(AND($G841="ROKS",$T841&gt;p_maxworkers),1,0))</f>
        <v/>
      </c>
      <c r="AF841" s="14" t="str">
        <f aca="false">IF($D841&lt;&gt;1,"",IF(INDEX(TblClusters[Environnement],$B841)="","(vide)",INDEX(TblClusters[Environnement],$B841)))</f>
        <v/>
      </c>
      <c r="AG841" s="14" t="str">
        <f aca="false">IF($D841&lt;&gt;1,"",$R841+p_poidsram*$S841)</f>
        <v/>
      </c>
      <c r="AH841" s="14" t="str">
        <f aca="false">IF($D841&lt;&gt;1,"",IFERROR($W841/$AG841,0))</f>
        <v/>
      </c>
      <c r="AI841" s="14" t="str">
        <f aca="false">IF($D841&lt;&gt;1,"",IF(AND($G841="IKS",ISNUMBER(INDEX(TblClusters[Fermeture retenue],$B841))),IF($E841&gt;=INDEX(TblClusters[Fermeture retenue],$B841),1,0),0))</f>
        <v/>
      </c>
    </row>
    <row r="842" customFormat="false" ht="15" hidden="false" customHeight="false" outlineLevel="0" collapsed="false">
      <c r="A842" s="14" t="n">
        <v>837</v>
      </c>
      <c r="B842" s="14" t="n">
        <f aca="false">INT(($A842-1)/36)+1</f>
        <v>24</v>
      </c>
      <c r="C842" s="14" t="n">
        <f aca="false">MOD($A842-1,36)+1</f>
        <v>9</v>
      </c>
      <c r="D842" s="14" t="n">
        <f aca="false">IF($C842&gt;p_horizon,0,IFERROR(IF(AND(INDEX(TblClusters[Cluster],$B842)&lt;&gt;"",ISNUMBER(INDEX(TblClusters[CPU initial (vCPU)],$B842)),ISNUMBER(INDEX(TblClusters[CPU min (vCPU)],$B842)),OR(INDEX(TblClusters[Plateforme],$B842)="IKS",INDEX(TblClusters[Plateforme],$B842)="ROKS")),1,0),0))</f>
        <v>0</v>
      </c>
      <c r="E842" s="83" t="str">
        <f aca="false">IF($D842=1,EDATE(p_debut,$C842-1),"")</f>
        <v/>
      </c>
      <c r="F842" s="14" t="str">
        <f aca="false">IF($D842=1,INDEX(TblClusters[Cluster],$B842),"")</f>
        <v/>
      </c>
      <c r="G842" s="14" t="str">
        <f aca="false">IF($D842=1,INDEX(TblClusters[Plateforme],$B842),"")</f>
        <v/>
      </c>
      <c r="H842" s="14" t="str">
        <f aca="false">IF($D842=1,INDEX(TblClusters[vCPU par nœud],$B842),"")</f>
        <v/>
      </c>
      <c r="I842" s="14" t="str">
        <f aca="false">IF($D842=1,INDEX(TblClusters[RAM par nœud (Go)],$B842),"")</f>
        <v/>
      </c>
      <c r="J842" s="14" t="str">
        <f aca="false">IF($D842=1,INDEX(TblClusters[Workers min],$B842),"")</f>
        <v/>
      </c>
      <c r="K842" s="84" t="str">
        <f aca="false">IF($D842=1,INDEX(TblClusters[Tarif par nœud],$B842),"")</f>
        <v/>
      </c>
      <c r="L842" s="14" t="str">
        <f aca="false">IF($D842=1,INDEX(TblClusters[CPU initial (vCPU)],$B842),"")</f>
        <v/>
      </c>
      <c r="M842" s="14" t="str">
        <f aca="false">IF($D842=1,INDEX(TblClusters[RAM initiale (Go)],$B842),"")</f>
        <v/>
      </c>
      <c r="N842" s="14" t="str">
        <f aca="false">IF($D842=1,INDEX(TblClusters[CPU min (vCPU)],$B842),"")</f>
        <v/>
      </c>
      <c r="O842" s="14" t="str">
        <f aca="false">IF($D842=1,INDEX(TblClusters[RAM min (Go)],$B842),"")</f>
        <v/>
      </c>
      <c r="P842" s="14" t="str">
        <f aca="false">IF($D842&lt;&gt;1,"",IF($G842="ROKS",SUMIFS(TblApplications[Besoin ROKS CPU (vCPU)],TblApplications[Cluster ROKS cible],$F842,TblApplications[Action],"À migrer",TblApplications[Déjà incluse ROKS],"Non",TblApplications[Mois prov (calc)],"&lt;="&amp;$E842),SUMIFS(TblApplications[CPU IKS libérable (vCPU)],TblApplications[Cluster IKS source],$F842,TblApplications[Mois lib (calc)],"&lt;="&amp;$E842)))</f>
        <v/>
      </c>
      <c r="Q842" s="14" t="str">
        <f aca="false">IF($D842&lt;&gt;1,"",IF($G842="ROKS",SUMIFS(TblApplications[Besoin ROKS RAM (Go)],TblApplications[Cluster ROKS cible],$F842,TblApplications[Action],"À migrer",TblApplications[Déjà incluse ROKS],"Non",TblApplications[Mois prov (calc)],"&lt;="&amp;$E842),SUMIFS(TblApplications[RAM IKS libérable (Go)],TblApplications[Cluster IKS source],$F842,TblApplications[Mois lib (calc)],"&lt;="&amp;$E842)))</f>
        <v/>
      </c>
      <c r="R842" s="14" t="str">
        <f aca="false">IF($D842&lt;&gt;1,"",IF($G842="ROKS",$L842+$P842,IF($AI842=1,0,MAX($N842,$L842-$P842))))</f>
        <v/>
      </c>
      <c r="S842" s="14" t="str">
        <f aca="false">IF($D842&lt;&gt;1,"",IF($G842="ROKS",$M842+$Q842,IF($AI842=1,0,MAX($O842,$M842-$Q842))))</f>
        <v/>
      </c>
      <c r="T842" s="14" t="str">
        <f aca="false">IF($D842&lt;&gt;1,"",IF($AI842=1,0,MAX($J842,ROUNDUP(MAX($R842/$H842,$S842/$I842),0))))</f>
        <v/>
      </c>
      <c r="U842" s="14" t="str">
        <f aca="false">IF($D842&lt;&gt;1,"",IF(p_mode="Nœud",$T842*$H842,$R842))</f>
        <v/>
      </c>
      <c r="V842" s="14" t="str">
        <f aca="false">IF($D842&lt;&gt;1,"",IF(p_mode="Nœud",$T842*$I842,$S842))</f>
        <v/>
      </c>
      <c r="W842" s="84" t="str">
        <f aca="false">IF($D842&lt;&gt;1,"",IF(p_mode="Nœud",$T842*$K842,$R842*IF($G842="IKS",p_iks_cpu,p_roks_cpu)+$S842*IF($G842="IKS",p_iks_ram,p_roks_ram))*p_facteur)</f>
        <v/>
      </c>
      <c r="X842" s="14" t="str">
        <f aca="false">IF($D842&lt;&gt;1,"",IF($G842="ROKS",$R842,IF($AI842=1,0,MAX($N842,$L842-SUMIFS(TblApplications[CPU IKS libérable (vCPU)],TblApplications[Cluster IKS source],$F842,TblApplications[Action],"À migrer",TblApplications[Mois prov (calc)],"&lt;="&amp;$E842)-SUMIFS(TblApplications[CPU IKS libérable (vCPU)],TblApplications[Cluster IKS source],$F842,TblApplications[Action],"À décommissionner",TblApplications[Mois lib (calc)],"&lt;="&amp;$E842)))))</f>
        <v/>
      </c>
      <c r="Y842" s="14" t="str">
        <f aca="false">IF($D842&lt;&gt;1,"",IF($G842="ROKS",$S842,IF($AI842=1,0,MAX($O842,$M842-SUMIFS(TblApplications[RAM IKS libérable (Go)],TblApplications[Cluster IKS source],$F842,TblApplications[Action],"À migrer",TblApplications[Mois prov (calc)],"&lt;="&amp;$E842)-SUMIFS(TblApplications[RAM IKS libérable (Go)],TblApplications[Cluster IKS source],$F842,TblApplications[Action],"À décommissionner",TblApplications[Mois lib (calc)],"&lt;="&amp;$E842)))))</f>
        <v/>
      </c>
      <c r="Z842" s="14" t="str">
        <f aca="false">IF($D842&lt;&gt;1,"",IF($AI842=1,0,MAX($J842,ROUNDUP(MAX($X842/$H842,$Y842/$I842),0))))</f>
        <v/>
      </c>
      <c r="AA842" s="84" t="str">
        <f aca="false">IF($D842&lt;&gt;1,"",IF(p_mode="Nœud",$Z842*$K842,$X842*IF($G842="IKS",p_iks_cpu,p_roks_cpu)+$Y842*IF($G842="IKS",p_iks_ram,p_roks_ram))*p_facteur)</f>
        <v/>
      </c>
      <c r="AB842" s="14" t="str">
        <f aca="false">IF($D842&lt;&gt;1,"",MAX($J842,ROUNDUP(MAX($L842/$H842,$M842/$I842),0)))</f>
        <v/>
      </c>
      <c r="AC842" s="84" t="str">
        <f aca="false">IF($D842&lt;&gt;1,"",IF(p_mode="Nœud",$AB842*$K842,$L842*IF($G842="IKS",p_iks_cpu,p_roks_cpu)+$M842*IF($G842="IKS",p_iks_ram,p_roks_ram))*p_facteur)</f>
        <v/>
      </c>
      <c r="AD842" s="14" t="str">
        <f aca="false">IF($D842&lt;&gt;1,"",IF(AND($G842="IKS",$AI842&lt;&gt;1,OR($L842-$P842&lt;$N842,$M842-$Q842&lt;$O842)),1,0))</f>
        <v/>
      </c>
      <c r="AE842" s="14" t="str">
        <f aca="false">IF($D842&lt;&gt;1,"",IF(AND($G842="ROKS",$T842&gt;p_maxworkers),1,0))</f>
        <v/>
      </c>
      <c r="AF842" s="14" t="str">
        <f aca="false">IF($D842&lt;&gt;1,"",IF(INDEX(TblClusters[Environnement],$B842)="","(vide)",INDEX(TblClusters[Environnement],$B842)))</f>
        <v/>
      </c>
      <c r="AG842" s="14" t="str">
        <f aca="false">IF($D842&lt;&gt;1,"",$R842+p_poidsram*$S842)</f>
        <v/>
      </c>
      <c r="AH842" s="14" t="str">
        <f aca="false">IF($D842&lt;&gt;1,"",IFERROR($W842/$AG842,0))</f>
        <v/>
      </c>
      <c r="AI842" s="14" t="str">
        <f aca="false">IF($D842&lt;&gt;1,"",IF(AND($G842="IKS",ISNUMBER(INDEX(TblClusters[Fermeture retenue],$B842))),IF($E842&gt;=INDEX(TblClusters[Fermeture retenue],$B842),1,0),0))</f>
        <v/>
      </c>
    </row>
    <row r="843" customFormat="false" ht="15" hidden="false" customHeight="false" outlineLevel="0" collapsed="false">
      <c r="A843" s="14" t="n">
        <v>838</v>
      </c>
      <c r="B843" s="14" t="n">
        <f aca="false">INT(($A843-1)/36)+1</f>
        <v>24</v>
      </c>
      <c r="C843" s="14" t="n">
        <f aca="false">MOD($A843-1,36)+1</f>
        <v>10</v>
      </c>
      <c r="D843" s="14" t="n">
        <f aca="false">IF($C843&gt;p_horizon,0,IFERROR(IF(AND(INDEX(TblClusters[Cluster],$B843)&lt;&gt;"",ISNUMBER(INDEX(TblClusters[CPU initial (vCPU)],$B843)),ISNUMBER(INDEX(TblClusters[CPU min (vCPU)],$B843)),OR(INDEX(TblClusters[Plateforme],$B843)="IKS",INDEX(TblClusters[Plateforme],$B843)="ROKS")),1,0),0))</f>
        <v>0</v>
      </c>
      <c r="E843" s="83" t="str">
        <f aca="false">IF($D843=1,EDATE(p_debut,$C843-1),"")</f>
        <v/>
      </c>
      <c r="F843" s="14" t="str">
        <f aca="false">IF($D843=1,INDEX(TblClusters[Cluster],$B843),"")</f>
        <v/>
      </c>
      <c r="G843" s="14" t="str">
        <f aca="false">IF($D843=1,INDEX(TblClusters[Plateforme],$B843),"")</f>
        <v/>
      </c>
      <c r="H843" s="14" t="str">
        <f aca="false">IF($D843=1,INDEX(TblClusters[vCPU par nœud],$B843),"")</f>
        <v/>
      </c>
      <c r="I843" s="14" t="str">
        <f aca="false">IF($D843=1,INDEX(TblClusters[RAM par nœud (Go)],$B843),"")</f>
        <v/>
      </c>
      <c r="J843" s="14" t="str">
        <f aca="false">IF($D843=1,INDEX(TblClusters[Workers min],$B843),"")</f>
        <v/>
      </c>
      <c r="K843" s="84" t="str">
        <f aca="false">IF($D843=1,INDEX(TblClusters[Tarif par nœud],$B843),"")</f>
        <v/>
      </c>
      <c r="L843" s="14" t="str">
        <f aca="false">IF($D843=1,INDEX(TblClusters[CPU initial (vCPU)],$B843),"")</f>
        <v/>
      </c>
      <c r="M843" s="14" t="str">
        <f aca="false">IF($D843=1,INDEX(TblClusters[RAM initiale (Go)],$B843),"")</f>
        <v/>
      </c>
      <c r="N843" s="14" t="str">
        <f aca="false">IF($D843=1,INDEX(TblClusters[CPU min (vCPU)],$B843),"")</f>
        <v/>
      </c>
      <c r="O843" s="14" t="str">
        <f aca="false">IF($D843=1,INDEX(TblClusters[RAM min (Go)],$B843),"")</f>
        <v/>
      </c>
      <c r="P843" s="14" t="str">
        <f aca="false">IF($D843&lt;&gt;1,"",IF($G843="ROKS",SUMIFS(TblApplications[Besoin ROKS CPU (vCPU)],TblApplications[Cluster ROKS cible],$F843,TblApplications[Action],"À migrer",TblApplications[Déjà incluse ROKS],"Non",TblApplications[Mois prov (calc)],"&lt;="&amp;$E843),SUMIFS(TblApplications[CPU IKS libérable (vCPU)],TblApplications[Cluster IKS source],$F843,TblApplications[Mois lib (calc)],"&lt;="&amp;$E843)))</f>
        <v/>
      </c>
      <c r="Q843" s="14" t="str">
        <f aca="false">IF($D843&lt;&gt;1,"",IF($G843="ROKS",SUMIFS(TblApplications[Besoin ROKS RAM (Go)],TblApplications[Cluster ROKS cible],$F843,TblApplications[Action],"À migrer",TblApplications[Déjà incluse ROKS],"Non",TblApplications[Mois prov (calc)],"&lt;="&amp;$E843),SUMIFS(TblApplications[RAM IKS libérable (Go)],TblApplications[Cluster IKS source],$F843,TblApplications[Mois lib (calc)],"&lt;="&amp;$E843)))</f>
        <v/>
      </c>
      <c r="R843" s="14" t="str">
        <f aca="false">IF($D843&lt;&gt;1,"",IF($G843="ROKS",$L843+$P843,IF($AI843=1,0,MAX($N843,$L843-$P843))))</f>
        <v/>
      </c>
      <c r="S843" s="14" t="str">
        <f aca="false">IF($D843&lt;&gt;1,"",IF($G843="ROKS",$M843+$Q843,IF($AI843=1,0,MAX($O843,$M843-$Q843))))</f>
        <v/>
      </c>
      <c r="T843" s="14" t="str">
        <f aca="false">IF($D843&lt;&gt;1,"",IF($AI843=1,0,MAX($J843,ROUNDUP(MAX($R843/$H843,$S843/$I843),0))))</f>
        <v/>
      </c>
      <c r="U843" s="14" t="str">
        <f aca="false">IF($D843&lt;&gt;1,"",IF(p_mode="Nœud",$T843*$H843,$R843))</f>
        <v/>
      </c>
      <c r="V843" s="14" t="str">
        <f aca="false">IF($D843&lt;&gt;1,"",IF(p_mode="Nœud",$T843*$I843,$S843))</f>
        <v/>
      </c>
      <c r="W843" s="84" t="str">
        <f aca="false">IF($D843&lt;&gt;1,"",IF(p_mode="Nœud",$T843*$K843,$R843*IF($G843="IKS",p_iks_cpu,p_roks_cpu)+$S843*IF($G843="IKS",p_iks_ram,p_roks_ram))*p_facteur)</f>
        <v/>
      </c>
      <c r="X843" s="14" t="str">
        <f aca="false">IF($D843&lt;&gt;1,"",IF($G843="ROKS",$R843,IF($AI843=1,0,MAX($N843,$L843-SUMIFS(TblApplications[CPU IKS libérable (vCPU)],TblApplications[Cluster IKS source],$F843,TblApplications[Action],"À migrer",TblApplications[Mois prov (calc)],"&lt;="&amp;$E843)-SUMIFS(TblApplications[CPU IKS libérable (vCPU)],TblApplications[Cluster IKS source],$F843,TblApplications[Action],"À décommissionner",TblApplications[Mois lib (calc)],"&lt;="&amp;$E843)))))</f>
        <v/>
      </c>
      <c r="Y843" s="14" t="str">
        <f aca="false">IF($D843&lt;&gt;1,"",IF($G843="ROKS",$S843,IF($AI843=1,0,MAX($O843,$M843-SUMIFS(TblApplications[RAM IKS libérable (Go)],TblApplications[Cluster IKS source],$F843,TblApplications[Action],"À migrer",TblApplications[Mois prov (calc)],"&lt;="&amp;$E843)-SUMIFS(TblApplications[RAM IKS libérable (Go)],TblApplications[Cluster IKS source],$F843,TblApplications[Action],"À décommissionner",TblApplications[Mois lib (calc)],"&lt;="&amp;$E843)))))</f>
        <v/>
      </c>
      <c r="Z843" s="14" t="str">
        <f aca="false">IF($D843&lt;&gt;1,"",IF($AI843=1,0,MAX($J843,ROUNDUP(MAX($X843/$H843,$Y843/$I843),0))))</f>
        <v/>
      </c>
      <c r="AA843" s="84" t="str">
        <f aca="false">IF($D843&lt;&gt;1,"",IF(p_mode="Nœud",$Z843*$K843,$X843*IF($G843="IKS",p_iks_cpu,p_roks_cpu)+$Y843*IF($G843="IKS",p_iks_ram,p_roks_ram))*p_facteur)</f>
        <v/>
      </c>
      <c r="AB843" s="14" t="str">
        <f aca="false">IF($D843&lt;&gt;1,"",MAX($J843,ROUNDUP(MAX($L843/$H843,$M843/$I843),0)))</f>
        <v/>
      </c>
      <c r="AC843" s="84" t="str">
        <f aca="false">IF($D843&lt;&gt;1,"",IF(p_mode="Nœud",$AB843*$K843,$L843*IF($G843="IKS",p_iks_cpu,p_roks_cpu)+$M843*IF($G843="IKS",p_iks_ram,p_roks_ram))*p_facteur)</f>
        <v/>
      </c>
      <c r="AD843" s="14" t="str">
        <f aca="false">IF($D843&lt;&gt;1,"",IF(AND($G843="IKS",$AI843&lt;&gt;1,OR($L843-$P843&lt;$N843,$M843-$Q843&lt;$O843)),1,0))</f>
        <v/>
      </c>
      <c r="AE843" s="14" t="str">
        <f aca="false">IF($D843&lt;&gt;1,"",IF(AND($G843="ROKS",$T843&gt;p_maxworkers),1,0))</f>
        <v/>
      </c>
      <c r="AF843" s="14" t="str">
        <f aca="false">IF($D843&lt;&gt;1,"",IF(INDEX(TblClusters[Environnement],$B843)="","(vide)",INDEX(TblClusters[Environnement],$B843)))</f>
        <v/>
      </c>
      <c r="AG843" s="14" t="str">
        <f aca="false">IF($D843&lt;&gt;1,"",$R843+p_poidsram*$S843)</f>
        <v/>
      </c>
      <c r="AH843" s="14" t="str">
        <f aca="false">IF($D843&lt;&gt;1,"",IFERROR($W843/$AG843,0))</f>
        <v/>
      </c>
      <c r="AI843" s="14" t="str">
        <f aca="false">IF($D843&lt;&gt;1,"",IF(AND($G843="IKS",ISNUMBER(INDEX(TblClusters[Fermeture retenue],$B843))),IF($E843&gt;=INDEX(TblClusters[Fermeture retenue],$B843),1,0),0))</f>
        <v/>
      </c>
    </row>
    <row r="844" customFormat="false" ht="15" hidden="false" customHeight="false" outlineLevel="0" collapsed="false">
      <c r="A844" s="14" t="n">
        <v>839</v>
      </c>
      <c r="B844" s="14" t="n">
        <f aca="false">INT(($A844-1)/36)+1</f>
        <v>24</v>
      </c>
      <c r="C844" s="14" t="n">
        <f aca="false">MOD($A844-1,36)+1</f>
        <v>11</v>
      </c>
      <c r="D844" s="14" t="n">
        <f aca="false">IF($C844&gt;p_horizon,0,IFERROR(IF(AND(INDEX(TblClusters[Cluster],$B844)&lt;&gt;"",ISNUMBER(INDEX(TblClusters[CPU initial (vCPU)],$B844)),ISNUMBER(INDEX(TblClusters[CPU min (vCPU)],$B844)),OR(INDEX(TblClusters[Plateforme],$B844)="IKS",INDEX(TblClusters[Plateforme],$B844)="ROKS")),1,0),0))</f>
        <v>0</v>
      </c>
      <c r="E844" s="83" t="str">
        <f aca="false">IF($D844=1,EDATE(p_debut,$C844-1),"")</f>
        <v/>
      </c>
      <c r="F844" s="14" t="str">
        <f aca="false">IF($D844=1,INDEX(TblClusters[Cluster],$B844),"")</f>
        <v/>
      </c>
      <c r="G844" s="14" t="str">
        <f aca="false">IF($D844=1,INDEX(TblClusters[Plateforme],$B844),"")</f>
        <v/>
      </c>
      <c r="H844" s="14" t="str">
        <f aca="false">IF($D844=1,INDEX(TblClusters[vCPU par nœud],$B844),"")</f>
        <v/>
      </c>
      <c r="I844" s="14" t="str">
        <f aca="false">IF($D844=1,INDEX(TblClusters[RAM par nœud (Go)],$B844),"")</f>
        <v/>
      </c>
      <c r="J844" s="14" t="str">
        <f aca="false">IF($D844=1,INDEX(TblClusters[Workers min],$B844),"")</f>
        <v/>
      </c>
      <c r="K844" s="84" t="str">
        <f aca="false">IF($D844=1,INDEX(TblClusters[Tarif par nœud],$B844),"")</f>
        <v/>
      </c>
      <c r="L844" s="14" t="str">
        <f aca="false">IF($D844=1,INDEX(TblClusters[CPU initial (vCPU)],$B844),"")</f>
        <v/>
      </c>
      <c r="M844" s="14" t="str">
        <f aca="false">IF($D844=1,INDEX(TblClusters[RAM initiale (Go)],$B844),"")</f>
        <v/>
      </c>
      <c r="N844" s="14" t="str">
        <f aca="false">IF($D844=1,INDEX(TblClusters[CPU min (vCPU)],$B844),"")</f>
        <v/>
      </c>
      <c r="O844" s="14" t="str">
        <f aca="false">IF($D844=1,INDEX(TblClusters[RAM min (Go)],$B844),"")</f>
        <v/>
      </c>
      <c r="P844" s="14" t="str">
        <f aca="false">IF($D844&lt;&gt;1,"",IF($G844="ROKS",SUMIFS(TblApplications[Besoin ROKS CPU (vCPU)],TblApplications[Cluster ROKS cible],$F844,TblApplications[Action],"À migrer",TblApplications[Déjà incluse ROKS],"Non",TblApplications[Mois prov (calc)],"&lt;="&amp;$E844),SUMIFS(TblApplications[CPU IKS libérable (vCPU)],TblApplications[Cluster IKS source],$F844,TblApplications[Mois lib (calc)],"&lt;="&amp;$E844)))</f>
        <v/>
      </c>
      <c r="Q844" s="14" t="str">
        <f aca="false">IF($D844&lt;&gt;1,"",IF($G844="ROKS",SUMIFS(TblApplications[Besoin ROKS RAM (Go)],TblApplications[Cluster ROKS cible],$F844,TblApplications[Action],"À migrer",TblApplications[Déjà incluse ROKS],"Non",TblApplications[Mois prov (calc)],"&lt;="&amp;$E844),SUMIFS(TblApplications[RAM IKS libérable (Go)],TblApplications[Cluster IKS source],$F844,TblApplications[Mois lib (calc)],"&lt;="&amp;$E844)))</f>
        <v/>
      </c>
      <c r="R844" s="14" t="str">
        <f aca="false">IF($D844&lt;&gt;1,"",IF($G844="ROKS",$L844+$P844,IF($AI844=1,0,MAX($N844,$L844-$P844))))</f>
        <v/>
      </c>
      <c r="S844" s="14" t="str">
        <f aca="false">IF($D844&lt;&gt;1,"",IF($G844="ROKS",$M844+$Q844,IF($AI844=1,0,MAX($O844,$M844-$Q844))))</f>
        <v/>
      </c>
      <c r="T844" s="14" t="str">
        <f aca="false">IF($D844&lt;&gt;1,"",IF($AI844=1,0,MAX($J844,ROUNDUP(MAX($R844/$H844,$S844/$I844),0))))</f>
        <v/>
      </c>
      <c r="U844" s="14" t="str">
        <f aca="false">IF($D844&lt;&gt;1,"",IF(p_mode="Nœud",$T844*$H844,$R844))</f>
        <v/>
      </c>
      <c r="V844" s="14" t="str">
        <f aca="false">IF($D844&lt;&gt;1,"",IF(p_mode="Nœud",$T844*$I844,$S844))</f>
        <v/>
      </c>
      <c r="W844" s="84" t="str">
        <f aca="false">IF($D844&lt;&gt;1,"",IF(p_mode="Nœud",$T844*$K844,$R844*IF($G844="IKS",p_iks_cpu,p_roks_cpu)+$S844*IF($G844="IKS",p_iks_ram,p_roks_ram))*p_facteur)</f>
        <v/>
      </c>
      <c r="X844" s="14" t="str">
        <f aca="false">IF($D844&lt;&gt;1,"",IF($G844="ROKS",$R844,IF($AI844=1,0,MAX($N844,$L844-SUMIFS(TblApplications[CPU IKS libérable (vCPU)],TblApplications[Cluster IKS source],$F844,TblApplications[Action],"À migrer",TblApplications[Mois prov (calc)],"&lt;="&amp;$E844)-SUMIFS(TblApplications[CPU IKS libérable (vCPU)],TblApplications[Cluster IKS source],$F844,TblApplications[Action],"À décommissionner",TblApplications[Mois lib (calc)],"&lt;="&amp;$E844)))))</f>
        <v/>
      </c>
      <c r="Y844" s="14" t="str">
        <f aca="false">IF($D844&lt;&gt;1,"",IF($G844="ROKS",$S844,IF($AI844=1,0,MAX($O844,$M844-SUMIFS(TblApplications[RAM IKS libérable (Go)],TblApplications[Cluster IKS source],$F844,TblApplications[Action],"À migrer",TblApplications[Mois prov (calc)],"&lt;="&amp;$E844)-SUMIFS(TblApplications[RAM IKS libérable (Go)],TblApplications[Cluster IKS source],$F844,TblApplications[Action],"À décommissionner",TblApplications[Mois lib (calc)],"&lt;="&amp;$E844)))))</f>
        <v/>
      </c>
      <c r="Z844" s="14" t="str">
        <f aca="false">IF($D844&lt;&gt;1,"",IF($AI844=1,0,MAX($J844,ROUNDUP(MAX($X844/$H844,$Y844/$I844),0))))</f>
        <v/>
      </c>
      <c r="AA844" s="84" t="str">
        <f aca="false">IF($D844&lt;&gt;1,"",IF(p_mode="Nœud",$Z844*$K844,$X844*IF($G844="IKS",p_iks_cpu,p_roks_cpu)+$Y844*IF($G844="IKS",p_iks_ram,p_roks_ram))*p_facteur)</f>
        <v/>
      </c>
      <c r="AB844" s="14" t="str">
        <f aca="false">IF($D844&lt;&gt;1,"",MAX($J844,ROUNDUP(MAX($L844/$H844,$M844/$I844),0)))</f>
        <v/>
      </c>
      <c r="AC844" s="84" t="str">
        <f aca="false">IF($D844&lt;&gt;1,"",IF(p_mode="Nœud",$AB844*$K844,$L844*IF($G844="IKS",p_iks_cpu,p_roks_cpu)+$M844*IF($G844="IKS",p_iks_ram,p_roks_ram))*p_facteur)</f>
        <v/>
      </c>
      <c r="AD844" s="14" t="str">
        <f aca="false">IF($D844&lt;&gt;1,"",IF(AND($G844="IKS",$AI844&lt;&gt;1,OR($L844-$P844&lt;$N844,$M844-$Q844&lt;$O844)),1,0))</f>
        <v/>
      </c>
      <c r="AE844" s="14" t="str">
        <f aca="false">IF($D844&lt;&gt;1,"",IF(AND($G844="ROKS",$T844&gt;p_maxworkers),1,0))</f>
        <v/>
      </c>
      <c r="AF844" s="14" t="str">
        <f aca="false">IF($D844&lt;&gt;1,"",IF(INDEX(TblClusters[Environnement],$B844)="","(vide)",INDEX(TblClusters[Environnement],$B844)))</f>
        <v/>
      </c>
      <c r="AG844" s="14" t="str">
        <f aca="false">IF($D844&lt;&gt;1,"",$R844+p_poidsram*$S844)</f>
        <v/>
      </c>
      <c r="AH844" s="14" t="str">
        <f aca="false">IF($D844&lt;&gt;1,"",IFERROR($W844/$AG844,0))</f>
        <v/>
      </c>
      <c r="AI844" s="14" t="str">
        <f aca="false">IF($D844&lt;&gt;1,"",IF(AND($G844="IKS",ISNUMBER(INDEX(TblClusters[Fermeture retenue],$B844))),IF($E844&gt;=INDEX(TblClusters[Fermeture retenue],$B844),1,0),0))</f>
        <v/>
      </c>
    </row>
    <row r="845" customFormat="false" ht="15" hidden="false" customHeight="false" outlineLevel="0" collapsed="false">
      <c r="A845" s="14" t="n">
        <v>840</v>
      </c>
      <c r="B845" s="14" t="n">
        <f aca="false">INT(($A845-1)/36)+1</f>
        <v>24</v>
      </c>
      <c r="C845" s="14" t="n">
        <f aca="false">MOD($A845-1,36)+1</f>
        <v>12</v>
      </c>
      <c r="D845" s="14" t="n">
        <f aca="false">IF($C845&gt;p_horizon,0,IFERROR(IF(AND(INDEX(TblClusters[Cluster],$B845)&lt;&gt;"",ISNUMBER(INDEX(TblClusters[CPU initial (vCPU)],$B845)),ISNUMBER(INDEX(TblClusters[CPU min (vCPU)],$B845)),OR(INDEX(TblClusters[Plateforme],$B845)="IKS",INDEX(TblClusters[Plateforme],$B845)="ROKS")),1,0),0))</f>
        <v>0</v>
      </c>
      <c r="E845" s="83" t="str">
        <f aca="false">IF($D845=1,EDATE(p_debut,$C845-1),"")</f>
        <v/>
      </c>
      <c r="F845" s="14" t="str">
        <f aca="false">IF($D845=1,INDEX(TblClusters[Cluster],$B845),"")</f>
        <v/>
      </c>
      <c r="G845" s="14" t="str">
        <f aca="false">IF($D845=1,INDEX(TblClusters[Plateforme],$B845),"")</f>
        <v/>
      </c>
      <c r="H845" s="14" t="str">
        <f aca="false">IF($D845=1,INDEX(TblClusters[vCPU par nœud],$B845),"")</f>
        <v/>
      </c>
      <c r="I845" s="14" t="str">
        <f aca="false">IF($D845=1,INDEX(TblClusters[RAM par nœud (Go)],$B845),"")</f>
        <v/>
      </c>
      <c r="J845" s="14" t="str">
        <f aca="false">IF($D845=1,INDEX(TblClusters[Workers min],$B845),"")</f>
        <v/>
      </c>
      <c r="K845" s="84" t="str">
        <f aca="false">IF($D845=1,INDEX(TblClusters[Tarif par nœud],$B845),"")</f>
        <v/>
      </c>
      <c r="L845" s="14" t="str">
        <f aca="false">IF($D845=1,INDEX(TblClusters[CPU initial (vCPU)],$B845),"")</f>
        <v/>
      </c>
      <c r="M845" s="14" t="str">
        <f aca="false">IF($D845=1,INDEX(TblClusters[RAM initiale (Go)],$B845),"")</f>
        <v/>
      </c>
      <c r="N845" s="14" t="str">
        <f aca="false">IF($D845=1,INDEX(TblClusters[CPU min (vCPU)],$B845),"")</f>
        <v/>
      </c>
      <c r="O845" s="14" t="str">
        <f aca="false">IF($D845=1,INDEX(TblClusters[RAM min (Go)],$B845),"")</f>
        <v/>
      </c>
      <c r="P845" s="14" t="str">
        <f aca="false">IF($D845&lt;&gt;1,"",IF($G845="ROKS",SUMIFS(TblApplications[Besoin ROKS CPU (vCPU)],TblApplications[Cluster ROKS cible],$F845,TblApplications[Action],"À migrer",TblApplications[Déjà incluse ROKS],"Non",TblApplications[Mois prov (calc)],"&lt;="&amp;$E845),SUMIFS(TblApplications[CPU IKS libérable (vCPU)],TblApplications[Cluster IKS source],$F845,TblApplications[Mois lib (calc)],"&lt;="&amp;$E845)))</f>
        <v/>
      </c>
      <c r="Q845" s="14" t="str">
        <f aca="false">IF($D845&lt;&gt;1,"",IF($G845="ROKS",SUMIFS(TblApplications[Besoin ROKS RAM (Go)],TblApplications[Cluster ROKS cible],$F845,TblApplications[Action],"À migrer",TblApplications[Déjà incluse ROKS],"Non",TblApplications[Mois prov (calc)],"&lt;="&amp;$E845),SUMIFS(TblApplications[RAM IKS libérable (Go)],TblApplications[Cluster IKS source],$F845,TblApplications[Mois lib (calc)],"&lt;="&amp;$E845)))</f>
        <v/>
      </c>
      <c r="R845" s="14" t="str">
        <f aca="false">IF($D845&lt;&gt;1,"",IF($G845="ROKS",$L845+$P845,IF($AI845=1,0,MAX($N845,$L845-$P845))))</f>
        <v/>
      </c>
      <c r="S845" s="14" t="str">
        <f aca="false">IF($D845&lt;&gt;1,"",IF($G845="ROKS",$M845+$Q845,IF($AI845=1,0,MAX($O845,$M845-$Q845))))</f>
        <v/>
      </c>
      <c r="T845" s="14" t="str">
        <f aca="false">IF($D845&lt;&gt;1,"",IF($AI845=1,0,MAX($J845,ROUNDUP(MAX($R845/$H845,$S845/$I845),0))))</f>
        <v/>
      </c>
      <c r="U845" s="14" t="str">
        <f aca="false">IF($D845&lt;&gt;1,"",IF(p_mode="Nœud",$T845*$H845,$R845))</f>
        <v/>
      </c>
      <c r="V845" s="14" t="str">
        <f aca="false">IF($D845&lt;&gt;1,"",IF(p_mode="Nœud",$T845*$I845,$S845))</f>
        <v/>
      </c>
      <c r="W845" s="84" t="str">
        <f aca="false">IF($D845&lt;&gt;1,"",IF(p_mode="Nœud",$T845*$K845,$R845*IF($G845="IKS",p_iks_cpu,p_roks_cpu)+$S845*IF($G845="IKS",p_iks_ram,p_roks_ram))*p_facteur)</f>
        <v/>
      </c>
      <c r="X845" s="14" t="str">
        <f aca="false">IF($D845&lt;&gt;1,"",IF($G845="ROKS",$R845,IF($AI845=1,0,MAX($N845,$L845-SUMIFS(TblApplications[CPU IKS libérable (vCPU)],TblApplications[Cluster IKS source],$F845,TblApplications[Action],"À migrer",TblApplications[Mois prov (calc)],"&lt;="&amp;$E845)-SUMIFS(TblApplications[CPU IKS libérable (vCPU)],TblApplications[Cluster IKS source],$F845,TblApplications[Action],"À décommissionner",TblApplications[Mois lib (calc)],"&lt;="&amp;$E845)))))</f>
        <v/>
      </c>
      <c r="Y845" s="14" t="str">
        <f aca="false">IF($D845&lt;&gt;1,"",IF($G845="ROKS",$S845,IF($AI845=1,0,MAX($O845,$M845-SUMIFS(TblApplications[RAM IKS libérable (Go)],TblApplications[Cluster IKS source],$F845,TblApplications[Action],"À migrer",TblApplications[Mois prov (calc)],"&lt;="&amp;$E845)-SUMIFS(TblApplications[RAM IKS libérable (Go)],TblApplications[Cluster IKS source],$F845,TblApplications[Action],"À décommissionner",TblApplications[Mois lib (calc)],"&lt;="&amp;$E845)))))</f>
        <v/>
      </c>
      <c r="Z845" s="14" t="str">
        <f aca="false">IF($D845&lt;&gt;1,"",IF($AI845=1,0,MAX($J845,ROUNDUP(MAX($X845/$H845,$Y845/$I845),0))))</f>
        <v/>
      </c>
      <c r="AA845" s="84" t="str">
        <f aca="false">IF($D845&lt;&gt;1,"",IF(p_mode="Nœud",$Z845*$K845,$X845*IF($G845="IKS",p_iks_cpu,p_roks_cpu)+$Y845*IF($G845="IKS",p_iks_ram,p_roks_ram))*p_facteur)</f>
        <v/>
      </c>
      <c r="AB845" s="14" t="str">
        <f aca="false">IF($D845&lt;&gt;1,"",MAX($J845,ROUNDUP(MAX($L845/$H845,$M845/$I845),0)))</f>
        <v/>
      </c>
      <c r="AC845" s="84" t="str">
        <f aca="false">IF($D845&lt;&gt;1,"",IF(p_mode="Nœud",$AB845*$K845,$L845*IF($G845="IKS",p_iks_cpu,p_roks_cpu)+$M845*IF($G845="IKS",p_iks_ram,p_roks_ram))*p_facteur)</f>
        <v/>
      </c>
      <c r="AD845" s="14" t="str">
        <f aca="false">IF($D845&lt;&gt;1,"",IF(AND($G845="IKS",$AI845&lt;&gt;1,OR($L845-$P845&lt;$N845,$M845-$Q845&lt;$O845)),1,0))</f>
        <v/>
      </c>
      <c r="AE845" s="14" t="str">
        <f aca="false">IF($D845&lt;&gt;1,"",IF(AND($G845="ROKS",$T845&gt;p_maxworkers),1,0))</f>
        <v/>
      </c>
      <c r="AF845" s="14" t="str">
        <f aca="false">IF($D845&lt;&gt;1,"",IF(INDEX(TblClusters[Environnement],$B845)="","(vide)",INDEX(TblClusters[Environnement],$B845)))</f>
        <v/>
      </c>
      <c r="AG845" s="14" t="str">
        <f aca="false">IF($D845&lt;&gt;1,"",$R845+p_poidsram*$S845)</f>
        <v/>
      </c>
      <c r="AH845" s="14" t="str">
        <f aca="false">IF($D845&lt;&gt;1,"",IFERROR($W845/$AG845,0))</f>
        <v/>
      </c>
      <c r="AI845" s="14" t="str">
        <f aca="false">IF($D845&lt;&gt;1,"",IF(AND($G845="IKS",ISNUMBER(INDEX(TblClusters[Fermeture retenue],$B845))),IF($E845&gt;=INDEX(TblClusters[Fermeture retenue],$B845),1,0),0))</f>
        <v/>
      </c>
    </row>
    <row r="846" customFormat="false" ht="15" hidden="false" customHeight="false" outlineLevel="0" collapsed="false">
      <c r="A846" s="14" t="n">
        <v>841</v>
      </c>
      <c r="B846" s="14" t="n">
        <f aca="false">INT(($A846-1)/36)+1</f>
        <v>24</v>
      </c>
      <c r="C846" s="14" t="n">
        <f aca="false">MOD($A846-1,36)+1</f>
        <v>13</v>
      </c>
      <c r="D846" s="14" t="n">
        <f aca="false">IF($C846&gt;p_horizon,0,IFERROR(IF(AND(INDEX(TblClusters[Cluster],$B846)&lt;&gt;"",ISNUMBER(INDEX(TblClusters[CPU initial (vCPU)],$B846)),ISNUMBER(INDEX(TblClusters[CPU min (vCPU)],$B846)),OR(INDEX(TblClusters[Plateforme],$B846)="IKS",INDEX(TblClusters[Plateforme],$B846)="ROKS")),1,0),0))</f>
        <v>0</v>
      </c>
      <c r="E846" s="83" t="str">
        <f aca="false">IF($D846=1,EDATE(p_debut,$C846-1),"")</f>
        <v/>
      </c>
      <c r="F846" s="14" t="str">
        <f aca="false">IF($D846=1,INDEX(TblClusters[Cluster],$B846),"")</f>
        <v/>
      </c>
      <c r="G846" s="14" t="str">
        <f aca="false">IF($D846=1,INDEX(TblClusters[Plateforme],$B846),"")</f>
        <v/>
      </c>
      <c r="H846" s="14" t="str">
        <f aca="false">IF($D846=1,INDEX(TblClusters[vCPU par nœud],$B846),"")</f>
        <v/>
      </c>
      <c r="I846" s="14" t="str">
        <f aca="false">IF($D846=1,INDEX(TblClusters[RAM par nœud (Go)],$B846),"")</f>
        <v/>
      </c>
      <c r="J846" s="14" t="str">
        <f aca="false">IF($D846=1,INDEX(TblClusters[Workers min],$B846),"")</f>
        <v/>
      </c>
      <c r="K846" s="84" t="str">
        <f aca="false">IF($D846=1,INDEX(TblClusters[Tarif par nœud],$B846),"")</f>
        <v/>
      </c>
      <c r="L846" s="14" t="str">
        <f aca="false">IF($D846=1,INDEX(TblClusters[CPU initial (vCPU)],$B846),"")</f>
        <v/>
      </c>
      <c r="M846" s="14" t="str">
        <f aca="false">IF($D846=1,INDEX(TblClusters[RAM initiale (Go)],$B846),"")</f>
        <v/>
      </c>
      <c r="N846" s="14" t="str">
        <f aca="false">IF($D846=1,INDEX(TblClusters[CPU min (vCPU)],$B846),"")</f>
        <v/>
      </c>
      <c r="O846" s="14" t="str">
        <f aca="false">IF($D846=1,INDEX(TblClusters[RAM min (Go)],$B846),"")</f>
        <v/>
      </c>
      <c r="P846" s="14" t="str">
        <f aca="false">IF($D846&lt;&gt;1,"",IF($G846="ROKS",SUMIFS(TblApplications[Besoin ROKS CPU (vCPU)],TblApplications[Cluster ROKS cible],$F846,TblApplications[Action],"À migrer",TblApplications[Déjà incluse ROKS],"Non",TblApplications[Mois prov (calc)],"&lt;="&amp;$E846),SUMIFS(TblApplications[CPU IKS libérable (vCPU)],TblApplications[Cluster IKS source],$F846,TblApplications[Mois lib (calc)],"&lt;="&amp;$E846)))</f>
        <v/>
      </c>
      <c r="Q846" s="14" t="str">
        <f aca="false">IF($D846&lt;&gt;1,"",IF($G846="ROKS",SUMIFS(TblApplications[Besoin ROKS RAM (Go)],TblApplications[Cluster ROKS cible],$F846,TblApplications[Action],"À migrer",TblApplications[Déjà incluse ROKS],"Non",TblApplications[Mois prov (calc)],"&lt;="&amp;$E846),SUMIFS(TblApplications[RAM IKS libérable (Go)],TblApplications[Cluster IKS source],$F846,TblApplications[Mois lib (calc)],"&lt;="&amp;$E846)))</f>
        <v/>
      </c>
      <c r="R846" s="14" t="str">
        <f aca="false">IF($D846&lt;&gt;1,"",IF($G846="ROKS",$L846+$P846,IF($AI846=1,0,MAX($N846,$L846-$P846))))</f>
        <v/>
      </c>
      <c r="S846" s="14" t="str">
        <f aca="false">IF($D846&lt;&gt;1,"",IF($G846="ROKS",$M846+$Q846,IF($AI846=1,0,MAX($O846,$M846-$Q846))))</f>
        <v/>
      </c>
      <c r="T846" s="14" t="str">
        <f aca="false">IF($D846&lt;&gt;1,"",IF($AI846=1,0,MAX($J846,ROUNDUP(MAX($R846/$H846,$S846/$I846),0))))</f>
        <v/>
      </c>
      <c r="U846" s="14" t="str">
        <f aca="false">IF($D846&lt;&gt;1,"",IF(p_mode="Nœud",$T846*$H846,$R846))</f>
        <v/>
      </c>
      <c r="V846" s="14" t="str">
        <f aca="false">IF($D846&lt;&gt;1,"",IF(p_mode="Nœud",$T846*$I846,$S846))</f>
        <v/>
      </c>
      <c r="W846" s="84" t="str">
        <f aca="false">IF($D846&lt;&gt;1,"",IF(p_mode="Nœud",$T846*$K846,$R846*IF($G846="IKS",p_iks_cpu,p_roks_cpu)+$S846*IF($G846="IKS",p_iks_ram,p_roks_ram))*p_facteur)</f>
        <v/>
      </c>
      <c r="X846" s="14" t="str">
        <f aca="false">IF($D846&lt;&gt;1,"",IF($G846="ROKS",$R846,IF($AI846=1,0,MAX($N846,$L846-SUMIFS(TblApplications[CPU IKS libérable (vCPU)],TblApplications[Cluster IKS source],$F846,TblApplications[Action],"À migrer",TblApplications[Mois prov (calc)],"&lt;="&amp;$E846)-SUMIFS(TblApplications[CPU IKS libérable (vCPU)],TblApplications[Cluster IKS source],$F846,TblApplications[Action],"À décommissionner",TblApplications[Mois lib (calc)],"&lt;="&amp;$E846)))))</f>
        <v/>
      </c>
      <c r="Y846" s="14" t="str">
        <f aca="false">IF($D846&lt;&gt;1,"",IF($G846="ROKS",$S846,IF($AI846=1,0,MAX($O846,$M846-SUMIFS(TblApplications[RAM IKS libérable (Go)],TblApplications[Cluster IKS source],$F846,TblApplications[Action],"À migrer",TblApplications[Mois prov (calc)],"&lt;="&amp;$E846)-SUMIFS(TblApplications[RAM IKS libérable (Go)],TblApplications[Cluster IKS source],$F846,TblApplications[Action],"À décommissionner",TblApplications[Mois lib (calc)],"&lt;="&amp;$E846)))))</f>
        <v/>
      </c>
      <c r="Z846" s="14" t="str">
        <f aca="false">IF($D846&lt;&gt;1,"",IF($AI846=1,0,MAX($J846,ROUNDUP(MAX($X846/$H846,$Y846/$I846),0))))</f>
        <v/>
      </c>
      <c r="AA846" s="84" t="str">
        <f aca="false">IF($D846&lt;&gt;1,"",IF(p_mode="Nœud",$Z846*$K846,$X846*IF($G846="IKS",p_iks_cpu,p_roks_cpu)+$Y846*IF($G846="IKS",p_iks_ram,p_roks_ram))*p_facteur)</f>
        <v/>
      </c>
      <c r="AB846" s="14" t="str">
        <f aca="false">IF($D846&lt;&gt;1,"",MAX($J846,ROUNDUP(MAX($L846/$H846,$M846/$I846),0)))</f>
        <v/>
      </c>
      <c r="AC846" s="84" t="str">
        <f aca="false">IF($D846&lt;&gt;1,"",IF(p_mode="Nœud",$AB846*$K846,$L846*IF($G846="IKS",p_iks_cpu,p_roks_cpu)+$M846*IF($G846="IKS",p_iks_ram,p_roks_ram))*p_facteur)</f>
        <v/>
      </c>
      <c r="AD846" s="14" t="str">
        <f aca="false">IF($D846&lt;&gt;1,"",IF(AND($G846="IKS",$AI846&lt;&gt;1,OR($L846-$P846&lt;$N846,$M846-$Q846&lt;$O846)),1,0))</f>
        <v/>
      </c>
      <c r="AE846" s="14" t="str">
        <f aca="false">IF($D846&lt;&gt;1,"",IF(AND($G846="ROKS",$T846&gt;p_maxworkers),1,0))</f>
        <v/>
      </c>
      <c r="AF846" s="14" t="str">
        <f aca="false">IF($D846&lt;&gt;1,"",IF(INDEX(TblClusters[Environnement],$B846)="","(vide)",INDEX(TblClusters[Environnement],$B846)))</f>
        <v/>
      </c>
      <c r="AG846" s="14" t="str">
        <f aca="false">IF($D846&lt;&gt;1,"",$R846+p_poidsram*$S846)</f>
        <v/>
      </c>
      <c r="AH846" s="14" t="str">
        <f aca="false">IF($D846&lt;&gt;1,"",IFERROR($W846/$AG846,0))</f>
        <v/>
      </c>
      <c r="AI846" s="14" t="str">
        <f aca="false">IF($D846&lt;&gt;1,"",IF(AND($G846="IKS",ISNUMBER(INDEX(TblClusters[Fermeture retenue],$B846))),IF($E846&gt;=INDEX(TblClusters[Fermeture retenue],$B846),1,0),0))</f>
        <v/>
      </c>
    </row>
    <row r="847" customFormat="false" ht="15" hidden="false" customHeight="false" outlineLevel="0" collapsed="false">
      <c r="A847" s="14" t="n">
        <v>842</v>
      </c>
      <c r="B847" s="14" t="n">
        <f aca="false">INT(($A847-1)/36)+1</f>
        <v>24</v>
      </c>
      <c r="C847" s="14" t="n">
        <f aca="false">MOD($A847-1,36)+1</f>
        <v>14</v>
      </c>
      <c r="D847" s="14" t="n">
        <f aca="false">IF($C847&gt;p_horizon,0,IFERROR(IF(AND(INDEX(TblClusters[Cluster],$B847)&lt;&gt;"",ISNUMBER(INDEX(TblClusters[CPU initial (vCPU)],$B847)),ISNUMBER(INDEX(TblClusters[CPU min (vCPU)],$B847)),OR(INDEX(TblClusters[Plateforme],$B847)="IKS",INDEX(TblClusters[Plateforme],$B847)="ROKS")),1,0),0))</f>
        <v>0</v>
      </c>
      <c r="E847" s="83" t="str">
        <f aca="false">IF($D847=1,EDATE(p_debut,$C847-1),"")</f>
        <v/>
      </c>
      <c r="F847" s="14" t="str">
        <f aca="false">IF($D847=1,INDEX(TblClusters[Cluster],$B847),"")</f>
        <v/>
      </c>
      <c r="G847" s="14" t="str">
        <f aca="false">IF($D847=1,INDEX(TblClusters[Plateforme],$B847),"")</f>
        <v/>
      </c>
      <c r="H847" s="14" t="str">
        <f aca="false">IF($D847=1,INDEX(TblClusters[vCPU par nœud],$B847),"")</f>
        <v/>
      </c>
      <c r="I847" s="14" t="str">
        <f aca="false">IF($D847=1,INDEX(TblClusters[RAM par nœud (Go)],$B847),"")</f>
        <v/>
      </c>
      <c r="J847" s="14" t="str">
        <f aca="false">IF($D847=1,INDEX(TblClusters[Workers min],$B847),"")</f>
        <v/>
      </c>
      <c r="K847" s="84" t="str">
        <f aca="false">IF($D847=1,INDEX(TblClusters[Tarif par nœud],$B847),"")</f>
        <v/>
      </c>
      <c r="L847" s="14" t="str">
        <f aca="false">IF($D847=1,INDEX(TblClusters[CPU initial (vCPU)],$B847),"")</f>
        <v/>
      </c>
      <c r="M847" s="14" t="str">
        <f aca="false">IF($D847=1,INDEX(TblClusters[RAM initiale (Go)],$B847),"")</f>
        <v/>
      </c>
      <c r="N847" s="14" t="str">
        <f aca="false">IF($D847=1,INDEX(TblClusters[CPU min (vCPU)],$B847),"")</f>
        <v/>
      </c>
      <c r="O847" s="14" t="str">
        <f aca="false">IF($D847=1,INDEX(TblClusters[RAM min (Go)],$B847),"")</f>
        <v/>
      </c>
      <c r="P847" s="14" t="str">
        <f aca="false">IF($D847&lt;&gt;1,"",IF($G847="ROKS",SUMIFS(TblApplications[Besoin ROKS CPU (vCPU)],TblApplications[Cluster ROKS cible],$F847,TblApplications[Action],"À migrer",TblApplications[Déjà incluse ROKS],"Non",TblApplications[Mois prov (calc)],"&lt;="&amp;$E847),SUMIFS(TblApplications[CPU IKS libérable (vCPU)],TblApplications[Cluster IKS source],$F847,TblApplications[Mois lib (calc)],"&lt;="&amp;$E847)))</f>
        <v/>
      </c>
      <c r="Q847" s="14" t="str">
        <f aca="false">IF($D847&lt;&gt;1,"",IF($G847="ROKS",SUMIFS(TblApplications[Besoin ROKS RAM (Go)],TblApplications[Cluster ROKS cible],$F847,TblApplications[Action],"À migrer",TblApplications[Déjà incluse ROKS],"Non",TblApplications[Mois prov (calc)],"&lt;="&amp;$E847),SUMIFS(TblApplications[RAM IKS libérable (Go)],TblApplications[Cluster IKS source],$F847,TblApplications[Mois lib (calc)],"&lt;="&amp;$E847)))</f>
        <v/>
      </c>
      <c r="R847" s="14" t="str">
        <f aca="false">IF($D847&lt;&gt;1,"",IF($G847="ROKS",$L847+$P847,IF($AI847=1,0,MAX($N847,$L847-$P847))))</f>
        <v/>
      </c>
      <c r="S847" s="14" t="str">
        <f aca="false">IF($D847&lt;&gt;1,"",IF($G847="ROKS",$M847+$Q847,IF($AI847=1,0,MAX($O847,$M847-$Q847))))</f>
        <v/>
      </c>
      <c r="T847" s="14" t="str">
        <f aca="false">IF($D847&lt;&gt;1,"",IF($AI847=1,0,MAX($J847,ROUNDUP(MAX($R847/$H847,$S847/$I847),0))))</f>
        <v/>
      </c>
      <c r="U847" s="14" t="str">
        <f aca="false">IF($D847&lt;&gt;1,"",IF(p_mode="Nœud",$T847*$H847,$R847))</f>
        <v/>
      </c>
      <c r="V847" s="14" t="str">
        <f aca="false">IF($D847&lt;&gt;1,"",IF(p_mode="Nœud",$T847*$I847,$S847))</f>
        <v/>
      </c>
      <c r="W847" s="84" t="str">
        <f aca="false">IF($D847&lt;&gt;1,"",IF(p_mode="Nœud",$T847*$K847,$R847*IF($G847="IKS",p_iks_cpu,p_roks_cpu)+$S847*IF($G847="IKS",p_iks_ram,p_roks_ram))*p_facteur)</f>
        <v/>
      </c>
      <c r="X847" s="14" t="str">
        <f aca="false">IF($D847&lt;&gt;1,"",IF($G847="ROKS",$R847,IF($AI847=1,0,MAX($N847,$L847-SUMIFS(TblApplications[CPU IKS libérable (vCPU)],TblApplications[Cluster IKS source],$F847,TblApplications[Action],"À migrer",TblApplications[Mois prov (calc)],"&lt;="&amp;$E847)-SUMIFS(TblApplications[CPU IKS libérable (vCPU)],TblApplications[Cluster IKS source],$F847,TblApplications[Action],"À décommissionner",TblApplications[Mois lib (calc)],"&lt;="&amp;$E847)))))</f>
        <v/>
      </c>
      <c r="Y847" s="14" t="str">
        <f aca="false">IF($D847&lt;&gt;1,"",IF($G847="ROKS",$S847,IF($AI847=1,0,MAX($O847,$M847-SUMIFS(TblApplications[RAM IKS libérable (Go)],TblApplications[Cluster IKS source],$F847,TblApplications[Action],"À migrer",TblApplications[Mois prov (calc)],"&lt;="&amp;$E847)-SUMIFS(TblApplications[RAM IKS libérable (Go)],TblApplications[Cluster IKS source],$F847,TblApplications[Action],"À décommissionner",TblApplications[Mois lib (calc)],"&lt;="&amp;$E847)))))</f>
        <v/>
      </c>
      <c r="Z847" s="14" t="str">
        <f aca="false">IF($D847&lt;&gt;1,"",IF($AI847=1,0,MAX($J847,ROUNDUP(MAX($X847/$H847,$Y847/$I847),0))))</f>
        <v/>
      </c>
      <c r="AA847" s="84" t="str">
        <f aca="false">IF($D847&lt;&gt;1,"",IF(p_mode="Nœud",$Z847*$K847,$X847*IF($G847="IKS",p_iks_cpu,p_roks_cpu)+$Y847*IF($G847="IKS",p_iks_ram,p_roks_ram))*p_facteur)</f>
        <v/>
      </c>
      <c r="AB847" s="14" t="str">
        <f aca="false">IF($D847&lt;&gt;1,"",MAX($J847,ROUNDUP(MAX($L847/$H847,$M847/$I847),0)))</f>
        <v/>
      </c>
      <c r="AC847" s="84" t="str">
        <f aca="false">IF($D847&lt;&gt;1,"",IF(p_mode="Nœud",$AB847*$K847,$L847*IF($G847="IKS",p_iks_cpu,p_roks_cpu)+$M847*IF($G847="IKS",p_iks_ram,p_roks_ram))*p_facteur)</f>
        <v/>
      </c>
      <c r="AD847" s="14" t="str">
        <f aca="false">IF($D847&lt;&gt;1,"",IF(AND($G847="IKS",$AI847&lt;&gt;1,OR($L847-$P847&lt;$N847,$M847-$Q847&lt;$O847)),1,0))</f>
        <v/>
      </c>
      <c r="AE847" s="14" t="str">
        <f aca="false">IF($D847&lt;&gt;1,"",IF(AND($G847="ROKS",$T847&gt;p_maxworkers),1,0))</f>
        <v/>
      </c>
      <c r="AF847" s="14" t="str">
        <f aca="false">IF($D847&lt;&gt;1,"",IF(INDEX(TblClusters[Environnement],$B847)="","(vide)",INDEX(TblClusters[Environnement],$B847)))</f>
        <v/>
      </c>
      <c r="AG847" s="14" t="str">
        <f aca="false">IF($D847&lt;&gt;1,"",$R847+p_poidsram*$S847)</f>
        <v/>
      </c>
      <c r="AH847" s="14" t="str">
        <f aca="false">IF($D847&lt;&gt;1,"",IFERROR($W847/$AG847,0))</f>
        <v/>
      </c>
      <c r="AI847" s="14" t="str">
        <f aca="false">IF($D847&lt;&gt;1,"",IF(AND($G847="IKS",ISNUMBER(INDEX(TblClusters[Fermeture retenue],$B847))),IF($E847&gt;=INDEX(TblClusters[Fermeture retenue],$B847),1,0),0))</f>
        <v/>
      </c>
    </row>
    <row r="848" customFormat="false" ht="15" hidden="false" customHeight="false" outlineLevel="0" collapsed="false">
      <c r="A848" s="14" t="n">
        <v>843</v>
      </c>
      <c r="B848" s="14" t="n">
        <f aca="false">INT(($A848-1)/36)+1</f>
        <v>24</v>
      </c>
      <c r="C848" s="14" t="n">
        <f aca="false">MOD($A848-1,36)+1</f>
        <v>15</v>
      </c>
      <c r="D848" s="14" t="n">
        <f aca="false">IF($C848&gt;p_horizon,0,IFERROR(IF(AND(INDEX(TblClusters[Cluster],$B848)&lt;&gt;"",ISNUMBER(INDEX(TblClusters[CPU initial (vCPU)],$B848)),ISNUMBER(INDEX(TblClusters[CPU min (vCPU)],$B848)),OR(INDEX(TblClusters[Plateforme],$B848)="IKS",INDEX(TblClusters[Plateforme],$B848)="ROKS")),1,0),0))</f>
        <v>0</v>
      </c>
      <c r="E848" s="83" t="str">
        <f aca="false">IF($D848=1,EDATE(p_debut,$C848-1),"")</f>
        <v/>
      </c>
      <c r="F848" s="14" t="str">
        <f aca="false">IF($D848=1,INDEX(TblClusters[Cluster],$B848),"")</f>
        <v/>
      </c>
      <c r="G848" s="14" t="str">
        <f aca="false">IF($D848=1,INDEX(TblClusters[Plateforme],$B848),"")</f>
        <v/>
      </c>
      <c r="H848" s="14" t="str">
        <f aca="false">IF($D848=1,INDEX(TblClusters[vCPU par nœud],$B848),"")</f>
        <v/>
      </c>
      <c r="I848" s="14" t="str">
        <f aca="false">IF($D848=1,INDEX(TblClusters[RAM par nœud (Go)],$B848),"")</f>
        <v/>
      </c>
      <c r="J848" s="14" t="str">
        <f aca="false">IF($D848=1,INDEX(TblClusters[Workers min],$B848),"")</f>
        <v/>
      </c>
      <c r="K848" s="84" t="str">
        <f aca="false">IF($D848=1,INDEX(TblClusters[Tarif par nœud],$B848),"")</f>
        <v/>
      </c>
      <c r="L848" s="14" t="str">
        <f aca="false">IF($D848=1,INDEX(TblClusters[CPU initial (vCPU)],$B848),"")</f>
        <v/>
      </c>
      <c r="M848" s="14" t="str">
        <f aca="false">IF($D848=1,INDEX(TblClusters[RAM initiale (Go)],$B848),"")</f>
        <v/>
      </c>
      <c r="N848" s="14" t="str">
        <f aca="false">IF($D848=1,INDEX(TblClusters[CPU min (vCPU)],$B848),"")</f>
        <v/>
      </c>
      <c r="O848" s="14" t="str">
        <f aca="false">IF($D848=1,INDEX(TblClusters[RAM min (Go)],$B848),"")</f>
        <v/>
      </c>
      <c r="P848" s="14" t="str">
        <f aca="false">IF($D848&lt;&gt;1,"",IF($G848="ROKS",SUMIFS(TblApplications[Besoin ROKS CPU (vCPU)],TblApplications[Cluster ROKS cible],$F848,TblApplications[Action],"À migrer",TblApplications[Déjà incluse ROKS],"Non",TblApplications[Mois prov (calc)],"&lt;="&amp;$E848),SUMIFS(TblApplications[CPU IKS libérable (vCPU)],TblApplications[Cluster IKS source],$F848,TblApplications[Mois lib (calc)],"&lt;="&amp;$E848)))</f>
        <v/>
      </c>
      <c r="Q848" s="14" t="str">
        <f aca="false">IF($D848&lt;&gt;1,"",IF($G848="ROKS",SUMIFS(TblApplications[Besoin ROKS RAM (Go)],TblApplications[Cluster ROKS cible],$F848,TblApplications[Action],"À migrer",TblApplications[Déjà incluse ROKS],"Non",TblApplications[Mois prov (calc)],"&lt;="&amp;$E848),SUMIFS(TblApplications[RAM IKS libérable (Go)],TblApplications[Cluster IKS source],$F848,TblApplications[Mois lib (calc)],"&lt;="&amp;$E848)))</f>
        <v/>
      </c>
      <c r="R848" s="14" t="str">
        <f aca="false">IF($D848&lt;&gt;1,"",IF($G848="ROKS",$L848+$P848,IF($AI848=1,0,MAX($N848,$L848-$P848))))</f>
        <v/>
      </c>
      <c r="S848" s="14" t="str">
        <f aca="false">IF($D848&lt;&gt;1,"",IF($G848="ROKS",$M848+$Q848,IF($AI848=1,0,MAX($O848,$M848-$Q848))))</f>
        <v/>
      </c>
      <c r="T848" s="14" t="str">
        <f aca="false">IF($D848&lt;&gt;1,"",IF($AI848=1,0,MAX($J848,ROUNDUP(MAX($R848/$H848,$S848/$I848),0))))</f>
        <v/>
      </c>
      <c r="U848" s="14" t="str">
        <f aca="false">IF($D848&lt;&gt;1,"",IF(p_mode="Nœud",$T848*$H848,$R848))</f>
        <v/>
      </c>
      <c r="V848" s="14" t="str">
        <f aca="false">IF($D848&lt;&gt;1,"",IF(p_mode="Nœud",$T848*$I848,$S848))</f>
        <v/>
      </c>
      <c r="W848" s="84" t="str">
        <f aca="false">IF($D848&lt;&gt;1,"",IF(p_mode="Nœud",$T848*$K848,$R848*IF($G848="IKS",p_iks_cpu,p_roks_cpu)+$S848*IF($G848="IKS",p_iks_ram,p_roks_ram))*p_facteur)</f>
        <v/>
      </c>
      <c r="X848" s="14" t="str">
        <f aca="false">IF($D848&lt;&gt;1,"",IF($G848="ROKS",$R848,IF($AI848=1,0,MAX($N848,$L848-SUMIFS(TblApplications[CPU IKS libérable (vCPU)],TblApplications[Cluster IKS source],$F848,TblApplications[Action],"À migrer",TblApplications[Mois prov (calc)],"&lt;="&amp;$E848)-SUMIFS(TblApplications[CPU IKS libérable (vCPU)],TblApplications[Cluster IKS source],$F848,TblApplications[Action],"À décommissionner",TblApplications[Mois lib (calc)],"&lt;="&amp;$E848)))))</f>
        <v/>
      </c>
      <c r="Y848" s="14" t="str">
        <f aca="false">IF($D848&lt;&gt;1,"",IF($G848="ROKS",$S848,IF($AI848=1,0,MAX($O848,$M848-SUMIFS(TblApplications[RAM IKS libérable (Go)],TblApplications[Cluster IKS source],$F848,TblApplications[Action],"À migrer",TblApplications[Mois prov (calc)],"&lt;="&amp;$E848)-SUMIFS(TblApplications[RAM IKS libérable (Go)],TblApplications[Cluster IKS source],$F848,TblApplications[Action],"À décommissionner",TblApplications[Mois lib (calc)],"&lt;="&amp;$E848)))))</f>
        <v/>
      </c>
      <c r="Z848" s="14" t="str">
        <f aca="false">IF($D848&lt;&gt;1,"",IF($AI848=1,0,MAX($J848,ROUNDUP(MAX($X848/$H848,$Y848/$I848),0))))</f>
        <v/>
      </c>
      <c r="AA848" s="84" t="str">
        <f aca="false">IF($D848&lt;&gt;1,"",IF(p_mode="Nœud",$Z848*$K848,$X848*IF($G848="IKS",p_iks_cpu,p_roks_cpu)+$Y848*IF($G848="IKS",p_iks_ram,p_roks_ram))*p_facteur)</f>
        <v/>
      </c>
      <c r="AB848" s="14" t="str">
        <f aca="false">IF($D848&lt;&gt;1,"",MAX($J848,ROUNDUP(MAX($L848/$H848,$M848/$I848),0)))</f>
        <v/>
      </c>
      <c r="AC848" s="84" t="str">
        <f aca="false">IF($D848&lt;&gt;1,"",IF(p_mode="Nœud",$AB848*$K848,$L848*IF($G848="IKS",p_iks_cpu,p_roks_cpu)+$M848*IF($G848="IKS",p_iks_ram,p_roks_ram))*p_facteur)</f>
        <v/>
      </c>
      <c r="AD848" s="14" t="str">
        <f aca="false">IF($D848&lt;&gt;1,"",IF(AND($G848="IKS",$AI848&lt;&gt;1,OR($L848-$P848&lt;$N848,$M848-$Q848&lt;$O848)),1,0))</f>
        <v/>
      </c>
      <c r="AE848" s="14" t="str">
        <f aca="false">IF($D848&lt;&gt;1,"",IF(AND($G848="ROKS",$T848&gt;p_maxworkers),1,0))</f>
        <v/>
      </c>
      <c r="AF848" s="14" t="str">
        <f aca="false">IF($D848&lt;&gt;1,"",IF(INDEX(TblClusters[Environnement],$B848)="","(vide)",INDEX(TblClusters[Environnement],$B848)))</f>
        <v/>
      </c>
      <c r="AG848" s="14" t="str">
        <f aca="false">IF($D848&lt;&gt;1,"",$R848+p_poidsram*$S848)</f>
        <v/>
      </c>
      <c r="AH848" s="14" t="str">
        <f aca="false">IF($D848&lt;&gt;1,"",IFERROR($W848/$AG848,0))</f>
        <v/>
      </c>
      <c r="AI848" s="14" t="str">
        <f aca="false">IF($D848&lt;&gt;1,"",IF(AND($G848="IKS",ISNUMBER(INDEX(TblClusters[Fermeture retenue],$B848))),IF($E848&gt;=INDEX(TblClusters[Fermeture retenue],$B848),1,0),0))</f>
        <v/>
      </c>
    </row>
    <row r="849" customFormat="false" ht="15" hidden="false" customHeight="false" outlineLevel="0" collapsed="false">
      <c r="A849" s="14" t="n">
        <v>844</v>
      </c>
      <c r="B849" s="14" t="n">
        <f aca="false">INT(($A849-1)/36)+1</f>
        <v>24</v>
      </c>
      <c r="C849" s="14" t="n">
        <f aca="false">MOD($A849-1,36)+1</f>
        <v>16</v>
      </c>
      <c r="D849" s="14" t="n">
        <f aca="false">IF($C849&gt;p_horizon,0,IFERROR(IF(AND(INDEX(TblClusters[Cluster],$B849)&lt;&gt;"",ISNUMBER(INDEX(TblClusters[CPU initial (vCPU)],$B849)),ISNUMBER(INDEX(TblClusters[CPU min (vCPU)],$B849)),OR(INDEX(TblClusters[Plateforme],$B849)="IKS",INDEX(TblClusters[Plateforme],$B849)="ROKS")),1,0),0))</f>
        <v>0</v>
      </c>
      <c r="E849" s="83" t="str">
        <f aca="false">IF($D849=1,EDATE(p_debut,$C849-1),"")</f>
        <v/>
      </c>
      <c r="F849" s="14" t="str">
        <f aca="false">IF($D849=1,INDEX(TblClusters[Cluster],$B849),"")</f>
        <v/>
      </c>
      <c r="G849" s="14" t="str">
        <f aca="false">IF($D849=1,INDEX(TblClusters[Plateforme],$B849),"")</f>
        <v/>
      </c>
      <c r="H849" s="14" t="str">
        <f aca="false">IF($D849=1,INDEX(TblClusters[vCPU par nœud],$B849),"")</f>
        <v/>
      </c>
      <c r="I849" s="14" t="str">
        <f aca="false">IF($D849=1,INDEX(TblClusters[RAM par nœud (Go)],$B849),"")</f>
        <v/>
      </c>
      <c r="J849" s="14" t="str">
        <f aca="false">IF($D849=1,INDEX(TblClusters[Workers min],$B849),"")</f>
        <v/>
      </c>
      <c r="K849" s="84" t="str">
        <f aca="false">IF($D849=1,INDEX(TblClusters[Tarif par nœud],$B849),"")</f>
        <v/>
      </c>
      <c r="L849" s="14" t="str">
        <f aca="false">IF($D849=1,INDEX(TblClusters[CPU initial (vCPU)],$B849),"")</f>
        <v/>
      </c>
      <c r="M849" s="14" t="str">
        <f aca="false">IF($D849=1,INDEX(TblClusters[RAM initiale (Go)],$B849),"")</f>
        <v/>
      </c>
      <c r="N849" s="14" t="str">
        <f aca="false">IF($D849=1,INDEX(TblClusters[CPU min (vCPU)],$B849),"")</f>
        <v/>
      </c>
      <c r="O849" s="14" t="str">
        <f aca="false">IF($D849=1,INDEX(TblClusters[RAM min (Go)],$B849),"")</f>
        <v/>
      </c>
      <c r="P849" s="14" t="str">
        <f aca="false">IF($D849&lt;&gt;1,"",IF($G849="ROKS",SUMIFS(TblApplications[Besoin ROKS CPU (vCPU)],TblApplications[Cluster ROKS cible],$F849,TblApplications[Action],"À migrer",TblApplications[Déjà incluse ROKS],"Non",TblApplications[Mois prov (calc)],"&lt;="&amp;$E849),SUMIFS(TblApplications[CPU IKS libérable (vCPU)],TblApplications[Cluster IKS source],$F849,TblApplications[Mois lib (calc)],"&lt;="&amp;$E849)))</f>
        <v/>
      </c>
      <c r="Q849" s="14" t="str">
        <f aca="false">IF($D849&lt;&gt;1,"",IF($G849="ROKS",SUMIFS(TblApplications[Besoin ROKS RAM (Go)],TblApplications[Cluster ROKS cible],$F849,TblApplications[Action],"À migrer",TblApplications[Déjà incluse ROKS],"Non",TblApplications[Mois prov (calc)],"&lt;="&amp;$E849),SUMIFS(TblApplications[RAM IKS libérable (Go)],TblApplications[Cluster IKS source],$F849,TblApplications[Mois lib (calc)],"&lt;="&amp;$E849)))</f>
        <v/>
      </c>
      <c r="R849" s="14" t="str">
        <f aca="false">IF($D849&lt;&gt;1,"",IF($G849="ROKS",$L849+$P849,IF($AI849=1,0,MAX($N849,$L849-$P849))))</f>
        <v/>
      </c>
      <c r="S849" s="14" t="str">
        <f aca="false">IF($D849&lt;&gt;1,"",IF($G849="ROKS",$M849+$Q849,IF($AI849=1,0,MAX($O849,$M849-$Q849))))</f>
        <v/>
      </c>
      <c r="T849" s="14" t="str">
        <f aca="false">IF($D849&lt;&gt;1,"",IF($AI849=1,0,MAX($J849,ROUNDUP(MAX($R849/$H849,$S849/$I849),0))))</f>
        <v/>
      </c>
      <c r="U849" s="14" t="str">
        <f aca="false">IF($D849&lt;&gt;1,"",IF(p_mode="Nœud",$T849*$H849,$R849))</f>
        <v/>
      </c>
      <c r="V849" s="14" t="str">
        <f aca="false">IF($D849&lt;&gt;1,"",IF(p_mode="Nœud",$T849*$I849,$S849))</f>
        <v/>
      </c>
      <c r="W849" s="84" t="str">
        <f aca="false">IF($D849&lt;&gt;1,"",IF(p_mode="Nœud",$T849*$K849,$R849*IF($G849="IKS",p_iks_cpu,p_roks_cpu)+$S849*IF($G849="IKS",p_iks_ram,p_roks_ram))*p_facteur)</f>
        <v/>
      </c>
      <c r="X849" s="14" t="str">
        <f aca="false">IF($D849&lt;&gt;1,"",IF($G849="ROKS",$R849,IF($AI849=1,0,MAX($N849,$L849-SUMIFS(TblApplications[CPU IKS libérable (vCPU)],TblApplications[Cluster IKS source],$F849,TblApplications[Action],"À migrer",TblApplications[Mois prov (calc)],"&lt;="&amp;$E849)-SUMIFS(TblApplications[CPU IKS libérable (vCPU)],TblApplications[Cluster IKS source],$F849,TblApplications[Action],"À décommissionner",TblApplications[Mois lib (calc)],"&lt;="&amp;$E849)))))</f>
        <v/>
      </c>
      <c r="Y849" s="14" t="str">
        <f aca="false">IF($D849&lt;&gt;1,"",IF($G849="ROKS",$S849,IF($AI849=1,0,MAX($O849,$M849-SUMIFS(TblApplications[RAM IKS libérable (Go)],TblApplications[Cluster IKS source],$F849,TblApplications[Action],"À migrer",TblApplications[Mois prov (calc)],"&lt;="&amp;$E849)-SUMIFS(TblApplications[RAM IKS libérable (Go)],TblApplications[Cluster IKS source],$F849,TblApplications[Action],"À décommissionner",TblApplications[Mois lib (calc)],"&lt;="&amp;$E849)))))</f>
        <v/>
      </c>
      <c r="Z849" s="14" t="str">
        <f aca="false">IF($D849&lt;&gt;1,"",IF($AI849=1,0,MAX($J849,ROUNDUP(MAX($X849/$H849,$Y849/$I849),0))))</f>
        <v/>
      </c>
      <c r="AA849" s="84" t="str">
        <f aca="false">IF($D849&lt;&gt;1,"",IF(p_mode="Nœud",$Z849*$K849,$X849*IF($G849="IKS",p_iks_cpu,p_roks_cpu)+$Y849*IF($G849="IKS",p_iks_ram,p_roks_ram))*p_facteur)</f>
        <v/>
      </c>
      <c r="AB849" s="14" t="str">
        <f aca="false">IF($D849&lt;&gt;1,"",MAX($J849,ROUNDUP(MAX($L849/$H849,$M849/$I849),0)))</f>
        <v/>
      </c>
      <c r="AC849" s="84" t="str">
        <f aca="false">IF($D849&lt;&gt;1,"",IF(p_mode="Nœud",$AB849*$K849,$L849*IF($G849="IKS",p_iks_cpu,p_roks_cpu)+$M849*IF($G849="IKS",p_iks_ram,p_roks_ram))*p_facteur)</f>
        <v/>
      </c>
      <c r="AD849" s="14" t="str">
        <f aca="false">IF($D849&lt;&gt;1,"",IF(AND($G849="IKS",$AI849&lt;&gt;1,OR($L849-$P849&lt;$N849,$M849-$Q849&lt;$O849)),1,0))</f>
        <v/>
      </c>
      <c r="AE849" s="14" t="str">
        <f aca="false">IF($D849&lt;&gt;1,"",IF(AND($G849="ROKS",$T849&gt;p_maxworkers),1,0))</f>
        <v/>
      </c>
      <c r="AF849" s="14" t="str">
        <f aca="false">IF($D849&lt;&gt;1,"",IF(INDEX(TblClusters[Environnement],$B849)="","(vide)",INDEX(TblClusters[Environnement],$B849)))</f>
        <v/>
      </c>
      <c r="AG849" s="14" t="str">
        <f aca="false">IF($D849&lt;&gt;1,"",$R849+p_poidsram*$S849)</f>
        <v/>
      </c>
      <c r="AH849" s="14" t="str">
        <f aca="false">IF($D849&lt;&gt;1,"",IFERROR($W849/$AG849,0))</f>
        <v/>
      </c>
      <c r="AI849" s="14" t="str">
        <f aca="false">IF($D849&lt;&gt;1,"",IF(AND($G849="IKS",ISNUMBER(INDEX(TblClusters[Fermeture retenue],$B849))),IF($E849&gt;=INDEX(TblClusters[Fermeture retenue],$B849),1,0),0))</f>
        <v/>
      </c>
    </row>
    <row r="850" customFormat="false" ht="15" hidden="false" customHeight="false" outlineLevel="0" collapsed="false">
      <c r="A850" s="14" t="n">
        <v>845</v>
      </c>
      <c r="B850" s="14" t="n">
        <f aca="false">INT(($A850-1)/36)+1</f>
        <v>24</v>
      </c>
      <c r="C850" s="14" t="n">
        <f aca="false">MOD($A850-1,36)+1</f>
        <v>17</v>
      </c>
      <c r="D850" s="14" t="n">
        <f aca="false">IF($C850&gt;p_horizon,0,IFERROR(IF(AND(INDEX(TblClusters[Cluster],$B850)&lt;&gt;"",ISNUMBER(INDEX(TblClusters[CPU initial (vCPU)],$B850)),ISNUMBER(INDEX(TblClusters[CPU min (vCPU)],$B850)),OR(INDEX(TblClusters[Plateforme],$B850)="IKS",INDEX(TblClusters[Plateforme],$B850)="ROKS")),1,0),0))</f>
        <v>0</v>
      </c>
      <c r="E850" s="83" t="str">
        <f aca="false">IF($D850=1,EDATE(p_debut,$C850-1),"")</f>
        <v/>
      </c>
      <c r="F850" s="14" t="str">
        <f aca="false">IF($D850=1,INDEX(TblClusters[Cluster],$B850),"")</f>
        <v/>
      </c>
      <c r="G850" s="14" t="str">
        <f aca="false">IF($D850=1,INDEX(TblClusters[Plateforme],$B850),"")</f>
        <v/>
      </c>
      <c r="H850" s="14" t="str">
        <f aca="false">IF($D850=1,INDEX(TblClusters[vCPU par nœud],$B850),"")</f>
        <v/>
      </c>
      <c r="I850" s="14" t="str">
        <f aca="false">IF($D850=1,INDEX(TblClusters[RAM par nœud (Go)],$B850),"")</f>
        <v/>
      </c>
      <c r="J850" s="14" t="str">
        <f aca="false">IF($D850=1,INDEX(TblClusters[Workers min],$B850),"")</f>
        <v/>
      </c>
      <c r="K850" s="84" t="str">
        <f aca="false">IF($D850=1,INDEX(TblClusters[Tarif par nœud],$B850),"")</f>
        <v/>
      </c>
      <c r="L850" s="14" t="str">
        <f aca="false">IF($D850=1,INDEX(TblClusters[CPU initial (vCPU)],$B850),"")</f>
        <v/>
      </c>
      <c r="M850" s="14" t="str">
        <f aca="false">IF($D850=1,INDEX(TblClusters[RAM initiale (Go)],$B850),"")</f>
        <v/>
      </c>
      <c r="N850" s="14" t="str">
        <f aca="false">IF($D850=1,INDEX(TblClusters[CPU min (vCPU)],$B850),"")</f>
        <v/>
      </c>
      <c r="O850" s="14" t="str">
        <f aca="false">IF($D850=1,INDEX(TblClusters[RAM min (Go)],$B850),"")</f>
        <v/>
      </c>
      <c r="P850" s="14" t="str">
        <f aca="false">IF($D850&lt;&gt;1,"",IF($G850="ROKS",SUMIFS(TblApplications[Besoin ROKS CPU (vCPU)],TblApplications[Cluster ROKS cible],$F850,TblApplications[Action],"À migrer",TblApplications[Déjà incluse ROKS],"Non",TblApplications[Mois prov (calc)],"&lt;="&amp;$E850),SUMIFS(TblApplications[CPU IKS libérable (vCPU)],TblApplications[Cluster IKS source],$F850,TblApplications[Mois lib (calc)],"&lt;="&amp;$E850)))</f>
        <v/>
      </c>
      <c r="Q850" s="14" t="str">
        <f aca="false">IF($D850&lt;&gt;1,"",IF($G850="ROKS",SUMIFS(TblApplications[Besoin ROKS RAM (Go)],TblApplications[Cluster ROKS cible],$F850,TblApplications[Action],"À migrer",TblApplications[Déjà incluse ROKS],"Non",TblApplications[Mois prov (calc)],"&lt;="&amp;$E850),SUMIFS(TblApplications[RAM IKS libérable (Go)],TblApplications[Cluster IKS source],$F850,TblApplications[Mois lib (calc)],"&lt;="&amp;$E850)))</f>
        <v/>
      </c>
      <c r="R850" s="14" t="str">
        <f aca="false">IF($D850&lt;&gt;1,"",IF($G850="ROKS",$L850+$P850,IF($AI850=1,0,MAX($N850,$L850-$P850))))</f>
        <v/>
      </c>
      <c r="S850" s="14" t="str">
        <f aca="false">IF($D850&lt;&gt;1,"",IF($G850="ROKS",$M850+$Q850,IF($AI850=1,0,MAX($O850,$M850-$Q850))))</f>
        <v/>
      </c>
      <c r="T850" s="14" t="str">
        <f aca="false">IF($D850&lt;&gt;1,"",IF($AI850=1,0,MAX($J850,ROUNDUP(MAX($R850/$H850,$S850/$I850),0))))</f>
        <v/>
      </c>
      <c r="U850" s="14" t="str">
        <f aca="false">IF($D850&lt;&gt;1,"",IF(p_mode="Nœud",$T850*$H850,$R850))</f>
        <v/>
      </c>
      <c r="V850" s="14" t="str">
        <f aca="false">IF($D850&lt;&gt;1,"",IF(p_mode="Nœud",$T850*$I850,$S850))</f>
        <v/>
      </c>
      <c r="W850" s="84" t="str">
        <f aca="false">IF($D850&lt;&gt;1,"",IF(p_mode="Nœud",$T850*$K850,$R850*IF($G850="IKS",p_iks_cpu,p_roks_cpu)+$S850*IF($G850="IKS",p_iks_ram,p_roks_ram))*p_facteur)</f>
        <v/>
      </c>
      <c r="X850" s="14" t="str">
        <f aca="false">IF($D850&lt;&gt;1,"",IF($G850="ROKS",$R850,IF($AI850=1,0,MAX($N850,$L850-SUMIFS(TblApplications[CPU IKS libérable (vCPU)],TblApplications[Cluster IKS source],$F850,TblApplications[Action],"À migrer",TblApplications[Mois prov (calc)],"&lt;="&amp;$E850)-SUMIFS(TblApplications[CPU IKS libérable (vCPU)],TblApplications[Cluster IKS source],$F850,TblApplications[Action],"À décommissionner",TblApplications[Mois lib (calc)],"&lt;="&amp;$E850)))))</f>
        <v/>
      </c>
      <c r="Y850" s="14" t="str">
        <f aca="false">IF($D850&lt;&gt;1,"",IF($G850="ROKS",$S850,IF($AI850=1,0,MAX($O850,$M850-SUMIFS(TblApplications[RAM IKS libérable (Go)],TblApplications[Cluster IKS source],$F850,TblApplications[Action],"À migrer",TblApplications[Mois prov (calc)],"&lt;="&amp;$E850)-SUMIFS(TblApplications[RAM IKS libérable (Go)],TblApplications[Cluster IKS source],$F850,TblApplications[Action],"À décommissionner",TblApplications[Mois lib (calc)],"&lt;="&amp;$E850)))))</f>
        <v/>
      </c>
      <c r="Z850" s="14" t="str">
        <f aca="false">IF($D850&lt;&gt;1,"",IF($AI850=1,0,MAX($J850,ROUNDUP(MAX($X850/$H850,$Y850/$I850),0))))</f>
        <v/>
      </c>
      <c r="AA850" s="84" t="str">
        <f aca="false">IF($D850&lt;&gt;1,"",IF(p_mode="Nœud",$Z850*$K850,$X850*IF($G850="IKS",p_iks_cpu,p_roks_cpu)+$Y850*IF($G850="IKS",p_iks_ram,p_roks_ram))*p_facteur)</f>
        <v/>
      </c>
      <c r="AB850" s="14" t="str">
        <f aca="false">IF($D850&lt;&gt;1,"",MAX($J850,ROUNDUP(MAX($L850/$H850,$M850/$I850),0)))</f>
        <v/>
      </c>
      <c r="AC850" s="84" t="str">
        <f aca="false">IF($D850&lt;&gt;1,"",IF(p_mode="Nœud",$AB850*$K850,$L850*IF($G850="IKS",p_iks_cpu,p_roks_cpu)+$M850*IF($G850="IKS",p_iks_ram,p_roks_ram))*p_facteur)</f>
        <v/>
      </c>
      <c r="AD850" s="14" t="str">
        <f aca="false">IF($D850&lt;&gt;1,"",IF(AND($G850="IKS",$AI850&lt;&gt;1,OR($L850-$P850&lt;$N850,$M850-$Q850&lt;$O850)),1,0))</f>
        <v/>
      </c>
      <c r="AE850" s="14" t="str">
        <f aca="false">IF($D850&lt;&gt;1,"",IF(AND($G850="ROKS",$T850&gt;p_maxworkers),1,0))</f>
        <v/>
      </c>
      <c r="AF850" s="14" t="str">
        <f aca="false">IF($D850&lt;&gt;1,"",IF(INDEX(TblClusters[Environnement],$B850)="","(vide)",INDEX(TblClusters[Environnement],$B850)))</f>
        <v/>
      </c>
      <c r="AG850" s="14" t="str">
        <f aca="false">IF($D850&lt;&gt;1,"",$R850+p_poidsram*$S850)</f>
        <v/>
      </c>
      <c r="AH850" s="14" t="str">
        <f aca="false">IF($D850&lt;&gt;1,"",IFERROR($W850/$AG850,0))</f>
        <v/>
      </c>
      <c r="AI850" s="14" t="str">
        <f aca="false">IF($D850&lt;&gt;1,"",IF(AND($G850="IKS",ISNUMBER(INDEX(TblClusters[Fermeture retenue],$B850))),IF($E850&gt;=INDEX(TblClusters[Fermeture retenue],$B850),1,0),0))</f>
        <v/>
      </c>
    </row>
    <row r="851" customFormat="false" ht="15" hidden="false" customHeight="false" outlineLevel="0" collapsed="false">
      <c r="A851" s="14" t="n">
        <v>846</v>
      </c>
      <c r="B851" s="14" t="n">
        <f aca="false">INT(($A851-1)/36)+1</f>
        <v>24</v>
      </c>
      <c r="C851" s="14" t="n">
        <f aca="false">MOD($A851-1,36)+1</f>
        <v>18</v>
      </c>
      <c r="D851" s="14" t="n">
        <f aca="false">IF($C851&gt;p_horizon,0,IFERROR(IF(AND(INDEX(TblClusters[Cluster],$B851)&lt;&gt;"",ISNUMBER(INDEX(TblClusters[CPU initial (vCPU)],$B851)),ISNUMBER(INDEX(TblClusters[CPU min (vCPU)],$B851)),OR(INDEX(TblClusters[Plateforme],$B851)="IKS",INDEX(TblClusters[Plateforme],$B851)="ROKS")),1,0),0))</f>
        <v>0</v>
      </c>
      <c r="E851" s="83" t="str">
        <f aca="false">IF($D851=1,EDATE(p_debut,$C851-1),"")</f>
        <v/>
      </c>
      <c r="F851" s="14" t="str">
        <f aca="false">IF($D851=1,INDEX(TblClusters[Cluster],$B851),"")</f>
        <v/>
      </c>
      <c r="G851" s="14" t="str">
        <f aca="false">IF($D851=1,INDEX(TblClusters[Plateforme],$B851),"")</f>
        <v/>
      </c>
      <c r="H851" s="14" t="str">
        <f aca="false">IF($D851=1,INDEX(TblClusters[vCPU par nœud],$B851),"")</f>
        <v/>
      </c>
      <c r="I851" s="14" t="str">
        <f aca="false">IF($D851=1,INDEX(TblClusters[RAM par nœud (Go)],$B851),"")</f>
        <v/>
      </c>
      <c r="J851" s="14" t="str">
        <f aca="false">IF($D851=1,INDEX(TblClusters[Workers min],$B851),"")</f>
        <v/>
      </c>
      <c r="K851" s="84" t="str">
        <f aca="false">IF($D851=1,INDEX(TblClusters[Tarif par nœud],$B851),"")</f>
        <v/>
      </c>
      <c r="L851" s="14" t="str">
        <f aca="false">IF($D851=1,INDEX(TblClusters[CPU initial (vCPU)],$B851),"")</f>
        <v/>
      </c>
      <c r="M851" s="14" t="str">
        <f aca="false">IF($D851=1,INDEX(TblClusters[RAM initiale (Go)],$B851),"")</f>
        <v/>
      </c>
      <c r="N851" s="14" t="str">
        <f aca="false">IF($D851=1,INDEX(TblClusters[CPU min (vCPU)],$B851),"")</f>
        <v/>
      </c>
      <c r="O851" s="14" t="str">
        <f aca="false">IF($D851=1,INDEX(TblClusters[RAM min (Go)],$B851),"")</f>
        <v/>
      </c>
      <c r="P851" s="14" t="str">
        <f aca="false">IF($D851&lt;&gt;1,"",IF($G851="ROKS",SUMIFS(TblApplications[Besoin ROKS CPU (vCPU)],TblApplications[Cluster ROKS cible],$F851,TblApplications[Action],"À migrer",TblApplications[Déjà incluse ROKS],"Non",TblApplications[Mois prov (calc)],"&lt;="&amp;$E851),SUMIFS(TblApplications[CPU IKS libérable (vCPU)],TblApplications[Cluster IKS source],$F851,TblApplications[Mois lib (calc)],"&lt;="&amp;$E851)))</f>
        <v/>
      </c>
      <c r="Q851" s="14" t="str">
        <f aca="false">IF($D851&lt;&gt;1,"",IF($G851="ROKS",SUMIFS(TblApplications[Besoin ROKS RAM (Go)],TblApplications[Cluster ROKS cible],$F851,TblApplications[Action],"À migrer",TblApplications[Déjà incluse ROKS],"Non",TblApplications[Mois prov (calc)],"&lt;="&amp;$E851),SUMIFS(TblApplications[RAM IKS libérable (Go)],TblApplications[Cluster IKS source],$F851,TblApplications[Mois lib (calc)],"&lt;="&amp;$E851)))</f>
        <v/>
      </c>
      <c r="R851" s="14" t="str">
        <f aca="false">IF($D851&lt;&gt;1,"",IF($G851="ROKS",$L851+$P851,IF($AI851=1,0,MAX($N851,$L851-$P851))))</f>
        <v/>
      </c>
      <c r="S851" s="14" t="str">
        <f aca="false">IF($D851&lt;&gt;1,"",IF($G851="ROKS",$M851+$Q851,IF($AI851=1,0,MAX($O851,$M851-$Q851))))</f>
        <v/>
      </c>
      <c r="T851" s="14" t="str">
        <f aca="false">IF($D851&lt;&gt;1,"",IF($AI851=1,0,MAX($J851,ROUNDUP(MAX($R851/$H851,$S851/$I851),0))))</f>
        <v/>
      </c>
      <c r="U851" s="14" t="str">
        <f aca="false">IF($D851&lt;&gt;1,"",IF(p_mode="Nœud",$T851*$H851,$R851))</f>
        <v/>
      </c>
      <c r="V851" s="14" t="str">
        <f aca="false">IF($D851&lt;&gt;1,"",IF(p_mode="Nœud",$T851*$I851,$S851))</f>
        <v/>
      </c>
      <c r="W851" s="84" t="str">
        <f aca="false">IF($D851&lt;&gt;1,"",IF(p_mode="Nœud",$T851*$K851,$R851*IF($G851="IKS",p_iks_cpu,p_roks_cpu)+$S851*IF($G851="IKS",p_iks_ram,p_roks_ram))*p_facteur)</f>
        <v/>
      </c>
      <c r="X851" s="14" t="str">
        <f aca="false">IF($D851&lt;&gt;1,"",IF($G851="ROKS",$R851,IF($AI851=1,0,MAX($N851,$L851-SUMIFS(TblApplications[CPU IKS libérable (vCPU)],TblApplications[Cluster IKS source],$F851,TblApplications[Action],"À migrer",TblApplications[Mois prov (calc)],"&lt;="&amp;$E851)-SUMIFS(TblApplications[CPU IKS libérable (vCPU)],TblApplications[Cluster IKS source],$F851,TblApplications[Action],"À décommissionner",TblApplications[Mois lib (calc)],"&lt;="&amp;$E851)))))</f>
        <v/>
      </c>
      <c r="Y851" s="14" t="str">
        <f aca="false">IF($D851&lt;&gt;1,"",IF($G851="ROKS",$S851,IF($AI851=1,0,MAX($O851,$M851-SUMIFS(TblApplications[RAM IKS libérable (Go)],TblApplications[Cluster IKS source],$F851,TblApplications[Action],"À migrer",TblApplications[Mois prov (calc)],"&lt;="&amp;$E851)-SUMIFS(TblApplications[RAM IKS libérable (Go)],TblApplications[Cluster IKS source],$F851,TblApplications[Action],"À décommissionner",TblApplications[Mois lib (calc)],"&lt;="&amp;$E851)))))</f>
        <v/>
      </c>
      <c r="Z851" s="14" t="str">
        <f aca="false">IF($D851&lt;&gt;1,"",IF($AI851=1,0,MAX($J851,ROUNDUP(MAX($X851/$H851,$Y851/$I851),0))))</f>
        <v/>
      </c>
      <c r="AA851" s="84" t="str">
        <f aca="false">IF($D851&lt;&gt;1,"",IF(p_mode="Nœud",$Z851*$K851,$X851*IF($G851="IKS",p_iks_cpu,p_roks_cpu)+$Y851*IF($G851="IKS",p_iks_ram,p_roks_ram))*p_facteur)</f>
        <v/>
      </c>
      <c r="AB851" s="14" t="str">
        <f aca="false">IF($D851&lt;&gt;1,"",MAX($J851,ROUNDUP(MAX($L851/$H851,$M851/$I851),0)))</f>
        <v/>
      </c>
      <c r="AC851" s="84" t="str">
        <f aca="false">IF($D851&lt;&gt;1,"",IF(p_mode="Nœud",$AB851*$K851,$L851*IF($G851="IKS",p_iks_cpu,p_roks_cpu)+$M851*IF($G851="IKS",p_iks_ram,p_roks_ram))*p_facteur)</f>
        <v/>
      </c>
      <c r="AD851" s="14" t="str">
        <f aca="false">IF($D851&lt;&gt;1,"",IF(AND($G851="IKS",$AI851&lt;&gt;1,OR($L851-$P851&lt;$N851,$M851-$Q851&lt;$O851)),1,0))</f>
        <v/>
      </c>
      <c r="AE851" s="14" t="str">
        <f aca="false">IF($D851&lt;&gt;1,"",IF(AND($G851="ROKS",$T851&gt;p_maxworkers),1,0))</f>
        <v/>
      </c>
      <c r="AF851" s="14" t="str">
        <f aca="false">IF($D851&lt;&gt;1,"",IF(INDEX(TblClusters[Environnement],$B851)="","(vide)",INDEX(TblClusters[Environnement],$B851)))</f>
        <v/>
      </c>
      <c r="AG851" s="14" t="str">
        <f aca="false">IF($D851&lt;&gt;1,"",$R851+p_poidsram*$S851)</f>
        <v/>
      </c>
      <c r="AH851" s="14" t="str">
        <f aca="false">IF($D851&lt;&gt;1,"",IFERROR($W851/$AG851,0))</f>
        <v/>
      </c>
      <c r="AI851" s="14" t="str">
        <f aca="false">IF($D851&lt;&gt;1,"",IF(AND($G851="IKS",ISNUMBER(INDEX(TblClusters[Fermeture retenue],$B851))),IF($E851&gt;=INDEX(TblClusters[Fermeture retenue],$B851),1,0),0))</f>
        <v/>
      </c>
    </row>
    <row r="852" customFormat="false" ht="15" hidden="false" customHeight="false" outlineLevel="0" collapsed="false">
      <c r="A852" s="14" t="n">
        <v>847</v>
      </c>
      <c r="B852" s="14" t="n">
        <f aca="false">INT(($A852-1)/36)+1</f>
        <v>24</v>
      </c>
      <c r="C852" s="14" t="n">
        <f aca="false">MOD($A852-1,36)+1</f>
        <v>19</v>
      </c>
      <c r="D852" s="14" t="n">
        <f aca="false">IF($C852&gt;p_horizon,0,IFERROR(IF(AND(INDEX(TblClusters[Cluster],$B852)&lt;&gt;"",ISNUMBER(INDEX(TblClusters[CPU initial (vCPU)],$B852)),ISNUMBER(INDEX(TblClusters[CPU min (vCPU)],$B852)),OR(INDEX(TblClusters[Plateforme],$B852)="IKS",INDEX(TblClusters[Plateforme],$B852)="ROKS")),1,0),0))</f>
        <v>0</v>
      </c>
      <c r="E852" s="83" t="str">
        <f aca="false">IF($D852=1,EDATE(p_debut,$C852-1),"")</f>
        <v/>
      </c>
      <c r="F852" s="14" t="str">
        <f aca="false">IF($D852=1,INDEX(TblClusters[Cluster],$B852),"")</f>
        <v/>
      </c>
      <c r="G852" s="14" t="str">
        <f aca="false">IF($D852=1,INDEX(TblClusters[Plateforme],$B852),"")</f>
        <v/>
      </c>
      <c r="H852" s="14" t="str">
        <f aca="false">IF($D852=1,INDEX(TblClusters[vCPU par nœud],$B852),"")</f>
        <v/>
      </c>
      <c r="I852" s="14" t="str">
        <f aca="false">IF($D852=1,INDEX(TblClusters[RAM par nœud (Go)],$B852),"")</f>
        <v/>
      </c>
      <c r="J852" s="14" t="str">
        <f aca="false">IF($D852=1,INDEX(TblClusters[Workers min],$B852),"")</f>
        <v/>
      </c>
      <c r="K852" s="84" t="str">
        <f aca="false">IF($D852=1,INDEX(TblClusters[Tarif par nœud],$B852),"")</f>
        <v/>
      </c>
      <c r="L852" s="14" t="str">
        <f aca="false">IF($D852=1,INDEX(TblClusters[CPU initial (vCPU)],$B852),"")</f>
        <v/>
      </c>
      <c r="M852" s="14" t="str">
        <f aca="false">IF($D852=1,INDEX(TblClusters[RAM initiale (Go)],$B852),"")</f>
        <v/>
      </c>
      <c r="N852" s="14" t="str">
        <f aca="false">IF($D852=1,INDEX(TblClusters[CPU min (vCPU)],$B852),"")</f>
        <v/>
      </c>
      <c r="O852" s="14" t="str">
        <f aca="false">IF($D852=1,INDEX(TblClusters[RAM min (Go)],$B852),"")</f>
        <v/>
      </c>
      <c r="P852" s="14" t="str">
        <f aca="false">IF($D852&lt;&gt;1,"",IF($G852="ROKS",SUMIFS(TblApplications[Besoin ROKS CPU (vCPU)],TblApplications[Cluster ROKS cible],$F852,TblApplications[Action],"À migrer",TblApplications[Déjà incluse ROKS],"Non",TblApplications[Mois prov (calc)],"&lt;="&amp;$E852),SUMIFS(TblApplications[CPU IKS libérable (vCPU)],TblApplications[Cluster IKS source],$F852,TblApplications[Mois lib (calc)],"&lt;="&amp;$E852)))</f>
        <v/>
      </c>
      <c r="Q852" s="14" t="str">
        <f aca="false">IF($D852&lt;&gt;1,"",IF($G852="ROKS",SUMIFS(TblApplications[Besoin ROKS RAM (Go)],TblApplications[Cluster ROKS cible],$F852,TblApplications[Action],"À migrer",TblApplications[Déjà incluse ROKS],"Non",TblApplications[Mois prov (calc)],"&lt;="&amp;$E852),SUMIFS(TblApplications[RAM IKS libérable (Go)],TblApplications[Cluster IKS source],$F852,TblApplications[Mois lib (calc)],"&lt;="&amp;$E852)))</f>
        <v/>
      </c>
      <c r="R852" s="14" t="str">
        <f aca="false">IF($D852&lt;&gt;1,"",IF($G852="ROKS",$L852+$P852,IF($AI852=1,0,MAX($N852,$L852-$P852))))</f>
        <v/>
      </c>
      <c r="S852" s="14" t="str">
        <f aca="false">IF($D852&lt;&gt;1,"",IF($G852="ROKS",$M852+$Q852,IF($AI852=1,0,MAX($O852,$M852-$Q852))))</f>
        <v/>
      </c>
      <c r="T852" s="14" t="str">
        <f aca="false">IF($D852&lt;&gt;1,"",IF($AI852=1,0,MAX($J852,ROUNDUP(MAX($R852/$H852,$S852/$I852),0))))</f>
        <v/>
      </c>
      <c r="U852" s="14" t="str">
        <f aca="false">IF($D852&lt;&gt;1,"",IF(p_mode="Nœud",$T852*$H852,$R852))</f>
        <v/>
      </c>
      <c r="V852" s="14" t="str">
        <f aca="false">IF($D852&lt;&gt;1,"",IF(p_mode="Nœud",$T852*$I852,$S852))</f>
        <v/>
      </c>
      <c r="W852" s="84" t="str">
        <f aca="false">IF($D852&lt;&gt;1,"",IF(p_mode="Nœud",$T852*$K852,$R852*IF($G852="IKS",p_iks_cpu,p_roks_cpu)+$S852*IF($G852="IKS",p_iks_ram,p_roks_ram))*p_facteur)</f>
        <v/>
      </c>
      <c r="X852" s="14" t="str">
        <f aca="false">IF($D852&lt;&gt;1,"",IF($G852="ROKS",$R852,IF($AI852=1,0,MAX($N852,$L852-SUMIFS(TblApplications[CPU IKS libérable (vCPU)],TblApplications[Cluster IKS source],$F852,TblApplications[Action],"À migrer",TblApplications[Mois prov (calc)],"&lt;="&amp;$E852)-SUMIFS(TblApplications[CPU IKS libérable (vCPU)],TblApplications[Cluster IKS source],$F852,TblApplications[Action],"À décommissionner",TblApplications[Mois lib (calc)],"&lt;="&amp;$E852)))))</f>
        <v/>
      </c>
      <c r="Y852" s="14" t="str">
        <f aca="false">IF($D852&lt;&gt;1,"",IF($G852="ROKS",$S852,IF($AI852=1,0,MAX($O852,$M852-SUMIFS(TblApplications[RAM IKS libérable (Go)],TblApplications[Cluster IKS source],$F852,TblApplications[Action],"À migrer",TblApplications[Mois prov (calc)],"&lt;="&amp;$E852)-SUMIFS(TblApplications[RAM IKS libérable (Go)],TblApplications[Cluster IKS source],$F852,TblApplications[Action],"À décommissionner",TblApplications[Mois lib (calc)],"&lt;="&amp;$E852)))))</f>
        <v/>
      </c>
      <c r="Z852" s="14" t="str">
        <f aca="false">IF($D852&lt;&gt;1,"",IF($AI852=1,0,MAX($J852,ROUNDUP(MAX($X852/$H852,$Y852/$I852),0))))</f>
        <v/>
      </c>
      <c r="AA852" s="84" t="str">
        <f aca="false">IF($D852&lt;&gt;1,"",IF(p_mode="Nœud",$Z852*$K852,$X852*IF($G852="IKS",p_iks_cpu,p_roks_cpu)+$Y852*IF($G852="IKS",p_iks_ram,p_roks_ram))*p_facteur)</f>
        <v/>
      </c>
      <c r="AB852" s="14" t="str">
        <f aca="false">IF($D852&lt;&gt;1,"",MAX($J852,ROUNDUP(MAX($L852/$H852,$M852/$I852),0)))</f>
        <v/>
      </c>
      <c r="AC852" s="84" t="str">
        <f aca="false">IF($D852&lt;&gt;1,"",IF(p_mode="Nœud",$AB852*$K852,$L852*IF($G852="IKS",p_iks_cpu,p_roks_cpu)+$M852*IF($G852="IKS",p_iks_ram,p_roks_ram))*p_facteur)</f>
        <v/>
      </c>
      <c r="AD852" s="14" t="str">
        <f aca="false">IF($D852&lt;&gt;1,"",IF(AND($G852="IKS",$AI852&lt;&gt;1,OR($L852-$P852&lt;$N852,$M852-$Q852&lt;$O852)),1,0))</f>
        <v/>
      </c>
      <c r="AE852" s="14" t="str">
        <f aca="false">IF($D852&lt;&gt;1,"",IF(AND($G852="ROKS",$T852&gt;p_maxworkers),1,0))</f>
        <v/>
      </c>
      <c r="AF852" s="14" t="str">
        <f aca="false">IF($D852&lt;&gt;1,"",IF(INDEX(TblClusters[Environnement],$B852)="","(vide)",INDEX(TblClusters[Environnement],$B852)))</f>
        <v/>
      </c>
      <c r="AG852" s="14" t="str">
        <f aca="false">IF($D852&lt;&gt;1,"",$R852+p_poidsram*$S852)</f>
        <v/>
      </c>
      <c r="AH852" s="14" t="str">
        <f aca="false">IF($D852&lt;&gt;1,"",IFERROR($W852/$AG852,0))</f>
        <v/>
      </c>
      <c r="AI852" s="14" t="str">
        <f aca="false">IF($D852&lt;&gt;1,"",IF(AND($G852="IKS",ISNUMBER(INDEX(TblClusters[Fermeture retenue],$B852))),IF($E852&gt;=INDEX(TblClusters[Fermeture retenue],$B852),1,0),0))</f>
        <v/>
      </c>
    </row>
    <row r="853" customFormat="false" ht="15" hidden="false" customHeight="false" outlineLevel="0" collapsed="false">
      <c r="A853" s="14" t="n">
        <v>848</v>
      </c>
      <c r="B853" s="14" t="n">
        <f aca="false">INT(($A853-1)/36)+1</f>
        <v>24</v>
      </c>
      <c r="C853" s="14" t="n">
        <f aca="false">MOD($A853-1,36)+1</f>
        <v>20</v>
      </c>
      <c r="D853" s="14" t="n">
        <f aca="false">IF($C853&gt;p_horizon,0,IFERROR(IF(AND(INDEX(TblClusters[Cluster],$B853)&lt;&gt;"",ISNUMBER(INDEX(TblClusters[CPU initial (vCPU)],$B853)),ISNUMBER(INDEX(TblClusters[CPU min (vCPU)],$B853)),OR(INDEX(TblClusters[Plateforme],$B853)="IKS",INDEX(TblClusters[Plateforme],$B853)="ROKS")),1,0),0))</f>
        <v>0</v>
      </c>
      <c r="E853" s="83" t="str">
        <f aca="false">IF($D853=1,EDATE(p_debut,$C853-1),"")</f>
        <v/>
      </c>
      <c r="F853" s="14" t="str">
        <f aca="false">IF($D853=1,INDEX(TblClusters[Cluster],$B853),"")</f>
        <v/>
      </c>
      <c r="G853" s="14" t="str">
        <f aca="false">IF($D853=1,INDEX(TblClusters[Plateforme],$B853),"")</f>
        <v/>
      </c>
      <c r="H853" s="14" t="str">
        <f aca="false">IF($D853=1,INDEX(TblClusters[vCPU par nœud],$B853),"")</f>
        <v/>
      </c>
      <c r="I853" s="14" t="str">
        <f aca="false">IF($D853=1,INDEX(TblClusters[RAM par nœud (Go)],$B853),"")</f>
        <v/>
      </c>
      <c r="J853" s="14" t="str">
        <f aca="false">IF($D853=1,INDEX(TblClusters[Workers min],$B853),"")</f>
        <v/>
      </c>
      <c r="K853" s="84" t="str">
        <f aca="false">IF($D853=1,INDEX(TblClusters[Tarif par nœud],$B853),"")</f>
        <v/>
      </c>
      <c r="L853" s="14" t="str">
        <f aca="false">IF($D853=1,INDEX(TblClusters[CPU initial (vCPU)],$B853),"")</f>
        <v/>
      </c>
      <c r="M853" s="14" t="str">
        <f aca="false">IF($D853=1,INDEX(TblClusters[RAM initiale (Go)],$B853),"")</f>
        <v/>
      </c>
      <c r="N853" s="14" t="str">
        <f aca="false">IF($D853=1,INDEX(TblClusters[CPU min (vCPU)],$B853),"")</f>
        <v/>
      </c>
      <c r="O853" s="14" t="str">
        <f aca="false">IF($D853=1,INDEX(TblClusters[RAM min (Go)],$B853),"")</f>
        <v/>
      </c>
      <c r="P853" s="14" t="str">
        <f aca="false">IF($D853&lt;&gt;1,"",IF($G853="ROKS",SUMIFS(TblApplications[Besoin ROKS CPU (vCPU)],TblApplications[Cluster ROKS cible],$F853,TblApplications[Action],"À migrer",TblApplications[Déjà incluse ROKS],"Non",TblApplications[Mois prov (calc)],"&lt;="&amp;$E853),SUMIFS(TblApplications[CPU IKS libérable (vCPU)],TblApplications[Cluster IKS source],$F853,TblApplications[Mois lib (calc)],"&lt;="&amp;$E853)))</f>
        <v/>
      </c>
      <c r="Q853" s="14" t="str">
        <f aca="false">IF($D853&lt;&gt;1,"",IF($G853="ROKS",SUMIFS(TblApplications[Besoin ROKS RAM (Go)],TblApplications[Cluster ROKS cible],$F853,TblApplications[Action],"À migrer",TblApplications[Déjà incluse ROKS],"Non",TblApplications[Mois prov (calc)],"&lt;="&amp;$E853),SUMIFS(TblApplications[RAM IKS libérable (Go)],TblApplications[Cluster IKS source],$F853,TblApplications[Mois lib (calc)],"&lt;="&amp;$E853)))</f>
        <v/>
      </c>
      <c r="R853" s="14" t="str">
        <f aca="false">IF($D853&lt;&gt;1,"",IF($G853="ROKS",$L853+$P853,IF($AI853=1,0,MAX($N853,$L853-$P853))))</f>
        <v/>
      </c>
      <c r="S853" s="14" t="str">
        <f aca="false">IF($D853&lt;&gt;1,"",IF($G853="ROKS",$M853+$Q853,IF($AI853=1,0,MAX($O853,$M853-$Q853))))</f>
        <v/>
      </c>
      <c r="T853" s="14" t="str">
        <f aca="false">IF($D853&lt;&gt;1,"",IF($AI853=1,0,MAX($J853,ROUNDUP(MAX($R853/$H853,$S853/$I853),0))))</f>
        <v/>
      </c>
      <c r="U853" s="14" t="str">
        <f aca="false">IF($D853&lt;&gt;1,"",IF(p_mode="Nœud",$T853*$H853,$R853))</f>
        <v/>
      </c>
      <c r="V853" s="14" t="str">
        <f aca="false">IF($D853&lt;&gt;1,"",IF(p_mode="Nœud",$T853*$I853,$S853))</f>
        <v/>
      </c>
      <c r="W853" s="84" t="str">
        <f aca="false">IF($D853&lt;&gt;1,"",IF(p_mode="Nœud",$T853*$K853,$R853*IF($G853="IKS",p_iks_cpu,p_roks_cpu)+$S853*IF($G853="IKS",p_iks_ram,p_roks_ram))*p_facteur)</f>
        <v/>
      </c>
      <c r="X853" s="14" t="str">
        <f aca="false">IF($D853&lt;&gt;1,"",IF($G853="ROKS",$R853,IF($AI853=1,0,MAX($N853,$L853-SUMIFS(TblApplications[CPU IKS libérable (vCPU)],TblApplications[Cluster IKS source],$F853,TblApplications[Action],"À migrer",TblApplications[Mois prov (calc)],"&lt;="&amp;$E853)-SUMIFS(TblApplications[CPU IKS libérable (vCPU)],TblApplications[Cluster IKS source],$F853,TblApplications[Action],"À décommissionner",TblApplications[Mois lib (calc)],"&lt;="&amp;$E853)))))</f>
        <v/>
      </c>
      <c r="Y853" s="14" t="str">
        <f aca="false">IF($D853&lt;&gt;1,"",IF($G853="ROKS",$S853,IF($AI853=1,0,MAX($O853,$M853-SUMIFS(TblApplications[RAM IKS libérable (Go)],TblApplications[Cluster IKS source],$F853,TblApplications[Action],"À migrer",TblApplications[Mois prov (calc)],"&lt;="&amp;$E853)-SUMIFS(TblApplications[RAM IKS libérable (Go)],TblApplications[Cluster IKS source],$F853,TblApplications[Action],"À décommissionner",TblApplications[Mois lib (calc)],"&lt;="&amp;$E853)))))</f>
        <v/>
      </c>
      <c r="Z853" s="14" t="str">
        <f aca="false">IF($D853&lt;&gt;1,"",IF($AI853=1,0,MAX($J853,ROUNDUP(MAX($X853/$H853,$Y853/$I853),0))))</f>
        <v/>
      </c>
      <c r="AA853" s="84" t="str">
        <f aca="false">IF($D853&lt;&gt;1,"",IF(p_mode="Nœud",$Z853*$K853,$X853*IF($G853="IKS",p_iks_cpu,p_roks_cpu)+$Y853*IF($G853="IKS",p_iks_ram,p_roks_ram))*p_facteur)</f>
        <v/>
      </c>
      <c r="AB853" s="14" t="str">
        <f aca="false">IF($D853&lt;&gt;1,"",MAX($J853,ROUNDUP(MAX($L853/$H853,$M853/$I853),0)))</f>
        <v/>
      </c>
      <c r="AC853" s="84" t="str">
        <f aca="false">IF($D853&lt;&gt;1,"",IF(p_mode="Nœud",$AB853*$K853,$L853*IF($G853="IKS",p_iks_cpu,p_roks_cpu)+$M853*IF($G853="IKS",p_iks_ram,p_roks_ram))*p_facteur)</f>
        <v/>
      </c>
      <c r="AD853" s="14" t="str">
        <f aca="false">IF($D853&lt;&gt;1,"",IF(AND($G853="IKS",$AI853&lt;&gt;1,OR($L853-$P853&lt;$N853,$M853-$Q853&lt;$O853)),1,0))</f>
        <v/>
      </c>
      <c r="AE853" s="14" t="str">
        <f aca="false">IF($D853&lt;&gt;1,"",IF(AND($G853="ROKS",$T853&gt;p_maxworkers),1,0))</f>
        <v/>
      </c>
      <c r="AF853" s="14" t="str">
        <f aca="false">IF($D853&lt;&gt;1,"",IF(INDEX(TblClusters[Environnement],$B853)="","(vide)",INDEX(TblClusters[Environnement],$B853)))</f>
        <v/>
      </c>
      <c r="AG853" s="14" t="str">
        <f aca="false">IF($D853&lt;&gt;1,"",$R853+p_poidsram*$S853)</f>
        <v/>
      </c>
      <c r="AH853" s="14" t="str">
        <f aca="false">IF($D853&lt;&gt;1,"",IFERROR($W853/$AG853,0))</f>
        <v/>
      </c>
      <c r="AI853" s="14" t="str">
        <f aca="false">IF($D853&lt;&gt;1,"",IF(AND($G853="IKS",ISNUMBER(INDEX(TblClusters[Fermeture retenue],$B853))),IF($E853&gt;=INDEX(TblClusters[Fermeture retenue],$B853),1,0),0))</f>
        <v/>
      </c>
    </row>
    <row r="854" customFormat="false" ht="15" hidden="false" customHeight="false" outlineLevel="0" collapsed="false">
      <c r="A854" s="14" t="n">
        <v>849</v>
      </c>
      <c r="B854" s="14" t="n">
        <f aca="false">INT(($A854-1)/36)+1</f>
        <v>24</v>
      </c>
      <c r="C854" s="14" t="n">
        <f aca="false">MOD($A854-1,36)+1</f>
        <v>21</v>
      </c>
      <c r="D854" s="14" t="n">
        <f aca="false">IF($C854&gt;p_horizon,0,IFERROR(IF(AND(INDEX(TblClusters[Cluster],$B854)&lt;&gt;"",ISNUMBER(INDEX(TblClusters[CPU initial (vCPU)],$B854)),ISNUMBER(INDEX(TblClusters[CPU min (vCPU)],$B854)),OR(INDEX(TblClusters[Plateforme],$B854)="IKS",INDEX(TblClusters[Plateforme],$B854)="ROKS")),1,0),0))</f>
        <v>0</v>
      </c>
      <c r="E854" s="83" t="str">
        <f aca="false">IF($D854=1,EDATE(p_debut,$C854-1),"")</f>
        <v/>
      </c>
      <c r="F854" s="14" t="str">
        <f aca="false">IF($D854=1,INDEX(TblClusters[Cluster],$B854),"")</f>
        <v/>
      </c>
      <c r="G854" s="14" t="str">
        <f aca="false">IF($D854=1,INDEX(TblClusters[Plateforme],$B854),"")</f>
        <v/>
      </c>
      <c r="H854" s="14" t="str">
        <f aca="false">IF($D854=1,INDEX(TblClusters[vCPU par nœud],$B854),"")</f>
        <v/>
      </c>
      <c r="I854" s="14" t="str">
        <f aca="false">IF($D854=1,INDEX(TblClusters[RAM par nœud (Go)],$B854),"")</f>
        <v/>
      </c>
      <c r="J854" s="14" t="str">
        <f aca="false">IF($D854=1,INDEX(TblClusters[Workers min],$B854),"")</f>
        <v/>
      </c>
      <c r="K854" s="84" t="str">
        <f aca="false">IF($D854=1,INDEX(TblClusters[Tarif par nœud],$B854),"")</f>
        <v/>
      </c>
      <c r="L854" s="14" t="str">
        <f aca="false">IF($D854=1,INDEX(TblClusters[CPU initial (vCPU)],$B854),"")</f>
        <v/>
      </c>
      <c r="M854" s="14" t="str">
        <f aca="false">IF($D854=1,INDEX(TblClusters[RAM initiale (Go)],$B854),"")</f>
        <v/>
      </c>
      <c r="N854" s="14" t="str">
        <f aca="false">IF($D854=1,INDEX(TblClusters[CPU min (vCPU)],$B854),"")</f>
        <v/>
      </c>
      <c r="O854" s="14" t="str">
        <f aca="false">IF($D854=1,INDEX(TblClusters[RAM min (Go)],$B854),"")</f>
        <v/>
      </c>
      <c r="P854" s="14" t="str">
        <f aca="false">IF($D854&lt;&gt;1,"",IF($G854="ROKS",SUMIFS(TblApplications[Besoin ROKS CPU (vCPU)],TblApplications[Cluster ROKS cible],$F854,TblApplications[Action],"À migrer",TblApplications[Déjà incluse ROKS],"Non",TblApplications[Mois prov (calc)],"&lt;="&amp;$E854),SUMIFS(TblApplications[CPU IKS libérable (vCPU)],TblApplications[Cluster IKS source],$F854,TblApplications[Mois lib (calc)],"&lt;="&amp;$E854)))</f>
        <v/>
      </c>
      <c r="Q854" s="14" t="str">
        <f aca="false">IF($D854&lt;&gt;1,"",IF($G854="ROKS",SUMIFS(TblApplications[Besoin ROKS RAM (Go)],TblApplications[Cluster ROKS cible],$F854,TblApplications[Action],"À migrer",TblApplications[Déjà incluse ROKS],"Non",TblApplications[Mois prov (calc)],"&lt;="&amp;$E854),SUMIFS(TblApplications[RAM IKS libérable (Go)],TblApplications[Cluster IKS source],$F854,TblApplications[Mois lib (calc)],"&lt;="&amp;$E854)))</f>
        <v/>
      </c>
      <c r="R854" s="14" t="str">
        <f aca="false">IF($D854&lt;&gt;1,"",IF($G854="ROKS",$L854+$P854,IF($AI854=1,0,MAX($N854,$L854-$P854))))</f>
        <v/>
      </c>
      <c r="S854" s="14" t="str">
        <f aca="false">IF($D854&lt;&gt;1,"",IF($G854="ROKS",$M854+$Q854,IF($AI854=1,0,MAX($O854,$M854-$Q854))))</f>
        <v/>
      </c>
      <c r="T854" s="14" t="str">
        <f aca="false">IF($D854&lt;&gt;1,"",IF($AI854=1,0,MAX($J854,ROUNDUP(MAX($R854/$H854,$S854/$I854),0))))</f>
        <v/>
      </c>
      <c r="U854" s="14" t="str">
        <f aca="false">IF($D854&lt;&gt;1,"",IF(p_mode="Nœud",$T854*$H854,$R854))</f>
        <v/>
      </c>
      <c r="V854" s="14" t="str">
        <f aca="false">IF($D854&lt;&gt;1,"",IF(p_mode="Nœud",$T854*$I854,$S854))</f>
        <v/>
      </c>
      <c r="W854" s="84" t="str">
        <f aca="false">IF($D854&lt;&gt;1,"",IF(p_mode="Nœud",$T854*$K854,$R854*IF($G854="IKS",p_iks_cpu,p_roks_cpu)+$S854*IF($G854="IKS",p_iks_ram,p_roks_ram))*p_facteur)</f>
        <v/>
      </c>
      <c r="X854" s="14" t="str">
        <f aca="false">IF($D854&lt;&gt;1,"",IF($G854="ROKS",$R854,IF($AI854=1,0,MAX($N854,$L854-SUMIFS(TblApplications[CPU IKS libérable (vCPU)],TblApplications[Cluster IKS source],$F854,TblApplications[Action],"À migrer",TblApplications[Mois prov (calc)],"&lt;="&amp;$E854)-SUMIFS(TblApplications[CPU IKS libérable (vCPU)],TblApplications[Cluster IKS source],$F854,TblApplications[Action],"À décommissionner",TblApplications[Mois lib (calc)],"&lt;="&amp;$E854)))))</f>
        <v/>
      </c>
      <c r="Y854" s="14" t="str">
        <f aca="false">IF($D854&lt;&gt;1,"",IF($G854="ROKS",$S854,IF($AI854=1,0,MAX($O854,$M854-SUMIFS(TblApplications[RAM IKS libérable (Go)],TblApplications[Cluster IKS source],$F854,TblApplications[Action],"À migrer",TblApplications[Mois prov (calc)],"&lt;="&amp;$E854)-SUMIFS(TblApplications[RAM IKS libérable (Go)],TblApplications[Cluster IKS source],$F854,TblApplications[Action],"À décommissionner",TblApplications[Mois lib (calc)],"&lt;="&amp;$E854)))))</f>
        <v/>
      </c>
      <c r="Z854" s="14" t="str">
        <f aca="false">IF($D854&lt;&gt;1,"",IF($AI854=1,0,MAX($J854,ROUNDUP(MAX($X854/$H854,$Y854/$I854),0))))</f>
        <v/>
      </c>
      <c r="AA854" s="84" t="str">
        <f aca="false">IF($D854&lt;&gt;1,"",IF(p_mode="Nœud",$Z854*$K854,$X854*IF($G854="IKS",p_iks_cpu,p_roks_cpu)+$Y854*IF($G854="IKS",p_iks_ram,p_roks_ram))*p_facteur)</f>
        <v/>
      </c>
      <c r="AB854" s="14" t="str">
        <f aca="false">IF($D854&lt;&gt;1,"",MAX($J854,ROUNDUP(MAX($L854/$H854,$M854/$I854),0)))</f>
        <v/>
      </c>
      <c r="AC854" s="84" t="str">
        <f aca="false">IF($D854&lt;&gt;1,"",IF(p_mode="Nœud",$AB854*$K854,$L854*IF($G854="IKS",p_iks_cpu,p_roks_cpu)+$M854*IF($G854="IKS",p_iks_ram,p_roks_ram))*p_facteur)</f>
        <v/>
      </c>
      <c r="AD854" s="14" t="str">
        <f aca="false">IF($D854&lt;&gt;1,"",IF(AND($G854="IKS",$AI854&lt;&gt;1,OR($L854-$P854&lt;$N854,$M854-$Q854&lt;$O854)),1,0))</f>
        <v/>
      </c>
      <c r="AE854" s="14" t="str">
        <f aca="false">IF($D854&lt;&gt;1,"",IF(AND($G854="ROKS",$T854&gt;p_maxworkers),1,0))</f>
        <v/>
      </c>
      <c r="AF854" s="14" t="str">
        <f aca="false">IF($D854&lt;&gt;1,"",IF(INDEX(TblClusters[Environnement],$B854)="","(vide)",INDEX(TblClusters[Environnement],$B854)))</f>
        <v/>
      </c>
      <c r="AG854" s="14" t="str">
        <f aca="false">IF($D854&lt;&gt;1,"",$R854+p_poidsram*$S854)</f>
        <v/>
      </c>
      <c r="AH854" s="14" t="str">
        <f aca="false">IF($D854&lt;&gt;1,"",IFERROR($W854/$AG854,0))</f>
        <v/>
      </c>
      <c r="AI854" s="14" t="str">
        <f aca="false">IF($D854&lt;&gt;1,"",IF(AND($G854="IKS",ISNUMBER(INDEX(TblClusters[Fermeture retenue],$B854))),IF($E854&gt;=INDEX(TblClusters[Fermeture retenue],$B854),1,0),0))</f>
        <v/>
      </c>
    </row>
    <row r="855" customFormat="false" ht="15" hidden="false" customHeight="false" outlineLevel="0" collapsed="false">
      <c r="A855" s="14" t="n">
        <v>850</v>
      </c>
      <c r="B855" s="14" t="n">
        <f aca="false">INT(($A855-1)/36)+1</f>
        <v>24</v>
      </c>
      <c r="C855" s="14" t="n">
        <f aca="false">MOD($A855-1,36)+1</f>
        <v>22</v>
      </c>
      <c r="D855" s="14" t="n">
        <f aca="false">IF($C855&gt;p_horizon,0,IFERROR(IF(AND(INDEX(TblClusters[Cluster],$B855)&lt;&gt;"",ISNUMBER(INDEX(TblClusters[CPU initial (vCPU)],$B855)),ISNUMBER(INDEX(TblClusters[CPU min (vCPU)],$B855)),OR(INDEX(TblClusters[Plateforme],$B855)="IKS",INDEX(TblClusters[Plateforme],$B855)="ROKS")),1,0),0))</f>
        <v>0</v>
      </c>
      <c r="E855" s="83" t="str">
        <f aca="false">IF($D855=1,EDATE(p_debut,$C855-1),"")</f>
        <v/>
      </c>
      <c r="F855" s="14" t="str">
        <f aca="false">IF($D855=1,INDEX(TblClusters[Cluster],$B855),"")</f>
        <v/>
      </c>
      <c r="G855" s="14" t="str">
        <f aca="false">IF($D855=1,INDEX(TblClusters[Plateforme],$B855),"")</f>
        <v/>
      </c>
      <c r="H855" s="14" t="str">
        <f aca="false">IF($D855=1,INDEX(TblClusters[vCPU par nœud],$B855),"")</f>
        <v/>
      </c>
      <c r="I855" s="14" t="str">
        <f aca="false">IF($D855=1,INDEX(TblClusters[RAM par nœud (Go)],$B855),"")</f>
        <v/>
      </c>
      <c r="J855" s="14" t="str">
        <f aca="false">IF($D855=1,INDEX(TblClusters[Workers min],$B855),"")</f>
        <v/>
      </c>
      <c r="K855" s="84" t="str">
        <f aca="false">IF($D855=1,INDEX(TblClusters[Tarif par nœud],$B855),"")</f>
        <v/>
      </c>
      <c r="L855" s="14" t="str">
        <f aca="false">IF($D855=1,INDEX(TblClusters[CPU initial (vCPU)],$B855),"")</f>
        <v/>
      </c>
      <c r="M855" s="14" t="str">
        <f aca="false">IF($D855=1,INDEX(TblClusters[RAM initiale (Go)],$B855),"")</f>
        <v/>
      </c>
      <c r="N855" s="14" t="str">
        <f aca="false">IF($D855=1,INDEX(TblClusters[CPU min (vCPU)],$B855),"")</f>
        <v/>
      </c>
      <c r="O855" s="14" t="str">
        <f aca="false">IF($D855=1,INDEX(TblClusters[RAM min (Go)],$B855),"")</f>
        <v/>
      </c>
      <c r="P855" s="14" t="str">
        <f aca="false">IF($D855&lt;&gt;1,"",IF($G855="ROKS",SUMIFS(TblApplications[Besoin ROKS CPU (vCPU)],TblApplications[Cluster ROKS cible],$F855,TblApplications[Action],"À migrer",TblApplications[Déjà incluse ROKS],"Non",TblApplications[Mois prov (calc)],"&lt;="&amp;$E855),SUMIFS(TblApplications[CPU IKS libérable (vCPU)],TblApplications[Cluster IKS source],$F855,TblApplications[Mois lib (calc)],"&lt;="&amp;$E855)))</f>
        <v/>
      </c>
      <c r="Q855" s="14" t="str">
        <f aca="false">IF($D855&lt;&gt;1,"",IF($G855="ROKS",SUMIFS(TblApplications[Besoin ROKS RAM (Go)],TblApplications[Cluster ROKS cible],$F855,TblApplications[Action],"À migrer",TblApplications[Déjà incluse ROKS],"Non",TblApplications[Mois prov (calc)],"&lt;="&amp;$E855),SUMIFS(TblApplications[RAM IKS libérable (Go)],TblApplications[Cluster IKS source],$F855,TblApplications[Mois lib (calc)],"&lt;="&amp;$E855)))</f>
        <v/>
      </c>
      <c r="R855" s="14" t="str">
        <f aca="false">IF($D855&lt;&gt;1,"",IF($G855="ROKS",$L855+$P855,IF($AI855=1,0,MAX($N855,$L855-$P855))))</f>
        <v/>
      </c>
      <c r="S855" s="14" t="str">
        <f aca="false">IF($D855&lt;&gt;1,"",IF($G855="ROKS",$M855+$Q855,IF($AI855=1,0,MAX($O855,$M855-$Q855))))</f>
        <v/>
      </c>
      <c r="T855" s="14" t="str">
        <f aca="false">IF($D855&lt;&gt;1,"",IF($AI855=1,0,MAX($J855,ROUNDUP(MAX($R855/$H855,$S855/$I855),0))))</f>
        <v/>
      </c>
      <c r="U855" s="14" t="str">
        <f aca="false">IF($D855&lt;&gt;1,"",IF(p_mode="Nœud",$T855*$H855,$R855))</f>
        <v/>
      </c>
      <c r="V855" s="14" t="str">
        <f aca="false">IF($D855&lt;&gt;1,"",IF(p_mode="Nœud",$T855*$I855,$S855))</f>
        <v/>
      </c>
      <c r="W855" s="84" t="str">
        <f aca="false">IF($D855&lt;&gt;1,"",IF(p_mode="Nœud",$T855*$K855,$R855*IF($G855="IKS",p_iks_cpu,p_roks_cpu)+$S855*IF($G855="IKS",p_iks_ram,p_roks_ram))*p_facteur)</f>
        <v/>
      </c>
      <c r="X855" s="14" t="str">
        <f aca="false">IF($D855&lt;&gt;1,"",IF($G855="ROKS",$R855,IF($AI855=1,0,MAX($N855,$L855-SUMIFS(TblApplications[CPU IKS libérable (vCPU)],TblApplications[Cluster IKS source],$F855,TblApplications[Action],"À migrer",TblApplications[Mois prov (calc)],"&lt;="&amp;$E855)-SUMIFS(TblApplications[CPU IKS libérable (vCPU)],TblApplications[Cluster IKS source],$F855,TblApplications[Action],"À décommissionner",TblApplications[Mois lib (calc)],"&lt;="&amp;$E855)))))</f>
        <v/>
      </c>
      <c r="Y855" s="14" t="str">
        <f aca="false">IF($D855&lt;&gt;1,"",IF($G855="ROKS",$S855,IF($AI855=1,0,MAX($O855,$M855-SUMIFS(TblApplications[RAM IKS libérable (Go)],TblApplications[Cluster IKS source],$F855,TblApplications[Action],"À migrer",TblApplications[Mois prov (calc)],"&lt;="&amp;$E855)-SUMIFS(TblApplications[RAM IKS libérable (Go)],TblApplications[Cluster IKS source],$F855,TblApplications[Action],"À décommissionner",TblApplications[Mois lib (calc)],"&lt;="&amp;$E855)))))</f>
        <v/>
      </c>
      <c r="Z855" s="14" t="str">
        <f aca="false">IF($D855&lt;&gt;1,"",IF($AI855=1,0,MAX($J855,ROUNDUP(MAX($X855/$H855,$Y855/$I855),0))))</f>
        <v/>
      </c>
      <c r="AA855" s="84" t="str">
        <f aca="false">IF($D855&lt;&gt;1,"",IF(p_mode="Nœud",$Z855*$K855,$X855*IF($G855="IKS",p_iks_cpu,p_roks_cpu)+$Y855*IF($G855="IKS",p_iks_ram,p_roks_ram))*p_facteur)</f>
        <v/>
      </c>
      <c r="AB855" s="14" t="str">
        <f aca="false">IF($D855&lt;&gt;1,"",MAX($J855,ROUNDUP(MAX($L855/$H855,$M855/$I855),0)))</f>
        <v/>
      </c>
      <c r="AC855" s="84" t="str">
        <f aca="false">IF($D855&lt;&gt;1,"",IF(p_mode="Nœud",$AB855*$K855,$L855*IF($G855="IKS",p_iks_cpu,p_roks_cpu)+$M855*IF($G855="IKS",p_iks_ram,p_roks_ram))*p_facteur)</f>
        <v/>
      </c>
      <c r="AD855" s="14" t="str">
        <f aca="false">IF($D855&lt;&gt;1,"",IF(AND($G855="IKS",$AI855&lt;&gt;1,OR($L855-$P855&lt;$N855,$M855-$Q855&lt;$O855)),1,0))</f>
        <v/>
      </c>
      <c r="AE855" s="14" t="str">
        <f aca="false">IF($D855&lt;&gt;1,"",IF(AND($G855="ROKS",$T855&gt;p_maxworkers),1,0))</f>
        <v/>
      </c>
      <c r="AF855" s="14" t="str">
        <f aca="false">IF($D855&lt;&gt;1,"",IF(INDEX(TblClusters[Environnement],$B855)="","(vide)",INDEX(TblClusters[Environnement],$B855)))</f>
        <v/>
      </c>
      <c r="AG855" s="14" t="str">
        <f aca="false">IF($D855&lt;&gt;1,"",$R855+p_poidsram*$S855)</f>
        <v/>
      </c>
      <c r="AH855" s="14" t="str">
        <f aca="false">IF($D855&lt;&gt;1,"",IFERROR($W855/$AG855,0))</f>
        <v/>
      </c>
      <c r="AI855" s="14" t="str">
        <f aca="false">IF($D855&lt;&gt;1,"",IF(AND($G855="IKS",ISNUMBER(INDEX(TblClusters[Fermeture retenue],$B855))),IF($E855&gt;=INDEX(TblClusters[Fermeture retenue],$B855),1,0),0))</f>
        <v/>
      </c>
    </row>
    <row r="856" customFormat="false" ht="15" hidden="false" customHeight="false" outlineLevel="0" collapsed="false">
      <c r="A856" s="14" t="n">
        <v>851</v>
      </c>
      <c r="B856" s="14" t="n">
        <f aca="false">INT(($A856-1)/36)+1</f>
        <v>24</v>
      </c>
      <c r="C856" s="14" t="n">
        <f aca="false">MOD($A856-1,36)+1</f>
        <v>23</v>
      </c>
      <c r="D856" s="14" t="n">
        <f aca="false">IF($C856&gt;p_horizon,0,IFERROR(IF(AND(INDEX(TblClusters[Cluster],$B856)&lt;&gt;"",ISNUMBER(INDEX(TblClusters[CPU initial (vCPU)],$B856)),ISNUMBER(INDEX(TblClusters[CPU min (vCPU)],$B856)),OR(INDEX(TblClusters[Plateforme],$B856)="IKS",INDEX(TblClusters[Plateforme],$B856)="ROKS")),1,0),0))</f>
        <v>0</v>
      </c>
      <c r="E856" s="83" t="str">
        <f aca="false">IF($D856=1,EDATE(p_debut,$C856-1),"")</f>
        <v/>
      </c>
      <c r="F856" s="14" t="str">
        <f aca="false">IF($D856=1,INDEX(TblClusters[Cluster],$B856),"")</f>
        <v/>
      </c>
      <c r="G856" s="14" t="str">
        <f aca="false">IF($D856=1,INDEX(TblClusters[Plateforme],$B856),"")</f>
        <v/>
      </c>
      <c r="H856" s="14" t="str">
        <f aca="false">IF($D856=1,INDEX(TblClusters[vCPU par nœud],$B856),"")</f>
        <v/>
      </c>
      <c r="I856" s="14" t="str">
        <f aca="false">IF($D856=1,INDEX(TblClusters[RAM par nœud (Go)],$B856),"")</f>
        <v/>
      </c>
      <c r="J856" s="14" t="str">
        <f aca="false">IF($D856=1,INDEX(TblClusters[Workers min],$B856),"")</f>
        <v/>
      </c>
      <c r="K856" s="84" t="str">
        <f aca="false">IF($D856=1,INDEX(TblClusters[Tarif par nœud],$B856),"")</f>
        <v/>
      </c>
      <c r="L856" s="14" t="str">
        <f aca="false">IF($D856=1,INDEX(TblClusters[CPU initial (vCPU)],$B856),"")</f>
        <v/>
      </c>
      <c r="M856" s="14" t="str">
        <f aca="false">IF($D856=1,INDEX(TblClusters[RAM initiale (Go)],$B856),"")</f>
        <v/>
      </c>
      <c r="N856" s="14" t="str">
        <f aca="false">IF($D856=1,INDEX(TblClusters[CPU min (vCPU)],$B856),"")</f>
        <v/>
      </c>
      <c r="O856" s="14" t="str">
        <f aca="false">IF($D856=1,INDEX(TblClusters[RAM min (Go)],$B856),"")</f>
        <v/>
      </c>
      <c r="P856" s="14" t="str">
        <f aca="false">IF($D856&lt;&gt;1,"",IF($G856="ROKS",SUMIFS(TblApplications[Besoin ROKS CPU (vCPU)],TblApplications[Cluster ROKS cible],$F856,TblApplications[Action],"À migrer",TblApplications[Déjà incluse ROKS],"Non",TblApplications[Mois prov (calc)],"&lt;="&amp;$E856),SUMIFS(TblApplications[CPU IKS libérable (vCPU)],TblApplications[Cluster IKS source],$F856,TblApplications[Mois lib (calc)],"&lt;="&amp;$E856)))</f>
        <v/>
      </c>
      <c r="Q856" s="14" t="str">
        <f aca="false">IF($D856&lt;&gt;1,"",IF($G856="ROKS",SUMIFS(TblApplications[Besoin ROKS RAM (Go)],TblApplications[Cluster ROKS cible],$F856,TblApplications[Action],"À migrer",TblApplications[Déjà incluse ROKS],"Non",TblApplications[Mois prov (calc)],"&lt;="&amp;$E856),SUMIFS(TblApplications[RAM IKS libérable (Go)],TblApplications[Cluster IKS source],$F856,TblApplications[Mois lib (calc)],"&lt;="&amp;$E856)))</f>
        <v/>
      </c>
      <c r="R856" s="14" t="str">
        <f aca="false">IF($D856&lt;&gt;1,"",IF($G856="ROKS",$L856+$P856,IF($AI856=1,0,MAX($N856,$L856-$P856))))</f>
        <v/>
      </c>
      <c r="S856" s="14" t="str">
        <f aca="false">IF($D856&lt;&gt;1,"",IF($G856="ROKS",$M856+$Q856,IF($AI856=1,0,MAX($O856,$M856-$Q856))))</f>
        <v/>
      </c>
      <c r="T856" s="14" t="str">
        <f aca="false">IF($D856&lt;&gt;1,"",IF($AI856=1,0,MAX($J856,ROUNDUP(MAX($R856/$H856,$S856/$I856),0))))</f>
        <v/>
      </c>
      <c r="U856" s="14" t="str">
        <f aca="false">IF($D856&lt;&gt;1,"",IF(p_mode="Nœud",$T856*$H856,$R856))</f>
        <v/>
      </c>
      <c r="V856" s="14" t="str">
        <f aca="false">IF($D856&lt;&gt;1,"",IF(p_mode="Nœud",$T856*$I856,$S856))</f>
        <v/>
      </c>
      <c r="W856" s="84" t="str">
        <f aca="false">IF($D856&lt;&gt;1,"",IF(p_mode="Nœud",$T856*$K856,$R856*IF($G856="IKS",p_iks_cpu,p_roks_cpu)+$S856*IF($G856="IKS",p_iks_ram,p_roks_ram))*p_facteur)</f>
        <v/>
      </c>
      <c r="X856" s="14" t="str">
        <f aca="false">IF($D856&lt;&gt;1,"",IF($G856="ROKS",$R856,IF($AI856=1,0,MAX($N856,$L856-SUMIFS(TblApplications[CPU IKS libérable (vCPU)],TblApplications[Cluster IKS source],$F856,TblApplications[Action],"À migrer",TblApplications[Mois prov (calc)],"&lt;="&amp;$E856)-SUMIFS(TblApplications[CPU IKS libérable (vCPU)],TblApplications[Cluster IKS source],$F856,TblApplications[Action],"À décommissionner",TblApplications[Mois lib (calc)],"&lt;="&amp;$E856)))))</f>
        <v/>
      </c>
      <c r="Y856" s="14" t="str">
        <f aca="false">IF($D856&lt;&gt;1,"",IF($G856="ROKS",$S856,IF($AI856=1,0,MAX($O856,$M856-SUMIFS(TblApplications[RAM IKS libérable (Go)],TblApplications[Cluster IKS source],$F856,TblApplications[Action],"À migrer",TblApplications[Mois prov (calc)],"&lt;="&amp;$E856)-SUMIFS(TblApplications[RAM IKS libérable (Go)],TblApplications[Cluster IKS source],$F856,TblApplications[Action],"À décommissionner",TblApplications[Mois lib (calc)],"&lt;="&amp;$E856)))))</f>
        <v/>
      </c>
      <c r="Z856" s="14" t="str">
        <f aca="false">IF($D856&lt;&gt;1,"",IF($AI856=1,0,MAX($J856,ROUNDUP(MAX($X856/$H856,$Y856/$I856),0))))</f>
        <v/>
      </c>
      <c r="AA856" s="84" t="str">
        <f aca="false">IF($D856&lt;&gt;1,"",IF(p_mode="Nœud",$Z856*$K856,$X856*IF($G856="IKS",p_iks_cpu,p_roks_cpu)+$Y856*IF($G856="IKS",p_iks_ram,p_roks_ram))*p_facteur)</f>
        <v/>
      </c>
      <c r="AB856" s="14" t="str">
        <f aca="false">IF($D856&lt;&gt;1,"",MAX($J856,ROUNDUP(MAX($L856/$H856,$M856/$I856),0)))</f>
        <v/>
      </c>
      <c r="AC856" s="84" t="str">
        <f aca="false">IF($D856&lt;&gt;1,"",IF(p_mode="Nœud",$AB856*$K856,$L856*IF($G856="IKS",p_iks_cpu,p_roks_cpu)+$M856*IF($G856="IKS",p_iks_ram,p_roks_ram))*p_facteur)</f>
        <v/>
      </c>
      <c r="AD856" s="14" t="str">
        <f aca="false">IF($D856&lt;&gt;1,"",IF(AND($G856="IKS",$AI856&lt;&gt;1,OR($L856-$P856&lt;$N856,$M856-$Q856&lt;$O856)),1,0))</f>
        <v/>
      </c>
      <c r="AE856" s="14" t="str">
        <f aca="false">IF($D856&lt;&gt;1,"",IF(AND($G856="ROKS",$T856&gt;p_maxworkers),1,0))</f>
        <v/>
      </c>
      <c r="AF856" s="14" t="str">
        <f aca="false">IF($D856&lt;&gt;1,"",IF(INDEX(TblClusters[Environnement],$B856)="","(vide)",INDEX(TblClusters[Environnement],$B856)))</f>
        <v/>
      </c>
      <c r="AG856" s="14" t="str">
        <f aca="false">IF($D856&lt;&gt;1,"",$R856+p_poidsram*$S856)</f>
        <v/>
      </c>
      <c r="AH856" s="14" t="str">
        <f aca="false">IF($D856&lt;&gt;1,"",IFERROR($W856/$AG856,0))</f>
        <v/>
      </c>
      <c r="AI856" s="14" t="str">
        <f aca="false">IF($D856&lt;&gt;1,"",IF(AND($G856="IKS",ISNUMBER(INDEX(TblClusters[Fermeture retenue],$B856))),IF($E856&gt;=INDEX(TblClusters[Fermeture retenue],$B856),1,0),0))</f>
        <v/>
      </c>
    </row>
    <row r="857" customFormat="false" ht="15" hidden="false" customHeight="false" outlineLevel="0" collapsed="false">
      <c r="A857" s="14" t="n">
        <v>852</v>
      </c>
      <c r="B857" s="14" t="n">
        <f aca="false">INT(($A857-1)/36)+1</f>
        <v>24</v>
      </c>
      <c r="C857" s="14" t="n">
        <f aca="false">MOD($A857-1,36)+1</f>
        <v>24</v>
      </c>
      <c r="D857" s="14" t="n">
        <f aca="false">IF($C857&gt;p_horizon,0,IFERROR(IF(AND(INDEX(TblClusters[Cluster],$B857)&lt;&gt;"",ISNUMBER(INDEX(TblClusters[CPU initial (vCPU)],$B857)),ISNUMBER(INDEX(TblClusters[CPU min (vCPU)],$B857)),OR(INDEX(TblClusters[Plateforme],$B857)="IKS",INDEX(TblClusters[Plateforme],$B857)="ROKS")),1,0),0))</f>
        <v>0</v>
      </c>
      <c r="E857" s="83" t="str">
        <f aca="false">IF($D857=1,EDATE(p_debut,$C857-1),"")</f>
        <v/>
      </c>
      <c r="F857" s="14" t="str">
        <f aca="false">IF($D857=1,INDEX(TblClusters[Cluster],$B857),"")</f>
        <v/>
      </c>
      <c r="G857" s="14" t="str">
        <f aca="false">IF($D857=1,INDEX(TblClusters[Plateforme],$B857),"")</f>
        <v/>
      </c>
      <c r="H857" s="14" t="str">
        <f aca="false">IF($D857=1,INDEX(TblClusters[vCPU par nœud],$B857),"")</f>
        <v/>
      </c>
      <c r="I857" s="14" t="str">
        <f aca="false">IF($D857=1,INDEX(TblClusters[RAM par nœud (Go)],$B857),"")</f>
        <v/>
      </c>
      <c r="J857" s="14" t="str">
        <f aca="false">IF($D857=1,INDEX(TblClusters[Workers min],$B857),"")</f>
        <v/>
      </c>
      <c r="K857" s="84" t="str">
        <f aca="false">IF($D857=1,INDEX(TblClusters[Tarif par nœud],$B857),"")</f>
        <v/>
      </c>
      <c r="L857" s="14" t="str">
        <f aca="false">IF($D857=1,INDEX(TblClusters[CPU initial (vCPU)],$B857),"")</f>
        <v/>
      </c>
      <c r="M857" s="14" t="str">
        <f aca="false">IF($D857=1,INDEX(TblClusters[RAM initiale (Go)],$B857),"")</f>
        <v/>
      </c>
      <c r="N857" s="14" t="str">
        <f aca="false">IF($D857=1,INDEX(TblClusters[CPU min (vCPU)],$B857),"")</f>
        <v/>
      </c>
      <c r="O857" s="14" t="str">
        <f aca="false">IF($D857=1,INDEX(TblClusters[RAM min (Go)],$B857),"")</f>
        <v/>
      </c>
      <c r="P857" s="14" t="str">
        <f aca="false">IF($D857&lt;&gt;1,"",IF($G857="ROKS",SUMIFS(TblApplications[Besoin ROKS CPU (vCPU)],TblApplications[Cluster ROKS cible],$F857,TblApplications[Action],"À migrer",TblApplications[Déjà incluse ROKS],"Non",TblApplications[Mois prov (calc)],"&lt;="&amp;$E857),SUMIFS(TblApplications[CPU IKS libérable (vCPU)],TblApplications[Cluster IKS source],$F857,TblApplications[Mois lib (calc)],"&lt;="&amp;$E857)))</f>
        <v/>
      </c>
      <c r="Q857" s="14" t="str">
        <f aca="false">IF($D857&lt;&gt;1,"",IF($G857="ROKS",SUMIFS(TblApplications[Besoin ROKS RAM (Go)],TblApplications[Cluster ROKS cible],$F857,TblApplications[Action],"À migrer",TblApplications[Déjà incluse ROKS],"Non",TblApplications[Mois prov (calc)],"&lt;="&amp;$E857),SUMIFS(TblApplications[RAM IKS libérable (Go)],TblApplications[Cluster IKS source],$F857,TblApplications[Mois lib (calc)],"&lt;="&amp;$E857)))</f>
        <v/>
      </c>
      <c r="R857" s="14" t="str">
        <f aca="false">IF($D857&lt;&gt;1,"",IF($G857="ROKS",$L857+$P857,IF($AI857=1,0,MAX($N857,$L857-$P857))))</f>
        <v/>
      </c>
      <c r="S857" s="14" t="str">
        <f aca="false">IF($D857&lt;&gt;1,"",IF($G857="ROKS",$M857+$Q857,IF($AI857=1,0,MAX($O857,$M857-$Q857))))</f>
        <v/>
      </c>
      <c r="T857" s="14" t="str">
        <f aca="false">IF($D857&lt;&gt;1,"",IF($AI857=1,0,MAX($J857,ROUNDUP(MAX($R857/$H857,$S857/$I857),0))))</f>
        <v/>
      </c>
      <c r="U857" s="14" t="str">
        <f aca="false">IF($D857&lt;&gt;1,"",IF(p_mode="Nœud",$T857*$H857,$R857))</f>
        <v/>
      </c>
      <c r="V857" s="14" t="str">
        <f aca="false">IF($D857&lt;&gt;1,"",IF(p_mode="Nœud",$T857*$I857,$S857))</f>
        <v/>
      </c>
      <c r="W857" s="84" t="str">
        <f aca="false">IF($D857&lt;&gt;1,"",IF(p_mode="Nœud",$T857*$K857,$R857*IF($G857="IKS",p_iks_cpu,p_roks_cpu)+$S857*IF($G857="IKS",p_iks_ram,p_roks_ram))*p_facteur)</f>
        <v/>
      </c>
      <c r="X857" s="14" t="str">
        <f aca="false">IF($D857&lt;&gt;1,"",IF($G857="ROKS",$R857,IF($AI857=1,0,MAX($N857,$L857-SUMIFS(TblApplications[CPU IKS libérable (vCPU)],TblApplications[Cluster IKS source],$F857,TblApplications[Action],"À migrer",TblApplications[Mois prov (calc)],"&lt;="&amp;$E857)-SUMIFS(TblApplications[CPU IKS libérable (vCPU)],TblApplications[Cluster IKS source],$F857,TblApplications[Action],"À décommissionner",TblApplications[Mois lib (calc)],"&lt;="&amp;$E857)))))</f>
        <v/>
      </c>
      <c r="Y857" s="14" t="str">
        <f aca="false">IF($D857&lt;&gt;1,"",IF($G857="ROKS",$S857,IF($AI857=1,0,MAX($O857,$M857-SUMIFS(TblApplications[RAM IKS libérable (Go)],TblApplications[Cluster IKS source],$F857,TblApplications[Action],"À migrer",TblApplications[Mois prov (calc)],"&lt;="&amp;$E857)-SUMIFS(TblApplications[RAM IKS libérable (Go)],TblApplications[Cluster IKS source],$F857,TblApplications[Action],"À décommissionner",TblApplications[Mois lib (calc)],"&lt;="&amp;$E857)))))</f>
        <v/>
      </c>
      <c r="Z857" s="14" t="str">
        <f aca="false">IF($D857&lt;&gt;1,"",IF($AI857=1,0,MAX($J857,ROUNDUP(MAX($X857/$H857,$Y857/$I857),0))))</f>
        <v/>
      </c>
      <c r="AA857" s="84" t="str">
        <f aca="false">IF($D857&lt;&gt;1,"",IF(p_mode="Nœud",$Z857*$K857,$X857*IF($G857="IKS",p_iks_cpu,p_roks_cpu)+$Y857*IF($G857="IKS",p_iks_ram,p_roks_ram))*p_facteur)</f>
        <v/>
      </c>
      <c r="AB857" s="14" t="str">
        <f aca="false">IF($D857&lt;&gt;1,"",MAX($J857,ROUNDUP(MAX($L857/$H857,$M857/$I857),0)))</f>
        <v/>
      </c>
      <c r="AC857" s="84" t="str">
        <f aca="false">IF($D857&lt;&gt;1,"",IF(p_mode="Nœud",$AB857*$K857,$L857*IF($G857="IKS",p_iks_cpu,p_roks_cpu)+$M857*IF($G857="IKS",p_iks_ram,p_roks_ram))*p_facteur)</f>
        <v/>
      </c>
      <c r="AD857" s="14" t="str">
        <f aca="false">IF($D857&lt;&gt;1,"",IF(AND($G857="IKS",$AI857&lt;&gt;1,OR($L857-$P857&lt;$N857,$M857-$Q857&lt;$O857)),1,0))</f>
        <v/>
      </c>
      <c r="AE857" s="14" t="str">
        <f aca="false">IF($D857&lt;&gt;1,"",IF(AND($G857="ROKS",$T857&gt;p_maxworkers),1,0))</f>
        <v/>
      </c>
      <c r="AF857" s="14" t="str">
        <f aca="false">IF($D857&lt;&gt;1,"",IF(INDEX(TblClusters[Environnement],$B857)="","(vide)",INDEX(TblClusters[Environnement],$B857)))</f>
        <v/>
      </c>
      <c r="AG857" s="14" t="str">
        <f aca="false">IF($D857&lt;&gt;1,"",$R857+p_poidsram*$S857)</f>
        <v/>
      </c>
      <c r="AH857" s="14" t="str">
        <f aca="false">IF($D857&lt;&gt;1,"",IFERROR($W857/$AG857,0))</f>
        <v/>
      </c>
      <c r="AI857" s="14" t="str">
        <f aca="false">IF($D857&lt;&gt;1,"",IF(AND($G857="IKS",ISNUMBER(INDEX(TblClusters[Fermeture retenue],$B857))),IF($E857&gt;=INDEX(TblClusters[Fermeture retenue],$B857),1,0),0))</f>
        <v/>
      </c>
    </row>
    <row r="858" customFormat="false" ht="15" hidden="false" customHeight="false" outlineLevel="0" collapsed="false">
      <c r="A858" s="14" t="n">
        <v>853</v>
      </c>
      <c r="B858" s="14" t="n">
        <f aca="false">INT(($A858-1)/36)+1</f>
        <v>24</v>
      </c>
      <c r="C858" s="14" t="n">
        <f aca="false">MOD($A858-1,36)+1</f>
        <v>25</v>
      </c>
      <c r="D858" s="14" t="n">
        <f aca="false">IF($C858&gt;p_horizon,0,IFERROR(IF(AND(INDEX(TblClusters[Cluster],$B858)&lt;&gt;"",ISNUMBER(INDEX(TblClusters[CPU initial (vCPU)],$B858)),ISNUMBER(INDEX(TblClusters[CPU min (vCPU)],$B858)),OR(INDEX(TblClusters[Plateforme],$B858)="IKS",INDEX(TblClusters[Plateforme],$B858)="ROKS")),1,0),0))</f>
        <v>0</v>
      </c>
      <c r="E858" s="83" t="str">
        <f aca="false">IF($D858=1,EDATE(p_debut,$C858-1),"")</f>
        <v/>
      </c>
      <c r="F858" s="14" t="str">
        <f aca="false">IF($D858=1,INDEX(TblClusters[Cluster],$B858),"")</f>
        <v/>
      </c>
      <c r="G858" s="14" t="str">
        <f aca="false">IF($D858=1,INDEX(TblClusters[Plateforme],$B858),"")</f>
        <v/>
      </c>
      <c r="H858" s="14" t="str">
        <f aca="false">IF($D858=1,INDEX(TblClusters[vCPU par nœud],$B858),"")</f>
        <v/>
      </c>
      <c r="I858" s="14" t="str">
        <f aca="false">IF($D858=1,INDEX(TblClusters[RAM par nœud (Go)],$B858),"")</f>
        <v/>
      </c>
      <c r="J858" s="14" t="str">
        <f aca="false">IF($D858=1,INDEX(TblClusters[Workers min],$B858),"")</f>
        <v/>
      </c>
      <c r="K858" s="84" t="str">
        <f aca="false">IF($D858=1,INDEX(TblClusters[Tarif par nœud],$B858),"")</f>
        <v/>
      </c>
      <c r="L858" s="14" t="str">
        <f aca="false">IF($D858=1,INDEX(TblClusters[CPU initial (vCPU)],$B858),"")</f>
        <v/>
      </c>
      <c r="M858" s="14" t="str">
        <f aca="false">IF($D858=1,INDEX(TblClusters[RAM initiale (Go)],$B858),"")</f>
        <v/>
      </c>
      <c r="N858" s="14" t="str">
        <f aca="false">IF($D858=1,INDEX(TblClusters[CPU min (vCPU)],$B858),"")</f>
        <v/>
      </c>
      <c r="O858" s="14" t="str">
        <f aca="false">IF($D858=1,INDEX(TblClusters[RAM min (Go)],$B858),"")</f>
        <v/>
      </c>
      <c r="P858" s="14" t="str">
        <f aca="false">IF($D858&lt;&gt;1,"",IF($G858="ROKS",SUMIFS(TblApplications[Besoin ROKS CPU (vCPU)],TblApplications[Cluster ROKS cible],$F858,TblApplications[Action],"À migrer",TblApplications[Déjà incluse ROKS],"Non",TblApplications[Mois prov (calc)],"&lt;="&amp;$E858),SUMIFS(TblApplications[CPU IKS libérable (vCPU)],TblApplications[Cluster IKS source],$F858,TblApplications[Mois lib (calc)],"&lt;="&amp;$E858)))</f>
        <v/>
      </c>
      <c r="Q858" s="14" t="str">
        <f aca="false">IF($D858&lt;&gt;1,"",IF($G858="ROKS",SUMIFS(TblApplications[Besoin ROKS RAM (Go)],TblApplications[Cluster ROKS cible],$F858,TblApplications[Action],"À migrer",TblApplications[Déjà incluse ROKS],"Non",TblApplications[Mois prov (calc)],"&lt;="&amp;$E858),SUMIFS(TblApplications[RAM IKS libérable (Go)],TblApplications[Cluster IKS source],$F858,TblApplications[Mois lib (calc)],"&lt;="&amp;$E858)))</f>
        <v/>
      </c>
      <c r="R858" s="14" t="str">
        <f aca="false">IF($D858&lt;&gt;1,"",IF($G858="ROKS",$L858+$P858,IF($AI858=1,0,MAX($N858,$L858-$P858))))</f>
        <v/>
      </c>
      <c r="S858" s="14" t="str">
        <f aca="false">IF($D858&lt;&gt;1,"",IF($G858="ROKS",$M858+$Q858,IF($AI858=1,0,MAX($O858,$M858-$Q858))))</f>
        <v/>
      </c>
      <c r="T858" s="14" t="str">
        <f aca="false">IF($D858&lt;&gt;1,"",IF($AI858=1,0,MAX($J858,ROUNDUP(MAX($R858/$H858,$S858/$I858),0))))</f>
        <v/>
      </c>
      <c r="U858" s="14" t="str">
        <f aca="false">IF($D858&lt;&gt;1,"",IF(p_mode="Nœud",$T858*$H858,$R858))</f>
        <v/>
      </c>
      <c r="V858" s="14" t="str">
        <f aca="false">IF($D858&lt;&gt;1,"",IF(p_mode="Nœud",$T858*$I858,$S858))</f>
        <v/>
      </c>
      <c r="W858" s="84" t="str">
        <f aca="false">IF($D858&lt;&gt;1,"",IF(p_mode="Nœud",$T858*$K858,$R858*IF($G858="IKS",p_iks_cpu,p_roks_cpu)+$S858*IF($G858="IKS",p_iks_ram,p_roks_ram))*p_facteur)</f>
        <v/>
      </c>
      <c r="X858" s="14" t="str">
        <f aca="false">IF($D858&lt;&gt;1,"",IF($G858="ROKS",$R858,IF($AI858=1,0,MAX($N858,$L858-SUMIFS(TblApplications[CPU IKS libérable (vCPU)],TblApplications[Cluster IKS source],$F858,TblApplications[Action],"À migrer",TblApplications[Mois prov (calc)],"&lt;="&amp;$E858)-SUMIFS(TblApplications[CPU IKS libérable (vCPU)],TblApplications[Cluster IKS source],$F858,TblApplications[Action],"À décommissionner",TblApplications[Mois lib (calc)],"&lt;="&amp;$E858)))))</f>
        <v/>
      </c>
      <c r="Y858" s="14" t="str">
        <f aca="false">IF($D858&lt;&gt;1,"",IF($G858="ROKS",$S858,IF($AI858=1,0,MAX($O858,$M858-SUMIFS(TblApplications[RAM IKS libérable (Go)],TblApplications[Cluster IKS source],$F858,TblApplications[Action],"À migrer",TblApplications[Mois prov (calc)],"&lt;="&amp;$E858)-SUMIFS(TblApplications[RAM IKS libérable (Go)],TblApplications[Cluster IKS source],$F858,TblApplications[Action],"À décommissionner",TblApplications[Mois lib (calc)],"&lt;="&amp;$E858)))))</f>
        <v/>
      </c>
      <c r="Z858" s="14" t="str">
        <f aca="false">IF($D858&lt;&gt;1,"",IF($AI858=1,0,MAX($J858,ROUNDUP(MAX($X858/$H858,$Y858/$I858),0))))</f>
        <v/>
      </c>
      <c r="AA858" s="84" t="str">
        <f aca="false">IF($D858&lt;&gt;1,"",IF(p_mode="Nœud",$Z858*$K858,$X858*IF($G858="IKS",p_iks_cpu,p_roks_cpu)+$Y858*IF($G858="IKS",p_iks_ram,p_roks_ram))*p_facteur)</f>
        <v/>
      </c>
      <c r="AB858" s="14" t="str">
        <f aca="false">IF($D858&lt;&gt;1,"",MAX($J858,ROUNDUP(MAX($L858/$H858,$M858/$I858),0)))</f>
        <v/>
      </c>
      <c r="AC858" s="84" t="str">
        <f aca="false">IF($D858&lt;&gt;1,"",IF(p_mode="Nœud",$AB858*$K858,$L858*IF($G858="IKS",p_iks_cpu,p_roks_cpu)+$M858*IF($G858="IKS",p_iks_ram,p_roks_ram))*p_facteur)</f>
        <v/>
      </c>
      <c r="AD858" s="14" t="str">
        <f aca="false">IF($D858&lt;&gt;1,"",IF(AND($G858="IKS",$AI858&lt;&gt;1,OR($L858-$P858&lt;$N858,$M858-$Q858&lt;$O858)),1,0))</f>
        <v/>
      </c>
      <c r="AE858" s="14" t="str">
        <f aca="false">IF($D858&lt;&gt;1,"",IF(AND($G858="ROKS",$T858&gt;p_maxworkers),1,0))</f>
        <v/>
      </c>
      <c r="AF858" s="14" t="str">
        <f aca="false">IF($D858&lt;&gt;1,"",IF(INDEX(TblClusters[Environnement],$B858)="","(vide)",INDEX(TblClusters[Environnement],$B858)))</f>
        <v/>
      </c>
      <c r="AG858" s="14" t="str">
        <f aca="false">IF($D858&lt;&gt;1,"",$R858+p_poidsram*$S858)</f>
        <v/>
      </c>
      <c r="AH858" s="14" t="str">
        <f aca="false">IF($D858&lt;&gt;1,"",IFERROR($W858/$AG858,0))</f>
        <v/>
      </c>
      <c r="AI858" s="14" t="str">
        <f aca="false">IF($D858&lt;&gt;1,"",IF(AND($G858="IKS",ISNUMBER(INDEX(TblClusters[Fermeture retenue],$B858))),IF($E858&gt;=INDEX(TblClusters[Fermeture retenue],$B858),1,0),0))</f>
        <v/>
      </c>
    </row>
    <row r="859" customFormat="false" ht="15" hidden="false" customHeight="false" outlineLevel="0" collapsed="false">
      <c r="A859" s="14" t="n">
        <v>854</v>
      </c>
      <c r="B859" s="14" t="n">
        <f aca="false">INT(($A859-1)/36)+1</f>
        <v>24</v>
      </c>
      <c r="C859" s="14" t="n">
        <f aca="false">MOD($A859-1,36)+1</f>
        <v>26</v>
      </c>
      <c r="D859" s="14" t="n">
        <f aca="false">IF($C859&gt;p_horizon,0,IFERROR(IF(AND(INDEX(TblClusters[Cluster],$B859)&lt;&gt;"",ISNUMBER(INDEX(TblClusters[CPU initial (vCPU)],$B859)),ISNUMBER(INDEX(TblClusters[CPU min (vCPU)],$B859)),OR(INDEX(TblClusters[Plateforme],$B859)="IKS",INDEX(TblClusters[Plateforme],$B859)="ROKS")),1,0),0))</f>
        <v>0</v>
      </c>
      <c r="E859" s="83" t="str">
        <f aca="false">IF($D859=1,EDATE(p_debut,$C859-1),"")</f>
        <v/>
      </c>
      <c r="F859" s="14" t="str">
        <f aca="false">IF($D859=1,INDEX(TblClusters[Cluster],$B859),"")</f>
        <v/>
      </c>
      <c r="G859" s="14" t="str">
        <f aca="false">IF($D859=1,INDEX(TblClusters[Plateforme],$B859),"")</f>
        <v/>
      </c>
      <c r="H859" s="14" t="str">
        <f aca="false">IF($D859=1,INDEX(TblClusters[vCPU par nœud],$B859),"")</f>
        <v/>
      </c>
      <c r="I859" s="14" t="str">
        <f aca="false">IF($D859=1,INDEX(TblClusters[RAM par nœud (Go)],$B859),"")</f>
        <v/>
      </c>
      <c r="J859" s="14" t="str">
        <f aca="false">IF($D859=1,INDEX(TblClusters[Workers min],$B859),"")</f>
        <v/>
      </c>
      <c r="K859" s="84" t="str">
        <f aca="false">IF($D859=1,INDEX(TblClusters[Tarif par nœud],$B859),"")</f>
        <v/>
      </c>
      <c r="L859" s="14" t="str">
        <f aca="false">IF($D859=1,INDEX(TblClusters[CPU initial (vCPU)],$B859),"")</f>
        <v/>
      </c>
      <c r="M859" s="14" t="str">
        <f aca="false">IF($D859=1,INDEX(TblClusters[RAM initiale (Go)],$B859),"")</f>
        <v/>
      </c>
      <c r="N859" s="14" t="str">
        <f aca="false">IF($D859=1,INDEX(TblClusters[CPU min (vCPU)],$B859),"")</f>
        <v/>
      </c>
      <c r="O859" s="14" t="str">
        <f aca="false">IF($D859=1,INDEX(TblClusters[RAM min (Go)],$B859),"")</f>
        <v/>
      </c>
      <c r="P859" s="14" t="str">
        <f aca="false">IF($D859&lt;&gt;1,"",IF($G859="ROKS",SUMIFS(TblApplications[Besoin ROKS CPU (vCPU)],TblApplications[Cluster ROKS cible],$F859,TblApplications[Action],"À migrer",TblApplications[Déjà incluse ROKS],"Non",TblApplications[Mois prov (calc)],"&lt;="&amp;$E859),SUMIFS(TblApplications[CPU IKS libérable (vCPU)],TblApplications[Cluster IKS source],$F859,TblApplications[Mois lib (calc)],"&lt;="&amp;$E859)))</f>
        <v/>
      </c>
      <c r="Q859" s="14" t="str">
        <f aca="false">IF($D859&lt;&gt;1,"",IF($G859="ROKS",SUMIFS(TblApplications[Besoin ROKS RAM (Go)],TblApplications[Cluster ROKS cible],$F859,TblApplications[Action],"À migrer",TblApplications[Déjà incluse ROKS],"Non",TblApplications[Mois prov (calc)],"&lt;="&amp;$E859),SUMIFS(TblApplications[RAM IKS libérable (Go)],TblApplications[Cluster IKS source],$F859,TblApplications[Mois lib (calc)],"&lt;="&amp;$E859)))</f>
        <v/>
      </c>
      <c r="R859" s="14" t="str">
        <f aca="false">IF($D859&lt;&gt;1,"",IF($G859="ROKS",$L859+$P859,IF($AI859=1,0,MAX($N859,$L859-$P859))))</f>
        <v/>
      </c>
      <c r="S859" s="14" t="str">
        <f aca="false">IF($D859&lt;&gt;1,"",IF($G859="ROKS",$M859+$Q859,IF($AI859=1,0,MAX($O859,$M859-$Q859))))</f>
        <v/>
      </c>
      <c r="T859" s="14" t="str">
        <f aca="false">IF($D859&lt;&gt;1,"",IF($AI859=1,0,MAX($J859,ROUNDUP(MAX($R859/$H859,$S859/$I859),0))))</f>
        <v/>
      </c>
      <c r="U859" s="14" t="str">
        <f aca="false">IF($D859&lt;&gt;1,"",IF(p_mode="Nœud",$T859*$H859,$R859))</f>
        <v/>
      </c>
      <c r="V859" s="14" t="str">
        <f aca="false">IF($D859&lt;&gt;1,"",IF(p_mode="Nœud",$T859*$I859,$S859))</f>
        <v/>
      </c>
      <c r="W859" s="84" t="str">
        <f aca="false">IF($D859&lt;&gt;1,"",IF(p_mode="Nœud",$T859*$K859,$R859*IF($G859="IKS",p_iks_cpu,p_roks_cpu)+$S859*IF($G859="IKS",p_iks_ram,p_roks_ram))*p_facteur)</f>
        <v/>
      </c>
      <c r="X859" s="14" t="str">
        <f aca="false">IF($D859&lt;&gt;1,"",IF($G859="ROKS",$R859,IF($AI859=1,0,MAX($N859,$L859-SUMIFS(TblApplications[CPU IKS libérable (vCPU)],TblApplications[Cluster IKS source],$F859,TblApplications[Action],"À migrer",TblApplications[Mois prov (calc)],"&lt;="&amp;$E859)-SUMIFS(TblApplications[CPU IKS libérable (vCPU)],TblApplications[Cluster IKS source],$F859,TblApplications[Action],"À décommissionner",TblApplications[Mois lib (calc)],"&lt;="&amp;$E859)))))</f>
        <v/>
      </c>
      <c r="Y859" s="14" t="str">
        <f aca="false">IF($D859&lt;&gt;1,"",IF($G859="ROKS",$S859,IF($AI859=1,0,MAX($O859,$M859-SUMIFS(TblApplications[RAM IKS libérable (Go)],TblApplications[Cluster IKS source],$F859,TblApplications[Action],"À migrer",TblApplications[Mois prov (calc)],"&lt;="&amp;$E859)-SUMIFS(TblApplications[RAM IKS libérable (Go)],TblApplications[Cluster IKS source],$F859,TblApplications[Action],"À décommissionner",TblApplications[Mois lib (calc)],"&lt;="&amp;$E859)))))</f>
        <v/>
      </c>
      <c r="Z859" s="14" t="str">
        <f aca="false">IF($D859&lt;&gt;1,"",IF($AI859=1,0,MAX($J859,ROUNDUP(MAX($X859/$H859,$Y859/$I859),0))))</f>
        <v/>
      </c>
      <c r="AA859" s="84" t="str">
        <f aca="false">IF($D859&lt;&gt;1,"",IF(p_mode="Nœud",$Z859*$K859,$X859*IF($G859="IKS",p_iks_cpu,p_roks_cpu)+$Y859*IF($G859="IKS",p_iks_ram,p_roks_ram))*p_facteur)</f>
        <v/>
      </c>
      <c r="AB859" s="14" t="str">
        <f aca="false">IF($D859&lt;&gt;1,"",MAX($J859,ROUNDUP(MAX($L859/$H859,$M859/$I859),0)))</f>
        <v/>
      </c>
      <c r="AC859" s="84" t="str">
        <f aca="false">IF($D859&lt;&gt;1,"",IF(p_mode="Nœud",$AB859*$K859,$L859*IF($G859="IKS",p_iks_cpu,p_roks_cpu)+$M859*IF($G859="IKS",p_iks_ram,p_roks_ram))*p_facteur)</f>
        <v/>
      </c>
      <c r="AD859" s="14" t="str">
        <f aca="false">IF($D859&lt;&gt;1,"",IF(AND($G859="IKS",$AI859&lt;&gt;1,OR($L859-$P859&lt;$N859,$M859-$Q859&lt;$O859)),1,0))</f>
        <v/>
      </c>
      <c r="AE859" s="14" t="str">
        <f aca="false">IF($D859&lt;&gt;1,"",IF(AND($G859="ROKS",$T859&gt;p_maxworkers),1,0))</f>
        <v/>
      </c>
      <c r="AF859" s="14" t="str">
        <f aca="false">IF($D859&lt;&gt;1,"",IF(INDEX(TblClusters[Environnement],$B859)="","(vide)",INDEX(TblClusters[Environnement],$B859)))</f>
        <v/>
      </c>
      <c r="AG859" s="14" t="str">
        <f aca="false">IF($D859&lt;&gt;1,"",$R859+p_poidsram*$S859)</f>
        <v/>
      </c>
      <c r="AH859" s="14" t="str">
        <f aca="false">IF($D859&lt;&gt;1,"",IFERROR($W859/$AG859,0))</f>
        <v/>
      </c>
      <c r="AI859" s="14" t="str">
        <f aca="false">IF($D859&lt;&gt;1,"",IF(AND($G859="IKS",ISNUMBER(INDEX(TblClusters[Fermeture retenue],$B859))),IF($E859&gt;=INDEX(TblClusters[Fermeture retenue],$B859),1,0),0))</f>
        <v/>
      </c>
    </row>
    <row r="860" customFormat="false" ht="15" hidden="false" customHeight="false" outlineLevel="0" collapsed="false">
      <c r="A860" s="14" t="n">
        <v>855</v>
      </c>
      <c r="B860" s="14" t="n">
        <f aca="false">INT(($A860-1)/36)+1</f>
        <v>24</v>
      </c>
      <c r="C860" s="14" t="n">
        <f aca="false">MOD($A860-1,36)+1</f>
        <v>27</v>
      </c>
      <c r="D860" s="14" t="n">
        <f aca="false">IF($C860&gt;p_horizon,0,IFERROR(IF(AND(INDEX(TblClusters[Cluster],$B860)&lt;&gt;"",ISNUMBER(INDEX(TblClusters[CPU initial (vCPU)],$B860)),ISNUMBER(INDEX(TblClusters[CPU min (vCPU)],$B860)),OR(INDEX(TblClusters[Plateforme],$B860)="IKS",INDEX(TblClusters[Plateforme],$B860)="ROKS")),1,0),0))</f>
        <v>0</v>
      </c>
      <c r="E860" s="83" t="str">
        <f aca="false">IF($D860=1,EDATE(p_debut,$C860-1),"")</f>
        <v/>
      </c>
      <c r="F860" s="14" t="str">
        <f aca="false">IF($D860=1,INDEX(TblClusters[Cluster],$B860),"")</f>
        <v/>
      </c>
      <c r="G860" s="14" t="str">
        <f aca="false">IF($D860=1,INDEX(TblClusters[Plateforme],$B860),"")</f>
        <v/>
      </c>
      <c r="H860" s="14" t="str">
        <f aca="false">IF($D860=1,INDEX(TblClusters[vCPU par nœud],$B860),"")</f>
        <v/>
      </c>
      <c r="I860" s="14" t="str">
        <f aca="false">IF($D860=1,INDEX(TblClusters[RAM par nœud (Go)],$B860),"")</f>
        <v/>
      </c>
      <c r="J860" s="14" t="str">
        <f aca="false">IF($D860=1,INDEX(TblClusters[Workers min],$B860),"")</f>
        <v/>
      </c>
      <c r="K860" s="84" t="str">
        <f aca="false">IF($D860=1,INDEX(TblClusters[Tarif par nœud],$B860),"")</f>
        <v/>
      </c>
      <c r="L860" s="14" t="str">
        <f aca="false">IF($D860=1,INDEX(TblClusters[CPU initial (vCPU)],$B860),"")</f>
        <v/>
      </c>
      <c r="M860" s="14" t="str">
        <f aca="false">IF($D860=1,INDEX(TblClusters[RAM initiale (Go)],$B860),"")</f>
        <v/>
      </c>
      <c r="N860" s="14" t="str">
        <f aca="false">IF($D860=1,INDEX(TblClusters[CPU min (vCPU)],$B860),"")</f>
        <v/>
      </c>
      <c r="O860" s="14" t="str">
        <f aca="false">IF($D860=1,INDEX(TblClusters[RAM min (Go)],$B860),"")</f>
        <v/>
      </c>
      <c r="P860" s="14" t="str">
        <f aca="false">IF($D860&lt;&gt;1,"",IF($G860="ROKS",SUMIFS(TblApplications[Besoin ROKS CPU (vCPU)],TblApplications[Cluster ROKS cible],$F860,TblApplications[Action],"À migrer",TblApplications[Déjà incluse ROKS],"Non",TblApplications[Mois prov (calc)],"&lt;="&amp;$E860),SUMIFS(TblApplications[CPU IKS libérable (vCPU)],TblApplications[Cluster IKS source],$F860,TblApplications[Mois lib (calc)],"&lt;="&amp;$E860)))</f>
        <v/>
      </c>
      <c r="Q860" s="14" t="str">
        <f aca="false">IF($D860&lt;&gt;1,"",IF($G860="ROKS",SUMIFS(TblApplications[Besoin ROKS RAM (Go)],TblApplications[Cluster ROKS cible],$F860,TblApplications[Action],"À migrer",TblApplications[Déjà incluse ROKS],"Non",TblApplications[Mois prov (calc)],"&lt;="&amp;$E860),SUMIFS(TblApplications[RAM IKS libérable (Go)],TblApplications[Cluster IKS source],$F860,TblApplications[Mois lib (calc)],"&lt;="&amp;$E860)))</f>
        <v/>
      </c>
      <c r="R860" s="14" t="str">
        <f aca="false">IF($D860&lt;&gt;1,"",IF($G860="ROKS",$L860+$P860,IF($AI860=1,0,MAX($N860,$L860-$P860))))</f>
        <v/>
      </c>
      <c r="S860" s="14" t="str">
        <f aca="false">IF($D860&lt;&gt;1,"",IF($G860="ROKS",$M860+$Q860,IF($AI860=1,0,MAX($O860,$M860-$Q860))))</f>
        <v/>
      </c>
      <c r="T860" s="14" t="str">
        <f aca="false">IF($D860&lt;&gt;1,"",IF($AI860=1,0,MAX($J860,ROUNDUP(MAX($R860/$H860,$S860/$I860),0))))</f>
        <v/>
      </c>
      <c r="U860" s="14" t="str">
        <f aca="false">IF($D860&lt;&gt;1,"",IF(p_mode="Nœud",$T860*$H860,$R860))</f>
        <v/>
      </c>
      <c r="V860" s="14" t="str">
        <f aca="false">IF($D860&lt;&gt;1,"",IF(p_mode="Nœud",$T860*$I860,$S860))</f>
        <v/>
      </c>
      <c r="W860" s="84" t="str">
        <f aca="false">IF($D860&lt;&gt;1,"",IF(p_mode="Nœud",$T860*$K860,$R860*IF($G860="IKS",p_iks_cpu,p_roks_cpu)+$S860*IF($G860="IKS",p_iks_ram,p_roks_ram))*p_facteur)</f>
        <v/>
      </c>
      <c r="X860" s="14" t="str">
        <f aca="false">IF($D860&lt;&gt;1,"",IF($G860="ROKS",$R860,IF($AI860=1,0,MAX($N860,$L860-SUMIFS(TblApplications[CPU IKS libérable (vCPU)],TblApplications[Cluster IKS source],$F860,TblApplications[Action],"À migrer",TblApplications[Mois prov (calc)],"&lt;="&amp;$E860)-SUMIFS(TblApplications[CPU IKS libérable (vCPU)],TblApplications[Cluster IKS source],$F860,TblApplications[Action],"À décommissionner",TblApplications[Mois lib (calc)],"&lt;="&amp;$E860)))))</f>
        <v/>
      </c>
      <c r="Y860" s="14" t="str">
        <f aca="false">IF($D860&lt;&gt;1,"",IF($G860="ROKS",$S860,IF($AI860=1,0,MAX($O860,$M860-SUMIFS(TblApplications[RAM IKS libérable (Go)],TblApplications[Cluster IKS source],$F860,TblApplications[Action],"À migrer",TblApplications[Mois prov (calc)],"&lt;="&amp;$E860)-SUMIFS(TblApplications[RAM IKS libérable (Go)],TblApplications[Cluster IKS source],$F860,TblApplications[Action],"À décommissionner",TblApplications[Mois lib (calc)],"&lt;="&amp;$E860)))))</f>
        <v/>
      </c>
      <c r="Z860" s="14" t="str">
        <f aca="false">IF($D860&lt;&gt;1,"",IF($AI860=1,0,MAX($J860,ROUNDUP(MAX($X860/$H860,$Y860/$I860),0))))</f>
        <v/>
      </c>
      <c r="AA860" s="84" t="str">
        <f aca="false">IF($D860&lt;&gt;1,"",IF(p_mode="Nœud",$Z860*$K860,$X860*IF($G860="IKS",p_iks_cpu,p_roks_cpu)+$Y860*IF($G860="IKS",p_iks_ram,p_roks_ram))*p_facteur)</f>
        <v/>
      </c>
      <c r="AB860" s="14" t="str">
        <f aca="false">IF($D860&lt;&gt;1,"",MAX($J860,ROUNDUP(MAX($L860/$H860,$M860/$I860),0)))</f>
        <v/>
      </c>
      <c r="AC860" s="84" t="str">
        <f aca="false">IF($D860&lt;&gt;1,"",IF(p_mode="Nœud",$AB860*$K860,$L860*IF($G860="IKS",p_iks_cpu,p_roks_cpu)+$M860*IF($G860="IKS",p_iks_ram,p_roks_ram))*p_facteur)</f>
        <v/>
      </c>
      <c r="AD860" s="14" t="str">
        <f aca="false">IF($D860&lt;&gt;1,"",IF(AND($G860="IKS",$AI860&lt;&gt;1,OR($L860-$P860&lt;$N860,$M860-$Q860&lt;$O860)),1,0))</f>
        <v/>
      </c>
      <c r="AE860" s="14" t="str">
        <f aca="false">IF($D860&lt;&gt;1,"",IF(AND($G860="ROKS",$T860&gt;p_maxworkers),1,0))</f>
        <v/>
      </c>
      <c r="AF860" s="14" t="str">
        <f aca="false">IF($D860&lt;&gt;1,"",IF(INDEX(TblClusters[Environnement],$B860)="","(vide)",INDEX(TblClusters[Environnement],$B860)))</f>
        <v/>
      </c>
      <c r="AG860" s="14" t="str">
        <f aca="false">IF($D860&lt;&gt;1,"",$R860+p_poidsram*$S860)</f>
        <v/>
      </c>
      <c r="AH860" s="14" t="str">
        <f aca="false">IF($D860&lt;&gt;1,"",IFERROR($W860/$AG860,0))</f>
        <v/>
      </c>
      <c r="AI860" s="14" t="str">
        <f aca="false">IF($D860&lt;&gt;1,"",IF(AND($G860="IKS",ISNUMBER(INDEX(TblClusters[Fermeture retenue],$B860))),IF($E860&gt;=INDEX(TblClusters[Fermeture retenue],$B860),1,0),0))</f>
        <v/>
      </c>
    </row>
    <row r="861" customFormat="false" ht="15" hidden="false" customHeight="false" outlineLevel="0" collapsed="false">
      <c r="A861" s="14" t="n">
        <v>856</v>
      </c>
      <c r="B861" s="14" t="n">
        <f aca="false">INT(($A861-1)/36)+1</f>
        <v>24</v>
      </c>
      <c r="C861" s="14" t="n">
        <f aca="false">MOD($A861-1,36)+1</f>
        <v>28</v>
      </c>
      <c r="D861" s="14" t="n">
        <f aca="false">IF($C861&gt;p_horizon,0,IFERROR(IF(AND(INDEX(TblClusters[Cluster],$B861)&lt;&gt;"",ISNUMBER(INDEX(TblClusters[CPU initial (vCPU)],$B861)),ISNUMBER(INDEX(TblClusters[CPU min (vCPU)],$B861)),OR(INDEX(TblClusters[Plateforme],$B861)="IKS",INDEX(TblClusters[Plateforme],$B861)="ROKS")),1,0),0))</f>
        <v>0</v>
      </c>
      <c r="E861" s="83" t="str">
        <f aca="false">IF($D861=1,EDATE(p_debut,$C861-1),"")</f>
        <v/>
      </c>
      <c r="F861" s="14" t="str">
        <f aca="false">IF($D861=1,INDEX(TblClusters[Cluster],$B861),"")</f>
        <v/>
      </c>
      <c r="G861" s="14" t="str">
        <f aca="false">IF($D861=1,INDEX(TblClusters[Plateforme],$B861),"")</f>
        <v/>
      </c>
      <c r="H861" s="14" t="str">
        <f aca="false">IF($D861=1,INDEX(TblClusters[vCPU par nœud],$B861),"")</f>
        <v/>
      </c>
      <c r="I861" s="14" t="str">
        <f aca="false">IF($D861=1,INDEX(TblClusters[RAM par nœud (Go)],$B861),"")</f>
        <v/>
      </c>
      <c r="J861" s="14" t="str">
        <f aca="false">IF($D861=1,INDEX(TblClusters[Workers min],$B861),"")</f>
        <v/>
      </c>
      <c r="K861" s="84" t="str">
        <f aca="false">IF($D861=1,INDEX(TblClusters[Tarif par nœud],$B861),"")</f>
        <v/>
      </c>
      <c r="L861" s="14" t="str">
        <f aca="false">IF($D861=1,INDEX(TblClusters[CPU initial (vCPU)],$B861),"")</f>
        <v/>
      </c>
      <c r="M861" s="14" t="str">
        <f aca="false">IF($D861=1,INDEX(TblClusters[RAM initiale (Go)],$B861),"")</f>
        <v/>
      </c>
      <c r="N861" s="14" t="str">
        <f aca="false">IF($D861=1,INDEX(TblClusters[CPU min (vCPU)],$B861),"")</f>
        <v/>
      </c>
      <c r="O861" s="14" t="str">
        <f aca="false">IF($D861=1,INDEX(TblClusters[RAM min (Go)],$B861),"")</f>
        <v/>
      </c>
      <c r="P861" s="14" t="str">
        <f aca="false">IF($D861&lt;&gt;1,"",IF($G861="ROKS",SUMIFS(TblApplications[Besoin ROKS CPU (vCPU)],TblApplications[Cluster ROKS cible],$F861,TblApplications[Action],"À migrer",TblApplications[Déjà incluse ROKS],"Non",TblApplications[Mois prov (calc)],"&lt;="&amp;$E861),SUMIFS(TblApplications[CPU IKS libérable (vCPU)],TblApplications[Cluster IKS source],$F861,TblApplications[Mois lib (calc)],"&lt;="&amp;$E861)))</f>
        <v/>
      </c>
      <c r="Q861" s="14" t="str">
        <f aca="false">IF($D861&lt;&gt;1,"",IF($G861="ROKS",SUMIFS(TblApplications[Besoin ROKS RAM (Go)],TblApplications[Cluster ROKS cible],$F861,TblApplications[Action],"À migrer",TblApplications[Déjà incluse ROKS],"Non",TblApplications[Mois prov (calc)],"&lt;="&amp;$E861),SUMIFS(TblApplications[RAM IKS libérable (Go)],TblApplications[Cluster IKS source],$F861,TblApplications[Mois lib (calc)],"&lt;="&amp;$E861)))</f>
        <v/>
      </c>
      <c r="R861" s="14" t="str">
        <f aca="false">IF($D861&lt;&gt;1,"",IF($G861="ROKS",$L861+$P861,IF($AI861=1,0,MAX($N861,$L861-$P861))))</f>
        <v/>
      </c>
      <c r="S861" s="14" t="str">
        <f aca="false">IF($D861&lt;&gt;1,"",IF($G861="ROKS",$M861+$Q861,IF($AI861=1,0,MAX($O861,$M861-$Q861))))</f>
        <v/>
      </c>
      <c r="T861" s="14" t="str">
        <f aca="false">IF($D861&lt;&gt;1,"",IF($AI861=1,0,MAX($J861,ROUNDUP(MAX($R861/$H861,$S861/$I861),0))))</f>
        <v/>
      </c>
      <c r="U861" s="14" t="str">
        <f aca="false">IF($D861&lt;&gt;1,"",IF(p_mode="Nœud",$T861*$H861,$R861))</f>
        <v/>
      </c>
      <c r="V861" s="14" t="str">
        <f aca="false">IF($D861&lt;&gt;1,"",IF(p_mode="Nœud",$T861*$I861,$S861))</f>
        <v/>
      </c>
      <c r="W861" s="84" t="str">
        <f aca="false">IF($D861&lt;&gt;1,"",IF(p_mode="Nœud",$T861*$K861,$R861*IF($G861="IKS",p_iks_cpu,p_roks_cpu)+$S861*IF($G861="IKS",p_iks_ram,p_roks_ram))*p_facteur)</f>
        <v/>
      </c>
      <c r="X861" s="14" t="str">
        <f aca="false">IF($D861&lt;&gt;1,"",IF($G861="ROKS",$R861,IF($AI861=1,0,MAX($N861,$L861-SUMIFS(TblApplications[CPU IKS libérable (vCPU)],TblApplications[Cluster IKS source],$F861,TblApplications[Action],"À migrer",TblApplications[Mois prov (calc)],"&lt;="&amp;$E861)-SUMIFS(TblApplications[CPU IKS libérable (vCPU)],TblApplications[Cluster IKS source],$F861,TblApplications[Action],"À décommissionner",TblApplications[Mois lib (calc)],"&lt;="&amp;$E861)))))</f>
        <v/>
      </c>
      <c r="Y861" s="14" t="str">
        <f aca="false">IF($D861&lt;&gt;1,"",IF($G861="ROKS",$S861,IF($AI861=1,0,MAX($O861,$M861-SUMIFS(TblApplications[RAM IKS libérable (Go)],TblApplications[Cluster IKS source],$F861,TblApplications[Action],"À migrer",TblApplications[Mois prov (calc)],"&lt;="&amp;$E861)-SUMIFS(TblApplications[RAM IKS libérable (Go)],TblApplications[Cluster IKS source],$F861,TblApplications[Action],"À décommissionner",TblApplications[Mois lib (calc)],"&lt;="&amp;$E861)))))</f>
        <v/>
      </c>
      <c r="Z861" s="14" t="str">
        <f aca="false">IF($D861&lt;&gt;1,"",IF($AI861=1,0,MAX($J861,ROUNDUP(MAX($X861/$H861,$Y861/$I861),0))))</f>
        <v/>
      </c>
      <c r="AA861" s="84" t="str">
        <f aca="false">IF($D861&lt;&gt;1,"",IF(p_mode="Nœud",$Z861*$K861,$X861*IF($G861="IKS",p_iks_cpu,p_roks_cpu)+$Y861*IF($G861="IKS",p_iks_ram,p_roks_ram))*p_facteur)</f>
        <v/>
      </c>
      <c r="AB861" s="14" t="str">
        <f aca="false">IF($D861&lt;&gt;1,"",MAX($J861,ROUNDUP(MAX($L861/$H861,$M861/$I861),0)))</f>
        <v/>
      </c>
      <c r="AC861" s="84" t="str">
        <f aca="false">IF($D861&lt;&gt;1,"",IF(p_mode="Nœud",$AB861*$K861,$L861*IF($G861="IKS",p_iks_cpu,p_roks_cpu)+$M861*IF($G861="IKS",p_iks_ram,p_roks_ram))*p_facteur)</f>
        <v/>
      </c>
      <c r="AD861" s="14" t="str">
        <f aca="false">IF($D861&lt;&gt;1,"",IF(AND($G861="IKS",$AI861&lt;&gt;1,OR($L861-$P861&lt;$N861,$M861-$Q861&lt;$O861)),1,0))</f>
        <v/>
      </c>
      <c r="AE861" s="14" t="str">
        <f aca="false">IF($D861&lt;&gt;1,"",IF(AND($G861="ROKS",$T861&gt;p_maxworkers),1,0))</f>
        <v/>
      </c>
      <c r="AF861" s="14" t="str">
        <f aca="false">IF($D861&lt;&gt;1,"",IF(INDEX(TblClusters[Environnement],$B861)="","(vide)",INDEX(TblClusters[Environnement],$B861)))</f>
        <v/>
      </c>
      <c r="AG861" s="14" t="str">
        <f aca="false">IF($D861&lt;&gt;1,"",$R861+p_poidsram*$S861)</f>
        <v/>
      </c>
      <c r="AH861" s="14" t="str">
        <f aca="false">IF($D861&lt;&gt;1,"",IFERROR($W861/$AG861,0))</f>
        <v/>
      </c>
      <c r="AI861" s="14" t="str">
        <f aca="false">IF($D861&lt;&gt;1,"",IF(AND($G861="IKS",ISNUMBER(INDEX(TblClusters[Fermeture retenue],$B861))),IF($E861&gt;=INDEX(TblClusters[Fermeture retenue],$B861),1,0),0))</f>
        <v/>
      </c>
    </row>
    <row r="862" customFormat="false" ht="15" hidden="false" customHeight="false" outlineLevel="0" collapsed="false">
      <c r="A862" s="14" t="n">
        <v>857</v>
      </c>
      <c r="B862" s="14" t="n">
        <f aca="false">INT(($A862-1)/36)+1</f>
        <v>24</v>
      </c>
      <c r="C862" s="14" t="n">
        <f aca="false">MOD($A862-1,36)+1</f>
        <v>29</v>
      </c>
      <c r="D862" s="14" t="n">
        <f aca="false">IF($C862&gt;p_horizon,0,IFERROR(IF(AND(INDEX(TblClusters[Cluster],$B862)&lt;&gt;"",ISNUMBER(INDEX(TblClusters[CPU initial (vCPU)],$B862)),ISNUMBER(INDEX(TblClusters[CPU min (vCPU)],$B862)),OR(INDEX(TblClusters[Plateforme],$B862)="IKS",INDEX(TblClusters[Plateforme],$B862)="ROKS")),1,0),0))</f>
        <v>0</v>
      </c>
      <c r="E862" s="83" t="str">
        <f aca="false">IF($D862=1,EDATE(p_debut,$C862-1),"")</f>
        <v/>
      </c>
      <c r="F862" s="14" t="str">
        <f aca="false">IF($D862=1,INDEX(TblClusters[Cluster],$B862),"")</f>
        <v/>
      </c>
      <c r="G862" s="14" t="str">
        <f aca="false">IF($D862=1,INDEX(TblClusters[Plateforme],$B862),"")</f>
        <v/>
      </c>
      <c r="H862" s="14" t="str">
        <f aca="false">IF($D862=1,INDEX(TblClusters[vCPU par nœud],$B862),"")</f>
        <v/>
      </c>
      <c r="I862" s="14" t="str">
        <f aca="false">IF($D862=1,INDEX(TblClusters[RAM par nœud (Go)],$B862),"")</f>
        <v/>
      </c>
      <c r="J862" s="14" t="str">
        <f aca="false">IF($D862=1,INDEX(TblClusters[Workers min],$B862),"")</f>
        <v/>
      </c>
      <c r="K862" s="84" t="str">
        <f aca="false">IF($D862=1,INDEX(TblClusters[Tarif par nœud],$B862),"")</f>
        <v/>
      </c>
      <c r="L862" s="14" t="str">
        <f aca="false">IF($D862=1,INDEX(TblClusters[CPU initial (vCPU)],$B862),"")</f>
        <v/>
      </c>
      <c r="M862" s="14" t="str">
        <f aca="false">IF($D862=1,INDEX(TblClusters[RAM initiale (Go)],$B862),"")</f>
        <v/>
      </c>
      <c r="N862" s="14" t="str">
        <f aca="false">IF($D862=1,INDEX(TblClusters[CPU min (vCPU)],$B862),"")</f>
        <v/>
      </c>
      <c r="O862" s="14" t="str">
        <f aca="false">IF($D862=1,INDEX(TblClusters[RAM min (Go)],$B862),"")</f>
        <v/>
      </c>
      <c r="P862" s="14" t="str">
        <f aca="false">IF($D862&lt;&gt;1,"",IF($G862="ROKS",SUMIFS(TblApplications[Besoin ROKS CPU (vCPU)],TblApplications[Cluster ROKS cible],$F862,TblApplications[Action],"À migrer",TblApplications[Déjà incluse ROKS],"Non",TblApplications[Mois prov (calc)],"&lt;="&amp;$E862),SUMIFS(TblApplications[CPU IKS libérable (vCPU)],TblApplications[Cluster IKS source],$F862,TblApplications[Mois lib (calc)],"&lt;="&amp;$E862)))</f>
        <v/>
      </c>
      <c r="Q862" s="14" t="str">
        <f aca="false">IF($D862&lt;&gt;1,"",IF($G862="ROKS",SUMIFS(TblApplications[Besoin ROKS RAM (Go)],TblApplications[Cluster ROKS cible],$F862,TblApplications[Action],"À migrer",TblApplications[Déjà incluse ROKS],"Non",TblApplications[Mois prov (calc)],"&lt;="&amp;$E862),SUMIFS(TblApplications[RAM IKS libérable (Go)],TblApplications[Cluster IKS source],$F862,TblApplications[Mois lib (calc)],"&lt;="&amp;$E862)))</f>
        <v/>
      </c>
      <c r="R862" s="14" t="str">
        <f aca="false">IF($D862&lt;&gt;1,"",IF($G862="ROKS",$L862+$P862,IF($AI862=1,0,MAX($N862,$L862-$P862))))</f>
        <v/>
      </c>
      <c r="S862" s="14" t="str">
        <f aca="false">IF($D862&lt;&gt;1,"",IF($G862="ROKS",$M862+$Q862,IF($AI862=1,0,MAX($O862,$M862-$Q862))))</f>
        <v/>
      </c>
      <c r="T862" s="14" t="str">
        <f aca="false">IF($D862&lt;&gt;1,"",IF($AI862=1,0,MAX($J862,ROUNDUP(MAX($R862/$H862,$S862/$I862),0))))</f>
        <v/>
      </c>
      <c r="U862" s="14" t="str">
        <f aca="false">IF($D862&lt;&gt;1,"",IF(p_mode="Nœud",$T862*$H862,$R862))</f>
        <v/>
      </c>
      <c r="V862" s="14" t="str">
        <f aca="false">IF($D862&lt;&gt;1,"",IF(p_mode="Nœud",$T862*$I862,$S862))</f>
        <v/>
      </c>
      <c r="W862" s="84" t="str">
        <f aca="false">IF($D862&lt;&gt;1,"",IF(p_mode="Nœud",$T862*$K862,$R862*IF($G862="IKS",p_iks_cpu,p_roks_cpu)+$S862*IF($G862="IKS",p_iks_ram,p_roks_ram))*p_facteur)</f>
        <v/>
      </c>
      <c r="X862" s="14" t="str">
        <f aca="false">IF($D862&lt;&gt;1,"",IF($G862="ROKS",$R862,IF($AI862=1,0,MAX($N862,$L862-SUMIFS(TblApplications[CPU IKS libérable (vCPU)],TblApplications[Cluster IKS source],$F862,TblApplications[Action],"À migrer",TblApplications[Mois prov (calc)],"&lt;="&amp;$E862)-SUMIFS(TblApplications[CPU IKS libérable (vCPU)],TblApplications[Cluster IKS source],$F862,TblApplications[Action],"À décommissionner",TblApplications[Mois lib (calc)],"&lt;="&amp;$E862)))))</f>
        <v/>
      </c>
      <c r="Y862" s="14" t="str">
        <f aca="false">IF($D862&lt;&gt;1,"",IF($G862="ROKS",$S862,IF($AI862=1,0,MAX($O862,$M862-SUMIFS(TblApplications[RAM IKS libérable (Go)],TblApplications[Cluster IKS source],$F862,TblApplications[Action],"À migrer",TblApplications[Mois prov (calc)],"&lt;="&amp;$E862)-SUMIFS(TblApplications[RAM IKS libérable (Go)],TblApplications[Cluster IKS source],$F862,TblApplications[Action],"À décommissionner",TblApplications[Mois lib (calc)],"&lt;="&amp;$E862)))))</f>
        <v/>
      </c>
      <c r="Z862" s="14" t="str">
        <f aca="false">IF($D862&lt;&gt;1,"",IF($AI862=1,0,MAX($J862,ROUNDUP(MAX($X862/$H862,$Y862/$I862),0))))</f>
        <v/>
      </c>
      <c r="AA862" s="84" t="str">
        <f aca="false">IF($D862&lt;&gt;1,"",IF(p_mode="Nœud",$Z862*$K862,$X862*IF($G862="IKS",p_iks_cpu,p_roks_cpu)+$Y862*IF($G862="IKS",p_iks_ram,p_roks_ram))*p_facteur)</f>
        <v/>
      </c>
      <c r="AB862" s="14" t="str">
        <f aca="false">IF($D862&lt;&gt;1,"",MAX($J862,ROUNDUP(MAX($L862/$H862,$M862/$I862),0)))</f>
        <v/>
      </c>
      <c r="AC862" s="84" t="str">
        <f aca="false">IF($D862&lt;&gt;1,"",IF(p_mode="Nœud",$AB862*$K862,$L862*IF($G862="IKS",p_iks_cpu,p_roks_cpu)+$M862*IF($G862="IKS",p_iks_ram,p_roks_ram))*p_facteur)</f>
        <v/>
      </c>
      <c r="AD862" s="14" t="str">
        <f aca="false">IF($D862&lt;&gt;1,"",IF(AND($G862="IKS",$AI862&lt;&gt;1,OR($L862-$P862&lt;$N862,$M862-$Q862&lt;$O862)),1,0))</f>
        <v/>
      </c>
      <c r="AE862" s="14" t="str">
        <f aca="false">IF($D862&lt;&gt;1,"",IF(AND($G862="ROKS",$T862&gt;p_maxworkers),1,0))</f>
        <v/>
      </c>
      <c r="AF862" s="14" t="str">
        <f aca="false">IF($D862&lt;&gt;1,"",IF(INDEX(TblClusters[Environnement],$B862)="","(vide)",INDEX(TblClusters[Environnement],$B862)))</f>
        <v/>
      </c>
      <c r="AG862" s="14" t="str">
        <f aca="false">IF($D862&lt;&gt;1,"",$R862+p_poidsram*$S862)</f>
        <v/>
      </c>
      <c r="AH862" s="14" t="str">
        <f aca="false">IF($D862&lt;&gt;1,"",IFERROR($W862/$AG862,0))</f>
        <v/>
      </c>
      <c r="AI862" s="14" t="str">
        <f aca="false">IF($D862&lt;&gt;1,"",IF(AND($G862="IKS",ISNUMBER(INDEX(TblClusters[Fermeture retenue],$B862))),IF($E862&gt;=INDEX(TblClusters[Fermeture retenue],$B862),1,0),0))</f>
        <v/>
      </c>
    </row>
    <row r="863" customFormat="false" ht="15" hidden="false" customHeight="false" outlineLevel="0" collapsed="false">
      <c r="A863" s="14" t="n">
        <v>858</v>
      </c>
      <c r="B863" s="14" t="n">
        <f aca="false">INT(($A863-1)/36)+1</f>
        <v>24</v>
      </c>
      <c r="C863" s="14" t="n">
        <f aca="false">MOD($A863-1,36)+1</f>
        <v>30</v>
      </c>
      <c r="D863" s="14" t="n">
        <f aca="false">IF($C863&gt;p_horizon,0,IFERROR(IF(AND(INDEX(TblClusters[Cluster],$B863)&lt;&gt;"",ISNUMBER(INDEX(TblClusters[CPU initial (vCPU)],$B863)),ISNUMBER(INDEX(TblClusters[CPU min (vCPU)],$B863)),OR(INDEX(TblClusters[Plateforme],$B863)="IKS",INDEX(TblClusters[Plateforme],$B863)="ROKS")),1,0),0))</f>
        <v>0</v>
      </c>
      <c r="E863" s="83" t="str">
        <f aca="false">IF($D863=1,EDATE(p_debut,$C863-1),"")</f>
        <v/>
      </c>
      <c r="F863" s="14" t="str">
        <f aca="false">IF($D863=1,INDEX(TblClusters[Cluster],$B863),"")</f>
        <v/>
      </c>
      <c r="G863" s="14" t="str">
        <f aca="false">IF($D863=1,INDEX(TblClusters[Plateforme],$B863),"")</f>
        <v/>
      </c>
      <c r="H863" s="14" t="str">
        <f aca="false">IF($D863=1,INDEX(TblClusters[vCPU par nœud],$B863),"")</f>
        <v/>
      </c>
      <c r="I863" s="14" t="str">
        <f aca="false">IF($D863=1,INDEX(TblClusters[RAM par nœud (Go)],$B863),"")</f>
        <v/>
      </c>
      <c r="J863" s="14" t="str">
        <f aca="false">IF($D863=1,INDEX(TblClusters[Workers min],$B863),"")</f>
        <v/>
      </c>
      <c r="K863" s="84" t="str">
        <f aca="false">IF($D863=1,INDEX(TblClusters[Tarif par nœud],$B863),"")</f>
        <v/>
      </c>
      <c r="L863" s="14" t="str">
        <f aca="false">IF($D863=1,INDEX(TblClusters[CPU initial (vCPU)],$B863),"")</f>
        <v/>
      </c>
      <c r="M863" s="14" t="str">
        <f aca="false">IF($D863=1,INDEX(TblClusters[RAM initiale (Go)],$B863),"")</f>
        <v/>
      </c>
      <c r="N863" s="14" t="str">
        <f aca="false">IF($D863=1,INDEX(TblClusters[CPU min (vCPU)],$B863),"")</f>
        <v/>
      </c>
      <c r="O863" s="14" t="str">
        <f aca="false">IF($D863=1,INDEX(TblClusters[RAM min (Go)],$B863),"")</f>
        <v/>
      </c>
      <c r="P863" s="14" t="str">
        <f aca="false">IF($D863&lt;&gt;1,"",IF($G863="ROKS",SUMIFS(TblApplications[Besoin ROKS CPU (vCPU)],TblApplications[Cluster ROKS cible],$F863,TblApplications[Action],"À migrer",TblApplications[Déjà incluse ROKS],"Non",TblApplications[Mois prov (calc)],"&lt;="&amp;$E863),SUMIFS(TblApplications[CPU IKS libérable (vCPU)],TblApplications[Cluster IKS source],$F863,TblApplications[Mois lib (calc)],"&lt;="&amp;$E863)))</f>
        <v/>
      </c>
      <c r="Q863" s="14" t="str">
        <f aca="false">IF($D863&lt;&gt;1,"",IF($G863="ROKS",SUMIFS(TblApplications[Besoin ROKS RAM (Go)],TblApplications[Cluster ROKS cible],$F863,TblApplications[Action],"À migrer",TblApplications[Déjà incluse ROKS],"Non",TblApplications[Mois prov (calc)],"&lt;="&amp;$E863),SUMIFS(TblApplications[RAM IKS libérable (Go)],TblApplications[Cluster IKS source],$F863,TblApplications[Mois lib (calc)],"&lt;="&amp;$E863)))</f>
        <v/>
      </c>
      <c r="R863" s="14" t="str">
        <f aca="false">IF($D863&lt;&gt;1,"",IF($G863="ROKS",$L863+$P863,IF($AI863=1,0,MAX($N863,$L863-$P863))))</f>
        <v/>
      </c>
      <c r="S863" s="14" t="str">
        <f aca="false">IF($D863&lt;&gt;1,"",IF($G863="ROKS",$M863+$Q863,IF($AI863=1,0,MAX($O863,$M863-$Q863))))</f>
        <v/>
      </c>
      <c r="T863" s="14" t="str">
        <f aca="false">IF($D863&lt;&gt;1,"",IF($AI863=1,0,MAX($J863,ROUNDUP(MAX($R863/$H863,$S863/$I863),0))))</f>
        <v/>
      </c>
      <c r="U863" s="14" t="str">
        <f aca="false">IF($D863&lt;&gt;1,"",IF(p_mode="Nœud",$T863*$H863,$R863))</f>
        <v/>
      </c>
      <c r="V863" s="14" t="str">
        <f aca="false">IF($D863&lt;&gt;1,"",IF(p_mode="Nœud",$T863*$I863,$S863))</f>
        <v/>
      </c>
      <c r="W863" s="84" t="str">
        <f aca="false">IF($D863&lt;&gt;1,"",IF(p_mode="Nœud",$T863*$K863,$R863*IF($G863="IKS",p_iks_cpu,p_roks_cpu)+$S863*IF($G863="IKS",p_iks_ram,p_roks_ram))*p_facteur)</f>
        <v/>
      </c>
      <c r="X863" s="14" t="str">
        <f aca="false">IF($D863&lt;&gt;1,"",IF($G863="ROKS",$R863,IF($AI863=1,0,MAX($N863,$L863-SUMIFS(TblApplications[CPU IKS libérable (vCPU)],TblApplications[Cluster IKS source],$F863,TblApplications[Action],"À migrer",TblApplications[Mois prov (calc)],"&lt;="&amp;$E863)-SUMIFS(TblApplications[CPU IKS libérable (vCPU)],TblApplications[Cluster IKS source],$F863,TblApplications[Action],"À décommissionner",TblApplications[Mois lib (calc)],"&lt;="&amp;$E863)))))</f>
        <v/>
      </c>
      <c r="Y863" s="14" t="str">
        <f aca="false">IF($D863&lt;&gt;1,"",IF($G863="ROKS",$S863,IF($AI863=1,0,MAX($O863,$M863-SUMIFS(TblApplications[RAM IKS libérable (Go)],TblApplications[Cluster IKS source],$F863,TblApplications[Action],"À migrer",TblApplications[Mois prov (calc)],"&lt;="&amp;$E863)-SUMIFS(TblApplications[RAM IKS libérable (Go)],TblApplications[Cluster IKS source],$F863,TblApplications[Action],"À décommissionner",TblApplications[Mois lib (calc)],"&lt;="&amp;$E863)))))</f>
        <v/>
      </c>
      <c r="Z863" s="14" t="str">
        <f aca="false">IF($D863&lt;&gt;1,"",IF($AI863=1,0,MAX($J863,ROUNDUP(MAX($X863/$H863,$Y863/$I863),0))))</f>
        <v/>
      </c>
      <c r="AA863" s="84" t="str">
        <f aca="false">IF($D863&lt;&gt;1,"",IF(p_mode="Nœud",$Z863*$K863,$X863*IF($G863="IKS",p_iks_cpu,p_roks_cpu)+$Y863*IF($G863="IKS",p_iks_ram,p_roks_ram))*p_facteur)</f>
        <v/>
      </c>
      <c r="AB863" s="14" t="str">
        <f aca="false">IF($D863&lt;&gt;1,"",MAX($J863,ROUNDUP(MAX($L863/$H863,$M863/$I863),0)))</f>
        <v/>
      </c>
      <c r="AC863" s="84" t="str">
        <f aca="false">IF($D863&lt;&gt;1,"",IF(p_mode="Nœud",$AB863*$K863,$L863*IF($G863="IKS",p_iks_cpu,p_roks_cpu)+$M863*IF($G863="IKS",p_iks_ram,p_roks_ram))*p_facteur)</f>
        <v/>
      </c>
      <c r="AD863" s="14" t="str">
        <f aca="false">IF($D863&lt;&gt;1,"",IF(AND($G863="IKS",$AI863&lt;&gt;1,OR($L863-$P863&lt;$N863,$M863-$Q863&lt;$O863)),1,0))</f>
        <v/>
      </c>
      <c r="AE863" s="14" t="str">
        <f aca="false">IF($D863&lt;&gt;1,"",IF(AND($G863="ROKS",$T863&gt;p_maxworkers),1,0))</f>
        <v/>
      </c>
      <c r="AF863" s="14" t="str">
        <f aca="false">IF($D863&lt;&gt;1,"",IF(INDEX(TblClusters[Environnement],$B863)="","(vide)",INDEX(TblClusters[Environnement],$B863)))</f>
        <v/>
      </c>
      <c r="AG863" s="14" t="str">
        <f aca="false">IF($D863&lt;&gt;1,"",$R863+p_poidsram*$S863)</f>
        <v/>
      </c>
      <c r="AH863" s="14" t="str">
        <f aca="false">IF($D863&lt;&gt;1,"",IFERROR($W863/$AG863,0))</f>
        <v/>
      </c>
      <c r="AI863" s="14" t="str">
        <f aca="false">IF($D863&lt;&gt;1,"",IF(AND($G863="IKS",ISNUMBER(INDEX(TblClusters[Fermeture retenue],$B863))),IF($E863&gt;=INDEX(TblClusters[Fermeture retenue],$B863),1,0),0))</f>
        <v/>
      </c>
    </row>
    <row r="864" customFormat="false" ht="15" hidden="false" customHeight="false" outlineLevel="0" collapsed="false">
      <c r="A864" s="14" t="n">
        <v>859</v>
      </c>
      <c r="B864" s="14" t="n">
        <f aca="false">INT(($A864-1)/36)+1</f>
        <v>24</v>
      </c>
      <c r="C864" s="14" t="n">
        <f aca="false">MOD($A864-1,36)+1</f>
        <v>31</v>
      </c>
      <c r="D864" s="14" t="n">
        <f aca="false">IF($C864&gt;p_horizon,0,IFERROR(IF(AND(INDEX(TblClusters[Cluster],$B864)&lt;&gt;"",ISNUMBER(INDEX(TblClusters[CPU initial (vCPU)],$B864)),ISNUMBER(INDEX(TblClusters[CPU min (vCPU)],$B864)),OR(INDEX(TblClusters[Plateforme],$B864)="IKS",INDEX(TblClusters[Plateforme],$B864)="ROKS")),1,0),0))</f>
        <v>0</v>
      </c>
      <c r="E864" s="83" t="str">
        <f aca="false">IF($D864=1,EDATE(p_debut,$C864-1),"")</f>
        <v/>
      </c>
      <c r="F864" s="14" t="str">
        <f aca="false">IF($D864=1,INDEX(TblClusters[Cluster],$B864),"")</f>
        <v/>
      </c>
      <c r="G864" s="14" t="str">
        <f aca="false">IF($D864=1,INDEX(TblClusters[Plateforme],$B864),"")</f>
        <v/>
      </c>
      <c r="H864" s="14" t="str">
        <f aca="false">IF($D864=1,INDEX(TblClusters[vCPU par nœud],$B864),"")</f>
        <v/>
      </c>
      <c r="I864" s="14" t="str">
        <f aca="false">IF($D864=1,INDEX(TblClusters[RAM par nœud (Go)],$B864),"")</f>
        <v/>
      </c>
      <c r="J864" s="14" t="str">
        <f aca="false">IF($D864=1,INDEX(TblClusters[Workers min],$B864),"")</f>
        <v/>
      </c>
      <c r="K864" s="84" t="str">
        <f aca="false">IF($D864=1,INDEX(TblClusters[Tarif par nœud],$B864),"")</f>
        <v/>
      </c>
      <c r="L864" s="14" t="str">
        <f aca="false">IF($D864=1,INDEX(TblClusters[CPU initial (vCPU)],$B864),"")</f>
        <v/>
      </c>
      <c r="M864" s="14" t="str">
        <f aca="false">IF($D864=1,INDEX(TblClusters[RAM initiale (Go)],$B864),"")</f>
        <v/>
      </c>
      <c r="N864" s="14" t="str">
        <f aca="false">IF($D864=1,INDEX(TblClusters[CPU min (vCPU)],$B864),"")</f>
        <v/>
      </c>
      <c r="O864" s="14" t="str">
        <f aca="false">IF($D864=1,INDEX(TblClusters[RAM min (Go)],$B864),"")</f>
        <v/>
      </c>
      <c r="P864" s="14" t="str">
        <f aca="false">IF($D864&lt;&gt;1,"",IF($G864="ROKS",SUMIFS(TblApplications[Besoin ROKS CPU (vCPU)],TblApplications[Cluster ROKS cible],$F864,TblApplications[Action],"À migrer",TblApplications[Déjà incluse ROKS],"Non",TblApplications[Mois prov (calc)],"&lt;="&amp;$E864),SUMIFS(TblApplications[CPU IKS libérable (vCPU)],TblApplications[Cluster IKS source],$F864,TblApplications[Mois lib (calc)],"&lt;="&amp;$E864)))</f>
        <v/>
      </c>
      <c r="Q864" s="14" t="str">
        <f aca="false">IF($D864&lt;&gt;1,"",IF($G864="ROKS",SUMIFS(TblApplications[Besoin ROKS RAM (Go)],TblApplications[Cluster ROKS cible],$F864,TblApplications[Action],"À migrer",TblApplications[Déjà incluse ROKS],"Non",TblApplications[Mois prov (calc)],"&lt;="&amp;$E864),SUMIFS(TblApplications[RAM IKS libérable (Go)],TblApplications[Cluster IKS source],$F864,TblApplications[Mois lib (calc)],"&lt;="&amp;$E864)))</f>
        <v/>
      </c>
      <c r="R864" s="14" t="str">
        <f aca="false">IF($D864&lt;&gt;1,"",IF($G864="ROKS",$L864+$P864,IF($AI864=1,0,MAX($N864,$L864-$P864))))</f>
        <v/>
      </c>
      <c r="S864" s="14" t="str">
        <f aca="false">IF($D864&lt;&gt;1,"",IF($G864="ROKS",$M864+$Q864,IF($AI864=1,0,MAX($O864,$M864-$Q864))))</f>
        <v/>
      </c>
      <c r="T864" s="14" t="str">
        <f aca="false">IF($D864&lt;&gt;1,"",IF($AI864=1,0,MAX($J864,ROUNDUP(MAX($R864/$H864,$S864/$I864),0))))</f>
        <v/>
      </c>
      <c r="U864" s="14" t="str">
        <f aca="false">IF($D864&lt;&gt;1,"",IF(p_mode="Nœud",$T864*$H864,$R864))</f>
        <v/>
      </c>
      <c r="V864" s="14" t="str">
        <f aca="false">IF($D864&lt;&gt;1,"",IF(p_mode="Nœud",$T864*$I864,$S864))</f>
        <v/>
      </c>
      <c r="W864" s="84" t="str">
        <f aca="false">IF($D864&lt;&gt;1,"",IF(p_mode="Nœud",$T864*$K864,$R864*IF($G864="IKS",p_iks_cpu,p_roks_cpu)+$S864*IF($G864="IKS",p_iks_ram,p_roks_ram))*p_facteur)</f>
        <v/>
      </c>
      <c r="X864" s="14" t="str">
        <f aca="false">IF($D864&lt;&gt;1,"",IF($G864="ROKS",$R864,IF($AI864=1,0,MAX($N864,$L864-SUMIFS(TblApplications[CPU IKS libérable (vCPU)],TblApplications[Cluster IKS source],$F864,TblApplications[Action],"À migrer",TblApplications[Mois prov (calc)],"&lt;="&amp;$E864)-SUMIFS(TblApplications[CPU IKS libérable (vCPU)],TblApplications[Cluster IKS source],$F864,TblApplications[Action],"À décommissionner",TblApplications[Mois lib (calc)],"&lt;="&amp;$E864)))))</f>
        <v/>
      </c>
      <c r="Y864" s="14" t="str">
        <f aca="false">IF($D864&lt;&gt;1,"",IF($G864="ROKS",$S864,IF($AI864=1,0,MAX($O864,$M864-SUMIFS(TblApplications[RAM IKS libérable (Go)],TblApplications[Cluster IKS source],$F864,TblApplications[Action],"À migrer",TblApplications[Mois prov (calc)],"&lt;="&amp;$E864)-SUMIFS(TblApplications[RAM IKS libérable (Go)],TblApplications[Cluster IKS source],$F864,TblApplications[Action],"À décommissionner",TblApplications[Mois lib (calc)],"&lt;="&amp;$E864)))))</f>
        <v/>
      </c>
      <c r="Z864" s="14" t="str">
        <f aca="false">IF($D864&lt;&gt;1,"",IF($AI864=1,0,MAX($J864,ROUNDUP(MAX($X864/$H864,$Y864/$I864),0))))</f>
        <v/>
      </c>
      <c r="AA864" s="84" t="str">
        <f aca="false">IF($D864&lt;&gt;1,"",IF(p_mode="Nœud",$Z864*$K864,$X864*IF($G864="IKS",p_iks_cpu,p_roks_cpu)+$Y864*IF($G864="IKS",p_iks_ram,p_roks_ram))*p_facteur)</f>
        <v/>
      </c>
      <c r="AB864" s="14" t="str">
        <f aca="false">IF($D864&lt;&gt;1,"",MAX($J864,ROUNDUP(MAX($L864/$H864,$M864/$I864),0)))</f>
        <v/>
      </c>
      <c r="AC864" s="84" t="str">
        <f aca="false">IF($D864&lt;&gt;1,"",IF(p_mode="Nœud",$AB864*$K864,$L864*IF($G864="IKS",p_iks_cpu,p_roks_cpu)+$M864*IF($G864="IKS",p_iks_ram,p_roks_ram))*p_facteur)</f>
        <v/>
      </c>
      <c r="AD864" s="14" t="str">
        <f aca="false">IF($D864&lt;&gt;1,"",IF(AND($G864="IKS",$AI864&lt;&gt;1,OR($L864-$P864&lt;$N864,$M864-$Q864&lt;$O864)),1,0))</f>
        <v/>
      </c>
      <c r="AE864" s="14" t="str">
        <f aca="false">IF($D864&lt;&gt;1,"",IF(AND($G864="ROKS",$T864&gt;p_maxworkers),1,0))</f>
        <v/>
      </c>
      <c r="AF864" s="14" t="str">
        <f aca="false">IF($D864&lt;&gt;1,"",IF(INDEX(TblClusters[Environnement],$B864)="","(vide)",INDEX(TblClusters[Environnement],$B864)))</f>
        <v/>
      </c>
      <c r="AG864" s="14" t="str">
        <f aca="false">IF($D864&lt;&gt;1,"",$R864+p_poidsram*$S864)</f>
        <v/>
      </c>
      <c r="AH864" s="14" t="str">
        <f aca="false">IF($D864&lt;&gt;1,"",IFERROR($W864/$AG864,0))</f>
        <v/>
      </c>
      <c r="AI864" s="14" t="str">
        <f aca="false">IF($D864&lt;&gt;1,"",IF(AND($G864="IKS",ISNUMBER(INDEX(TblClusters[Fermeture retenue],$B864))),IF($E864&gt;=INDEX(TblClusters[Fermeture retenue],$B864),1,0),0))</f>
        <v/>
      </c>
    </row>
    <row r="865" customFormat="false" ht="15" hidden="false" customHeight="false" outlineLevel="0" collapsed="false">
      <c r="A865" s="14" t="n">
        <v>860</v>
      </c>
      <c r="B865" s="14" t="n">
        <f aca="false">INT(($A865-1)/36)+1</f>
        <v>24</v>
      </c>
      <c r="C865" s="14" t="n">
        <f aca="false">MOD($A865-1,36)+1</f>
        <v>32</v>
      </c>
      <c r="D865" s="14" t="n">
        <f aca="false">IF($C865&gt;p_horizon,0,IFERROR(IF(AND(INDEX(TblClusters[Cluster],$B865)&lt;&gt;"",ISNUMBER(INDEX(TblClusters[CPU initial (vCPU)],$B865)),ISNUMBER(INDEX(TblClusters[CPU min (vCPU)],$B865)),OR(INDEX(TblClusters[Plateforme],$B865)="IKS",INDEX(TblClusters[Plateforme],$B865)="ROKS")),1,0),0))</f>
        <v>0</v>
      </c>
      <c r="E865" s="83" t="str">
        <f aca="false">IF($D865=1,EDATE(p_debut,$C865-1),"")</f>
        <v/>
      </c>
      <c r="F865" s="14" t="str">
        <f aca="false">IF($D865=1,INDEX(TblClusters[Cluster],$B865),"")</f>
        <v/>
      </c>
      <c r="G865" s="14" t="str">
        <f aca="false">IF($D865=1,INDEX(TblClusters[Plateforme],$B865),"")</f>
        <v/>
      </c>
      <c r="H865" s="14" t="str">
        <f aca="false">IF($D865=1,INDEX(TblClusters[vCPU par nœud],$B865),"")</f>
        <v/>
      </c>
      <c r="I865" s="14" t="str">
        <f aca="false">IF($D865=1,INDEX(TblClusters[RAM par nœud (Go)],$B865),"")</f>
        <v/>
      </c>
      <c r="J865" s="14" t="str">
        <f aca="false">IF($D865=1,INDEX(TblClusters[Workers min],$B865),"")</f>
        <v/>
      </c>
      <c r="K865" s="84" t="str">
        <f aca="false">IF($D865=1,INDEX(TblClusters[Tarif par nœud],$B865),"")</f>
        <v/>
      </c>
      <c r="L865" s="14" t="str">
        <f aca="false">IF($D865=1,INDEX(TblClusters[CPU initial (vCPU)],$B865),"")</f>
        <v/>
      </c>
      <c r="M865" s="14" t="str">
        <f aca="false">IF($D865=1,INDEX(TblClusters[RAM initiale (Go)],$B865),"")</f>
        <v/>
      </c>
      <c r="N865" s="14" t="str">
        <f aca="false">IF($D865=1,INDEX(TblClusters[CPU min (vCPU)],$B865),"")</f>
        <v/>
      </c>
      <c r="O865" s="14" t="str">
        <f aca="false">IF($D865=1,INDEX(TblClusters[RAM min (Go)],$B865),"")</f>
        <v/>
      </c>
      <c r="P865" s="14" t="str">
        <f aca="false">IF($D865&lt;&gt;1,"",IF($G865="ROKS",SUMIFS(TblApplications[Besoin ROKS CPU (vCPU)],TblApplications[Cluster ROKS cible],$F865,TblApplications[Action],"À migrer",TblApplications[Déjà incluse ROKS],"Non",TblApplications[Mois prov (calc)],"&lt;="&amp;$E865),SUMIFS(TblApplications[CPU IKS libérable (vCPU)],TblApplications[Cluster IKS source],$F865,TblApplications[Mois lib (calc)],"&lt;="&amp;$E865)))</f>
        <v/>
      </c>
      <c r="Q865" s="14" t="str">
        <f aca="false">IF($D865&lt;&gt;1,"",IF($G865="ROKS",SUMIFS(TblApplications[Besoin ROKS RAM (Go)],TblApplications[Cluster ROKS cible],$F865,TblApplications[Action],"À migrer",TblApplications[Déjà incluse ROKS],"Non",TblApplications[Mois prov (calc)],"&lt;="&amp;$E865),SUMIFS(TblApplications[RAM IKS libérable (Go)],TblApplications[Cluster IKS source],$F865,TblApplications[Mois lib (calc)],"&lt;="&amp;$E865)))</f>
        <v/>
      </c>
      <c r="R865" s="14" t="str">
        <f aca="false">IF($D865&lt;&gt;1,"",IF($G865="ROKS",$L865+$P865,IF($AI865=1,0,MAX($N865,$L865-$P865))))</f>
        <v/>
      </c>
      <c r="S865" s="14" t="str">
        <f aca="false">IF($D865&lt;&gt;1,"",IF($G865="ROKS",$M865+$Q865,IF($AI865=1,0,MAX($O865,$M865-$Q865))))</f>
        <v/>
      </c>
      <c r="T865" s="14" t="str">
        <f aca="false">IF($D865&lt;&gt;1,"",IF($AI865=1,0,MAX($J865,ROUNDUP(MAX($R865/$H865,$S865/$I865),0))))</f>
        <v/>
      </c>
      <c r="U865" s="14" t="str">
        <f aca="false">IF($D865&lt;&gt;1,"",IF(p_mode="Nœud",$T865*$H865,$R865))</f>
        <v/>
      </c>
      <c r="V865" s="14" t="str">
        <f aca="false">IF($D865&lt;&gt;1,"",IF(p_mode="Nœud",$T865*$I865,$S865))</f>
        <v/>
      </c>
      <c r="W865" s="84" t="str">
        <f aca="false">IF($D865&lt;&gt;1,"",IF(p_mode="Nœud",$T865*$K865,$R865*IF($G865="IKS",p_iks_cpu,p_roks_cpu)+$S865*IF($G865="IKS",p_iks_ram,p_roks_ram))*p_facteur)</f>
        <v/>
      </c>
      <c r="X865" s="14" t="str">
        <f aca="false">IF($D865&lt;&gt;1,"",IF($G865="ROKS",$R865,IF($AI865=1,0,MAX($N865,$L865-SUMIFS(TblApplications[CPU IKS libérable (vCPU)],TblApplications[Cluster IKS source],$F865,TblApplications[Action],"À migrer",TblApplications[Mois prov (calc)],"&lt;="&amp;$E865)-SUMIFS(TblApplications[CPU IKS libérable (vCPU)],TblApplications[Cluster IKS source],$F865,TblApplications[Action],"À décommissionner",TblApplications[Mois lib (calc)],"&lt;="&amp;$E865)))))</f>
        <v/>
      </c>
      <c r="Y865" s="14" t="str">
        <f aca="false">IF($D865&lt;&gt;1,"",IF($G865="ROKS",$S865,IF($AI865=1,0,MAX($O865,$M865-SUMIFS(TblApplications[RAM IKS libérable (Go)],TblApplications[Cluster IKS source],$F865,TblApplications[Action],"À migrer",TblApplications[Mois prov (calc)],"&lt;="&amp;$E865)-SUMIFS(TblApplications[RAM IKS libérable (Go)],TblApplications[Cluster IKS source],$F865,TblApplications[Action],"À décommissionner",TblApplications[Mois lib (calc)],"&lt;="&amp;$E865)))))</f>
        <v/>
      </c>
      <c r="Z865" s="14" t="str">
        <f aca="false">IF($D865&lt;&gt;1,"",IF($AI865=1,0,MAX($J865,ROUNDUP(MAX($X865/$H865,$Y865/$I865),0))))</f>
        <v/>
      </c>
      <c r="AA865" s="84" t="str">
        <f aca="false">IF($D865&lt;&gt;1,"",IF(p_mode="Nœud",$Z865*$K865,$X865*IF($G865="IKS",p_iks_cpu,p_roks_cpu)+$Y865*IF($G865="IKS",p_iks_ram,p_roks_ram))*p_facteur)</f>
        <v/>
      </c>
      <c r="AB865" s="14" t="str">
        <f aca="false">IF($D865&lt;&gt;1,"",MAX($J865,ROUNDUP(MAX($L865/$H865,$M865/$I865),0)))</f>
        <v/>
      </c>
      <c r="AC865" s="84" t="str">
        <f aca="false">IF($D865&lt;&gt;1,"",IF(p_mode="Nœud",$AB865*$K865,$L865*IF($G865="IKS",p_iks_cpu,p_roks_cpu)+$M865*IF($G865="IKS",p_iks_ram,p_roks_ram))*p_facteur)</f>
        <v/>
      </c>
      <c r="AD865" s="14" t="str">
        <f aca="false">IF($D865&lt;&gt;1,"",IF(AND($G865="IKS",$AI865&lt;&gt;1,OR($L865-$P865&lt;$N865,$M865-$Q865&lt;$O865)),1,0))</f>
        <v/>
      </c>
      <c r="AE865" s="14" t="str">
        <f aca="false">IF($D865&lt;&gt;1,"",IF(AND($G865="ROKS",$T865&gt;p_maxworkers),1,0))</f>
        <v/>
      </c>
      <c r="AF865" s="14" t="str">
        <f aca="false">IF($D865&lt;&gt;1,"",IF(INDEX(TblClusters[Environnement],$B865)="","(vide)",INDEX(TblClusters[Environnement],$B865)))</f>
        <v/>
      </c>
      <c r="AG865" s="14" t="str">
        <f aca="false">IF($D865&lt;&gt;1,"",$R865+p_poidsram*$S865)</f>
        <v/>
      </c>
      <c r="AH865" s="14" t="str">
        <f aca="false">IF($D865&lt;&gt;1,"",IFERROR($W865/$AG865,0))</f>
        <v/>
      </c>
      <c r="AI865" s="14" t="str">
        <f aca="false">IF($D865&lt;&gt;1,"",IF(AND($G865="IKS",ISNUMBER(INDEX(TblClusters[Fermeture retenue],$B865))),IF($E865&gt;=INDEX(TblClusters[Fermeture retenue],$B865),1,0),0))</f>
        <v/>
      </c>
    </row>
    <row r="866" customFormat="false" ht="15" hidden="false" customHeight="false" outlineLevel="0" collapsed="false">
      <c r="A866" s="14" t="n">
        <v>861</v>
      </c>
      <c r="B866" s="14" t="n">
        <f aca="false">INT(($A866-1)/36)+1</f>
        <v>24</v>
      </c>
      <c r="C866" s="14" t="n">
        <f aca="false">MOD($A866-1,36)+1</f>
        <v>33</v>
      </c>
      <c r="D866" s="14" t="n">
        <f aca="false">IF($C866&gt;p_horizon,0,IFERROR(IF(AND(INDEX(TblClusters[Cluster],$B866)&lt;&gt;"",ISNUMBER(INDEX(TblClusters[CPU initial (vCPU)],$B866)),ISNUMBER(INDEX(TblClusters[CPU min (vCPU)],$B866)),OR(INDEX(TblClusters[Plateforme],$B866)="IKS",INDEX(TblClusters[Plateforme],$B866)="ROKS")),1,0),0))</f>
        <v>0</v>
      </c>
      <c r="E866" s="83" t="str">
        <f aca="false">IF($D866=1,EDATE(p_debut,$C866-1),"")</f>
        <v/>
      </c>
      <c r="F866" s="14" t="str">
        <f aca="false">IF($D866=1,INDEX(TblClusters[Cluster],$B866),"")</f>
        <v/>
      </c>
      <c r="G866" s="14" t="str">
        <f aca="false">IF($D866=1,INDEX(TblClusters[Plateforme],$B866),"")</f>
        <v/>
      </c>
      <c r="H866" s="14" t="str">
        <f aca="false">IF($D866=1,INDEX(TblClusters[vCPU par nœud],$B866),"")</f>
        <v/>
      </c>
      <c r="I866" s="14" t="str">
        <f aca="false">IF($D866=1,INDEX(TblClusters[RAM par nœud (Go)],$B866),"")</f>
        <v/>
      </c>
      <c r="J866" s="14" t="str">
        <f aca="false">IF($D866=1,INDEX(TblClusters[Workers min],$B866),"")</f>
        <v/>
      </c>
      <c r="K866" s="84" t="str">
        <f aca="false">IF($D866=1,INDEX(TblClusters[Tarif par nœud],$B866),"")</f>
        <v/>
      </c>
      <c r="L866" s="14" t="str">
        <f aca="false">IF($D866=1,INDEX(TblClusters[CPU initial (vCPU)],$B866),"")</f>
        <v/>
      </c>
      <c r="M866" s="14" t="str">
        <f aca="false">IF($D866=1,INDEX(TblClusters[RAM initiale (Go)],$B866),"")</f>
        <v/>
      </c>
      <c r="N866" s="14" t="str">
        <f aca="false">IF($D866=1,INDEX(TblClusters[CPU min (vCPU)],$B866),"")</f>
        <v/>
      </c>
      <c r="O866" s="14" t="str">
        <f aca="false">IF($D866=1,INDEX(TblClusters[RAM min (Go)],$B866),"")</f>
        <v/>
      </c>
      <c r="P866" s="14" t="str">
        <f aca="false">IF($D866&lt;&gt;1,"",IF($G866="ROKS",SUMIFS(TblApplications[Besoin ROKS CPU (vCPU)],TblApplications[Cluster ROKS cible],$F866,TblApplications[Action],"À migrer",TblApplications[Déjà incluse ROKS],"Non",TblApplications[Mois prov (calc)],"&lt;="&amp;$E866),SUMIFS(TblApplications[CPU IKS libérable (vCPU)],TblApplications[Cluster IKS source],$F866,TblApplications[Mois lib (calc)],"&lt;="&amp;$E866)))</f>
        <v/>
      </c>
      <c r="Q866" s="14" t="str">
        <f aca="false">IF($D866&lt;&gt;1,"",IF($G866="ROKS",SUMIFS(TblApplications[Besoin ROKS RAM (Go)],TblApplications[Cluster ROKS cible],$F866,TblApplications[Action],"À migrer",TblApplications[Déjà incluse ROKS],"Non",TblApplications[Mois prov (calc)],"&lt;="&amp;$E866),SUMIFS(TblApplications[RAM IKS libérable (Go)],TblApplications[Cluster IKS source],$F866,TblApplications[Mois lib (calc)],"&lt;="&amp;$E866)))</f>
        <v/>
      </c>
      <c r="R866" s="14" t="str">
        <f aca="false">IF($D866&lt;&gt;1,"",IF($G866="ROKS",$L866+$P866,IF($AI866=1,0,MAX($N866,$L866-$P866))))</f>
        <v/>
      </c>
      <c r="S866" s="14" t="str">
        <f aca="false">IF($D866&lt;&gt;1,"",IF($G866="ROKS",$M866+$Q866,IF($AI866=1,0,MAX($O866,$M866-$Q866))))</f>
        <v/>
      </c>
      <c r="T866" s="14" t="str">
        <f aca="false">IF($D866&lt;&gt;1,"",IF($AI866=1,0,MAX($J866,ROUNDUP(MAX($R866/$H866,$S866/$I866),0))))</f>
        <v/>
      </c>
      <c r="U866" s="14" t="str">
        <f aca="false">IF($D866&lt;&gt;1,"",IF(p_mode="Nœud",$T866*$H866,$R866))</f>
        <v/>
      </c>
      <c r="V866" s="14" t="str">
        <f aca="false">IF($D866&lt;&gt;1,"",IF(p_mode="Nœud",$T866*$I866,$S866))</f>
        <v/>
      </c>
      <c r="W866" s="84" t="str">
        <f aca="false">IF($D866&lt;&gt;1,"",IF(p_mode="Nœud",$T866*$K866,$R866*IF($G866="IKS",p_iks_cpu,p_roks_cpu)+$S866*IF($G866="IKS",p_iks_ram,p_roks_ram))*p_facteur)</f>
        <v/>
      </c>
      <c r="X866" s="14" t="str">
        <f aca="false">IF($D866&lt;&gt;1,"",IF($G866="ROKS",$R866,IF($AI866=1,0,MAX($N866,$L866-SUMIFS(TblApplications[CPU IKS libérable (vCPU)],TblApplications[Cluster IKS source],$F866,TblApplications[Action],"À migrer",TblApplications[Mois prov (calc)],"&lt;="&amp;$E866)-SUMIFS(TblApplications[CPU IKS libérable (vCPU)],TblApplications[Cluster IKS source],$F866,TblApplications[Action],"À décommissionner",TblApplications[Mois lib (calc)],"&lt;="&amp;$E866)))))</f>
        <v/>
      </c>
      <c r="Y866" s="14" t="str">
        <f aca="false">IF($D866&lt;&gt;1,"",IF($G866="ROKS",$S866,IF($AI866=1,0,MAX($O866,$M866-SUMIFS(TblApplications[RAM IKS libérable (Go)],TblApplications[Cluster IKS source],$F866,TblApplications[Action],"À migrer",TblApplications[Mois prov (calc)],"&lt;="&amp;$E866)-SUMIFS(TblApplications[RAM IKS libérable (Go)],TblApplications[Cluster IKS source],$F866,TblApplications[Action],"À décommissionner",TblApplications[Mois lib (calc)],"&lt;="&amp;$E866)))))</f>
        <v/>
      </c>
      <c r="Z866" s="14" t="str">
        <f aca="false">IF($D866&lt;&gt;1,"",IF($AI866=1,0,MAX($J866,ROUNDUP(MAX($X866/$H866,$Y866/$I866),0))))</f>
        <v/>
      </c>
      <c r="AA866" s="84" t="str">
        <f aca="false">IF($D866&lt;&gt;1,"",IF(p_mode="Nœud",$Z866*$K866,$X866*IF($G866="IKS",p_iks_cpu,p_roks_cpu)+$Y866*IF($G866="IKS",p_iks_ram,p_roks_ram))*p_facteur)</f>
        <v/>
      </c>
      <c r="AB866" s="14" t="str">
        <f aca="false">IF($D866&lt;&gt;1,"",MAX($J866,ROUNDUP(MAX($L866/$H866,$M866/$I866),0)))</f>
        <v/>
      </c>
      <c r="AC866" s="84" t="str">
        <f aca="false">IF($D866&lt;&gt;1,"",IF(p_mode="Nœud",$AB866*$K866,$L866*IF($G866="IKS",p_iks_cpu,p_roks_cpu)+$M866*IF($G866="IKS",p_iks_ram,p_roks_ram))*p_facteur)</f>
        <v/>
      </c>
      <c r="AD866" s="14" t="str">
        <f aca="false">IF($D866&lt;&gt;1,"",IF(AND($G866="IKS",$AI866&lt;&gt;1,OR($L866-$P866&lt;$N866,$M866-$Q866&lt;$O866)),1,0))</f>
        <v/>
      </c>
      <c r="AE866" s="14" t="str">
        <f aca="false">IF($D866&lt;&gt;1,"",IF(AND($G866="ROKS",$T866&gt;p_maxworkers),1,0))</f>
        <v/>
      </c>
      <c r="AF866" s="14" t="str">
        <f aca="false">IF($D866&lt;&gt;1,"",IF(INDEX(TblClusters[Environnement],$B866)="","(vide)",INDEX(TblClusters[Environnement],$B866)))</f>
        <v/>
      </c>
      <c r="AG866" s="14" t="str">
        <f aca="false">IF($D866&lt;&gt;1,"",$R866+p_poidsram*$S866)</f>
        <v/>
      </c>
      <c r="AH866" s="14" t="str">
        <f aca="false">IF($D866&lt;&gt;1,"",IFERROR($W866/$AG866,0))</f>
        <v/>
      </c>
      <c r="AI866" s="14" t="str">
        <f aca="false">IF($D866&lt;&gt;1,"",IF(AND($G866="IKS",ISNUMBER(INDEX(TblClusters[Fermeture retenue],$B866))),IF($E866&gt;=INDEX(TblClusters[Fermeture retenue],$B866),1,0),0))</f>
        <v/>
      </c>
    </row>
    <row r="867" customFormat="false" ht="15" hidden="false" customHeight="false" outlineLevel="0" collapsed="false">
      <c r="A867" s="14" t="n">
        <v>862</v>
      </c>
      <c r="B867" s="14" t="n">
        <f aca="false">INT(($A867-1)/36)+1</f>
        <v>24</v>
      </c>
      <c r="C867" s="14" t="n">
        <f aca="false">MOD($A867-1,36)+1</f>
        <v>34</v>
      </c>
      <c r="D867" s="14" t="n">
        <f aca="false">IF($C867&gt;p_horizon,0,IFERROR(IF(AND(INDEX(TblClusters[Cluster],$B867)&lt;&gt;"",ISNUMBER(INDEX(TblClusters[CPU initial (vCPU)],$B867)),ISNUMBER(INDEX(TblClusters[CPU min (vCPU)],$B867)),OR(INDEX(TblClusters[Plateforme],$B867)="IKS",INDEX(TblClusters[Plateforme],$B867)="ROKS")),1,0),0))</f>
        <v>0</v>
      </c>
      <c r="E867" s="83" t="str">
        <f aca="false">IF($D867=1,EDATE(p_debut,$C867-1),"")</f>
        <v/>
      </c>
      <c r="F867" s="14" t="str">
        <f aca="false">IF($D867=1,INDEX(TblClusters[Cluster],$B867),"")</f>
        <v/>
      </c>
      <c r="G867" s="14" t="str">
        <f aca="false">IF($D867=1,INDEX(TblClusters[Plateforme],$B867),"")</f>
        <v/>
      </c>
      <c r="H867" s="14" t="str">
        <f aca="false">IF($D867=1,INDEX(TblClusters[vCPU par nœud],$B867),"")</f>
        <v/>
      </c>
      <c r="I867" s="14" t="str">
        <f aca="false">IF($D867=1,INDEX(TblClusters[RAM par nœud (Go)],$B867),"")</f>
        <v/>
      </c>
      <c r="J867" s="14" t="str">
        <f aca="false">IF($D867=1,INDEX(TblClusters[Workers min],$B867),"")</f>
        <v/>
      </c>
      <c r="K867" s="84" t="str">
        <f aca="false">IF($D867=1,INDEX(TblClusters[Tarif par nœud],$B867),"")</f>
        <v/>
      </c>
      <c r="L867" s="14" t="str">
        <f aca="false">IF($D867=1,INDEX(TblClusters[CPU initial (vCPU)],$B867),"")</f>
        <v/>
      </c>
      <c r="M867" s="14" t="str">
        <f aca="false">IF($D867=1,INDEX(TblClusters[RAM initiale (Go)],$B867),"")</f>
        <v/>
      </c>
      <c r="N867" s="14" t="str">
        <f aca="false">IF($D867=1,INDEX(TblClusters[CPU min (vCPU)],$B867),"")</f>
        <v/>
      </c>
      <c r="O867" s="14" t="str">
        <f aca="false">IF($D867=1,INDEX(TblClusters[RAM min (Go)],$B867),"")</f>
        <v/>
      </c>
      <c r="P867" s="14" t="str">
        <f aca="false">IF($D867&lt;&gt;1,"",IF($G867="ROKS",SUMIFS(TblApplications[Besoin ROKS CPU (vCPU)],TblApplications[Cluster ROKS cible],$F867,TblApplications[Action],"À migrer",TblApplications[Déjà incluse ROKS],"Non",TblApplications[Mois prov (calc)],"&lt;="&amp;$E867),SUMIFS(TblApplications[CPU IKS libérable (vCPU)],TblApplications[Cluster IKS source],$F867,TblApplications[Mois lib (calc)],"&lt;="&amp;$E867)))</f>
        <v/>
      </c>
      <c r="Q867" s="14" t="str">
        <f aca="false">IF($D867&lt;&gt;1,"",IF($G867="ROKS",SUMIFS(TblApplications[Besoin ROKS RAM (Go)],TblApplications[Cluster ROKS cible],$F867,TblApplications[Action],"À migrer",TblApplications[Déjà incluse ROKS],"Non",TblApplications[Mois prov (calc)],"&lt;="&amp;$E867),SUMIFS(TblApplications[RAM IKS libérable (Go)],TblApplications[Cluster IKS source],$F867,TblApplications[Mois lib (calc)],"&lt;="&amp;$E867)))</f>
        <v/>
      </c>
      <c r="R867" s="14" t="str">
        <f aca="false">IF($D867&lt;&gt;1,"",IF($G867="ROKS",$L867+$P867,IF($AI867=1,0,MAX($N867,$L867-$P867))))</f>
        <v/>
      </c>
      <c r="S867" s="14" t="str">
        <f aca="false">IF($D867&lt;&gt;1,"",IF($G867="ROKS",$M867+$Q867,IF($AI867=1,0,MAX($O867,$M867-$Q867))))</f>
        <v/>
      </c>
      <c r="T867" s="14" t="str">
        <f aca="false">IF($D867&lt;&gt;1,"",IF($AI867=1,0,MAX($J867,ROUNDUP(MAX($R867/$H867,$S867/$I867),0))))</f>
        <v/>
      </c>
      <c r="U867" s="14" t="str">
        <f aca="false">IF($D867&lt;&gt;1,"",IF(p_mode="Nœud",$T867*$H867,$R867))</f>
        <v/>
      </c>
      <c r="V867" s="14" t="str">
        <f aca="false">IF($D867&lt;&gt;1,"",IF(p_mode="Nœud",$T867*$I867,$S867))</f>
        <v/>
      </c>
      <c r="W867" s="84" t="str">
        <f aca="false">IF($D867&lt;&gt;1,"",IF(p_mode="Nœud",$T867*$K867,$R867*IF($G867="IKS",p_iks_cpu,p_roks_cpu)+$S867*IF($G867="IKS",p_iks_ram,p_roks_ram))*p_facteur)</f>
        <v/>
      </c>
      <c r="X867" s="14" t="str">
        <f aca="false">IF($D867&lt;&gt;1,"",IF($G867="ROKS",$R867,IF($AI867=1,0,MAX($N867,$L867-SUMIFS(TblApplications[CPU IKS libérable (vCPU)],TblApplications[Cluster IKS source],$F867,TblApplications[Action],"À migrer",TblApplications[Mois prov (calc)],"&lt;="&amp;$E867)-SUMIFS(TblApplications[CPU IKS libérable (vCPU)],TblApplications[Cluster IKS source],$F867,TblApplications[Action],"À décommissionner",TblApplications[Mois lib (calc)],"&lt;="&amp;$E867)))))</f>
        <v/>
      </c>
      <c r="Y867" s="14" t="str">
        <f aca="false">IF($D867&lt;&gt;1,"",IF($G867="ROKS",$S867,IF($AI867=1,0,MAX($O867,$M867-SUMIFS(TblApplications[RAM IKS libérable (Go)],TblApplications[Cluster IKS source],$F867,TblApplications[Action],"À migrer",TblApplications[Mois prov (calc)],"&lt;="&amp;$E867)-SUMIFS(TblApplications[RAM IKS libérable (Go)],TblApplications[Cluster IKS source],$F867,TblApplications[Action],"À décommissionner",TblApplications[Mois lib (calc)],"&lt;="&amp;$E867)))))</f>
        <v/>
      </c>
      <c r="Z867" s="14" t="str">
        <f aca="false">IF($D867&lt;&gt;1,"",IF($AI867=1,0,MAX($J867,ROUNDUP(MAX($X867/$H867,$Y867/$I867),0))))</f>
        <v/>
      </c>
      <c r="AA867" s="84" t="str">
        <f aca="false">IF($D867&lt;&gt;1,"",IF(p_mode="Nœud",$Z867*$K867,$X867*IF($G867="IKS",p_iks_cpu,p_roks_cpu)+$Y867*IF($G867="IKS",p_iks_ram,p_roks_ram))*p_facteur)</f>
        <v/>
      </c>
      <c r="AB867" s="14" t="str">
        <f aca="false">IF($D867&lt;&gt;1,"",MAX($J867,ROUNDUP(MAX($L867/$H867,$M867/$I867),0)))</f>
        <v/>
      </c>
      <c r="AC867" s="84" t="str">
        <f aca="false">IF($D867&lt;&gt;1,"",IF(p_mode="Nœud",$AB867*$K867,$L867*IF($G867="IKS",p_iks_cpu,p_roks_cpu)+$M867*IF($G867="IKS",p_iks_ram,p_roks_ram))*p_facteur)</f>
        <v/>
      </c>
      <c r="AD867" s="14" t="str">
        <f aca="false">IF($D867&lt;&gt;1,"",IF(AND($G867="IKS",$AI867&lt;&gt;1,OR($L867-$P867&lt;$N867,$M867-$Q867&lt;$O867)),1,0))</f>
        <v/>
      </c>
      <c r="AE867" s="14" t="str">
        <f aca="false">IF($D867&lt;&gt;1,"",IF(AND($G867="ROKS",$T867&gt;p_maxworkers),1,0))</f>
        <v/>
      </c>
      <c r="AF867" s="14" t="str">
        <f aca="false">IF($D867&lt;&gt;1,"",IF(INDEX(TblClusters[Environnement],$B867)="","(vide)",INDEX(TblClusters[Environnement],$B867)))</f>
        <v/>
      </c>
      <c r="AG867" s="14" t="str">
        <f aca="false">IF($D867&lt;&gt;1,"",$R867+p_poidsram*$S867)</f>
        <v/>
      </c>
      <c r="AH867" s="14" t="str">
        <f aca="false">IF($D867&lt;&gt;1,"",IFERROR($W867/$AG867,0))</f>
        <v/>
      </c>
      <c r="AI867" s="14" t="str">
        <f aca="false">IF($D867&lt;&gt;1,"",IF(AND($G867="IKS",ISNUMBER(INDEX(TblClusters[Fermeture retenue],$B867))),IF($E867&gt;=INDEX(TblClusters[Fermeture retenue],$B867),1,0),0))</f>
        <v/>
      </c>
    </row>
    <row r="868" customFormat="false" ht="15" hidden="false" customHeight="false" outlineLevel="0" collapsed="false">
      <c r="A868" s="14" t="n">
        <v>863</v>
      </c>
      <c r="B868" s="14" t="n">
        <f aca="false">INT(($A868-1)/36)+1</f>
        <v>24</v>
      </c>
      <c r="C868" s="14" t="n">
        <f aca="false">MOD($A868-1,36)+1</f>
        <v>35</v>
      </c>
      <c r="D868" s="14" t="n">
        <f aca="false">IF($C868&gt;p_horizon,0,IFERROR(IF(AND(INDEX(TblClusters[Cluster],$B868)&lt;&gt;"",ISNUMBER(INDEX(TblClusters[CPU initial (vCPU)],$B868)),ISNUMBER(INDEX(TblClusters[CPU min (vCPU)],$B868)),OR(INDEX(TblClusters[Plateforme],$B868)="IKS",INDEX(TblClusters[Plateforme],$B868)="ROKS")),1,0),0))</f>
        <v>0</v>
      </c>
      <c r="E868" s="83" t="str">
        <f aca="false">IF($D868=1,EDATE(p_debut,$C868-1),"")</f>
        <v/>
      </c>
      <c r="F868" s="14" t="str">
        <f aca="false">IF($D868=1,INDEX(TblClusters[Cluster],$B868),"")</f>
        <v/>
      </c>
      <c r="G868" s="14" t="str">
        <f aca="false">IF($D868=1,INDEX(TblClusters[Plateforme],$B868),"")</f>
        <v/>
      </c>
      <c r="H868" s="14" t="str">
        <f aca="false">IF($D868=1,INDEX(TblClusters[vCPU par nœud],$B868),"")</f>
        <v/>
      </c>
      <c r="I868" s="14" t="str">
        <f aca="false">IF($D868=1,INDEX(TblClusters[RAM par nœud (Go)],$B868),"")</f>
        <v/>
      </c>
      <c r="J868" s="14" t="str">
        <f aca="false">IF($D868=1,INDEX(TblClusters[Workers min],$B868),"")</f>
        <v/>
      </c>
      <c r="K868" s="84" t="str">
        <f aca="false">IF($D868=1,INDEX(TblClusters[Tarif par nœud],$B868),"")</f>
        <v/>
      </c>
      <c r="L868" s="14" t="str">
        <f aca="false">IF($D868=1,INDEX(TblClusters[CPU initial (vCPU)],$B868),"")</f>
        <v/>
      </c>
      <c r="M868" s="14" t="str">
        <f aca="false">IF($D868=1,INDEX(TblClusters[RAM initiale (Go)],$B868),"")</f>
        <v/>
      </c>
      <c r="N868" s="14" t="str">
        <f aca="false">IF($D868=1,INDEX(TblClusters[CPU min (vCPU)],$B868),"")</f>
        <v/>
      </c>
      <c r="O868" s="14" t="str">
        <f aca="false">IF($D868=1,INDEX(TblClusters[RAM min (Go)],$B868),"")</f>
        <v/>
      </c>
      <c r="P868" s="14" t="str">
        <f aca="false">IF($D868&lt;&gt;1,"",IF($G868="ROKS",SUMIFS(TblApplications[Besoin ROKS CPU (vCPU)],TblApplications[Cluster ROKS cible],$F868,TblApplications[Action],"À migrer",TblApplications[Déjà incluse ROKS],"Non",TblApplications[Mois prov (calc)],"&lt;="&amp;$E868),SUMIFS(TblApplications[CPU IKS libérable (vCPU)],TblApplications[Cluster IKS source],$F868,TblApplications[Mois lib (calc)],"&lt;="&amp;$E868)))</f>
        <v/>
      </c>
      <c r="Q868" s="14" t="str">
        <f aca="false">IF($D868&lt;&gt;1,"",IF($G868="ROKS",SUMIFS(TblApplications[Besoin ROKS RAM (Go)],TblApplications[Cluster ROKS cible],$F868,TblApplications[Action],"À migrer",TblApplications[Déjà incluse ROKS],"Non",TblApplications[Mois prov (calc)],"&lt;="&amp;$E868),SUMIFS(TblApplications[RAM IKS libérable (Go)],TblApplications[Cluster IKS source],$F868,TblApplications[Mois lib (calc)],"&lt;="&amp;$E868)))</f>
        <v/>
      </c>
      <c r="R868" s="14" t="str">
        <f aca="false">IF($D868&lt;&gt;1,"",IF($G868="ROKS",$L868+$P868,IF($AI868=1,0,MAX($N868,$L868-$P868))))</f>
        <v/>
      </c>
      <c r="S868" s="14" t="str">
        <f aca="false">IF($D868&lt;&gt;1,"",IF($G868="ROKS",$M868+$Q868,IF($AI868=1,0,MAX($O868,$M868-$Q868))))</f>
        <v/>
      </c>
      <c r="T868" s="14" t="str">
        <f aca="false">IF($D868&lt;&gt;1,"",IF($AI868=1,0,MAX($J868,ROUNDUP(MAX($R868/$H868,$S868/$I868),0))))</f>
        <v/>
      </c>
      <c r="U868" s="14" t="str">
        <f aca="false">IF($D868&lt;&gt;1,"",IF(p_mode="Nœud",$T868*$H868,$R868))</f>
        <v/>
      </c>
      <c r="V868" s="14" t="str">
        <f aca="false">IF($D868&lt;&gt;1,"",IF(p_mode="Nœud",$T868*$I868,$S868))</f>
        <v/>
      </c>
      <c r="W868" s="84" t="str">
        <f aca="false">IF($D868&lt;&gt;1,"",IF(p_mode="Nœud",$T868*$K868,$R868*IF($G868="IKS",p_iks_cpu,p_roks_cpu)+$S868*IF($G868="IKS",p_iks_ram,p_roks_ram))*p_facteur)</f>
        <v/>
      </c>
      <c r="X868" s="14" t="str">
        <f aca="false">IF($D868&lt;&gt;1,"",IF($G868="ROKS",$R868,IF($AI868=1,0,MAX($N868,$L868-SUMIFS(TblApplications[CPU IKS libérable (vCPU)],TblApplications[Cluster IKS source],$F868,TblApplications[Action],"À migrer",TblApplications[Mois prov (calc)],"&lt;="&amp;$E868)-SUMIFS(TblApplications[CPU IKS libérable (vCPU)],TblApplications[Cluster IKS source],$F868,TblApplications[Action],"À décommissionner",TblApplications[Mois lib (calc)],"&lt;="&amp;$E868)))))</f>
        <v/>
      </c>
      <c r="Y868" s="14" t="str">
        <f aca="false">IF($D868&lt;&gt;1,"",IF($G868="ROKS",$S868,IF($AI868=1,0,MAX($O868,$M868-SUMIFS(TblApplications[RAM IKS libérable (Go)],TblApplications[Cluster IKS source],$F868,TblApplications[Action],"À migrer",TblApplications[Mois prov (calc)],"&lt;="&amp;$E868)-SUMIFS(TblApplications[RAM IKS libérable (Go)],TblApplications[Cluster IKS source],$F868,TblApplications[Action],"À décommissionner",TblApplications[Mois lib (calc)],"&lt;="&amp;$E868)))))</f>
        <v/>
      </c>
      <c r="Z868" s="14" t="str">
        <f aca="false">IF($D868&lt;&gt;1,"",IF($AI868=1,0,MAX($J868,ROUNDUP(MAX($X868/$H868,$Y868/$I868),0))))</f>
        <v/>
      </c>
      <c r="AA868" s="84" t="str">
        <f aca="false">IF($D868&lt;&gt;1,"",IF(p_mode="Nœud",$Z868*$K868,$X868*IF($G868="IKS",p_iks_cpu,p_roks_cpu)+$Y868*IF($G868="IKS",p_iks_ram,p_roks_ram))*p_facteur)</f>
        <v/>
      </c>
      <c r="AB868" s="14" t="str">
        <f aca="false">IF($D868&lt;&gt;1,"",MAX($J868,ROUNDUP(MAX($L868/$H868,$M868/$I868),0)))</f>
        <v/>
      </c>
      <c r="AC868" s="84" t="str">
        <f aca="false">IF($D868&lt;&gt;1,"",IF(p_mode="Nœud",$AB868*$K868,$L868*IF($G868="IKS",p_iks_cpu,p_roks_cpu)+$M868*IF($G868="IKS",p_iks_ram,p_roks_ram))*p_facteur)</f>
        <v/>
      </c>
      <c r="AD868" s="14" t="str">
        <f aca="false">IF($D868&lt;&gt;1,"",IF(AND($G868="IKS",$AI868&lt;&gt;1,OR($L868-$P868&lt;$N868,$M868-$Q868&lt;$O868)),1,0))</f>
        <v/>
      </c>
      <c r="AE868" s="14" t="str">
        <f aca="false">IF($D868&lt;&gt;1,"",IF(AND($G868="ROKS",$T868&gt;p_maxworkers),1,0))</f>
        <v/>
      </c>
      <c r="AF868" s="14" t="str">
        <f aca="false">IF($D868&lt;&gt;1,"",IF(INDEX(TblClusters[Environnement],$B868)="","(vide)",INDEX(TblClusters[Environnement],$B868)))</f>
        <v/>
      </c>
      <c r="AG868" s="14" t="str">
        <f aca="false">IF($D868&lt;&gt;1,"",$R868+p_poidsram*$S868)</f>
        <v/>
      </c>
      <c r="AH868" s="14" t="str">
        <f aca="false">IF($D868&lt;&gt;1,"",IFERROR($W868/$AG868,0))</f>
        <v/>
      </c>
      <c r="AI868" s="14" t="str">
        <f aca="false">IF($D868&lt;&gt;1,"",IF(AND($G868="IKS",ISNUMBER(INDEX(TblClusters[Fermeture retenue],$B868))),IF($E868&gt;=INDEX(TblClusters[Fermeture retenue],$B868),1,0),0))</f>
        <v/>
      </c>
    </row>
    <row r="869" customFormat="false" ht="15" hidden="false" customHeight="false" outlineLevel="0" collapsed="false">
      <c r="A869" s="14" t="n">
        <v>864</v>
      </c>
      <c r="B869" s="14" t="n">
        <f aca="false">INT(($A869-1)/36)+1</f>
        <v>24</v>
      </c>
      <c r="C869" s="14" t="n">
        <f aca="false">MOD($A869-1,36)+1</f>
        <v>36</v>
      </c>
      <c r="D869" s="14" t="n">
        <f aca="false">IF($C869&gt;p_horizon,0,IFERROR(IF(AND(INDEX(TblClusters[Cluster],$B869)&lt;&gt;"",ISNUMBER(INDEX(TblClusters[CPU initial (vCPU)],$B869)),ISNUMBER(INDEX(TblClusters[CPU min (vCPU)],$B869)),OR(INDEX(TblClusters[Plateforme],$B869)="IKS",INDEX(TblClusters[Plateforme],$B869)="ROKS")),1,0),0))</f>
        <v>0</v>
      </c>
      <c r="E869" s="83" t="str">
        <f aca="false">IF($D869=1,EDATE(p_debut,$C869-1),"")</f>
        <v/>
      </c>
      <c r="F869" s="14" t="str">
        <f aca="false">IF($D869=1,INDEX(TblClusters[Cluster],$B869),"")</f>
        <v/>
      </c>
      <c r="G869" s="14" t="str">
        <f aca="false">IF($D869=1,INDEX(TblClusters[Plateforme],$B869),"")</f>
        <v/>
      </c>
      <c r="H869" s="14" t="str">
        <f aca="false">IF($D869=1,INDEX(TblClusters[vCPU par nœud],$B869),"")</f>
        <v/>
      </c>
      <c r="I869" s="14" t="str">
        <f aca="false">IF($D869=1,INDEX(TblClusters[RAM par nœud (Go)],$B869),"")</f>
        <v/>
      </c>
      <c r="J869" s="14" t="str">
        <f aca="false">IF($D869=1,INDEX(TblClusters[Workers min],$B869),"")</f>
        <v/>
      </c>
      <c r="K869" s="84" t="str">
        <f aca="false">IF($D869=1,INDEX(TblClusters[Tarif par nœud],$B869),"")</f>
        <v/>
      </c>
      <c r="L869" s="14" t="str">
        <f aca="false">IF($D869=1,INDEX(TblClusters[CPU initial (vCPU)],$B869),"")</f>
        <v/>
      </c>
      <c r="M869" s="14" t="str">
        <f aca="false">IF($D869=1,INDEX(TblClusters[RAM initiale (Go)],$B869),"")</f>
        <v/>
      </c>
      <c r="N869" s="14" t="str">
        <f aca="false">IF($D869=1,INDEX(TblClusters[CPU min (vCPU)],$B869),"")</f>
        <v/>
      </c>
      <c r="O869" s="14" t="str">
        <f aca="false">IF($D869=1,INDEX(TblClusters[RAM min (Go)],$B869),"")</f>
        <v/>
      </c>
      <c r="P869" s="14" t="str">
        <f aca="false">IF($D869&lt;&gt;1,"",IF($G869="ROKS",SUMIFS(TblApplications[Besoin ROKS CPU (vCPU)],TblApplications[Cluster ROKS cible],$F869,TblApplications[Action],"À migrer",TblApplications[Déjà incluse ROKS],"Non",TblApplications[Mois prov (calc)],"&lt;="&amp;$E869),SUMIFS(TblApplications[CPU IKS libérable (vCPU)],TblApplications[Cluster IKS source],$F869,TblApplications[Mois lib (calc)],"&lt;="&amp;$E869)))</f>
        <v/>
      </c>
      <c r="Q869" s="14" t="str">
        <f aca="false">IF($D869&lt;&gt;1,"",IF($G869="ROKS",SUMIFS(TblApplications[Besoin ROKS RAM (Go)],TblApplications[Cluster ROKS cible],$F869,TblApplications[Action],"À migrer",TblApplications[Déjà incluse ROKS],"Non",TblApplications[Mois prov (calc)],"&lt;="&amp;$E869),SUMIFS(TblApplications[RAM IKS libérable (Go)],TblApplications[Cluster IKS source],$F869,TblApplications[Mois lib (calc)],"&lt;="&amp;$E869)))</f>
        <v/>
      </c>
      <c r="R869" s="14" t="str">
        <f aca="false">IF($D869&lt;&gt;1,"",IF($G869="ROKS",$L869+$P869,IF($AI869=1,0,MAX($N869,$L869-$P869))))</f>
        <v/>
      </c>
      <c r="S869" s="14" t="str">
        <f aca="false">IF($D869&lt;&gt;1,"",IF($G869="ROKS",$M869+$Q869,IF($AI869=1,0,MAX($O869,$M869-$Q869))))</f>
        <v/>
      </c>
      <c r="T869" s="14" t="str">
        <f aca="false">IF($D869&lt;&gt;1,"",IF($AI869=1,0,MAX($J869,ROUNDUP(MAX($R869/$H869,$S869/$I869),0))))</f>
        <v/>
      </c>
      <c r="U869" s="14" t="str">
        <f aca="false">IF($D869&lt;&gt;1,"",IF(p_mode="Nœud",$T869*$H869,$R869))</f>
        <v/>
      </c>
      <c r="V869" s="14" t="str">
        <f aca="false">IF($D869&lt;&gt;1,"",IF(p_mode="Nœud",$T869*$I869,$S869))</f>
        <v/>
      </c>
      <c r="W869" s="84" t="str">
        <f aca="false">IF($D869&lt;&gt;1,"",IF(p_mode="Nœud",$T869*$K869,$R869*IF($G869="IKS",p_iks_cpu,p_roks_cpu)+$S869*IF($G869="IKS",p_iks_ram,p_roks_ram))*p_facteur)</f>
        <v/>
      </c>
      <c r="X869" s="14" t="str">
        <f aca="false">IF($D869&lt;&gt;1,"",IF($G869="ROKS",$R869,IF($AI869=1,0,MAX($N869,$L869-SUMIFS(TblApplications[CPU IKS libérable (vCPU)],TblApplications[Cluster IKS source],$F869,TblApplications[Action],"À migrer",TblApplications[Mois prov (calc)],"&lt;="&amp;$E869)-SUMIFS(TblApplications[CPU IKS libérable (vCPU)],TblApplications[Cluster IKS source],$F869,TblApplications[Action],"À décommissionner",TblApplications[Mois lib (calc)],"&lt;="&amp;$E869)))))</f>
        <v/>
      </c>
      <c r="Y869" s="14" t="str">
        <f aca="false">IF($D869&lt;&gt;1,"",IF($G869="ROKS",$S869,IF($AI869=1,0,MAX($O869,$M869-SUMIFS(TblApplications[RAM IKS libérable (Go)],TblApplications[Cluster IKS source],$F869,TblApplications[Action],"À migrer",TblApplications[Mois prov (calc)],"&lt;="&amp;$E869)-SUMIFS(TblApplications[RAM IKS libérable (Go)],TblApplications[Cluster IKS source],$F869,TblApplications[Action],"À décommissionner",TblApplications[Mois lib (calc)],"&lt;="&amp;$E869)))))</f>
        <v/>
      </c>
      <c r="Z869" s="14" t="str">
        <f aca="false">IF($D869&lt;&gt;1,"",IF($AI869=1,0,MAX($J869,ROUNDUP(MAX($X869/$H869,$Y869/$I869),0))))</f>
        <v/>
      </c>
      <c r="AA869" s="84" t="str">
        <f aca="false">IF($D869&lt;&gt;1,"",IF(p_mode="Nœud",$Z869*$K869,$X869*IF($G869="IKS",p_iks_cpu,p_roks_cpu)+$Y869*IF($G869="IKS",p_iks_ram,p_roks_ram))*p_facteur)</f>
        <v/>
      </c>
      <c r="AB869" s="14" t="str">
        <f aca="false">IF($D869&lt;&gt;1,"",MAX($J869,ROUNDUP(MAX($L869/$H869,$M869/$I869),0)))</f>
        <v/>
      </c>
      <c r="AC869" s="84" t="str">
        <f aca="false">IF($D869&lt;&gt;1,"",IF(p_mode="Nœud",$AB869*$K869,$L869*IF($G869="IKS",p_iks_cpu,p_roks_cpu)+$M869*IF($G869="IKS",p_iks_ram,p_roks_ram))*p_facteur)</f>
        <v/>
      </c>
      <c r="AD869" s="14" t="str">
        <f aca="false">IF($D869&lt;&gt;1,"",IF(AND($G869="IKS",$AI869&lt;&gt;1,OR($L869-$P869&lt;$N869,$M869-$Q869&lt;$O869)),1,0))</f>
        <v/>
      </c>
      <c r="AE869" s="14" t="str">
        <f aca="false">IF($D869&lt;&gt;1,"",IF(AND($G869="ROKS",$T869&gt;p_maxworkers),1,0))</f>
        <v/>
      </c>
      <c r="AF869" s="14" t="str">
        <f aca="false">IF($D869&lt;&gt;1,"",IF(INDEX(TblClusters[Environnement],$B869)="","(vide)",INDEX(TblClusters[Environnement],$B869)))</f>
        <v/>
      </c>
      <c r="AG869" s="14" t="str">
        <f aca="false">IF($D869&lt;&gt;1,"",$R869+p_poidsram*$S869)</f>
        <v/>
      </c>
      <c r="AH869" s="14" t="str">
        <f aca="false">IF($D869&lt;&gt;1,"",IFERROR($W869/$AG869,0))</f>
        <v/>
      </c>
      <c r="AI869" s="14" t="str">
        <f aca="false">IF($D869&lt;&gt;1,"",IF(AND($G869="IKS",ISNUMBER(INDEX(TblClusters[Fermeture retenue],$B869))),IF($E869&gt;=INDEX(TblClusters[Fermeture retenue],$B869),1,0),0))</f>
        <v/>
      </c>
    </row>
    <row r="870" customFormat="false" ht="15" hidden="false" customHeight="false" outlineLevel="0" collapsed="false">
      <c r="A870" s="14" t="n">
        <v>865</v>
      </c>
      <c r="B870" s="14" t="n">
        <f aca="false">INT(($A870-1)/36)+1</f>
        <v>25</v>
      </c>
      <c r="C870" s="14" t="n">
        <f aca="false">MOD($A870-1,36)+1</f>
        <v>1</v>
      </c>
      <c r="D870" s="14" t="n">
        <f aca="false">IF($C870&gt;p_horizon,0,IFERROR(IF(AND(INDEX(TblClusters[Cluster],$B870)&lt;&gt;"",ISNUMBER(INDEX(TblClusters[CPU initial (vCPU)],$B870)),ISNUMBER(INDEX(TblClusters[CPU min (vCPU)],$B870)),OR(INDEX(TblClusters[Plateforme],$B870)="IKS",INDEX(TblClusters[Plateforme],$B870)="ROKS")),1,0),0))</f>
        <v>0</v>
      </c>
      <c r="E870" s="83" t="str">
        <f aca="false">IF($D870=1,EDATE(p_debut,$C870-1),"")</f>
        <v/>
      </c>
      <c r="F870" s="14" t="str">
        <f aca="false">IF($D870=1,INDEX(TblClusters[Cluster],$B870),"")</f>
        <v/>
      </c>
      <c r="G870" s="14" t="str">
        <f aca="false">IF($D870=1,INDEX(TblClusters[Plateforme],$B870),"")</f>
        <v/>
      </c>
      <c r="H870" s="14" t="str">
        <f aca="false">IF($D870=1,INDEX(TblClusters[vCPU par nœud],$B870),"")</f>
        <v/>
      </c>
      <c r="I870" s="14" t="str">
        <f aca="false">IF($D870=1,INDEX(TblClusters[RAM par nœud (Go)],$B870),"")</f>
        <v/>
      </c>
      <c r="J870" s="14" t="str">
        <f aca="false">IF($D870=1,INDEX(TblClusters[Workers min],$B870),"")</f>
        <v/>
      </c>
      <c r="K870" s="84" t="str">
        <f aca="false">IF($D870=1,INDEX(TblClusters[Tarif par nœud],$B870),"")</f>
        <v/>
      </c>
      <c r="L870" s="14" t="str">
        <f aca="false">IF($D870=1,INDEX(TblClusters[CPU initial (vCPU)],$B870),"")</f>
        <v/>
      </c>
      <c r="M870" s="14" t="str">
        <f aca="false">IF($D870=1,INDEX(TblClusters[RAM initiale (Go)],$B870),"")</f>
        <v/>
      </c>
      <c r="N870" s="14" t="str">
        <f aca="false">IF($D870=1,INDEX(TblClusters[CPU min (vCPU)],$B870),"")</f>
        <v/>
      </c>
      <c r="O870" s="14" t="str">
        <f aca="false">IF($D870=1,INDEX(TblClusters[RAM min (Go)],$B870),"")</f>
        <v/>
      </c>
      <c r="P870" s="14" t="str">
        <f aca="false">IF($D870&lt;&gt;1,"",IF($G870="ROKS",SUMIFS(TblApplications[Besoin ROKS CPU (vCPU)],TblApplications[Cluster ROKS cible],$F870,TblApplications[Action],"À migrer",TblApplications[Déjà incluse ROKS],"Non",TblApplications[Mois prov (calc)],"&lt;="&amp;$E870),SUMIFS(TblApplications[CPU IKS libérable (vCPU)],TblApplications[Cluster IKS source],$F870,TblApplications[Mois lib (calc)],"&lt;="&amp;$E870)))</f>
        <v/>
      </c>
      <c r="Q870" s="14" t="str">
        <f aca="false">IF($D870&lt;&gt;1,"",IF($G870="ROKS",SUMIFS(TblApplications[Besoin ROKS RAM (Go)],TblApplications[Cluster ROKS cible],$F870,TblApplications[Action],"À migrer",TblApplications[Déjà incluse ROKS],"Non",TblApplications[Mois prov (calc)],"&lt;="&amp;$E870),SUMIFS(TblApplications[RAM IKS libérable (Go)],TblApplications[Cluster IKS source],$F870,TblApplications[Mois lib (calc)],"&lt;="&amp;$E870)))</f>
        <v/>
      </c>
      <c r="R870" s="14" t="str">
        <f aca="false">IF($D870&lt;&gt;1,"",IF($G870="ROKS",$L870+$P870,IF($AI870=1,0,MAX($N870,$L870-$P870))))</f>
        <v/>
      </c>
      <c r="S870" s="14" t="str">
        <f aca="false">IF($D870&lt;&gt;1,"",IF($G870="ROKS",$M870+$Q870,IF($AI870=1,0,MAX($O870,$M870-$Q870))))</f>
        <v/>
      </c>
      <c r="T870" s="14" t="str">
        <f aca="false">IF($D870&lt;&gt;1,"",IF($AI870=1,0,MAX($J870,ROUNDUP(MAX($R870/$H870,$S870/$I870),0))))</f>
        <v/>
      </c>
      <c r="U870" s="14" t="str">
        <f aca="false">IF($D870&lt;&gt;1,"",IF(p_mode="Nœud",$T870*$H870,$R870))</f>
        <v/>
      </c>
      <c r="V870" s="14" t="str">
        <f aca="false">IF($D870&lt;&gt;1,"",IF(p_mode="Nœud",$T870*$I870,$S870))</f>
        <v/>
      </c>
      <c r="W870" s="84" t="str">
        <f aca="false">IF($D870&lt;&gt;1,"",IF(p_mode="Nœud",$T870*$K870,$R870*IF($G870="IKS",p_iks_cpu,p_roks_cpu)+$S870*IF($G870="IKS",p_iks_ram,p_roks_ram))*p_facteur)</f>
        <v/>
      </c>
      <c r="X870" s="14" t="str">
        <f aca="false">IF($D870&lt;&gt;1,"",IF($G870="ROKS",$R870,IF($AI870=1,0,MAX($N870,$L870-SUMIFS(TblApplications[CPU IKS libérable (vCPU)],TblApplications[Cluster IKS source],$F870,TblApplications[Action],"À migrer",TblApplications[Mois prov (calc)],"&lt;="&amp;$E870)-SUMIFS(TblApplications[CPU IKS libérable (vCPU)],TblApplications[Cluster IKS source],$F870,TblApplications[Action],"À décommissionner",TblApplications[Mois lib (calc)],"&lt;="&amp;$E870)))))</f>
        <v/>
      </c>
      <c r="Y870" s="14" t="str">
        <f aca="false">IF($D870&lt;&gt;1,"",IF($G870="ROKS",$S870,IF($AI870=1,0,MAX($O870,$M870-SUMIFS(TblApplications[RAM IKS libérable (Go)],TblApplications[Cluster IKS source],$F870,TblApplications[Action],"À migrer",TblApplications[Mois prov (calc)],"&lt;="&amp;$E870)-SUMIFS(TblApplications[RAM IKS libérable (Go)],TblApplications[Cluster IKS source],$F870,TblApplications[Action],"À décommissionner",TblApplications[Mois lib (calc)],"&lt;="&amp;$E870)))))</f>
        <v/>
      </c>
      <c r="Z870" s="14" t="str">
        <f aca="false">IF($D870&lt;&gt;1,"",IF($AI870=1,0,MAX($J870,ROUNDUP(MAX($X870/$H870,$Y870/$I870),0))))</f>
        <v/>
      </c>
      <c r="AA870" s="84" t="str">
        <f aca="false">IF($D870&lt;&gt;1,"",IF(p_mode="Nœud",$Z870*$K870,$X870*IF($G870="IKS",p_iks_cpu,p_roks_cpu)+$Y870*IF($G870="IKS",p_iks_ram,p_roks_ram))*p_facteur)</f>
        <v/>
      </c>
      <c r="AB870" s="14" t="str">
        <f aca="false">IF($D870&lt;&gt;1,"",MAX($J870,ROUNDUP(MAX($L870/$H870,$M870/$I870),0)))</f>
        <v/>
      </c>
      <c r="AC870" s="84" t="str">
        <f aca="false">IF($D870&lt;&gt;1,"",IF(p_mode="Nœud",$AB870*$K870,$L870*IF($G870="IKS",p_iks_cpu,p_roks_cpu)+$M870*IF($G870="IKS",p_iks_ram,p_roks_ram))*p_facteur)</f>
        <v/>
      </c>
      <c r="AD870" s="14" t="str">
        <f aca="false">IF($D870&lt;&gt;1,"",IF(AND($G870="IKS",$AI870&lt;&gt;1,OR($L870-$P870&lt;$N870,$M870-$Q870&lt;$O870)),1,0))</f>
        <v/>
      </c>
      <c r="AE870" s="14" t="str">
        <f aca="false">IF($D870&lt;&gt;1,"",IF(AND($G870="ROKS",$T870&gt;p_maxworkers),1,0))</f>
        <v/>
      </c>
      <c r="AF870" s="14" t="str">
        <f aca="false">IF($D870&lt;&gt;1,"",IF(INDEX(TblClusters[Environnement],$B870)="","(vide)",INDEX(TblClusters[Environnement],$B870)))</f>
        <v/>
      </c>
      <c r="AG870" s="14" t="str">
        <f aca="false">IF($D870&lt;&gt;1,"",$R870+p_poidsram*$S870)</f>
        <v/>
      </c>
      <c r="AH870" s="14" t="str">
        <f aca="false">IF($D870&lt;&gt;1,"",IFERROR($W870/$AG870,0))</f>
        <v/>
      </c>
      <c r="AI870" s="14" t="str">
        <f aca="false">IF($D870&lt;&gt;1,"",IF(AND($G870="IKS",ISNUMBER(INDEX(TblClusters[Fermeture retenue],$B870))),IF($E870&gt;=INDEX(TblClusters[Fermeture retenue],$B870),1,0),0))</f>
        <v/>
      </c>
    </row>
    <row r="871" customFormat="false" ht="15" hidden="false" customHeight="false" outlineLevel="0" collapsed="false">
      <c r="A871" s="14" t="n">
        <v>866</v>
      </c>
      <c r="B871" s="14" t="n">
        <f aca="false">INT(($A871-1)/36)+1</f>
        <v>25</v>
      </c>
      <c r="C871" s="14" t="n">
        <f aca="false">MOD($A871-1,36)+1</f>
        <v>2</v>
      </c>
      <c r="D871" s="14" t="n">
        <f aca="false">IF($C871&gt;p_horizon,0,IFERROR(IF(AND(INDEX(TblClusters[Cluster],$B871)&lt;&gt;"",ISNUMBER(INDEX(TblClusters[CPU initial (vCPU)],$B871)),ISNUMBER(INDEX(TblClusters[CPU min (vCPU)],$B871)),OR(INDEX(TblClusters[Plateforme],$B871)="IKS",INDEX(TblClusters[Plateforme],$B871)="ROKS")),1,0),0))</f>
        <v>0</v>
      </c>
      <c r="E871" s="83" t="str">
        <f aca="false">IF($D871=1,EDATE(p_debut,$C871-1),"")</f>
        <v/>
      </c>
      <c r="F871" s="14" t="str">
        <f aca="false">IF($D871=1,INDEX(TblClusters[Cluster],$B871),"")</f>
        <v/>
      </c>
      <c r="G871" s="14" t="str">
        <f aca="false">IF($D871=1,INDEX(TblClusters[Plateforme],$B871),"")</f>
        <v/>
      </c>
      <c r="H871" s="14" t="str">
        <f aca="false">IF($D871=1,INDEX(TblClusters[vCPU par nœud],$B871),"")</f>
        <v/>
      </c>
      <c r="I871" s="14" t="str">
        <f aca="false">IF($D871=1,INDEX(TblClusters[RAM par nœud (Go)],$B871),"")</f>
        <v/>
      </c>
      <c r="J871" s="14" t="str">
        <f aca="false">IF($D871=1,INDEX(TblClusters[Workers min],$B871),"")</f>
        <v/>
      </c>
      <c r="K871" s="84" t="str">
        <f aca="false">IF($D871=1,INDEX(TblClusters[Tarif par nœud],$B871),"")</f>
        <v/>
      </c>
      <c r="L871" s="14" t="str">
        <f aca="false">IF($D871=1,INDEX(TblClusters[CPU initial (vCPU)],$B871),"")</f>
        <v/>
      </c>
      <c r="M871" s="14" t="str">
        <f aca="false">IF($D871=1,INDEX(TblClusters[RAM initiale (Go)],$B871),"")</f>
        <v/>
      </c>
      <c r="N871" s="14" t="str">
        <f aca="false">IF($D871=1,INDEX(TblClusters[CPU min (vCPU)],$B871),"")</f>
        <v/>
      </c>
      <c r="O871" s="14" t="str">
        <f aca="false">IF($D871=1,INDEX(TblClusters[RAM min (Go)],$B871),"")</f>
        <v/>
      </c>
      <c r="P871" s="14" t="str">
        <f aca="false">IF($D871&lt;&gt;1,"",IF($G871="ROKS",SUMIFS(TblApplications[Besoin ROKS CPU (vCPU)],TblApplications[Cluster ROKS cible],$F871,TblApplications[Action],"À migrer",TblApplications[Déjà incluse ROKS],"Non",TblApplications[Mois prov (calc)],"&lt;="&amp;$E871),SUMIFS(TblApplications[CPU IKS libérable (vCPU)],TblApplications[Cluster IKS source],$F871,TblApplications[Mois lib (calc)],"&lt;="&amp;$E871)))</f>
        <v/>
      </c>
      <c r="Q871" s="14" t="str">
        <f aca="false">IF($D871&lt;&gt;1,"",IF($G871="ROKS",SUMIFS(TblApplications[Besoin ROKS RAM (Go)],TblApplications[Cluster ROKS cible],$F871,TblApplications[Action],"À migrer",TblApplications[Déjà incluse ROKS],"Non",TblApplications[Mois prov (calc)],"&lt;="&amp;$E871),SUMIFS(TblApplications[RAM IKS libérable (Go)],TblApplications[Cluster IKS source],$F871,TblApplications[Mois lib (calc)],"&lt;="&amp;$E871)))</f>
        <v/>
      </c>
      <c r="R871" s="14" t="str">
        <f aca="false">IF($D871&lt;&gt;1,"",IF($G871="ROKS",$L871+$P871,IF($AI871=1,0,MAX($N871,$L871-$P871))))</f>
        <v/>
      </c>
      <c r="S871" s="14" t="str">
        <f aca="false">IF($D871&lt;&gt;1,"",IF($G871="ROKS",$M871+$Q871,IF($AI871=1,0,MAX($O871,$M871-$Q871))))</f>
        <v/>
      </c>
      <c r="T871" s="14" t="str">
        <f aca="false">IF($D871&lt;&gt;1,"",IF($AI871=1,0,MAX($J871,ROUNDUP(MAX($R871/$H871,$S871/$I871),0))))</f>
        <v/>
      </c>
      <c r="U871" s="14" t="str">
        <f aca="false">IF($D871&lt;&gt;1,"",IF(p_mode="Nœud",$T871*$H871,$R871))</f>
        <v/>
      </c>
      <c r="V871" s="14" t="str">
        <f aca="false">IF($D871&lt;&gt;1,"",IF(p_mode="Nœud",$T871*$I871,$S871))</f>
        <v/>
      </c>
      <c r="W871" s="84" t="str">
        <f aca="false">IF($D871&lt;&gt;1,"",IF(p_mode="Nœud",$T871*$K871,$R871*IF($G871="IKS",p_iks_cpu,p_roks_cpu)+$S871*IF($G871="IKS",p_iks_ram,p_roks_ram))*p_facteur)</f>
        <v/>
      </c>
      <c r="X871" s="14" t="str">
        <f aca="false">IF($D871&lt;&gt;1,"",IF($G871="ROKS",$R871,IF($AI871=1,0,MAX($N871,$L871-SUMIFS(TblApplications[CPU IKS libérable (vCPU)],TblApplications[Cluster IKS source],$F871,TblApplications[Action],"À migrer",TblApplications[Mois prov (calc)],"&lt;="&amp;$E871)-SUMIFS(TblApplications[CPU IKS libérable (vCPU)],TblApplications[Cluster IKS source],$F871,TblApplications[Action],"À décommissionner",TblApplications[Mois lib (calc)],"&lt;="&amp;$E871)))))</f>
        <v/>
      </c>
      <c r="Y871" s="14" t="str">
        <f aca="false">IF($D871&lt;&gt;1,"",IF($G871="ROKS",$S871,IF($AI871=1,0,MAX($O871,$M871-SUMIFS(TblApplications[RAM IKS libérable (Go)],TblApplications[Cluster IKS source],$F871,TblApplications[Action],"À migrer",TblApplications[Mois prov (calc)],"&lt;="&amp;$E871)-SUMIFS(TblApplications[RAM IKS libérable (Go)],TblApplications[Cluster IKS source],$F871,TblApplications[Action],"À décommissionner",TblApplications[Mois lib (calc)],"&lt;="&amp;$E871)))))</f>
        <v/>
      </c>
      <c r="Z871" s="14" t="str">
        <f aca="false">IF($D871&lt;&gt;1,"",IF($AI871=1,0,MAX($J871,ROUNDUP(MAX($X871/$H871,$Y871/$I871),0))))</f>
        <v/>
      </c>
      <c r="AA871" s="84" t="str">
        <f aca="false">IF($D871&lt;&gt;1,"",IF(p_mode="Nœud",$Z871*$K871,$X871*IF($G871="IKS",p_iks_cpu,p_roks_cpu)+$Y871*IF($G871="IKS",p_iks_ram,p_roks_ram))*p_facteur)</f>
        <v/>
      </c>
      <c r="AB871" s="14" t="str">
        <f aca="false">IF($D871&lt;&gt;1,"",MAX($J871,ROUNDUP(MAX($L871/$H871,$M871/$I871),0)))</f>
        <v/>
      </c>
      <c r="AC871" s="84" t="str">
        <f aca="false">IF($D871&lt;&gt;1,"",IF(p_mode="Nœud",$AB871*$K871,$L871*IF($G871="IKS",p_iks_cpu,p_roks_cpu)+$M871*IF($G871="IKS",p_iks_ram,p_roks_ram))*p_facteur)</f>
        <v/>
      </c>
      <c r="AD871" s="14" t="str">
        <f aca="false">IF($D871&lt;&gt;1,"",IF(AND($G871="IKS",$AI871&lt;&gt;1,OR($L871-$P871&lt;$N871,$M871-$Q871&lt;$O871)),1,0))</f>
        <v/>
      </c>
      <c r="AE871" s="14" t="str">
        <f aca="false">IF($D871&lt;&gt;1,"",IF(AND($G871="ROKS",$T871&gt;p_maxworkers),1,0))</f>
        <v/>
      </c>
      <c r="AF871" s="14" t="str">
        <f aca="false">IF($D871&lt;&gt;1,"",IF(INDEX(TblClusters[Environnement],$B871)="","(vide)",INDEX(TblClusters[Environnement],$B871)))</f>
        <v/>
      </c>
      <c r="AG871" s="14" t="str">
        <f aca="false">IF($D871&lt;&gt;1,"",$R871+p_poidsram*$S871)</f>
        <v/>
      </c>
      <c r="AH871" s="14" t="str">
        <f aca="false">IF($D871&lt;&gt;1,"",IFERROR($W871/$AG871,0))</f>
        <v/>
      </c>
      <c r="AI871" s="14" t="str">
        <f aca="false">IF($D871&lt;&gt;1,"",IF(AND($G871="IKS",ISNUMBER(INDEX(TblClusters[Fermeture retenue],$B871))),IF($E871&gt;=INDEX(TblClusters[Fermeture retenue],$B871),1,0),0))</f>
        <v/>
      </c>
    </row>
    <row r="872" customFormat="false" ht="15" hidden="false" customHeight="false" outlineLevel="0" collapsed="false">
      <c r="A872" s="14" t="n">
        <v>867</v>
      </c>
      <c r="B872" s="14" t="n">
        <f aca="false">INT(($A872-1)/36)+1</f>
        <v>25</v>
      </c>
      <c r="C872" s="14" t="n">
        <f aca="false">MOD($A872-1,36)+1</f>
        <v>3</v>
      </c>
      <c r="D872" s="14" t="n">
        <f aca="false">IF($C872&gt;p_horizon,0,IFERROR(IF(AND(INDEX(TblClusters[Cluster],$B872)&lt;&gt;"",ISNUMBER(INDEX(TblClusters[CPU initial (vCPU)],$B872)),ISNUMBER(INDEX(TblClusters[CPU min (vCPU)],$B872)),OR(INDEX(TblClusters[Plateforme],$B872)="IKS",INDEX(TblClusters[Plateforme],$B872)="ROKS")),1,0),0))</f>
        <v>0</v>
      </c>
      <c r="E872" s="83" t="str">
        <f aca="false">IF($D872=1,EDATE(p_debut,$C872-1),"")</f>
        <v/>
      </c>
      <c r="F872" s="14" t="str">
        <f aca="false">IF($D872=1,INDEX(TblClusters[Cluster],$B872),"")</f>
        <v/>
      </c>
      <c r="G872" s="14" t="str">
        <f aca="false">IF($D872=1,INDEX(TblClusters[Plateforme],$B872),"")</f>
        <v/>
      </c>
      <c r="H872" s="14" t="str">
        <f aca="false">IF($D872=1,INDEX(TblClusters[vCPU par nœud],$B872),"")</f>
        <v/>
      </c>
      <c r="I872" s="14" t="str">
        <f aca="false">IF($D872=1,INDEX(TblClusters[RAM par nœud (Go)],$B872),"")</f>
        <v/>
      </c>
      <c r="J872" s="14" t="str">
        <f aca="false">IF($D872=1,INDEX(TblClusters[Workers min],$B872),"")</f>
        <v/>
      </c>
      <c r="K872" s="84" t="str">
        <f aca="false">IF($D872=1,INDEX(TblClusters[Tarif par nœud],$B872),"")</f>
        <v/>
      </c>
      <c r="L872" s="14" t="str">
        <f aca="false">IF($D872=1,INDEX(TblClusters[CPU initial (vCPU)],$B872),"")</f>
        <v/>
      </c>
      <c r="M872" s="14" t="str">
        <f aca="false">IF($D872=1,INDEX(TblClusters[RAM initiale (Go)],$B872),"")</f>
        <v/>
      </c>
      <c r="N872" s="14" t="str">
        <f aca="false">IF($D872=1,INDEX(TblClusters[CPU min (vCPU)],$B872),"")</f>
        <v/>
      </c>
      <c r="O872" s="14" t="str">
        <f aca="false">IF($D872=1,INDEX(TblClusters[RAM min (Go)],$B872),"")</f>
        <v/>
      </c>
      <c r="P872" s="14" t="str">
        <f aca="false">IF($D872&lt;&gt;1,"",IF($G872="ROKS",SUMIFS(TblApplications[Besoin ROKS CPU (vCPU)],TblApplications[Cluster ROKS cible],$F872,TblApplications[Action],"À migrer",TblApplications[Déjà incluse ROKS],"Non",TblApplications[Mois prov (calc)],"&lt;="&amp;$E872),SUMIFS(TblApplications[CPU IKS libérable (vCPU)],TblApplications[Cluster IKS source],$F872,TblApplications[Mois lib (calc)],"&lt;="&amp;$E872)))</f>
        <v/>
      </c>
      <c r="Q872" s="14" t="str">
        <f aca="false">IF($D872&lt;&gt;1,"",IF($G872="ROKS",SUMIFS(TblApplications[Besoin ROKS RAM (Go)],TblApplications[Cluster ROKS cible],$F872,TblApplications[Action],"À migrer",TblApplications[Déjà incluse ROKS],"Non",TblApplications[Mois prov (calc)],"&lt;="&amp;$E872),SUMIFS(TblApplications[RAM IKS libérable (Go)],TblApplications[Cluster IKS source],$F872,TblApplications[Mois lib (calc)],"&lt;="&amp;$E872)))</f>
        <v/>
      </c>
      <c r="R872" s="14" t="str">
        <f aca="false">IF($D872&lt;&gt;1,"",IF($G872="ROKS",$L872+$P872,IF($AI872=1,0,MAX($N872,$L872-$P872))))</f>
        <v/>
      </c>
      <c r="S872" s="14" t="str">
        <f aca="false">IF($D872&lt;&gt;1,"",IF($G872="ROKS",$M872+$Q872,IF($AI872=1,0,MAX($O872,$M872-$Q872))))</f>
        <v/>
      </c>
      <c r="T872" s="14" t="str">
        <f aca="false">IF($D872&lt;&gt;1,"",IF($AI872=1,0,MAX($J872,ROUNDUP(MAX($R872/$H872,$S872/$I872),0))))</f>
        <v/>
      </c>
      <c r="U872" s="14" t="str">
        <f aca="false">IF($D872&lt;&gt;1,"",IF(p_mode="Nœud",$T872*$H872,$R872))</f>
        <v/>
      </c>
      <c r="V872" s="14" t="str">
        <f aca="false">IF($D872&lt;&gt;1,"",IF(p_mode="Nœud",$T872*$I872,$S872))</f>
        <v/>
      </c>
      <c r="W872" s="84" t="str">
        <f aca="false">IF($D872&lt;&gt;1,"",IF(p_mode="Nœud",$T872*$K872,$R872*IF($G872="IKS",p_iks_cpu,p_roks_cpu)+$S872*IF($G872="IKS",p_iks_ram,p_roks_ram))*p_facteur)</f>
        <v/>
      </c>
      <c r="X872" s="14" t="str">
        <f aca="false">IF($D872&lt;&gt;1,"",IF($G872="ROKS",$R872,IF($AI872=1,0,MAX($N872,$L872-SUMIFS(TblApplications[CPU IKS libérable (vCPU)],TblApplications[Cluster IKS source],$F872,TblApplications[Action],"À migrer",TblApplications[Mois prov (calc)],"&lt;="&amp;$E872)-SUMIFS(TblApplications[CPU IKS libérable (vCPU)],TblApplications[Cluster IKS source],$F872,TblApplications[Action],"À décommissionner",TblApplications[Mois lib (calc)],"&lt;="&amp;$E872)))))</f>
        <v/>
      </c>
      <c r="Y872" s="14" t="str">
        <f aca="false">IF($D872&lt;&gt;1,"",IF($G872="ROKS",$S872,IF($AI872=1,0,MAX($O872,$M872-SUMIFS(TblApplications[RAM IKS libérable (Go)],TblApplications[Cluster IKS source],$F872,TblApplications[Action],"À migrer",TblApplications[Mois prov (calc)],"&lt;="&amp;$E872)-SUMIFS(TblApplications[RAM IKS libérable (Go)],TblApplications[Cluster IKS source],$F872,TblApplications[Action],"À décommissionner",TblApplications[Mois lib (calc)],"&lt;="&amp;$E872)))))</f>
        <v/>
      </c>
      <c r="Z872" s="14" t="str">
        <f aca="false">IF($D872&lt;&gt;1,"",IF($AI872=1,0,MAX($J872,ROUNDUP(MAX($X872/$H872,$Y872/$I872),0))))</f>
        <v/>
      </c>
      <c r="AA872" s="84" t="str">
        <f aca="false">IF($D872&lt;&gt;1,"",IF(p_mode="Nœud",$Z872*$K872,$X872*IF($G872="IKS",p_iks_cpu,p_roks_cpu)+$Y872*IF($G872="IKS",p_iks_ram,p_roks_ram))*p_facteur)</f>
        <v/>
      </c>
      <c r="AB872" s="14" t="str">
        <f aca="false">IF($D872&lt;&gt;1,"",MAX($J872,ROUNDUP(MAX($L872/$H872,$M872/$I872),0)))</f>
        <v/>
      </c>
      <c r="AC872" s="84" t="str">
        <f aca="false">IF($D872&lt;&gt;1,"",IF(p_mode="Nœud",$AB872*$K872,$L872*IF($G872="IKS",p_iks_cpu,p_roks_cpu)+$M872*IF($G872="IKS",p_iks_ram,p_roks_ram))*p_facteur)</f>
        <v/>
      </c>
      <c r="AD872" s="14" t="str">
        <f aca="false">IF($D872&lt;&gt;1,"",IF(AND($G872="IKS",$AI872&lt;&gt;1,OR($L872-$P872&lt;$N872,$M872-$Q872&lt;$O872)),1,0))</f>
        <v/>
      </c>
      <c r="AE872" s="14" t="str">
        <f aca="false">IF($D872&lt;&gt;1,"",IF(AND($G872="ROKS",$T872&gt;p_maxworkers),1,0))</f>
        <v/>
      </c>
      <c r="AF872" s="14" t="str">
        <f aca="false">IF($D872&lt;&gt;1,"",IF(INDEX(TblClusters[Environnement],$B872)="","(vide)",INDEX(TblClusters[Environnement],$B872)))</f>
        <v/>
      </c>
      <c r="AG872" s="14" t="str">
        <f aca="false">IF($D872&lt;&gt;1,"",$R872+p_poidsram*$S872)</f>
        <v/>
      </c>
      <c r="AH872" s="14" t="str">
        <f aca="false">IF($D872&lt;&gt;1,"",IFERROR($W872/$AG872,0))</f>
        <v/>
      </c>
      <c r="AI872" s="14" t="str">
        <f aca="false">IF($D872&lt;&gt;1,"",IF(AND($G872="IKS",ISNUMBER(INDEX(TblClusters[Fermeture retenue],$B872))),IF($E872&gt;=INDEX(TblClusters[Fermeture retenue],$B872),1,0),0))</f>
        <v/>
      </c>
    </row>
    <row r="873" customFormat="false" ht="15" hidden="false" customHeight="false" outlineLevel="0" collapsed="false">
      <c r="A873" s="14" t="n">
        <v>868</v>
      </c>
      <c r="B873" s="14" t="n">
        <f aca="false">INT(($A873-1)/36)+1</f>
        <v>25</v>
      </c>
      <c r="C873" s="14" t="n">
        <f aca="false">MOD($A873-1,36)+1</f>
        <v>4</v>
      </c>
      <c r="D873" s="14" t="n">
        <f aca="false">IF($C873&gt;p_horizon,0,IFERROR(IF(AND(INDEX(TblClusters[Cluster],$B873)&lt;&gt;"",ISNUMBER(INDEX(TblClusters[CPU initial (vCPU)],$B873)),ISNUMBER(INDEX(TblClusters[CPU min (vCPU)],$B873)),OR(INDEX(TblClusters[Plateforme],$B873)="IKS",INDEX(TblClusters[Plateforme],$B873)="ROKS")),1,0),0))</f>
        <v>0</v>
      </c>
      <c r="E873" s="83" t="str">
        <f aca="false">IF($D873=1,EDATE(p_debut,$C873-1),"")</f>
        <v/>
      </c>
      <c r="F873" s="14" t="str">
        <f aca="false">IF($D873=1,INDEX(TblClusters[Cluster],$B873),"")</f>
        <v/>
      </c>
      <c r="G873" s="14" t="str">
        <f aca="false">IF($D873=1,INDEX(TblClusters[Plateforme],$B873),"")</f>
        <v/>
      </c>
      <c r="H873" s="14" t="str">
        <f aca="false">IF($D873=1,INDEX(TblClusters[vCPU par nœud],$B873),"")</f>
        <v/>
      </c>
      <c r="I873" s="14" t="str">
        <f aca="false">IF($D873=1,INDEX(TblClusters[RAM par nœud (Go)],$B873),"")</f>
        <v/>
      </c>
      <c r="J873" s="14" t="str">
        <f aca="false">IF($D873=1,INDEX(TblClusters[Workers min],$B873),"")</f>
        <v/>
      </c>
      <c r="K873" s="84" t="str">
        <f aca="false">IF($D873=1,INDEX(TblClusters[Tarif par nœud],$B873),"")</f>
        <v/>
      </c>
      <c r="L873" s="14" t="str">
        <f aca="false">IF($D873=1,INDEX(TblClusters[CPU initial (vCPU)],$B873),"")</f>
        <v/>
      </c>
      <c r="M873" s="14" t="str">
        <f aca="false">IF($D873=1,INDEX(TblClusters[RAM initiale (Go)],$B873),"")</f>
        <v/>
      </c>
      <c r="N873" s="14" t="str">
        <f aca="false">IF($D873=1,INDEX(TblClusters[CPU min (vCPU)],$B873),"")</f>
        <v/>
      </c>
      <c r="O873" s="14" t="str">
        <f aca="false">IF($D873=1,INDEX(TblClusters[RAM min (Go)],$B873),"")</f>
        <v/>
      </c>
      <c r="P873" s="14" t="str">
        <f aca="false">IF($D873&lt;&gt;1,"",IF($G873="ROKS",SUMIFS(TblApplications[Besoin ROKS CPU (vCPU)],TblApplications[Cluster ROKS cible],$F873,TblApplications[Action],"À migrer",TblApplications[Déjà incluse ROKS],"Non",TblApplications[Mois prov (calc)],"&lt;="&amp;$E873),SUMIFS(TblApplications[CPU IKS libérable (vCPU)],TblApplications[Cluster IKS source],$F873,TblApplications[Mois lib (calc)],"&lt;="&amp;$E873)))</f>
        <v/>
      </c>
      <c r="Q873" s="14" t="str">
        <f aca="false">IF($D873&lt;&gt;1,"",IF($G873="ROKS",SUMIFS(TblApplications[Besoin ROKS RAM (Go)],TblApplications[Cluster ROKS cible],$F873,TblApplications[Action],"À migrer",TblApplications[Déjà incluse ROKS],"Non",TblApplications[Mois prov (calc)],"&lt;="&amp;$E873),SUMIFS(TblApplications[RAM IKS libérable (Go)],TblApplications[Cluster IKS source],$F873,TblApplications[Mois lib (calc)],"&lt;="&amp;$E873)))</f>
        <v/>
      </c>
      <c r="R873" s="14" t="str">
        <f aca="false">IF($D873&lt;&gt;1,"",IF($G873="ROKS",$L873+$P873,IF($AI873=1,0,MAX($N873,$L873-$P873))))</f>
        <v/>
      </c>
      <c r="S873" s="14" t="str">
        <f aca="false">IF($D873&lt;&gt;1,"",IF($G873="ROKS",$M873+$Q873,IF($AI873=1,0,MAX($O873,$M873-$Q873))))</f>
        <v/>
      </c>
      <c r="T873" s="14" t="str">
        <f aca="false">IF($D873&lt;&gt;1,"",IF($AI873=1,0,MAX($J873,ROUNDUP(MAX($R873/$H873,$S873/$I873),0))))</f>
        <v/>
      </c>
      <c r="U873" s="14" t="str">
        <f aca="false">IF($D873&lt;&gt;1,"",IF(p_mode="Nœud",$T873*$H873,$R873))</f>
        <v/>
      </c>
      <c r="V873" s="14" t="str">
        <f aca="false">IF($D873&lt;&gt;1,"",IF(p_mode="Nœud",$T873*$I873,$S873))</f>
        <v/>
      </c>
      <c r="W873" s="84" t="str">
        <f aca="false">IF($D873&lt;&gt;1,"",IF(p_mode="Nœud",$T873*$K873,$R873*IF($G873="IKS",p_iks_cpu,p_roks_cpu)+$S873*IF($G873="IKS",p_iks_ram,p_roks_ram))*p_facteur)</f>
        <v/>
      </c>
      <c r="X873" s="14" t="str">
        <f aca="false">IF($D873&lt;&gt;1,"",IF($G873="ROKS",$R873,IF($AI873=1,0,MAX($N873,$L873-SUMIFS(TblApplications[CPU IKS libérable (vCPU)],TblApplications[Cluster IKS source],$F873,TblApplications[Action],"À migrer",TblApplications[Mois prov (calc)],"&lt;="&amp;$E873)-SUMIFS(TblApplications[CPU IKS libérable (vCPU)],TblApplications[Cluster IKS source],$F873,TblApplications[Action],"À décommissionner",TblApplications[Mois lib (calc)],"&lt;="&amp;$E873)))))</f>
        <v/>
      </c>
      <c r="Y873" s="14" t="str">
        <f aca="false">IF($D873&lt;&gt;1,"",IF($G873="ROKS",$S873,IF($AI873=1,0,MAX($O873,$M873-SUMIFS(TblApplications[RAM IKS libérable (Go)],TblApplications[Cluster IKS source],$F873,TblApplications[Action],"À migrer",TblApplications[Mois prov (calc)],"&lt;="&amp;$E873)-SUMIFS(TblApplications[RAM IKS libérable (Go)],TblApplications[Cluster IKS source],$F873,TblApplications[Action],"À décommissionner",TblApplications[Mois lib (calc)],"&lt;="&amp;$E873)))))</f>
        <v/>
      </c>
      <c r="Z873" s="14" t="str">
        <f aca="false">IF($D873&lt;&gt;1,"",IF($AI873=1,0,MAX($J873,ROUNDUP(MAX($X873/$H873,$Y873/$I873),0))))</f>
        <v/>
      </c>
      <c r="AA873" s="84" t="str">
        <f aca="false">IF($D873&lt;&gt;1,"",IF(p_mode="Nœud",$Z873*$K873,$X873*IF($G873="IKS",p_iks_cpu,p_roks_cpu)+$Y873*IF($G873="IKS",p_iks_ram,p_roks_ram))*p_facteur)</f>
        <v/>
      </c>
      <c r="AB873" s="14" t="str">
        <f aca="false">IF($D873&lt;&gt;1,"",MAX($J873,ROUNDUP(MAX($L873/$H873,$M873/$I873),0)))</f>
        <v/>
      </c>
      <c r="AC873" s="84" t="str">
        <f aca="false">IF($D873&lt;&gt;1,"",IF(p_mode="Nœud",$AB873*$K873,$L873*IF($G873="IKS",p_iks_cpu,p_roks_cpu)+$M873*IF($G873="IKS",p_iks_ram,p_roks_ram))*p_facteur)</f>
        <v/>
      </c>
      <c r="AD873" s="14" t="str">
        <f aca="false">IF($D873&lt;&gt;1,"",IF(AND($G873="IKS",$AI873&lt;&gt;1,OR($L873-$P873&lt;$N873,$M873-$Q873&lt;$O873)),1,0))</f>
        <v/>
      </c>
      <c r="AE873" s="14" t="str">
        <f aca="false">IF($D873&lt;&gt;1,"",IF(AND($G873="ROKS",$T873&gt;p_maxworkers),1,0))</f>
        <v/>
      </c>
      <c r="AF873" s="14" t="str">
        <f aca="false">IF($D873&lt;&gt;1,"",IF(INDEX(TblClusters[Environnement],$B873)="","(vide)",INDEX(TblClusters[Environnement],$B873)))</f>
        <v/>
      </c>
      <c r="AG873" s="14" t="str">
        <f aca="false">IF($D873&lt;&gt;1,"",$R873+p_poidsram*$S873)</f>
        <v/>
      </c>
      <c r="AH873" s="14" t="str">
        <f aca="false">IF($D873&lt;&gt;1,"",IFERROR($W873/$AG873,0))</f>
        <v/>
      </c>
      <c r="AI873" s="14" t="str">
        <f aca="false">IF($D873&lt;&gt;1,"",IF(AND($G873="IKS",ISNUMBER(INDEX(TblClusters[Fermeture retenue],$B873))),IF($E873&gt;=INDEX(TblClusters[Fermeture retenue],$B873),1,0),0))</f>
        <v/>
      </c>
    </row>
    <row r="874" customFormat="false" ht="15" hidden="false" customHeight="false" outlineLevel="0" collapsed="false">
      <c r="A874" s="14" t="n">
        <v>869</v>
      </c>
      <c r="B874" s="14" t="n">
        <f aca="false">INT(($A874-1)/36)+1</f>
        <v>25</v>
      </c>
      <c r="C874" s="14" t="n">
        <f aca="false">MOD($A874-1,36)+1</f>
        <v>5</v>
      </c>
      <c r="D874" s="14" t="n">
        <f aca="false">IF($C874&gt;p_horizon,0,IFERROR(IF(AND(INDEX(TblClusters[Cluster],$B874)&lt;&gt;"",ISNUMBER(INDEX(TblClusters[CPU initial (vCPU)],$B874)),ISNUMBER(INDEX(TblClusters[CPU min (vCPU)],$B874)),OR(INDEX(TblClusters[Plateforme],$B874)="IKS",INDEX(TblClusters[Plateforme],$B874)="ROKS")),1,0),0))</f>
        <v>0</v>
      </c>
      <c r="E874" s="83" t="str">
        <f aca="false">IF($D874=1,EDATE(p_debut,$C874-1),"")</f>
        <v/>
      </c>
      <c r="F874" s="14" t="str">
        <f aca="false">IF($D874=1,INDEX(TblClusters[Cluster],$B874),"")</f>
        <v/>
      </c>
      <c r="G874" s="14" t="str">
        <f aca="false">IF($D874=1,INDEX(TblClusters[Plateforme],$B874),"")</f>
        <v/>
      </c>
      <c r="H874" s="14" t="str">
        <f aca="false">IF($D874=1,INDEX(TblClusters[vCPU par nœud],$B874),"")</f>
        <v/>
      </c>
      <c r="I874" s="14" t="str">
        <f aca="false">IF($D874=1,INDEX(TblClusters[RAM par nœud (Go)],$B874),"")</f>
        <v/>
      </c>
      <c r="J874" s="14" t="str">
        <f aca="false">IF($D874=1,INDEX(TblClusters[Workers min],$B874),"")</f>
        <v/>
      </c>
      <c r="K874" s="84" t="str">
        <f aca="false">IF($D874=1,INDEX(TblClusters[Tarif par nœud],$B874),"")</f>
        <v/>
      </c>
      <c r="L874" s="14" t="str">
        <f aca="false">IF($D874=1,INDEX(TblClusters[CPU initial (vCPU)],$B874),"")</f>
        <v/>
      </c>
      <c r="M874" s="14" t="str">
        <f aca="false">IF($D874=1,INDEX(TblClusters[RAM initiale (Go)],$B874),"")</f>
        <v/>
      </c>
      <c r="N874" s="14" t="str">
        <f aca="false">IF($D874=1,INDEX(TblClusters[CPU min (vCPU)],$B874),"")</f>
        <v/>
      </c>
      <c r="O874" s="14" t="str">
        <f aca="false">IF($D874=1,INDEX(TblClusters[RAM min (Go)],$B874),"")</f>
        <v/>
      </c>
      <c r="P874" s="14" t="str">
        <f aca="false">IF($D874&lt;&gt;1,"",IF($G874="ROKS",SUMIFS(TblApplications[Besoin ROKS CPU (vCPU)],TblApplications[Cluster ROKS cible],$F874,TblApplications[Action],"À migrer",TblApplications[Déjà incluse ROKS],"Non",TblApplications[Mois prov (calc)],"&lt;="&amp;$E874),SUMIFS(TblApplications[CPU IKS libérable (vCPU)],TblApplications[Cluster IKS source],$F874,TblApplications[Mois lib (calc)],"&lt;="&amp;$E874)))</f>
        <v/>
      </c>
      <c r="Q874" s="14" t="str">
        <f aca="false">IF($D874&lt;&gt;1,"",IF($G874="ROKS",SUMIFS(TblApplications[Besoin ROKS RAM (Go)],TblApplications[Cluster ROKS cible],$F874,TblApplications[Action],"À migrer",TblApplications[Déjà incluse ROKS],"Non",TblApplications[Mois prov (calc)],"&lt;="&amp;$E874),SUMIFS(TblApplications[RAM IKS libérable (Go)],TblApplications[Cluster IKS source],$F874,TblApplications[Mois lib (calc)],"&lt;="&amp;$E874)))</f>
        <v/>
      </c>
      <c r="R874" s="14" t="str">
        <f aca="false">IF($D874&lt;&gt;1,"",IF($G874="ROKS",$L874+$P874,IF($AI874=1,0,MAX($N874,$L874-$P874))))</f>
        <v/>
      </c>
      <c r="S874" s="14" t="str">
        <f aca="false">IF($D874&lt;&gt;1,"",IF($G874="ROKS",$M874+$Q874,IF($AI874=1,0,MAX($O874,$M874-$Q874))))</f>
        <v/>
      </c>
      <c r="T874" s="14" t="str">
        <f aca="false">IF($D874&lt;&gt;1,"",IF($AI874=1,0,MAX($J874,ROUNDUP(MAX($R874/$H874,$S874/$I874),0))))</f>
        <v/>
      </c>
      <c r="U874" s="14" t="str">
        <f aca="false">IF($D874&lt;&gt;1,"",IF(p_mode="Nœud",$T874*$H874,$R874))</f>
        <v/>
      </c>
      <c r="V874" s="14" t="str">
        <f aca="false">IF($D874&lt;&gt;1,"",IF(p_mode="Nœud",$T874*$I874,$S874))</f>
        <v/>
      </c>
      <c r="W874" s="84" t="str">
        <f aca="false">IF($D874&lt;&gt;1,"",IF(p_mode="Nœud",$T874*$K874,$R874*IF($G874="IKS",p_iks_cpu,p_roks_cpu)+$S874*IF($G874="IKS",p_iks_ram,p_roks_ram))*p_facteur)</f>
        <v/>
      </c>
      <c r="X874" s="14" t="str">
        <f aca="false">IF($D874&lt;&gt;1,"",IF($G874="ROKS",$R874,IF($AI874=1,0,MAX($N874,$L874-SUMIFS(TblApplications[CPU IKS libérable (vCPU)],TblApplications[Cluster IKS source],$F874,TblApplications[Action],"À migrer",TblApplications[Mois prov (calc)],"&lt;="&amp;$E874)-SUMIFS(TblApplications[CPU IKS libérable (vCPU)],TblApplications[Cluster IKS source],$F874,TblApplications[Action],"À décommissionner",TblApplications[Mois lib (calc)],"&lt;="&amp;$E874)))))</f>
        <v/>
      </c>
      <c r="Y874" s="14" t="str">
        <f aca="false">IF($D874&lt;&gt;1,"",IF($G874="ROKS",$S874,IF($AI874=1,0,MAX($O874,$M874-SUMIFS(TblApplications[RAM IKS libérable (Go)],TblApplications[Cluster IKS source],$F874,TblApplications[Action],"À migrer",TblApplications[Mois prov (calc)],"&lt;="&amp;$E874)-SUMIFS(TblApplications[RAM IKS libérable (Go)],TblApplications[Cluster IKS source],$F874,TblApplications[Action],"À décommissionner",TblApplications[Mois lib (calc)],"&lt;="&amp;$E874)))))</f>
        <v/>
      </c>
      <c r="Z874" s="14" t="str">
        <f aca="false">IF($D874&lt;&gt;1,"",IF($AI874=1,0,MAX($J874,ROUNDUP(MAX($X874/$H874,$Y874/$I874),0))))</f>
        <v/>
      </c>
      <c r="AA874" s="84" t="str">
        <f aca="false">IF($D874&lt;&gt;1,"",IF(p_mode="Nœud",$Z874*$K874,$X874*IF($G874="IKS",p_iks_cpu,p_roks_cpu)+$Y874*IF($G874="IKS",p_iks_ram,p_roks_ram))*p_facteur)</f>
        <v/>
      </c>
      <c r="AB874" s="14" t="str">
        <f aca="false">IF($D874&lt;&gt;1,"",MAX($J874,ROUNDUP(MAX($L874/$H874,$M874/$I874),0)))</f>
        <v/>
      </c>
      <c r="AC874" s="84" t="str">
        <f aca="false">IF($D874&lt;&gt;1,"",IF(p_mode="Nœud",$AB874*$K874,$L874*IF($G874="IKS",p_iks_cpu,p_roks_cpu)+$M874*IF($G874="IKS",p_iks_ram,p_roks_ram))*p_facteur)</f>
        <v/>
      </c>
      <c r="AD874" s="14" t="str">
        <f aca="false">IF($D874&lt;&gt;1,"",IF(AND($G874="IKS",$AI874&lt;&gt;1,OR($L874-$P874&lt;$N874,$M874-$Q874&lt;$O874)),1,0))</f>
        <v/>
      </c>
      <c r="AE874" s="14" t="str">
        <f aca="false">IF($D874&lt;&gt;1,"",IF(AND($G874="ROKS",$T874&gt;p_maxworkers),1,0))</f>
        <v/>
      </c>
      <c r="AF874" s="14" t="str">
        <f aca="false">IF($D874&lt;&gt;1,"",IF(INDEX(TblClusters[Environnement],$B874)="","(vide)",INDEX(TblClusters[Environnement],$B874)))</f>
        <v/>
      </c>
      <c r="AG874" s="14" t="str">
        <f aca="false">IF($D874&lt;&gt;1,"",$R874+p_poidsram*$S874)</f>
        <v/>
      </c>
      <c r="AH874" s="14" t="str">
        <f aca="false">IF($D874&lt;&gt;1,"",IFERROR($W874/$AG874,0))</f>
        <v/>
      </c>
      <c r="AI874" s="14" t="str">
        <f aca="false">IF($D874&lt;&gt;1,"",IF(AND($G874="IKS",ISNUMBER(INDEX(TblClusters[Fermeture retenue],$B874))),IF($E874&gt;=INDEX(TblClusters[Fermeture retenue],$B874),1,0),0))</f>
        <v/>
      </c>
    </row>
    <row r="875" customFormat="false" ht="15" hidden="false" customHeight="false" outlineLevel="0" collapsed="false">
      <c r="A875" s="14" t="n">
        <v>870</v>
      </c>
      <c r="B875" s="14" t="n">
        <f aca="false">INT(($A875-1)/36)+1</f>
        <v>25</v>
      </c>
      <c r="C875" s="14" t="n">
        <f aca="false">MOD($A875-1,36)+1</f>
        <v>6</v>
      </c>
      <c r="D875" s="14" t="n">
        <f aca="false">IF($C875&gt;p_horizon,0,IFERROR(IF(AND(INDEX(TblClusters[Cluster],$B875)&lt;&gt;"",ISNUMBER(INDEX(TblClusters[CPU initial (vCPU)],$B875)),ISNUMBER(INDEX(TblClusters[CPU min (vCPU)],$B875)),OR(INDEX(TblClusters[Plateforme],$B875)="IKS",INDEX(TblClusters[Plateforme],$B875)="ROKS")),1,0),0))</f>
        <v>0</v>
      </c>
      <c r="E875" s="83" t="str">
        <f aca="false">IF($D875=1,EDATE(p_debut,$C875-1),"")</f>
        <v/>
      </c>
      <c r="F875" s="14" t="str">
        <f aca="false">IF($D875=1,INDEX(TblClusters[Cluster],$B875),"")</f>
        <v/>
      </c>
      <c r="G875" s="14" t="str">
        <f aca="false">IF($D875=1,INDEX(TblClusters[Plateforme],$B875),"")</f>
        <v/>
      </c>
      <c r="H875" s="14" t="str">
        <f aca="false">IF($D875=1,INDEX(TblClusters[vCPU par nœud],$B875),"")</f>
        <v/>
      </c>
      <c r="I875" s="14" t="str">
        <f aca="false">IF($D875=1,INDEX(TblClusters[RAM par nœud (Go)],$B875),"")</f>
        <v/>
      </c>
      <c r="J875" s="14" t="str">
        <f aca="false">IF($D875=1,INDEX(TblClusters[Workers min],$B875),"")</f>
        <v/>
      </c>
      <c r="K875" s="84" t="str">
        <f aca="false">IF($D875=1,INDEX(TblClusters[Tarif par nœud],$B875),"")</f>
        <v/>
      </c>
      <c r="L875" s="14" t="str">
        <f aca="false">IF($D875=1,INDEX(TblClusters[CPU initial (vCPU)],$B875),"")</f>
        <v/>
      </c>
      <c r="M875" s="14" t="str">
        <f aca="false">IF($D875=1,INDEX(TblClusters[RAM initiale (Go)],$B875),"")</f>
        <v/>
      </c>
      <c r="N875" s="14" t="str">
        <f aca="false">IF($D875=1,INDEX(TblClusters[CPU min (vCPU)],$B875),"")</f>
        <v/>
      </c>
      <c r="O875" s="14" t="str">
        <f aca="false">IF($D875=1,INDEX(TblClusters[RAM min (Go)],$B875),"")</f>
        <v/>
      </c>
      <c r="P875" s="14" t="str">
        <f aca="false">IF($D875&lt;&gt;1,"",IF($G875="ROKS",SUMIFS(TblApplications[Besoin ROKS CPU (vCPU)],TblApplications[Cluster ROKS cible],$F875,TblApplications[Action],"À migrer",TblApplications[Déjà incluse ROKS],"Non",TblApplications[Mois prov (calc)],"&lt;="&amp;$E875),SUMIFS(TblApplications[CPU IKS libérable (vCPU)],TblApplications[Cluster IKS source],$F875,TblApplications[Mois lib (calc)],"&lt;="&amp;$E875)))</f>
        <v/>
      </c>
      <c r="Q875" s="14" t="str">
        <f aca="false">IF($D875&lt;&gt;1,"",IF($G875="ROKS",SUMIFS(TblApplications[Besoin ROKS RAM (Go)],TblApplications[Cluster ROKS cible],$F875,TblApplications[Action],"À migrer",TblApplications[Déjà incluse ROKS],"Non",TblApplications[Mois prov (calc)],"&lt;="&amp;$E875),SUMIFS(TblApplications[RAM IKS libérable (Go)],TblApplications[Cluster IKS source],$F875,TblApplications[Mois lib (calc)],"&lt;="&amp;$E875)))</f>
        <v/>
      </c>
      <c r="R875" s="14" t="str">
        <f aca="false">IF($D875&lt;&gt;1,"",IF($G875="ROKS",$L875+$P875,IF($AI875=1,0,MAX($N875,$L875-$P875))))</f>
        <v/>
      </c>
      <c r="S875" s="14" t="str">
        <f aca="false">IF($D875&lt;&gt;1,"",IF($G875="ROKS",$M875+$Q875,IF($AI875=1,0,MAX($O875,$M875-$Q875))))</f>
        <v/>
      </c>
      <c r="T875" s="14" t="str">
        <f aca="false">IF($D875&lt;&gt;1,"",IF($AI875=1,0,MAX($J875,ROUNDUP(MAX($R875/$H875,$S875/$I875),0))))</f>
        <v/>
      </c>
      <c r="U875" s="14" t="str">
        <f aca="false">IF($D875&lt;&gt;1,"",IF(p_mode="Nœud",$T875*$H875,$R875))</f>
        <v/>
      </c>
      <c r="V875" s="14" t="str">
        <f aca="false">IF($D875&lt;&gt;1,"",IF(p_mode="Nœud",$T875*$I875,$S875))</f>
        <v/>
      </c>
      <c r="W875" s="84" t="str">
        <f aca="false">IF($D875&lt;&gt;1,"",IF(p_mode="Nœud",$T875*$K875,$R875*IF($G875="IKS",p_iks_cpu,p_roks_cpu)+$S875*IF($G875="IKS",p_iks_ram,p_roks_ram))*p_facteur)</f>
        <v/>
      </c>
      <c r="X875" s="14" t="str">
        <f aca="false">IF($D875&lt;&gt;1,"",IF($G875="ROKS",$R875,IF($AI875=1,0,MAX($N875,$L875-SUMIFS(TblApplications[CPU IKS libérable (vCPU)],TblApplications[Cluster IKS source],$F875,TblApplications[Action],"À migrer",TblApplications[Mois prov (calc)],"&lt;="&amp;$E875)-SUMIFS(TblApplications[CPU IKS libérable (vCPU)],TblApplications[Cluster IKS source],$F875,TblApplications[Action],"À décommissionner",TblApplications[Mois lib (calc)],"&lt;="&amp;$E875)))))</f>
        <v/>
      </c>
      <c r="Y875" s="14" t="str">
        <f aca="false">IF($D875&lt;&gt;1,"",IF($G875="ROKS",$S875,IF($AI875=1,0,MAX($O875,$M875-SUMIFS(TblApplications[RAM IKS libérable (Go)],TblApplications[Cluster IKS source],$F875,TblApplications[Action],"À migrer",TblApplications[Mois prov (calc)],"&lt;="&amp;$E875)-SUMIFS(TblApplications[RAM IKS libérable (Go)],TblApplications[Cluster IKS source],$F875,TblApplications[Action],"À décommissionner",TblApplications[Mois lib (calc)],"&lt;="&amp;$E875)))))</f>
        <v/>
      </c>
      <c r="Z875" s="14" t="str">
        <f aca="false">IF($D875&lt;&gt;1,"",IF($AI875=1,0,MAX($J875,ROUNDUP(MAX($X875/$H875,$Y875/$I875),0))))</f>
        <v/>
      </c>
      <c r="AA875" s="84" t="str">
        <f aca="false">IF($D875&lt;&gt;1,"",IF(p_mode="Nœud",$Z875*$K875,$X875*IF($G875="IKS",p_iks_cpu,p_roks_cpu)+$Y875*IF($G875="IKS",p_iks_ram,p_roks_ram))*p_facteur)</f>
        <v/>
      </c>
      <c r="AB875" s="14" t="str">
        <f aca="false">IF($D875&lt;&gt;1,"",MAX($J875,ROUNDUP(MAX($L875/$H875,$M875/$I875),0)))</f>
        <v/>
      </c>
      <c r="AC875" s="84" t="str">
        <f aca="false">IF($D875&lt;&gt;1,"",IF(p_mode="Nœud",$AB875*$K875,$L875*IF($G875="IKS",p_iks_cpu,p_roks_cpu)+$M875*IF($G875="IKS",p_iks_ram,p_roks_ram))*p_facteur)</f>
        <v/>
      </c>
      <c r="AD875" s="14" t="str">
        <f aca="false">IF($D875&lt;&gt;1,"",IF(AND($G875="IKS",$AI875&lt;&gt;1,OR($L875-$P875&lt;$N875,$M875-$Q875&lt;$O875)),1,0))</f>
        <v/>
      </c>
      <c r="AE875" s="14" t="str">
        <f aca="false">IF($D875&lt;&gt;1,"",IF(AND($G875="ROKS",$T875&gt;p_maxworkers),1,0))</f>
        <v/>
      </c>
      <c r="AF875" s="14" t="str">
        <f aca="false">IF($D875&lt;&gt;1,"",IF(INDEX(TblClusters[Environnement],$B875)="","(vide)",INDEX(TblClusters[Environnement],$B875)))</f>
        <v/>
      </c>
      <c r="AG875" s="14" t="str">
        <f aca="false">IF($D875&lt;&gt;1,"",$R875+p_poidsram*$S875)</f>
        <v/>
      </c>
      <c r="AH875" s="14" t="str">
        <f aca="false">IF($D875&lt;&gt;1,"",IFERROR($W875/$AG875,0))</f>
        <v/>
      </c>
      <c r="AI875" s="14" t="str">
        <f aca="false">IF($D875&lt;&gt;1,"",IF(AND($G875="IKS",ISNUMBER(INDEX(TblClusters[Fermeture retenue],$B875))),IF($E875&gt;=INDEX(TblClusters[Fermeture retenue],$B875),1,0),0))</f>
        <v/>
      </c>
    </row>
    <row r="876" customFormat="false" ht="15" hidden="false" customHeight="false" outlineLevel="0" collapsed="false">
      <c r="A876" s="14" t="n">
        <v>871</v>
      </c>
      <c r="B876" s="14" t="n">
        <f aca="false">INT(($A876-1)/36)+1</f>
        <v>25</v>
      </c>
      <c r="C876" s="14" t="n">
        <f aca="false">MOD($A876-1,36)+1</f>
        <v>7</v>
      </c>
      <c r="D876" s="14" t="n">
        <f aca="false">IF($C876&gt;p_horizon,0,IFERROR(IF(AND(INDEX(TblClusters[Cluster],$B876)&lt;&gt;"",ISNUMBER(INDEX(TblClusters[CPU initial (vCPU)],$B876)),ISNUMBER(INDEX(TblClusters[CPU min (vCPU)],$B876)),OR(INDEX(TblClusters[Plateforme],$B876)="IKS",INDEX(TblClusters[Plateforme],$B876)="ROKS")),1,0),0))</f>
        <v>0</v>
      </c>
      <c r="E876" s="83" t="str">
        <f aca="false">IF($D876=1,EDATE(p_debut,$C876-1),"")</f>
        <v/>
      </c>
      <c r="F876" s="14" t="str">
        <f aca="false">IF($D876=1,INDEX(TblClusters[Cluster],$B876),"")</f>
        <v/>
      </c>
      <c r="G876" s="14" t="str">
        <f aca="false">IF($D876=1,INDEX(TblClusters[Plateforme],$B876),"")</f>
        <v/>
      </c>
      <c r="H876" s="14" t="str">
        <f aca="false">IF($D876=1,INDEX(TblClusters[vCPU par nœud],$B876),"")</f>
        <v/>
      </c>
      <c r="I876" s="14" t="str">
        <f aca="false">IF($D876=1,INDEX(TblClusters[RAM par nœud (Go)],$B876),"")</f>
        <v/>
      </c>
      <c r="J876" s="14" t="str">
        <f aca="false">IF($D876=1,INDEX(TblClusters[Workers min],$B876),"")</f>
        <v/>
      </c>
      <c r="K876" s="84" t="str">
        <f aca="false">IF($D876=1,INDEX(TblClusters[Tarif par nœud],$B876),"")</f>
        <v/>
      </c>
      <c r="L876" s="14" t="str">
        <f aca="false">IF($D876=1,INDEX(TblClusters[CPU initial (vCPU)],$B876),"")</f>
        <v/>
      </c>
      <c r="M876" s="14" t="str">
        <f aca="false">IF($D876=1,INDEX(TblClusters[RAM initiale (Go)],$B876),"")</f>
        <v/>
      </c>
      <c r="N876" s="14" t="str">
        <f aca="false">IF($D876=1,INDEX(TblClusters[CPU min (vCPU)],$B876),"")</f>
        <v/>
      </c>
      <c r="O876" s="14" t="str">
        <f aca="false">IF($D876=1,INDEX(TblClusters[RAM min (Go)],$B876),"")</f>
        <v/>
      </c>
      <c r="P876" s="14" t="str">
        <f aca="false">IF($D876&lt;&gt;1,"",IF($G876="ROKS",SUMIFS(TblApplications[Besoin ROKS CPU (vCPU)],TblApplications[Cluster ROKS cible],$F876,TblApplications[Action],"À migrer",TblApplications[Déjà incluse ROKS],"Non",TblApplications[Mois prov (calc)],"&lt;="&amp;$E876),SUMIFS(TblApplications[CPU IKS libérable (vCPU)],TblApplications[Cluster IKS source],$F876,TblApplications[Mois lib (calc)],"&lt;="&amp;$E876)))</f>
        <v/>
      </c>
      <c r="Q876" s="14" t="str">
        <f aca="false">IF($D876&lt;&gt;1,"",IF($G876="ROKS",SUMIFS(TblApplications[Besoin ROKS RAM (Go)],TblApplications[Cluster ROKS cible],$F876,TblApplications[Action],"À migrer",TblApplications[Déjà incluse ROKS],"Non",TblApplications[Mois prov (calc)],"&lt;="&amp;$E876),SUMIFS(TblApplications[RAM IKS libérable (Go)],TblApplications[Cluster IKS source],$F876,TblApplications[Mois lib (calc)],"&lt;="&amp;$E876)))</f>
        <v/>
      </c>
      <c r="R876" s="14" t="str">
        <f aca="false">IF($D876&lt;&gt;1,"",IF($G876="ROKS",$L876+$P876,IF($AI876=1,0,MAX($N876,$L876-$P876))))</f>
        <v/>
      </c>
      <c r="S876" s="14" t="str">
        <f aca="false">IF($D876&lt;&gt;1,"",IF($G876="ROKS",$M876+$Q876,IF($AI876=1,0,MAX($O876,$M876-$Q876))))</f>
        <v/>
      </c>
      <c r="T876" s="14" t="str">
        <f aca="false">IF($D876&lt;&gt;1,"",IF($AI876=1,0,MAX($J876,ROUNDUP(MAX($R876/$H876,$S876/$I876),0))))</f>
        <v/>
      </c>
      <c r="U876" s="14" t="str">
        <f aca="false">IF($D876&lt;&gt;1,"",IF(p_mode="Nœud",$T876*$H876,$R876))</f>
        <v/>
      </c>
      <c r="V876" s="14" t="str">
        <f aca="false">IF($D876&lt;&gt;1,"",IF(p_mode="Nœud",$T876*$I876,$S876))</f>
        <v/>
      </c>
      <c r="W876" s="84" t="str">
        <f aca="false">IF($D876&lt;&gt;1,"",IF(p_mode="Nœud",$T876*$K876,$R876*IF($G876="IKS",p_iks_cpu,p_roks_cpu)+$S876*IF($G876="IKS",p_iks_ram,p_roks_ram))*p_facteur)</f>
        <v/>
      </c>
      <c r="X876" s="14" t="str">
        <f aca="false">IF($D876&lt;&gt;1,"",IF($G876="ROKS",$R876,IF($AI876=1,0,MAX($N876,$L876-SUMIFS(TblApplications[CPU IKS libérable (vCPU)],TblApplications[Cluster IKS source],$F876,TblApplications[Action],"À migrer",TblApplications[Mois prov (calc)],"&lt;="&amp;$E876)-SUMIFS(TblApplications[CPU IKS libérable (vCPU)],TblApplications[Cluster IKS source],$F876,TblApplications[Action],"À décommissionner",TblApplications[Mois lib (calc)],"&lt;="&amp;$E876)))))</f>
        <v/>
      </c>
      <c r="Y876" s="14" t="str">
        <f aca="false">IF($D876&lt;&gt;1,"",IF($G876="ROKS",$S876,IF($AI876=1,0,MAX($O876,$M876-SUMIFS(TblApplications[RAM IKS libérable (Go)],TblApplications[Cluster IKS source],$F876,TblApplications[Action],"À migrer",TblApplications[Mois prov (calc)],"&lt;="&amp;$E876)-SUMIFS(TblApplications[RAM IKS libérable (Go)],TblApplications[Cluster IKS source],$F876,TblApplications[Action],"À décommissionner",TblApplications[Mois lib (calc)],"&lt;="&amp;$E876)))))</f>
        <v/>
      </c>
      <c r="Z876" s="14" t="str">
        <f aca="false">IF($D876&lt;&gt;1,"",IF($AI876=1,0,MAX($J876,ROUNDUP(MAX($X876/$H876,$Y876/$I876),0))))</f>
        <v/>
      </c>
      <c r="AA876" s="84" t="str">
        <f aca="false">IF($D876&lt;&gt;1,"",IF(p_mode="Nœud",$Z876*$K876,$X876*IF($G876="IKS",p_iks_cpu,p_roks_cpu)+$Y876*IF($G876="IKS",p_iks_ram,p_roks_ram))*p_facteur)</f>
        <v/>
      </c>
      <c r="AB876" s="14" t="str">
        <f aca="false">IF($D876&lt;&gt;1,"",MAX($J876,ROUNDUP(MAX($L876/$H876,$M876/$I876),0)))</f>
        <v/>
      </c>
      <c r="AC876" s="84" t="str">
        <f aca="false">IF($D876&lt;&gt;1,"",IF(p_mode="Nœud",$AB876*$K876,$L876*IF($G876="IKS",p_iks_cpu,p_roks_cpu)+$M876*IF($G876="IKS",p_iks_ram,p_roks_ram))*p_facteur)</f>
        <v/>
      </c>
      <c r="AD876" s="14" t="str">
        <f aca="false">IF($D876&lt;&gt;1,"",IF(AND($G876="IKS",$AI876&lt;&gt;1,OR($L876-$P876&lt;$N876,$M876-$Q876&lt;$O876)),1,0))</f>
        <v/>
      </c>
      <c r="AE876" s="14" t="str">
        <f aca="false">IF($D876&lt;&gt;1,"",IF(AND($G876="ROKS",$T876&gt;p_maxworkers),1,0))</f>
        <v/>
      </c>
      <c r="AF876" s="14" t="str">
        <f aca="false">IF($D876&lt;&gt;1,"",IF(INDEX(TblClusters[Environnement],$B876)="","(vide)",INDEX(TblClusters[Environnement],$B876)))</f>
        <v/>
      </c>
      <c r="AG876" s="14" t="str">
        <f aca="false">IF($D876&lt;&gt;1,"",$R876+p_poidsram*$S876)</f>
        <v/>
      </c>
      <c r="AH876" s="14" t="str">
        <f aca="false">IF($D876&lt;&gt;1,"",IFERROR($W876/$AG876,0))</f>
        <v/>
      </c>
      <c r="AI876" s="14" t="str">
        <f aca="false">IF($D876&lt;&gt;1,"",IF(AND($G876="IKS",ISNUMBER(INDEX(TblClusters[Fermeture retenue],$B876))),IF($E876&gt;=INDEX(TblClusters[Fermeture retenue],$B876),1,0),0))</f>
        <v/>
      </c>
    </row>
    <row r="877" customFormat="false" ht="15" hidden="false" customHeight="false" outlineLevel="0" collapsed="false">
      <c r="A877" s="14" t="n">
        <v>872</v>
      </c>
      <c r="B877" s="14" t="n">
        <f aca="false">INT(($A877-1)/36)+1</f>
        <v>25</v>
      </c>
      <c r="C877" s="14" t="n">
        <f aca="false">MOD($A877-1,36)+1</f>
        <v>8</v>
      </c>
      <c r="D877" s="14" t="n">
        <f aca="false">IF($C877&gt;p_horizon,0,IFERROR(IF(AND(INDEX(TblClusters[Cluster],$B877)&lt;&gt;"",ISNUMBER(INDEX(TblClusters[CPU initial (vCPU)],$B877)),ISNUMBER(INDEX(TblClusters[CPU min (vCPU)],$B877)),OR(INDEX(TblClusters[Plateforme],$B877)="IKS",INDEX(TblClusters[Plateforme],$B877)="ROKS")),1,0),0))</f>
        <v>0</v>
      </c>
      <c r="E877" s="83" t="str">
        <f aca="false">IF($D877=1,EDATE(p_debut,$C877-1),"")</f>
        <v/>
      </c>
      <c r="F877" s="14" t="str">
        <f aca="false">IF($D877=1,INDEX(TblClusters[Cluster],$B877),"")</f>
        <v/>
      </c>
      <c r="G877" s="14" t="str">
        <f aca="false">IF($D877=1,INDEX(TblClusters[Plateforme],$B877),"")</f>
        <v/>
      </c>
      <c r="H877" s="14" t="str">
        <f aca="false">IF($D877=1,INDEX(TblClusters[vCPU par nœud],$B877),"")</f>
        <v/>
      </c>
      <c r="I877" s="14" t="str">
        <f aca="false">IF($D877=1,INDEX(TblClusters[RAM par nœud (Go)],$B877),"")</f>
        <v/>
      </c>
      <c r="J877" s="14" t="str">
        <f aca="false">IF($D877=1,INDEX(TblClusters[Workers min],$B877),"")</f>
        <v/>
      </c>
      <c r="K877" s="84" t="str">
        <f aca="false">IF($D877=1,INDEX(TblClusters[Tarif par nœud],$B877),"")</f>
        <v/>
      </c>
      <c r="L877" s="14" t="str">
        <f aca="false">IF($D877=1,INDEX(TblClusters[CPU initial (vCPU)],$B877),"")</f>
        <v/>
      </c>
      <c r="M877" s="14" t="str">
        <f aca="false">IF($D877=1,INDEX(TblClusters[RAM initiale (Go)],$B877),"")</f>
        <v/>
      </c>
      <c r="N877" s="14" t="str">
        <f aca="false">IF($D877=1,INDEX(TblClusters[CPU min (vCPU)],$B877),"")</f>
        <v/>
      </c>
      <c r="O877" s="14" t="str">
        <f aca="false">IF($D877=1,INDEX(TblClusters[RAM min (Go)],$B877),"")</f>
        <v/>
      </c>
      <c r="P877" s="14" t="str">
        <f aca="false">IF($D877&lt;&gt;1,"",IF($G877="ROKS",SUMIFS(TblApplications[Besoin ROKS CPU (vCPU)],TblApplications[Cluster ROKS cible],$F877,TblApplications[Action],"À migrer",TblApplications[Déjà incluse ROKS],"Non",TblApplications[Mois prov (calc)],"&lt;="&amp;$E877),SUMIFS(TblApplications[CPU IKS libérable (vCPU)],TblApplications[Cluster IKS source],$F877,TblApplications[Mois lib (calc)],"&lt;="&amp;$E877)))</f>
        <v/>
      </c>
      <c r="Q877" s="14" t="str">
        <f aca="false">IF($D877&lt;&gt;1,"",IF($G877="ROKS",SUMIFS(TblApplications[Besoin ROKS RAM (Go)],TblApplications[Cluster ROKS cible],$F877,TblApplications[Action],"À migrer",TblApplications[Déjà incluse ROKS],"Non",TblApplications[Mois prov (calc)],"&lt;="&amp;$E877),SUMIFS(TblApplications[RAM IKS libérable (Go)],TblApplications[Cluster IKS source],$F877,TblApplications[Mois lib (calc)],"&lt;="&amp;$E877)))</f>
        <v/>
      </c>
      <c r="R877" s="14" t="str">
        <f aca="false">IF($D877&lt;&gt;1,"",IF($G877="ROKS",$L877+$P877,IF($AI877=1,0,MAX($N877,$L877-$P877))))</f>
        <v/>
      </c>
      <c r="S877" s="14" t="str">
        <f aca="false">IF($D877&lt;&gt;1,"",IF($G877="ROKS",$M877+$Q877,IF($AI877=1,0,MAX($O877,$M877-$Q877))))</f>
        <v/>
      </c>
      <c r="T877" s="14" t="str">
        <f aca="false">IF($D877&lt;&gt;1,"",IF($AI877=1,0,MAX($J877,ROUNDUP(MAX($R877/$H877,$S877/$I877),0))))</f>
        <v/>
      </c>
      <c r="U877" s="14" t="str">
        <f aca="false">IF($D877&lt;&gt;1,"",IF(p_mode="Nœud",$T877*$H877,$R877))</f>
        <v/>
      </c>
      <c r="V877" s="14" t="str">
        <f aca="false">IF($D877&lt;&gt;1,"",IF(p_mode="Nœud",$T877*$I877,$S877))</f>
        <v/>
      </c>
      <c r="W877" s="84" t="str">
        <f aca="false">IF($D877&lt;&gt;1,"",IF(p_mode="Nœud",$T877*$K877,$R877*IF($G877="IKS",p_iks_cpu,p_roks_cpu)+$S877*IF($G877="IKS",p_iks_ram,p_roks_ram))*p_facteur)</f>
        <v/>
      </c>
      <c r="X877" s="14" t="str">
        <f aca="false">IF($D877&lt;&gt;1,"",IF($G877="ROKS",$R877,IF($AI877=1,0,MAX($N877,$L877-SUMIFS(TblApplications[CPU IKS libérable (vCPU)],TblApplications[Cluster IKS source],$F877,TblApplications[Action],"À migrer",TblApplications[Mois prov (calc)],"&lt;="&amp;$E877)-SUMIFS(TblApplications[CPU IKS libérable (vCPU)],TblApplications[Cluster IKS source],$F877,TblApplications[Action],"À décommissionner",TblApplications[Mois lib (calc)],"&lt;="&amp;$E877)))))</f>
        <v/>
      </c>
      <c r="Y877" s="14" t="str">
        <f aca="false">IF($D877&lt;&gt;1,"",IF($G877="ROKS",$S877,IF($AI877=1,0,MAX($O877,$M877-SUMIFS(TblApplications[RAM IKS libérable (Go)],TblApplications[Cluster IKS source],$F877,TblApplications[Action],"À migrer",TblApplications[Mois prov (calc)],"&lt;="&amp;$E877)-SUMIFS(TblApplications[RAM IKS libérable (Go)],TblApplications[Cluster IKS source],$F877,TblApplications[Action],"À décommissionner",TblApplications[Mois lib (calc)],"&lt;="&amp;$E877)))))</f>
        <v/>
      </c>
      <c r="Z877" s="14" t="str">
        <f aca="false">IF($D877&lt;&gt;1,"",IF($AI877=1,0,MAX($J877,ROUNDUP(MAX($X877/$H877,$Y877/$I877),0))))</f>
        <v/>
      </c>
      <c r="AA877" s="84" t="str">
        <f aca="false">IF($D877&lt;&gt;1,"",IF(p_mode="Nœud",$Z877*$K877,$X877*IF($G877="IKS",p_iks_cpu,p_roks_cpu)+$Y877*IF($G877="IKS",p_iks_ram,p_roks_ram))*p_facteur)</f>
        <v/>
      </c>
      <c r="AB877" s="14" t="str">
        <f aca="false">IF($D877&lt;&gt;1,"",MAX($J877,ROUNDUP(MAX($L877/$H877,$M877/$I877),0)))</f>
        <v/>
      </c>
      <c r="AC877" s="84" t="str">
        <f aca="false">IF($D877&lt;&gt;1,"",IF(p_mode="Nœud",$AB877*$K877,$L877*IF($G877="IKS",p_iks_cpu,p_roks_cpu)+$M877*IF($G877="IKS",p_iks_ram,p_roks_ram))*p_facteur)</f>
        <v/>
      </c>
      <c r="AD877" s="14" t="str">
        <f aca="false">IF($D877&lt;&gt;1,"",IF(AND($G877="IKS",$AI877&lt;&gt;1,OR($L877-$P877&lt;$N877,$M877-$Q877&lt;$O877)),1,0))</f>
        <v/>
      </c>
      <c r="AE877" s="14" t="str">
        <f aca="false">IF($D877&lt;&gt;1,"",IF(AND($G877="ROKS",$T877&gt;p_maxworkers),1,0))</f>
        <v/>
      </c>
      <c r="AF877" s="14" t="str">
        <f aca="false">IF($D877&lt;&gt;1,"",IF(INDEX(TblClusters[Environnement],$B877)="","(vide)",INDEX(TblClusters[Environnement],$B877)))</f>
        <v/>
      </c>
      <c r="AG877" s="14" t="str">
        <f aca="false">IF($D877&lt;&gt;1,"",$R877+p_poidsram*$S877)</f>
        <v/>
      </c>
      <c r="AH877" s="14" t="str">
        <f aca="false">IF($D877&lt;&gt;1,"",IFERROR($W877/$AG877,0))</f>
        <v/>
      </c>
      <c r="AI877" s="14" t="str">
        <f aca="false">IF($D877&lt;&gt;1,"",IF(AND($G877="IKS",ISNUMBER(INDEX(TblClusters[Fermeture retenue],$B877))),IF($E877&gt;=INDEX(TblClusters[Fermeture retenue],$B877),1,0),0))</f>
        <v/>
      </c>
    </row>
    <row r="878" customFormat="false" ht="15" hidden="false" customHeight="false" outlineLevel="0" collapsed="false">
      <c r="A878" s="14" t="n">
        <v>873</v>
      </c>
      <c r="B878" s="14" t="n">
        <f aca="false">INT(($A878-1)/36)+1</f>
        <v>25</v>
      </c>
      <c r="C878" s="14" t="n">
        <f aca="false">MOD($A878-1,36)+1</f>
        <v>9</v>
      </c>
      <c r="D878" s="14" t="n">
        <f aca="false">IF($C878&gt;p_horizon,0,IFERROR(IF(AND(INDEX(TblClusters[Cluster],$B878)&lt;&gt;"",ISNUMBER(INDEX(TblClusters[CPU initial (vCPU)],$B878)),ISNUMBER(INDEX(TblClusters[CPU min (vCPU)],$B878)),OR(INDEX(TblClusters[Plateforme],$B878)="IKS",INDEX(TblClusters[Plateforme],$B878)="ROKS")),1,0),0))</f>
        <v>0</v>
      </c>
      <c r="E878" s="83" t="str">
        <f aca="false">IF($D878=1,EDATE(p_debut,$C878-1),"")</f>
        <v/>
      </c>
      <c r="F878" s="14" t="str">
        <f aca="false">IF($D878=1,INDEX(TblClusters[Cluster],$B878),"")</f>
        <v/>
      </c>
      <c r="G878" s="14" t="str">
        <f aca="false">IF($D878=1,INDEX(TblClusters[Plateforme],$B878),"")</f>
        <v/>
      </c>
      <c r="H878" s="14" t="str">
        <f aca="false">IF($D878=1,INDEX(TblClusters[vCPU par nœud],$B878),"")</f>
        <v/>
      </c>
      <c r="I878" s="14" t="str">
        <f aca="false">IF($D878=1,INDEX(TblClusters[RAM par nœud (Go)],$B878),"")</f>
        <v/>
      </c>
      <c r="J878" s="14" t="str">
        <f aca="false">IF($D878=1,INDEX(TblClusters[Workers min],$B878),"")</f>
        <v/>
      </c>
      <c r="K878" s="84" t="str">
        <f aca="false">IF($D878=1,INDEX(TblClusters[Tarif par nœud],$B878),"")</f>
        <v/>
      </c>
      <c r="L878" s="14" t="str">
        <f aca="false">IF($D878=1,INDEX(TblClusters[CPU initial (vCPU)],$B878),"")</f>
        <v/>
      </c>
      <c r="M878" s="14" t="str">
        <f aca="false">IF($D878=1,INDEX(TblClusters[RAM initiale (Go)],$B878),"")</f>
        <v/>
      </c>
      <c r="N878" s="14" t="str">
        <f aca="false">IF($D878=1,INDEX(TblClusters[CPU min (vCPU)],$B878),"")</f>
        <v/>
      </c>
      <c r="O878" s="14" t="str">
        <f aca="false">IF($D878=1,INDEX(TblClusters[RAM min (Go)],$B878),"")</f>
        <v/>
      </c>
      <c r="P878" s="14" t="str">
        <f aca="false">IF($D878&lt;&gt;1,"",IF($G878="ROKS",SUMIFS(TblApplications[Besoin ROKS CPU (vCPU)],TblApplications[Cluster ROKS cible],$F878,TblApplications[Action],"À migrer",TblApplications[Déjà incluse ROKS],"Non",TblApplications[Mois prov (calc)],"&lt;="&amp;$E878),SUMIFS(TblApplications[CPU IKS libérable (vCPU)],TblApplications[Cluster IKS source],$F878,TblApplications[Mois lib (calc)],"&lt;="&amp;$E878)))</f>
        <v/>
      </c>
      <c r="Q878" s="14" t="str">
        <f aca="false">IF($D878&lt;&gt;1,"",IF($G878="ROKS",SUMIFS(TblApplications[Besoin ROKS RAM (Go)],TblApplications[Cluster ROKS cible],$F878,TblApplications[Action],"À migrer",TblApplications[Déjà incluse ROKS],"Non",TblApplications[Mois prov (calc)],"&lt;="&amp;$E878),SUMIFS(TblApplications[RAM IKS libérable (Go)],TblApplications[Cluster IKS source],$F878,TblApplications[Mois lib (calc)],"&lt;="&amp;$E878)))</f>
        <v/>
      </c>
      <c r="R878" s="14" t="str">
        <f aca="false">IF($D878&lt;&gt;1,"",IF($G878="ROKS",$L878+$P878,IF($AI878=1,0,MAX($N878,$L878-$P878))))</f>
        <v/>
      </c>
      <c r="S878" s="14" t="str">
        <f aca="false">IF($D878&lt;&gt;1,"",IF($G878="ROKS",$M878+$Q878,IF($AI878=1,0,MAX($O878,$M878-$Q878))))</f>
        <v/>
      </c>
      <c r="T878" s="14" t="str">
        <f aca="false">IF($D878&lt;&gt;1,"",IF($AI878=1,0,MAX($J878,ROUNDUP(MAX($R878/$H878,$S878/$I878),0))))</f>
        <v/>
      </c>
      <c r="U878" s="14" t="str">
        <f aca="false">IF($D878&lt;&gt;1,"",IF(p_mode="Nœud",$T878*$H878,$R878))</f>
        <v/>
      </c>
      <c r="V878" s="14" t="str">
        <f aca="false">IF($D878&lt;&gt;1,"",IF(p_mode="Nœud",$T878*$I878,$S878))</f>
        <v/>
      </c>
      <c r="W878" s="84" t="str">
        <f aca="false">IF($D878&lt;&gt;1,"",IF(p_mode="Nœud",$T878*$K878,$R878*IF($G878="IKS",p_iks_cpu,p_roks_cpu)+$S878*IF($G878="IKS",p_iks_ram,p_roks_ram))*p_facteur)</f>
        <v/>
      </c>
      <c r="X878" s="14" t="str">
        <f aca="false">IF($D878&lt;&gt;1,"",IF($G878="ROKS",$R878,IF($AI878=1,0,MAX($N878,$L878-SUMIFS(TblApplications[CPU IKS libérable (vCPU)],TblApplications[Cluster IKS source],$F878,TblApplications[Action],"À migrer",TblApplications[Mois prov (calc)],"&lt;="&amp;$E878)-SUMIFS(TblApplications[CPU IKS libérable (vCPU)],TblApplications[Cluster IKS source],$F878,TblApplications[Action],"À décommissionner",TblApplications[Mois lib (calc)],"&lt;="&amp;$E878)))))</f>
        <v/>
      </c>
      <c r="Y878" s="14" t="str">
        <f aca="false">IF($D878&lt;&gt;1,"",IF($G878="ROKS",$S878,IF($AI878=1,0,MAX($O878,$M878-SUMIFS(TblApplications[RAM IKS libérable (Go)],TblApplications[Cluster IKS source],$F878,TblApplications[Action],"À migrer",TblApplications[Mois prov (calc)],"&lt;="&amp;$E878)-SUMIFS(TblApplications[RAM IKS libérable (Go)],TblApplications[Cluster IKS source],$F878,TblApplications[Action],"À décommissionner",TblApplications[Mois lib (calc)],"&lt;="&amp;$E878)))))</f>
        <v/>
      </c>
      <c r="Z878" s="14" t="str">
        <f aca="false">IF($D878&lt;&gt;1,"",IF($AI878=1,0,MAX($J878,ROUNDUP(MAX($X878/$H878,$Y878/$I878),0))))</f>
        <v/>
      </c>
      <c r="AA878" s="84" t="str">
        <f aca="false">IF($D878&lt;&gt;1,"",IF(p_mode="Nœud",$Z878*$K878,$X878*IF($G878="IKS",p_iks_cpu,p_roks_cpu)+$Y878*IF($G878="IKS",p_iks_ram,p_roks_ram))*p_facteur)</f>
        <v/>
      </c>
      <c r="AB878" s="14" t="str">
        <f aca="false">IF($D878&lt;&gt;1,"",MAX($J878,ROUNDUP(MAX($L878/$H878,$M878/$I878),0)))</f>
        <v/>
      </c>
      <c r="AC878" s="84" t="str">
        <f aca="false">IF($D878&lt;&gt;1,"",IF(p_mode="Nœud",$AB878*$K878,$L878*IF($G878="IKS",p_iks_cpu,p_roks_cpu)+$M878*IF($G878="IKS",p_iks_ram,p_roks_ram))*p_facteur)</f>
        <v/>
      </c>
      <c r="AD878" s="14" t="str">
        <f aca="false">IF($D878&lt;&gt;1,"",IF(AND($G878="IKS",$AI878&lt;&gt;1,OR($L878-$P878&lt;$N878,$M878-$Q878&lt;$O878)),1,0))</f>
        <v/>
      </c>
      <c r="AE878" s="14" t="str">
        <f aca="false">IF($D878&lt;&gt;1,"",IF(AND($G878="ROKS",$T878&gt;p_maxworkers),1,0))</f>
        <v/>
      </c>
      <c r="AF878" s="14" t="str">
        <f aca="false">IF($D878&lt;&gt;1,"",IF(INDEX(TblClusters[Environnement],$B878)="","(vide)",INDEX(TblClusters[Environnement],$B878)))</f>
        <v/>
      </c>
      <c r="AG878" s="14" t="str">
        <f aca="false">IF($D878&lt;&gt;1,"",$R878+p_poidsram*$S878)</f>
        <v/>
      </c>
      <c r="AH878" s="14" t="str">
        <f aca="false">IF($D878&lt;&gt;1,"",IFERROR($W878/$AG878,0))</f>
        <v/>
      </c>
      <c r="AI878" s="14" t="str">
        <f aca="false">IF($D878&lt;&gt;1,"",IF(AND($G878="IKS",ISNUMBER(INDEX(TblClusters[Fermeture retenue],$B878))),IF($E878&gt;=INDEX(TblClusters[Fermeture retenue],$B878),1,0),0))</f>
        <v/>
      </c>
    </row>
    <row r="879" customFormat="false" ht="15" hidden="false" customHeight="false" outlineLevel="0" collapsed="false">
      <c r="A879" s="14" t="n">
        <v>874</v>
      </c>
      <c r="B879" s="14" t="n">
        <f aca="false">INT(($A879-1)/36)+1</f>
        <v>25</v>
      </c>
      <c r="C879" s="14" t="n">
        <f aca="false">MOD($A879-1,36)+1</f>
        <v>10</v>
      </c>
      <c r="D879" s="14" t="n">
        <f aca="false">IF($C879&gt;p_horizon,0,IFERROR(IF(AND(INDEX(TblClusters[Cluster],$B879)&lt;&gt;"",ISNUMBER(INDEX(TblClusters[CPU initial (vCPU)],$B879)),ISNUMBER(INDEX(TblClusters[CPU min (vCPU)],$B879)),OR(INDEX(TblClusters[Plateforme],$B879)="IKS",INDEX(TblClusters[Plateforme],$B879)="ROKS")),1,0),0))</f>
        <v>0</v>
      </c>
      <c r="E879" s="83" t="str">
        <f aca="false">IF($D879=1,EDATE(p_debut,$C879-1),"")</f>
        <v/>
      </c>
      <c r="F879" s="14" t="str">
        <f aca="false">IF($D879=1,INDEX(TblClusters[Cluster],$B879),"")</f>
        <v/>
      </c>
      <c r="G879" s="14" t="str">
        <f aca="false">IF($D879=1,INDEX(TblClusters[Plateforme],$B879),"")</f>
        <v/>
      </c>
      <c r="H879" s="14" t="str">
        <f aca="false">IF($D879=1,INDEX(TblClusters[vCPU par nœud],$B879),"")</f>
        <v/>
      </c>
      <c r="I879" s="14" t="str">
        <f aca="false">IF($D879=1,INDEX(TblClusters[RAM par nœud (Go)],$B879),"")</f>
        <v/>
      </c>
      <c r="J879" s="14" t="str">
        <f aca="false">IF($D879=1,INDEX(TblClusters[Workers min],$B879),"")</f>
        <v/>
      </c>
      <c r="K879" s="84" t="str">
        <f aca="false">IF($D879=1,INDEX(TblClusters[Tarif par nœud],$B879),"")</f>
        <v/>
      </c>
      <c r="L879" s="14" t="str">
        <f aca="false">IF($D879=1,INDEX(TblClusters[CPU initial (vCPU)],$B879),"")</f>
        <v/>
      </c>
      <c r="M879" s="14" t="str">
        <f aca="false">IF($D879=1,INDEX(TblClusters[RAM initiale (Go)],$B879),"")</f>
        <v/>
      </c>
      <c r="N879" s="14" t="str">
        <f aca="false">IF($D879=1,INDEX(TblClusters[CPU min (vCPU)],$B879),"")</f>
        <v/>
      </c>
      <c r="O879" s="14" t="str">
        <f aca="false">IF($D879=1,INDEX(TblClusters[RAM min (Go)],$B879),"")</f>
        <v/>
      </c>
      <c r="P879" s="14" t="str">
        <f aca="false">IF($D879&lt;&gt;1,"",IF($G879="ROKS",SUMIFS(TblApplications[Besoin ROKS CPU (vCPU)],TblApplications[Cluster ROKS cible],$F879,TblApplications[Action],"À migrer",TblApplications[Déjà incluse ROKS],"Non",TblApplications[Mois prov (calc)],"&lt;="&amp;$E879),SUMIFS(TblApplications[CPU IKS libérable (vCPU)],TblApplications[Cluster IKS source],$F879,TblApplications[Mois lib (calc)],"&lt;="&amp;$E879)))</f>
        <v/>
      </c>
      <c r="Q879" s="14" t="str">
        <f aca="false">IF($D879&lt;&gt;1,"",IF($G879="ROKS",SUMIFS(TblApplications[Besoin ROKS RAM (Go)],TblApplications[Cluster ROKS cible],$F879,TblApplications[Action],"À migrer",TblApplications[Déjà incluse ROKS],"Non",TblApplications[Mois prov (calc)],"&lt;="&amp;$E879),SUMIFS(TblApplications[RAM IKS libérable (Go)],TblApplications[Cluster IKS source],$F879,TblApplications[Mois lib (calc)],"&lt;="&amp;$E879)))</f>
        <v/>
      </c>
      <c r="R879" s="14" t="str">
        <f aca="false">IF($D879&lt;&gt;1,"",IF($G879="ROKS",$L879+$P879,IF($AI879=1,0,MAX($N879,$L879-$P879))))</f>
        <v/>
      </c>
      <c r="S879" s="14" t="str">
        <f aca="false">IF($D879&lt;&gt;1,"",IF($G879="ROKS",$M879+$Q879,IF($AI879=1,0,MAX($O879,$M879-$Q879))))</f>
        <v/>
      </c>
      <c r="T879" s="14" t="str">
        <f aca="false">IF($D879&lt;&gt;1,"",IF($AI879=1,0,MAX($J879,ROUNDUP(MAX($R879/$H879,$S879/$I879),0))))</f>
        <v/>
      </c>
      <c r="U879" s="14" t="str">
        <f aca="false">IF($D879&lt;&gt;1,"",IF(p_mode="Nœud",$T879*$H879,$R879))</f>
        <v/>
      </c>
      <c r="V879" s="14" t="str">
        <f aca="false">IF($D879&lt;&gt;1,"",IF(p_mode="Nœud",$T879*$I879,$S879))</f>
        <v/>
      </c>
      <c r="W879" s="84" t="str">
        <f aca="false">IF($D879&lt;&gt;1,"",IF(p_mode="Nœud",$T879*$K879,$R879*IF($G879="IKS",p_iks_cpu,p_roks_cpu)+$S879*IF($G879="IKS",p_iks_ram,p_roks_ram))*p_facteur)</f>
        <v/>
      </c>
      <c r="X879" s="14" t="str">
        <f aca="false">IF($D879&lt;&gt;1,"",IF($G879="ROKS",$R879,IF($AI879=1,0,MAX($N879,$L879-SUMIFS(TblApplications[CPU IKS libérable (vCPU)],TblApplications[Cluster IKS source],$F879,TblApplications[Action],"À migrer",TblApplications[Mois prov (calc)],"&lt;="&amp;$E879)-SUMIFS(TblApplications[CPU IKS libérable (vCPU)],TblApplications[Cluster IKS source],$F879,TblApplications[Action],"À décommissionner",TblApplications[Mois lib (calc)],"&lt;="&amp;$E879)))))</f>
        <v/>
      </c>
      <c r="Y879" s="14" t="str">
        <f aca="false">IF($D879&lt;&gt;1,"",IF($G879="ROKS",$S879,IF($AI879=1,0,MAX($O879,$M879-SUMIFS(TblApplications[RAM IKS libérable (Go)],TblApplications[Cluster IKS source],$F879,TblApplications[Action],"À migrer",TblApplications[Mois prov (calc)],"&lt;="&amp;$E879)-SUMIFS(TblApplications[RAM IKS libérable (Go)],TblApplications[Cluster IKS source],$F879,TblApplications[Action],"À décommissionner",TblApplications[Mois lib (calc)],"&lt;="&amp;$E879)))))</f>
        <v/>
      </c>
      <c r="Z879" s="14" t="str">
        <f aca="false">IF($D879&lt;&gt;1,"",IF($AI879=1,0,MAX($J879,ROUNDUP(MAX($X879/$H879,$Y879/$I879),0))))</f>
        <v/>
      </c>
      <c r="AA879" s="84" t="str">
        <f aca="false">IF($D879&lt;&gt;1,"",IF(p_mode="Nœud",$Z879*$K879,$X879*IF($G879="IKS",p_iks_cpu,p_roks_cpu)+$Y879*IF($G879="IKS",p_iks_ram,p_roks_ram))*p_facteur)</f>
        <v/>
      </c>
      <c r="AB879" s="14" t="str">
        <f aca="false">IF($D879&lt;&gt;1,"",MAX($J879,ROUNDUP(MAX($L879/$H879,$M879/$I879),0)))</f>
        <v/>
      </c>
      <c r="AC879" s="84" t="str">
        <f aca="false">IF($D879&lt;&gt;1,"",IF(p_mode="Nœud",$AB879*$K879,$L879*IF($G879="IKS",p_iks_cpu,p_roks_cpu)+$M879*IF($G879="IKS",p_iks_ram,p_roks_ram))*p_facteur)</f>
        <v/>
      </c>
      <c r="AD879" s="14" t="str">
        <f aca="false">IF($D879&lt;&gt;1,"",IF(AND($G879="IKS",$AI879&lt;&gt;1,OR($L879-$P879&lt;$N879,$M879-$Q879&lt;$O879)),1,0))</f>
        <v/>
      </c>
      <c r="AE879" s="14" t="str">
        <f aca="false">IF($D879&lt;&gt;1,"",IF(AND($G879="ROKS",$T879&gt;p_maxworkers),1,0))</f>
        <v/>
      </c>
      <c r="AF879" s="14" t="str">
        <f aca="false">IF($D879&lt;&gt;1,"",IF(INDEX(TblClusters[Environnement],$B879)="","(vide)",INDEX(TblClusters[Environnement],$B879)))</f>
        <v/>
      </c>
      <c r="AG879" s="14" t="str">
        <f aca="false">IF($D879&lt;&gt;1,"",$R879+p_poidsram*$S879)</f>
        <v/>
      </c>
      <c r="AH879" s="14" t="str">
        <f aca="false">IF($D879&lt;&gt;1,"",IFERROR($W879/$AG879,0))</f>
        <v/>
      </c>
      <c r="AI879" s="14" t="str">
        <f aca="false">IF($D879&lt;&gt;1,"",IF(AND($G879="IKS",ISNUMBER(INDEX(TblClusters[Fermeture retenue],$B879))),IF($E879&gt;=INDEX(TblClusters[Fermeture retenue],$B879),1,0),0))</f>
        <v/>
      </c>
    </row>
    <row r="880" customFormat="false" ht="15" hidden="false" customHeight="false" outlineLevel="0" collapsed="false">
      <c r="A880" s="14" t="n">
        <v>875</v>
      </c>
      <c r="B880" s="14" t="n">
        <f aca="false">INT(($A880-1)/36)+1</f>
        <v>25</v>
      </c>
      <c r="C880" s="14" t="n">
        <f aca="false">MOD($A880-1,36)+1</f>
        <v>11</v>
      </c>
      <c r="D880" s="14" t="n">
        <f aca="false">IF($C880&gt;p_horizon,0,IFERROR(IF(AND(INDEX(TblClusters[Cluster],$B880)&lt;&gt;"",ISNUMBER(INDEX(TblClusters[CPU initial (vCPU)],$B880)),ISNUMBER(INDEX(TblClusters[CPU min (vCPU)],$B880)),OR(INDEX(TblClusters[Plateforme],$B880)="IKS",INDEX(TblClusters[Plateforme],$B880)="ROKS")),1,0),0))</f>
        <v>0</v>
      </c>
      <c r="E880" s="83" t="str">
        <f aca="false">IF($D880=1,EDATE(p_debut,$C880-1),"")</f>
        <v/>
      </c>
      <c r="F880" s="14" t="str">
        <f aca="false">IF($D880=1,INDEX(TblClusters[Cluster],$B880),"")</f>
        <v/>
      </c>
      <c r="G880" s="14" t="str">
        <f aca="false">IF($D880=1,INDEX(TblClusters[Plateforme],$B880),"")</f>
        <v/>
      </c>
      <c r="H880" s="14" t="str">
        <f aca="false">IF($D880=1,INDEX(TblClusters[vCPU par nœud],$B880),"")</f>
        <v/>
      </c>
      <c r="I880" s="14" t="str">
        <f aca="false">IF($D880=1,INDEX(TblClusters[RAM par nœud (Go)],$B880),"")</f>
        <v/>
      </c>
      <c r="J880" s="14" t="str">
        <f aca="false">IF($D880=1,INDEX(TblClusters[Workers min],$B880),"")</f>
        <v/>
      </c>
      <c r="K880" s="84" t="str">
        <f aca="false">IF($D880=1,INDEX(TblClusters[Tarif par nœud],$B880),"")</f>
        <v/>
      </c>
      <c r="L880" s="14" t="str">
        <f aca="false">IF($D880=1,INDEX(TblClusters[CPU initial (vCPU)],$B880),"")</f>
        <v/>
      </c>
      <c r="M880" s="14" t="str">
        <f aca="false">IF($D880=1,INDEX(TblClusters[RAM initiale (Go)],$B880),"")</f>
        <v/>
      </c>
      <c r="N880" s="14" t="str">
        <f aca="false">IF($D880=1,INDEX(TblClusters[CPU min (vCPU)],$B880),"")</f>
        <v/>
      </c>
      <c r="O880" s="14" t="str">
        <f aca="false">IF($D880=1,INDEX(TblClusters[RAM min (Go)],$B880),"")</f>
        <v/>
      </c>
      <c r="P880" s="14" t="str">
        <f aca="false">IF($D880&lt;&gt;1,"",IF($G880="ROKS",SUMIFS(TblApplications[Besoin ROKS CPU (vCPU)],TblApplications[Cluster ROKS cible],$F880,TblApplications[Action],"À migrer",TblApplications[Déjà incluse ROKS],"Non",TblApplications[Mois prov (calc)],"&lt;="&amp;$E880),SUMIFS(TblApplications[CPU IKS libérable (vCPU)],TblApplications[Cluster IKS source],$F880,TblApplications[Mois lib (calc)],"&lt;="&amp;$E880)))</f>
        <v/>
      </c>
      <c r="Q880" s="14" t="str">
        <f aca="false">IF($D880&lt;&gt;1,"",IF($G880="ROKS",SUMIFS(TblApplications[Besoin ROKS RAM (Go)],TblApplications[Cluster ROKS cible],$F880,TblApplications[Action],"À migrer",TblApplications[Déjà incluse ROKS],"Non",TblApplications[Mois prov (calc)],"&lt;="&amp;$E880),SUMIFS(TblApplications[RAM IKS libérable (Go)],TblApplications[Cluster IKS source],$F880,TblApplications[Mois lib (calc)],"&lt;="&amp;$E880)))</f>
        <v/>
      </c>
      <c r="R880" s="14" t="str">
        <f aca="false">IF($D880&lt;&gt;1,"",IF($G880="ROKS",$L880+$P880,IF($AI880=1,0,MAX($N880,$L880-$P880))))</f>
        <v/>
      </c>
      <c r="S880" s="14" t="str">
        <f aca="false">IF($D880&lt;&gt;1,"",IF($G880="ROKS",$M880+$Q880,IF($AI880=1,0,MAX($O880,$M880-$Q880))))</f>
        <v/>
      </c>
      <c r="T880" s="14" t="str">
        <f aca="false">IF($D880&lt;&gt;1,"",IF($AI880=1,0,MAX($J880,ROUNDUP(MAX($R880/$H880,$S880/$I880),0))))</f>
        <v/>
      </c>
      <c r="U880" s="14" t="str">
        <f aca="false">IF($D880&lt;&gt;1,"",IF(p_mode="Nœud",$T880*$H880,$R880))</f>
        <v/>
      </c>
      <c r="V880" s="14" t="str">
        <f aca="false">IF($D880&lt;&gt;1,"",IF(p_mode="Nœud",$T880*$I880,$S880))</f>
        <v/>
      </c>
      <c r="W880" s="84" t="str">
        <f aca="false">IF($D880&lt;&gt;1,"",IF(p_mode="Nœud",$T880*$K880,$R880*IF($G880="IKS",p_iks_cpu,p_roks_cpu)+$S880*IF($G880="IKS",p_iks_ram,p_roks_ram))*p_facteur)</f>
        <v/>
      </c>
      <c r="X880" s="14" t="str">
        <f aca="false">IF($D880&lt;&gt;1,"",IF($G880="ROKS",$R880,IF($AI880=1,0,MAX($N880,$L880-SUMIFS(TblApplications[CPU IKS libérable (vCPU)],TblApplications[Cluster IKS source],$F880,TblApplications[Action],"À migrer",TblApplications[Mois prov (calc)],"&lt;="&amp;$E880)-SUMIFS(TblApplications[CPU IKS libérable (vCPU)],TblApplications[Cluster IKS source],$F880,TblApplications[Action],"À décommissionner",TblApplications[Mois lib (calc)],"&lt;="&amp;$E880)))))</f>
        <v/>
      </c>
      <c r="Y880" s="14" t="str">
        <f aca="false">IF($D880&lt;&gt;1,"",IF($G880="ROKS",$S880,IF($AI880=1,0,MAX($O880,$M880-SUMIFS(TblApplications[RAM IKS libérable (Go)],TblApplications[Cluster IKS source],$F880,TblApplications[Action],"À migrer",TblApplications[Mois prov (calc)],"&lt;="&amp;$E880)-SUMIFS(TblApplications[RAM IKS libérable (Go)],TblApplications[Cluster IKS source],$F880,TblApplications[Action],"À décommissionner",TblApplications[Mois lib (calc)],"&lt;="&amp;$E880)))))</f>
        <v/>
      </c>
      <c r="Z880" s="14" t="str">
        <f aca="false">IF($D880&lt;&gt;1,"",IF($AI880=1,0,MAX($J880,ROUNDUP(MAX($X880/$H880,$Y880/$I880),0))))</f>
        <v/>
      </c>
      <c r="AA880" s="84" t="str">
        <f aca="false">IF($D880&lt;&gt;1,"",IF(p_mode="Nœud",$Z880*$K880,$X880*IF($G880="IKS",p_iks_cpu,p_roks_cpu)+$Y880*IF($G880="IKS",p_iks_ram,p_roks_ram))*p_facteur)</f>
        <v/>
      </c>
      <c r="AB880" s="14" t="str">
        <f aca="false">IF($D880&lt;&gt;1,"",MAX($J880,ROUNDUP(MAX($L880/$H880,$M880/$I880),0)))</f>
        <v/>
      </c>
      <c r="AC880" s="84" t="str">
        <f aca="false">IF($D880&lt;&gt;1,"",IF(p_mode="Nœud",$AB880*$K880,$L880*IF($G880="IKS",p_iks_cpu,p_roks_cpu)+$M880*IF($G880="IKS",p_iks_ram,p_roks_ram))*p_facteur)</f>
        <v/>
      </c>
      <c r="AD880" s="14" t="str">
        <f aca="false">IF($D880&lt;&gt;1,"",IF(AND($G880="IKS",$AI880&lt;&gt;1,OR($L880-$P880&lt;$N880,$M880-$Q880&lt;$O880)),1,0))</f>
        <v/>
      </c>
      <c r="AE880" s="14" t="str">
        <f aca="false">IF($D880&lt;&gt;1,"",IF(AND($G880="ROKS",$T880&gt;p_maxworkers),1,0))</f>
        <v/>
      </c>
      <c r="AF880" s="14" t="str">
        <f aca="false">IF($D880&lt;&gt;1,"",IF(INDEX(TblClusters[Environnement],$B880)="","(vide)",INDEX(TblClusters[Environnement],$B880)))</f>
        <v/>
      </c>
      <c r="AG880" s="14" t="str">
        <f aca="false">IF($D880&lt;&gt;1,"",$R880+p_poidsram*$S880)</f>
        <v/>
      </c>
      <c r="AH880" s="14" t="str">
        <f aca="false">IF($D880&lt;&gt;1,"",IFERROR($W880/$AG880,0))</f>
        <v/>
      </c>
      <c r="AI880" s="14" t="str">
        <f aca="false">IF($D880&lt;&gt;1,"",IF(AND($G880="IKS",ISNUMBER(INDEX(TblClusters[Fermeture retenue],$B880))),IF($E880&gt;=INDEX(TblClusters[Fermeture retenue],$B880),1,0),0))</f>
        <v/>
      </c>
    </row>
    <row r="881" customFormat="false" ht="15" hidden="false" customHeight="false" outlineLevel="0" collapsed="false">
      <c r="A881" s="14" t="n">
        <v>876</v>
      </c>
      <c r="B881" s="14" t="n">
        <f aca="false">INT(($A881-1)/36)+1</f>
        <v>25</v>
      </c>
      <c r="C881" s="14" t="n">
        <f aca="false">MOD($A881-1,36)+1</f>
        <v>12</v>
      </c>
      <c r="D881" s="14" t="n">
        <f aca="false">IF($C881&gt;p_horizon,0,IFERROR(IF(AND(INDEX(TblClusters[Cluster],$B881)&lt;&gt;"",ISNUMBER(INDEX(TblClusters[CPU initial (vCPU)],$B881)),ISNUMBER(INDEX(TblClusters[CPU min (vCPU)],$B881)),OR(INDEX(TblClusters[Plateforme],$B881)="IKS",INDEX(TblClusters[Plateforme],$B881)="ROKS")),1,0),0))</f>
        <v>0</v>
      </c>
      <c r="E881" s="83" t="str">
        <f aca="false">IF($D881=1,EDATE(p_debut,$C881-1),"")</f>
        <v/>
      </c>
      <c r="F881" s="14" t="str">
        <f aca="false">IF($D881=1,INDEX(TblClusters[Cluster],$B881),"")</f>
        <v/>
      </c>
      <c r="G881" s="14" t="str">
        <f aca="false">IF($D881=1,INDEX(TblClusters[Plateforme],$B881),"")</f>
        <v/>
      </c>
      <c r="H881" s="14" t="str">
        <f aca="false">IF($D881=1,INDEX(TblClusters[vCPU par nœud],$B881),"")</f>
        <v/>
      </c>
      <c r="I881" s="14" t="str">
        <f aca="false">IF($D881=1,INDEX(TblClusters[RAM par nœud (Go)],$B881),"")</f>
        <v/>
      </c>
      <c r="J881" s="14" t="str">
        <f aca="false">IF($D881=1,INDEX(TblClusters[Workers min],$B881),"")</f>
        <v/>
      </c>
      <c r="K881" s="84" t="str">
        <f aca="false">IF($D881=1,INDEX(TblClusters[Tarif par nœud],$B881),"")</f>
        <v/>
      </c>
      <c r="L881" s="14" t="str">
        <f aca="false">IF($D881=1,INDEX(TblClusters[CPU initial (vCPU)],$B881),"")</f>
        <v/>
      </c>
      <c r="M881" s="14" t="str">
        <f aca="false">IF($D881=1,INDEX(TblClusters[RAM initiale (Go)],$B881),"")</f>
        <v/>
      </c>
      <c r="N881" s="14" t="str">
        <f aca="false">IF($D881=1,INDEX(TblClusters[CPU min (vCPU)],$B881),"")</f>
        <v/>
      </c>
      <c r="O881" s="14" t="str">
        <f aca="false">IF($D881=1,INDEX(TblClusters[RAM min (Go)],$B881),"")</f>
        <v/>
      </c>
      <c r="P881" s="14" t="str">
        <f aca="false">IF($D881&lt;&gt;1,"",IF($G881="ROKS",SUMIFS(TblApplications[Besoin ROKS CPU (vCPU)],TblApplications[Cluster ROKS cible],$F881,TblApplications[Action],"À migrer",TblApplications[Déjà incluse ROKS],"Non",TblApplications[Mois prov (calc)],"&lt;="&amp;$E881),SUMIFS(TblApplications[CPU IKS libérable (vCPU)],TblApplications[Cluster IKS source],$F881,TblApplications[Mois lib (calc)],"&lt;="&amp;$E881)))</f>
        <v/>
      </c>
      <c r="Q881" s="14" t="str">
        <f aca="false">IF($D881&lt;&gt;1,"",IF($G881="ROKS",SUMIFS(TblApplications[Besoin ROKS RAM (Go)],TblApplications[Cluster ROKS cible],$F881,TblApplications[Action],"À migrer",TblApplications[Déjà incluse ROKS],"Non",TblApplications[Mois prov (calc)],"&lt;="&amp;$E881),SUMIFS(TblApplications[RAM IKS libérable (Go)],TblApplications[Cluster IKS source],$F881,TblApplications[Mois lib (calc)],"&lt;="&amp;$E881)))</f>
        <v/>
      </c>
      <c r="R881" s="14" t="str">
        <f aca="false">IF($D881&lt;&gt;1,"",IF($G881="ROKS",$L881+$P881,IF($AI881=1,0,MAX($N881,$L881-$P881))))</f>
        <v/>
      </c>
      <c r="S881" s="14" t="str">
        <f aca="false">IF($D881&lt;&gt;1,"",IF($G881="ROKS",$M881+$Q881,IF($AI881=1,0,MAX($O881,$M881-$Q881))))</f>
        <v/>
      </c>
      <c r="T881" s="14" t="str">
        <f aca="false">IF($D881&lt;&gt;1,"",IF($AI881=1,0,MAX($J881,ROUNDUP(MAX($R881/$H881,$S881/$I881),0))))</f>
        <v/>
      </c>
      <c r="U881" s="14" t="str">
        <f aca="false">IF($D881&lt;&gt;1,"",IF(p_mode="Nœud",$T881*$H881,$R881))</f>
        <v/>
      </c>
      <c r="V881" s="14" t="str">
        <f aca="false">IF($D881&lt;&gt;1,"",IF(p_mode="Nœud",$T881*$I881,$S881))</f>
        <v/>
      </c>
      <c r="W881" s="84" t="str">
        <f aca="false">IF($D881&lt;&gt;1,"",IF(p_mode="Nœud",$T881*$K881,$R881*IF($G881="IKS",p_iks_cpu,p_roks_cpu)+$S881*IF($G881="IKS",p_iks_ram,p_roks_ram))*p_facteur)</f>
        <v/>
      </c>
      <c r="X881" s="14" t="str">
        <f aca="false">IF($D881&lt;&gt;1,"",IF($G881="ROKS",$R881,IF($AI881=1,0,MAX($N881,$L881-SUMIFS(TblApplications[CPU IKS libérable (vCPU)],TblApplications[Cluster IKS source],$F881,TblApplications[Action],"À migrer",TblApplications[Mois prov (calc)],"&lt;="&amp;$E881)-SUMIFS(TblApplications[CPU IKS libérable (vCPU)],TblApplications[Cluster IKS source],$F881,TblApplications[Action],"À décommissionner",TblApplications[Mois lib (calc)],"&lt;="&amp;$E881)))))</f>
        <v/>
      </c>
      <c r="Y881" s="14" t="str">
        <f aca="false">IF($D881&lt;&gt;1,"",IF($G881="ROKS",$S881,IF($AI881=1,0,MAX($O881,$M881-SUMIFS(TblApplications[RAM IKS libérable (Go)],TblApplications[Cluster IKS source],$F881,TblApplications[Action],"À migrer",TblApplications[Mois prov (calc)],"&lt;="&amp;$E881)-SUMIFS(TblApplications[RAM IKS libérable (Go)],TblApplications[Cluster IKS source],$F881,TblApplications[Action],"À décommissionner",TblApplications[Mois lib (calc)],"&lt;="&amp;$E881)))))</f>
        <v/>
      </c>
      <c r="Z881" s="14" t="str">
        <f aca="false">IF($D881&lt;&gt;1,"",IF($AI881=1,0,MAX($J881,ROUNDUP(MAX($X881/$H881,$Y881/$I881),0))))</f>
        <v/>
      </c>
      <c r="AA881" s="84" t="str">
        <f aca="false">IF($D881&lt;&gt;1,"",IF(p_mode="Nœud",$Z881*$K881,$X881*IF($G881="IKS",p_iks_cpu,p_roks_cpu)+$Y881*IF($G881="IKS",p_iks_ram,p_roks_ram))*p_facteur)</f>
        <v/>
      </c>
      <c r="AB881" s="14" t="str">
        <f aca="false">IF($D881&lt;&gt;1,"",MAX($J881,ROUNDUP(MAX($L881/$H881,$M881/$I881),0)))</f>
        <v/>
      </c>
      <c r="AC881" s="84" t="str">
        <f aca="false">IF($D881&lt;&gt;1,"",IF(p_mode="Nœud",$AB881*$K881,$L881*IF($G881="IKS",p_iks_cpu,p_roks_cpu)+$M881*IF($G881="IKS",p_iks_ram,p_roks_ram))*p_facteur)</f>
        <v/>
      </c>
      <c r="AD881" s="14" t="str">
        <f aca="false">IF($D881&lt;&gt;1,"",IF(AND($G881="IKS",$AI881&lt;&gt;1,OR($L881-$P881&lt;$N881,$M881-$Q881&lt;$O881)),1,0))</f>
        <v/>
      </c>
      <c r="AE881" s="14" t="str">
        <f aca="false">IF($D881&lt;&gt;1,"",IF(AND($G881="ROKS",$T881&gt;p_maxworkers),1,0))</f>
        <v/>
      </c>
      <c r="AF881" s="14" t="str">
        <f aca="false">IF($D881&lt;&gt;1,"",IF(INDEX(TblClusters[Environnement],$B881)="","(vide)",INDEX(TblClusters[Environnement],$B881)))</f>
        <v/>
      </c>
      <c r="AG881" s="14" t="str">
        <f aca="false">IF($D881&lt;&gt;1,"",$R881+p_poidsram*$S881)</f>
        <v/>
      </c>
      <c r="AH881" s="14" t="str">
        <f aca="false">IF($D881&lt;&gt;1,"",IFERROR($W881/$AG881,0))</f>
        <v/>
      </c>
      <c r="AI881" s="14" t="str">
        <f aca="false">IF($D881&lt;&gt;1,"",IF(AND($G881="IKS",ISNUMBER(INDEX(TblClusters[Fermeture retenue],$B881))),IF($E881&gt;=INDEX(TblClusters[Fermeture retenue],$B881),1,0),0))</f>
        <v/>
      </c>
    </row>
    <row r="882" customFormat="false" ht="15" hidden="false" customHeight="false" outlineLevel="0" collapsed="false">
      <c r="A882" s="14" t="n">
        <v>877</v>
      </c>
      <c r="B882" s="14" t="n">
        <f aca="false">INT(($A882-1)/36)+1</f>
        <v>25</v>
      </c>
      <c r="C882" s="14" t="n">
        <f aca="false">MOD($A882-1,36)+1</f>
        <v>13</v>
      </c>
      <c r="D882" s="14" t="n">
        <f aca="false">IF($C882&gt;p_horizon,0,IFERROR(IF(AND(INDEX(TblClusters[Cluster],$B882)&lt;&gt;"",ISNUMBER(INDEX(TblClusters[CPU initial (vCPU)],$B882)),ISNUMBER(INDEX(TblClusters[CPU min (vCPU)],$B882)),OR(INDEX(TblClusters[Plateforme],$B882)="IKS",INDEX(TblClusters[Plateforme],$B882)="ROKS")),1,0),0))</f>
        <v>0</v>
      </c>
      <c r="E882" s="83" t="str">
        <f aca="false">IF($D882=1,EDATE(p_debut,$C882-1),"")</f>
        <v/>
      </c>
      <c r="F882" s="14" t="str">
        <f aca="false">IF($D882=1,INDEX(TblClusters[Cluster],$B882),"")</f>
        <v/>
      </c>
      <c r="G882" s="14" t="str">
        <f aca="false">IF($D882=1,INDEX(TblClusters[Plateforme],$B882),"")</f>
        <v/>
      </c>
      <c r="H882" s="14" t="str">
        <f aca="false">IF($D882=1,INDEX(TblClusters[vCPU par nœud],$B882),"")</f>
        <v/>
      </c>
      <c r="I882" s="14" t="str">
        <f aca="false">IF($D882=1,INDEX(TblClusters[RAM par nœud (Go)],$B882),"")</f>
        <v/>
      </c>
      <c r="J882" s="14" t="str">
        <f aca="false">IF($D882=1,INDEX(TblClusters[Workers min],$B882),"")</f>
        <v/>
      </c>
      <c r="K882" s="84" t="str">
        <f aca="false">IF($D882=1,INDEX(TblClusters[Tarif par nœud],$B882),"")</f>
        <v/>
      </c>
      <c r="L882" s="14" t="str">
        <f aca="false">IF($D882=1,INDEX(TblClusters[CPU initial (vCPU)],$B882),"")</f>
        <v/>
      </c>
      <c r="M882" s="14" t="str">
        <f aca="false">IF($D882=1,INDEX(TblClusters[RAM initiale (Go)],$B882),"")</f>
        <v/>
      </c>
      <c r="N882" s="14" t="str">
        <f aca="false">IF($D882=1,INDEX(TblClusters[CPU min (vCPU)],$B882),"")</f>
        <v/>
      </c>
      <c r="O882" s="14" t="str">
        <f aca="false">IF($D882=1,INDEX(TblClusters[RAM min (Go)],$B882),"")</f>
        <v/>
      </c>
      <c r="P882" s="14" t="str">
        <f aca="false">IF($D882&lt;&gt;1,"",IF($G882="ROKS",SUMIFS(TblApplications[Besoin ROKS CPU (vCPU)],TblApplications[Cluster ROKS cible],$F882,TblApplications[Action],"À migrer",TblApplications[Déjà incluse ROKS],"Non",TblApplications[Mois prov (calc)],"&lt;="&amp;$E882),SUMIFS(TblApplications[CPU IKS libérable (vCPU)],TblApplications[Cluster IKS source],$F882,TblApplications[Mois lib (calc)],"&lt;="&amp;$E882)))</f>
        <v/>
      </c>
      <c r="Q882" s="14" t="str">
        <f aca="false">IF($D882&lt;&gt;1,"",IF($G882="ROKS",SUMIFS(TblApplications[Besoin ROKS RAM (Go)],TblApplications[Cluster ROKS cible],$F882,TblApplications[Action],"À migrer",TblApplications[Déjà incluse ROKS],"Non",TblApplications[Mois prov (calc)],"&lt;="&amp;$E882),SUMIFS(TblApplications[RAM IKS libérable (Go)],TblApplications[Cluster IKS source],$F882,TblApplications[Mois lib (calc)],"&lt;="&amp;$E882)))</f>
        <v/>
      </c>
      <c r="R882" s="14" t="str">
        <f aca="false">IF($D882&lt;&gt;1,"",IF($G882="ROKS",$L882+$P882,IF($AI882=1,0,MAX($N882,$L882-$P882))))</f>
        <v/>
      </c>
      <c r="S882" s="14" t="str">
        <f aca="false">IF($D882&lt;&gt;1,"",IF($G882="ROKS",$M882+$Q882,IF($AI882=1,0,MAX($O882,$M882-$Q882))))</f>
        <v/>
      </c>
      <c r="T882" s="14" t="str">
        <f aca="false">IF($D882&lt;&gt;1,"",IF($AI882=1,0,MAX($J882,ROUNDUP(MAX($R882/$H882,$S882/$I882),0))))</f>
        <v/>
      </c>
      <c r="U882" s="14" t="str">
        <f aca="false">IF($D882&lt;&gt;1,"",IF(p_mode="Nœud",$T882*$H882,$R882))</f>
        <v/>
      </c>
      <c r="V882" s="14" t="str">
        <f aca="false">IF($D882&lt;&gt;1,"",IF(p_mode="Nœud",$T882*$I882,$S882))</f>
        <v/>
      </c>
      <c r="W882" s="84" t="str">
        <f aca="false">IF($D882&lt;&gt;1,"",IF(p_mode="Nœud",$T882*$K882,$R882*IF($G882="IKS",p_iks_cpu,p_roks_cpu)+$S882*IF($G882="IKS",p_iks_ram,p_roks_ram))*p_facteur)</f>
        <v/>
      </c>
      <c r="X882" s="14" t="str">
        <f aca="false">IF($D882&lt;&gt;1,"",IF($G882="ROKS",$R882,IF($AI882=1,0,MAX($N882,$L882-SUMIFS(TblApplications[CPU IKS libérable (vCPU)],TblApplications[Cluster IKS source],$F882,TblApplications[Action],"À migrer",TblApplications[Mois prov (calc)],"&lt;="&amp;$E882)-SUMIFS(TblApplications[CPU IKS libérable (vCPU)],TblApplications[Cluster IKS source],$F882,TblApplications[Action],"À décommissionner",TblApplications[Mois lib (calc)],"&lt;="&amp;$E882)))))</f>
        <v/>
      </c>
      <c r="Y882" s="14" t="str">
        <f aca="false">IF($D882&lt;&gt;1,"",IF($G882="ROKS",$S882,IF($AI882=1,0,MAX($O882,$M882-SUMIFS(TblApplications[RAM IKS libérable (Go)],TblApplications[Cluster IKS source],$F882,TblApplications[Action],"À migrer",TblApplications[Mois prov (calc)],"&lt;="&amp;$E882)-SUMIFS(TblApplications[RAM IKS libérable (Go)],TblApplications[Cluster IKS source],$F882,TblApplications[Action],"À décommissionner",TblApplications[Mois lib (calc)],"&lt;="&amp;$E882)))))</f>
        <v/>
      </c>
      <c r="Z882" s="14" t="str">
        <f aca="false">IF($D882&lt;&gt;1,"",IF($AI882=1,0,MAX($J882,ROUNDUP(MAX($X882/$H882,$Y882/$I882),0))))</f>
        <v/>
      </c>
      <c r="AA882" s="84" t="str">
        <f aca="false">IF($D882&lt;&gt;1,"",IF(p_mode="Nœud",$Z882*$K882,$X882*IF($G882="IKS",p_iks_cpu,p_roks_cpu)+$Y882*IF($G882="IKS",p_iks_ram,p_roks_ram))*p_facteur)</f>
        <v/>
      </c>
      <c r="AB882" s="14" t="str">
        <f aca="false">IF($D882&lt;&gt;1,"",MAX($J882,ROUNDUP(MAX($L882/$H882,$M882/$I882),0)))</f>
        <v/>
      </c>
      <c r="AC882" s="84" t="str">
        <f aca="false">IF($D882&lt;&gt;1,"",IF(p_mode="Nœud",$AB882*$K882,$L882*IF($G882="IKS",p_iks_cpu,p_roks_cpu)+$M882*IF($G882="IKS",p_iks_ram,p_roks_ram))*p_facteur)</f>
        <v/>
      </c>
      <c r="AD882" s="14" t="str">
        <f aca="false">IF($D882&lt;&gt;1,"",IF(AND($G882="IKS",$AI882&lt;&gt;1,OR($L882-$P882&lt;$N882,$M882-$Q882&lt;$O882)),1,0))</f>
        <v/>
      </c>
      <c r="AE882" s="14" t="str">
        <f aca="false">IF($D882&lt;&gt;1,"",IF(AND($G882="ROKS",$T882&gt;p_maxworkers),1,0))</f>
        <v/>
      </c>
      <c r="AF882" s="14" t="str">
        <f aca="false">IF($D882&lt;&gt;1,"",IF(INDEX(TblClusters[Environnement],$B882)="","(vide)",INDEX(TblClusters[Environnement],$B882)))</f>
        <v/>
      </c>
      <c r="AG882" s="14" t="str">
        <f aca="false">IF($D882&lt;&gt;1,"",$R882+p_poidsram*$S882)</f>
        <v/>
      </c>
      <c r="AH882" s="14" t="str">
        <f aca="false">IF($D882&lt;&gt;1,"",IFERROR($W882/$AG882,0))</f>
        <v/>
      </c>
      <c r="AI882" s="14" t="str">
        <f aca="false">IF($D882&lt;&gt;1,"",IF(AND($G882="IKS",ISNUMBER(INDEX(TblClusters[Fermeture retenue],$B882))),IF($E882&gt;=INDEX(TblClusters[Fermeture retenue],$B882),1,0),0))</f>
        <v/>
      </c>
    </row>
    <row r="883" customFormat="false" ht="15" hidden="false" customHeight="false" outlineLevel="0" collapsed="false">
      <c r="A883" s="14" t="n">
        <v>878</v>
      </c>
      <c r="B883" s="14" t="n">
        <f aca="false">INT(($A883-1)/36)+1</f>
        <v>25</v>
      </c>
      <c r="C883" s="14" t="n">
        <f aca="false">MOD($A883-1,36)+1</f>
        <v>14</v>
      </c>
      <c r="D883" s="14" t="n">
        <f aca="false">IF($C883&gt;p_horizon,0,IFERROR(IF(AND(INDEX(TblClusters[Cluster],$B883)&lt;&gt;"",ISNUMBER(INDEX(TblClusters[CPU initial (vCPU)],$B883)),ISNUMBER(INDEX(TblClusters[CPU min (vCPU)],$B883)),OR(INDEX(TblClusters[Plateforme],$B883)="IKS",INDEX(TblClusters[Plateforme],$B883)="ROKS")),1,0),0))</f>
        <v>0</v>
      </c>
      <c r="E883" s="83" t="str">
        <f aca="false">IF($D883=1,EDATE(p_debut,$C883-1),"")</f>
        <v/>
      </c>
      <c r="F883" s="14" t="str">
        <f aca="false">IF($D883=1,INDEX(TblClusters[Cluster],$B883),"")</f>
        <v/>
      </c>
      <c r="G883" s="14" t="str">
        <f aca="false">IF($D883=1,INDEX(TblClusters[Plateforme],$B883),"")</f>
        <v/>
      </c>
      <c r="H883" s="14" t="str">
        <f aca="false">IF($D883=1,INDEX(TblClusters[vCPU par nœud],$B883),"")</f>
        <v/>
      </c>
      <c r="I883" s="14" t="str">
        <f aca="false">IF($D883=1,INDEX(TblClusters[RAM par nœud (Go)],$B883),"")</f>
        <v/>
      </c>
      <c r="J883" s="14" t="str">
        <f aca="false">IF($D883=1,INDEX(TblClusters[Workers min],$B883),"")</f>
        <v/>
      </c>
      <c r="K883" s="84" t="str">
        <f aca="false">IF($D883=1,INDEX(TblClusters[Tarif par nœud],$B883),"")</f>
        <v/>
      </c>
      <c r="L883" s="14" t="str">
        <f aca="false">IF($D883=1,INDEX(TblClusters[CPU initial (vCPU)],$B883),"")</f>
        <v/>
      </c>
      <c r="M883" s="14" t="str">
        <f aca="false">IF($D883=1,INDEX(TblClusters[RAM initiale (Go)],$B883),"")</f>
        <v/>
      </c>
      <c r="N883" s="14" t="str">
        <f aca="false">IF($D883=1,INDEX(TblClusters[CPU min (vCPU)],$B883),"")</f>
        <v/>
      </c>
      <c r="O883" s="14" t="str">
        <f aca="false">IF($D883=1,INDEX(TblClusters[RAM min (Go)],$B883),"")</f>
        <v/>
      </c>
      <c r="P883" s="14" t="str">
        <f aca="false">IF($D883&lt;&gt;1,"",IF($G883="ROKS",SUMIFS(TblApplications[Besoin ROKS CPU (vCPU)],TblApplications[Cluster ROKS cible],$F883,TblApplications[Action],"À migrer",TblApplications[Déjà incluse ROKS],"Non",TblApplications[Mois prov (calc)],"&lt;="&amp;$E883),SUMIFS(TblApplications[CPU IKS libérable (vCPU)],TblApplications[Cluster IKS source],$F883,TblApplications[Mois lib (calc)],"&lt;="&amp;$E883)))</f>
        <v/>
      </c>
      <c r="Q883" s="14" t="str">
        <f aca="false">IF($D883&lt;&gt;1,"",IF($G883="ROKS",SUMIFS(TblApplications[Besoin ROKS RAM (Go)],TblApplications[Cluster ROKS cible],$F883,TblApplications[Action],"À migrer",TblApplications[Déjà incluse ROKS],"Non",TblApplications[Mois prov (calc)],"&lt;="&amp;$E883),SUMIFS(TblApplications[RAM IKS libérable (Go)],TblApplications[Cluster IKS source],$F883,TblApplications[Mois lib (calc)],"&lt;="&amp;$E883)))</f>
        <v/>
      </c>
      <c r="R883" s="14" t="str">
        <f aca="false">IF($D883&lt;&gt;1,"",IF($G883="ROKS",$L883+$P883,IF($AI883=1,0,MAX($N883,$L883-$P883))))</f>
        <v/>
      </c>
      <c r="S883" s="14" t="str">
        <f aca="false">IF($D883&lt;&gt;1,"",IF($G883="ROKS",$M883+$Q883,IF($AI883=1,0,MAX($O883,$M883-$Q883))))</f>
        <v/>
      </c>
      <c r="T883" s="14" t="str">
        <f aca="false">IF($D883&lt;&gt;1,"",IF($AI883=1,0,MAX($J883,ROUNDUP(MAX($R883/$H883,$S883/$I883),0))))</f>
        <v/>
      </c>
      <c r="U883" s="14" t="str">
        <f aca="false">IF($D883&lt;&gt;1,"",IF(p_mode="Nœud",$T883*$H883,$R883))</f>
        <v/>
      </c>
      <c r="V883" s="14" t="str">
        <f aca="false">IF($D883&lt;&gt;1,"",IF(p_mode="Nœud",$T883*$I883,$S883))</f>
        <v/>
      </c>
      <c r="W883" s="84" t="str">
        <f aca="false">IF($D883&lt;&gt;1,"",IF(p_mode="Nœud",$T883*$K883,$R883*IF($G883="IKS",p_iks_cpu,p_roks_cpu)+$S883*IF($G883="IKS",p_iks_ram,p_roks_ram))*p_facteur)</f>
        <v/>
      </c>
      <c r="X883" s="14" t="str">
        <f aca="false">IF($D883&lt;&gt;1,"",IF($G883="ROKS",$R883,IF($AI883=1,0,MAX($N883,$L883-SUMIFS(TblApplications[CPU IKS libérable (vCPU)],TblApplications[Cluster IKS source],$F883,TblApplications[Action],"À migrer",TblApplications[Mois prov (calc)],"&lt;="&amp;$E883)-SUMIFS(TblApplications[CPU IKS libérable (vCPU)],TblApplications[Cluster IKS source],$F883,TblApplications[Action],"À décommissionner",TblApplications[Mois lib (calc)],"&lt;="&amp;$E883)))))</f>
        <v/>
      </c>
      <c r="Y883" s="14" t="str">
        <f aca="false">IF($D883&lt;&gt;1,"",IF($G883="ROKS",$S883,IF($AI883=1,0,MAX($O883,$M883-SUMIFS(TblApplications[RAM IKS libérable (Go)],TblApplications[Cluster IKS source],$F883,TblApplications[Action],"À migrer",TblApplications[Mois prov (calc)],"&lt;="&amp;$E883)-SUMIFS(TblApplications[RAM IKS libérable (Go)],TblApplications[Cluster IKS source],$F883,TblApplications[Action],"À décommissionner",TblApplications[Mois lib (calc)],"&lt;="&amp;$E883)))))</f>
        <v/>
      </c>
      <c r="Z883" s="14" t="str">
        <f aca="false">IF($D883&lt;&gt;1,"",IF($AI883=1,0,MAX($J883,ROUNDUP(MAX($X883/$H883,$Y883/$I883),0))))</f>
        <v/>
      </c>
      <c r="AA883" s="84" t="str">
        <f aca="false">IF($D883&lt;&gt;1,"",IF(p_mode="Nœud",$Z883*$K883,$X883*IF($G883="IKS",p_iks_cpu,p_roks_cpu)+$Y883*IF($G883="IKS",p_iks_ram,p_roks_ram))*p_facteur)</f>
        <v/>
      </c>
      <c r="AB883" s="14" t="str">
        <f aca="false">IF($D883&lt;&gt;1,"",MAX($J883,ROUNDUP(MAX($L883/$H883,$M883/$I883),0)))</f>
        <v/>
      </c>
      <c r="AC883" s="84" t="str">
        <f aca="false">IF($D883&lt;&gt;1,"",IF(p_mode="Nœud",$AB883*$K883,$L883*IF($G883="IKS",p_iks_cpu,p_roks_cpu)+$M883*IF($G883="IKS",p_iks_ram,p_roks_ram))*p_facteur)</f>
        <v/>
      </c>
      <c r="AD883" s="14" t="str">
        <f aca="false">IF($D883&lt;&gt;1,"",IF(AND($G883="IKS",$AI883&lt;&gt;1,OR($L883-$P883&lt;$N883,$M883-$Q883&lt;$O883)),1,0))</f>
        <v/>
      </c>
      <c r="AE883" s="14" t="str">
        <f aca="false">IF($D883&lt;&gt;1,"",IF(AND($G883="ROKS",$T883&gt;p_maxworkers),1,0))</f>
        <v/>
      </c>
      <c r="AF883" s="14" t="str">
        <f aca="false">IF($D883&lt;&gt;1,"",IF(INDEX(TblClusters[Environnement],$B883)="","(vide)",INDEX(TblClusters[Environnement],$B883)))</f>
        <v/>
      </c>
      <c r="AG883" s="14" t="str">
        <f aca="false">IF($D883&lt;&gt;1,"",$R883+p_poidsram*$S883)</f>
        <v/>
      </c>
      <c r="AH883" s="14" t="str">
        <f aca="false">IF($D883&lt;&gt;1,"",IFERROR($W883/$AG883,0))</f>
        <v/>
      </c>
      <c r="AI883" s="14" t="str">
        <f aca="false">IF($D883&lt;&gt;1,"",IF(AND($G883="IKS",ISNUMBER(INDEX(TblClusters[Fermeture retenue],$B883))),IF($E883&gt;=INDEX(TblClusters[Fermeture retenue],$B883),1,0),0))</f>
        <v/>
      </c>
    </row>
    <row r="884" customFormat="false" ht="15" hidden="false" customHeight="false" outlineLevel="0" collapsed="false">
      <c r="A884" s="14" t="n">
        <v>879</v>
      </c>
      <c r="B884" s="14" t="n">
        <f aca="false">INT(($A884-1)/36)+1</f>
        <v>25</v>
      </c>
      <c r="C884" s="14" t="n">
        <f aca="false">MOD($A884-1,36)+1</f>
        <v>15</v>
      </c>
      <c r="D884" s="14" t="n">
        <f aca="false">IF($C884&gt;p_horizon,0,IFERROR(IF(AND(INDEX(TblClusters[Cluster],$B884)&lt;&gt;"",ISNUMBER(INDEX(TblClusters[CPU initial (vCPU)],$B884)),ISNUMBER(INDEX(TblClusters[CPU min (vCPU)],$B884)),OR(INDEX(TblClusters[Plateforme],$B884)="IKS",INDEX(TblClusters[Plateforme],$B884)="ROKS")),1,0),0))</f>
        <v>0</v>
      </c>
      <c r="E884" s="83" t="str">
        <f aca="false">IF($D884=1,EDATE(p_debut,$C884-1),"")</f>
        <v/>
      </c>
      <c r="F884" s="14" t="str">
        <f aca="false">IF($D884=1,INDEX(TblClusters[Cluster],$B884),"")</f>
        <v/>
      </c>
      <c r="G884" s="14" t="str">
        <f aca="false">IF($D884=1,INDEX(TblClusters[Plateforme],$B884),"")</f>
        <v/>
      </c>
      <c r="H884" s="14" t="str">
        <f aca="false">IF($D884=1,INDEX(TblClusters[vCPU par nœud],$B884),"")</f>
        <v/>
      </c>
      <c r="I884" s="14" t="str">
        <f aca="false">IF($D884=1,INDEX(TblClusters[RAM par nœud (Go)],$B884),"")</f>
        <v/>
      </c>
      <c r="J884" s="14" t="str">
        <f aca="false">IF($D884=1,INDEX(TblClusters[Workers min],$B884),"")</f>
        <v/>
      </c>
      <c r="K884" s="84" t="str">
        <f aca="false">IF($D884=1,INDEX(TblClusters[Tarif par nœud],$B884),"")</f>
        <v/>
      </c>
      <c r="L884" s="14" t="str">
        <f aca="false">IF($D884=1,INDEX(TblClusters[CPU initial (vCPU)],$B884),"")</f>
        <v/>
      </c>
      <c r="M884" s="14" t="str">
        <f aca="false">IF($D884=1,INDEX(TblClusters[RAM initiale (Go)],$B884),"")</f>
        <v/>
      </c>
      <c r="N884" s="14" t="str">
        <f aca="false">IF($D884=1,INDEX(TblClusters[CPU min (vCPU)],$B884),"")</f>
        <v/>
      </c>
      <c r="O884" s="14" t="str">
        <f aca="false">IF($D884=1,INDEX(TblClusters[RAM min (Go)],$B884),"")</f>
        <v/>
      </c>
      <c r="P884" s="14" t="str">
        <f aca="false">IF($D884&lt;&gt;1,"",IF($G884="ROKS",SUMIFS(TblApplications[Besoin ROKS CPU (vCPU)],TblApplications[Cluster ROKS cible],$F884,TblApplications[Action],"À migrer",TblApplications[Déjà incluse ROKS],"Non",TblApplications[Mois prov (calc)],"&lt;="&amp;$E884),SUMIFS(TblApplications[CPU IKS libérable (vCPU)],TblApplications[Cluster IKS source],$F884,TblApplications[Mois lib (calc)],"&lt;="&amp;$E884)))</f>
        <v/>
      </c>
      <c r="Q884" s="14" t="str">
        <f aca="false">IF($D884&lt;&gt;1,"",IF($G884="ROKS",SUMIFS(TblApplications[Besoin ROKS RAM (Go)],TblApplications[Cluster ROKS cible],$F884,TblApplications[Action],"À migrer",TblApplications[Déjà incluse ROKS],"Non",TblApplications[Mois prov (calc)],"&lt;="&amp;$E884),SUMIFS(TblApplications[RAM IKS libérable (Go)],TblApplications[Cluster IKS source],$F884,TblApplications[Mois lib (calc)],"&lt;="&amp;$E884)))</f>
        <v/>
      </c>
      <c r="R884" s="14" t="str">
        <f aca="false">IF($D884&lt;&gt;1,"",IF($G884="ROKS",$L884+$P884,IF($AI884=1,0,MAX($N884,$L884-$P884))))</f>
        <v/>
      </c>
      <c r="S884" s="14" t="str">
        <f aca="false">IF($D884&lt;&gt;1,"",IF($G884="ROKS",$M884+$Q884,IF($AI884=1,0,MAX($O884,$M884-$Q884))))</f>
        <v/>
      </c>
      <c r="T884" s="14" t="str">
        <f aca="false">IF($D884&lt;&gt;1,"",IF($AI884=1,0,MAX($J884,ROUNDUP(MAX($R884/$H884,$S884/$I884),0))))</f>
        <v/>
      </c>
      <c r="U884" s="14" t="str">
        <f aca="false">IF($D884&lt;&gt;1,"",IF(p_mode="Nœud",$T884*$H884,$R884))</f>
        <v/>
      </c>
      <c r="V884" s="14" t="str">
        <f aca="false">IF($D884&lt;&gt;1,"",IF(p_mode="Nœud",$T884*$I884,$S884))</f>
        <v/>
      </c>
      <c r="W884" s="84" t="str">
        <f aca="false">IF($D884&lt;&gt;1,"",IF(p_mode="Nœud",$T884*$K884,$R884*IF($G884="IKS",p_iks_cpu,p_roks_cpu)+$S884*IF($G884="IKS",p_iks_ram,p_roks_ram))*p_facteur)</f>
        <v/>
      </c>
      <c r="X884" s="14" t="str">
        <f aca="false">IF($D884&lt;&gt;1,"",IF($G884="ROKS",$R884,IF($AI884=1,0,MAX($N884,$L884-SUMIFS(TblApplications[CPU IKS libérable (vCPU)],TblApplications[Cluster IKS source],$F884,TblApplications[Action],"À migrer",TblApplications[Mois prov (calc)],"&lt;="&amp;$E884)-SUMIFS(TblApplications[CPU IKS libérable (vCPU)],TblApplications[Cluster IKS source],$F884,TblApplications[Action],"À décommissionner",TblApplications[Mois lib (calc)],"&lt;="&amp;$E884)))))</f>
        <v/>
      </c>
      <c r="Y884" s="14" t="str">
        <f aca="false">IF($D884&lt;&gt;1,"",IF($G884="ROKS",$S884,IF($AI884=1,0,MAX($O884,$M884-SUMIFS(TblApplications[RAM IKS libérable (Go)],TblApplications[Cluster IKS source],$F884,TblApplications[Action],"À migrer",TblApplications[Mois prov (calc)],"&lt;="&amp;$E884)-SUMIFS(TblApplications[RAM IKS libérable (Go)],TblApplications[Cluster IKS source],$F884,TblApplications[Action],"À décommissionner",TblApplications[Mois lib (calc)],"&lt;="&amp;$E884)))))</f>
        <v/>
      </c>
      <c r="Z884" s="14" t="str">
        <f aca="false">IF($D884&lt;&gt;1,"",IF($AI884=1,0,MAX($J884,ROUNDUP(MAX($X884/$H884,$Y884/$I884),0))))</f>
        <v/>
      </c>
      <c r="AA884" s="84" t="str">
        <f aca="false">IF($D884&lt;&gt;1,"",IF(p_mode="Nœud",$Z884*$K884,$X884*IF($G884="IKS",p_iks_cpu,p_roks_cpu)+$Y884*IF($G884="IKS",p_iks_ram,p_roks_ram))*p_facteur)</f>
        <v/>
      </c>
      <c r="AB884" s="14" t="str">
        <f aca="false">IF($D884&lt;&gt;1,"",MAX($J884,ROUNDUP(MAX($L884/$H884,$M884/$I884),0)))</f>
        <v/>
      </c>
      <c r="AC884" s="84" t="str">
        <f aca="false">IF($D884&lt;&gt;1,"",IF(p_mode="Nœud",$AB884*$K884,$L884*IF($G884="IKS",p_iks_cpu,p_roks_cpu)+$M884*IF($G884="IKS",p_iks_ram,p_roks_ram))*p_facteur)</f>
        <v/>
      </c>
      <c r="AD884" s="14" t="str">
        <f aca="false">IF($D884&lt;&gt;1,"",IF(AND($G884="IKS",$AI884&lt;&gt;1,OR($L884-$P884&lt;$N884,$M884-$Q884&lt;$O884)),1,0))</f>
        <v/>
      </c>
      <c r="AE884" s="14" t="str">
        <f aca="false">IF($D884&lt;&gt;1,"",IF(AND($G884="ROKS",$T884&gt;p_maxworkers),1,0))</f>
        <v/>
      </c>
      <c r="AF884" s="14" t="str">
        <f aca="false">IF($D884&lt;&gt;1,"",IF(INDEX(TblClusters[Environnement],$B884)="","(vide)",INDEX(TblClusters[Environnement],$B884)))</f>
        <v/>
      </c>
      <c r="AG884" s="14" t="str">
        <f aca="false">IF($D884&lt;&gt;1,"",$R884+p_poidsram*$S884)</f>
        <v/>
      </c>
      <c r="AH884" s="14" t="str">
        <f aca="false">IF($D884&lt;&gt;1,"",IFERROR($W884/$AG884,0))</f>
        <v/>
      </c>
      <c r="AI884" s="14" t="str">
        <f aca="false">IF($D884&lt;&gt;1,"",IF(AND($G884="IKS",ISNUMBER(INDEX(TblClusters[Fermeture retenue],$B884))),IF($E884&gt;=INDEX(TblClusters[Fermeture retenue],$B884),1,0),0))</f>
        <v/>
      </c>
    </row>
    <row r="885" customFormat="false" ht="15" hidden="false" customHeight="false" outlineLevel="0" collapsed="false">
      <c r="A885" s="14" t="n">
        <v>880</v>
      </c>
      <c r="B885" s="14" t="n">
        <f aca="false">INT(($A885-1)/36)+1</f>
        <v>25</v>
      </c>
      <c r="C885" s="14" t="n">
        <f aca="false">MOD($A885-1,36)+1</f>
        <v>16</v>
      </c>
      <c r="D885" s="14" t="n">
        <f aca="false">IF($C885&gt;p_horizon,0,IFERROR(IF(AND(INDEX(TblClusters[Cluster],$B885)&lt;&gt;"",ISNUMBER(INDEX(TblClusters[CPU initial (vCPU)],$B885)),ISNUMBER(INDEX(TblClusters[CPU min (vCPU)],$B885)),OR(INDEX(TblClusters[Plateforme],$B885)="IKS",INDEX(TblClusters[Plateforme],$B885)="ROKS")),1,0),0))</f>
        <v>0</v>
      </c>
      <c r="E885" s="83" t="str">
        <f aca="false">IF($D885=1,EDATE(p_debut,$C885-1),"")</f>
        <v/>
      </c>
      <c r="F885" s="14" t="str">
        <f aca="false">IF($D885=1,INDEX(TblClusters[Cluster],$B885),"")</f>
        <v/>
      </c>
      <c r="G885" s="14" t="str">
        <f aca="false">IF($D885=1,INDEX(TblClusters[Plateforme],$B885),"")</f>
        <v/>
      </c>
      <c r="H885" s="14" t="str">
        <f aca="false">IF($D885=1,INDEX(TblClusters[vCPU par nœud],$B885),"")</f>
        <v/>
      </c>
      <c r="I885" s="14" t="str">
        <f aca="false">IF($D885=1,INDEX(TblClusters[RAM par nœud (Go)],$B885),"")</f>
        <v/>
      </c>
      <c r="J885" s="14" t="str">
        <f aca="false">IF($D885=1,INDEX(TblClusters[Workers min],$B885),"")</f>
        <v/>
      </c>
      <c r="K885" s="84" t="str">
        <f aca="false">IF($D885=1,INDEX(TblClusters[Tarif par nœud],$B885),"")</f>
        <v/>
      </c>
      <c r="L885" s="14" t="str">
        <f aca="false">IF($D885=1,INDEX(TblClusters[CPU initial (vCPU)],$B885),"")</f>
        <v/>
      </c>
      <c r="M885" s="14" t="str">
        <f aca="false">IF($D885=1,INDEX(TblClusters[RAM initiale (Go)],$B885),"")</f>
        <v/>
      </c>
      <c r="N885" s="14" t="str">
        <f aca="false">IF($D885=1,INDEX(TblClusters[CPU min (vCPU)],$B885),"")</f>
        <v/>
      </c>
      <c r="O885" s="14" t="str">
        <f aca="false">IF($D885=1,INDEX(TblClusters[RAM min (Go)],$B885),"")</f>
        <v/>
      </c>
      <c r="P885" s="14" t="str">
        <f aca="false">IF($D885&lt;&gt;1,"",IF($G885="ROKS",SUMIFS(TblApplications[Besoin ROKS CPU (vCPU)],TblApplications[Cluster ROKS cible],$F885,TblApplications[Action],"À migrer",TblApplications[Déjà incluse ROKS],"Non",TblApplications[Mois prov (calc)],"&lt;="&amp;$E885),SUMIFS(TblApplications[CPU IKS libérable (vCPU)],TblApplications[Cluster IKS source],$F885,TblApplications[Mois lib (calc)],"&lt;="&amp;$E885)))</f>
        <v/>
      </c>
      <c r="Q885" s="14" t="str">
        <f aca="false">IF($D885&lt;&gt;1,"",IF($G885="ROKS",SUMIFS(TblApplications[Besoin ROKS RAM (Go)],TblApplications[Cluster ROKS cible],$F885,TblApplications[Action],"À migrer",TblApplications[Déjà incluse ROKS],"Non",TblApplications[Mois prov (calc)],"&lt;="&amp;$E885),SUMIFS(TblApplications[RAM IKS libérable (Go)],TblApplications[Cluster IKS source],$F885,TblApplications[Mois lib (calc)],"&lt;="&amp;$E885)))</f>
        <v/>
      </c>
      <c r="R885" s="14" t="str">
        <f aca="false">IF($D885&lt;&gt;1,"",IF($G885="ROKS",$L885+$P885,IF($AI885=1,0,MAX($N885,$L885-$P885))))</f>
        <v/>
      </c>
      <c r="S885" s="14" t="str">
        <f aca="false">IF($D885&lt;&gt;1,"",IF($G885="ROKS",$M885+$Q885,IF($AI885=1,0,MAX($O885,$M885-$Q885))))</f>
        <v/>
      </c>
      <c r="T885" s="14" t="str">
        <f aca="false">IF($D885&lt;&gt;1,"",IF($AI885=1,0,MAX($J885,ROUNDUP(MAX($R885/$H885,$S885/$I885),0))))</f>
        <v/>
      </c>
      <c r="U885" s="14" t="str">
        <f aca="false">IF($D885&lt;&gt;1,"",IF(p_mode="Nœud",$T885*$H885,$R885))</f>
        <v/>
      </c>
      <c r="V885" s="14" t="str">
        <f aca="false">IF($D885&lt;&gt;1,"",IF(p_mode="Nœud",$T885*$I885,$S885))</f>
        <v/>
      </c>
      <c r="W885" s="84" t="str">
        <f aca="false">IF($D885&lt;&gt;1,"",IF(p_mode="Nœud",$T885*$K885,$R885*IF($G885="IKS",p_iks_cpu,p_roks_cpu)+$S885*IF($G885="IKS",p_iks_ram,p_roks_ram))*p_facteur)</f>
        <v/>
      </c>
      <c r="X885" s="14" t="str">
        <f aca="false">IF($D885&lt;&gt;1,"",IF($G885="ROKS",$R885,IF($AI885=1,0,MAX($N885,$L885-SUMIFS(TblApplications[CPU IKS libérable (vCPU)],TblApplications[Cluster IKS source],$F885,TblApplications[Action],"À migrer",TblApplications[Mois prov (calc)],"&lt;="&amp;$E885)-SUMIFS(TblApplications[CPU IKS libérable (vCPU)],TblApplications[Cluster IKS source],$F885,TblApplications[Action],"À décommissionner",TblApplications[Mois lib (calc)],"&lt;="&amp;$E885)))))</f>
        <v/>
      </c>
      <c r="Y885" s="14" t="str">
        <f aca="false">IF($D885&lt;&gt;1,"",IF($G885="ROKS",$S885,IF($AI885=1,0,MAX($O885,$M885-SUMIFS(TblApplications[RAM IKS libérable (Go)],TblApplications[Cluster IKS source],$F885,TblApplications[Action],"À migrer",TblApplications[Mois prov (calc)],"&lt;="&amp;$E885)-SUMIFS(TblApplications[RAM IKS libérable (Go)],TblApplications[Cluster IKS source],$F885,TblApplications[Action],"À décommissionner",TblApplications[Mois lib (calc)],"&lt;="&amp;$E885)))))</f>
        <v/>
      </c>
      <c r="Z885" s="14" t="str">
        <f aca="false">IF($D885&lt;&gt;1,"",IF($AI885=1,0,MAX($J885,ROUNDUP(MAX($X885/$H885,$Y885/$I885),0))))</f>
        <v/>
      </c>
      <c r="AA885" s="84" t="str">
        <f aca="false">IF($D885&lt;&gt;1,"",IF(p_mode="Nœud",$Z885*$K885,$X885*IF($G885="IKS",p_iks_cpu,p_roks_cpu)+$Y885*IF($G885="IKS",p_iks_ram,p_roks_ram))*p_facteur)</f>
        <v/>
      </c>
      <c r="AB885" s="14" t="str">
        <f aca="false">IF($D885&lt;&gt;1,"",MAX($J885,ROUNDUP(MAX($L885/$H885,$M885/$I885),0)))</f>
        <v/>
      </c>
      <c r="AC885" s="84" t="str">
        <f aca="false">IF($D885&lt;&gt;1,"",IF(p_mode="Nœud",$AB885*$K885,$L885*IF($G885="IKS",p_iks_cpu,p_roks_cpu)+$M885*IF($G885="IKS",p_iks_ram,p_roks_ram))*p_facteur)</f>
        <v/>
      </c>
      <c r="AD885" s="14" t="str">
        <f aca="false">IF($D885&lt;&gt;1,"",IF(AND($G885="IKS",$AI885&lt;&gt;1,OR($L885-$P885&lt;$N885,$M885-$Q885&lt;$O885)),1,0))</f>
        <v/>
      </c>
      <c r="AE885" s="14" t="str">
        <f aca="false">IF($D885&lt;&gt;1,"",IF(AND($G885="ROKS",$T885&gt;p_maxworkers),1,0))</f>
        <v/>
      </c>
      <c r="AF885" s="14" t="str">
        <f aca="false">IF($D885&lt;&gt;1,"",IF(INDEX(TblClusters[Environnement],$B885)="","(vide)",INDEX(TblClusters[Environnement],$B885)))</f>
        <v/>
      </c>
      <c r="AG885" s="14" t="str">
        <f aca="false">IF($D885&lt;&gt;1,"",$R885+p_poidsram*$S885)</f>
        <v/>
      </c>
      <c r="AH885" s="14" t="str">
        <f aca="false">IF($D885&lt;&gt;1,"",IFERROR($W885/$AG885,0))</f>
        <v/>
      </c>
      <c r="AI885" s="14" t="str">
        <f aca="false">IF($D885&lt;&gt;1,"",IF(AND($G885="IKS",ISNUMBER(INDEX(TblClusters[Fermeture retenue],$B885))),IF($E885&gt;=INDEX(TblClusters[Fermeture retenue],$B885),1,0),0))</f>
        <v/>
      </c>
    </row>
    <row r="886" customFormat="false" ht="15" hidden="false" customHeight="false" outlineLevel="0" collapsed="false">
      <c r="A886" s="14" t="n">
        <v>881</v>
      </c>
      <c r="B886" s="14" t="n">
        <f aca="false">INT(($A886-1)/36)+1</f>
        <v>25</v>
      </c>
      <c r="C886" s="14" t="n">
        <f aca="false">MOD($A886-1,36)+1</f>
        <v>17</v>
      </c>
      <c r="D886" s="14" t="n">
        <f aca="false">IF($C886&gt;p_horizon,0,IFERROR(IF(AND(INDEX(TblClusters[Cluster],$B886)&lt;&gt;"",ISNUMBER(INDEX(TblClusters[CPU initial (vCPU)],$B886)),ISNUMBER(INDEX(TblClusters[CPU min (vCPU)],$B886)),OR(INDEX(TblClusters[Plateforme],$B886)="IKS",INDEX(TblClusters[Plateforme],$B886)="ROKS")),1,0),0))</f>
        <v>0</v>
      </c>
      <c r="E886" s="83" t="str">
        <f aca="false">IF($D886=1,EDATE(p_debut,$C886-1),"")</f>
        <v/>
      </c>
      <c r="F886" s="14" t="str">
        <f aca="false">IF($D886=1,INDEX(TblClusters[Cluster],$B886),"")</f>
        <v/>
      </c>
      <c r="G886" s="14" t="str">
        <f aca="false">IF($D886=1,INDEX(TblClusters[Plateforme],$B886),"")</f>
        <v/>
      </c>
      <c r="H886" s="14" t="str">
        <f aca="false">IF($D886=1,INDEX(TblClusters[vCPU par nœud],$B886),"")</f>
        <v/>
      </c>
      <c r="I886" s="14" t="str">
        <f aca="false">IF($D886=1,INDEX(TblClusters[RAM par nœud (Go)],$B886),"")</f>
        <v/>
      </c>
      <c r="J886" s="14" t="str">
        <f aca="false">IF($D886=1,INDEX(TblClusters[Workers min],$B886),"")</f>
        <v/>
      </c>
      <c r="K886" s="84" t="str">
        <f aca="false">IF($D886=1,INDEX(TblClusters[Tarif par nœud],$B886),"")</f>
        <v/>
      </c>
      <c r="L886" s="14" t="str">
        <f aca="false">IF($D886=1,INDEX(TblClusters[CPU initial (vCPU)],$B886),"")</f>
        <v/>
      </c>
      <c r="M886" s="14" t="str">
        <f aca="false">IF($D886=1,INDEX(TblClusters[RAM initiale (Go)],$B886),"")</f>
        <v/>
      </c>
      <c r="N886" s="14" t="str">
        <f aca="false">IF($D886=1,INDEX(TblClusters[CPU min (vCPU)],$B886),"")</f>
        <v/>
      </c>
      <c r="O886" s="14" t="str">
        <f aca="false">IF($D886=1,INDEX(TblClusters[RAM min (Go)],$B886),"")</f>
        <v/>
      </c>
      <c r="P886" s="14" t="str">
        <f aca="false">IF($D886&lt;&gt;1,"",IF($G886="ROKS",SUMIFS(TblApplications[Besoin ROKS CPU (vCPU)],TblApplications[Cluster ROKS cible],$F886,TblApplications[Action],"À migrer",TblApplications[Déjà incluse ROKS],"Non",TblApplications[Mois prov (calc)],"&lt;="&amp;$E886),SUMIFS(TblApplications[CPU IKS libérable (vCPU)],TblApplications[Cluster IKS source],$F886,TblApplications[Mois lib (calc)],"&lt;="&amp;$E886)))</f>
        <v/>
      </c>
      <c r="Q886" s="14" t="str">
        <f aca="false">IF($D886&lt;&gt;1,"",IF($G886="ROKS",SUMIFS(TblApplications[Besoin ROKS RAM (Go)],TblApplications[Cluster ROKS cible],$F886,TblApplications[Action],"À migrer",TblApplications[Déjà incluse ROKS],"Non",TblApplications[Mois prov (calc)],"&lt;="&amp;$E886),SUMIFS(TblApplications[RAM IKS libérable (Go)],TblApplications[Cluster IKS source],$F886,TblApplications[Mois lib (calc)],"&lt;="&amp;$E886)))</f>
        <v/>
      </c>
      <c r="R886" s="14" t="str">
        <f aca="false">IF($D886&lt;&gt;1,"",IF($G886="ROKS",$L886+$P886,IF($AI886=1,0,MAX($N886,$L886-$P886))))</f>
        <v/>
      </c>
      <c r="S886" s="14" t="str">
        <f aca="false">IF($D886&lt;&gt;1,"",IF($G886="ROKS",$M886+$Q886,IF($AI886=1,0,MAX($O886,$M886-$Q886))))</f>
        <v/>
      </c>
      <c r="T886" s="14" t="str">
        <f aca="false">IF($D886&lt;&gt;1,"",IF($AI886=1,0,MAX($J886,ROUNDUP(MAX($R886/$H886,$S886/$I886),0))))</f>
        <v/>
      </c>
      <c r="U886" s="14" t="str">
        <f aca="false">IF($D886&lt;&gt;1,"",IF(p_mode="Nœud",$T886*$H886,$R886))</f>
        <v/>
      </c>
      <c r="V886" s="14" t="str">
        <f aca="false">IF($D886&lt;&gt;1,"",IF(p_mode="Nœud",$T886*$I886,$S886))</f>
        <v/>
      </c>
      <c r="W886" s="84" t="str">
        <f aca="false">IF($D886&lt;&gt;1,"",IF(p_mode="Nœud",$T886*$K886,$R886*IF($G886="IKS",p_iks_cpu,p_roks_cpu)+$S886*IF($G886="IKS",p_iks_ram,p_roks_ram))*p_facteur)</f>
        <v/>
      </c>
      <c r="X886" s="14" t="str">
        <f aca="false">IF($D886&lt;&gt;1,"",IF($G886="ROKS",$R886,IF($AI886=1,0,MAX($N886,$L886-SUMIFS(TblApplications[CPU IKS libérable (vCPU)],TblApplications[Cluster IKS source],$F886,TblApplications[Action],"À migrer",TblApplications[Mois prov (calc)],"&lt;="&amp;$E886)-SUMIFS(TblApplications[CPU IKS libérable (vCPU)],TblApplications[Cluster IKS source],$F886,TblApplications[Action],"À décommissionner",TblApplications[Mois lib (calc)],"&lt;="&amp;$E886)))))</f>
        <v/>
      </c>
      <c r="Y886" s="14" t="str">
        <f aca="false">IF($D886&lt;&gt;1,"",IF($G886="ROKS",$S886,IF($AI886=1,0,MAX($O886,$M886-SUMIFS(TblApplications[RAM IKS libérable (Go)],TblApplications[Cluster IKS source],$F886,TblApplications[Action],"À migrer",TblApplications[Mois prov (calc)],"&lt;="&amp;$E886)-SUMIFS(TblApplications[RAM IKS libérable (Go)],TblApplications[Cluster IKS source],$F886,TblApplications[Action],"À décommissionner",TblApplications[Mois lib (calc)],"&lt;="&amp;$E886)))))</f>
        <v/>
      </c>
      <c r="Z886" s="14" t="str">
        <f aca="false">IF($D886&lt;&gt;1,"",IF($AI886=1,0,MAX($J886,ROUNDUP(MAX($X886/$H886,$Y886/$I886),0))))</f>
        <v/>
      </c>
      <c r="AA886" s="84" t="str">
        <f aca="false">IF($D886&lt;&gt;1,"",IF(p_mode="Nœud",$Z886*$K886,$X886*IF($G886="IKS",p_iks_cpu,p_roks_cpu)+$Y886*IF($G886="IKS",p_iks_ram,p_roks_ram))*p_facteur)</f>
        <v/>
      </c>
      <c r="AB886" s="14" t="str">
        <f aca="false">IF($D886&lt;&gt;1,"",MAX($J886,ROUNDUP(MAX($L886/$H886,$M886/$I886),0)))</f>
        <v/>
      </c>
      <c r="AC886" s="84" t="str">
        <f aca="false">IF($D886&lt;&gt;1,"",IF(p_mode="Nœud",$AB886*$K886,$L886*IF($G886="IKS",p_iks_cpu,p_roks_cpu)+$M886*IF($G886="IKS",p_iks_ram,p_roks_ram))*p_facteur)</f>
        <v/>
      </c>
      <c r="AD886" s="14" t="str">
        <f aca="false">IF($D886&lt;&gt;1,"",IF(AND($G886="IKS",$AI886&lt;&gt;1,OR($L886-$P886&lt;$N886,$M886-$Q886&lt;$O886)),1,0))</f>
        <v/>
      </c>
      <c r="AE886" s="14" t="str">
        <f aca="false">IF($D886&lt;&gt;1,"",IF(AND($G886="ROKS",$T886&gt;p_maxworkers),1,0))</f>
        <v/>
      </c>
      <c r="AF886" s="14" t="str">
        <f aca="false">IF($D886&lt;&gt;1,"",IF(INDEX(TblClusters[Environnement],$B886)="","(vide)",INDEX(TblClusters[Environnement],$B886)))</f>
        <v/>
      </c>
      <c r="AG886" s="14" t="str">
        <f aca="false">IF($D886&lt;&gt;1,"",$R886+p_poidsram*$S886)</f>
        <v/>
      </c>
      <c r="AH886" s="14" t="str">
        <f aca="false">IF($D886&lt;&gt;1,"",IFERROR($W886/$AG886,0))</f>
        <v/>
      </c>
      <c r="AI886" s="14" t="str">
        <f aca="false">IF($D886&lt;&gt;1,"",IF(AND($G886="IKS",ISNUMBER(INDEX(TblClusters[Fermeture retenue],$B886))),IF($E886&gt;=INDEX(TblClusters[Fermeture retenue],$B886),1,0),0))</f>
        <v/>
      </c>
    </row>
    <row r="887" customFormat="false" ht="15" hidden="false" customHeight="false" outlineLevel="0" collapsed="false">
      <c r="A887" s="14" t="n">
        <v>882</v>
      </c>
      <c r="B887" s="14" t="n">
        <f aca="false">INT(($A887-1)/36)+1</f>
        <v>25</v>
      </c>
      <c r="C887" s="14" t="n">
        <f aca="false">MOD($A887-1,36)+1</f>
        <v>18</v>
      </c>
      <c r="D887" s="14" t="n">
        <f aca="false">IF($C887&gt;p_horizon,0,IFERROR(IF(AND(INDEX(TblClusters[Cluster],$B887)&lt;&gt;"",ISNUMBER(INDEX(TblClusters[CPU initial (vCPU)],$B887)),ISNUMBER(INDEX(TblClusters[CPU min (vCPU)],$B887)),OR(INDEX(TblClusters[Plateforme],$B887)="IKS",INDEX(TblClusters[Plateforme],$B887)="ROKS")),1,0),0))</f>
        <v>0</v>
      </c>
      <c r="E887" s="83" t="str">
        <f aca="false">IF($D887=1,EDATE(p_debut,$C887-1),"")</f>
        <v/>
      </c>
      <c r="F887" s="14" t="str">
        <f aca="false">IF($D887=1,INDEX(TblClusters[Cluster],$B887),"")</f>
        <v/>
      </c>
      <c r="G887" s="14" t="str">
        <f aca="false">IF($D887=1,INDEX(TblClusters[Plateforme],$B887),"")</f>
        <v/>
      </c>
      <c r="H887" s="14" t="str">
        <f aca="false">IF($D887=1,INDEX(TblClusters[vCPU par nœud],$B887),"")</f>
        <v/>
      </c>
      <c r="I887" s="14" t="str">
        <f aca="false">IF($D887=1,INDEX(TblClusters[RAM par nœud (Go)],$B887),"")</f>
        <v/>
      </c>
      <c r="J887" s="14" t="str">
        <f aca="false">IF($D887=1,INDEX(TblClusters[Workers min],$B887),"")</f>
        <v/>
      </c>
      <c r="K887" s="84" t="str">
        <f aca="false">IF($D887=1,INDEX(TblClusters[Tarif par nœud],$B887),"")</f>
        <v/>
      </c>
      <c r="L887" s="14" t="str">
        <f aca="false">IF($D887=1,INDEX(TblClusters[CPU initial (vCPU)],$B887),"")</f>
        <v/>
      </c>
      <c r="M887" s="14" t="str">
        <f aca="false">IF($D887=1,INDEX(TblClusters[RAM initiale (Go)],$B887),"")</f>
        <v/>
      </c>
      <c r="N887" s="14" t="str">
        <f aca="false">IF($D887=1,INDEX(TblClusters[CPU min (vCPU)],$B887),"")</f>
        <v/>
      </c>
      <c r="O887" s="14" t="str">
        <f aca="false">IF($D887=1,INDEX(TblClusters[RAM min (Go)],$B887),"")</f>
        <v/>
      </c>
      <c r="P887" s="14" t="str">
        <f aca="false">IF($D887&lt;&gt;1,"",IF($G887="ROKS",SUMIFS(TblApplications[Besoin ROKS CPU (vCPU)],TblApplications[Cluster ROKS cible],$F887,TblApplications[Action],"À migrer",TblApplications[Déjà incluse ROKS],"Non",TblApplications[Mois prov (calc)],"&lt;="&amp;$E887),SUMIFS(TblApplications[CPU IKS libérable (vCPU)],TblApplications[Cluster IKS source],$F887,TblApplications[Mois lib (calc)],"&lt;="&amp;$E887)))</f>
        <v/>
      </c>
      <c r="Q887" s="14" t="str">
        <f aca="false">IF($D887&lt;&gt;1,"",IF($G887="ROKS",SUMIFS(TblApplications[Besoin ROKS RAM (Go)],TblApplications[Cluster ROKS cible],$F887,TblApplications[Action],"À migrer",TblApplications[Déjà incluse ROKS],"Non",TblApplications[Mois prov (calc)],"&lt;="&amp;$E887),SUMIFS(TblApplications[RAM IKS libérable (Go)],TblApplications[Cluster IKS source],$F887,TblApplications[Mois lib (calc)],"&lt;="&amp;$E887)))</f>
        <v/>
      </c>
      <c r="R887" s="14" t="str">
        <f aca="false">IF($D887&lt;&gt;1,"",IF($G887="ROKS",$L887+$P887,IF($AI887=1,0,MAX($N887,$L887-$P887))))</f>
        <v/>
      </c>
      <c r="S887" s="14" t="str">
        <f aca="false">IF($D887&lt;&gt;1,"",IF($G887="ROKS",$M887+$Q887,IF($AI887=1,0,MAX($O887,$M887-$Q887))))</f>
        <v/>
      </c>
      <c r="T887" s="14" t="str">
        <f aca="false">IF($D887&lt;&gt;1,"",IF($AI887=1,0,MAX($J887,ROUNDUP(MAX($R887/$H887,$S887/$I887),0))))</f>
        <v/>
      </c>
      <c r="U887" s="14" t="str">
        <f aca="false">IF($D887&lt;&gt;1,"",IF(p_mode="Nœud",$T887*$H887,$R887))</f>
        <v/>
      </c>
      <c r="V887" s="14" t="str">
        <f aca="false">IF($D887&lt;&gt;1,"",IF(p_mode="Nœud",$T887*$I887,$S887))</f>
        <v/>
      </c>
      <c r="W887" s="84" t="str">
        <f aca="false">IF($D887&lt;&gt;1,"",IF(p_mode="Nœud",$T887*$K887,$R887*IF($G887="IKS",p_iks_cpu,p_roks_cpu)+$S887*IF($G887="IKS",p_iks_ram,p_roks_ram))*p_facteur)</f>
        <v/>
      </c>
      <c r="X887" s="14" t="str">
        <f aca="false">IF($D887&lt;&gt;1,"",IF($G887="ROKS",$R887,IF($AI887=1,0,MAX($N887,$L887-SUMIFS(TblApplications[CPU IKS libérable (vCPU)],TblApplications[Cluster IKS source],$F887,TblApplications[Action],"À migrer",TblApplications[Mois prov (calc)],"&lt;="&amp;$E887)-SUMIFS(TblApplications[CPU IKS libérable (vCPU)],TblApplications[Cluster IKS source],$F887,TblApplications[Action],"À décommissionner",TblApplications[Mois lib (calc)],"&lt;="&amp;$E887)))))</f>
        <v/>
      </c>
      <c r="Y887" s="14" t="str">
        <f aca="false">IF($D887&lt;&gt;1,"",IF($G887="ROKS",$S887,IF($AI887=1,0,MAX($O887,$M887-SUMIFS(TblApplications[RAM IKS libérable (Go)],TblApplications[Cluster IKS source],$F887,TblApplications[Action],"À migrer",TblApplications[Mois prov (calc)],"&lt;="&amp;$E887)-SUMIFS(TblApplications[RAM IKS libérable (Go)],TblApplications[Cluster IKS source],$F887,TblApplications[Action],"À décommissionner",TblApplications[Mois lib (calc)],"&lt;="&amp;$E887)))))</f>
        <v/>
      </c>
      <c r="Z887" s="14" t="str">
        <f aca="false">IF($D887&lt;&gt;1,"",IF($AI887=1,0,MAX($J887,ROUNDUP(MAX($X887/$H887,$Y887/$I887),0))))</f>
        <v/>
      </c>
      <c r="AA887" s="84" t="str">
        <f aca="false">IF($D887&lt;&gt;1,"",IF(p_mode="Nœud",$Z887*$K887,$X887*IF($G887="IKS",p_iks_cpu,p_roks_cpu)+$Y887*IF($G887="IKS",p_iks_ram,p_roks_ram))*p_facteur)</f>
        <v/>
      </c>
      <c r="AB887" s="14" t="str">
        <f aca="false">IF($D887&lt;&gt;1,"",MAX($J887,ROUNDUP(MAX($L887/$H887,$M887/$I887),0)))</f>
        <v/>
      </c>
      <c r="AC887" s="84" t="str">
        <f aca="false">IF($D887&lt;&gt;1,"",IF(p_mode="Nœud",$AB887*$K887,$L887*IF($G887="IKS",p_iks_cpu,p_roks_cpu)+$M887*IF($G887="IKS",p_iks_ram,p_roks_ram))*p_facteur)</f>
        <v/>
      </c>
      <c r="AD887" s="14" t="str">
        <f aca="false">IF($D887&lt;&gt;1,"",IF(AND($G887="IKS",$AI887&lt;&gt;1,OR($L887-$P887&lt;$N887,$M887-$Q887&lt;$O887)),1,0))</f>
        <v/>
      </c>
      <c r="AE887" s="14" t="str">
        <f aca="false">IF($D887&lt;&gt;1,"",IF(AND($G887="ROKS",$T887&gt;p_maxworkers),1,0))</f>
        <v/>
      </c>
      <c r="AF887" s="14" t="str">
        <f aca="false">IF($D887&lt;&gt;1,"",IF(INDEX(TblClusters[Environnement],$B887)="","(vide)",INDEX(TblClusters[Environnement],$B887)))</f>
        <v/>
      </c>
      <c r="AG887" s="14" t="str">
        <f aca="false">IF($D887&lt;&gt;1,"",$R887+p_poidsram*$S887)</f>
        <v/>
      </c>
      <c r="AH887" s="14" t="str">
        <f aca="false">IF($D887&lt;&gt;1,"",IFERROR($W887/$AG887,0))</f>
        <v/>
      </c>
      <c r="AI887" s="14" t="str">
        <f aca="false">IF($D887&lt;&gt;1,"",IF(AND($G887="IKS",ISNUMBER(INDEX(TblClusters[Fermeture retenue],$B887))),IF($E887&gt;=INDEX(TblClusters[Fermeture retenue],$B887),1,0),0))</f>
        <v/>
      </c>
    </row>
    <row r="888" customFormat="false" ht="15" hidden="false" customHeight="false" outlineLevel="0" collapsed="false">
      <c r="A888" s="14" t="n">
        <v>883</v>
      </c>
      <c r="B888" s="14" t="n">
        <f aca="false">INT(($A888-1)/36)+1</f>
        <v>25</v>
      </c>
      <c r="C888" s="14" t="n">
        <f aca="false">MOD($A888-1,36)+1</f>
        <v>19</v>
      </c>
      <c r="D888" s="14" t="n">
        <f aca="false">IF($C888&gt;p_horizon,0,IFERROR(IF(AND(INDEX(TblClusters[Cluster],$B888)&lt;&gt;"",ISNUMBER(INDEX(TblClusters[CPU initial (vCPU)],$B888)),ISNUMBER(INDEX(TblClusters[CPU min (vCPU)],$B888)),OR(INDEX(TblClusters[Plateforme],$B888)="IKS",INDEX(TblClusters[Plateforme],$B888)="ROKS")),1,0),0))</f>
        <v>0</v>
      </c>
      <c r="E888" s="83" t="str">
        <f aca="false">IF($D888=1,EDATE(p_debut,$C888-1),"")</f>
        <v/>
      </c>
      <c r="F888" s="14" t="str">
        <f aca="false">IF($D888=1,INDEX(TblClusters[Cluster],$B888),"")</f>
        <v/>
      </c>
      <c r="G888" s="14" t="str">
        <f aca="false">IF($D888=1,INDEX(TblClusters[Plateforme],$B888),"")</f>
        <v/>
      </c>
      <c r="H888" s="14" t="str">
        <f aca="false">IF($D888=1,INDEX(TblClusters[vCPU par nœud],$B888),"")</f>
        <v/>
      </c>
      <c r="I888" s="14" t="str">
        <f aca="false">IF($D888=1,INDEX(TblClusters[RAM par nœud (Go)],$B888),"")</f>
        <v/>
      </c>
      <c r="J888" s="14" t="str">
        <f aca="false">IF($D888=1,INDEX(TblClusters[Workers min],$B888),"")</f>
        <v/>
      </c>
      <c r="K888" s="84" t="str">
        <f aca="false">IF($D888=1,INDEX(TblClusters[Tarif par nœud],$B888),"")</f>
        <v/>
      </c>
      <c r="L888" s="14" t="str">
        <f aca="false">IF($D888=1,INDEX(TblClusters[CPU initial (vCPU)],$B888),"")</f>
        <v/>
      </c>
      <c r="M888" s="14" t="str">
        <f aca="false">IF($D888=1,INDEX(TblClusters[RAM initiale (Go)],$B888),"")</f>
        <v/>
      </c>
      <c r="N888" s="14" t="str">
        <f aca="false">IF($D888=1,INDEX(TblClusters[CPU min (vCPU)],$B888),"")</f>
        <v/>
      </c>
      <c r="O888" s="14" t="str">
        <f aca="false">IF($D888=1,INDEX(TblClusters[RAM min (Go)],$B888),"")</f>
        <v/>
      </c>
      <c r="P888" s="14" t="str">
        <f aca="false">IF($D888&lt;&gt;1,"",IF($G888="ROKS",SUMIFS(TblApplications[Besoin ROKS CPU (vCPU)],TblApplications[Cluster ROKS cible],$F888,TblApplications[Action],"À migrer",TblApplications[Déjà incluse ROKS],"Non",TblApplications[Mois prov (calc)],"&lt;="&amp;$E888),SUMIFS(TblApplications[CPU IKS libérable (vCPU)],TblApplications[Cluster IKS source],$F888,TblApplications[Mois lib (calc)],"&lt;="&amp;$E888)))</f>
        <v/>
      </c>
      <c r="Q888" s="14" t="str">
        <f aca="false">IF($D888&lt;&gt;1,"",IF($G888="ROKS",SUMIFS(TblApplications[Besoin ROKS RAM (Go)],TblApplications[Cluster ROKS cible],$F888,TblApplications[Action],"À migrer",TblApplications[Déjà incluse ROKS],"Non",TblApplications[Mois prov (calc)],"&lt;="&amp;$E888),SUMIFS(TblApplications[RAM IKS libérable (Go)],TblApplications[Cluster IKS source],$F888,TblApplications[Mois lib (calc)],"&lt;="&amp;$E888)))</f>
        <v/>
      </c>
      <c r="R888" s="14" t="str">
        <f aca="false">IF($D888&lt;&gt;1,"",IF($G888="ROKS",$L888+$P888,IF($AI888=1,0,MAX($N888,$L888-$P888))))</f>
        <v/>
      </c>
      <c r="S888" s="14" t="str">
        <f aca="false">IF($D888&lt;&gt;1,"",IF($G888="ROKS",$M888+$Q888,IF($AI888=1,0,MAX($O888,$M888-$Q888))))</f>
        <v/>
      </c>
      <c r="T888" s="14" t="str">
        <f aca="false">IF($D888&lt;&gt;1,"",IF($AI888=1,0,MAX($J888,ROUNDUP(MAX($R888/$H888,$S888/$I888),0))))</f>
        <v/>
      </c>
      <c r="U888" s="14" t="str">
        <f aca="false">IF($D888&lt;&gt;1,"",IF(p_mode="Nœud",$T888*$H888,$R888))</f>
        <v/>
      </c>
      <c r="V888" s="14" t="str">
        <f aca="false">IF($D888&lt;&gt;1,"",IF(p_mode="Nœud",$T888*$I888,$S888))</f>
        <v/>
      </c>
      <c r="W888" s="84" t="str">
        <f aca="false">IF($D888&lt;&gt;1,"",IF(p_mode="Nœud",$T888*$K888,$R888*IF($G888="IKS",p_iks_cpu,p_roks_cpu)+$S888*IF($G888="IKS",p_iks_ram,p_roks_ram))*p_facteur)</f>
        <v/>
      </c>
      <c r="X888" s="14" t="str">
        <f aca="false">IF($D888&lt;&gt;1,"",IF($G888="ROKS",$R888,IF($AI888=1,0,MAX($N888,$L888-SUMIFS(TblApplications[CPU IKS libérable (vCPU)],TblApplications[Cluster IKS source],$F888,TblApplications[Action],"À migrer",TblApplications[Mois prov (calc)],"&lt;="&amp;$E888)-SUMIFS(TblApplications[CPU IKS libérable (vCPU)],TblApplications[Cluster IKS source],$F888,TblApplications[Action],"À décommissionner",TblApplications[Mois lib (calc)],"&lt;="&amp;$E888)))))</f>
        <v/>
      </c>
      <c r="Y888" s="14" t="str">
        <f aca="false">IF($D888&lt;&gt;1,"",IF($G888="ROKS",$S888,IF($AI888=1,0,MAX($O888,$M888-SUMIFS(TblApplications[RAM IKS libérable (Go)],TblApplications[Cluster IKS source],$F888,TblApplications[Action],"À migrer",TblApplications[Mois prov (calc)],"&lt;="&amp;$E888)-SUMIFS(TblApplications[RAM IKS libérable (Go)],TblApplications[Cluster IKS source],$F888,TblApplications[Action],"À décommissionner",TblApplications[Mois lib (calc)],"&lt;="&amp;$E888)))))</f>
        <v/>
      </c>
      <c r="Z888" s="14" t="str">
        <f aca="false">IF($D888&lt;&gt;1,"",IF($AI888=1,0,MAX($J888,ROUNDUP(MAX($X888/$H888,$Y888/$I888),0))))</f>
        <v/>
      </c>
      <c r="AA888" s="84" t="str">
        <f aca="false">IF($D888&lt;&gt;1,"",IF(p_mode="Nœud",$Z888*$K888,$X888*IF($G888="IKS",p_iks_cpu,p_roks_cpu)+$Y888*IF($G888="IKS",p_iks_ram,p_roks_ram))*p_facteur)</f>
        <v/>
      </c>
      <c r="AB888" s="14" t="str">
        <f aca="false">IF($D888&lt;&gt;1,"",MAX($J888,ROUNDUP(MAX($L888/$H888,$M888/$I888),0)))</f>
        <v/>
      </c>
      <c r="AC888" s="84" t="str">
        <f aca="false">IF($D888&lt;&gt;1,"",IF(p_mode="Nœud",$AB888*$K888,$L888*IF($G888="IKS",p_iks_cpu,p_roks_cpu)+$M888*IF($G888="IKS",p_iks_ram,p_roks_ram))*p_facteur)</f>
        <v/>
      </c>
      <c r="AD888" s="14" t="str">
        <f aca="false">IF($D888&lt;&gt;1,"",IF(AND($G888="IKS",$AI888&lt;&gt;1,OR($L888-$P888&lt;$N888,$M888-$Q888&lt;$O888)),1,0))</f>
        <v/>
      </c>
      <c r="AE888" s="14" t="str">
        <f aca="false">IF($D888&lt;&gt;1,"",IF(AND($G888="ROKS",$T888&gt;p_maxworkers),1,0))</f>
        <v/>
      </c>
      <c r="AF888" s="14" t="str">
        <f aca="false">IF($D888&lt;&gt;1,"",IF(INDEX(TblClusters[Environnement],$B888)="","(vide)",INDEX(TblClusters[Environnement],$B888)))</f>
        <v/>
      </c>
      <c r="AG888" s="14" t="str">
        <f aca="false">IF($D888&lt;&gt;1,"",$R888+p_poidsram*$S888)</f>
        <v/>
      </c>
      <c r="AH888" s="14" t="str">
        <f aca="false">IF($D888&lt;&gt;1,"",IFERROR($W888/$AG888,0))</f>
        <v/>
      </c>
      <c r="AI888" s="14" t="str">
        <f aca="false">IF($D888&lt;&gt;1,"",IF(AND($G888="IKS",ISNUMBER(INDEX(TblClusters[Fermeture retenue],$B888))),IF($E888&gt;=INDEX(TblClusters[Fermeture retenue],$B888),1,0),0))</f>
        <v/>
      </c>
    </row>
    <row r="889" customFormat="false" ht="15" hidden="false" customHeight="false" outlineLevel="0" collapsed="false">
      <c r="A889" s="14" t="n">
        <v>884</v>
      </c>
      <c r="B889" s="14" t="n">
        <f aca="false">INT(($A889-1)/36)+1</f>
        <v>25</v>
      </c>
      <c r="C889" s="14" t="n">
        <f aca="false">MOD($A889-1,36)+1</f>
        <v>20</v>
      </c>
      <c r="D889" s="14" t="n">
        <f aca="false">IF($C889&gt;p_horizon,0,IFERROR(IF(AND(INDEX(TblClusters[Cluster],$B889)&lt;&gt;"",ISNUMBER(INDEX(TblClusters[CPU initial (vCPU)],$B889)),ISNUMBER(INDEX(TblClusters[CPU min (vCPU)],$B889)),OR(INDEX(TblClusters[Plateforme],$B889)="IKS",INDEX(TblClusters[Plateforme],$B889)="ROKS")),1,0),0))</f>
        <v>0</v>
      </c>
      <c r="E889" s="83" t="str">
        <f aca="false">IF($D889=1,EDATE(p_debut,$C889-1),"")</f>
        <v/>
      </c>
      <c r="F889" s="14" t="str">
        <f aca="false">IF($D889=1,INDEX(TblClusters[Cluster],$B889),"")</f>
        <v/>
      </c>
      <c r="G889" s="14" t="str">
        <f aca="false">IF($D889=1,INDEX(TblClusters[Plateforme],$B889),"")</f>
        <v/>
      </c>
      <c r="H889" s="14" t="str">
        <f aca="false">IF($D889=1,INDEX(TblClusters[vCPU par nœud],$B889),"")</f>
        <v/>
      </c>
      <c r="I889" s="14" t="str">
        <f aca="false">IF($D889=1,INDEX(TblClusters[RAM par nœud (Go)],$B889),"")</f>
        <v/>
      </c>
      <c r="J889" s="14" t="str">
        <f aca="false">IF($D889=1,INDEX(TblClusters[Workers min],$B889),"")</f>
        <v/>
      </c>
      <c r="K889" s="84" t="str">
        <f aca="false">IF($D889=1,INDEX(TblClusters[Tarif par nœud],$B889),"")</f>
        <v/>
      </c>
      <c r="L889" s="14" t="str">
        <f aca="false">IF($D889=1,INDEX(TblClusters[CPU initial (vCPU)],$B889),"")</f>
        <v/>
      </c>
      <c r="M889" s="14" t="str">
        <f aca="false">IF($D889=1,INDEX(TblClusters[RAM initiale (Go)],$B889),"")</f>
        <v/>
      </c>
      <c r="N889" s="14" t="str">
        <f aca="false">IF($D889=1,INDEX(TblClusters[CPU min (vCPU)],$B889),"")</f>
        <v/>
      </c>
      <c r="O889" s="14" t="str">
        <f aca="false">IF($D889=1,INDEX(TblClusters[RAM min (Go)],$B889),"")</f>
        <v/>
      </c>
      <c r="P889" s="14" t="str">
        <f aca="false">IF($D889&lt;&gt;1,"",IF($G889="ROKS",SUMIFS(TblApplications[Besoin ROKS CPU (vCPU)],TblApplications[Cluster ROKS cible],$F889,TblApplications[Action],"À migrer",TblApplications[Déjà incluse ROKS],"Non",TblApplications[Mois prov (calc)],"&lt;="&amp;$E889),SUMIFS(TblApplications[CPU IKS libérable (vCPU)],TblApplications[Cluster IKS source],$F889,TblApplications[Mois lib (calc)],"&lt;="&amp;$E889)))</f>
        <v/>
      </c>
      <c r="Q889" s="14" t="str">
        <f aca="false">IF($D889&lt;&gt;1,"",IF($G889="ROKS",SUMIFS(TblApplications[Besoin ROKS RAM (Go)],TblApplications[Cluster ROKS cible],$F889,TblApplications[Action],"À migrer",TblApplications[Déjà incluse ROKS],"Non",TblApplications[Mois prov (calc)],"&lt;="&amp;$E889),SUMIFS(TblApplications[RAM IKS libérable (Go)],TblApplications[Cluster IKS source],$F889,TblApplications[Mois lib (calc)],"&lt;="&amp;$E889)))</f>
        <v/>
      </c>
      <c r="R889" s="14" t="str">
        <f aca="false">IF($D889&lt;&gt;1,"",IF($G889="ROKS",$L889+$P889,IF($AI889=1,0,MAX($N889,$L889-$P889))))</f>
        <v/>
      </c>
      <c r="S889" s="14" t="str">
        <f aca="false">IF($D889&lt;&gt;1,"",IF($G889="ROKS",$M889+$Q889,IF($AI889=1,0,MAX($O889,$M889-$Q889))))</f>
        <v/>
      </c>
      <c r="T889" s="14" t="str">
        <f aca="false">IF($D889&lt;&gt;1,"",IF($AI889=1,0,MAX($J889,ROUNDUP(MAX($R889/$H889,$S889/$I889),0))))</f>
        <v/>
      </c>
      <c r="U889" s="14" t="str">
        <f aca="false">IF($D889&lt;&gt;1,"",IF(p_mode="Nœud",$T889*$H889,$R889))</f>
        <v/>
      </c>
      <c r="V889" s="14" t="str">
        <f aca="false">IF($D889&lt;&gt;1,"",IF(p_mode="Nœud",$T889*$I889,$S889))</f>
        <v/>
      </c>
      <c r="W889" s="84" t="str">
        <f aca="false">IF($D889&lt;&gt;1,"",IF(p_mode="Nœud",$T889*$K889,$R889*IF($G889="IKS",p_iks_cpu,p_roks_cpu)+$S889*IF($G889="IKS",p_iks_ram,p_roks_ram))*p_facteur)</f>
        <v/>
      </c>
      <c r="X889" s="14" t="str">
        <f aca="false">IF($D889&lt;&gt;1,"",IF($G889="ROKS",$R889,IF($AI889=1,0,MAX($N889,$L889-SUMIFS(TblApplications[CPU IKS libérable (vCPU)],TblApplications[Cluster IKS source],$F889,TblApplications[Action],"À migrer",TblApplications[Mois prov (calc)],"&lt;="&amp;$E889)-SUMIFS(TblApplications[CPU IKS libérable (vCPU)],TblApplications[Cluster IKS source],$F889,TblApplications[Action],"À décommissionner",TblApplications[Mois lib (calc)],"&lt;="&amp;$E889)))))</f>
        <v/>
      </c>
      <c r="Y889" s="14" t="str">
        <f aca="false">IF($D889&lt;&gt;1,"",IF($G889="ROKS",$S889,IF($AI889=1,0,MAX($O889,$M889-SUMIFS(TblApplications[RAM IKS libérable (Go)],TblApplications[Cluster IKS source],$F889,TblApplications[Action],"À migrer",TblApplications[Mois prov (calc)],"&lt;="&amp;$E889)-SUMIFS(TblApplications[RAM IKS libérable (Go)],TblApplications[Cluster IKS source],$F889,TblApplications[Action],"À décommissionner",TblApplications[Mois lib (calc)],"&lt;="&amp;$E889)))))</f>
        <v/>
      </c>
      <c r="Z889" s="14" t="str">
        <f aca="false">IF($D889&lt;&gt;1,"",IF($AI889=1,0,MAX($J889,ROUNDUP(MAX($X889/$H889,$Y889/$I889),0))))</f>
        <v/>
      </c>
      <c r="AA889" s="84" t="str">
        <f aca="false">IF($D889&lt;&gt;1,"",IF(p_mode="Nœud",$Z889*$K889,$X889*IF($G889="IKS",p_iks_cpu,p_roks_cpu)+$Y889*IF($G889="IKS",p_iks_ram,p_roks_ram))*p_facteur)</f>
        <v/>
      </c>
      <c r="AB889" s="14" t="str">
        <f aca="false">IF($D889&lt;&gt;1,"",MAX($J889,ROUNDUP(MAX($L889/$H889,$M889/$I889),0)))</f>
        <v/>
      </c>
      <c r="AC889" s="84" t="str">
        <f aca="false">IF($D889&lt;&gt;1,"",IF(p_mode="Nœud",$AB889*$K889,$L889*IF($G889="IKS",p_iks_cpu,p_roks_cpu)+$M889*IF($G889="IKS",p_iks_ram,p_roks_ram))*p_facteur)</f>
        <v/>
      </c>
      <c r="AD889" s="14" t="str">
        <f aca="false">IF($D889&lt;&gt;1,"",IF(AND($G889="IKS",$AI889&lt;&gt;1,OR($L889-$P889&lt;$N889,$M889-$Q889&lt;$O889)),1,0))</f>
        <v/>
      </c>
      <c r="AE889" s="14" t="str">
        <f aca="false">IF($D889&lt;&gt;1,"",IF(AND($G889="ROKS",$T889&gt;p_maxworkers),1,0))</f>
        <v/>
      </c>
      <c r="AF889" s="14" t="str">
        <f aca="false">IF($D889&lt;&gt;1,"",IF(INDEX(TblClusters[Environnement],$B889)="","(vide)",INDEX(TblClusters[Environnement],$B889)))</f>
        <v/>
      </c>
      <c r="AG889" s="14" t="str">
        <f aca="false">IF($D889&lt;&gt;1,"",$R889+p_poidsram*$S889)</f>
        <v/>
      </c>
      <c r="AH889" s="14" t="str">
        <f aca="false">IF($D889&lt;&gt;1,"",IFERROR($W889/$AG889,0))</f>
        <v/>
      </c>
      <c r="AI889" s="14" t="str">
        <f aca="false">IF($D889&lt;&gt;1,"",IF(AND($G889="IKS",ISNUMBER(INDEX(TblClusters[Fermeture retenue],$B889))),IF($E889&gt;=INDEX(TblClusters[Fermeture retenue],$B889),1,0),0))</f>
        <v/>
      </c>
    </row>
    <row r="890" customFormat="false" ht="15" hidden="false" customHeight="false" outlineLevel="0" collapsed="false">
      <c r="A890" s="14" t="n">
        <v>885</v>
      </c>
      <c r="B890" s="14" t="n">
        <f aca="false">INT(($A890-1)/36)+1</f>
        <v>25</v>
      </c>
      <c r="C890" s="14" t="n">
        <f aca="false">MOD($A890-1,36)+1</f>
        <v>21</v>
      </c>
      <c r="D890" s="14" t="n">
        <f aca="false">IF($C890&gt;p_horizon,0,IFERROR(IF(AND(INDEX(TblClusters[Cluster],$B890)&lt;&gt;"",ISNUMBER(INDEX(TblClusters[CPU initial (vCPU)],$B890)),ISNUMBER(INDEX(TblClusters[CPU min (vCPU)],$B890)),OR(INDEX(TblClusters[Plateforme],$B890)="IKS",INDEX(TblClusters[Plateforme],$B890)="ROKS")),1,0),0))</f>
        <v>0</v>
      </c>
      <c r="E890" s="83" t="str">
        <f aca="false">IF($D890=1,EDATE(p_debut,$C890-1),"")</f>
        <v/>
      </c>
      <c r="F890" s="14" t="str">
        <f aca="false">IF($D890=1,INDEX(TblClusters[Cluster],$B890),"")</f>
        <v/>
      </c>
      <c r="G890" s="14" t="str">
        <f aca="false">IF($D890=1,INDEX(TblClusters[Plateforme],$B890),"")</f>
        <v/>
      </c>
      <c r="H890" s="14" t="str">
        <f aca="false">IF($D890=1,INDEX(TblClusters[vCPU par nœud],$B890),"")</f>
        <v/>
      </c>
      <c r="I890" s="14" t="str">
        <f aca="false">IF($D890=1,INDEX(TblClusters[RAM par nœud (Go)],$B890),"")</f>
        <v/>
      </c>
      <c r="J890" s="14" t="str">
        <f aca="false">IF($D890=1,INDEX(TblClusters[Workers min],$B890),"")</f>
        <v/>
      </c>
      <c r="K890" s="84" t="str">
        <f aca="false">IF($D890=1,INDEX(TblClusters[Tarif par nœud],$B890),"")</f>
        <v/>
      </c>
      <c r="L890" s="14" t="str">
        <f aca="false">IF($D890=1,INDEX(TblClusters[CPU initial (vCPU)],$B890),"")</f>
        <v/>
      </c>
      <c r="M890" s="14" t="str">
        <f aca="false">IF($D890=1,INDEX(TblClusters[RAM initiale (Go)],$B890),"")</f>
        <v/>
      </c>
      <c r="N890" s="14" t="str">
        <f aca="false">IF($D890=1,INDEX(TblClusters[CPU min (vCPU)],$B890),"")</f>
        <v/>
      </c>
      <c r="O890" s="14" t="str">
        <f aca="false">IF($D890=1,INDEX(TblClusters[RAM min (Go)],$B890),"")</f>
        <v/>
      </c>
      <c r="P890" s="14" t="str">
        <f aca="false">IF($D890&lt;&gt;1,"",IF($G890="ROKS",SUMIFS(TblApplications[Besoin ROKS CPU (vCPU)],TblApplications[Cluster ROKS cible],$F890,TblApplications[Action],"À migrer",TblApplications[Déjà incluse ROKS],"Non",TblApplications[Mois prov (calc)],"&lt;="&amp;$E890),SUMIFS(TblApplications[CPU IKS libérable (vCPU)],TblApplications[Cluster IKS source],$F890,TblApplications[Mois lib (calc)],"&lt;="&amp;$E890)))</f>
        <v/>
      </c>
      <c r="Q890" s="14" t="str">
        <f aca="false">IF($D890&lt;&gt;1,"",IF($G890="ROKS",SUMIFS(TblApplications[Besoin ROKS RAM (Go)],TblApplications[Cluster ROKS cible],$F890,TblApplications[Action],"À migrer",TblApplications[Déjà incluse ROKS],"Non",TblApplications[Mois prov (calc)],"&lt;="&amp;$E890),SUMIFS(TblApplications[RAM IKS libérable (Go)],TblApplications[Cluster IKS source],$F890,TblApplications[Mois lib (calc)],"&lt;="&amp;$E890)))</f>
        <v/>
      </c>
      <c r="R890" s="14" t="str">
        <f aca="false">IF($D890&lt;&gt;1,"",IF($G890="ROKS",$L890+$P890,IF($AI890=1,0,MAX($N890,$L890-$P890))))</f>
        <v/>
      </c>
      <c r="S890" s="14" t="str">
        <f aca="false">IF($D890&lt;&gt;1,"",IF($G890="ROKS",$M890+$Q890,IF($AI890=1,0,MAX($O890,$M890-$Q890))))</f>
        <v/>
      </c>
      <c r="T890" s="14" t="str">
        <f aca="false">IF($D890&lt;&gt;1,"",IF($AI890=1,0,MAX($J890,ROUNDUP(MAX($R890/$H890,$S890/$I890),0))))</f>
        <v/>
      </c>
      <c r="U890" s="14" t="str">
        <f aca="false">IF($D890&lt;&gt;1,"",IF(p_mode="Nœud",$T890*$H890,$R890))</f>
        <v/>
      </c>
      <c r="V890" s="14" t="str">
        <f aca="false">IF($D890&lt;&gt;1,"",IF(p_mode="Nœud",$T890*$I890,$S890))</f>
        <v/>
      </c>
      <c r="W890" s="84" t="str">
        <f aca="false">IF($D890&lt;&gt;1,"",IF(p_mode="Nœud",$T890*$K890,$R890*IF($G890="IKS",p_iks_cpu,p_roks_cpu)+$S890*IF($G890="IKS",p_iks_ram,p_roks_ram))*p_facteur)</f>
        <v/>
      </c>
      <c r="X890" s="14" t="str">
        <f aca="false">IF($D890&lt;&gt;1,"",IF($G890="ROKS",$R890,IF($AI890=1,0,MAX($N890,$L890-SUMIFS(TblApplications[CPU IKS libérable (vCPU)],TblApplications[Cluster IKS source],$F890,TblApplications[Action],"À migrer",TblApplications[Mois prov (calc)],"&lt;="&amp;$E890)-SUMIFS(TblApplications[CPU IKS libérable (vCPU)],TblApplications[Cluster IKS source],$F890,TblApplications[Action],"À décommissionner",TblApplications[Mois lib (calc)],"&lt;="&amp;$E890)))))</f>
        <v/>
      </c>
      <c r="Y890" s="14" t="str">
        <f aca="false">IF($D890&lt;&gt;1,"",IF($G890="ROKS",$S890,IF($AI890=1,0,MAX($O890,$M890-SUMIFS(TblApplications[RAM IKS libérable (Go)],TblApplications[Cluster IKS source],$F890,TblApplications[Action],"À migrer",TblApplications[Mois prov (calc)],"&lt;="&amp;$E890)-SUMIFS(TblApplications[RAM IKS libérable (Go)],TblApplications[Cluster IKS source],$F890,TblApplications[Action],"À décommissionner",TblApplications[Mois lib (calc)],"&lt;="&amp;$E890)))))</f>
        <v/>
      </c>
      <c r="Z890" s="14" t="str">
        <f aca="false">IF($D890&lt;&gt;1,"",IF($AI890=1,0,MAX($J890,ROUNDUP(MAX($X890/$H890,$Y890/$I890),0))))</f>
        <v/>
      </c>
      <c r="AA890" s="84" t="str">
        <f aca="false">IF($D890&lt;&gt;1,"",IF(p_mode="Nœud",$Z890*$K890,$X890*IF($G890="IKS",p_iks_cpu,p_roks_cpu)+$Y890*IF($G890="IKS",p_iks_ram,p_roks_ram))*p_facteur)</f>
        <v/>
      </c>
      <c r="AB890" s="14" t="str">
        <f aca="false">IF($D890&lt;&gt;1,"",MAX($J890,ROUNDUP(MAX($L890/$H890,$M890/$I890),0)))</f>
        <v/>
      </c>
      <c r="AC890" s="84" t="str">
        <f aca="false">IF($D890&lt;&gt;1,"",IF(p_mode="Nœud",$AB890*$K890,$L890*IF($G890="IKS",p_iks_cpu,p_roks_cpu)+$M890*IF($G890="IKS",p_iks_ram,p_roks_ram))*p_facteur)</f>
        <v/>
      </c>
      <c r="AD890" s="14" t="str">
        <f aca="false">IF($D890&lt;&gt;1,"",IF(AND($G890="IKS",$AI890&lt;&gt;1,OR($L890-$P890&lt;$N890,$M890-$Q890&lt;$O890)),1,0))</f>
        <v/>
      </c>
      <c r="AE890" s="14" t="str">
        <f aca="false">IF($D890&lt;&gt;1,"",IF(AND($G890="ROKS",$T890&gt;p_maxworkers),1,0))</f>
        <v/>
      </c>
      <c r="AF890" s="14" t="str">
        <f aca="false">IF($D890&lt;&gt;1,"",IF(INDEX(TblClusters[Environnement],$B890)="","(vide)",INDEX(TblClusters[Environnement],$B890)))</f>
        <v/>
      </c>
      <c r="AG890" s="14" t="str">
        <f aca="false">IF($D890&lt;&gt;1,"",$R890+p_poidsram*$S890)</f>
        <v/>
      </c>
      <c r="AH890" s="14" t="str">
        <f aca="false">IF($D890&lt;&gt;1,"",IFERROR($W890/$AG890,0))</f>
        <v/>
      </c>
      <c r="AI890" s="14" t="str">
        <f aca="false">IF($D890&lt;&gt;1,"",IF(AND($G890="IKS",ISNUMBER(INDEX(TblClusters[Fermeture retenue],$B890))),IF($E890&gt;=INDEX(TblClusters[Fermeture retenue],$B890),1,0),0))</f>
        <v/>
      </c>
    </row>
    <row r="891" customFormat="false" ht="15" hidden="false" customHeight="false" outlineLevel="0" collapsed="false">
      <c r="A891" s="14" t="n">
        <v>886</v>
      </c>
      <c r="B891" s="14" t="n">
        <f aca="false">INT(($A891-1)/36)+1</f>
        <v>25</v>
      </c>
      <c r="C891" s="14" t="n">
        <f aca="false">MOD($A891-1,36)+1</f>
        <v>22</v>
      </c>
      <c r="D891" s="14" t="n">
        <f aca="false">IF($C891&gt;p_horizon,0,IFERROR(IF(AND(INDEX(TblClusters[Cluster],$B891)&lt;&gt;"",ISNUMBER(INDEX(TblClusters[CPU initial (vCPU)],$B891)),ISNUMBER(INDEX(TblClusters[CPU min (vCPU)],$B891)),OR(INDEX(TblClusters[Plateforme],$B891)="IKS",INDEX(TblClusters[Plateforme],$B891)="ROKS")),1,0),0))</f>
        <v>0</v>
      </c>
      <c r="E891" s="83" t="str">
        <f aca="false">IF($D891=1,EDATE(p_debut,$C891-1),"")</f>
        <v/>
      </c>
      <c r="F891" s="14" t="str">
        <f aca="false">IF($D891=1,INDEX(TblClusters[Cluster],$B891),"")</f>
        <v/>
      </c>
      <c r="G891" s="14" t="str">
        <f aca="false">IF($D891=1,INDEX(TblClusters[Plateforme],$B891),"")</f>
        <v/>
      </c>
      <c r="H891" s="14" t="str">
        <f aca="false">IF($D891=1,INDEX(TblClusters[vCPU par nœud],$B891),"")</f>
        <v/>
      </c>
      <c r="I891" s="14" t="str">
        <f aca="false">IF($D891=1,INDEX(TblClusters[RAM par nœud (Go)],$B891),"")</f>
        <v/>
      </c>
      <c r="J891" s="14" t="str">
        <f aca="false">IF($D891=1,INDEX(TblClusters[Workers min],$B891),"")</f>
        <v/>
      </c>
      <c r="K891" s="84" t="str">
        <f aca="false">IF($D891=1,INDEX(TblClusters[Tarif par nœud],$B891),"")</f>
        <v/>
      </c>
      <c r="L891" s="14" t="str">
        <f aca="false">IF($D891=1,INDEX(TblClusters[CPU initial (vCPU)],$B891),"")</f>
        <v/>
      </c>
      <c r="M891" s="14" t="str">
        <f aca="false">IF($D891=1,INDEX(TblClusters[RAM initiale (Go)],$B891),"")</f>
        <v/>
      </c>
      <c r="N891" s="14" t="str">
        <f aca="false">IF($D891=1,INDEX(TblClusters[CPU min (vCPU)],$B891),"")</f>
        <v/>
      </c>
      <c r="O891" s="14" t="str">
        <f aca="false">IF($D891=1,INDEX(TblClusters[RAM min (Go)],$B891),"")</f>
        <v/>
      </c>
      <c r="P891" s="14" t="str">
        <f aca="false">IF($D891&lt;&gt;1,"",IF($G891="ROKS",SUMIFS(TblApplications[Besoin ROKS CPU (vCPU)],TblApplications[Cluster ROKS cible],$F891,TblApplications[Action],"À migrer",TblApplications[Déjà incluse ROKS],"Non",TblApplications[Mois prov (calc)],"&lt;="&amp;$E891),SUMIFS(TblApplications[CPU IKS libérable (vCPU)],TblApplications[Cluster IKS source],$F891,TblApplications[Mois lib (calc)],"&lt;="&amp;$E891)))</f>
        <v/>
      </c>
      <c r="Q891" s="14" t="str">
        <f aca="false">IF($D891&lt;&gt;1,"",IF($G891="ROKS",SUMIFS(TblApplications[Besoin ROKS RAM (Go)],TblApplications[Cluster ROKS cible],$F891,TblApplications[Action],"À migrer",TblApplications[Déjà incluse ROKS],"Non",TblApplications[Mois prov (calc)],"&lt;="&amp;$E891),SUMIFS(TblApplications[RAM IKS libérable (Go)],TblApplications[Cluster IKS source],$F891,TblApplications[Mois lib (calc)],"&lt;="&amp;$E891)))</f>
        <v/>
      </c>
      <c r="R891" s="14" t="str">
        <f aca="false">IF($D891&lt;&gt;1,"",IF($G891="ROKS",$L891+$P891,IF($AI891=1,0,MAX($N891,$L891-$P891))))</f>
        <v/>
      </c>
      <c r="S891" s="14" t="str">
        <f aca="false">IF($D891&lt;&gt;1,"",IF($G891="ROKS",$M891+$Q891,IF($AI891=1,0,MAX($O891,$M891-$Q891))))</f>
        <v/>
      </c>
      <c r="T891" s="14" t="str">
        <f aca="false">IF($D891&lt;&gt;1,"",IF($AI891=1,0,MAX($J891,ROUNDUP(MAX($R891/$H891,$S891/$I891),0))))</f>
        <v/>
      </c>
      <c r="U891" s="14" t="str">
        <f aca="false">IF($D891&lt;&gt;1,"",IF(p_mode="Nœud",$T891*$H891,$R891))</f>
        <v/>
      </c>
      <c r="V891" s="14" t="str">
        <f aca="false">IF($D891&lt;&gt;1,"",IF(p_mode="Nœud",$T891*$I891,$S891))</f>
        <v/>
      </c>
      <c r="W891" s="84" t="str">
        <f aca="false">IF($D891&lt;&gt;1,"",IF(p_mode="Nœud",$T891*$K891,$R891*IF($G891="IKS",p_iks_cpu,p_roks_cpu)+$S891*IF($G891="IKS",p_iks_ram,p_roks_ram))*p_facteur)</f>
        <v/>
      </c>
      <c r="X891" s="14" t="str">
        <f aca="false">IF($D891&lt;&gt;1,"",IF($G891="ROKS",$R891,IF($AI891=1,0,MAX($N891,$L891-SUMIFS(TblApplications[CPU IKS libérable (vCPU)],TblApplications[Cluster IKS source],$F891,TblApplications[Action],"À migrer",TblApplications[Mois prov (calc)],"&lt;="&amp;$E891)-SUMIFS(TblApplications[CPU IKS libérable (vCPU)],TblApplications[Cluster IKS source],$F891,TblApplications[Action],"À décommissionner",TblApplications[Mois lib (calc)],"&lt;="&amp;$E891)))))</f>
        <v/>
      </c>
      <c r="Y891" s="14" t="str">
        <f aca="false">IF($D891&lt;&gt;1,"",IF($G891="ROKS",$S891,IF($AI891=1,0,MAX($O891,$M891-SUMIFS(TblApplications[RAM IKS libérable (Go)],TblApplications[Cluster IKS source],$F891,TblApplications[Action],"À migrer",TblApplications[Mois prov (calc)],"&lt;="&amp;$E891)-SUMIFS(TblApplications[RAM IKS libérable (Go)],TblApplications[Cluster IKS source],$F891,TblApplications[Action],"À décommissionner",TblApplications[Mois lib (calc)],"&lt;="&amp;$E891)))))</f>
        <v/>
      </c>
      <c r="Z891" s="14" t="str">
        <f aca="false">IF($D891&lt;&gt;1,"",IF($AI891=1,0,MAX($J891,ROUNDUP(MAX($X891/$H891,$Y891/$I891),0))))</f>
        <v/>
      </c>
      <c r="AA891" s="84" t="str">
        <f aca="false">IF($D891&lt;&gt;1,"",IF(p_mode="Nœud",$Z891*$K891,$X891*IF($G891="IKS",p_iks_cpu,p_roks_cpu)+$Y891*IF($G891="IKS",p_iks_ram,p_roks_ram))*p_facteur)</f>
        <v/>
      </c>
      <c r="AB891" s="14" t="str">
        <f aca="false">IF($D891&lt;&gt;1,"",MAX($J891,ROUNDUP(MAX($L891/$H891,$M891/$I891),0)))</f>
        <v/>
      </c>
      <c r="AC891" s="84" t="str">
        <f aca="false">IF($D891&lt;&gt;1,"",IF(p_mode="Nœud",$AB891*$K891,$L891*IF($G891="IKS",p_iks_cpu,p_roks_cpu)+$M891*IF($G891="IKS",p_iks_ram,p_roks_ram))*p_facteur)</f>
        <v/>
      </c>
      <c r="AD891" s="14" t="str">
        <f aca="false">IF($D891&lt;&gt;1,"",IF(AND($G891="IKS",$AI891&lt;&gt;1,OR($L891-$P891&lt;$N891,$M891-$Q891&lt;$O891)),1,0))</f>
        <v/>
      </c>
      <c r="AE891" s="14" t="str">
        <f aca="false">IF($D891&lt;&gt;1,"",IF(AND($G891="ROKS",$T891&gt;p_maxworkers),1,0))</f>
        <v/>
      </c>
      <c r="AF891" s="14" t="str">
        <f aca="false">IF($D891&lt;&gt;1,"",IF(INDEX(TblClusters[Environnement],$B891)="","(vide)",INDEX(TblClusters[Environnement],$B891)))</f>
        <v/>
      </c>
      <c r="AG891" s="14" t="str">
        <f aca="false">IF($D891&lt;&gt;1,"",$R891+p_poidsram*$S891)</f>
        <v/>
      </c>
      <c r="AH891" s="14" t="str">
        <f aca="false">IF($D891&lt;&gt;1,"",IFERROR($W891/$AG891,0))</f>
        <v/>
      </c>
      <c r="AI891" s="14" t="str">
        <f aca="false">IF($D891&lt;&gt;1,"",IF(AND($G891="IKS",ISNUMBER(INDEX(TblClusters[Fermeture retenue],$B891))),IF($E891&gt;=INDEX(TblClusters[Fermeture retenue],$B891),1,0),0))</f>
        <v/>
      </c>
    </row>
    <row r="892" customFormat="false" ht="15" hidden="false" customHeight="false" outlineLevel="0" collapsed="false">
      <c r="A892" s="14" t="n">
        <v>887</v>
      </c>
      <c r="B892" s="14" t="n">
        <f aca="false">INT(($A892-1)/36)+1</f>
        <v>25</v>
      </c>
      <c r="C892" s="14" t="n">
        <f aca="false">MOD($A892-1,36)+1</f>
        <v>23</v>
      </c>
      <c r="D892" s="14" t="n">
        <f aca="false">IF($C892&gt;p_horizon,0,IFERROR(IF(AND(INDEX(TblClusters[Cluster],$B892)&lt;&gt;"",ISNUMBER(INDEX(TblClusters[CPU initial (vCPU)],$B892)),ISNUMBER(INDEX(TblClusters[CPU min (vCPU)],$B892)),OR(INDEX(TblClusters[Plateforme],$B892)="IKS",INDEX(TblClusters[Plateforme],$B892)="ROKS")),1,0),0))</f>
        <v>0</v>
      </c>
      <c r="E892" s="83" t="str">
        <f aca="false">IF($D892=1,EDATE(p_debut,$C892-1),"")</f>
        <v/>
      </c>
      <c r="F892" s="14" t="str">
        <f aca="false">IF($D892=1,INDEX(TblClusters[Cluster],$B892),"")</f>
        <v/>
      </c>
      <c r="G892" s="14" t="str">
        <f aca="false">IF($D892=1,INDEX(TblClusters[Plateforme],$B892),"")</f>
        <v/>
      </c>
      <c r="H892" s="14" t="str">
        <f aca="false">IF($D892=1,INDEX(TblClusters[vCPU par nœud],$B892),"")</f>
        <v/>
      </c>
      <c r="I892" s="14" t="str">
        <f aca="false">IF($D892=1,INDEX(TblClusters[RAM par nœud (Go)],$B892),"")</f>
        <v/>
      </c>
      <c r="J892" s="14" t="str">
        <f aca="false">IF($D892=1,INDEX(TblClusters[Workers min],$B892),"")</f>
        <v/>
      </c>
      <c r="K892" s="84" t="str">
        <f aca="false">IF($D892=1,INDEX(TblClusters[Tarif par nœud],$B892),"")</f>
        <v/>
      </c>
      <c r="L892" s="14" t="str">
        <f aca="false">IF($D892=1,INDEX(TblClusters[CPU initial (vCPU)],$B892),"")</f>
        <v/>
      </c>
      <c r="M892" s="14" t="str">
        <f aca="false">IF($D892=1,INDEX(TblClusters[RAM initiale (Go)],$B892),"")</f>
        <v/>
      </c>
      <c r="N892" s="14" t="str">
        <f aca="false">IF($D892=1,INDEX(TblClusters[CPU min (vCPU)],$B892),"")</f>
        <v/>
      </c>
      <c r="O892" s="14" t="str">
        <f aca="false">IF($D892=1,INDEX(TblClusters[RAM min (Go)],$B892),"")</f>
        <v/>
      </c>
      <c r="P892" s="14" t="str">
        <f aca="false">IF($D892&lt;&gt;1,"",IF($G892="ROKS",SUMIFS(TblApplications[Besoin ROKS CPU (vCPU)],TblApplications[Cluster ROKS cible],$F892,TblApplications[Action],"À migrer",TblApplications[Déjà incluse ROKS],"Non",TblApplications[Mois prov (calc)],"&lt;="&amp;$E892),SUMIFS(TblApplications[CPU IKS libérable (vCPU)],TblApplications[Cluster IKS source],$F892,TblApplications[Mois lib (calc)],"&lt;="&amp;$E892)))</f>
        <v/>
      </c>
      <c r="Q892" s="14" t="str">
        <f aca="false">IF($D892&lt;&gt;1,"",IF($G892="ROKS",SUMIFS(TblApplications[Besoin ROKS RAM (Go)],TblApplications[Cluster ROKS cible],$F892,TblApplications[Action],"À migrer",TblApplications[Déjà incluse ROKS],"Non",TblApplications[Mois prov (calc)],"&lt;="&amp;$E892),SUMIFS(TblApplications[RAM IKS libérable (Go)],TblApplications[Cluster IKS source],$F892,TblApplications[Mois lib (calc)],"&lt;="&amp;$E892)))</f>
        <v/>
      </c>
      <c r="R892" s="14" t="str">
        <f aca="false">IF($D892&lt;&gt;1,"",IF($G892="ROKS",$L892+$P892,IF($AI892=1,0,MAX($N892,$L892-$P892))))</f>
        <v/>
      </c>
      <c r="S892" s="14" t="str">
        <f aca="false">IF($D892&lt;&gt;1,"",IF($G892="ROKS",$M892+$Q892,IF($AI892=1,0,MAX($O892,$M892-$Q892))))</f>
        <v/>
      </c>
      <c r="T892" s="14" t="str">
        <f aca="false">IF($D892&lt;&gt;1,"",IF($AI892=1,0,MAX($J892,ROUNDUP(MAX($R892/$H892,$S892/$I892),0))))</f>
        <v/>
      </c>
      <c r="U892" s="14" t="str">
        <f aca="false">IF($D892&lt;&gt;1,"",IF(p_mode="Nœud",$T892*$H892,$R892))</f>
        <v/>
      </c>
      <c r="V892" s="14" t="str">
        <f aca="false">IF($D892&lt;&gt;1,"",IF(p_mode="Nœud",$T892*$I892,$S892))</f>
        <v/>
      </c>
      <c r="W892" s="84" t="str">
        <f aca="false">IF($D892&lt;&gt;1,"",IF(p_mode="Nœud",$T892*$K892,$R892*IF($G892="IKS",p_iks_cpu,p_roks_cpu)+$S892*IF($G892="IKS",p_iks_ram,p_roks_ram))*p_facteur)</f>
        <v/>
      </c>
      <c r="X892" s="14" t="str">
        <f aca="false">IF($D892&lt;&gt;1,"",IF($G892="ROKS",$R892,IF($AI892=1,0,MAX($N892,$L892-SUMIFS(TblApplications[CPU IKS libérable (vCPU)],TblApplications[Cluster IKS source],$F892,TblApplications[Action],"À migrer",TblApplications[Mois prov (calc)],"&lt;="&amp;$E892)-SUMIFS(TblApplications[CPU IKS libérable (vCPU)],TblApplications[Cluster IKS source],$F892,TblApplications[Action],"À décommissionner",TblApplications[Mois lib (calc)],"&lt;="&amp;$E892)))))</f>
        <v/>
      </c>
      <c r="Y892" s="14" t="str">
        <f aca="false">IF($D892&lt;&gt;1,"",IF($G892="ROKS",$S892,IF($AI892=1,0,MAX($O892,$M892-SUMIFS(TblApplications[RAM IKS libérable (Go)],TblApplications[Cluster IKS source],$F892,TblApplications[Action],"À migrer",TblApplications[Mois prov (calc)],"&lt;="&amp;$E892)-SUMIFS(TblApplications[RAM IKS libérable (Go)],TblApplications[Cluster IKS source],$F892,TblApplications[Action],"À décommissionner",TblApplications[Mois lib (calc)],"&lt;="&amp;$E892)))))</f>
        <v/>
      </c>
      <c r="Z892" s="14" t="str">
        <f aca="false">IF($D892&lt;&gt;1,"",IF($AI892=1,0,MAX($J892,ROUNDUP(MAX($X892/$H892,$Y892/$I892),0))))</f>
        <v/>
      </c>
      <c r="AA892" s="84" t="str">
        <f aca="false">IF($D892&lt;&gt;1,"",IF(p_mode="Nœud",$Z892*$K892,$X892*IF($G892="IKS",p_iks_cpu,p_roks_cpu)+$Y892*IF($G892="IKS",p_iks_ram,p_roks_ram))*p_facteur)</f>
        <v/>
      </c>
      <c r="AB892" s="14" t="str">
        <f aca="false">IF($D892&lt;&gt;1,"",MAX($J892,ROUNDUP(MAX($L892/$H892,$M892/$I892),0)))</f>
        <v/>
      </c>
      <c r="AC892" s="84" t="str">
        <f aca="false">IF($D892&lt;&gt;1,"",IF(p_mode="Nœud",$AB892*$K892,$L892*IF($G892="IKS",p_iks_cpu,p_roks_cpu)+$M892*IF($G892="IKS",p_iks_ram,p_roks_ram))*p_facteur)</f>
        <v/>
      </c>
      <c r="AD892" s="14" t="str">
        <f aca="false">IF($D892&lt;&gt;1,"",IF(AND($G892="IKS",$AI892&lt;&gt;1,OR($L892-$P892&lt;$N892,$M892-$Q892&lt;$O892)),1,0))</f>
        <v/>
      </c>
      <c r="AE892" s="14" t="str">
        <f aca="false">IF($D892&lt;&gt;1,"",IF(AND($G892="ROKS",$T892&gt;p_maxworkers),1,0))</f>
        <v/>
      </c>
      <c r="AF892" s="14" t="str">
        <f aca="false">IF($D892&lt;&gt;1,"",IF(INDEX(TblClusters[Environnement],$B892)="","(vide)",INDEX(TblClusters[Environnement],$B892)))</f>
        <v/>
      </c>
      <c r="AG892" s="14" t="str">
        <f aca="false">IF($D892&lt;&gt;1,"",$R892+p_poidsram*$S892)</f>
        <v/>
      </c>
      <c r="AH892" s="14" t="str">
        <f aca="false">IF($D892&lt;&gt;1,"",IFERROR($W892/$AG892,0))</f>
        <v/>
      </c>
      <c r="AI892" s="14" t="str">
        <f aca="false">IF($D892&lt;&gt;1,"",IF(AND($G892="IKS",ISNUMBER(INDEX(TblClusters[Fermeture retenue],$B892))),IF($E892&gt;=INDEX(TblClusters[Fermeture retenue],$B892),1,0),0))</f>
        <v/>
      </c>
    </row>
    <row r="893" customFormat="false" ht="15" hidden="false" customHeight="false" outlineLevel="0" collapsed="false">
      <c r="A893" s="14" t="n">
        <v>888</v>
      </c>
      <c r="B893" s="14" t="n">
        <f aca="false">INT(($A893-1)/36)+1</f>
        <v>25</v>
      </c>
      <c r="C893" s="14" t="n">
        <f aca="false">MOD($A893-1,36)+1</f>
        <v>24</v>
      </c>
      <c r="D893" s="14" t="n">
        <f aca="false">IF($C893&gt;p_horizon,0,IFERROR(IF(AND(INDEX(TblClusters[Cluster],$B893)&lt;&gt;"",ISNUMBER(INDEX(TblClusters[CPU initial (vCPU)],$B893)),ISNUMBER(INDEX(TblClusters[CPU min (vCPU)],$B893)),OR(INDEX(TblClusters[Plateforme],$B893)="IKS",INDEX(TblClusters[Plateforme],$B893)="ROKS")),1,0),0))</f>
        <v>0</v>
      </c>
      <c r="E893" s="83" t="str">
        <f aca="false">IF($D893=1,EDATE(p_debut,$C893-1),"")</f>
        <v/>
      </c>
      <c r="F893" s="14" t="str">
        <f aca="false">IF($D893=1,INDEX(TblClusters[Cluster],$B893),"")</f>
        <v/>
      </c>
      <c r="G893" s="14" t="str">
        <f aca="false">IF($D893=1,INDEX(TblClusters[Plateforme],$B893),"")</f>
        <v/>
      </c>
      <c r="H893" s="14" t="str">
        <f aca="false">IF($D893=1,INDEX(TblClusters[vCPU par nœud],$B893),"")</f>
        <v/>
      </c>
      <c r="I893" s="14" t="str">
        <f aca="false">IF($D893=1,INDEX(TblClusters[RAM par nœud (Go)],$B893),"")</f>
        <v/>
      </c>
      <c r="J893" s="14" t="str">
        <f aca="false">IF($D893=1,INDEX(TblClusters[Workers min],$B893),"")</f>
        <v/>
      </c>
      <c r="K893" s="84" t="str">
        <f aca="false">IF($D893=1,INDEX(TblClusters[Tarif par nœud],$B893),"")</f>
        <v/>
      </c>
      <c r="L893" s="14" t="str">
        <f aca="false">IF($D893=1,INDEX(TblClusters[CPU initial (vCPU)],$B893),"")</f>
        <v/>
      </c>
      <c r="M893" s="14" t="str">
        <f aca="false">IF($D893=1,INDEX(TblClusters[RAM initiale (Go)],$B893),"")</f>
        <v/>
      </c>
      <c r="N893" s="14" t="str">
        <f aca="false">IF($D893=1,INDEX(TblClusters[CPU min (vCPU)],$B893),"")</f>
        <v/>
      </c>
      <c r="O893" s="14" t="str">
        <f aca="false">IF($D893=1,INDEX(TblClusters[RAM min (Go)],$B893),"")</f>
        <v/>
      </c>
      <c r="P893" s="14" t="str">
        <f aca="false">IF($D893&lt;&gt;1,"",IF($G893="ROKS",SUMIFS(TblApplications[Besoin ROKS CPU (vCPU)],TblApplications[Cluster ROKS cible],$F893,TblApplications[Action],"À migrer",TblApplications[Déjà incluse ROKS],"Non",TblApplications[Mois prov (calc)],"&lt;="&amp;$E893),SUMIFS(TblApplications[CPU IKS libérable (vCPU)],TblApplications[Cluster IKS source],$F893,TblApplications[Mois lib (calc)],"&lt;="&amp;$E893)))</f>
        <v/>
      </c>
      <c r="Q893" s="14" t="str">
        <f aca="false">IF($D893&lt;&gt;1,"",IF($G893="ROKS",SUMIFS(TblApplications[Besoin ROKS RAM (Go)],TblApplications[Cluster ROKS cible],$F893,TblApplications[Action],"À migrer",TblApplications[Déjà incluse ROKS],"Non",TblApplications[Mois prov (calc)],"&lt;="&amp;$E893),SUMIFS(TblApplications[RAM IKS libérable (Go)],TblApplications[Cluster IKS source],$F893,TblApplications[Mois lib (calc)],"&lt;="&amp;$E893)))</f>
        <v/>
      </c>
      <c r="R893" s="14" t="str">
        <f aca="false">IF($D893&lt;&gt;1,"",IF($G893="ROKS",$L893+$P893,IF($AI893=1,0,MAX($N893,$L893-$P893))))</f>
        <v/>
      </c>
      <c r="S893" s="14" t="str">
        <f aca="false">IF($D893&lt;&gt;1,"",IF($G893="ROKS",$M893+$Q893,IF($AI893=1,0,MAX($O893,$M893-$Q893))))</f>
        <v/>
      </c>
      <c r="T893" s="14" t="str">
        <f aca="false">IF($D893&lt;&gt;1,"",IF($AI893=1,0,MAX($J893,ROUNDUP(MAX($R893/$H893,$S893/$I893),0))))</f>
        <v/>
      </c>
      <c r="U893" s="14" t="str">
        <f aca="false">IF($D893&lt;&gt;1,"",IF(p_mode="Nœud",$T893*$H893,$R893))</f>
        <v/>
      </c>
      <c r="V893" s="14" t="str">
        <f aca="false">IF($D893&lt;&gt;1,"",IF(p_mode="Nœud",$T893*$I893,$S893))</f>
        <v/>
      </c>
      <c r="W893" s="84" t="str">
        <f aca="false">IF($D893&lt;&gt;1,"",IF(p_mode="Nœud",$T893*$K893,$R893*IF($G893="IKS",p_iks_cpu,p_roks_cpu)+$S893*IF($G893="IKS",p_iks_ram,p_roks_ram))*p_facteur)</f>
        <v/>
      </c>
      <c r="X893" s="14" t="str">
        <f aca="false">IF($D893&lt;&gt;1,"",IF($G893="ROKS",$R893,IF($AI893=1,0,MAX($N893,$L893-SUMIFS(TblApplications[CPU IKS libérable (vCPU)],TblApplications[Cluster IKS source],$F893,TblApplications[Action],"À migrer",TblApplications[Mois prov (calc)],"&lt;="&amp;$E893)-SUMIFS(TblApplications[CPU IKS libérable (vCPU)],TblApplications[Cluster IKS source],$F893,TblApplications[Action],"À décommissionner",TblApplications[Mois lib (calc)],"&lt;="&amp;$E893)))))</f>
        <v/>
      </c>
      <c r="Y893" s="14" t="str">
        <f aca="false">IF($D893&lt;&gt;1,"",IF($G893="ROKS",$S893,IF($AI893=1,0,MAX($O893,$M893-SUMIFS(TblApplications[RAM IKS libérable (Go)],TblApplications[Cluster IKS source],$F893,TblApplications[Action],"À migrer",TblApplications[Mois prov (calc)],"&lt;="&amp;$E893)-SUMIFS(TblApplications[RAM IKS libérable (Go)],TblApplications[Cluster IKS source],$F893,TblApplications[Action],"À décommissionner",TblApplications[Mois lib (calc)],"&lt;="&amp;$E893)))))</f>
        <v/>
      </c>
      <c r="Z893" s="14" t="str">
        <f aca="false">IF($D893&lt;&gt;1,"",IF($AI893=1,0,MAX($J893,ROUNDUP(MAX($X893/$H893,$Y893/$I893),0))))</f>
        <v/>
      </c>
      <c r="AA893" s="84" t="str">
        <f aca="false">IF($D893&lt;&gt;1,"",IF(p_mode="Nœud",$Z893*$K893,$X893*IF($G893="IKS",p_iks_cpu,p_roks_cpu)+$Y893*IF($G893="IKS",p_iks_ram,p_roks_ram))*p_facteur)</f>
        <v/>
      </c>
      <c r="AB893" s="14" t="str">
        <f aca="false">IF($D893&lt;&gt;1,"",MAX($J893,ROUNDUP(MAX($L893/$H893,$M893/$I893),0)))</f>
        <v/>
      </c>
      <c r="AC893" s="84" t="str">
        <f aca="false">IF($D893&lt;&gt;1,"",IF(p_mode="Nœud",$AB893*$K893,$L893*IF($G893="IKS",p_iks_cpu,p_roks_cpu)+$M893*IF($G893="IKS",p_iks_ram,p_roks_ram))*p_facteur)</f>
        <v/>
      </c>
      <c r="AD893" s="14" t="str">
        <f aca="false">IF($D893&lt;&gt;1,"",IF(AND($G893="IKS",$AI893&lt;&gt;1,OR($L893-$P893&lt;$N893,$M893-$Q893&lt;$O893)),1,0))</f>
        <v/>
      </c>
      <c r="AE893" s="14" t="str">
        <f aca="false">IF($D893&lt;&gt;1,"",IF(AND($G893="ROKS",$T893&gt;p_maxworkers),1,0))</f>
        <v/>
      </c>
      <c r="AF893" s="14" t="str">
        <f aca="false">IF($D893&lt;&gt;1,"",IF(INDEX(TblClusters[Environnement],$B893)="","(vide)",INDEX(TblClusters[Environnement],$B893)))</f>
        <v/>
      </c>
      <c r="AG893" s="14" t="str">
        <f aca="false">IF($D893&lt;&gt;1,"",$R893+p_poidsram*$S893)</f>
        <v/>
      </c>
      <c r="AH893" s="14" t="str">
        <f aca="false">IF($D893&lt;&gt;1,"",IFERROR($W893/$AG893,0))</f>
        <v/>
      </c>
      <c r="AI893" s="14" t="str">
        <f aca="false">IF($D893&lt;&gt;1,"",IF(AND($G893="IKS",ISNUMBER(INDEX(TblClusters[Fermeture retenue],$B893))),IF($E893&gt;=INDEX(TblClusters[Fermeture retenue],$B893),1,0),0))</f>
        <v/>
      </c>
    </row>
    <row r="894" customFormat="false" ht="15" hidden="false" customHeight="false" outlineLevel="0" collapsed="false">
      <c r="A894" s="14" t="n">
        <v>889</v>
      </c>
      <c r="B894" s="14" t="n">
        <f aca="false">INT(($A894-1)/36)+1</f>
        <v>25</v>
      </c>
      <c r="C894" s="14" t="n">
        <f aca="false">MOD($A894-1,36)+1</f>
        <v>25</v>
      </c>
      <c r="D894" s="14" t="n">
        <f aca="false">IF($C894&gt;p_horizon,0,IFERROR(IF(AND(INDEX(TblClusters[Cluster],$B894)&lt;&gt;"",ISNUMBER(INDEX(TblClusters[CPU initial (vCPU)],$B894)),ISNUMBER(INDEX(TblClusters[CPU min (vCPU)],$B894)),OR(INDEX(TblClusters[Plateforme],$B894)="IKS",INDEX(TblClusters[Plateforme],$B894)="ROKS")),1,0),0))</f>
        <v>0</v>
      </c>
      <c r="E894" s="83" t="str">
        <f aca="false">IF($D894=1,EDATE(p_debut,$C894-1),"")</f>
        <v/>
      </c>
      <c r="F894" s="14" t="str">
        <f aca="false">IF($D894=1,INDEX(TblClusters[Cluster],$B894),"")</f>
        <v/>
      </c>
      <c r="G894" s="14" t="str">
        <f aca="false">IF($D894=1,INDEX(TblClusters[Plateforme],$B894),"")</f>
        <v/>
      </c>
      <c r="H894" s="14" t="str">
        <f aca="false">IF($D894=1,INDEX(TblClusters[vCPU par nœud],$B894),"")</f>
        <v/>
      </c>
      <c r="I894" s="14" t="str">
        <f aca="false">IF($D894=1,INDEX(TblClusters[RAM par nœud (Go)],$B894),"")</f>
        <v/>
      </c>
      <c r="J894" s="14" t="str">
        <f aca="false">IF($D894=1,INDEX(TblClusters[Workers min],$B894),"")</f>
        <v/>
      </c>
      <c r="K894" s="84" t="str">
        <f aca="false">IF($D894=1,INDEX(TblClusters[Tarif par nœud],$B894),"")</f>
        <v/>
      </c>
      <c r="L894" s="14" t="str">
        <f aca="false">IF($D894=1,INDEX(TblClusters[CPU initial (vCPU)],$B894),"")</f>
        <v/>
      </c>
      <c r="M894" s="14" t="str">
        <f aca="false">IF($D894=1,INDEX(TblClusters[RAM initiale (Go)],$B894),"")</f>
        <v/>
      </c>
      <c r="N894" s="14" t="str">
        <f aca="false">IF($D894=1,INDEX(TblClusters[CPU min (vCPU)],$B894),"")</f>
        <v/>
      </c>
      <c r="O894" s="14" t="str">
        <f aca="false">IF($D894=1,INDEX(TblClusters[RAM min (Go)],$B894),"")</f>
        <v/>
      </c>
      <c r="P894" s="14" t="str">
        <f aca="false">IF($D894&lt;&gt;1,"",IF($G894="ROKS",SUMIFS(TblApplications[Besoin ROKS CPU (vCPU)],TblApplications[Cluster ROKS cible],$F894,TblApplications[Action],"À migrer",TblApplications[Déjà incluse ROKS],"Non",TblApplications[Mois prov (calc)],"&lt;="&amp;$E894),SUMIFS(TblApplications[CPU IKS libérable (vCPU)],TblApplications[Cluster IKS source],$F894,TblApplications[Mois lib (calc)],"&lt;="&amp;$E894)))</f>
        <v/>
      </c>
      <c r="Q894" s="14" t="str">
        <f aca="false">IF($D894&lt;&gt;1,"",IF($G894="ROKS",SUMIFS(TblApplications[Besoin ROKS RAM (Go)],TblApplications[Cluster ROKS cible],$F894,TblApplications[Action],"À migrer",TblApplications[Déjà incluse ROKS],"Non",TblApplications[Mois prov (calc)],"&lt;="&amp;$E894),SUMIFS(TblApplications[RAM IKS libérable (Go)],TblApplications[Cluster IKS source],$F894,TblApplications[Mois lib (calc)],"&lt;="&amp;$E894)))</f>
        <v/>
      </c>
      <c r="R894" s="14" t="str">
        <f aca="false">IF($D894&lt;&gt;1,"",IF($G894="ROKS",$L894+$P894,IF($AI894=1,0,MAX($N894,$L894-$P894))))</f>
        <v/>
      </c>
      <c r="S894" s="14" t="str">
        <f aca="false">IF($D894&lt;&gt;1,"",IF($G894="ROKS",$M894+$Q894,IF($AI894=1,0,MAX($O894,$M894-$Q894))))</f>
        <v/>
      </c>
      <c r="T894" s="14" t="str">
        <f aca="false">IF($D894&lt;&gt;1,"",IF($AI894=1,0,MAX($J894,ROUNDUP(MAX($R894/$H894,$S894/$I894),0))))</f>
        <v/>
      </c>
      <c r="U894" s="14" t="str">
        <f aca="false">IF($D894&lt;&gt;1,"",IF(p_mode="Nœud",$T894*$H894,$R894))</f>
        <v/>
      </c>
      <c r="V894" s="14" t="str">
        <f aca="false">IF($D894&lt;&gt;1,"",IF(p_mode="Nœud",$T894*$I894,$S894))</f>
        <v/>
      </c>
      <c r="W894" s="84" t="str">
        <f aca="false">IF($D894&lt;&gt;1,"",IF(p_mode="Nœud",$T894*$K894,$R894*IF($G894="IKS",p_iks_cpu,p_roks_cpu)+$S894*IF($G894="IKS",p_iks_ram,p_roks_ram))*p_facteur)</f>
        <v/>
      </c>
      <c r="X894" s="14" t="str">
        <f aca="false">IF($D894&lt;&gt;1,"",IF($G894="ROKS",$R894,IF($AI894=1,0,MAX($N894,$L894-SUMIFS(TblApplications[CPU IKS libérable (vCPU)],TblApplications[Cluster IKS source],$F894,TblApplications[Action],"À migrer",TblApplications[Mois prov (calc)],"&lt;="&amp;$E894)-SUMIFS(TblApplications[CPU IKS libérable (vCPU)],TblApplications[Cluster IKS source],$F894,TblApplications[Action],"À décommissionner",TblApplications[Mois lib (calc)],"&lt;="&amp;$E894)))))</f>
        <v/>
      </c>
      <c r="Y894" s="14" t="str">
        <f aca="false">IF($D894&lt;&gt;1,"",IF($G894="ROKS",$S894,IF($AI894=1,0,MAX($O894,$M894-SUMIFS(TblApplications[RAM IKS libérable (Go)],TblApplications[Cluster IKS source],$F894,TblApplications[Action],"À migrer",TblApplications[Mois prov (calc)],"&lt;="&amp;$E894)-SUMIFS(TblApplications[RAM IKS libérable (Go)],TblApplications[Cluster IKS source],$F894,TblApplications[Action],"À décommissionner",TblApplications[Mois lib (calc)],"&lt;="&amp;$E894)))))</f>
        <v/>
      </c>
      <c r="Z894" s="14" t="str">
        <f aca="false">IF($D894&lt;&gt;1,"",IF($AI894=1,0,MAX($J894,ROUNDUP(MAX($X894/$H894,$Y894/$I894),0))))</f>
        <v/>
      </c>
      <c r="AA894" s="84" t="str">
        <f aca="false">IF($D894&lt;&gt;1,"",IF(p_mode="Nœud",$Z894*$K894,$X894*IF($G894="IKS",p_iks_cpu,p_roks_cpu)+$Y894*IF($G894="IKS",p_iks_ram,p_roks_ram))*p_facteur)</f>
        <v/>
      </c>
      <c r="AB894" s="14" t="str">
        <f aca="false">IF($D894&lt;&gt;1,"",MAX($J894,ROUNDUP(MAX($L894/$H894,$M894/$I894),0)))</f>
        <v/>
      </c>
      <c r="AC894" s="84" t="str">
        <f aca="false">IF($D894&lt;&gt;1,"",IF(p_mode="Nœud",$AB894*$K894,$L894*IF($G894="IKS",p_iks_cpu,p_roks_cpu)+$M894*IF($G894="IKS",p_iks_ram,p_roks_ram))*p_facteur)</f>
        <v/>
      </c>
      <c r="AD894" s="14" t="str">
        <f aca="false">IF($D894&lt;&gt;1,"",IF(AND($G894="IKS",$AI894&lt;&gt;1,OR($L894-$P894&lt;$N894,$M894-$Q894&lt;$O894)),1,0))</f>
        <v/>
      </c>
      <c r="AE894" s="14" t="str">
        <f aca="false">IF($D894&lt;&gt;1,"",IF(AND($G894="ROKS",$T894&gt;p_maxworkers),1,0))</f>
        <v/>
      </c>
      <c r="AF894" s="14" t="str">
        <f aca="false">IF($D894&lt;&gt;1,"",IF(INDEX(TblClusters[Environnement],$B894)="","(vide)",INDEX(TblClusters[Environnement],$B894)))</f>
        <v/>
      </c>
      <c r="AG894" s="14" t="str">
        <f aca="false">IF($D894&lt;&gt;1,"",$R894+p_poidsram*$S894)</f>
        <v/>
      </c>
      <c r="AH894" s="14" t="str">
        <f aca="false">IF($D894&lt;&gt;1,"",IFERROR($W894/$AG894,0))</f>
        <v/>
      </c>
      <c r="AI894" s="14" t="str">
        <f aca="false">IF($D894&lt;&gt;1,"",IF(AND($G894="IKS",ISNUMBER(INDEX(TblClusters[Fermeture retenue],$B894))),IF($E894&gt;=INDEX(TblClusters[Fermeture retenue],$B894),1,0),0))</f>
        <v/>
      </c>
    </row>
    <row r="895" customFormat="false" ht="15" hidden="false" customHeight="false" outlineLevel="0" collapsed="false">
      <c r="A895" s="14" t="n">
        <v>890</v>
      </c>
      <c r="B895" s="14" t="n">
        <f aca="false">INT(($A895-1)/36)+1</f>
        <v>25</v>
      </c>
      <c r="C895" s="14" t="n">
        <f aca="false">MOD($A895-1,36)+1</f>
        <v>26</v>
      </c>
      <c r="D895" s="14" t="n">
        <f aca="false">IF($C895&gt;p_horizon,0,IFERROR(IF(AND(INDEX(TblClusters[Cluster],$B895)&lt;&gt;"",ISNUMBER(INDEX(TblClusters[CPU initial (vCPU)],$B895)),ISNUMBER(INDEX(TblClusters[CPU min (vCPU)],$B895)),OR(INDEX(TblClusters[Plateforme],$B895)="IKS",INDEX(TblClusters[Plateforme],$B895)="ROKS")),1,0),0))</f>
        <v>0</v>
      </c>
      <c r="E895" s="83" t="str">
        <f aca="false">IF($D895=1,EDATE(p_debut,$C895-1),"")</f>
        <v/>
      </c>
      <c r="F895" s="14" t="str">
        <f aca="false">IF($D895=1,INDEX(TblClusters[Cluster],$B895),"")</f>
        <v/>
      </c>
      <c r="G895" s="14" t="str">
        <f aca="false">IF($D895=1,INDEX(TblClusters[Plateforme],$B895),"")</f>
        <v/>
      </c>
      <c r="H895" s="14" t="str">
        <f aca="false">IF($D895=1,INDEX(TblClusters[vCPU par nœud],$B895),"")</f>
        <v/>
      </c>
      <c r="I895" s="14" t="str">
        <f aca="false">IF($D895=1,INDEX(TblClusters[RAM par nœud (Go)],$B895),"")</f>
        <v/>
      </c>
      <c r="J895" s="14" t="str">
        <f aca="false">IF($D895=1,INDEX(TblClusters[Workers min],$B895),"")</f>
        <v/>
      </c>
      <c r="K895" s="84" t="str">
        <f aca="false">IF($D895=1,INDEX(TblClusters[Tarif par nœud],$B895),"")</f>
        <v/>
      </c>
      <c r="L895" s="14" t="str">
        <f aca="false">IF($D895=1,INDEX(TblClusters[CPU initial (vCPU)],$B895),"")</f>
        <v/>
      </c>
      <c r="M895" s="14" t="str">
        <f aca="false">IF($D895=1,INDEX(TblClusters[RAM initiale (Go)],$B895),"")</f>
        <v/>
      </c>
      <c r="N895" s="14" t="str">
        <f aca="false">IF($D895=1,INDEX(TblClusters[CPU min (vCPU)],$B895),"")</f>
        <v/>
      </c>
      <c r="O895" s="14" t="str">
        <f aca="false">IF($D895=1,INDEX(TblClusters[RAM min (Go)],$B895),"")</f>
        <v/>
      </c>
      <c r="P895" s="14" t="str">
        <f aca="false">IF($D895&lt;&gt;1,"",IF($G895="ROKS",SUMIFS(TblApplications[Besoin ROKS CPU (vCPU)],TblApplications[Cluster ROKS cible],$F895,TblApplications[Action],"À migrer",TblApplications[Déjà incluse ROKS],"Non",TblApplications[Mois prov (calc)],"&lt;="&amp;$E895),SUMIFS(TblApplications[CPU IKS libérable (vCPU)],TblApplications[Cluster IKS source],$F895,TblApplications[Mois lib (calc)],"&lt;="&amp;$E895)))</f>
        <v/>
      </c>
      <c r="Q895" s="14" t="str">
        <f aca="false">IF($D895&lt;&gt;1,"",IF($G895="ROKS",SUMIFS(TblApplications[Besoin ROKS RAM (Go)],TblApplications[Cluster ROKS cible],$F895,TblApplications[Action],"À migrer",TblApplications[Déjà incluse ROKS],"Non",TblApplications[Mois prov (calc)],"&lt;="&amp;$E895),SUMIFS(TblApplications[RAM IKS libérable (Go)],TblApplications[Cluster IKS source],$F895,TblApplications[Mois lib (calc)],"&lt;="&amp;$E895)))</f>
        <v/>
      </c>
      <c r="R895" s="14" t="str">
        <f aca="false">IF($D895&lt;&gt;1,"",IF($G895="ROKS",$L895+$P895,IF($AI895=1,0,MAX($N895,$L895-$P895))))</f>
        <v/>
      </c>
      <c r="S895" s="14" t="str">
        <f aca="false">IF($D895&lt;&gt;1,"",IF($G895="ROKS",$M895+$Q895,IF($AI895=1,0,MAX($O895,$M895-$Q895))))</f>
        <v/>
      </c>
      <c r="T895" s="14" t="str">
        <f aca="false">IF($D895&lt;&gt;1,"",IF($AI895=1,0,MAX($J895,ROUNDUP(MAX($R895/$H895,$S895/$I895),0))))</f>
        <v/>
      </c>
      <c r="U895" s="14" t="str">
        <f aca="false">IF($D895&lt;&gt;1,"",IF(p_mode="Nœud",$T895*$H895,$R895))</f>
        <v/>
      </c>
      <c r="V895" s="14" t="str">
        <f aca="false">IF($D895&lt;&gt;1,"",IF(p_mode="Nœud",$T895*$I895,$S895))</f>
        <v/>
      </c>
      <c r="W895" s="84" t="str">
        <f aca="false">IF($D895&lt;&gt;1,"",IF(p_mode="Nœud",$T895*$K895,$R895*IF($G895="IKS",p_iks_cpu,p_roks_cpu)+$S895*IF($G895="IKS",p_iks_ram,p_roks_ram))*p_facteur)</f>
        <v/>
      </c>
      <c r="X895" s="14" t="str">
        <f aca="false">IF($D895&lt;&gt;1,"",IF($G895="ROKS",$R895,IF($AI895=1,0,MAX($N895,$L895-SUMIFS(TblApplications[CPU IKS libérable (vCPU)],TblApplications[Cluster IKS source],$F895,TblApplications[Action],"À migrer",TblApplications[Mois prov (calc)],"&lt;="&amp;$E895)-SUMIFS(TblApplications[CPU IKS libérable (vCPU)],TblApplications[Cluster IKS source],$F895,TblApplications[Action],"À décommissionner",TblApplications[Mois lib (calc)],"&lt;="&amp;$E895)))))</f>
        <v/>
      </c>
      <c r="Y895" s="14" t="str">
        <f aca="false">IF($D895&lt;&gt;1,"",IF($G895="ROKS",$S895,IF($AI895=1,0,MAX($O895,$M895-SUMIFS(TblApplications[RAM IKS libérable (Go)],TblApplications[Cluster IKS source],$F895,TblApplications[Action],"À migrer",TblApplications[Mois prov (calc)],"&lt;="&amp;$E895)-SUMIFS(TblApplications[RAM IKS libérable (Go)],TblApplications[Cluster IKS source],$F895,TblApplications[Action],"À décommissionner",TblApplications[Mois lib (calc)],"&lt;="&amp;$E895)))))</f>
        <v/>
      </c>
      <c r="Z895" s="14" t="str">
        <f aca="false">IF($D895&lt;&gt;1,"",IF($AI895=1,0,MAX($J895,ROUNDUP(MAX($X895/$H895,$Y895/$I895),0))))</f>
        <v/>
      </c>
      <c r="AA895" s="84" t="str">
        <f aca="false">IF($D895&lt;&gt;1,"",IF(p_mode="Nœud",$Z895*$K895,$X895*IF($G895="IKS",p_iks_cpu,p_roks_cpu)+$Y895*IF($G895="IKS",p_iks_ram,p_roks_ram))*p_facteur)</f>
        <v/>
      </c>
      <c r="AB895" s="14" t="str">
        <f aca="false">IF($D895&lt;&gt;1,"",MAX($J895,ROUNDUP(MAX($L895/$H895,$M895/$I895),0)))</f>
        <v/>
      </c>
      <c r="AC895" s="84" t="str">
        <f aca="false">IF($D895&lt;&gt;1,"",IF(p_mode="Nœud",$AB895*$K895,$L895*IF($G895="IKS",p_iks_cpu,p_roks_cpu)+$M895*IF($G895="IKS",p_iks_ram,p_roks_ram))*p_facteur)</f>
        <v/>
      </c>
      <c r="AD895" s="14" t="str">
        <f aca="false">IF($D895&lt;&gt;1,"",IF(AND($G895="IKS",$AI895&lt;&gt;1,OR($L895-$P895&lt;$N895,$M895-$Q895&lt;$O895)),1,0))</f>
        <v/>
      </c>
      <c r="AE895" s="14" t="str">
        <f aca="false">IF($D895&lt;&gt;1,"",IF(AND($G895="ROKS",$T895&gt;p_maxworkers),1,0))</f>
        <v/>
      </c>
      <c r="AF895" s="14" t="str">
        <f aca="false">IF($D895&lt;&gt;1,"",IF(INDEX(TblClusters[Environnement],$B895)="","(vide)",INDEX(TblClusters[Environnement],$B895)))</f>
        <v/>
      </c>
      <c r="AG895" s="14" t="str">
        <f aca="false">IF($D895&lt;&gt;1,"",$R895+p_poidsram*$S895)</f>
        <v/>
      </c>
      <c r="AH895" s="14" t="str">
        <f aca="false">IF($D895&lt;&gt;1,"",IFERROR($W895/$AG895,0))</f>
        <v/>
      </c>
      <c r="AI895" s="14" t="str">
        <f aca="false">IF($D895&lt;&gt;1,"",IF(AND($G895="IKS",ISNUMBER(INDEX(TblClusters[Fermeture retenue],$B895))),IF($E895&gt;=INDEX(TblClusters[Fermeture retenue],$B895),1,0),0))</f>
        <v/>
      </c>
    </row>
    <row r="896" customFormat="false" ht="15" hidden="false" customHeight="false" outlineLevel="0" collapsed="false">
      <c r="A896" s="14" t="n">
        <v>891</v>
      </c>
      <c r="B896" s="14" t="n">
        <f aca="false">INT(($A896-1)/36)+1</f>
        <v>25</v>
      </c>
      <c r="C896" s="14" t="n">
        <f aca="false">MOD($A896-1,36)+1</f>
        <v>27</v>
      </c>
      <c r="D896" s="14" t="n">
        <f aca="false">IF($C896&gt;p_horizon,0,IFERROR(IF(AND(INDEX(TblClusters[Cluster],$B896)&lt;&gt;"",ISNUMBER(INDEX(TblClusters[CPU initial (vCPU)],$B896)),ISNUMBER(INDEX(TblClusters[CPU min (vCPU)],$B896)),OR(INDEX(TblClusters[Plateforme],$B896)="IKS",INDEX(TblClusters[Plateforme],$B896)="ROKS")),1,0),0))</f>
        <v>0</v>
      </c>
      <c r="E896" s="83" t="str">
        <f aca="false">IF($D896=1,EDATE(p_debut,$C896-1),"")</f>
        <v/>
      </c>
      <c r="F896" s="14" t="str">
        <f aca="false">IF($D896=1,INDEX(TblClusters[Cluster],$B896),"")</f>
        <v/>
      </c>
      <c r="G896" s="14" t="str">
        <f aca="false">IF($D896=1,INDEX(TblClusters[Plateforme],$B896),"")</f>
        <v/>
      </c>
      <c r="H896" s="14" t="str">
        <f aca="false">IF($D896=1,INDEX(TblClusters[vCPU par nœud],$B896),"")</f>
        <v/>
      </c>
      <c r="I896" s="14" t="str">
        <f aca="false">IF($D896=1,INDEX(TblClusters[RAM par nœud (Go)],$B896),"")</f>
        <v/>
      </c>
      <c r="J896" s="14" t="str">
        <f aca="false">IF($D896=1,INDEX(TblClusters[Workers min],$B896),"")</f>
        <v/>
      </c>
      <c r="K896" s="84" t="str">
        <f aca="false">IF($D896=1,INDEX(TblClusters[Tarif par nœud],$B896),"")</f>
        <v/>
      </c>
      <c r="L896" s="14" t="str">
        <f aca="false">IF($D896=1,INDEX(TblClusters[CPU initial (vCPU)],$B896),"")</f>
        <v/>
      </c>
      <c r="M896" s="14" t="str">
        <f aca="false">IF($D896=1,INDEX(TblClusters[RAM initiale (Go)],$B896),"")</f>
        <v/>
      </c>
      <c r="N896" s="14" t="str">
        <f aca="false">IF($D896=1,INDEX(TblClusters[CPU min (vCPU)],$B896),"")</f>
        <v/>
      </c>
      <c r="O896" s="14" t="str">
        <f aca="false">IF($D896=1,INDEX(TblClusters[RAM min (Go)],$B896),"")</f>
        <v/>
      </c>
      <c r="P896" s="14" t="str">
        <f aca="false">IF($D896&lt;&gt;1,"",IF($G896="ROKS",SUMIFS(TblApplications[Besoin ROKS CPU (vCPU)],TblApplications[Cluster ROKS cible],$F896,TblApplications[Action],"À migrer",TblApplications[Déjà incluse ROKS],"Non",TblApplications[Mois prov (calc)],"&lt;="&amp;$E896),SUMIFS(TblApplications[CPU IKS libérable (vCPU)],TblApplications[Cluster IKS source],$F896,TblApplications[Mois lib (calc)],"&lt;="&amp;$E896)))</f>
        <v/>
      </c>
      <c r="Q896" s="14" t="str">
        <f aca="false">IF($D896&lt;&gt;1,"",IF($G896="ROKS",SUMIFS(TblApplications[Besoin ROKS RAM (Go)],TblApplications[Cluster ROKS cible],$F896,TblApplications[Action],"À migrer",TblApplications[Déjà incluse ROKS],"Non",TblApplications[Mois prov (calc)],"&lt;="&amp;$E896),SUMIFS(TblApplications[RAM IKS libérable (Go)],TblApplications[Cluster IKS source],$F896,TblApplications[Mois lib (calc)],"&lt;="&amp;$E896)))</f>
        <v/>
      </c>
      <c r="R896" s="14" t="str">
        <f aca="false">IF($D896&lt;&gt;1,"",IF($G896="ROKS",$L896+$P896,IF($AI896=1,0,MAX($N896,$L896-$P896))))</f>
        <v/>
      </c>
      <c r="S896" s="14" t="str">
        <f aca="false">IF($D896&lt;&gt;1,"",IF($G896="ROKS",$M896+$Q896,IF($AI896=1,0,MAX($O896,$M896-$Q896))))</f>
        <v/>
      </c>
      <c r="T896" s="14" t="str">
        <f aca="false">IF($D896&lt;&gt;1,"",IF($AI896=1,0,MAX($J896,ROUNDUP(MAX($R896/$H896,$S896/$I896),0))))</f>
        <v/>
      </c>
      <c r="U896" s="14" t="str">
        <f aca="false">IF($D896&lt;&gt;1,"",IF(p_mode="Nœud",$T896*$H896,$R896))</f>
        <v/>
      </c>
      <c r="V896" s="14" t="str">
        <f aca="false">IF($D896&lt;&gt;1,"",IF(p_mode="Nœud",$T896*$I896,$S896))</f>
        <v/>
      </c>
      <c r="W896" s="84" t="str">
        <f aca="false">IF($D896&lt;&gt;1,"",IF(p_mode="Nœud",$T896*$K896,$R896*IF($G896="IKS",p_iks_cpu,p_roks_cpu)+$S896*IF($G896="IKS",p_iks_ram,p_roks_ram))*p_facteur)</f>
        <v/>
      </c>
      <c r="X896" s="14" t="str">
        <f aca="false">IF($D896&lt;&gt;1,"",IF($G896="ROKS",$R896,IF($AI896=1,0,MAX($N896,$L896-SUMIFS(TblApplications[CPU IKS libérable (vCPU)],TblApplications[Cluster IKS source],$F896,TblApplications[Action],"À migrer",TblApplications[Mois prov (calc)],"&lt;="&amp;$E896)-SUMIFS(TblApplications[CPU IKS libérable (vCPU)],TblApplications[Cluster IKS source],$F896,TblApplications[Action],"À décommissionner",TblApplications[Mois lib (calc)],"&lt;="&amp;$E896)))))</f>
        <v/>
      </c>
      <c r="Y896" s="14" t="str">
        <f aca="false">IF($D896&lt;&gt;1,"",IF($G896="ROKS",$S896,IF($AI896=1,0,MAX($O896,$M896-SUMIFS(TblApplications[RAM IKS libérable (Go)],TblApplications[Cluster IKS source],$F896,TblApplications[Action],"À migrer",TblApplications[Mois prov (calc)],"&lt;="&amp;$E896)-SUMIFS(TblApplications[RAM IKS libérable (Go)],TblApplications[Cluster IKS source],$F896,TblApplications[Action],"À décommissionner",TblApplications[Mois lib (calc)],"&lt;="&amp;$E896)))))</f>
        <v/>
      </c>
      <c r="Z896" s="14" t="str">
        <f aca="false">IF($D896&lt;&gt;1,"",IF($AI896=1,0,MAX($J896,ROUNDUP(MAX($X896/$H896,$Y896/$I896),0))))</f>
        <v/>
      </c>
      <c r="AA896" s="84" t="str">
        <f aca="false">IF($D896&lt;&gt;1,"",IF(p_mode="Nœud",$Z896*$K896,$X896*IF($G896="IKS",p_iks_cpu,p_roks_cpu)+$Y896*IF($G896="IKS",p_iks_ram,p_roks_ram))*p_facteur)</f>
        <v/>
      </c>
      <c r="AB896" s="14" t="str">
        <f aca="false">IF($D896&lt;&gt;1,"",MAX($J896,ROUNDUP(MAX($L896/$H896,$M896/$I896),0)))</f>
        <v/>
      </c>
      <c r="AC896" s="84" t="str">
        <f aca="false">IF($D896&lt;&gt;1,"",IF(p_mode="Nœud",$AB896*$K896,$L896*IF($G896="IKS",p_iks_cpu,p_roks_cpu)+$M896*IF($G896="IKS",p_iks_ram,p_roks_ram))*p_facteur)</f>
        <v/>
      </c>
      <c r="AD896" s="14" t="str">
        <f aca="false">IF($D896&lt;&gt;1,"",IF(AND($G896="IKS",$AI896&lt;&gt;1,OR($L896-$P896&lt;$N896,$M896-$Q896&lt;$O896)),1,0))</f>
        <v/>
      </c>
      <c r="AE896" s="14" t="str">
        <f aca="false">IF($D896&lt;&gt;1,"",IF(AND($G896="ROKS",$T896&gt;p_maxworkers),1,0))</f>
        <v/>
      </c>
      <c r="AF896" s="14" t="str">
        <f aca="false">IF($D896&lt;&gt;1,"",IF(INDEX(TblClusters[Environnement],$B896)="","(vide)",INDEX(TblClusters[Environnement],$B896)))</f>
        <v/>
      </c>
      <c r="AG896" s="14" t="str">
        <f aca="false">IF($D896&lt;&gt;1,"",$R896+p_poidsram*$S896)</f>
        <v/>
      </c>
      <c r="AH896" s="14" t="str">
        <f aca="false">IF($D896&lt;&gt;1,"",IFERROR($W896/$AG896,0))</f>
        <v/>
      </c>
      <c r="AI896" s="14" t="str">
        <f aca="false">IF($D896&lt;&gt;1,"",IF(AND($G896="IKS",ISNUMBER(INDEX(TblClusters[Fermeture retenue],$B896))),IF($E896&gt;=INDEX(TblClusters[Fermeture retenue],$B896),1,0),0))</f>
        <v/>
      </c>
    </row>
    <row r="897" customFormat="false" ht="15" hidden="false" customHeight="false" outlineLevel="0" collapsed="false">
      <c r="A897" s="14" t="n">
        <v>892</v>
      </c>
      <c r="B897" s="14" t="n">
        <f aca="false">INT(($A897-1)/36)+1</f>
        <v>25</v>
      </c>
      <c r="C897" s="14" t="n">
        <f aca="false">MOD($A897-1,36)+1</f>
        <v>28</v>
      </c>
      <c r="D897" s="14" t="n">
        <f aca="false">IF($C897&gt;p_horizon,0,IFERROR(IF(AND(INDEX(TblClusters[Cluster],$B897)&lt;&gt;"",ISNUMBER(INDEX(TblClusters[CPU initial (vCPU)],$B897)),ISNUMBER(INDEX(TblClusters[CPU min (vCPU)],$B897)),OR(INDEX(TblClusters[Plateforme],$B897)="IKS",INDEX(TblClusters[Plateforme],$B897)="ROKS")),1,0),0))</f>
        <v>0</v>
      </c>
      <c r="E897" s="83" t="str">
        <f aca="false">IF($D897=1,EDATE(p_debut,$C897-1),"")</f>
        <v/>
      </c>
      <c r="F897" s="14" t="str">
        <f aca="false">IF($D897=1,INDEX(TblClusters[Cluster],$B897),"")</f>
        <v/>
      </c>
      <c r="G897" s="14" t="str">
        <f aca="false">IF($D897=1,INDEX(TblClusters[Plateforme],$B897),"")</f>
        <v/>
      </c>
      <c r="H897" s="14" t="str">
        <f aca="false">IF($D897=1,INDEX(TblClusters[vCPU par nœud],$B897),"")</f>
        <v/>
      </c>
      <c r="I897" s="14" t="str">
        <f aca="false">IF($D897=1,INDEX(TblClusters[RAM par nœud (Go)],$B897),"")</f>
        <v/>
      </c>
      <c r="J897" s="14" t="str">
        <f aca="false">IF($D897=1,INDEX(TblClusters[Workers min],$B897),"")</f>
        <v/>
      </c>
      <c r="K897" s="84" t="str">
        <f aca="false">IF($D897=1,INDEX(TblClusters[Tarif par nœud],$B897),"")</f>
        <v/>
      </c>
      <c r="L897" s="14" t="str">
        <f aca="false">IF($D897=1,INDEX(TblClusters[CPU initial (vCPU)],$B897),"")</f>
        <v/>
      </c>
      <c r="M897" s="14" t="str">
        <f aca="false">IF($D897=1,INDEX(TblClusters[RAM initiale (Go)],$B897),"")</f>
        <v/>
      </c>
      <c r="N897" s="14" t="str">
        <f aca="false">IF($D897=1,INDEX(TblClusters[CPU min (vCPU)],$B897),"")</f>
        <v/>
      </c>
      <c r="O897" s="14" t="str">
        <f aca="false">IF($D897=1,INDEX(TblClusters[RAM min (Go)],$B897),"")</f>
        <v/>
      </c>
      <c r="P897" s="14" t="str">
        <f aca="false">IF($D897&lt;&gt;1,"",IF($G897="ROKS",SUMIFS(TblApplications[Besoin ROKS CPU (vCPU)],TblApplications[Cluster ROKS cible],$F897,TblApplications[Action],"À migrer",TblApplications[Déjà incluse ROKS],"Non",TblApplications[Mois prov (calc)],"&lt;="&amp;$E897),SUMIFS(TblApplications[CPU IKS libérable (vCPU)],TblApplications[Cluster IKS source],$F897,TblApplications[Mois lib (calc)],"&lt;="&amp;$E897)))</f>
        <v/>
      </c>
      <c r="Q897" s="14" t="str">
        <f aca="false">IF($D897&lt;&gt;1,"",IF($G897="ROKS",SUMIFS(TblApplications[Besoin ROKS RAM (Go)],TblApplications[Cluster ROKS cible],$F897,TblApplications[Action],"À migrer",TblApplications[Déjà incluse ROKS],"Non",TblApplications[Mois prov (calc)],"&lt;="&amp;$E897),SUMIFS(TblApplications[RAM IKS libérable (Go)],TblApplications[Cluster IKS source],$F897,TblApplications[Mois lib (calc)],"&lt;="&amp;$E897)))</f>
        <v/>
      </c>
      <c r="R897" s="14" t="str">
        <f aca="false">IF($D897&lt;&gt;1,"",IF($G897="ROKS",$L897+$P897,IF($AI897=1,0,MAX($N897,$L897-$P897))))</f>
        <v/>
      </c>
      <c r="S897" s="14" t="str">
        <f aca="false">IF($D897&lt;&gt;1,"",IF($G897="ROKS",$M897+$Q897,IF($AI897=1,0,MAX($O897,$M897-$Q897))))</f>
        <v/>
      </c>
      <c r="T897" s="14" t="str">
        <f aca="false">IF($D897&lt;&gt;1,"",IF($AI897=1,0,MAX($J897,ROUNDUP(MAX($R897/$H897,$S897/$I897),0))))</f>
        <v/>
      </c>
      <c r="U897" s="14" t="str">
        <f aca="false">IF($D897&lt;&gt;1,"",IF(p_mode="Nœud",$T897*$H897,$R897))</f>
        <v/>
      </c>
      <c r="V897" s="14" t="str">
        <f aca="false">IF($D897&lt;&gt;1,"",IF(p_mode="Nœud",$T897*$I897,$S897))</f>
        <v/>
      </c>
      <c r="W897" s="84" t="str">
        <f aca="false">IF($D897&lt;&gt;1,"",IF(p_mode="Nœud",$T897*$K897,$R897*IF($G897="IKS",p_iks_cpu,p_roks_cpu)+$S897*IF($G897="IKS",p_iks_ram,p_roks_ram))*p_facteur)</f>
        <v/>
      </c>
      <c r="X897" s="14" t="str">
        <f aca="false">IF($D897&lt;&gt;1,"",IF($G897="ROKS",$R897,IF($AI897=1,0,MAX($N897,$L897-SUMIFS(TblApplications[CPU IKS libérable (vCPU)],TblApplications[Cluster IKS source],$F897,TblApplications[Action],"À migrer",TblApplications[Mois prov (calc)],"&lt;="&amp;$E897)-SUMIFS(TblApplications[CPU IKS libérable (vCPU)],TblApplications[Cluster IKS source],$F897,TblApplications[Action],"À décommissionner",TblApplications[Mois lib (calc)],"&lt;="&amp;$E897)))))</f>
        <v/>
      </c>
      <c r="Y897" s="14" t="str">
        <f aca="false">IF($D897&lt;&gt;1,"",IF($G897="ROKS",$S897,IF($AI897=1,0,MAX($O897,$M897-SUMIFS(TblApplications[RAM IKS libérable (Go)],TblApplications[Cluster IKS source],$F897,TblApplications[Action],"À migrer",TblApplications[Mois prov (calc)],"&lt;="&amp;$E897)-SUMIFS(TblApplications[RAM IKS libérable (Go)],TblApplications[Cluster IKS source],$F897,TblApplications[Action],"À décommissionner",TblApplications[Mois lib (calc)],"&lt;="&amp;$E897)))))</f>
        <v/>
      </c>
      <c r="Z897" s="14" t="str">
        <f aca="false">IF($D897&lt;&gt;1,"",IF($AI897=1,0,MAX($J897,ROUNDUP(MAX($X897/$H897,$Y897/$I897),0))))</f>
        <v/>
      </c>
      <c r="AA897" s="84" t="str">
        <f aca="false">IF($D897&lt;&gt;1,"",IF(p_mode="Nœud",$Z897*$K897,$X897*IF($G897="IKS",p_iks_cpu,p_roks_cpu)+$Y897*IF($G897="IKS",p_iks_ram,p_roks_ram))*p_facteur)</f>
        <v/>
      </c>
      <c r="AB897" s="14" t="str">
        <f aca="false">IF($D897&lt;&gt;1,"",MAX($J897,ROUNDUP(MAX($L897/$H897,$M897/$I897),0)))</f>
        <v/>
      </c>
      <c r="AC897" s="84" t="str">
        <f aca="false">IF($D897&lt;&gt;1,"",IF(p_mode="Nœud",$AB897*$K897,$L897*IF($G897="IKS",p_iks_cpu,p_roks_cpu)+$M897*IF($G897="IKS",p_iks_ram,p_roks_ram))*p_facteur)</f>
        <v/>
      </c>
      <c r="AD897" s="14" t="str">
        <f aca="false">IF($D897&lt;&gt;1,"",IF(AND($G897="IKS",$AI897&lt;&gt;1,OR($L897-$P897&lt;$N897,$M897-$Q897&lt;$O897)),1,0))</f>
        <v/>
      </c>
      <c r="AE897" s="14" t="str">
        <f aca="false">IF($D897&lt;&gt;1,"",IF(AND($G897="ROKS",$T897&gt;p_maxworkers),1,0))</f>
        <v/>
      </c>
      <c r="AF897" s="14" t="str">
        <f aca="false">IF($D897&lt;&gt;1,"",IF(INDEX(TblClusters[Environnement],$B897)="","(vide)",INDEX(TblClusters[Environnement],$B897)))</f>
        <v/>
      </c>
      <c r="AG897" s="14" t="str">
        <f aca="false">IF($D897&lt;&gt;1,"",$R897+p_poidsram*$S897)</f>
        <v/>
      </c>
      <c r="AH897" s="14" t="str">
        <f aca="false">IF($D897&lt;&gt;1,"",IFERROR($W897/$AG897,0))</f>
        <v/>
      </c>
      <c r="AI897" s="14" t="str">
        <f aca="false">IF($D897&lt;&gt;1,"",IF(AND($G897="IKS",ISNUMBER(INDEX(TblClusters[Fermeture retenue],$B897))),IF($E897&gt;=INDEX(TblClusters[Fermeture retenue],$B897),1,0),0))</f>
        <v/>
      </c>
    </row>
    <row r="898" customFormat="false" ht="15" hidden="false" customHeight="false" outlineLevel="0" collapsed="false">
      <c r="A898" s="14" t="n">
        <v>893</v>
      </c>
      <c r="B898" s="14" t="n">
        <f aca="false">INT(($A898-1)/36)+1</f>
        <v>25</v>
      </c>
      <c r="C898" s="14" t="n">
        <f aca="false">MOD($A898-1,36)+1</f>
        <v>29</v>
      </c>
      <c r="D898" s="14" t="n">
        <f aca="false">IF($C898&gt;p_horizon,0,IFERROR(IF(AND(INDEX(TblClusters[Cluster],$B898)&lt;&gt;"",ISNUMBER(INDEX(TblClusters[CPU initial (vCPU)],$B898)),ISNUMBER(INDEX(TblClusters[CPU min (vCPU)],$B898)),OR(INDEX(TblClusters[Plateforme],$B898)="IKS",INDEX(TblClusters[Plateforme],$B898)="ROKS")),1,0),0))</f>
        <v>0</v>
      </c>
      <c r="E898" s="83" t="str">
        <f aca="false">IF($D898=1,EDATE(p_debut,$C898-1),"")</f>
        <v/>
      </c>
      <c r="F898" s="14" t="str">
        <f aca="false">IF($D898=1,INDEX(TblClusters[Cluster],$B898),"")</f>
        <v/>
      </c>
      <c r="G898" s="14" t="str">
        <f aca="false">IF($D898=1,INDEX(TblClusters[Plateforme],$B898),"")</f>
        <v/>
      </c>
      <c r="H898" s="14" t="str">
        <f aca="false">IF($D898=1,INDEX(TblClusters[vCPU par nœud],$B898),"")</f>
        <v/>
      </c>
      <c r="I898" s="14" t="str">
        <f aca="false">IF($D898=1,INDEX(TblClusters[RAM par nœud (Go)],$B898),"")</f>
        <v/>
      </c>
      <c r="J898" s="14" t="str">
        <f aca="false">IF($D898=1,INDEX(TblClusters[Workers min],$B898),"")</f>
        <v/>
      </c>
      <c r="K898" s="84" t="str">
        <f aca="false">IF($D898=1,INDEX(TblClusters[Tarif par nœud],$B898),"")</f>
        <v/>
      </c>
      <c r="L898" s="14" t="str">
        <f aca="false">IF($D898=1,INDEX(TblClusters[CPU initial (vCPU)],$B898),"")</f>
        <v/>
      </c>
      <c r="M898" s="14" t="str">
        <f aca="false">IF($D898=1,INDEX(TblClusters[RAM initiale (Go)],$B898),"")</f>
        <v/>
      </c>
      <c r="N898" s="14" t="str">
        <f aca="false">IF($D898=1,INDEX(TblClusters[CPU min (vCPU)],$B898),"")</f>
        <v/>
      </c>
      <c r="O898" s="14" t="str">
        <f aca="false">IF($D898=1,INDEX(TblClusters[RAM min (Go)],$B898),"")</f>
        <v/>
      </c>
      <c r="P898" s="14" t="str">
        <f aca="false">IF($D898&lt;&gt;1,"",IF($G898="ROKS",SUMIFS(TblApplications[Besoin ROKS CPU (vCPU)],TblApplications[Cluster ROKS cible],$F898,TblApplications[Action],"À migrer",TblApplications[Déjà incluse ROKS],"Non",TblApplications[Mois prov (calc)],"&lt;="&amp;$E898),SUMIFS(TblApplications[CPU IKS libérable (vCPU)],TblApplications[Cluster IKS source],$F898,TblApplications[Mois lib (calc)],"&lt;="&amp;$E898)))</f>
        <v/>
      </c>
      <c r="Q898" s="14" t="str">
        <f aca="false">IF($D898&lt;&gt;1,"",IF($G898="ROKS",SUMIFS(TblApplications[Besoin ROKS RAM (Go)],TblApplications[Cluster ROKS cible],$F898,TblApplications[Action],"À migrer",TblApplications[Déjà incluse ROKS],"Non",TblApplications[Mois prov (calc)],"&lt;="&amp;$E898),SUMIFS(TblApplications[RAM IKS libérable (Go)],TblApplications[Cluster IKS source],$F898,TblApplications[Mois lib (calc)],"&lt;="&amp;$E898)))</f>
        <v/>
      </c>
      <c r="R898" s="14" t="str">
        <f aca="false">IF($D898&lt;&gt;1,"",IF($G898="ROKS",$L898+$P898,IF($AI898=1,0,MAX($N898,$L898-$P898))))</f>
        <v/>
      </c>
      <c r="S898" s="14" t="str">
        <f aca="false">IF($D898&lt;&gt;1,"",IF($G898="ROKS",$M898+$Q898,IF($AI898=1,0,MAX($O898,$M898-$Q898))))</f>
        <v/>
      </c>
      <c r="T898" s="14" t="str">
        <f aca="false">IF($D898&lt;&gt;1,"",IF($AI898=1,0,MAX($J898,ROUNDUP(MAX($R898/$H898,$S898/$I898),0))))</f>
        <v/>
      </c>
      <c r="U898" s="14" t="str">
        <f aca="false">IF($D898&lt;&gt;1,"",IF(p_mode="Nœud",$T898*$H898,$R898))</f>
        <v/>
      </c>
      <c r="V898" s="14" t="str">
        <f aca="false">IF($D898&lt;&gt;1,"",IF(p_mode="Nœud",$T898*$I898,$S898))</f>
        <v/>
      </c>
      <c r="W898" s="84" t="str">
        <f aca="false">IF($D898&lt;&gt;1,"",IF(p_mode="Nœud",$T898*$K898,$R898*IF($G898="IKS",p_iks_cpu,p_roks_cpu)+$S898*IF($G898="IKS",p_iks_ram,p_roks_ram))*p_facteur)</f>
        <v/>
      </c>
      <c r="X898" s="14" t="str">
        <f aca="false">IF($D898&lt;&gt;1,"",IF($G898="ROKS",$R898,IF($AI898=1,0,MAX($N898,$L898-SUMIFS(TblApplications[CPU IKS libérable (vCPU)],TblApplications[Cluster IKS source],$F898,TblApplications[Action],"À migrer",TblApplications[Mois prov (calc)],"&lt;="&amp;$E898)-SUMIFS(TblApplications[CPU IKS libérable (vCPU)],TblApplications[Cluster IKS source],$F898,TblApplications[Action],"À décommissionner",TblApplications[Mois lib (calc)],"&lt;="&amp;$E898)))))</f>
        <v/>
      </c>
      <c r="Y898" s="14" t="str">
        <f aca="false">IF($D898&lt;&gt;1,"",IF($G898="ROKS",$S898,IF($AI898=1,0,MAX($O898,$M898-SUMIFS(TblApplications[RAM IKS libérable (Go)],TblApplications[Cluster IKS source],$F898,TblApplications[Action],"À migrer",TblApplications[Mois prov (calc)],"&lt;="&amp;$E898)-SUMIFS(TblApplications[RAM IKS libérable (Go)],TblApplications[Cluster IKS source],$F898,TblApplications[Action],"À décommissionner",TblApplications[Mois lib (calc)],"&lt;="&amp;$E898)))))</f>
        <v/>
      </c>
      <c r="Z898" s="14" t="str">
        <f aca="false">IF($D898&lt;&gt;1,"",IF($AI898=1,0,MAX($J898,ROUNDUP(MAX($X898/$H898,$Y898/$I898),0))))</f>
        <v/>
      </c>
      <c r="AA898" s="84" t="str">
        <f aca="false">IF($D898&lt;&gt;1,"",IF(p_mode="Nœud",$Z898*$K898,$X898*IF($G898="IKS",p_iks_cpu,p_roks_cpu)+$Y898*IF($G898="IKS",p_iks_ram,p_roks_ram))*p_facteur)</f>
        <v/>
      </c>
      <c r="AB898" s="14" t="str">
        <f aca="false">IF($D898&lt;&gt;1,"",MAX($J898,ROUNDUP(MAX($L898/$H898,$M898/$I898),0)))</f>
        <v/>
      </c>
      <c r="AC898" s="84" t="str">
        <f aca="false">IF($D898&lt;&gt;1,"",IF(p_mode="Nœud",$AB898*$K898,$L898*IF($G898="IKS",p_iks_cpu,p_roks_cpu)+$M898*IF($G898="IKS",p_iks_ram,p_roks_ram))*p_facteur)</f>
        <v/>
      </c>
      <c r="AD898" s="14" t="str">
        <f aca="false">IF($D898&lt;&gt;1,"",IF(AND($G898="IKS",$AI898&lt;&gt;1,OR($L898-$P898&lt;$N898,$M898-$Q898&lt;$O898)),1,0))</f>
        <v/>
      </c>
      <c r="AE898" s="14" t="str">
        <f aca="false">IF($D898&lt;&gt;1,"",IF(AND($G898="ROKS",$T898&gt;p_maxworkers),1,0))</f>
        <v/>
      </c>
      <c r="AF898" s="14" t="str">
        <f aca="false">IF($D898&lt;&gt;1,"",IF(INDEX(TblClusters[Environnement],$B898)="","(vide)",INDEX(TblClusters[Environnement],$B898)))</f>
        <v/>
      </c>
      <c r="AG898" s="14" t="str">
        <f aca="false">IF($D898&lt;&gt;1,"",$R898+p_poidsram*$S898)</f>
        <v/>
      </c>
      <c r="AH898" s="14" t="str">
        <f aca="false">IF($D898&lt;&gt;1,"",IFERROR($W898/$AG898,0))</f>
        <v/>
      </c>
      <c r="AI898" s="14" t="str">
        <f aca="false">IF($D898&lt;&gt;1,"",IF(AND($G898="IKS",ISNUMBER(INDEX(TblClusters[Fermeture retenue],$B898))),IF($E898&gt;=INDEX(TblClusters[Fermeture retenue],$B898),1,0),0))</f>
        <v/>
      </c>
    </row>
    <row r="899" customFormat="false" ht="15" hidden="false" customHeight="false" outlineLevel="0" collapsed="false">
      <c r="A899" s="14" t="n">
        <v>894</v>
      </c>
      <c r="B899" s="14" t="n">
        <f aca="false">INT(($A899-1)/36)+1</f>
        <v>25</v>
      </c>
      <c r="C899" s="14" t="n">
        <f aca="false">MOD($A899-1,36)+1</f>
        <v>30</v>
      </c>
      <c r="D899" s="14" t="n">
        <f aca="false">IF($C899&gt;p_horizon,0,IFERROR(IF(AND(INDEX(TblClusters[Cluster],$B899)&lt;&gt;"",ISNUMBER(INDEX(TblClusters[CPU initial (vCPU)],$B899)),ISNUMBER(INDEX(TblClusters[CPU min (vCPU)],$B899)),OR(INDEX(TblClusters[Plateforme],$B899)="IKS",INDEX(TblClusters[Plateforme],$B899)="ROKS")),1,0),0))</f>
        <v>0</v>
      </c>
      <c r="E899" s="83" t="str">
        <f aca="false">IF($D899=1,EDATE(p_debut,$C899-1),"")</f>
        <v/>
      </c>
      <c r="F899" s="14" t="str">
        <f aca="false">IF($D899=1,INDEX(TblClusters[Cluster],$B899),"")</f>
        <v/>
      </c>
      <c r="G899" s="14" t="str">
        <f aca="false">IF($D899=1,INDEX(TblClusters[Plateforme],$B899),"")</f>
        <v/>
      </c>
      <c r="H899" s="14" t="str">
        <f aca="false">IF($D899=1,INDEX(TblClusters[vCPU par nœud],$B899),"")</f>
        <v/>
      </c>
      <c r="I899" s="14" t="str">
        <f aca="false">IF($D899=1,INDEX(TblClusters[RAM par nœud (Go)],$B899),"")</f>
        <v/>
      </c>
      <c r="J899" s="14" t="str">
        <f aca="false">IF($D899=1,INDEX(TblClusters[Workers min],$B899),"")</f>
        <v/>
      </c>
      <c r="K899" s="84" t="str">
        <f aca="false">IF($D899=1,INDEX(TblClusters[Tarif par nœud],$B899),"")</f>
        <v/>
      </c>
      <c r="L899" s="14" t="str">
        <f aca="false">IF($D899=1,INDEX(TblClusters[CPU initial (vCPU)],$B899),"")</f>
        <v/>
      </c>
      <c r="M899" s="14" t="str">
        <f aca="false">IF($D899=1,INDEX(TblClusters[RAM initiale (Go)],$B899),"")</f>
        <v/>
      </c>
      <c r="N899" s="14" t="str">
        <f aca="false">IF($D899=1,INDEX(TblClusters[CPU min (vCPU)],$B899),"")</f>
        <v/>
      </c>
      <c r="O899" s="14" t="str">
        <f aca="false">IF($D899=1,INDEX(TblClusters[RAM min (Go)],$B899),"")</f>
        <v/>
      </c>
      <c r="P899" s="14" t="str">
        <f aca="false">IF($D899&lt;&gt;1,"",IF($G899="ROKS",SUMIFS(TblApplications[Besoin ROKS CPU (vCPU)],TblApplications[Cluster ROKS cible],$F899,TblApplications[Action],"À migrer",TblApplications[Déjà incluse ROKS],"Non",TblApplications[Mois prov (calc)],"&lt;="&amp;$E899),SUMIFS(TblApplications[CPU IKS libérable (vCPU)],TblApplications[Cluster IKS source],$F899,TblApplications[Mois lib (calc)],"&lt;="&amp;$E899)))</f>
        <v/>
      </c>
      <c r="Q899" s="14" t="str">
        <f aca="false">IF($D899&lt;&gt;1,"",IF($G899="ROKS",SUMIFS(TblApplications[Besoin ROKS RAM (Go)],TblApplications[Cluster ROKS cible],$F899,TblApplications[Action],"À migrer",TblApplications[Déjà incluse ROKS],"Non",TblApplications[Mois prov (calc)],"&lt;="&amp;$E899),SUMIFS(TblApplications[RAM IKS libérable (Go)],TblApplications[Cluster IKS source],$F899,TblApplications[Mois lib (calc)],"&lt;="&amp;$E899)))</f>
        <v/>
      </c>
      <c r="R899" s="14" t="str">
        <f aca="false">IF($D899&lt;&gt;1,"",IF($G899="ROKS",$L899+$P899,IF($AI899=1,0,MAX($N899,$L899-$P899))))</f>
        <v/>
      </c>
      <c r="S899" s="14" t="str">
        <f aca="false">IF($D899&lt;&gt;1,"",IF($G899="ROKS",$M899+$Q899,IF($AI899=1,0,MAX($O899,$M899-$Q899))))</f>
        <v/>
      </c>
      <c r="T899" s="14" t="str">
        <f aca="false">IF($D899&lt;&gt;1,"",IF($AI899=1,0,MAX($J899,ROUNDUP(MAX($R899/$H899,$S899/$I899),0))))</f>
        <v/>
      </c>
      <c r="U899" s="14" t="str">
        <f aca="false">IF($D899&lt;&gt;1,"",IF(p_mode="Nœud",$T899*$H899,$R899))</f>
        <v/>
      </c>
      <c r="V899" s="14" t="str">
        <f aca="false">IF($D899&lt;&gt;1,"",IF(p_mode="Nœud",$T899*$I899,$S899))</f>
        <v/>
      </c>
      <c r="W899" s="84" t="str">
        <f aca="false">IF($D899&lt;&gt;1,"",IF(p_mode="Nœud",$T899*$K899,$R899*IF($G899="IKS",p_iks_cpu,p_roks_cpu)+$S899*IF($G899="IKS",p_iks_ram,p_roks_ram))*p_facteur)</f>
        <v/>
      </c>
      <c r="X899" s="14" t="str">
        <f aca="false">IF($D899&lt;&gt;1,"",IF($G899="ROKS",$R899,IF($AI899=1,0,MAX($N899,$L899-SUMIFS(TblApplications[CPU IKS libérable (vCPU)],TblApplications[Cluster IKS source],$F899,TblApplications[Action],"À migrer",TblApplications[Mois prov (calc)],"&lt;="&amp;$E899)-SUMIFS(TblApplications[CPU IKS libérable (vCPU)],TblApplications[Cluster IKS source],$F899,TblApplications[Action],"À décommissionner",TblApplications[Mois lib (calc)],"&lt;="&amp;$E899)))))</f>
        <v/>
      </c>
      <c r="Y899" s="14" t="str">
        <f aca="false">IF($D899&lt;&gt;1,"",IF($G899="ROKS",$S899,IF($AI899=1,0,MAX($O899,$M899-SUMIFS(TblApplications[RAM IKS libérable (Go)],TblApplications[Cluster IKS source],$F899,TblApplications[Action],"À migrer",TblApplications[Mois prov (calc)],"&lt;="&amp;$E899)-SUMIFS(TblApplications[RAM IKS libérable (Go)],TblApplications[Cluster IKS source],$F899,TblApplications[Action],"À décommissionner",TblApplications[Mois lib (calc)],"&lt;="&amp;$E899)))))</f>
        <v/>
      </c>
      <c r="Z899" s="14" t="str">
        <f aca="false">IF($D899&lt;&gt;1,"",IF($AI899=1,0,MAX($J899,ROUNDUP(MAX($X899/$H899,$Y899/$I899),0))))</f>
        <v/>
      </c>
      <c r="AA899" s="84" t="str">
        <f aca="false">IF($D899&lt;&gt;1,"",IF(p_mode="Nœud",$Z899*$K899,$X899*IF($G899="IKS",p_iks_cpu,p_roks_cpu)+$Y899*IF($G899="IKS",p_iks_ram,p_roks_ram))*p_facteur)</f>
        <v/>
      </c>
      <c r="AB899" s="14" t="str">
        <f aca="false">IF($D899&lt;&gt;1,"",MAX($J899,ROUNDUP(MAX($L899/$H899,$M899/$I899),0)))</f>
        <v/>
      </c>
      <c r="AC899" s="84" t="str">
        <f aca="false">IF($D899&lt;&gt;1,"",IF(p_mode="Nœud",$AB899*$K899,$L899*IF($G899="IKS",p_iks_cpu,p_roks_cpu)+$M899*IF($G899="IKS",p_iks_ram,p_roks_ram))*p_facteur)</f>
        <v/>
      </c>
      <c r="AD899" s="14" t="str">
        <f aca="false">IF($D899&lt;&gt;1,"",IF(AND($G899="IKS",$AI899&lt;&gt;1,OR($L899-$P899&lt;$N899,$M899-$Q899&lt;$O899)),1,0))</f>
        <v/>
      </c>
      <c r="AE899" s="14" t="str">
        <f aca="false">IF($D899&lt;&gt;1,"",IF(AND($G899="ROKS",$T899&gt;p_maxworkers),1,0))</f>
        <v/>
      </c>
      <c r="AF899" s="14" t="str">
        <f aca="false">IF($D899&lt;&gt;1,"",IF(INDEX(TblClusters[Environnement],$B899)="","(vide)",INDEX(TblClusters[Environnement],$B899)))</f>
        <v/>
      </c>
      <c r="AG899" s="14" t="str">
        <f aca="false">IF($D899&lt;&gt;1,"",$R899+p_poidsram*$S899)</f>
        <v/>
      </c>
      <c r="AH899" s="14" t="str">
        <f aca="false">IF($D899&lt;&gt;1,"",IFERROR($W899/$AG899,0))</f>
        <v/>
      </c>
      <c r="AI899" s="14" t="str">
        <f aca="false">IF($D899&lt;&gt;1,"",IF(AND($G899="IKS",ISNUMBER(INDEX(TblClusters[Fermeture retenue],$B899))),IF($E899&gt;=INDEX(TblClusters[Fermeture retenue],$B899),1,0),0))</f>
        <v/>
      </c>
    </row>
    <row r="900" customFormat="false" ht="15" hidden="false" customHeight="false" outlineLevel="0" collapsed="false">
      <c r="A900" s="14" t="n">
        <v>895</v>
      </c>
      <c r="B900" s="14" t="n">
        <f aca="false">INT(($A900-1)/36)+1</f>
        <v>25</v>
      </c>
      <c r="C900" s="14" t="n">
        <f aca="false">MOD($A900-1,36)+1</f>
        <v>31</v>
      </c>
      <c r="D900" s="14" t="n">
        <f aca="false">IF($C900&gt;p_horizon,0,IFERROR(IF(AND(INDEX(TblClusters[Cluster],$B900)&lt;&gt;"",ISNUMBER(INDEX(TblClusters[CPU initial (vCPU)],$B900)),ISNUMBER(INDEX(TblClusters[CPU min (vCPU)],$B900)),OR(INDEX(TblClusters[Plateforme],$B900)="IKS",INDEX(TblClusters[Plateforme],$B900)="ROKS")),1,0),0))</f>
        <v>0</v>
      </c>
      <c r="E900" s="83" t="str">
        <f aca="false">IF($D900=1,EDATE(p_debut,$C900-1),"")</f>
        <v/>
      </c>
      <c r="F900" s="14" t="str">
        <f aca="false">IF($D900=1,INDEX(TblClusters[Cluster],$B900),"")</f>
        <v/>
      </c>
      <c r="G900" s="14" t="str">
        <f aca="false">IF($D900=1,INDEX(TblClusters[Plateforme],$B900),"")</f>
        <v/>
      </c>
      <c r="H900" s="14" t="str">
        <f aca="false">IF($D900=1,INDEX(TblClusters[vCPU par nœud],$B900),"")</f>
        <v/>
      </c>
      <c r="I900" s="14" t="str">
        <f aca="false">IF($D900=1,INDEX(TblClusters[RAM par nœud (Go)],$B900),"")</f>
        <v/>
      </c>
      <c r="J900" s="14" t="str">
        <f aca="false">IF($D900=1,INDEX(TblClusters[Workers min],$B900),"")</f>
        <v/>
      </c>
      <c r="K900" s="84" t="str">
        <f aca="false">IF($D900=1,INDEX(TblClusters[Tarif par nœud],$B900),"")</f>
        <v/>
      </c>
      <c r="L900" s="14" t="str">
        <f aca="false">IF($D900=1,INDEX(TblClusters[CPU initial (vCPU)],$B900),"")</f>
        <v/>
      </c>
      <c r="M900" s="14" t="str">
        <f aca="false">IF($D900=1,INDEX(TblClusters[RAM initiale (Go)],$B900),"")</f>
        <v/>
      </c>
      <c r="N900" s="14" t="str">
        <f aca="false">IF($D900=1,INDEX(TblClusters[CPU min (vCPU)],$B900),"")</f>
        <v/>
      </c>
      <c r="O900" s="14" t="str">
        <f aca="false">IF($D900=1,INDEX(TblClusters[RAM min (Go)],$B900),"")</f>
        <v/>
      </c>
      <c r="P900" s="14" t="str">
        <f aca="false">IF($D900&lt;&gt;1,"",IF($G900="ROKS",SUMIFS(TblApplications[Besoin ROKS CPU (vCPU)],TblApplications[Cluster ROKS cible],$F900,TblApplications[Action],"À migrer",TblApplications[Déjà incluse ROKS],"Non",TblApplications[Mois prov (calc)],"&lt;="&amp;$E900),SUMIFS(TblApplications[CPU IKS libérable (vCPU)],TblApplications[Cluster IKS source],$F900,TblApplications[Mois lib (calc)],"&lt;="&amp;$E900)))</f>
        <v/>
      </c>
      <c r="Q900" s="14" t="str">
        <f aca="false">IF($D900&lt;&gt;1,"",IF($G900="ROKS",SUMIFS(TblApplications[Besoin ROKS RAM (Go)],TblApplications[Cluster ROKS cible],$F900,TblApplications[Action],"À migrer",TblApplications[Déjà incluse ROKS],"Non",TblApplications[Mois prov (calc)],"&lt;="&amp;$E900),SUMIFS(TblApplications[RAM IKS libérable (Go)],TblApplications[Cluster IKS source],$F900,TblApplications[Mois lib (calc)],"&lt;="&amp;$E900)))</f>
        <v/>
      </c>
      <c r="R900" s="14" t="str">
        <f aca="false">IF($D900&lt;&gt;1,"",IF($G900="ROKS",$L900+$P900,IF($AI900=1,0,MAX($N900,$L900-$P900))))</f>
        <v/>
      </c>
      <c r="S900" s="14" t="str">
        <f aca="false">IF($D900&lt;&gt;1,"",IF($G900="ROKS",$M900+$Q900,IF($AI900=1,0,MAX($O900,$M900-$Q900))))</f>
        <v/>
      </c>
      <c r="T900" s="14" t="str">
        <f aca="false">IF($D900&lt;&gt;1,"",IF($AI900=1,0,MAX($J900,ROUNDUP(MAX($R900/$H900,$S900/$I900),0))))</f>
        <v/>
      </c>
      <c r="U900" s="14" t="str">
        <f aca="false">IF($D900&lt;&gt;1,"",IF(p_mode="Nœud",$T900*$H900,$R900))</f>
        <v/>
      </c>
      <c r="V900" s="14" t="str">
        <f aca="false">IF($D900&lt;&gt;1,"",IF(p_mode="Nœud",$T900*$I900,$S900))</f>
        <v/>
      </c>
      <c r="W900" s="84" t="str">
        <f aca="false">IF($D900&lt;&gt;1,"",IF(p_mode="Nœud",$T900*$K900,$R900*IF($G900="IKS",p_iks_cpu,p_roks_cpu)+$S900*IF($G900="IKS",p_iks_ram,p_roks_ram))*p_facteur)</f>
        <v/>
      </c>
      <c r="X900" s="14" t="str">
        <f aca="false">IF($D900&lt;&gt;1,"",IF($G900="ROKS",$R900,IF($AI900=1,0,MAX($N900,$L900-SUMIFS(TblApplications[CPU IKS libérable (vCPU)],TblApplications[Cluster IKS source],$F900,TblApplications[Action],"À migrer",TblApplications[Mois prov (calc)],"&lt;="&amp;$E900)-SUMIFS(TblApplications[CPU IKS libérable (vCPU)],TblApplications[Cluster IKS source],$F900,TblApplications[Action],"À décommissionner",TblApplications[Mois lib (calc)],"&lt;="&amp;$E900)))))</f>
        <v/>
      </c>
      <c r="Y900" s="14" t="str">
        <f aca="false">IF($D900&lt;&gt;1,"",IF($G900="ROKS",$S900,IF($AI900=1,0,MAX($O900,$M900-SUMIFS(TblApplications[RAM IKS libérable (Go)],TblApplications[Cluster IKS source],$F900,TblApplications[Action],"À migrer",TblApplications[Mois prov (calc)],"&lt;="&amp;$E900)-SUMIFS(TblApplications[RAM IKS libérable (Go)],TblApplications[Cluster IKS source],$F900,TblApplications[Action],"À décommissionner",TblApplications[Mois lib (calc)],"&lt;="&amp;$E900)))))</f>
        <v/>
      </c>
      <c r="Z900" s="14" t="str">
        <f aca="false">IF($D900&lt;&gt;1,"",IF($AI900=1,0,MAX($J900,ROUNDUP(MAX($X900/$H900,$Y900/$I900),0))))</f>
        <v/>
      </c>
      <c r="AA900" s="84" t="str">
        <f aca="false">IF($D900&lt;&gt;1,"",IF(p_mode="Nœud",$Z900*$K900,$X900*IF($G900="IKS",p_iks_cpu,p_roks_cpu)+$Y900*IF($G900="IKS",p_iks_ram,p_roks_ram))*p_facteur)</f>
        <v/>
      </c>
      <c r="AB900" s="14" t="str">
        <f aca="false">IF($D900&lt;&gt;1,"",MAX($J900,ROUNDUP(MAX($L900/$H900,$M900/$I900),0)))</f>
        <v/>
      </c>
      <c r="AC900" s="84" t="str">
        <f aca="false">IF($D900&lt;&gt;1,"",IF(p_mode="Nœud",$AB900*$K900,$L900*IF($G900="IKS",p_iks_cpu,p_roks_cpu)+$M900*IF($G900="IKS",p_iks_ram,p_roks_ram))*p_facteur)</f>
        <v/>
      </c>
      <c r="AD900" s="14" t="str">
        <f aca="false">IF($D900&lt;&gt;1,"",IF(AND($G900="IKS",$AI900&lt;&gt;1,OR($L900-$P900&lt;$N900,$M900-$Q900&lt;$O900)),1,0))</f>
        <v/>
      </c>
      <c r="AE900" s="14" t="str">
        <f aca="false">IF($D900&lt;&gt;1,"",IF(AND($G900="ROKS",$T900&gt;p_maxworkers),1,0))</f>
        <v/>
      </c>
      <c r="AF900" s="14" t="str">
        <f aca="false">IF($D900&lt;&gt;1,"",IF(INDEX(TblClusters[Environnement],$B900)="","(vide)",INDEX(TblClusters[Environnement],$B900)))</f>
        <v/>
      </c>
      <c r="AG900" s="14" t="str">
        <f aca="false">IF($D900&lt;&gt;1,"",$R900+p_poidsram*$S900)</f>
        <v/>
      </c>
      <c r="AH900" s="14" t="str">
        <f aca="false">IF($D900&lt;&gt;1,"",IFERROR($W900/$AG900,0))</f>
        <v/>
      </c>
      <c r="AI900" s="14" t="str">
        <f aca="false">IF($D900&lt;&gt;1,"",IF(AND($G900="IKS",ISNUMBER(INDEX(TblClusters[Fermeture retenue],$B900))),IF($E900&gt;=INDEX(TblClusters[Fermeture retenue],$B900),1,0),0))</f>
        <v/>
      </c>
    </row>
    <row r="901" customFormat="false" ht="15" hidden="false" customHeight="false" outlineLevel="0" collapsed="false">
      <c r="A901" s="14" t="n">
        <v>896</v>
      </c>
      <c r="B901" s="14" t="n">
        <f aca="false">INT(($A901-1)/36)+1</f>
        <v>25</v>
      </c>
      <c r="C901" s="14" t="n">
        <f aca="false">MOD($A901-1,36)+1</f>
        <v>32</v>
      </c>
      <c r="D901" s="14" t="n">
        <f aca="false">IF($C901&gt;p_horizon,0,IFERROR(IF(AND(INDEX(TblClusters[Cluster],$B901)&lt;&gt;"",ISNUMBER(INDEX(TblClusters[CPU initial (vCPU)],$B901)),ISNUMBER(INDEX(TblClusters[CPU min (vCPU)],$B901)),OR(INDEX(TblClusters[Plateforme],$B901)="IKS",INDEX(TblClusters[Plateforme],$B901)="ROKS")),1,0),0))</f>
        <v>0</v>
      </c>
      <c r="E901" s="83" t="str">
        <f aca="false">IF($D901=1,EDATE(p_debut,$C901-1),"")</f>
        <v/>
      </c>
      <c r="F901" s="14" t="str">
        <f aca="false">IF($D901=1,INDEX(TblClusters[Cluster],$B901),"")</f>
        <v/>
      </c>
      <c r="G901" s="14" t="str">
        <f aca="false">IF($D901=1,INDEX(TblClusters[Plateforme],$B901),"")</f>
        <v/>
      </c>
      <c r="H901" s="14" t="str">
        <f aca="false">IF($D901=1,INDEX(TblClusters[vCPU par nœud],$B901),"")</f>
        <v/>
      </c>
      <c r="I901" s="14" t="str">
        <f aca="false">IF($D901=1,INDEX(TblClusters[RAM par nœud (Go)],$B901),"")</f>
        <v/>
      </c>
      <c r="J901" s="14" t="str">
        <f aca="false">IF($D901=1,INDEX(TblClusters[Workers min],$B901),"")</f>
        <v/>
      </c>
      <c r="K901" s="84" t="str">
        <f aca="false">IF($D901=1,INDEX(TblClusters[Tarif par nœud],$B901),"")</f>
        <v/>
      </c>
      <c r="L901" s="14" t="str">
        <f aca="false">IF($D901=1,INDEX(TblClusters[CPU initial (vCPU)],$B901),"")</f>
        <v/>
      </c>
      <c r="M901" s="14" t="str">
        <f aca="false">IF($D901=1,INDEX(TblClusters[RAM initiale (Go)],$B901),"")</f>
        <v/>
      </c>
      <c r="N901" s="14" t="str">
        <f aca="false">IF($D901=1,INDEX(TblClusters[CPU min (vCPU)],$B901),"")</f>
        <v/>
      </c>
      <c r="O901" s="14" t="str">
        <f aca="false">IF($D901=1,INDEX(TblClusters[RAM min (Go)],$B901),"")</f>
        <v/>
      </c>
      <c r="P901" s="14" t="str">
        <f aca="false">IF($D901&lt;&gt;1,"",IF($G901="ROKS",SUMIFS(TblApplications[Besoin ROKS CPU (vCPU)],TblApplications[Cluster ROKS cible],$F901,TblApplications[Action],"À migrer",TblApplications[Déjà incluse ROKS],"Non",TblApplications[Mois prov (calc)],"&lt;="&amp;$E901),SUMIFS(TblApplications[CPU IKS libérable (vCPU)],TblApplications[Cluster IKS source],$F901,TblApplications[Mois lib (calc)],"&lt;="&amp;$E901)))</f>
        <v/>
      </c>
      <c r="Q901" s="14" t="str">
        <f aca="false">IF($D901&lt;&gt;1,"",IF($G901="ROKS",SUMIFS(TblApplications[Besoin ROKS RAM (Go)],TblApplications[Cluster ROKS cible],$F901,TblApplications[Action],"À migrer",TblApplications[Déjà incluse ROKS],"Non",TblApplications[Mois prov (calc)],"&lt;="&amp;$E901),SUMIFS(TblApplications[RAM IKS libérable (Go)],TblApplications[Cluster IKS source],$F901,TblApplications[Mois lib (calc)],"&lt;="&amp;$E901)))</f>
        <v/>
      </c>
      <c r="R901" s="14" t="str">
        <f aca="false">IF($D901&lt;&gt;1,"",IF($G901="ROKS",$L901+$P901,IF($AI901=1,0,MAX($N901,$L901-$P901))))</f>
        <v/>
      </c>
      <c r="S901" s="14" t="str">
        <f aca="false">IF($D901&lt;&gt;1,"",IF($G901="ROKS",$M901+$Q901,IF($AI901=1,0,MAX($O901,$M901-$Q901))))</f>
        <v/>
      </c>
      <c r="T901" s="14" t="str">
        <f aca="false">IF($D901&lt;&gt;1,"",IF($AI901=1,0,MAX($J901,ROUNDUP(MAX($R901/$H901,$S901/$I901),0))))</f>
        <v/>
      </c>
      <c r="U901" s="14" t="str">
        <f aca="false">IF($D901&lt;&gt;1,"",IF(p_mode="Nœud",$T901*$H901,$R901))</f>
        <v/>
      </c>
      <c r="V901" s="14" t="str">
        <f aca="false">IF($D901&lt;&gt;1,"",IF(p_mode="Nœud",$T901*$I901,$S901))</f>
        <v/>
      </c>
      <c r="W901" s="84" t="str">
        <f aca="false">IF($D901&lt;&gt;1,"",IF(p_mode="Nœud",$T901*$K901,$R901*IF($G901="IKS",p_iks_cpu,p_roks_cpu)+$S901*IF($G901="IKS",p_iks_ram,p_roks_ram))*p_facteur)</f>
        <v/>
      </c>
      <c r="X901" s="14" t="str">
        <f aca="false">IF($D901&lt;&gt;1,"",IF($G901="ROKS",$R901,IF($AI901=1,0,MAX($N901,$L901-SUMIFS(TblApplications[CPU IKS libérable (vCPU)],TblApplications[Cluster IKS source],$F901,TblApplications[Action],"À migrer",TblApplications[Mois prov (calc)],"&lt;="&amp;$E901)-SUMIFS(TblApplications[CPU IKS libérable (vCPU)],TblApplications[Cluster IKS source],$F901,TblApplications[Action],"À décommissionner",TblApplications[Mois lib (calc)],"&lt;="&amp;$E901)))))</f>
        <v/>
      </c>
      <c r="Y901" s="14" t="str">
        <f aca="false">IF($D901&lt;&gt;1,"",IF($G901="ROKS",$S901,IF($AI901=1,0,MAX($O901,$M901-SUMIFS(TblApplications[RAM IKS libérable (Go)],TblApplications[Cluster IKS source],$F901,TblApplications[Action],"À migrer",TblApplications[Mois prov (calc)],"&lt;="&amp;$E901)-SUMIFS(TblApplications[RAM IKS libérable (Go)],TblApplications[Cluster IKS source],$F901,TblApplications[Action],"À décommissionner",TblApplications[Mois lib (calc)],"&lt;="&amp;$E901)))))</f>
        <v/>
      </c>
      <c r="Z901" s="14" t="str">
        <f aca="false">IF($D901&lt;&gt;1,"",IF($AI901=1,0,MAX($J901,ROUNDUP(MAX($X901/$H901,$Y901/$I901),0))))</f>
        <v/>
      </c>
      <c r="AA901" s="84" t="str">
        <f aca="false">IF($D901&lt;&gt;1,"",IF(p_mode="Nœud",$Z901*$K901,$X901*IF($G901="IKS",p_iks_cpu,p_roks_cpu)+$Y901*IF($G901="IKS",p_iks_ram,p_roks_ram))*p_facteur)</f>
        <v/>
      </c>
      <c r="AB901" s="14" t="str">
        <f aca="false">IF($D901&lt;&gt;1,"",MAX($J901,ROUNDUP(MAX($L901/$H901,$M901/$I901),0)))</f>
        <v/>
      </c>
      <c r="AC901" s="84" t="str">
        <f aca="false">IF($D901&lt;&gt;1,"",IF(p_mode="Nœud",$AB901*$K901,$L901*IF($G901="IKS",p_iks_cpu,p_roks_cpu)+$M901*IF($G901="IKS",p_iks_ram,p_roks_ram))*p_facteur)</f>
        <v/>
      </c>
      <c r="AD901" s="14" t="str">
        <f aca="false">IF($D901&lt;&gt;1,"",IF(AND($G901="IKS",$AI901&lt;&gt;1,OR($L901-$P901&lt;$N901,$M901-$Q901&lt;$O901)),1,0))</f>
        <v/>
      </c>
      <c r="AE901" s="14" t="str">
        <f aca="false">IF($D901&lt;&gt;1,"",IF(AND($G901="ROKS",$T901&gt;p_maxworkers),1,0))</f>
        <v/>
      </c>
      <c r="AF901" s="14" t="str">
        <f aca="false">IF($D901&lt;&gt;1,"",IF(INDEX(TblClusters[Environnement],$B901)="","(vide)",INDEX(TblClusters[Environnement],$B901)))</f>
        <v/>
      </c>
      <c r="AG901" s="14" t="str">
        <f aca="false">IF($D901&lt;&gt;1,"",$R901+p_poidsram*$S901)</f>
        <v/>
      </c>
      <c r="AH901" s="14" t="str">
        <f aca="false">IF($D901&lt;&gt;1,"",IFERROR($W901/$AG901,0))</f>
        <v/>
      </c>
      <c r="AI901" s="14" t="str">
        <f aca="false">IF($D901&lt;&gt;1,"",IF(AND($G901="IKS",ISNUMBER(INDEX(TblClusters[Fermeture retenue],$B901))),IF($E901&gt;=INDEX(TblClusters[Fermeture retenue],$B901),1,0),0))</f>
        <v/>
      </c>
    </row>
    <row r="902" customFormat="false" ht="15" hidden="false" customHeight="false" outlineLevel="0" collapsed="false">
      <c r="A902" s="14" t="n">
        <v>897</v>
      </c>
      <c r="B902" s="14" t="n">
        <f aca="false">INT(($A902-1)/36)+1</f>
        <v>25</v>
      </c>
      <c r="C902" s="14" t="n">
        <f aca="false">MOD($A902-1,36)+1</f>
        <v>33</v>
      </c>
      <c r="D902" s="14" t="n">
        <f aca="false">IF($C902&gt;p_horizon,0,IFERROR(IF(AND(INDEX(TblClusters[Cluster],$B902)&lt;&gt;"",ISNUMBER(INDEX(TblClusters[CPU initial (vCPU)],$B902)),ISNUMBER(INDEX(TblClusters[CPU min (vCPU)],$B902)),OR(INDEX(TblClusters[Plateforme],$B902)="IKS",INDEX(TblClusters[Plateforme],$B902)="ROKS")),1,0),0))</f>
        <v>0</v>
      </c>
      <c r="E902" s="83" t="str">
        <f aca="false">IF($D902=1,EDATE(p_debut,$C902-1),"")</f>
        <v/>
      </c>
      <c r="F902" s="14" t="str">
        <f aca="false">IF($D902=1,INDEX(TblClusters[Cluster],$B902),"")</f>
        <v/>
      </c>
      <c r="G902" s="14" t="str">
        <f aca="false">IF($D902=1,INDEX(TblClusters[Plateforme],$B902),"")</f>
        <v/>
      </c>
      <c r="H902" s="14" t="str">
        <f aca="false">IF($D902=1,INDEX(TblClusters[vCPU par nœud],$B902),"")</f>
        <v/>
      </c>
      <c r="I902" s="14" t="str">
        <f aca="false">IF($D902=1,INDEX(TblClusters[RAM par nœud (Go)],$B902),"")</f>
        <v/>
      </c>
      <c r="J902" s="14" t="str">
        <f aca="false">IF($D902=1,INDEX(TblClusters[Workers min],$B902),"")</f>
        <v/>
      </c>
      <c r="K902" s="84" t="str">
        <f aca="false">IF($D902=1,INDEX(TblClusters[Tarif par nœud],$B902),"")</f>
        <v/>
      </c>
      <c r="L902" s="14" t="str">
        <f aca="false">IF($D902=1,INDEX(TblClusters[CPU initial (vCPU)],$B902),"")</f>
        <v/>
      </c>
      <c r="M902" s="14" t="str">
        <f aca="false">IF($D902=1,INDEX(TblClusters[RAM initiale (Go)],$B902),"")</f>
        <v/>
      </c>
      <c r="N902" s="14" t="str">
        <f aca="false">IF($D902=1,INDEX(TblClusters[CPU min (vCPU)],$B902),"")</f>
        <v/>
      </c>
      <c r="O902" s="14" t="str">
        <f aca="false">IF($D902=1,INDEX(TblClusters[RAM min (Go)],$B902),"")</f>
        <v/>
      </c>
      <c r="P902" s="14" t="str">
        <f aca="false">IF($D902&lt;&gt;1,"",IF($G902="ROKS",SUMIFS(TblApplications[Besoin ROKS CPU (vCPU)],TblApplications[Cluster ROKS cible],$F902,TblApplications[Action],"À migrer",TblApplications[Déjà incluse ROKS],"Non",TblApplications[Mois prov (calc)],"&lt;="&amp;$E902),SUMIFS(TblApplications[CPU IKS libérable (vCPU)],TblApplications[Cluster IKS source],$F902,TblApplications[Mois lib (calc)],"&lt;="&amp;$E902)))</f>
        <v/>
      </c>
      <c r="Q902" s="14" t="str">
        <f aca="false">IF($D902&lt;&gt;1,"",IF($G902="ROKS",SUMIFS(TblApplications[Besoin ROKS RAM (Go)],TblApplications[Cluster ROKS cible],$F902,TblApplications[Action],"À migrer",TblApplications[Déjà incluse ROKS],"Non",TblApplications[Mois prov (calc)],"&lt;="&amp;$E902),SUMIFS(TblApplications[RAM IKS libérable (Go)],TblApplications[Cluster IKS source],$F902,TblApplications[Mois lib (calc)],"&lt;="&amp;$E902)))</f>
        <v/>
      </c>
      <c r="R902" s="14" t="str">
        <f aca="false">IF($D902&lt;&gt;1,"",IF($G902="ROKS",$L902+$P902,IF($AI902=1,0,MAX($N902,$L902-$P902))))</f>
        <v/>
      </c>
      <c r="S902" s="14" t="str">
        <f aca="false">IF($D902&lt;&gt;1,"",IF($G902="ROKS",$M902+$Q902,IF($AI902=1,0,MAX($O902,$M902-$Q902))))</f>
        <v/>
      </c>
      <c r="T902" s="14" t="str">
        <f aca="false">IF($D902&lt;&gt;1,"",IF($AI902=1,0,MAX($J902,ROUNDUP(MAX($R902/$H902,$S902/$I902),0))))</f>
        <v/>
      </c>
      <c r="U902" s="14" t="str">
        <f aca="false">IF($D902&lt;&gt;1,"",IF(p_mode="Nœud",$T902*$H902,$R902))</f>
        <v/>
      </c>
      <c r="V902" s="14" t="str">
        <f aca="false">IF($D902&lt;&gt;1,"",IF(p_mode="Nœud",$T902*$I902,$S902))</f>
        <v/>
      </c>
      <c r="W902" s="84" t="str">
        <f aca="false">IF($D902&lt;&gt;1,"",IF(p_mode="Nœud",$T902*$K902,$R902*IF($G902="IKS",p_iks_cpu,p_roks_cpu)+$S902*IF($G902="IKS",p_iks_ram,p_roks_ram))*p_facteur)</f>
        <v/>
      </c>
      <c r="X902" s="14" t="str">
        <f aca="false">IF($D902&lt;&gt;1,"",IF($G902="ROKS",$R902,IF($AI902=1,0,MAX($N902,$L902-SUMIFS(TblApplications[CPU IKS libérable (vCPU)],TblApplications[Cluster IKS source],$F902,TblApplications[Action],"À migrer",TblApplications[Mois prov (calc)],"&lt;="&amp;$E902)-SUMIFS(TblApplications[CPU IKS libérable (vCPU)],TblApplications[Cluster IKS source],$F902,TblApplications[Action],"À décommissionner",TblApplications[Mois lib (calc)],"&lt;="&amp;$E902)))))</f>
        <v/>
      </c>
      <c r="Y902" s="14" t="str">
        <f aca="false">IF($D902&lt;&gt;1,"",IF($G902="ROKS",$S902,IF($AI902=1,0,MAX($O902,$M902-SUMIFS(TblApplications[RAM IKS libérable (Go)],TblApplications[Cluster IKS source],$F902,TblApplications[Action],"À migrer",TblApplications[Mois prov (calc)],"&lt;="&amp;$E902)-SUMIFS(TblApplications[RAM IKS libérable (Go)],TblApplications[Cluster IKS source],$F902,TblApplications[Action],"À décommissionner",TblApplications[Mois lib (calc)],"&lt;="&amp;$E902)))))</f>
        <v/>
      </c>
      <c r="Z902" s="14" t="str">
        <f aca="false">IF($D902&lt;&gt;1,"",IF($AI902=1,0,MAX($J902,ROUNDUP(MAX($X902/$H902,$Y902/$I902),0))))</f>
        <v/>
      </c>
      <c r="AA902" s="84" t="str">
        <f aca="false">IF($D902&lt;&gt;1,"",IF(p_mode="Nœud",$Z902*$K902,$X902*IF($G902="IKS",p_iks_cpu,p_roks_cpu)+$Y902*IF($G902="IKS",p_iks_ram,p_roks_ram))*p_facteur)</f>
        <v/>
      </c>
      <c r="AB902" s="14" t="str">
        <f aca="false">IF($D902&lt;&gt;1,"",MAX($J902,ROUNDUP(MAX($L902/$H902,$M902/$I902),0)))</f>
        <v/>
      </c>
      <c r="AC902" s="84" t="str">
        <f aca="false">IF($D902&lt;&gt;1,"",IF(p_mode="Nœud",$AB902*$K902,$L902*IF($G902="IKS",p_iks_cpu,p_roks_cpu)+$M902*IF($G902="IKS",p_iks_ram,p_roks_ram))*p_facteur)</f>
        <v/>
      </c>
      <c r="AD902" s="14" t="str">
        <f aca="false">IF($D902&lt;&gt;1,"",IF(AND($G902="IKS",$AI902&lt;&gt;1,OR($L902-$P902&lt;$N902,$M902-$Q902&lt;$O902)),1,0))</f>
        <v/>
      </c>
      <c r="AE902" s="14" t="str">
        <f aca="false">IF($D902&lt;&gt;1,"",IF(AND($G902="ROKS",$T902&gt;p_maxworkers),1,0))</f>
        <v/>
      </c>
      <c r="AF902" s="14" t="str">
        <f aca="false">IF($D902&lt;&gt;1,"",IF(INDEX(TblClusters[Environnement],$B902)="","(vide)",INDEX(TblClusters[Environnement],$B902)))</f>
        <v/>
      </c>
      <c r="AG902" s="14" t="str">
        <f aca="false">IF($D902&lt;&gt;1,"",$R902+p_poidsram*$S902)</f>
        <v/>
      </c>
      <c r="AH902" s="14" t="str">
        <f aca="false">IF($D902&lt;&gt;1,"",IFERROR($W902/$AG902,0))</f>
        <v/>
      </c>
      <c r="AI902" s="14" t="str">
        <f aca="false">IF($D902&lt;&gt;1,"",IF(AND($G902="IKS",ISNUMBER(INDEX(TblClusters[Fermeture retenue],$B902))),IF($E902&gt;=INDEX(TblClusters[Fermeture retenue],$B902),1,0),0))</f>
        <v/>
      </c>
    </row>
    <row r="903" customFormat="false" ht="15" hidden="false" customHeight="false" outlineLevel="0" collapsed="false">
      <c r="A903" s="14" t="n">
        <v>898</v>
      </c>
      <c r="B903" s="14" t="n">
        <f aca="false">INT(($A903-1)/36)+1</f>
        <v>25</v>
      </c>
      <c r="C903" s="14" t="n">
        <f aca="false">MOD($A903-1,36)+1</f>
        <v>34</v>
      </c>
      <c r="D903" s="14" t="n">
        <f aca="false">IF($C903&gt;p_horizon,0,IFERROR(IF(AND(INDEX(TblClusters[Cluster],$B903)&lt;&gt;"",ISNUMBER(INDEX(TblClusters[CPU initial (vCPU)],$B903)),ISNUMBER(INDEX(TblClusters[CPU min (vCPU)],$B903)),OR(INDEX(TblClusters[Plateforme],$B903)="IKS",INDEX(TblClusters[Plateforme],$B903)="ROKS")),1,0),0))</f>
        <v>0</v>
      </c>
      <c r="E903" s="83" t="str">
        <f aca="false">IF($D903=1,EDATE(p_debut,$C903-1),"")</f>
        <v/>
      </c>
      <c r="F903" s="14" t="str">
        <f aca="false">IF($D903=1,INDEX(TblClusters[Cluster],$B903),"")</f>
        <v/>
      </c>
      <c r="G903" s="14" t="str">
        <f aca="false">IF($D903=1,INDEX(TblClusters[Plateforme],$B903),"")</f>
        <v/>
      </c>
      <c r="H903" s="14" t="str">
        <f aca="false">IF($D903=1,INDEX(TblClusters[vCPU par nœud],$B903),"")</f>
        <v/>
      </c>
      <c r="I903" s="14" t="str">
        <f aca="false">IF($D903=1,INDEX(TblClusters[RAM par nœud (Go)],$B903),"")</f>
        <v/>
      </c>
      <c r="J903" s="14" t="str">
        <f aca="false">IF($D903=1,INDEX(TblClusters[Workers min],$B903),"")</f>
        <v/>
      </c>
      <c r="K903" s="84" t="str">
        <f aca="false">IF($D903=1,INDEX(TblClusters[Tarif par nœud],$B903),"")</f>
        <v/>
      </c>
      <c r="L903" s="14" t="str">
        <f aca="false">IF($D903=1,INDEX(TblClusters[CPU initial (vCPU)],$B903),"")</f>
        <v/>
      </c>
      <c r="M903" s="14" t="str">
        <f aca="false">IF($D903=1,INDEX(TblClusters[RAM initiale (Go)],$B903),"")</f>
        <v/>
      </c>
      <c r="N903" s="14" t="str">
        <f aca="false">IF($D903=1,INDEX(TblClusters[CPU min (vCPU)],$B903),"")</f>
        <v/>
      </c>
      <c r="O903" s="14" t="str">
        <f aca="false">IF($D903=1,INDEX(TblClusters[RAM min (Go)],$B903),"")</f>
        <v/>
      </c>
      <c r="P903" s="14" t="str">
        <f aca="false">IF($D903&lt;&gt;1,"",IF($G903="ROKS",SUMIFS(TblApplications[Besoin ROKS CPU (vCPU)],TblApplications[Cluster ROKS cible],$F903,TblApplications[Action],"À migrer",TblApplications[Déjà incluse ROKS],"Non",TblApplications[Mois prov (calc)],"&lt;="&amp;$E903),SUMIFS(TblApplications[CPU IKS libérable (vCPU)],TblApplications[Cluster IKS source],$F903,TblApplications[Mois lib (calc)],"&lt;="&amp;$E903)))</f>
        <v/>
      </c>
      <c r="Q903" s="14" t="str">
        <f aca="false">IF($D903&lt;&gt;1,"",IF($G903="ROKS",SUMIFS(TblApplications[Besoin ROKS RAM (Go)],TblApplications[Cluster ROKS cible],$F903,TblApplications[Action],"À migrer",TblApplications[Déjà incluse ROKS],"Non",TblApplications[Mois prov (calc)],"&lt;="&amp;$E903),SUMIFS(TblApplications[RAM IKS libérable (Go)],TblApplications[Cluster IKS source],$F903,TblApplications[Mois lib (calc)],"&lt;="&amp;$E903)))</f>
        <v/>
      </c>
      <c r="R903" s="14" t="str">
        <f aca="false">IF($D903&lt;&gt;1,"",IF($G903="ROKS",$L903+$P903,IF($AI903=1,0,MAX($N903,$L903-$P903))))</f>
        <v/>
      </c>
      <c r="S903" s="14" t="str">
        <f aca="false">IF($D903&lt;&gt;1,"",IF($G903="ROKS",$M903+$Q903,IF($AI903=1,0,MAX($O903,$M903-$Q903))))</f>
        <v/>
      </c>
      <c r="T903" s="14" t="str">
        <f aca="false">IF($D903&lt;&gt;1,"",IF($AI903=1,0,MAX($J903,ROUNDUP(MAX($R903/$H903,$S903/$I903),0))))</f>
        <v/>
      </c>
      <c r="U903" s="14" t="str">
        <f aca="false">IF($D903&lt;&gt;1,"",IF(p_mode="Nœud",$T903*$H903,$R903))</f>
        <v/>
      </c>
      <c r="V903" s="14" t="str">
        <f aca="false">IF($D903&lt;&gt;1,"",IF(p_mode="Nœud",$T903*$I903,$S903))</f>
        <v/>
      </c>
      <c r="W903" s="84" t="str">
        <f aca="false">IF($D903&lt;&gt;1,"",IF(p_mode="Nœud",$T903*$K903,$R903*IF($G903="IKS",p_iks_cpu,p_roks_cpu)+$S903*IF($G903="IKS",p_iks_ram,p_roks_ram))*p_facteur)</f>
        <v/>
      </c>
      <c r="X903" s="14" t="str">
        <f aca="false">IF($D903&lt;&gt;1,"",IF($G903="ROKS",$R903,IF($AI903=1,0,MAX($N903,$L903-SUMIFS(TblApplications[CPU IKS libérable (vCPU)],TblApplications[Cluster IKS source],$F903,TblApplications[Action],"À migrer",TblApplications[Mois prov (calc)],"&lt;="&amp;$E903)-SUMIFS(TblApplications[CPU IKS libérable (vCPU)],TblApplications[Cluster IKS source],$F903,TblApplications[Action],"À décommissionner",TblApplications[Mois lib (calc)],"&lt;="&amp;$E903)))))</f>
        <v/>
      </c>
      <c r="Y903" s="14" t="str">
        <f aca="false">IF($D903&lt;&gt;1,"",IF($G903="ROKS",$S903,IF($AI903=1,0,MAX($O903,$M903-SUMIFS(TblApplications[RAM IKS libérable (Go)],TblApplications[Cluster IKS source],$F903,TblApplications[Action],"À migrer",TblApplications[Mois prov (calc)],"&lt;="&amp;$E903)-SUMIFS(TblApplications[RAM IKS libérable (Go)],TblApplications[Cluster IKS source],$F903,TblApplications[Action],"À décommissionner",TblApplications[Mois lib (calc)],"&lt;="&amp;$E903)))))</f>
        <v/>
      </c>
      <c r="Z903" s="14" t="str">
        <f aca="false">IF($D903&lt;&gt;1,"",IF($AI903=1,0,MAX($J903,ROUNDUP(MAX($X903/$H903,$Y903/$I903),0))))</f>
        <v/>
      </c>
      <c r="AA903" s="84" t="str">
        <f aca="false">IF($D903&lt;&gt;1,"",IF(p_mode="Nœud",$Z903*$K903,$X903*IF($G903="IKS",p_iks_cpu,p_roks_cpu)+$Y903*IF($G903="IKS",p_iks_ram,p_roks_ram))*p_facteur)</f>
        <v/>
      </c>
      <c r="AB903" s="14" t="str">
        <f aca="false">IF($D903&lt;&gt;1,"",MAX($J903,ROUNDUP(MAX($L903/$H903,$M903/$I903),0)))</f>
        <v/>
      </c>
      <c r="AC903" s="84" t="str">
        <f aca="false">IF($D903&lt;&gt;1,"",IF(p_mode="Nœud",$AB903*$K903,$L903*IF($G903="IKS",p_iks_cpu,p_roks_cpu)+$M903*IF($G903="IKS",p_iks_ram,p_roks_ram))*p_facteur)</f>
        <v/>
      </c>
      <c r="AD903" s="14" t="str">
        <f aca="false">IF($D903&lt;&gt;1,"",IF(AND($G903="IKS",$AI903&lt;&gt;1,OR($L903-$P903&lt;$N903,$M903-$Q903&lt;$O903)),1,0))</f>
        <v/>
      </c>
      <c r="AE903" s="14" t="str">
        <f aca="false">IF($D903&lt;&gt;1,"",IF(AND($G903="ROKS",$T903&gt;p_maxworkers),1,0))</f>
        <v/>
      </c>
      <c r="AF903" s="14" t="str">
        <f aca="false">IF($D903&lt;&gt;1,"",IF(INDEX(TblClusters[Environnement],$B903)="","(vide)",INDEX(TblClusters[Environnement],$B903)))</f>
        <v/>
      </c>
      <c r="AG903" s="14" t="str">
        <f aca="false">IF($D903&lt;&gt;1,"",$R903+p_poidsram*$S903)</f>
        <v/>
      </c>
      <c r="AH903" s="14" t="str">
        <f aca="false">IF($D903&lt;&gt;1,"",IFERROR($W903/$AG903,0))</f>
        <v/>
      </c>
      <c r="AI903" s="14" t="str">
        <f aca="false">IF($D903&lt;&gt;1,"",IF(AND($G903="IKS",ISNUMBER(INDEX(TblClusters[Fermeture retenue],$B903))),IF($E903&gt;=INDEX(TblClusters[Fermeture retenue],$B903),1,0),0))</f>
        <v/>
      </c>
    </row>
    <row r="904" customFormat="false" ht="15" hidden="false" customHeight="false" outlineLevel="0" collapsed="false">
      <c r="A904" s="14" t="n">
        <v>899</v>
      </c>
      <c r="B904" s="14" t="n">
        <f aca="false">INT(($A904-1)/36)+1</f>
        <v>25</v>
      </c>
      <c r="C904" s="14" t="n">
        <f aca="false">MOD($A904-1,36)+1</f>
        <v>35</v>
      </c>
      <c r="D904" s="14" t="n">
        <f aca="false">IF($C904&gt;p_horizon,0,IFERROR(IF(AND(INDEX(TblClusters[Cluster],$B904)&lt;&gt;"",ISNUMBER(INDEX(TblClusters[CPU initial (vCPU)],$B904)),ISNUMBER(INDEX(TblClusters[CPU min (vCPU)],$B904)),OR(INDEX(TblClusters[Plateforme],$B904)="IKS",INDEX(TblClusters[Plateforme],$B904)="ROKS")),1,0),0))</f>
        <v>0</v>
      </c>
      <c r="E904" s="83" t="str">
        <f aca="false">IF($D904=1,EDATE(p_debut,$C904-1),"")</f>
        <v/>
      </c>
      <c r="F904" s="14" t="str">
        <f aca="false">IF($D904=1,INDEX(TblClusters[Cluster],$B904),"")</f>
        <v/>
      </c>
      <c r="G904" s="14" t="str">
        <f aca="false">IF($D904=1,INDEX(TblClusters[Plateforme],$B904),"")</f>
        <v/>
      </c>
      <c r="H904" s="14" t="str">
        <f aca="false">IF($D904=1,INDEX(TblClusters[vCPU par nœud],$B904),"")</f>
        <v/>
      </c>
      <c r="I904" s="14" t="str">
        <f aca="false">IF($D904=1,INDEX(TblClusters[RAM par nœud (Go)],$B904),"")</f>
        <v/>
      </c>
      <c r="J904" s="14" t="str">
        <f aca="false">IF($D904=1,INDEX(TblClusters[Workers min],$B904),"")</f>
        <v/>
      </c>
      <c r="K904" s="84" t="str">
        <f aca="false">IF($D904=1,INDEX(TblClusters[Tarif par nœud],$B904),"")</f>
        <v/>
      </c>
      <c r="L904" s="14" t="str">
        <f aca="false">IF($D904=1,INDEX(TblClusters[CPU initial (vCPU)],$B904),"")</f>
        <v/>
      </c>
      <c r="M904" s="14" t="str">
        <f aca="false">IF($D904=1,INDEX(TblClusters[RAM initiale (Go)],$B904),"")</f>
        <v/>
      </c>
      <c r="N904" s="14" t="str">
        <f aca="false">IF($D904=1,INDEX(TblClusters[CPU min (vCPU)],$B904),"")</f>
        <v/>
      </c>
      <c r="O904" s="14" t="str">
        <f aca="false">IF($D904=1,INDEX(TblClusters[RAM min (Go)],$B904),"")</f>
        <v/>
      </c>
      <c r="P904" s="14" t="str">
        <f aca="false">IF($D904&lt;&gt;1,"",IF($G904="ROKS",SUMIFS(TblApplications[Besoin ROKS CPU (vCPU)],TblApplications[Cluster ROKS cible],$F904,TblApplications[Action],"À migrer",TblApplications[Déjà incluse ROKS],"Non",TblApplications[Mois prov (calc)],"&lt;="&amp;$E904),SUMIFS(TblApplications[CPU IKS libérable (vCPU)],TblApplications[Cluster IKS source],$F904,TblApplications[Mois lib (calc)],"&lt;="&amp;$E904)))</f>
        <v/>
      </c>
      <c r="Q904" s="14" t="str">
        <f aca="false">IF($D904&lt;&gt;1,"",IF($G904="ROKS",SUMIFS(TblApplications[Besoin ROKS RAM (Go)],TblApplications[Cluster ROKS cible],$F904,TblApplications[Action],"À migrer",TblApplications[Déjà incluse ROKS],"Non",TblApplications[Mois prov (calc)],"&lt;="&amp;$E904),SUMIFS(TblApplications[RAM IKS libérable (Go)],TblApplications[Cluster IKS source],$F904,TblApplications[Mois lib (calc)],"&lt;="&amp;$E904)))</f>
        <v/>
      </c>
      <c r="R904" s="14" t="str">
        <f aca="false">IF($D904&lt;&gt;1,"",IF($G904="ROKS",$L904+$P904,IF($AI904=1,0,MAX($N904,$L904-$P904))))</f>
        <v/>
      </c>
      <c r="S904" s="14" t="str">
        <f aca="false">IF($D904&lt;&gt;1,"",IF($G904="ROKS",$M904+$Q904,IF($AI904=1,0,MAX($O904,$M904-$Q904))))</f>
        <v/>
      </c>
      <c r="T904" s="14" t="str">
        <f aca="false">IF($D904&lt;&gt;1,"",IF($AI904=1,0,MAX($J904,ROUNDUP(MAX($R904/$H904,$S904/$I904),0))))</f>
        <v/>
      </c>
      <c r="U904" s="14" t="str">
        <f aca="false">IF($D904&lt;&gt;1,"",IF(p_mode="Nœud",$T904*$H904,$R904))</f>
        <v/>
      </c>
      <c r="V904" s="14" t="str">
        <f aca="false">IF($D904&lt;&gt;1,"",IF(p_mode="Nœud",$T904*$I904,$S904))</f>
        <v/>
      </c>
      <c r="W904" s="84" t="str">
        <f aca="false">IF($D904&lt;&gt;1,"",IF(p_mode="Nœud",$T904*$K904,$R904*IF($G904="IKS",p_iks_cpu,p_roks_cpu)+$S904*IF($G904="IKS",p_iks_ram,p_roks_ram))*p_facteur)</f>
        <v/>
      </c>
      <c r="X904" s="14" t="str">
        <f aca="false">IF($D904&lt;&gt;1,"",IF($G904="ROKS",$R904,IF($AI904=1,0,MAX($N904,$L904-SUMIFS(TblApplications[CPU IKS libérable (vCPU)],TblApplications[Cluster IKS source],$F904,TblApplications[Action],"À migrer",TblApplications[Mois prov (calc)],"&lt;="&amp;$E904)-SUMIFS(TblApplications[CPU IKS libérable (vCPU)],TblApplications[Cluster IKS source],$F904,TblApplications[Action],"À décommissionner",TblApplications[Mois lib (calc)],"&lt;="&amp;$E904)))))</f>
        <v/>
      </c>
      <c r="Y904" s="14" t="str">
        <f aca="false">IF($D904&lt;&gt;1,"",IF($G904="ROKS",$S904,IF($AI904=1,0,MAX($O904,$M904-SUMIFS(TblApplications[RAM IKS libérable (Go)],TblApplications[Cluster IKS source],$F904,TblApplications[Action],"À migrer",TblApplications[Mois prov (calc)],"&lt;="&amp;$E904)-SUMIFS(TblApplications[RAM IKS libérable (Go)],TblApplications[Cluster IKS source],$F904,TblApplications[Action],"À décommissionner",TblApplications[Mois lib (calc)],"&lt;="&amp;$E904)))))</f>
        <v/>
      </c>
      <c r="Z904" s="14" t="str">
        <f aca="false">IF($D904&lt;&gt;1,"",IF($AI904=1,0,MAX($J904,ROUNDUP(MAX($X904/$H904,$Y904/$I904),0))))</f>
        <v/>
      </c>
      <c r="AA904" s="84" t="str">
        <f aca="false">IF($D904&lt;&gt;1,"",IF(p_mode="Nœud",$Z904*$K904,$X904*IF($G904="IKS",p_iks_cpu,p_roks_cpu)+$Y904*IF($G904="IKS",p_iks_ram,p_roks_ram))*p_facteur)</f>
        <v/>
      </c>
      <c r="AB904" s="14" t="str">
        <f aca="false">IF($D904&lt;&gt;1,"",MAX($J904,ROUNDUP(MAX($L904/$H904,$M904/$I904),0)))</f>
        <v/>
      </c>
      <c r="AC904" s="84" t="str">
        <f aca="false">IF($D904&lt;&gt;1,"",IF(p_mode="Nœud",$AB904*$K904,$L904*IF($G904="IKS",p_iks_cpu,p_roks_cpu)+$M904*IF($G904="IKS",p_iks_ram,p_roks_ram))*p_facteur)</f>
        <v/>
      </c>
      <c r="AD904" s="14" t="str">
        <f aca="false">IF($D904&lt;&gt;1,"",IF(AND($G904="IKS",$AI904&lt;&gt;1,OR($L904-$P904&lt;$N904,$M904-$Q904&lt;$O904)),1,0))</f>
        <v/>
      </c>
      <c r="AE904" s="14" t="str">
        <f aca="false">IF($D904&lt;&gt;1,"",IF(AND($G904="ROKS",$T904&gt;p_maxworkers),1,0))</f>
        <v/>
      </c>
      <c r="AF904" s="14" t="str">
        <f aca="false">IF($D904&lt;&gt;1,"",IF(INDEX(TblClusters[Environnement],$B904)="","(vide)",INDEX(TblClusters[Environnement],$B904)))</f>
        <v/>
      </c>
      <c r="AG904" s="14" t="str">
        <f aca="false">IF($D904&lt;&gt;1,"",$R904+p_poidsram*$S904)</f>
        <v/>
      </c>
      <c r="AH904" s="14" t="str">
        <f aca="false">IF($D904&lt;&gt;1,"",IFERROR($W904/$AG904,0))</f>
        <v/>
      </c>
      <c r="AI904" s="14" t="str">
        <f aca="false">IF($D904&lt;&gt;1,"",IF(AND($G904="IKS",ISNUMBER(INDEX(TblClusters[Fermeture retenue],$B904))),IF($E904&gt;=INDEX(TblClusters[Fermeture retenue],$B904),1,0),0))</f>
        <v/>
      </c>
    </row>
    <row r="905" customFormat="false" ht="15" hidden="false" customHeight="false" outlineLevel="0" collapsed="false">
      <c r="A905" s="14" t="n">
        <v>900</v>
      </c>
      <c r="B905" s="14" t="n">
        <f aca="false">INT(($A905-1)/36)+1</f>
        <v>25</v>
      </c>
      <c r="C905" s="14" t="n">
        <f aca="false">MOD($A905-1,36)+1</f>
        <v>36</v>
      </c>
      <c r="D905" s="14" t="n">
        <f aca="false">IF($C905&gt;p_horizon,0,IFERROR(IF(AND(INDEX(TblClusters[Cluster],$B905)&lt;&gt;"",ISNUMBER(INDEX(TblClusters[CPU initial (vCPU)],$B905)),ISNUMBER(INDEX(TblClusters[CPU min (vCPU)],$B905)),OR(INDEX(TblClusters[Plateforme],$B905)="IKS",INDEX(TblClusters[Plateforme],$B905)="ROKS")),1,0),0))</f>
        <v>0</v>
      </c>
      <c r="E905" s="83" t="str">
        <f aca="false">IF($D905=1,EDATE(p_debut,$C905-1),"")</f>
        <v/>
      </c>
      <c r="F905" s="14" t="str">
        <f aca="false">IF($D905=1,INDEX(TblClusters[Cluster],$B905),"")</f>
        <v/>
      </c>
      <c r="G905" s="14" t="str">
        <f aca="false">IF($D905=1,INDEX(TblClusters[Plateforme],$B905),"")</f>
        <v/>
      </c>
      <c r="H905" s="14" t="str">
        <f aca="false">IF($D905=1,INDEX(TblClusters[vCPU par nœud],$B905),"")</f>
        <v/>
      </c>
      <c r="I905" s="14" t="str">
        <f aca="false">IF($D905=1,INDEX(TblClusters[RAM par nœud (Go)],$B905),"")</f>
        <v/>
      </c>
      <c r="J905" s="14" t="str">
        <f aca="false">IF($D905=1,INDEX(TblClusters[Workers min],$B905),"")</f>
        <v/>
      </c>
      <c r="K905" s="84" t="str">
        <f aca="false">IF($D905=1,INDEX(TblClusters[Tarif par nœud],$B905),"")</f>
        <v/>
      </c>
      <c r="L905" s="14" t="str">
        <f aca="false">IF($D905=1,INDEX(TblClusters[CPU initial (vCPU)],$B905),"")</f>
        <v/>
      </c>
      <c r="M905" s="14" t="str">
        <f aca="false">IF($D905=1,INDEX(TblClusters[RAM initiale (Go)],$B905),"")</f>
        <v/>
      </c>
      <c r="N905" s="14" t="str">
        <f aca="false">IF($D905=1,INDEX(TblClusters[CPU min (vCPU)],$B905),"")</f>
        <v/>
      </c>
      <c r="O905" s="14" t="str">
        <f aca="false">IF($D905=1,INDEX(TblClusters[RAM min (Go)],$B905),"")</f>
        <v/>
      </c>
      <c r="P905" s="14" t="str">
        <f aca="false">IF($D905&lt;&gt;1,"",IF($G905="ROKS",SUMIFS(TblApplications[Besoin ROKS CPU (vCPU)],TblApplications[Cluster ROKS cible],$F905,TblApplications[Action],"À migrer",TblApplications[Déjà incluse ROKS],"Non",TblApplications[Mois prov (calc)],"&lt;="&amp;$E905),SUMIFS(TblApplications[CPU IKS libérable (vCPU)],TblApplications[Cluster IKS source],$F905,TblApplications[Mois lib (calc)],"&lt;="&amp;$E905)))</f>
        <v/>
      </c>
      <c r="Q905" s="14" t="str">
        <f aca="false">IF($D905&lt;&gt;1,"",IF($G905="ROKS",SUMIFS(TblApplications[Besoin ROKS RAM (Go)],TblApplications[Cluster ROKS cible],$F905,TblApplications[Action],"À migrer",TblApplications[Déjà incluse ROKS],"Non",TblApplications[Mois prov (calc)],"&lt;="&amp;$E905),SUMIFS(TblApplications[RAM IKS libérable (Go)],TblApplications[Cluster IKS source],$F905,TblApplications[Mois lib (calc)],"&lt;="&amp;$E905)))</f>
        <v/>
      </c>
      <c r="R905" s="14" t="str">
        <f aca="false">IF($D905&lt;&gt;1,"",IF($G905="ROKS",$L905+$P905,IF($AI905=1,0,MAX($N905,$L905-$P905))))</f>
        <v/>
      </c>
      <c r="S905" s="14" t="str">
        <f aca="false">IF($D905&lt;&gt;1,"",IF($G905="ROKS",$M905+$Q905,IF($AI905=1,0,MAX($O905,$M905-$Q905))))</f>
        <v/>
      </c>
      <c r="T905" s="14" t="str">
        <f aca="false">IF($D905&lt;&gt;1,"",IF($AI905=1,0,MAX($J905,ROUNDUP(MAX($R905/$H905,$S905/$I905),0))))</f>
        <v/>
      </c>
      <c r="U905" s="14" t="str">
        <f aca="false">IF($D905&lt;&gt;1,"",IF(p_mode="Nœud",$T905*$H905,$R905))</f>
        <v/>
      </c>
      <c r="V905" s="14" t="str">
        <f aca="false">IF($D905&lt;&gt;1,"",IF(p_mode="Nœud",$T905*$I905,$S905))</f>
        <v/>
      </c>
      <c r="W905" s="84" t="str">
        <f aca="false">IF($D905&lt;&gt;1,"",IF(p_mode="Nœud",$T905*$K905,$R905*IF($G905="IKS",p_iks_cpu,p_roks_cpu)+$S905*IF($G905="IKS",p_iks_ram,p_roks_ram))*p_facteur)</f>
        <v/>
      </c>
      <c r="X905" s="14" t="str">
        <f aca="false">IF($D905&lt;&gt;1,"",IF($G905="ROKS",$R905,IF($AI905=1,0,MAX($N905,$L905-SUMIFS(TblApplications[CPU IKS libérable (vCPU)],TblApplications[Cluster IKS source],$F905,TblApplications[Action],"À migrer",TblApplications[Mois prov (calc)],"&lt;="&amp;$E905)-SUMIFS(TblApplications[CPU IKS libérable (vCPU)],TblApplications[Cluster IKS source],$F905,TblApplications[Action],"À décommissionner",TblApplications[Mois lib (calc)],"&lt;="&amp;$E905)))))</f>
        <v/>
      </c>
      <c r="Y905" s="14" t="str">
        <f aca="false">IF($D905&lt;&gt;1,"",IF($G905="ROKS",$S905,IF($AI905=1,0,MAX($O905,$M905-SUMIFS(TblApplications[RAM IKS libérable (Go)],TblApplications[Cluster IKS source],$F905,TblApplications[Action],"À migrer",TblApplications[Mois prov (calc)],"&lt;="&amp;$E905)-SUMIFS(TblApplications[RAM IKS libérable (Go)],TblApplications[Cluster IKS source],$F905,TblApplications[Action],"À décommissionner",TblApplications[Mois lib (calc)],"&lt;="&amp;$E905)))))</f>
        <v/>
      </c>
      <c r="Z905" s="14" t="str">
        <f aca="false">IF($D905&lt;&gt;1,"",IF($AI905=1,0,MAX($J905,ROUNDUP(MAX($X905/$H905,$Y905/$I905),0))))</f>
        <v/>
      </c>
      <c r="AA905" s="84" t="str">
        <f aca="false">IF($D905&lt;&gt;1,"",IF(p_mode="Nœud",$Z905*$K905,$X905*IF($G905="IKS",p_iks_cpu,p_roks_cpu)+$Y905*IF($G905="IKS",p_iks_ram,p_roks_ram))*p_facteur)</f>
        <v/>
      </c>
      <c r="AB905" s="14" t="str">
        <f aca="false">IF($D905&lt;&gt;1,"",MAX($J905,ROUNDUP(MAX($L905/$H905,$M905/$I905),0)))</f>
        <v/>
      </c>
      <c r="AC905" s="84" t="str">
        <f aca="false">IF($D905&lt;&gt;1,"",IF(p_mode="Nœud",$AB905*$K905,$L905*IF($G905="IKS",p_iks_cpu,p_roks_cpu)+$M905*IF($G905="IKS",p_iks_ram,p_roks_ram))*p_facteur)</f>
        <v/>
      </c>
      <c r="AD905" s="14" t="str">
        <f aca="false">IF($D905&lt;&gt;1,"",IF(AND($G905="IKS",$AI905&lt;&gt;1,OR($L905-$P905&lt;$N905,$M905-$Q905&lt;$O905)),1,0))</f>
        <v/>
      </c>
      <c r="AE905" s="14" t="str">
        <f aca="false">IF($D905&lt;&gt;1,"",IF(AND($G905="ROKS",$T905&gt;p_maxworkers),1,0))</f>
        <v/>
      </c>
      <c r="AF905" s="14" t="str">
        <f aca="false">IF($D905&lt;&gt;1,"",IF(INDEX(TblClusters[Environnement],$B905)="","(vide)",INDEX(TblClusters[Environnement],$B905)))</f>
        <v/>
      </c>
      <c r="AG905" s="14" t="str">
        <f aca="false">IF($D905&lt;&gt;1,"",$R905+p_poidsram*$S905)</f>
        <v/>
      </c>
      <c r="AH905" s="14" t="str">
        <f aca="false">IF($D905&lt;&gt;1,"",IFERROR($W905/$AG905,0))</f>
        <v/>
      </c>
      <c r="AI905" s="14" t="str">
        <f aca="false">IF($D905&lt;&gt;1,"",IF(AND($G905="IKS",ISNUMBER(INDEX(TblClusters[Fermeture retenue],$B905))),IF($E905&gt;=INDEX(TblClusters[Fermeture retenue],$B905),1,0),0))</f>
        <v/>
      </c>
    </row>
    <row r="906" customFormat="false" ht="15" hidden="false" customHeight="false" outlineLevel="0" collapsed="false">
      <c r="A906" s="14" t="n">
        <v>901</v>
      </c>
      <c r="B906" s="14" t="n">
        <f aca="false">INT(($A906-1)/36)+1</f>
        <v>26</v>
      </c>
      <c r="C906" s="14" t="n">
        <f aca="false">MOD($A906-1,36)+1</f>
        <v>1</v>
      </c>
      <c r="D906" s="14" t="n">
        <f aca="false">IF($C906&gt;p_horizon,0,IFERROR(IF(AND(INDEX(TblClusters[Cluster],$B906)&lt;&gt;"",ISNUMBER(INDEX(TblClusters[CPU initial (vCPU)],$B906)),ISNUMBER(INDEX(TblClusters[CPU min (vCPU)],$B906)),OR(INDEX(TblClusters[Plateforme],$B906)="IKS",INDEX(TblClusters[Plateforme],$B906)="ROKS")),1,0),0))</f>
        <v>0</v>
      </c>
      <c r="E906" s="83" t="str">
        <f aca="false">IF($D906=1,EDATE(p_debut,$C906-1),"")</f>
        <v/>
      </c>
      <c r="F906" s="14" t="str">
        <f aca="false">IF($D906=1,INDEX(TblClusters[Cluster],$B906),"")</f>
        <v/>
      </c>
      <c r="G906" s="14" t="str">
        <f aca="false">IF($D906=1,INDEX(TblClusters[Plateforme],$B906),"")</f>
        <v/>
      </c>
      <c r="H906" s="14" t="str">
        <f aca="false">IF($D906=1,INDEX(TblClusters[vCPU par nœud],$B906),"")</f>
        <v/>
      </c>
      <c r="I906" s="14" t="str">
        <f aca="false">IF($D906=1,INDEX(TblClusters[RAM par nœud (Go)],$B906),"")</f>
        <v/>
      </c>
      <c r="J906" s="14" t="str">
        <f aca="false">IF($D906=1,INDEX(TblClusters[Workers min],$B906),"")</f>
        <v/>
      </c>
      <c r="K906" s="84" t="str">
        <f aca="false">IF($D906=1,INDEX(TblClusters[Tarif par nœud],$B906),"")</f>
        <v/>
      </c>
      <c r="L906" s="14" t="str">
        <f aca="false">IF($D906=1,INDEX(TblClusters[CPU initial (vCPU)],$B906),"")</f>
        <v/>
      </c>
      <c r="M906" s="14" t="str">
        <f aca="false">IF($D906=1,INDEX(TblClusters[RAM initiale (Go)],$B906),"")</f>
        <v/>
      </c>
      <c r="N906" s="14" t="str">
        <f aca="false">IF($D906=1,INDEX(TblClusters[CPU min (vCPU)],$B906),"")</f>
        <v/>
      </c>
      <c r="O906" s="14" t="str">
        <f aca="false">IF($D906=1,INDEX(TblClusters[RAM min (Go)],$B906),"")</f>
        <v/>
      </c>
      <c r="P906" s="14" t="str">
        <f aca="false">IF($D906&lt;&gt;1,"",IF($G906="ROKS",SUMIFS(TblApplications[Besoin ROKS CPU (vCPU)],TblApplications[Cluster ROKS cible],$F906,TblApplications[Action],"À migrer",TblApplications[Déjà incluse ROKS],"Non",TblApplications[Mois prov (calc)],"&lt;="&amp;$E906),SUMIFS(TblApplications[CPU IKS libérable (vCPU)],TblApplications[Cluster IKS source],$F906,TblApplications[Mois lib (calc)],"&lt;="&amp;$E906)))</f>
        <v/>
      </c>
      <c r="Q906" s="14" t="str">
        <f aca="false">IF($D906&lt;&gt;1,"",IF($G906="ROKS",SUMIFS(TblApplications[Besoin ROKS RAM (Go)],TblApplications[Cluster ROKS cible],$F906,TblApplications[Action],"À migrer",TblApplications[Déjà incluse ROKS],"Non",TblApplications[Mois prov (calc)],"&lt;="&amp;$E906),SUMIFS(TblApplications[RAM IKS libérable (Go)],TblApplications[Cluster IKS source],$F906,TblApplications[Mois lib (calc)],"&lt;="&amp;$E906)))</f>
        <v/>
      </c>
      <c r="R906" s="14" t="str">
        <f aca="false">IF($D906&lt;&gt;1,"",IF($G906="ROKS",$L906+$P906,IF($AI906=1,0,MAX($N906,$L906-$P906))))</f>
        <v/>
      </c>
      <c r="S906" s="14" t="str">
        <f aca="false">IF($D906&lt;&gt;1,"",IF($G906="ROKS",$M906+$Q906,IF($AI906=1,0,MAX($O906,$M906-$Q906))))</f>
        <v/>
      </c>
      <c r="T906" s="14" t="str">
        <f aca="false">IF($D906&lt;&gt;1,"",IF($AI906=1,0,MAX($J906,ROUNDUP(MAX($R906/$H906,$S906/$I906),0))))</f>
        <v/>
      </c>
      <c r="U906" s="14" t="str">
        <f aca="false">IF($D906&lt;&gt;1,"",IF(p_mode="Nœud",$T906*$H906,$R906))</f>
        <v/>
      </c>
      <c r="V906" s="14" t="str">
        <f aca="false">IF($D906&lt;&gt;1,"",IF(p_mode="Nœud",$T906*$I906,$S906))</f>
        <v/>
      </c>
      <c r="W906" s="84" t="str">
        <f aca="false">IF($D906&lt;&gt;1,"",IF(p_mode="Nœud",$T906*$K906,$R906*IF($G906="IKS",p_iks_cpu,p_roks_cpu)+$S906*IF($G906="IKS",p_iks_ram,p_roks_ram))*p_facteur)</f>
        <v/>
      </c>
      <c r="X906" s="14" t="str">
        <f aca="false">IF($D906&lt;&gt;1,"",IF($G906="ROKS",$R906,IF($AI906=1,0,MAX($N906,$L906-SUMIFS(TblApplications[CPU IKS libérable (vCPU)],TblApplications[Cluster IKS source],$F906,TblApplications[Action],"À migrer",TblApplications[Mois prov (calc)],"&lt;="&amp;$E906)-SUMIFS(TblApplications[CPU IKS libérable (vCPU)],TblApplications[Cluster IKS source],$F906,TblApplications[Action],"À décommissionner",TblApplications[Mois lib (calc)],"&lt;="&amp;$E906)))))</f>
        <v/>
      </c>
      <c r="Y906" s="14" t="str">
        <f aca="false">IF($D906&lt;&gt;1,"",IF($G906="ROKS",$S906,IF($AI906=1,0,MAX($O906,$M906-SUMIFS(TblApplications[RAM IKS libérable (Go)],TblApplications[Cluster IKS source],$F906,TblApplications[Action],"À migrer",TblApplications[Mois prov (calc)],"&lt;="&amp;$E906)-SUMIFS(TblApplications[RAM IKS libérable (Go)],TblApplications[Cluster IKS source],$F906,TblApplications[Action],"À décommissionner",TblApplications[Mois lib (calc)],"&lt;="&amp;$E906)))))</f>
        <v/>
      </c>
      <c r="Z906" s="14" t="str">
        <f aca="false">IF($D906&lt;&gt;1,"",IF($AI906=1,0,MAX($J906,ROUNDUP(MAX($X906/$H906,$Y906/$I906),0))))</f>
        <v/>
      </c>
      <c r="AA906" s="84" t="str">
        <f aca="false">IF($D906&lt;&gt;1,"",IF(p_mode="Nœud",$Z906*$K906,$X906*IF($G906="IKS",p_iks_cpu,p_roks_cpu)+$Y906*IF($G906="IKS",p_iks_ram,p_roks_ram))*p_facteur)</f>
        <v/>
      </c>
      <c r="AB906" s="14" t="str">
        <f aca="false">IF($D906&lt;&gt;1,"",MAX($J906,ROUNDUP(MAX($L906/$H906,$M906/$I906),0)))</f>
        <v/>
      </c>
      <c r="AC906" s="84" t="str">
        <f aca="false">IF($D906&lt;&gt;1,"",IF(p_mode="Nœud",$AB906*$K906,$L906*IF($G906="IKS",p_iks_cpu,p_roks_cpu)+$M906*IF($G906="IKS",p_iks_ram,p_roks_ram))*p_facteur)</f>
        <v/>
      </c>
      <c r="AD906" s="14" t="str">
        <f aca="false">IF($D906&lt;&gt;1,"",IF(AND($G906="IKS",$AI906&lt;&gt;1,OR($L906-$P906&lt;$N906,$M906-$Q906&lt;$O906)),1,0))</f>
        <v/>
      </c>
      <c r="AE906" s="14" t="str">
        <f aca="false">IF($D906&lt;&gt;1,"",IF(AND($G906="ROKS",$T906&gt;p_maxworkers),1,0))</f>
        <v/>
      </c>
      <c r="AF906" s="14" t="str">
        <f aca="false">IF($D906&lt;&gt;1,"",IF(INDEX(TblClusters[Environnement],$B906)="","(vide)",INDEX(TblClusters[Environnement],$B906)))</f>
        <v/>
      </c>
      <c r="AG906" s="14" t="str">
        <f aca="false">IF($D906&lt;&gt;1,"",$R906+p_poidsram*$S906)</f>
        <v/>
      </c>
      <c r="AH906" s="14" t="str">
        <f aca="false">IF($D906&lt;&gt;1,"",IFERROR($W906/$AG906,0))</f>
        <v/>
      </c>
      <c r="AI906" s="14" t="str">
        <f aca="false">IF($D906&lt;&gt;1,"",IF(AND($G906="IKS",ISNUMBER(INDEX(TblClusters[Fermeture retenue],$B906))),IF($E906&gt;=INDEX(TblClusters[Fermeture retenue],$B906),1,0),0))</f>
        <v/>
      </c>
    </row>
    <row r="907" customFormat="false" ht="15" hidden="false" customHeight="false" outlineLevel="0" collapsed="false">
      <c r="A907" s="14" t="n">
        <v>902</v>
      </c>
      <c r="B907" s="14" t="n">
        <f aca="false">INT(($A907-1)/36)+1</f>
        <v>26</v>
      </c>
      <c r="C907" s="14" t="n">
        <f aca="false">MOD($A907-1,36)+1</f>
        <v>2</v>
      </c>
      <c r="D907" s="14" t="n">
        <f aca="false">IF($C907&gt;p_horizon,0,IFERROR(IF(AND(INDEX(TblClusters[Cluster],$B907)&lt;&gt;"",ISNUMBER(INDEX(TblClusters[CPU initial (vCPU)],$B907)),ISNUMBER(INDEX(TblClusters[CPU min (vCPU)],$B907)),OR(INDEX(TblClusters[Plateforme],$B907)="IKS",INDEX(TblClusters[Plateforme],$B907)="ROKS")),1,0),0))</f>
        <v>0</v>
      </c>
      <c r="E907" s="83" t="str">
        <f aca="false">IF($D907=1,EDATE(p_debut,$C907-1),"")</f>
        <v/>
      </c>
      <c r="F907" s="14" t="str">
        <f aca="false">IF($D907=1,INDEX(TblClusters[Cluster],$B907),"")</f>
        <v/>
      </c>
      <c r="G907" s="14" t="str">
        <f aca="false">IF($D907=1,INDEX(TblClusters[Plateforme],$B907),"")</f>
        <v/>
      </c>
      <c r="H907" s="14" t="str">
        <f aca="false">IF($D907=1,INDEX(TblClusters[vCPU par nœud],$B907),"")</f>
        <v/>
      </c>
      <c r="I907" s="14" t="str">
        <f aca="false">IF($D907=1,INDEX(TblClusters[RAM par nœud (Go)],$B907),"")</f>
        <v/>
      </c>
      <c r="J907" s="14" t="str">
        <f aca="false">IF($D907=1,INDEX(TblClusters[Workers min],$B907),"")</f>
        <v/>
      </c>
      <c r="K907" s="84" t="str">
        <f aca="false">IF($D907=1,INDEX(TblClusters[Tarif par nœud],$B907),"")</f>
        <v/>
      </c>
      <c r="L907" s="14" t="str">
        <f aca="false">IF($D907=1,INDEX(TblClusters[CPU initial (vCPU)],$B907),"")</f>
        <v/>
      </c>
      <c r="M907" s="14" t="str">
        <f aca="false">IF($D907=1,INDEX(TblClusters[RAM initiale (Go)],$B907),"")</f>
        <v/>
      </c>
      <c r="N907" s="14" t="str">
        <f aca="false">IF($D907=1,INDEX(TblClusters[CPU min (vCPU)],$B907),"")</f>
        <v/>
      </c>
      <c r="O907" s="14" t="str">
        <f aca="false">IF($D907=1,INDEX(TblClusters[RAM min (Go)],$B907),"")</f>
        <v/>
      </c>
      <c r="P907" s="14" t="str">
        <f aca="false">IF($D907&lt;&gt;1,"",IF($G907="ROKS",SUMIFS(TblApplications[Besoin ROKS CPU (vCPU)],TblApplications[Cluster ROKS cible],$F907,TblApplications[Action],"À migrer",TblApplications[Déjà incluse ROKS],"Non",TblApplications[Mois prov (calc)],"&lt;="&amp;$E907),SUMIFS(TblApplications[CPU IKS libérable (vCPU)],TblApplications[Cluster IKS source],$F907,TblApplications[Mois lib (calc)],"&lt;="&amp;$E907)))</f>
        <v/>
      </c>
      <c r="Q907" s="14" t="str">
        <f aca="false">IF($D907&lt;&gt;1,"",IF($G907="ROKS",SUMIFS(TblApplications[Besoin ROKS RAM (Go)],TblApplications[Cluster ROKS cible],$F907,TblApplications[Action],"À migrer",TblApplications[Déjà incluse ROKS],"Non",TblApplications[Mois prov (calc)],"&lt;="&amp;$E907),SUMIFS(TblApplications[RAM IKS libérable (Go)],TblApplications[Cluster IKS source],$F907,TblApplications[Mois lib (calc)],"&lt;="&amp;$E907)))</f>
        <v/>
      </c>
      <c r="R907" s="14" t="str">
        <f aca="false">IF($D907&lt;&gt;1,"",IF($G907="ROKS",$L907+$P907,IF($AI907=1,0,MAX($N907,$L907-$P907))))</f>
        <v/>
      </c>
      <c r="S907" s="14" t="str">
        <f aca="false">IF($D907&lt;&gt;1,"",IF($G907="ROKS",$M907+$Q907,IF($AI907=1,0,MAX($O907,$M907-$Q907))))</f>
        <v/>
      </c>
      <c r="T907" s="14" t="str">
        <f aca="false">IF($D907&lt;&gt;1,"",IF($AI907=1,0,MAX($J907,ROUNDUP(MAX($R907/$H907,$S907/$I907),0))))</f>
        <v/>
      </c>
      <c r="U907" s="14" t="str">
        <f aca="false">IF($D907&lt;&gt;1,"",IF(p_mode="Nœud",$T907*$H907,$R907))</f>
        <v/>
      </c>
      <c r="V907" s="14" t="str">
        <f aca="false">IF($D907&lt;&gt;1,"",IF(p_mode="Nœud",$T907*$I907,$S907))</f>
        <v/>
      </c>
      <c r="W907" s="84" t="str">
        <f aca="false">IF($D907&lt;&gt;1,"",IF(p_mode="Nœud",$T907*$K907,$R907*IF($G907="IKS",p_iks_cpu,p_roks_cpu)+$S907*IF($G907="IKS",p_iks_ram,p_roks_ram))*p_facteur)</f>
        <v/>
      </c>
      <c r="X907" s="14" t="str">
        <f aca="false">IF($D907&lt;&gt;1,"",IF($G907="ROKS",$R907,IF($AI907=1,0,MAX($N907,$L907-SUMIFS(TblApplications[CPU IKS libérable (vCPU)],TblApplications[Cluster IKS source],$F907,TblApplications[Action],"À migrer",TblApplications[Mois prov (calc)],"&lt;="&amp;$E907)-SUMIFS(TblApplications[CPU IKS libérable (vCPU)],TblApplications[Cluster IKS source],$F907,TblApplications[Action],"À décommissionner",TblApplications[Mois lib (calc)],"&lt;="&amp;$E907)))))</f>
        <v/>
      </c>
      <c r="Y907" s="14" t="str">
        <f aca="false">IF($D907&lt;&gt;1,"",IF($G907="ROKS",$S907,IF($AI907=1,0,MAX($O907,$M907-SUMIFS(TblApplications[RAM IKS libérable (Go)],TblApplications[Cluster IKS source],$F907,TblApplications[Action],"À migrer",TblApplications[Mois prov (calc)],"&lt;="&amp;$E907)-SUMIFS(TblApplications[RAM IKS libérable (Go)],TblApplications[Cluster IKS source],$F907,TblApplications[Action],"À décommissionner",TblApplications[Mois lib (calc)],"&lt;="&amp;$E907)))))</f>
        <v/>
      </c>
      <c r="Z907" s="14" t="str">
        <f aca="false">IF($D907&lt;&gt;1,"",IF($AI907=1,0,MAX($J907,ROUNDUP(MAX($X907/$H907,$Y907/$I907),0))))</f>
        <v/>
      </c>
      <c r="AA907" s="84" t="str">
        <f aca="false">IF($D907&lt;&gt;1,"",IF(p_mode="Nœud",$Z907*$K907,$X907*IF($G907="IKS",p_iks_cpu,p_roks_cpu)+$Y907*IF($G907="IKS",p_iks_ram,p_roks_ram))*p_facteur)</f>
        <v/>
      </c>
      <c r="AB907" s="14" t="str">
        <f aca="false">IF($D907&lt;&gt;1,"",MAX($J907,ROUNDUP(MAX($L907/$H907,$M907/$I907),0)))</f>
        <v/>
      </c>
      <c r="AC907" s="84" t="str">
        <f aca="false">IF($D907&lt;&gt;1,"",IF(p_mode="Nœud",$AB907*$K907,$L907*IF($G907="IKS",p_iks_cpu,p_roks_cpu)+$M907*IF($G907="IKS",p_iks_ram,p_roks_ram))*p_facteur)</f>
        <v/>
      </c>
      <c r="AD907" s="14" t="str">
        <f aca="false">IF($D907&lt;&gt;1,"",IF(AND($G907="IKS",$AI907&lt;&gt;1,OR($L907-$P907&lt;$N907,$M907-$Q907&lt;$O907)),1,0))</f>
        <v/>
      </c>
      <c r="AE907" s="14" t="str">
        <f aca="false">IF($D907&lt;&gt;1,"",IF(AND($G907="ROKS",$T907&gt;p_maxworkers),1,0))</f>
        <v/>
      </c>
      <c r="AF907" s="14" t="str">
        <f aca="false">IF($D907&lt;&gt;1,"",IF(INDEX(TblClusters[Environnement],$B907)="","(vide)",INDEX(TblClusters[Environnement],$B907)))</f>
        <v/>
      </c>
      <c r="AG907" s="14" t="str">
        <f aca="false">IF($D907&lt;&gt;1,"",$R907+p_poidsram*$S907)</f>
        <v/>
      </c>
      <c r="AH907" s="14" t="str">
        <f aca="false">IF($D907&lt;&gt;1,"",IFERROR($W907/$AG907,0))</f>
        <v/>
      </c>
      <c r="AI907" s="14" t="str">
        <f aca="false">IF($D907&lt;&gt;1,"",IF(AND($G907="IKS",ISNUMBER(INDEX(TblClusters[Fermeture retenue],$B907))),IF($E907&gt;=INDEX(TblClusters[Fermeture retenue],$B907),1,0),0))</f>
        <v/>
      </c>
    </row>
    <row r="908" customFormat="false" ht="15" hidden="false" customHeight="false" outlineLevel="0" collapsed="false">
      <c r="A908" s="14" t="n">
        <v>903</v>
      </c>
      <c r="B908" s="14" t="n">
        <f aca="false">INT(($A908-1)/36)+1</f>
        <v>26</v>
      </c>
      <c r="C908" s="14" t="n">
        <f aca="false">MOD($A908-1,36)+1</f>
        <v>3</v>
      </c>
      <c r="D908" s="14" t="n">
        <f aca="false">IF($C908&gt;p_horizon,0,IFERROR(IF(AND(INDEX(TblClusters[Cluster],$B908)&lt;&gt;"",ISNUMBER(INDEX(TblClusters[CPU initial (vCPU)],$B908)),ISNUMBER(INDEX(TblClusters[CPU min (vCPU)],$B908)),OR(INDEX(TblClusters[Plateforme],$B908)="IKS",INDEX(TblClusters[Plateforme],$B908)="ROKS")),1,0),0))</f>
        <v>0</v>
      </c>
      <c r="E908" s="83" t="str">
        <f aca="false">IF($D908=1,EDATE(p_debut,$C908-1),"")</f>
        <v/>
      </c>
      <c r="F908" s="14" t="str">
        <f aca="false">IF($D908=1,INDEX(TblClusters[Cluster],$B908),"")</f>
        <v/>
      </c>
      <c r="G908" s="14" t="str">
        <f aca="false">IF($D908=1,INDEX(TblClusters[Plateforme],$B908),"")</f>
        <v/>
      </c>
      <c r="H908" s="14" t="str">
        <f aca="false">IF($D908=1,INDEX(TblClusters[vCPU par nœud],$B908),"")</f>
        <v/>
      </c>
      <c r="I908" s="14" t="str">
        <f aca="false">IF($D908=1,INDEX(TblClusters[RAM par nœud (Go)],$B908),"")</f>
        <v/>
      </c>
      <c r="J908" s="14" t="str">
        <f aca="false">IF($D908=1,INDEX(TblClusters[Workers min],$B908),"")</f>
        <v/>
      </c>
      <c r="K908" s="84" t="str">
        <f aca="false">IF($D908=1,INDEX(TblClusters[Tarif par nœud],$B908),"")</f>
        <v/>
      </c>
      <c r="L908" s="14" t="str">
        <f aca="false">IF($D908=1,INDEX(TblClusters[CPU initial (vCPU)],$B908),"")</f>
        <v/>
      </c>
      <c r="M908" s="14" t="str">
        <f aca="false">IF($D908=1,INDEX(TblClusters[RAM initiale (Go)],$B908),"")</f>
        <v/>
      </c>
      <c r="N908" s="14" t="str">
        <f aca="false">IF($D908=1,INDEX(TblClusters[CPU min (vCPU)],$B908),"")</f>
        <v/>
      </c>
      <c r="O908" s="14" t="str">
        <f aca="false">IF($D908=1,INDEX(TblClusters[RAM min (Go)],$B908),"")</f>
        <v/>
      </c>
      <c r="P908" s="14" t="str">
        <f aca="false">IF($D908&lt;&gt;1,"",IF($G908="ROKS",SUMIFS(TblApplications[Besoin ROKS CPU (vCPU)],TblApplications[Cluster ROKS cible],$F908,TblApplications[Action],"À migrer",TblApplications[Déjà incluse ROKS],"Non",TblApplications[Mois prov (calc)],"&lt;="&amp;$E908),SUMIFS(TblApplications[CPU IKS libérable (vCPU)],TblApplications[Cluster IKS source],$F908,TblApplications[Mois lib (calc)],"&lt;="&amp;$E908)))</f>
        <v/>
      </c>
      <c r="Q908" s="14" t="str">
        <f aca="false">IF($D908&lt;&gt;1,"",IF($G908="ROKS",SUMIFS(TblApplications[Besoin ROKS RAM (Go)],TblApplications[Cluster ROKS cible],$F908,TblApplications[Action],"À migrer",TblApplications[Déjà incluse ROKS],"Non",TblApplications[Mois prov (calc)],"&lt;="&amp;$E908),SUMIFS(TblApplications[RAM IKS libérable (Go)],TblApplications[Cluster IKS source],$F908,TblApplications[Mois lib (calc)],"&lt;="&amp;$E908)))</f>
        <v/>
      </c>
      <c r="R908" s="14" t="str">
        <f aca="false">IF($D908&lt;&gt;1,"",IF($G908="ROKS",$L908+$P908,IF($AI908=1,0,MAX($N908,$L908-$P908))))</f>
        <v/>
      </c>
      <c r="S908" s="14" t="str">
        <f aca="false">IF($D908&lt;&gt;1,"",IF($G908="ROKS",$M908+$Q908,IF($AI908=1,0,MAX($O908,$M908-$Q908))))</f>
        <v/>
      </c>
      <c r="T908" s="14" t="str">
        <f aca="false">IF($D908&lt;&gt;1,"",IF($AI908=1,0,MAX($J908,ROUNDUP(MAX($R908/$H908,$S908/$I908),0))))</f>
        <v/>
      </c>
      <c r="U908" s="14" t="str">
        <f aca="false">IF($D908&lt;&gt;1,"",IF(p_mode="Nœud",$T908*$H908,$R908))</f>
        <v/>
      </c>
      <c r="V908" s="14" t="str">
        <f aca="false">IF($D908&lt;&gt;1,"",IF(p_mode="Nœud",$T908*$I908,$S908))</f>
        <v/>
      </c>
      <c r="W908" s="84" t="str">
        <f aca="false">IF($D908&lt;&gt;1,"",IF(p_mode="Nœud",$T908*$K908,$R908*IF($G908="IKS",p_iks_cpu,p_roks_cpu)+$S908*IF($G908="IKS",p_iks_ram,p_roks_ram))*p_facteur)</f>
        <v/>
      </c>
      <c r="X908" s="14" t="str">
        <f aca="false">IF($D908&lt;&gt;1,"",IF($G908="ROKS",$R908,IF($AI908=1,0,MAX($N908,$L908-SUMIFS(TblApplications[CPU IKS libérable (vCPU)],TblApplications[Cluster IKS source],$F908,TblApplications[Action],"À migrer",TblApplications[Mois prov (calc)],"&lt;="&amp;$E908)-SUMIFS(TblApplications[CPU IKS libérable (vCPU)],TblApplications[Cluster IKS source],$F908,TblApplications[Action],"À décommissionner",TblApplications[Mois lib (calc)],"&lt;="&amp;$E908)))))</f>
        <v/>
      </c>
      <c r="Y908" s="14" t="str">
        <f aca="false">IF($D908&lt;&gt;1,"",IF($G908="ROKS",$S908,IF($AI908=1,0,MAX($O908,$M908-SUMIFS(TblApplications[RAM IKS libérable (Go)],TblApplications[Cluster IKS source],$F908,TblApplications[Action],"À migrer",TblApplications[Mois prov (calc)],"&lt;="&amp;$E908)-SUMIFS(TblApplications[RAM IKS libérable (Go)],TblApplications[Cluster IKS source],$F908,TblApplications[Action],"À décommissionner",TblApplications[Mois lib (calc)],"&lt;="&amp;$E908)))))</f>
        <v/>
      </c>
      <c r="Z908" s="14" t="str">
        <f aca="false">IF($D908&lt;&gt;1,"",IF($AI908=1,0,MAX($J908,ROUNDUP(MAX($X908/$H908,$Y908/$I908),0))))</f>
        <v/>
      </c>
      <c r="AA908" s="84" t="str">
        <f aca="false">IF($D908&lt;&gt;1,"",IF(p_mode="Nœud",$Z908*$K908,$X908*IF($G908="IKS",p_iks_cpu,p_roks_cpu)+$Y908*IF($G908="IKS",p_iks_ram,p_roks_ram))*p_facteur)</f>
        <v/>
      </c>
      <c r="AB908" s="14" t="str">
        <f aca="false">IF($D908&lt;&gt;1,"",MAX($J908,ROUNDUP(MAX($L908/$H908,$M908/$I908),0)))</f>
        <v/>
      </c>
      <c r="AC908" s="84" t="str">
        <f aca="false">IF($D908&lt;&gt;1,"",IF(p_mode="Nœud",$AB908*$K908,$L908*IF($G908="IKS",p_iks_cpu,p_roks_cpu)+$M908*IF($G908="IKS",p_iks_ram,p_roks_ram))*p_facteur)</f>
        <v/>
      </c>
      <c r="AD908" s="14" t="str">
        <f aca="false">IF($D908&lt;&gt;1,"",IF(AND($G908="IKS",$AI908&lt;&gt;1,OR($L908-$P908&lt;$N908,$M908-$Q908&lt;$O908)),1,0))</f>
        <v/>
      </c>
      <c r="AE908" s="14" t="str">
        <f aca="false">IF($D908&lt;&gt;1,"",IF(AND($G908="ROKS",$T908&gt;p_maxworkers),1,0))</f>
        <v/>
      </c>
      <c r="AF908" s="14" t="str">
        <f aca="false">IF($D908&lt;&gt;1,"",IF(INDEX(TblClusters[Environnement],$B908)="","(vide)",INDEX(TblClusters[Environnement],$B908)))</f>
        <v/>
      </c>
      <c r="AG908" s="14" t="str">
        <f aca="false">IF($D908&lt;&gt;1,"",$R908+p_poidsram*$S908)</f>
        <v/>
      </c>
      <c r="AH908" s="14" t="str">
        <f aca="false">IF($D908&lt;&gt;1,"",IFERROR($W908/$AG908,0))</f>
        <v/>
      </c>
      <c r="AI908" s="14" t="str">
        <f aca="false">IF($D908&lt;&gt;1,"",IF(AND($G908="IKS",ISNUMBER(INDEX(TblClusters[Fermeture retenue],$B908))),IF($E908&gt;=INDEX(TblClusters[Fermeture retenue],$B908),1,0),0))</f>
        <v/>
      </c>
    </row>
    <row r="909" customFormat="false" ht="15" hidden="false" customHeight="false" outlineLevel="0" collapsed="false">
      <c r="A909" s="14" t="n">
        <v>904</v>
      </c>
      <c r="B909" s="14" t="n">
        <f aca="false">INT(($A909-1)/36)+1</f>
        <v>26</v>
      </c>
      <c r="C909" s="14" t="n">
        <f aca="false">MOD($A909-1,36)+1</f>
        <v>4</v>
      </c>
      <c r="D909" s="14" t="n">
        <f aca="false">IF($C909&gt;p_horizon,0,IFERROR(IF(AND(INDEX(TblClusters[Cluster],$B909)&lt;&gt;"",ISNUMBER(INDEX(TblClusters[CPU initial (vCPU)],$B909)),ISNUMBER(INDEX(TblClusters[CPU min (vCPU)],$B909)),OR(INDEX(TblClusters[Plateforme],$B909)="IKS",INDEX(TblClusters[Plateforme],$B909)="ROKS")),1,0),0))</f>
        <v>0</v>
      </c>
      <c r="E909" s="83" t="str">
        <f aca="false">IF($D909=1,EDATE(p_debut,$C909-1),"")</f>
        <v/>
      </c>
      <c r="F909" s="14" t="str">
        <f aca="false">IF($D909=1,INDEX(TblClusters[Cluster],$B909),"")</f>
        <v/>
      </c>
      <c r="G909" s="14" t="str">
        <f aca="false">IF($D909=1,INDEX(TblClusters[Plateforme],$B909),"")</f>
        <v/>
      </c>
      <c r="H909" s="14" t="str">
        <f aca="false">IF($D909=1,INDEX(TblClusters[vCPU par nœud],$B909),"")</f>
        <v/>
      </c>
      <c r="I909" s="14" t="str">
        <f aca="false">IF($D909=1,INDEX(TblClusters[RAM par nœud (Go)],$B909),"")</f>
        <v/>
      </c>
      <c r="J909" s="14" t="str">
        <f aca="false">IF($D909=1,INDEX(TblClusters[Workers min],$B909),"")</f>
        <v/>
      </c>
      <c r="K909" s="84" t="str">
        <f aca="false">IF($D909=1,INDEX(TblClusters[Tarif par nœud],$B909),"")</f>
        <v/>
      </c>
      <c r="L909" s="14" t="str">
        <f aca="false">IF($D909=1,INDEX(TblClusters[CPU initial (vCPU)],$B909),"")</f>
        <v/>
      </c>
      <c r="M909" s="14" t="str">
        <f aca="false">IF($D909=1,INDEX(TblClusters[RAM initiale (Go)],$B909),"")</f>
        <v/>
      </c>
      <c r="N909" s="14" t="str">
        <f aca="false">IF($D909=1,INDEX(TblClusters[CPU min (vCPU)],$B909),"")</f>
        <v/>
      </c>
      <c r="O909" s="14" t="str">
        <f aca="false">IF($D909=1,INDEX(TblClusters[RAM min (Go)],$B909),"")</f>
        <v/>
      </c>
      <c r="P909" s="14" t="str">
        <f aca="false">IF($D909&lt;&gt;1,"",IF($G909="ROKS",SUMIFS(TblApplications[Besoin ROKS CPU (vCPU)],TblApplications[Cluster ROKS cible],$F909,TblApplications[Action],"À migrer",TblApplications[Déjà incluse ROKS],"Non",TblApplications[Mois prov (calc)],"&lt;="&amp;$E909),SUMIFS(TblApplications[CPU IKS libérable (vCPU)],TblApplications[Cluster IKS source],$F909,TblApplications[Mois lib (calc)],"&lt;="&amp;$E909)))</f>
        <v/>
      </c>
      <c r="Q909" s="14" t="str">
        <f aca="false">IF($D909&lt;&gt;1,"",IF($G909="ROKS",SUMIFS(TblApplications[Besoin ROKS RAM (Go)],TblApplications[Cluster ROKS cible],$F909,TblApplications[Action],"À migrer",TblApplications[Déjà incluse ROKS],"Non",TblApplications[Mois prov (calc)],"&lt;="&amp;$E909),SUMIFS(TblApplications[RAM IKS libérable (Go)],TblApplications[Cluster IKS source],$F909,TblApplications[Mois lib (calc)],"&lt;="&amp;$E909)))</f>
        <v/>
      </c>
      <c r="R909" s="14" t="str">
        <f aca="false">IF($D909&lt;&gt;1,"",IF($G909="ROKS",$L909+$P909,IF($AI909=1,0,MAX($N909,$L909-$P909))))</f>
        <v/>
      </c>
      <c r="S909" s="14" t="str">
        <f aca="false">IF($D909&lt;&gt;1,"",IF($G909="ROKS",$M909+$Q909,IF($AI909=1,0,MAX($O909,$M909-$Q909))))</f>
        <v/>
      </c>
      <c r="T909" s="14" t="str">
        <f aca="false">IF($D909&lt;&gt;1,"",IF($AI909=1,0,MAX($J909,ROUNDUP(MAX($R909/$H909,$S909/$I909),0))))</f>
        <v/>
      </c>
      <c r="U909" s="14" t="str">
        <f aca="false">IF($D909&lt;&gt;1,"",IF(p_mode="Nœud",$T909*$H909,$R909))</f>
        <v/>
      </c>
      <c r="V909" s="14" t="str">
        <f aca="false">IF($D909&lt;&gt;1,"",IF(p_mode="Nœud",$T909*$I909,$S909))</f>
        <v/>
      </c>
      <c r="W909" s="84" t="str">
        <f aca="false">IF($D909&lt;&gt;1,"",IF(p_mode="Nœud",$T909*$K909,$R909*IF($G909="IKS",p_iks_cpu,p_roks_cpu)+$S909*IF($G909="IKS",p_iks_ram,p_roks_ram))*p_facteur)</f>
        <v/>
      </c>
      <c r="X909" s="14" t="str">
        <f aca="false">IF($D909&lt;&gt;1,"",IF($G909="ROKS",$R909,IF($AI909=1,0,MAX($N909,$L909-SUMIFS(TblApplications[CPU IKS libérable (vCPU)],TblApplications[Cluster IKS source],$F909,TblApplications[Action],"À migrer",TblApplications[Mois prov (calc)],"&lt;="&amp;$E909)-SUMIFS(TblApplications[CPU IKS libérable (vCPU)],TblApplications[Cluster IKS source],$F909,TblApplications[Action],"À décommissionner",TblApplications[Mois lib (calc)],"&lt;="&amp;$E909)))))</f>
        <v/>
      </c>
      <c r="Y909" s="14" t="str">
        <f aca="false">IF($D909&lt;&gt;1,"",IF($G909="ROKS",$S909,IF($AI909=1,0,MAX($O909,$M909-SUMIFS(TblApplications[RAM IKS libérable (Go)],TblApplications[Cluster IKS source],$F909,TblApplications[Action],"À migrer",TblApplications[Mois prov (calc)],"&lt;="&amp;$E909)-SUMIFS(TblApplications[RAM IKS libérable (Go)],TblApplications[Cluster IKS source],$F909,TblApplications[Action],"À décommissionner",TblApplications[Mois lib (calc)],"&lt;="&amp;$E909)))))</f>
        <v/>
      </c>
      <c r="Z909" s="14" t="str">
        <f aca="false">IF($D909&lt;&gt;1,"",IF($AI909=1,0,MAX($J909,ROUNDUP(MAX($X909/$H909,$Y909/$I909),0))))</f>
        <v/>
      </c>
      <c r="AA909" s="84" t="str">
        <f aca="false">IF($D909&lt;&gt;1,"",IF(p_mode="Nœud",$Z909*$K909,$X909*IF($G909="IKS",p_iks_cpu,p_roks_cpu)+$Y909*IF($G909="IKS",p_iks_ram,p_roks_ram))*p_facteur)</f>
        <v/>
      </c>
      <c r="AB909" s="14" t="str">
        <f aca="false">IF($D909&lt;&gt;1,"",MAX($J909,ROUNDUP(MAX($L909/$H909,$M909/$I909),0)))</f>
        <v/>
      </c>
      <c r="AC909" s="84" t="str">
        <f aca="false">IF($D909&lt;&gt;1,"",IF(p_mode="Nœud",$AB909*$K909,$L909*IF($G909="IKS",p_iks_cpu,p_roks_cpu)+$M909*IF($G909="IKS",p_iks_ram,p_roks_ram))*p_facteur)</f>
        <v/>
      </c>
      <c r="AD909" s="14" t="str">
        <f aca="false">IF($D909&lt;&gt;1,"",IF(AND($G909="IKS",$AI909&lt;&gt;1,OR($L909-$P909&lt;$N909,$M909-$Q909&lt;$O909)),1,0))</f>
        <v/>
      </c>
      <c r="AE909" s="14" t="str">
        <f aca="false">IF($D909&lt;&gt;1,"",IF(AND($G909="ROKS",$T909&gt;p_maxworkers),1,0))</f>
        <v/>
      </c>
      <c r="AF909" s="14" t="str">
        <f aca="false">IF($D909&lt;&gt;1,"",IF(INDEX(TblClusters[Environnement],$B909)="","(vide)",INDEX(TblClusters[Environnement],$B909)))</f>
        <v/>
      </c>
      <c r="AG909" s="14" t="str">
        <f aca="false">IF($D909&lt;&gt;1,"",$R909+p_poidsram*$S909)</f>
        <v/>
      </c>
      <c r="AH909" s="14" t="str">
        <f aca="false">IF($D909&lt;&gt;1,"",IFERROR($W909/$AG909,0))</f>
        <v/>
      </c>
      <c r="AI909" s="14" t="str">
        <f aca="false">IF($D909&lt;&gt;1,"",IF(AND($G909="IKS",ISNUMBER(INDEX(TblClusters[Fermeture retenue],$B909))),IF($E909&gt;=INDEX(TblClusters[Fermeture retenue],$B909),1,0),0))</f>
        <v/>
      </c>
    </row>
    <row r="910" customFormat="false" ht="15" hidden="false" customHeight="false" outlineLevel="0" collapsed="false">
      <c r="A910" s="14" t="n">
        <v>905</v>
      </c>
      <c r="B910" s="14" t="n">
        <f aca="false">INT(($A910-1)/36)+1</f>
        <v>26</v>
      </c>
      <c r="C910" s="14" t="n">
        <f aca="false">MOD($A910-1,36)+1</f>
        <v>5</v>
      </c>
      <c r="D910" s="14" t="n">
        <f aca="false">IF($C910&gt;p_horizon,0,IFERROR(IF(AND(INDEX(TblClusters[Cluster],$B910)&lt;&gt;"",ISNUMBER(INDEX(TblClusters[CPU initial (vCPU)],$B910)),ISNUMBER(INDEX(TblClusters[CPU min (vCPU)],$B910)),OR(INDEX(TblClusters[Plateforme],$B910)="IKS",INDEX(TblClusters[Plateforme],$B910)="ROKS")),1,0),0))</f>
        <v>0</v>
      </c>
      <c r="E910" s="83" t="str">
        <f aca="false">IF($D910=1,EDATE(p_debut,$C910-1),"")</f>
        <v/>
      </c>
      <c r="F910" s="14" t="str">
        <f aca="false">IF($D910=1,INDEX(TblClusters[Cluster],$B910),"")</f>
        <v/>
      </c>
      <c r="G910" s="14" t="str">
        <f aca="false">IF($D910=1,INDEX(TblClusters[Plateforme],$B910),"")</f>
        <v/>
      </c>
      <c r="H910" s="14" t="str">
        <f aca="false">IF($D910=1,INDEX(TblClusters[vCPU par nœud],$B910),"")</f>
        <v/>
      </c>
      <c r="I910" s="14" t="str">
        <f aca="false">IF($D910=1,INDEX(TblClusters[RAM par nœud (Go)],$B910),"")</f>
        <v/>
      </c>
      <c r="J910" s="14" t="str">
        <f aca="false">IF($D910=1,INDEX(TblClusters[Workers min],$B910),"")</f>
        <v/>
      </c>
      <c r="K910" s="84" t="str">
        <f aca="false">IF($D910=1,INDEX(TblClusters[Tarif par nœud],$B910),"")</f>
        <v/>
      </c>
      <c r="L910" s="14" t="str">
        <f aca="false">IF($D910=1,INDEX(TblClusters[CPU initial (vCPU)],$B910),"")</f>
        <v/>
      </c>
      <c r="M910" s="14" t="str">
        <f aca="false">IF($D910=1,INDEX(TblClusters[RAM initiale (Go)],$B910),"")</f>
        <v/>
      </c>
      <c r="N910" s="14" t="str">
        <f aca="false">IF($D910=1,INDEX(TblClusters[CPU min (vCPU)],$B910),"")</f>
        <v/>
      </c>
      <c r="O910" s="14" t="str">
        <f aca="false">IF($D910=1,INDEX(TblClusters[RAM min (Go)],$B910),"")</f>
        <v/>
      </c>
      <c r="P910" s="14" t="str">
        <f aca="false">IF($D910&lt;&gt;1,"",IF($G910="ROKS",SUMIFS(TblApplications[Besoin ROKS CPU (vCPU)],TblApplications[Cluster ROKS cible],$F910,TblApplications[Action],"À migrer",TblApplications[Déjà incluse ROKS],"Non",TblApplications[Mois prov (calc)],"&lt;="&amp;$E910),SUMIFS(TblApplications[CPU IKS libérable (vCPU)],TblApplications[Cluster IKS source],$F910,TblApplications[Mois lib (calc)],"&lt;="&amp;$E910)))</f>
        <v/>
      </c>
      <c r="Q910" s="14" t="str">
        <f aca="false">IF($D910&lt;&gt;1,"",IF($G910="ROKS",SUMIFS(TblApplications[Besoin ROKS RAM (Go)],TblApplications[Cluster ROKS cible],$F910,TblApplications[Action],"À migrer",TblApplications[Déjà incluse ROKS],"Non",TblApplications[Mois prov (calc)],"&lt;="&amp;$E910),SUMIFS(TblApplications[RAM IKS libérable (Go)],TblApplications[Cluster IKS source],$F910,TblApplications[Mois lib (calc)],"&lt;="&amp;$E910)))</f>
        <v/>
      </c>
      <c r="R910" s="14" t="str">
        <f aca="false">IF($D910&lt;&gt;1,"",IF($G910="ROKS",$L910+$P910,IF($AI910=1,0,MAX($N910,$L910-$P910))))</f>
        <v/>
      </c>
      <c r="S910" s="14" t="str">
        <f aca="false">IF($D910&lt;&gt;1,"",IF($G910="ROKS",$M910+$Q910,IF($AI910=1,0,MAX($O910,$M910-$Q910))))</f>
        <v/>
      </c>
      <c r="T910" s="14" t="str">
        <f aca="false">IF($D910&lt;&gt;1,"",IF($AI910=1,0,MAX($J910,ROUNDUP(MAX($R910/$H910,$S910/$I910),0))))</f>
        <v/>
      </c>
      <c r="U910" s="14" t="str">
        <f aca="false">IF($D910&lt;&gt;1,"",IF(p_mode="Nœud",$T910*$H910,$R910))</f>
        <v/>
      </c>
      <c r="V910" s="14" t="str">
        <f aca="false">IF($D910&lt;&gt;1,"",IF(p_mode="Nœud",$T910*$I910,$S910))</f>
        <v/>
      </c>
      <c r="W910" s="84" t="str">
        <f aca="false">IF($D910&lt;&gt;1,"",IF(p_mode="Nœud",$T910*$K910,$R910*IF($G910="IKS",p_iks_cpu,p_roks_cpu)+$S910*IF($G910="IKS",p_iks_ram,p_roks_ram))*p_facteur)</f>
        <v/>
      </c>
      <c r="X910" s="14" t="str">
        <f aca="false">IF($D910&lt;&gt;1,"",IF($G910="ROKS",$R910,IF($AI910=1,0,MAX($N910,$L910-SUMIFS(TblApplications[CPU IKS libérable (vCPU)],TblApplications[Cluster IKS source],$F910,TblApplications[Action],"À migrer",TblApplications[Mois prov (calc)],"&lt;="&amp;$E910)-SUMIFS(TblApplications[CPU IKS libérable (vCPU)],TblApplications[Cluster IKS source],$F910,TblApplications[Action],"À décommissionner",TblApplications[Mois lib (calc)],"&lt;="&amp;$E910)))))</f>
        <v/>
      </c>
      <c r="Y910" s="14" t="str">
        <f aca="false">IF($D910&lt;&gt;1,"",IF($G910="ROKS",$S910,IF($AI910=1,0,MAX($O910,$M910-SUMIFS(TblApplications[RAM IKS libérable (Go)],TblApplications[Cluster IKS source],$F910,TblApplications[Action],"À migrer",TblApplications[Mois prov (calc)],"&lt;="&amp;$E910)-SUMIFS(TblApplications[RAM IKS libérable (Go)],TblApplications[Cluster IKS source],$F910,TblApplications[Action],"À décommissionner",TblApplications[Mois lib (calc)],"&lt;="&amp;$E910)))))</f>
        <v/>
      </c>
      <c r="Z910" s="14" t="str">
        <f aca="false">IF($D910&lt;&gt;1,"",IF($AI910=1,0,MAX($J910,ROUNDUP(MAX($X910/$H910,$Y910/$I910),0))))</f>
        <v/>
      </c>
      <c r="AA910" s="84" t="str">
        <f aca="false">IF($D910&lt;&gt;1,"",IF(p_mode="Nœud",$Z910*$K910,$X910*IF($G910="IKS",p_iks_cpu,p_roks_cpu)+$Y910*IF($G910="IKS",p_iks_ram,p_roks_ram))*p_facteur)</f>
        <v/>
      </c>
      <c r="AB910" s="14" t="str">
        <f aca="false">IF($D910&lt;&gt;1,"",MAX($J910,ROUNDUP(MAX($L910/$H910,$M910/$I910),0)))</f>
        <v/>
      </c>
      <c r="AC910" s="84" t="str">
        <f aca="false">IF($D910&lt;&gt;1,"",IF(p_mode="Nœud",$AB910*$K910,$L910*IF($G910="IKS",p_iks_cpu,p_roks_cpu)+$M910*IF($G910="IKS",p_iks_ram,p_roks_ram))*p_facteur)</f>
        <v/>
      </c>
      <c r="AD910" s="14" t="str">
        <f aca="false">IF($D910&lt;&gt;1,"",IF(AND($G910="IKS",$AI910&lt;&gt;1,OR($L910-$P910&lt;$N910,$M910-$Q910&lt;$O910)),1,0))</f>
        <v/>
      </c>
      <c r="AE910" s="14" t="str">
        <f aca="false">IF($D910&lt;&gt;1,"",IF(AND($G910="ROKS",$T910&gt;p_maxworkers),1,0))</f>
        <v/>
      </c>
      <c r="AF910" s="14" t="str">
        <f aca="false">IF($D910&lt;&gt;1,"",IF(INDEX(TblClusters[Environnement],$B910)="","(vide)",INDEX(TblClusters[Environnement],$B910)))</f>
        <v/>
      </c>
      <c r="AG910" s="14" t="str">
        <f aca="false">IF($D910&lt;&gt;1,"",$R910+p_poidsram*$S910)</f>
        <v/>
      </c>
      <c r="AH910" s="14" t="str">
        <f aca="false">IF($D910&lt;&gt;1,"",IFERROR($W910/$AG910,0))</f>
        <v/>
      </c>
      <c r="AI910" s="14" t="str">
        <f aca="false">IF($D910&lt;&gt;1,"",IF(AND($G910="IKS",ISNUMBER(INDEX(TblClusters[Fermeture retenue],$B910))),IF($E910&gt;=INDEX(TblClusters[Fermeture retenue],$B910),1,0),0))</f>
        <v/>
      </c>
    </row>
    <row r="911" customFormat="false" ht="15" hidden="false" customHeight="false" outlineLevel="0" collapsed="false">
      <c r="A911" s="14" t="n">
        <v>906</v>
      </c>
      <c r="B911" s="14" t="n">
        <f aca="false">INT(($A911-1)/36)+1</f>
        <v>26</v>
      </c>
      <c r="C911" s="14" t="n">
        <f aca="false">MOD($A911-1,36)+1</f>
        <v>6</v>
      </c>
      <c r="D911" s="14" t="n">
        <f aca="false">IF($C911&gt;p_horizon,0,IFERROR(IF(AND(INDEX(TblClusters[Cluster],$B911)&lt;&gt;"",ISNUMBER(INDEX(TblClusters[CPU initial (vCPU)],$B911)),ISNUMBER(INDEX(TblClusters[CPU min (vCPU)],$B911)),OR(INDEX(TblClusters[Plateforme],$B911)="IKS",INDEX(TblClusters[Plateforme],$B911)="ROKS")),1,0),0))</f>
        <v>0</v>
      </c>
      <c r="E911" s="83" t="str">
        <f aca="false">IF($D911=1,EDATE(p_debut,$C911-1),"")</f>
        <v/>
      </c>
      <c r="F911" s="14" t="str">
        <f aca="false">IF($D911=1,INDEX(TblClusters[Cluster],$B911),"")</f>
        <v/>
      </c>
      <c r="G911" s="14" t="str">
        <f aca="false">IF($D911=1,INDEX(TblClusters[Plateforme],$B911),"")</f>
        <v/>
      </c>
      <c r="H911" s="14" t="str">
        <f aca="false">IF($D911=1,INDEX(TblClusters[vCPU par nœud],$B911),"")</f>
        <v/>
      </c>
      <c r="I911" s="14" t="str">
        <f aca="false">IF($D911=1,INDEX(TblClusters[RAM par nœud (Go)],$B911),"")</f>
        <v/>
      </c>
      <c r="J911" s="14" t="str">
        <f aca="false">IF($D911=1,INDEX(TblClusters[Workers min],$B911),"")</f>
        <v/>
      </c>
      <c r="K911" s="84" t="str">
        <f aca="false">IF($D911=1,INDEX(TblClusters[Tarif par nœud],$B911),"")</f>
        <v/>
      </c>
      <c r="L911" s="14" t="str">
        <f aca="false">IF($D911=1,INDEX(TblClusters[CPU initial (vCPU)],$B911),"")</f>
        <v/>
      </c>
      <c r="M911" s="14" t="str">
        <f aca="false">IF($D911=1,INDEX(TblClusters[RAM initiale (Go)],$B911),"")</f>
        <v/>
      </c>
      <c r="N911" s="14" t="str">
        <f aca="false">IF($D911=1,INDEX(TblClusters[CPU min (vCPU)],$B911),"")</f>
        <v/>
      </c>
      <c r="O911" s="14" t="str">
        <f aca="false">IF($D911=1,INDEX(TblClusters[RAM min (Go)],$B911),"")</f>
        <v/>
      </c>
      <c r="P911" s="14" t="str">
        <f aca="false">IF($D911&lt;&gt;1,"",IF($G911="ROKS",SUMIFS(TblApplications[Besoin ROKS CPU (vCPU)],TblApplications[Cluster ROKS cible],$F911,TblApplications[Action],"À migrer",TblApplications[Déjà incluse ROKS],"Non",TblApplications[Mois prov (calc)],"&lt;="&amp;$E911),SUMIFS(TblApplications[CPU IKS libérable (vCPU)],TblApplications[Cluster IKS source],$F911,TblApplications[Mois lib (calc)],"&lt;="&amp;$E911)))</f>
        <v/>
      </c>
      <c r="Q911" s="14" t="str">
        <f aca="false">IF($D911&lt;&gt;1,"",IF($G911="ROKS",SUMIFS(TblApplications[Besoin ROKS RAM (Go)],TblApplications[Cluster ROKS cible],$F911,TblApplications[Action],"À migrer",TblApplications[Déjà incluse ROKS],"Non",TblApplications[Mois prov (calc)],"&lt;="&amp;$E911),SUMIFS(TblApplications[RAM IKS libérable (Go)],TblApplications[Cluster IKS source],$F911,TblApplications[Mois lib (calc)],"&lt;="&amp;$E911)))</f>
        <v/>
      </c>
      <c r="R911" s="14" t="str">
        <f aca="false">IF($D911&lt;&gt;1,"",IF($G911="ROKS",$L911+$P911,IF($AI911=1,0,MAX($N911,$L911-$P911))))</f>
        <v/>
      </c>
      <c r="S911" s="14" t="str">
        <f aca="false">IF($D911&lt;&gt;1,"",IF($G911="ROKS",$M911+$Q911,IF($AI911=1,0,MAX($O911,$M911-$Q911))))</f>
        <v/>
      </c>
      <c r="T911" s="14" t="str">
        <f aca="false">IF($D911&lt;&gt;1,"",IF($AI911=1,0,MAX($J911,ROUNDUP(MAX($R911/$H911,$S911/$I911),0))))</f>
        <v/>
      </c>
      <c r="U911" s="14" t="str">
        <f aca="false">IF($D911&lt;&gt;1,"",IF(p_mode="Nœud",$T911*$H911,$R911))</f>
        <v/>
      </c>
      <c r="V911" s="14" t="str">
        <f aca="false">IF($D911&lt;&gt;1,"",IF(p_mode="Nœud",$T911*$I911,$S911))</f>
        <v/>
      </c>
      <c r="W911" s="84" t="str">
        <f aca="false">IF($D911&lt;&gt;1,"",IF(p_mode="Nœud",$T911*$K911,$R911*IF($G911="IKS",p_iks_cpu,p_roks_cpu)+$S911*IF($G911="IKS",p_iks_ram,p_roks_ram))*p_facteur)</f>
        <v/>
      </c>
      <c r="X911" s="14" t="str">
        <f aca="false">IF($D911&lt;&gt;1,"",IF($G911="ROKS",$R911,IF($AI911=1,0,MAX($N911,$L911-SUMIFS(TblApplications[CPU IKS libérable (vCPU)],TblApplications[Cluster IKS source],$F911,TblApplications[Action],"À migrer",TblApplications[Mois prov (calc)],"&lt;="&amp;$E911)-SUMIFS(TblApplications[CPU IKS libérable (vCPU)],TblApplications[Cluster IKS source],$F911,TblApplications[Action],"À décommissionner",TblApplications[Mois lib (calc)],"&lt;="&amp;$E911)))))</f>
        <v/>
      </c>
      <c r="Y911" s="14" t="str">
        <f aca="false">IF($D911&lt;&gt;1,"",IF($G911="ROKS",$S911,IF($AI911=1,0,MAX($O911,$M911-SUMIFS(TblApplications[RAM IKS libérable (Go)],TblApplications[Cluster IKS source],$F911,TblApplications[Action],"À migrer",TblApplications[Mois prov (calc)],"&lt;="&amp;$E911)-SUMIFS(TblApplications[RAM IKS libérable (Go)],TblApplications[Cluster IKS source],$F911,TblApplications[Action],"À décommissionner",TblApplications[Mois lib (calc)],"&lt;="&amp;$E911)))))</f>
        <v/>
      </c>
      <c r="Z911" s="14" t="str">
        <f aca="false">IF($D911&lt;&gt;1,"",IF($AI911=1,0,MAX($J911,ROUNDUP(MAX($X911/$H911,$Y911/$I911),0))))</f>
        <v/>
      </c>
      <c r="AA911" s="84" t="str">
        <f aca="false">IF($D911&lt;&gt;1,"",IF(p_mode="Nœud",$Z911*$K911,$X911*IF($G911="IKS",p_iks_cpu,p_roks_cpu)+$Y911*IF($G911="IKS",p_iks_ram,p_roks_ram))*p_facteur)</f>
        <v/>
      </c>
      <c r="AB911" s="14" t="str">
        <f aca="false">IF($D911&lt;&gt;1,"",MAX($J911,ROUNDUP(MAX($L911/$H911,$M911/$I911),0)))</f>
        <v/>
      </c>
      <c r="AC911" s="84" t="str">
        <f aca="false">IF($D911&lt;&gt;1,"",IF(p_mode="Nœud",$AB911*$K911,$L911*IF($G911="IKS",p_iks_cpu,p_roks_cpu)+$M911*IF($G911="IKS",p_iks_ram,p_roks_ram))*p_facteur)</f>
        <v/>
      </c>
      <c r="AD911" s="14" t="str">
        <f aca="false">IF($D911&lt;&gt;1,"",IF(AND($G911="IKS",$AI911&lt;&gt;1,OR($L911-$P911&lt;$N911,$M911-$Q911&lt;$O911)),1,0))</f>
        <v/>
      </c>
      <c r="AE911" s="14" t="str">
        <f aca="false">IF($D911&lt;&gt;1,"",IF(AND($G911="ROKS",$T911&gt;p_maxworkers),1,0))</f>
        <v/>
      </c>
      <c r="AF911" s="14" t="str">
        <f aca="false">IF($D911&lt;&gt;1,"",IF(INDEX(TblClusters[Environnement],$B911)="","(vide)",INDEX(TblClusters[Environnement],$B911)))</f>
        <v/>
      </c>
      <c r="AG911" s="14" t="str">
        <f aca="false">IF($D911&lt;&gt;1,"",$R911+p_poidsram*$S911)</f>
        <v/>
      </c>
      <c r="AH911" s="14" t="str">
        <f aca="false">IF($D911&lt;&gt;1,"",IFERROR($W911/$AG911,0))</f>
        <v/>
      </c>
      <c r="AI911" s="14" t="str">
        <f aca="false">IF($D911&lt;&gt;1,"",IF(AND($G911="IKS",ISNUMBER(INDEX(TblClusters[Fermeture retenue],$B911))),IF($E911&gt;=INDEX(TblClusters[Fermeture retenue],$B911),1,0),0))</f>
        <v/>
      </c>
    </row>
    <row r="912" customFormat="false" ht="15" hidden="false" customHeight="false" outlineLevel="0" collapsed="false">
      <c r="A912" s="14" t="n">
        <v>907</v>
      </c>
      <c r="B912" s="14" t="n">
        <f aca="false">INT(($A912-1)/36)+1</f>
        <v>26</v>
      </c>
      <c r="C912" s="14" t="n">
        <f aca="false">MOD($A912-1,36)+1</f>
        <v>7</v>
      </c>
      <c r="D912" s="14" t="n">
        <f aca="false">IF($C912&gt;p_horizon,0,IFERROR(IF(AND(INDEX(TblClusters[Cluster],$B912)&lt;&gt;"",ISNUMBER(INDEX(TblClusters[CPU initial (vCPU)],$B912)),ISNUMBER(INDEX(TblClusters[CPU min (vCPU)],$B912)),OR(INDEX(TblClusters[Plateforme],$B912)="IKS",INDEX(TblClusters[Plateforme],$B912)="ROKS")),1,0),0))</f>
        <v>0</v>
      </c>
      <c r="E912" s="83" t="str">
        <f aca="false">IF($D912=1,EDATE(p_debut,$C912-1),"")</f>
        <v/>
      </c>
      <c r="F912" s="14" t="str">
        <f aca="false">IF($D912=1,INDEX(TblClusters[Cluster],$B912),"")</f>
        <v/>
      </c>
      <c r="G912" s="14" t="str">
        <f aca="false">IF($D912=1,INDEX(TblClusters[Plateforme],$B912),"")</f>
        <v/>
      </c>
      <c r="H912" s="14" t="str">
        <f aca="false">IF($D912=1,INDEX(TblClusters[vCPU par nœud],$B912),"")</f>
        <v/>
      </c>
      <c r="I912" s="14" t="str">
        <f aca="false">IF($D912=1,INDEX(TblClusters[RAM par nœud (Go)],$B912),"")</f>
        <v/>
      </c>
      <c r="J912" s="14" t="str">
        <f aca="false">IF($D912=1,INDEX(TblClusters[Workers min],$B912),"")</f>
        <v/>
      </c>
      <c r="K912" s="84" t="str">
        <f aca="false">IF($D912=1,INDEX(TblClusters[Tarif par nœud],$B912),"")</f>
        <v/>
      </c>
      <c r="L912" s="14" t="str">
        <f aca="false">IF($D912=1,INDEX(TblClusters[CPU initial (vCPU)],$B912),"")</f>
        <v/>
      </c>
      <c r="M912" s="14" t="str">
        <f aca="false">IF($D912=1,INDEX(TblClusters[RAM initiale (Go)],$B912),"")</f>
        <v/>
      </c>
      <c r="N912" s="14" t="str">
        <f aca="false">IF($D912=1,INDEX(TblClusters[CPU min (vCPU)],$B912),"")</f>
        <v/>
      </c>
      <c r="O912" s="14" t="str">
        <f aca="false">IF($D912=1,INDEX(TblClusters[RAM min (Go)],$B912),"")</f>
        <v/>
      </c>
      <c r="P912" s="14" t="str">
        <f aca="false">IF($D912&lt;&gt;1,"",IF($G912="ROKS",SUMIFS(TblApplications[Besoin ROKS CPU (vCPU)],TblApplications[Cluster ROKS cible],$F912,TblApplications[Action],"À migrer",TblApplications[Déjà incluse ROKS],"Non",TblApplications[Mois prov (calc)],"&lt;="&amp;$E912),SUMIFS(TblApplications[CPU IKS libérable (vCPU)],TblApplications[Cluster IKS source],$F912,TblApplications[Mois lib (calc)],"&lt;="&amp;$E912)))</f>
        <v/>
      </c>
      <c r="Q912" s="14" t="str">
        <f aca="false">IF($D912&lt;&gt;1,"",IF($G912="ROKS",SUMIFS(TblApplications[Besoin ROKS RAM (Go)],TblApplications[Cluster ROKS cible],$F912,TblApplications[Action],"À migrer",TblApplications[Déjà incluse ROKS],"Non",TblApplications[Mois prov (calc)],"&lt;="&amp;$E912),SUMIFS(TblApplications[RAM IKS libérable (Go)],TblApplications[Cluster IKS source],$F912,TblApplications[Mois lib (calc)],"&lt;="&amp;$E912)))</f>
        <v/>
      </c>
      <c r="R912" s="14" t="str">
        <f aca="false">IF($D912&lt;&gt;1,"",IF($G912="ROKS",$L912+$P912,IF($AI912=1,0,MAX($N912,$L912-$P912))))</f>
        <v/>
      </c>
      <c r="S912" s="14" t="str">
        <f aca="false">IF($D912&lt;&gt;1,"",IF($G912="ROKS",$M912+$Q912,IF($AI912=1,0,MAX($O912,$M912-$Q912))))</f>
        <v/>
      </c>
      <c r="T912" s="14" t="str">
        <f aca="false">IF($D912&lt;&gt;1,"",IF($AI912=1,0,MAX($J912,ROUNDUP(MAX($R912/$H912,$S912/$I912),0))))</f>
        <v/>
      </c>
      <c r="U912" s="14" t="str">
        <f aca="false">IF($D912&lt;&gt;1,"",IF(p_mode="Nœud",$T912*$H912,$R912))</f>
        <v/>
      </c>
      <c r="V912" s="14" t="str">
        <f aca="false">IF($D912&lt;&gt;1,"",IF(p_mode="Nœud",$T912*$I912,$S912))</f>
        <v/>
      </c>
      <c r="W912" s="84" t="str">
        <f aca="false">IF($D912&lt;&gt;1,"",IF(p_mode="Nœud",$T912*$K912,$R912*IF($G912="IKS",p_iks_cpu,p_roks_cpu)+$S912*IF($G912="IKS",p_iks_ram,p_roks_ram))*p_facteur)</f>
        <v/>
      </c>
      <c r="X912" s="14" t="str">
        <f aca="false">IF($D912&lt;&gt;1,"",IF($G912="ROKS",$R912,IF($AI912=1,0,MAX($N912,$L912-SUMIFS(TblApplications[CPU IKS libérable (vCPU)],TblApplications[Cluster IKS source],$F912,TblApplications[Action],"À migrer",TblApplications[Mois prov (calc)],"&lt;="&amp;$E912)-SUMIFS(TblApplications[CPU IKS libérable (vCPU)],TblApplications[Cluster IKS source],$F912,TblApplications[Action],"À décommissionner",TblApplications[Mois lib (calc)],"&lt;="&amp;$E912)))))</f>
        <v/>
      </c>
      <c r="Y912" s="14" t="str">
        <f aca="false">IF($D912&lt;&gt;1,"",IF($G912="ROKS",$S912,IF($AI912=1,0,MAX($O912,$M912-SUMIFS(TblApplications[RAM IKS libérable (Go)],TblApplications[Cluster IKS source],$F912,TblApplications[Action],"À migrer",TblApplications[Mois prov (calc)],"&lt;="&amp;$E912)-SUMIFS(TblApplications[RAM IKS libérable (Go)],TblApplications[Cluster IKS source],$F912,TblApplications[Action],"À décommissionner",TblApplications[Mois lib (calc)],"&lt;="&amp;$E912)))))</f>
        <v/>
      </c>
      <c r="Z912" s="14" t="str">
        <f aca="false">IF($D912&lt;&gt;1,"",IF($AI912=1,0,MAX($J912,ROUNDUP(MAX($X912/$H912,$Y912/$I912),0))))</f>
        <v/>
      </c>
      <c r="AA912" s="84" t="str">
        <f aca="false">IF($D912&lt;&gt;1,"",IF(p_mode="Nœud",$Z912*$K912,$X912*IF($G912="IKS",p_iks_cpu,p_roks_cpu)+$Y912*IF($G912="IKS",p_iks_ram,p_roks_ram))*p_facteur)</f>
        <v/>
      </c>
      <c r="AB912" s="14" t="str">
        <f aca="false">IF($D912&lt;&gt;1,"",MAX($J912,ROUNDUP(MAX($L912/$H912,$M912/$I912),0)))</f>
        <v/>
      </c>
      <c r="AC912" s="84" t="str">
        <f aca="false">IF($D912&lt;&gt;1,"",IF(p_mode="Nœud",$AB912*$K912,$L912*IF($G912="IKS",p_iks_cpu,p_roks_cpu)+$M912*IF($G912="IKS",p_iks_ram,p_roks_ram))*p_facteur)</f>
        <v/>
      </c>
      <c r="AD912" s="14" t="str">
        <f aca="false">IF($D912&lt;&gt;1,"",IF(AND($G912="IKS",$AI912&lt;&gt;1,OR($L912-$P912&lt;$N912,$M912-$Q912&lt;$O912)),1,0))</f>
        <v/>
      </c>
      <c r="AE912" s="14" t="str">
        <f aca="false">IF($D912&lt;&gt;1,"",IF(AND($G912="ROKS",$T912&gt;p_maxworkers),1,0))</f>
        <v/>
      </c>
      <c r="AF912" s="14" t="str">
        <f aca="false">IF($D912&lt;&gt;1,"",IF(INDEX(TblClusters[Environnement],$B912)="","(vide)",INDEX(TblClusters[Environnement],$B912)))</f>
        <v/>
      </c>
      <c r="AG912" s="14" t="str">
        <f aca="false">IF($D912&lt;&gt;1,"",$R912+p_poidsram*$S912)</f>
        <v/>
      </c>
      <c r="AH912" s="14" t="str">
        <f aca="false">IF($D912&lt;&gt;1,"",IFERROR($W912/$AG912,0))</f>
        <v/>
      </c>
      <c r="AI912" s="14" t="str">
        <f aca="false">IF($D912&lt;&gt;1,"",IF(AND($G912="IKS",ISNUMBER(INDEX(TblClusters[Fermeture retenue],$B912))),IF($E912&gt;=INDEX(TblClusters[Fermeture retenue],$B912),1,0),0))</f>
        <v/>
      </c>
    </row>
    <row r="913" customFormat="false" ht="15" hidden="false" customHeight="false" outlineLevel="0" collapsed="false">
      <c r="A913" s="14" t="n">
        <v>908</v>
      </c>
      <c r="B913" s="14" t="n">
        <f aca="false">INT(($A913-1)/36)+1</f>
        <v>26</v>
      </c>
      <c r="C913" s="14" t="n">
        <f aca="false">MOD($A913-1,36)+1</f>
        <v>8</v>
      </c>
      <c r="D913" s="14" t="n">
        <f aca="false">IF($C913&gt;p_horizon,0,IFERROR(IF(AND(INDEX(TblClusters[Cluster],$B913)&lt;&gt;"",ISNUMBER(INDEX(TblClusters[CPU initial (vCPU)],$B913)),ISNUMBER(INDEX(TblClusters[CPU min (vCPU)],$B913)),OR(INDEX(TblClusters[Plateforme],$B913)="IKS",INDEX(TblClusters[Plateforme],$B913)="ROKS")),1,0),0))</f>
        <v>0</v>
      </c>
      <c r="E913" s="83" t="str">
        <f aca="false">IF($D913=1,EDATE(p_debut,$C913-1),"")</f>
        <v/>
      </c>
      <c r="F913" s="14" t="str">
        <f aca="false">IF($D913=1,INDEX(TblClusters[Cluster],$B913),"")</f>
        <v/>
      </c>
      <c r="G913" s="14" t="str">
        <f aca="false">IF($D913=1,INDEX(TblClusters[Plateforme],$B913),"")</f>
        <v/>
      </c>
      <c r="H913" s="14" t="str">
        <f aca="false">IF($D913=1,INDEX(TblClusters[vCPU par nœud],$B913),"")</f>
        <v/>
      </c>
      <c r="I913" s="14" t="str">
        <f aca="false">IF($D913=1,INDEX(TblClusters[RAM par nœud (Go)],$B913),"")</f>
        <v/>
      </c>
      <c r="J913" s="14" t="str">
        <f aca="false">IF($D913=1,INDEX(TblClusters[Workers min],$B913),"")</f>
        <v/>
      </c>
      <c r="K913" s="84" t="str">
        <f aca="false">IF($D913=1,INDEX(TblClusters[Tarif par nœud],$B913),"")</f>
        <v/>
      </c>
      <c r="L913" s="14" t="str">
        <f aca="false">IF($D913=1,INDEX(TblClusters[CPU initial (vCPU)],$B913),"")</f>
        <v/>
      </c>
      <c r="M913" s="14" t="str">
        <f aca="false">IF($D913=1,INDEX(TblClusters[RAM initiale (Go)],$B913),"")</f>
        <v/>
      </c>
      <c r="N913" s="14" t="str">
        <f aca="false">IF($D913=1,INDEX(TblClusters[CPU min (vCPU)],$B913),"")</f>
        <v/>
      </c>
      <c r="O913" s="14" t="str">
        <f aca="false">IF($D913=1,INDEX(TblClusters[RAM min (Go)],$B913),"")</f>
        <v/>
      </c>
      <c r="P913" s="14" t="str">
        <f aca="false">IF($D913&lt;&gt;1,"",IF($G913="ROKS",SUMIFS(TblApplications[Besoin ROKS CPU (vCPU)],TblApplications[Cluster ROKS cible],$F913,TblApplications[Action],"À migrer",TblApplications[Déjà incluse ROKS],"Non",TblApplications[Mois prov (calc)],"&lt;="&amp;$E913),SUMIFS(TblApplications[CPU IKS libérable (vCPU)],TblApplications[Cluster IKS source],$F913,TblApplications[Mois lib (calc)],"&lt;="&amp;$E913)))</f>
        <v/>
      </c>
      <c r="Q913" s="14" t="str">
        <f aca="false">IF($D913&lt;&gt;1,"",IF($G913="ROKS",SUMIFS(TblApplications[Besoin ROKS RAM (Go)],TblApplications[Cluster ROKS cible],$F913,TblApplications[Action],"À migrer",TblApplications[Déjà incluse ROKS],"Non",TblApplications[Mois prov (calc)],"&lt;="&amp;$E913),SUMIFS(TblApplications[RAM IKS libérable (Go)],TblApplications[Cluster IKS source],$F913,TblApplications[Mois lib (calc)],"&lt;="&amp;$E913)))</f>
        <v/>
      </c>
      <c r="R913" s="14" t="str">
        <f aca="false">IF($D913&lt;&gt;1,"",IF($G913="ROKS",$L913+$P913,IF($AI913=1,0,MAX($N913,$L913-$P913))))</f>
        <v/>
      </c>
      <c r="S913" s="14" t="str">
        <f aca="false">IF($D913&lt;&gt;1,"",IF($G913="ROKS",$M913+$Q913,IF($AI913=1,0,MAX($O913,$M913-$Q913))))</f>
        <v/>
      </c>
      <c r="T913" s="14" t="str">
        <f aca="false">IF($D913&lt;&gt;1,"",IF($AI913=1,0,MAX($J913,ROUNDUP(MAX($R913/$H913,$S913/$I913),0))))</f>
        <v/>
      </c>
      <c r="U913" s="14" t="str">
        <f aca="false">IF($D913&lt;&gt;1,"",IF(p_mode="Nœud",$T913*$H913,$R913))</f>
        <v/>
      </c>
      <c r="V913" s="14" t="str">
        <f aca="false">IF($D913&lt;&gt;1,"",IF(p_mode="Nœud",$T913*$I913,$S913))</f>
        <v/>
      </c>
      <c r="W913" s="84" t="str">
        <f aca="false">IF($D913&lt;&gt;1,"",IF(p_mode="Nœud",$T913*$K913,$R913*IF($G913="IKS",p_iks_cpu,p_roks_cpu)+$S913*IF($G913="IKS",p_iks_ram,p_roks_ram))*p_facteur)</f>
        <v/>
      </c>
      <c r="X913" s="14" t="str">
        <f aca="false">IF($D913&lt;&gt;1,"",IF($G913="ROKS",$R913,IF($AI913=1,0,MAX($N913,$L913-SUMIFS(TblApplications[CPU IKS libérable (vCPU)],TblApplications[Cluster IKS source],$F913,TblApplications[Action],"À migrer",TblApplications[Mois prov (calc)],"&lt;="&amp;$E913)-SUMIFS(TblApplications[CPU IKS libérable (vCPU)],TblApplications[Cluster IKS source],$F913,TblApplications[Action],"À décommissionner",TblApplications[Mois lib (calc)],"&lt;="&amp;$E913)))))</f>
        <v/>
      </c>
      <c r="Y913" s="14" t="str">
        <f aca="false">IF($D913&lt;&gt;1,"",IF($G913="ROKS",$S913,IF($AI913=1,0,MAX($O913,$M913-SUMIFS(TblApplications[RAM IKS libérable (Go)],TblApplications[Cluster IKS source],$F913,TblApplications[Action],"À migrer",TblApplications[Mois prov (calc)],"&lt;="&amp;$E913)-SUMIFS(TblApplications[RAM IKS libérable (Go)],TblApplications[Cluster IKS source],$F913,TblApplications[Action],"À décommissionner",TblApplications[Mois lib (calc)],"&lt;="&amp;$E913)))))</f>
        <v/>
      </c>
      <c r="Z913" s="14" t="str">
        <f aca="false">IF($D913&lt;&gt;1,"",IF($AI913=1,0,MAX($J913,ROUNDUP(MAX($X913/$H913,$Y913/$I913),0))))</f>
        <v/>
      </c>
      <c r="AA913" s="84" t="str">
        <f aca="false">IF($D913&lt;&gt;1,"",IF(p_mode="Nœud",$Z913*$K913,$X913*IF($G913="IKS",p_iks_cpu,p_roks_cpu)+$Y913*IF($G913="IKS",p_iks_ram,p_roks_ram))*p_facteur)</f>
        <v/>
      </c>
      <c r="AB913" s="14" t="str">
        <f aca="false">IF($D913&lt;&gt;1,"",MAX($J913,ROUNDUP(MAX($L913/$H913,$M913/$I913),0)))</f>
        <v/>
      </c>
      <c r="AC913" s="84" t="str">
        <f aca="false">IF($D913&lt;&gt;1,"",IF(p_mode="Nœud",$AB913*$K913,$L913*IF($G913="IKS",p_iks_cpu,p_roks_cpu)+$M913*IF($G913="IKS",p_iks_ram,p_roks_ram))*p_facteur)</f>
        <v/>
      </c>
      <c r="AD913" s="14" t="str">
        <f aca="false">IF($D913&lt;&gt;1,"",IF(AND($G913="IKS",$AI913&lt;&gt;1,OR($L913-$P913&lt;$N913,$M913-$Q913&lt;$O913)),1,0))</f>
        <v/>
      </c>
      <c r="AE913" s="14" t="str">
        <f aca="false">IF($D913&lt;&gt;1,"",IF(AND($G913="ROKS",$T913&gt;p_maxworkers),1,0))</f>
        <v/>
      </c>
      <c r="AF913" s="14" t="str">
        <f aca="false">IF($D913&lt;&gt;1,"",IF(INDEX(TblClusters[Environnement],$B913)="","(vide)",INDEX(TblClusters[Environnement],$B913)))</f>
        <v/>
      </c>
      <c r="AG913" s="14" t="str">
        <f aca="false">IF($D913&lt;&gt;1,"",$R913+p_poidsram*$S913)</f>
        <v/>
      </c>
      <c r="AH913" s="14" t="str">
        <f aca="false">IF($D913&lt;&gt;1,"",IFERROR($W913/$AG913,0))</f>
        <v/>
      </c>
      <c r="AI913" s="14" t="str">
        <f aca="false">IF($D913&lt;&gt;1,"",IF(AND($G913="IKS",ISNUMBER(INDEX(TblClusters[Fermeture retenue],$B913))),IF($E913&gt;=INDEX(TblClusters[Fermeture retenue],$B913),1,0),0))</f>
        <v/>
      </c>
    </row>
    <row r="914" customFormat="false" ht="15" hidden="false" customHeight="false" outlineLevel="0" collapsed="false">
      <c r="A914" s="14" t="n">
        <v>909</v>
      </c>
      <c r="B914" s="14" t="n">
        <f aca="false">INT(($A914-1)/36)+1</f>
        <v>26</v>
      </c>
      <c r="C914" s="14" t="n">
        <f aca="false">MOD($A914-1,36)+1</f>
        <v>9</v>
      </c>
      <c r="D914" s="14" t="n">
        <f aca="false">IF($C914&gt;p_horizon,0,IFERROR(IF(AND(INDEX(TblClusters[Cluster],$B914)&lt;&gt;"",ISNUMBER(INDEX(TblClusters[CPU initial (vCPU)],$B914)),ISNUMBER(INDEX(TblClusters[CPU min (vCPU)],$B914)),OR(INDEX(TblClusters[Plateforme],$B914)="IKS",INDEX(TblClusters[Plateforme],$B914)="ROKS")),1,0),0))</f>
        <v>0</v>
      </c>
      <c r="E914" s="83" t="str">
        <f aca="false">IF($D914=1,EDATE(p_debut,$C914-1),"")</f>
        <v/>
      </c>
      <c r="F914" s="14" t="str">
        <f aca="false">IF($D914=1,INDEX(TblClusters[Cluster],$B914),"")</f>
        <v/>
      </c>
      <c r="G914" s="14" t="str">
        <f aca="false">IF($D914=1,INDEX(TblClusters[Plateforme],$B914),"")</f>
        <v/>
      </c>
      <c r="H914" s="14" t="str">
        <f aca="false">IF($D914=1,INDEX(TblClusters[vCPU par nœud],$B914),"")</f>
        <v/>
      </c>
      <c r="I914" s="14" t="str">
        <f aca="false">IF($D914=1,INDEX(TblClusters[RAM par nœud (Go)],$B914),"")</f>
        <v/>
      </c>
      <c r="J914" s="14" t="str">
        <f aca="false">IF($D914=1,INDEX(TblClusters[Workers min],$B914),"")</f>
        <v/>
      </c>
      <c r="K914" s="84" t="str">
        <f aca="false">IF($D914=1,INDEX(TblClusters[Tarif par nœud],$B914),"")</f>
        <v/>
      </c>
      <c r="L914" s="14" t="str">
        <f aca="false">IF($D914=1,INDEX(TblClusters[CPU initial (vCPU)],$B914),"")</f>
        <v/>
      </c>
      <c r="M914" s="14" t="str">
        <f aca="false">IF($D914=1,INDEX(TblClusters[RAM initiale (Go)],$B914),"")</f>
        <v/>
      </c>
      <c r="N914" s="14" t="str">
        <f aca="false">IF($D914=1,INDEX(TblClusters[CPU min (vCPU)],$B914),"")</f>
        <v/>
      </c>
      <c r="O914" s="14" t="str">
        <f aca="false">IF($D914=1,INDEX(TblClusters[RAM min (Go)],$B914),"")</f>
        <v/>
      </c>
      <c r="P914" s="14" t="str">
        <f aca="false">IF($D914&lt;&gt;1,"",IF($G914="ROKS",SUMIFS(TblApplications[Besoin ROKS CPU (vCPU)],TblApplications[Cluster ROKS cible],$F914,TblApplications[Action],"À migrer",TblApplications[Déjà incluse ROKS],"Non",TblApplications[Mois prov (calc)],"&lt;="&amp;$E914),SUMIFS(TblApplications[CPU IKS libérable (vCPU)],TblApplications[Cluster IKS source],$F914,TblApplications[Mois lib (calc)],"&lt;="&amp;$E914)))</f>
        <v/>
      </c>
      <c r="Q914" s="14" t="str">
        <f aca="false">IF($D914&lt;&gt;1,"",IF($G914="ROKS",SUMIFS(TblApplications[Besoin ROKS RAM (Go)],TblApplications[Cluster ROKS cible],$F914,TblApplications[Action],"À migrer",TblApplications[Déjà incluse ROKS],"Non",TblApplications[Mois prov (calc)],"&lt;="&amp;$E914),SUMIFS(TblApplications[RAM IKS libérable (Go)],TblApplications[Cluster IKS source],$F914,TblApplications[Mois lib (calc)],"&lt;="&amp;$E914)))</f>
        <v/>
      </c>
      <c r="R914" s="14" t="str">
        <f aca="false">IF($D914&lt;&gt;1,"",IF($G914="ROKS",$L914+$P914,IF($AI914=1,0,MAX($N914,$L914-$P914))))</f>
        <v/>
      </c>
      <c r="S914" s="14" t="str">
        <f aca="false">IF($D914&lt;&gt;1,"",IF($G914="ROKS",$M914+$Q914,IF($AI914=1,0,MAX($O914,$M914-$Q914))))</f>
        <v/>
      </c>
      <c r="T914" s="14" t="str">
        <f aca="false">IF($D914&lt;&gt;1,"",IF($AI914=1,0,MAX($J914,ROUNDUP(MAX($R914/$H914,$S914/$I914),0))))</f>
        <v/>
      </c>
      <c r="U914" s="14" t="str">
        <f aca="false">IF($D914&lt;&gt;1,"",IF(p_mode="Nœud",$T914*$H914,$R914))</f>
        <v/>
      </c>
      <c r="V914" s="14" t="str">
        <f aca="false">IF($D914&lt;&gt;1,"",IF(p_mode="Nœud",$T914*$I914,$S914))</f>
        <v/>
      </c>
      <c r="W914" s="84" t="str">
        <f aca="false">IF($D914&lt;&gt;1,"",IF(p_mode="Nœud",$T914*$K914,$R914*IF($G914="IKS",p_iks_cpu,p_roks_cpu)+$S914*IF($G914="IKS",p_iks_ram,p_roks_ram))*p_facteur)</f>
        <v/>
      </c>
      <c r="X914" s="14" t="str">
        <f aca="false">IF($D914&lt;&gt;1,"",IF($G914="ROKS",$R914,IF($AI914=1,0,MAX($N914,$L914-SUMIFS(TblApplications[CPU IKS libérable (vCPU)],TblApplications[Cluster IKS source],$F914,TblApplications[Action],"À migrer",TblApplications[Mois prov (calc)],"&lt;="&amp;$E914)-SUMIFS(TblApplications[CPU IKS libérable (vCPU)],TblApplications[Cluster IKS source],$F914,TblApplications[Action],"À décommissionner",TblApplications[Mois lib (calc)],"&lt;="&amp;$E914)))))</f>
        <v/>
      </c>
      <c r="Y914" s="14" t="str">
        <f aca="false">IF($D914&lt;&gt;1,"",IF($G914="ROKS",$S914,IF($AI914=1,0,MAX($O914,$M914-SUMIFS(TblApplications[RAM IKS libérable (Go)],TblApplications[Cluster IKS source],$F914,TblApplications[Action],"À migrer",TblApplications[Mois prov (calc)],"&lt;="&amp;$E914)-SUMIFS(TblApplications[RAM IKS libérable (Go)],TblApplications[Cluster IKS source],$F914,TblApplications[Action],"À décommissionner",TblApplications[Mois lib (calc)],"&lt;="&amp;$E914)))))</f>
        <v/>
      </c>
      <c r="Z914" s="14" t="str">
        <f aca="false">IF($D914&lt;&gt;1,"",IF($AI914=1,0,MAX($J914,ROUNDUP(MAX($X914/$H914,$Y914/$I914),0))))</f>
        <v/>
      </c>
      <c r="AA914" s="84" t="str">
        <f aca="false">IF($D914&lt;&gt;1,"",IF(p_mode="Nœud",$Z914*$K914,$X914*IF($G914="IKS",p_iks_cpu,p_roks_cpu)+$Y914*IF($G914="IKS",p_iks_ram,p_roks_ram))*p_facteur)</f>
        <v/>
      </c>
      <c r="AB914" s="14" t="str">
        <f aca="false">IF($D914&lt;&gt;1,"",MAX($J914,ROUNDUP(MAX($L914/$H914,$M914/$I914),0)))</f>
        <v/>
      </c>
      <c r="AC914" s="84" t="str">
        <f aca="false">IF($D914&lt;&gt;1,"",IF(p_mode="Nœud",$AB914*$K914,$L914*IF($G914="IKS",p_iks_cpu,p_roks_cpu)+$M914*IF($G914="IKS",p_iks_ram,p_roks_ram))*p_facteur)</f>
        <v/>
      </c>
      <c r="AD914" s="14" t="str">
        <f aca="false">IF($D914&lt;&gt;1,"",IF(AND($G914="IKS",$AI914&lt;&gt;1,OR($L914-$P914&lt;$N914,$M914-$Q914&lt;$O914)),1,0))</f>
        <v/>
      </c>
      <c r="AE914" s="14" t="str">
        <f aca="false">IF($D914&lt;&gt;1,"",IF(AND($G914="ROKS",$T914&gt;p_maxworkers),1,0))</f>
        <v/>
      </c>
      <c r="AF914" s="14" t="str">
        <f aca="false">IF($D914&lt;&gt;1,"",IF(INDEX(TblClusters[Environnement],$B914)="","(vide)",INDEX(TblClusters[Environnement],$B914)))</f>
        <v/>
      </c>
      <c r="AG914" s="14" t="str">
        <f aca="false">IF($D914&lt;&gt;1,"",$R914+p_poidsram*$S914)</f>
        <v/>
      </c>
      <c r="AH914" s="14" t="str">
        <f aca="false">IF($D914&lt;&gt;1,"",IFERROR($W914/$AG914,0))</f>
        <v/>
      </c>
      <c r="AI914" s="14" t="str">
        <f aca="false">IF($D914&lt;&gt;1,"",IF(AND($G914="IKS",ISNUMBER(INDEX(TblClusters[Fermeture retenue],$B914))),IF($E914&gt;=INDEX(TblClusters[Fermeture retenue],$B914),1,0),0))</f>
        <v/>
      </c>
    </row>
    <row r="915" customFormat="false" ht="15" hidden="false" customHeight="false" outlineLevel="0" collapsed="false">
      <c r="A915" s="14" t="n">
        <v>910</v>
      </c>
      <c r="B915" s="14" t="n">
        <f aca="false">INT(($A915-1)/36)+1</f>
        <v>26</v>
      </c>
      <c r="C915" s="14" t="n">
        <f aca="false">MOD($A915-1,36)+1</f>
        <v>10</v>
      </c>
      <c r="D915" s="14" t="n">
        <f aca="false">IF($C915&gt;p_horizon,0,IFERROR(IF(AND(INDEX(TblClusters[Cluster],$B915)&lt;&gt;"",ISNUMBER(INDEX(TblClusters[CPU initial (vCPU)],$B915)),ISNUMBER(INDEX(TblClusters[CPU min (vCPU)],$B915)),OR(INDEX(TblClusters[Plateforme],$B915)="IKS",INDEX(TblClusters[Plateforme],$B915)="ROKS")),1,0),0))</f>
        <v>0</v>
      </c>
      <c r="E915" s="83" t="str">
        <f aca="false">IF($D915=1,EDATE(p_debut,$C915-1),"")</f>
        <v/>
      </c>
      <c r="F915" s="14" t="str">
        <f aca="false">IF($D915=1,INDEX(TblClusters[Cluster],$B915),"")</f>
        <v/>
      </c>
      <c r="G915" s="14" t="str">
        <f aca="false">IF($D915=1,INDEX(TblClusters[Plateforme],$B915),"")</f>
        <v/>
      </c>
      <c r="H915" s="14" t="str">
        <f aca="false">IF($D915=1,INDEX(TblClusters[vCPU par nœud],$B915),"")</f>
        <v/>
      </c>
      <c r="I915" s="14" t="str">
        <f aca="false">IF($D915=1,INDEX(TblClusters[RAM par nœud (Go)],$B915),"")</f>
        <v/>
      </c>
      <c r="J915" s="14" t="str">
        <f aca="false">IF($D915=1,INDEX(TblClusters[Workers min],$B915),"")</f>
        <v/>
      </c>
      <c r="K915" s="84" t="str">
        <f aca="false">IF($D915=1,INDEX(TblClusters[Tarif par nœud],$B915),"")</f>
        <v/>
      </c>
      <c r="L915" s="14" t="str">
        <f aca="false">IF($D915=1,INDEX(TblClusters[CPU initial (vCPU)],$B915),"")</f>
        <v/>
      </c>
      <c r="M915" s="14" t="str">
        <f aca="false">IF($D915=1,INDEX(TblClusters[RAM initiale (Go)],$B915),"")</f>
        <v/>
      </c>
      <c r="N915" s="14" t="str">
        <f aca="false">IF($D915=1,INDEX(TblClusters[CPU min (vCPU)],$B915),"")</f>
        <v/>
      </c>
      <c r="O915" s="14" t="str">
        <f aca="false">IF($D915=1,INDEX(TblClusters[RAM min (Go)],$B915),"")</f>
        <v/>
      </c>
      <c r="P915" s="14" t="str">
        <f aca="false">IF($D915&lt;&gt;1,"",IF($G915="ROKS",SUMIFS(TblApplications[Besoin ROKS CPU (vCPU)],TblApplications[Cluster ROKS cible],$F915,TblApplications[Action],"À migrer",TblApplications[Déjà incluse ROKS],"Non",TblApplications[Mois prov (calc)],"&lt;="&amp;$E915),SUMIFS(TblApplications[CPU IKS libérable (vCPU)],TblApplications[Cluster IKS source],$F915,TblApplications[Mois lib (calc)],"&lt;="&amp;$E915)))</f>
        <v/>
      </c>
      <c r="Q915" s="14" t="str">
        <f aca="false">IF($D915&lt;&gt;1,"",IF($G915="ROKS",SUMIFS(TblApplications[Besoin ROKS RAM (Go)],TblApplications[Cluster ROKS cible],$F915,TblApplications[Action],"À migrer",TblApplications[Déjà incluse ROKS],"Non",TblApplications[Mois prov (calc)],"&lt;="&amp;$E915),SUMIFS(TblApplications[RAM IKS libérable (Go)],TblApplications[Cluster IKS source],$F915,TblApplications[Mois lib (calc)],"&lt;="&amp;$E915)))</f>
        <v/>
      </c>
      <c r="R915" s="14" t="str">
        <f aca="false">IF($D915&lt;&gt;1,"",IF($G915="ROKS",$L915+$P915,IF($AI915=1,0,MAX($N915,$L915-$P915))))</f>
        <v/>
      </c>
      <c r="S915" s="14" t="str">
        <f aca="false">IF($D915&lt;&gt;1,"",IF($G915="ROKS",$M915+$Q915,IF($AI915=1,0,MAX($O915,$M915-$Q915))))</f>
        <v/>
      </c>
      <c r="T915" s="14" t="str">
        <f aca="false">IF($D915&lt;&gt;1,"",IF($AI915=1,0,MAX($J915,ROUNDUP(MAX($R915/$H915,$S915/$I915),0))))</f>
        <v/>
      </c>
      <c r="U915" s="14" t="str">
        <f aca="false">IF($D915&lt;&gt;1,"",IF(p_mode="Nœud",$T915*$H915,$R915))</f>
        <v/>
      </c>
      <c r="V915" s="14" t="str">
        <f aca="false">IF($D915&lt;&gt;1,"",IF(p_mode="Nœud",$T915*$I915,$S915))</f>
        <v/>
      </c>
      <c r="W915" s="84" t="str">
        <f aca="false">IF($D915&lt;&gt;1,"",IF(p_mode="Nœud",$T915*$K915,$R915*IF($G915="IKS",p_iks_cpu,p_roks_cpu)+$S915*IF($G915="IKS",p_iks_ram,p_roks_ram))*p_facteur)</f>
        <v/>
      </c>
      <c r="X915" s="14" t="str">
        <f aca="false">IF($D915&lt;&gt;1,"",IF($G915="ROKS",$R915,IF($AI915=1,0,MAX($N915,$L915-SUMIFS(TblApplications[CPU IKS libérable (vCPU)],TblApplications[Cluster IKS source],$F915,TblApplications[Action],"À migrer",TblApplications[Mois prov (calc)],"&lt;="&amp;$E915)-SUMIFS(TblApplications[CPU IKS libérable (vCPU)],TblApplications[Cluster IKS source],$F915,TblApplications[Action],"À décommissionner",TblApplications[Mois lib (calc)],"&lt;="&amp;$E915)))))</f>
        <v/>
      </c>
      <c r="Y915" s="14" t="str">
        <f aca="false">IF($D915&lt;&gt;1,"",IF($G915="ROKS",$S915,IF($AI915=1,0,MAX($O915,$M915-SUMIFS(TblApplications[RAM IKS libérable (Go)],TblApplications[Cluster IKS source],$F915,TblApplications[Action],"À migrer",TblApplications[Mois prov (calc)],"&lt;="&amp;$E915)-SUMIFS(TblApplications[RAM IKS libérable (Go)],TblApplications[Cluster IKS source],$F915,TblApplications[Action],"À décommissionner",TblApplications[Mois lib (calc)],"&lt;="&amp;$E915)))))</f>
        <v/>
      </c>
      <c r="Z915" s="14" t="str">
        <f aca="false">IF($D915&lt;&gt;1,"",IF($AI915=1,0,MAX($J915,ROUNDUP(MAX($X915/$H915,$Y915/$I915),0))))</f>
        <v/>
      </c>
      <c r="AA915" s="84" t="str">
        <f aca="false">IF($D915&lt;&gt;1,"",IF(p_mode="Nœud",$Z915*$K915,$X915*IF($G915="IKS",p_iks_cpu,p_roks_cpu)+$Y915*IF($G915="IKS",p_iks_ram,p_roks_ram))*p_facteur)</f>
        <v/>
      </c>
      <c r="AB915" s="14" t="str">
        <f aca="false">IF($D915&lt;&gt;1,"",MAX($J915,ROUNDUP(MAX($L915/$H915,$M915/$I915),0)))</f>
        <v/>
      </c>
      <c r="AC915" s="84" t="str">
        <f aca="false">IF($D915&lt;&gt;1,"",IF(p_mode="Nœud",$AB915*$K915,$L915*IF($G915="IKS",p_iks_cpu,p_roks_cpu)+$M915*IF($G915="IKS",p_iks_ram,p_roks_ram))*p_facteur)</f>
        <v/>
      </c>
      <c r="AD915" s="14" t="str">
        <f aca="false">IF($D915&lt;&gt;1,"",IF(AND($G915="IKS",$AI915&lt;&gt;1,OR($L915-$P915&lt;$N915,$M915-$Q915&lt;$O915)),1,0))</f>
        <v/>
      </c>
      <c r="AE915" s="14" t="str">
        <f aca="false">IF($D915&lt;&gt;1,"",IF(AND($G915="ROKS",$T915&gt;p_maxworkers),1,0))</f>
        <v/>
      </c>
      <c r="AF915" s="14" t="str">
        <f aca="false">IF($D915&lt;&gt;1,"",IF(INDEX(TblClusters[Environnement],$B915)="","(vide)",INDEX(TblClusters[Environnement],$B915)))</f>
        <v/>
      </c>
      <c r="AG915" s="14" t="str">
        <f aca="false">IF($D915&lt;&gt;1,"",$R915+p_poidsram*$S915)</f>
        <v/>
      </c>
      <c r="AH915" s="14" t="str">
        <f aca="false">IF($D915&lt;&gt;1,"",IFERROR($W915/$AG915,0))</f>
        <v/>
      </c>
      <c r="AI915" s="14" t="str">
        <f aca="false">IF($D915&lt;&gt;1,"",IF(AND($G915="IKS",ISNUMBER(INDEX(TblClusters[Fermeture retenue],$B915))),IF($E915&gt;=INDEX(TblClusters[Fermeture retenue],$B915),1,0),0))</f>
        <v/>
      </c>
    </row>
    <row r="916" customFormat="false" ht="15" hidden="false" customHeight="false" outlineLevel="0" collapsed="false">
      <c r="A916" s="14" t="n">
        <v>911</v>
      </c>
      <c r="B916" s="14" t="n">
        <f aca="false">INT(($A916-1)/36)+1</f>
        <v>26</v>
      </c>
      <c r="C916" s="14" t="n">
        <f aca="false">MOD($A916-1,36)+1</f>
        <v>11</v>
      </c>
      <c r="D916" s="14" t="n">
        <f aca="false">IF($C916&gt;p_horizon,0,IFERROR(IF(AND(INDEX(TblClusters[Cluster],$B916)&lt;&gt;"",ISNUMBER(INDEX(TblClusters[CPU initial (vCPU)],$B916)),ISNUMBER(INDEX(TblClusters[CPU min (vCPU)],$B916)),OR(INDEX(TblClusters[Plateforme],$B916)="IKS",INDEX(TblClusters[Plateforme],$B916)="ROKS")),1,0),0))</f>
        <v>0</v>
      </c>
      <c r="E916" s="83" t="str">
        <f aca="false">IF($D916=1,EDATE(p_debut,$C916-1),"")</f>
        <v/>
      </c>
      <c r="F916" s="14" t="str">
        <f aca="false">IF($D916=1,INDEX(TblClusters[Cluster],$B916),"")</f>
        <v/>
      </c>
      <c r="G916" s="14" t="str">
        <f aca="false">IF($D916=1,INDEX(TblClusters[Plateforme],$B916),"")</f>
        <v/>
      </c>
      <c r="H916" s="14" t="str">
        <f aca="false">IF($D916=1,INDEX(TblClusters[vCPU par nœud],$B916),"")</f>
        <v/>
      </c>
      <c r="I916" s="14" t="str">
        <f aca="false">IF($D916=1,INDEX(TblClusters[RAM par nœud (Go)],$B916),"")</f>
        <v/>
      </c>
      <c r="J916" s="14" t="str">
        <f aca="false">IF($D916=1,INDEX(TblClusters[Workers min],$B916),"")</f>
        <v/>
      </c>
      <c r="K916" s="84" t="str">
        <f aca="false">IF($D916=1,INDEX(TblClusters[Tarif par nœud],$B916),"")</f>
        <v/>
      </c>
      <c r="L916" s="14" t="str">
        <f aca="false">IF($D916=1,INDEX(TblClusters[CPU initial (vCPU)],$B916),"")</f>
        <v/>
      </c>
      <c r="M916" s="14" t="str">
        <f aca="false">IF($D916=1,INDEX(TblClusters[RAM initiale (Go)],$B916),"")</f>
        <v/>
      </c>
      <c r="N916" s="14" t="str">
        <f aca="false">IF($D916=1,INDEX(TblClusters[CPU min (vCPU)],$B916),"")</f>
        <v/>
      </c>
      <c r="O916" s="14" t="str">
        <f aca="false">IF($D916=1,INDEX(TblClusters[RAM min (Go)],$B916),"")</f>
        <v/>
      </c>
      <c r="P916" s="14" t="str">
        <f aca="false">IF($D916&lt;&gt;1,"",IF($G916="ROKS",SUMIFS(TblApplications[Besoin ROKS CPU (vCPU)],TblApplications[Cluster ROKS cible],$F916,TblApplications[Action],"À migrer",TblApplications[Déjà incluse ROKS],"Non",TblApplications[Mois prov (calc)],"&lt;="&amp;$E916),SUMIFS(TblApplications[CPU IKS libérable (vCPU)],TblApplications[Cluster IKS source],$F916,TblApplications[Mois lib (calc)],"&lt;="&amp;$E916)))</f>
        <v/>
      </c>
      <c r="Q916" s="14" t="str">
        <f aca="false">IF($D916&lt;&gt;1,"",IF($G916="ROKS",SUMIFS(TblApplications[Besoin ROKS RAM (Go)],TblApplications[Cluster ROKS cible],$F916,TblApplications[Action],"À migrer",TblApplications[Déjà incluse ROKS],"Non",TblApplications[Mois prov (calc)],"&lt;="&amp;$E916),SUMIFS(TblApplications[RAM IKS libérable (Go)],TblApplications[Cluster IKS source],$F916,TblApplications[Mois lib (calc)],"&lt;="&amp;$E916)))</f>
        <v/>
      </c>
      <c r="R916" s="14" t="str">
        <f aca="false">IF($D916&lt;&gt;1,"",IF($G916="ROKS",$L916+$P916,IF($AI916=1,0,MAX($N916,$L916-$P916))))</f>
        <v/>
      </c>
      <c r="S916" s="14" t="str">
        <f aca="false">IF($D916&lt;&gt;1,"",IF($G916="ROKS",$M916+$Q916,IF($AI916=1,0,MAX($O916,$M916-$Q916))))</f>
        <v/>
      </c>
      <c r="T916" s="14" t="str">
        <f aca="false">IF($D916&lt;&gt;1,"",IF($AI916=1,0,MAX($J916,ROUNDUP(MAX($R916/$H916,$S916/$I916),0))))</f>
        <v/>
      </c>
      <c r="U916" s="14" t="str">
        <f aca="false">IF($D916&lt;&gt;1,"",IF(p_mode="Nœud",$T916*$H916,$R916))</f>
        <v/>
      </c>
      <c r="V916" s="14" t="str">
        <f aca="false">IF($D916&lt;&gt;1,"",IF(p_mode="Nœud",$T916*$I916,$S916))</f>
        <v/>
      </c>
      <c r="W916" s="84" t="str">
        <f aca="false">IF($D916&lt;&gt;1,"",IF(p_mode="Nœud",$T916*$K916,$R916*IF($G916="IKS",p_iks_cpu,p_roks_cpu)+$S916*IF($G916="IKS",p_iks_ram,p_roks_ram))*p_facteur)</f>
        <v/>
      </c>
      <c r="X916" s="14" t="str">
        <f aca="false">IF($D916&lt;&gt;1,"",IF($G916="ROKS",$R916,IF($AI916=1,0,MAX($N916,$L916-SUMIFS(TblApplications[CPU IKS libérable (vCPU)],TblApplications[Cluster IKS source],$F916,TblApplications[Action],"À migrer",TblApplications[Mois prov (calc)],"&lt;="&amp;$E916)-SUMIFS(TblApplications[CPU IKS libérable (vCPU)],TblApplications[Cluster IKS source],$F916,TblApplications[Action],"À décommissionner",TblApplications[Mois lib (calc)],"&lt;="&amp;$E916)))))</f>
        <v/>
      </c>
      <c r="Y916" s="14" t="str">
        <f aca="false">IF($D916&lt;&gt;1,"",IF($G916="ROKS",$S916,IF($AI916=1,0,MAX($O916,$M916-SUMIFS(TblApplications[RAM IKS libérable (Go)],TblApplications[Cluster IKS source],$F916,TblApplications[Action],"À migrer",TblApplications[Mois prov (calc)],"&lt;="&amp;$E916)-SUMIFS(TblApplications[RAM IKS libérable (Go)],TblApplications[Cluster IKS source],$F916,TblApplications[Action],"À décommissionner",TblApplications[Mois lib (calc)],"&lt;="&amp;$E916)))))</f>
        <v/>
      </c>
      <c r="Z916" s="14" t="str">
        <f aca="false">IF($D916&lt;&gt;1,"",IF($AI916=1,0,MAX($J916,ROUNDUP(MAX($X916/$H916,$Y916/$I916),0))))</f>
        <v/>
      </c>
      <c r="AA916" s="84" t="str">
        <f aca="false">IF($D916&lt;&gt;1,"",IF(p_mode="Nœud",$Z916*$K916,$X916*IF($G916="IKS",p_iks_cpu,p_roks_cpu)+$Y916*IF($G916="IKS",p_iks_ram,p_roks_ram))*p_facteur)</f>
        <v/>
      </c>
      <c r="AB916" s="14" t="str">
        <f aca="false">IF($D916&lt;&gt;1,"",MAX($J916,ROUNDUP(MAX($L916/$H916,$M916/$I916),0)))</f>
        <v/>
      </c>
      <c r="AC916" s="84" t="str">
        <f aca="false">IF($D916&lt;&gt;1,"",IF(p_mode="Nœud",$AB916*$K916,$L916*IF($G916="IKS",p_iks_cpu,p_roks_cpu)+$M916*IF($G916="IKS",p_iks_ram,p_roks_ram))*p_facteur)</f>
        <v/>
      </c>
      <c r="AD916" s="14" t="str">
        <f aca="false">IF($D916&lt;&gt;1,"",IF(AND($G916="IKS",$AI916&lt;&gt;1,OR($L916-$P916&lt;$N916,$M916-$Q916&lt;$O916)),1,0))</f>
        <v/>
      </c>
      <c r="AE916" s="14" t="str">
        <f aca="false">IF($D916&lt;&gt;1,"",IF(AND($G916="ROKS",$T916&gt;p_maxworkers),1,0))</f>
        <v/>
      </c>
      <c r="AF916" s="14" t="str">
        <f aca="false">IF($D916&lt;&gt;1,"",IF(INDEX(TblClusters[Environnement],$B916)="","(vide)",INDEX(TblClusters[Environnement],$B916)))</f>
        <v/>
      </c>
      <c r="AG916" s="14" t="str">
        <f aca="false">IF($D916&lt;&gt;1,"",$R916+p_poidsram*$S916)</f>
        <v/>
      </c>
      <c r="AH916" s="14" t="str">
        <f aca="false">IF($D916&lt;&gt;1,"",IFERROR($W916/$AG916,0))</f>
        <v/>
      </c>
      <c r="AI916" s="14" t="str">
        <f aca="false">IF($D916&lt;&gt;1,"",IF(AND($G916="IKS",ISNUMBER(INDEX(TblClusters[Fermeture retenue],$B916))),IF($E916&gt;=INDEX(TblClusters[Fermeture retenue],$B916),1,0),0))</f>
        <v/>
      </c>
    </row>
    <row r="917" customFormat="false" ht="15" hidden="false" customHeight="false" outlineLevel="0" collapsed="false">
      <c r="A917" s="14" t="n">
        <v>912</v>
      </c>
      <c r="B917" s="14" t="n">
        <f aca="false">INT(($A917-1)/36)+1</f>
        <v>26</v>
      </c>
      <c r="C917" s="14" t="n">
        <f aca="false">MOD($A917-1,36)+1</f>
        <v>12</v>
      </c>
      <c r="D917" s="14" t="n">
        <f aca="false">IF($C917&gt;p_horizon,0,IFERROR(IF(AND(INDEX(TblClusters[Cluster],$B917)&lt;&gt;"",ISNUMBER(INDEX(TblClusters[CPU initial (vCPU)],$B917)),ISNUMBER(INDEX(TblClusters[CPU min (vCPU)],$B917)),OR(INDEX(TblClusters[Plateforme],$B917)="IKS",INDEX(TblClusters[Plateforme],$B917)="ROKS")),1,0),0))</f>
        <v>0</v>
      </c>
      <c r="E917" s="83" t="str">
        <f aca="false">IF($D917=1,EDATE(p_debut,$C917-1),"")</f>
        <v/>
      </c>
      <c r="F917" s="14" t="str">
        <f aca="false">IF($D917=1,INDEX(TblClusters[Cluster],$B917),"")</f>
        <v/>
      </c>
      <c r="G917" s="14" t="str">
        <f aca="false">IF($D917=1,INDEX(TblClusters[Plateforme],$B917),"")</f>
        <v/>
      </c>
      <c r="H917" s="14" t="str">
        <f aca="false">IF($D917=1,INDEX(TblClusters[vCPU par nœud],$B917),"")</f>
        <v/>
      </c>
      <c r="I917" s="14" t="str">
        <f aca="false">IF($D917=1,INDEX(TblClusters[RAM par nœud (Go)],$B917),"")</f>
        <v/>
      </c>
      <c r="J917" s="14" t="str">
        <f aca="false">IF($D917=1,INDEX(TblClusters[Workers min],$B917),"")</f>
        <v/>
      </c>
      <c r="K917" s="84" t="str">
        <f aca="false">IF($D917=1,INDEX(TblClusters[Tarif par nœud],$B917),"")</f>
        <v/>
      </c>
      <c r="L917" s="14" t="str">
        <f aca="false">IF($D917=1,INDEX(TblClusters[CPU initial (vCPU)],$B917),"")</f>
        <v/>
      </c>
      <c r="M917" s="14" t="str">
        <f aca="false">IF($D917=1,INDEX(TblClusters[RAM initiale (Go)],$B917),"")</f>
        <v/>
      </c>
      <c r="N917" s="14" t="str">
        <f aca="false">IF($D917=1,INDEX(TblClusters[CPU min (vCPU)],$B917),"")</f>
        <v/>
      </c>
      <c r="O917" s="14" t="str">
        <f aca="false">IF($D917=1,INDEX(TblClusters[RAM min (Go)],$B917),"")</f>
        <v/>
      </c>
      <c r="P917" s="14" t="str">
        <f aca="false">IF($D917&lt;&gt;1,"",IF($G917="ROKS",SUMIFS(TblApplications[Besoin ROKS CPU (vCPU)],TblApplications[Cluster ROKS cible],$F917,TblApplications[Action],"À migrer",TblApplications[Déjà incluse ROKS],"Non",TblApplications[Mois prov (calc)],"&lt;="&amp;$E917),SUMIFS(TblApplications[CPU IKS libérable (vCPU)],TblApplications[Cluster IKS source],$F917,TblApplications[Mois lib (calc)],"&lt;="&amp;$E917)))</f>
        <v/>
      </c>
      <c r="Q917" s="14" t="str">
        <f aca="false">IF($D917&lt;&gt;1,"",IF($G917="ROKS",SUMIFS(TblApplications[Besoin ROKS RAM (Go)],TblApplications[Cluster ROKS cible],$F917,TblApplications[Action],"À migrer",TblApplications[Déjà incluse ROKS],"Non",TblApplications[Mois prov (calc)],"&lt;="&amp;$E917),SUMIFS(TblApplications[RAM IKS libérable (Go)],TblApplications[Cluster IKS source],$F917,TblApplications[Mois lib (calc)],"&lt;="&amp;$E917)))</f>
        <v/>
      </c>
      <c r="R917" s="14" t="str">
        <f aca="false">IF($D917&lt;&gt;1,"",IF($G917="ROKS",$L917+$P917,IF($AI917=1,0,MAX($N917,$L917-$P917))))</f>
        <v/>
      </c>
      <c r="S917" s="14" t="str">
        <f aca="false">IF($D917&lt;&gt;1,"",IF($G917="ROKS",$M917+$Q917,IF($AI917=1,0,MAX($O917,$M917-$Q917))))</f>
        <v/>
      </c>
      <c r="T917" s="14" t="str">
        <f aca="false">IF($D917&lt;&gt;1,"",IF($AI917=1,0,MAX($J917,ROUNDUP(MAX($R917/$H917,$S917/$I917),0))))</f>
        <v/>
      </c>
      <c r="U917" s="14" t="str">
        <f aca="false">IF($D917&lt;&gt;1,"",IF(p_mode="Nœud",$T917*$H917,$R917))</f>
        <v/>
      </c>
      <c r="V917" s="14" t="str">
        <f aca="false">IF($D917&lt;&gt;1,"",IF(p_mode="Nœud",$T917*$I917,$S917))</f>
        <v/>
      </c>
      <c r="W917" s="84" t="str">
        <f aca="false">IF($D917&lt;&gt;1,"",IF(p_mode="Nœud",$T917*$K917,$R917*IF($G917="IKS",p_iks_cpu,p_roks_cpu)+$S917*IF($G917="IKS",p_iks_ram,p_roks_ram))*p_facteur)</f>
        <v/>
      </c>
      <c r="X917" s="14" t="str">
        <f aca="false">IF($D917&lt;&gt;1,"",IF($G917="ROKS",$R917,IF($AI917=1,0,MAX($N917,$L917-SUMIFS(TblApplications[CPU IKS libérable (vCPU)],TblApplications[Cluster IKS source],$F917,TblApplications[Action],"À migrer",TblApplications[Mois prov (calc)],"&lt;="&amp;$E917)-SUMIFS(TblApplications[CPU IKS libérable (vCPU)],TblApplications[Cluster IKS source],$F917,TblApplications[Action],"À décommissionner",TblApplications[Mois lib (calc)],"&lt;="&amp;$E917)))))</f>
        <v/>
      </c>
      <c r="Y917" s="14" t="str">
        <f aca="false">IF($D917&lt;&gt;1,"",IF($G917="ROKS",$S917,IF($AI917=1,0,MAX($O917,$M917-SUMIFS(TblApplications[RAM IKS libérable (Go)],TblApplications[Cluster IKS source],$F917,TblApplications[Action],"À migrer",TblApplications[Mois prov (calc)],"&lt;="&amp;$E917)-SUMIFS(TblApplications[RAM IKS libérable (Go)],TblApplications[Cluster IKS source],$F917,TblApplications[Action],"À décommissionner",TblApplications[Mois lib (calc)],"&lt;="&amp;$E917)))))</f>
        <v/>
      </c>
      <c r="Z917" s="14" t="str">
        <f aca="false">IF($D917&lt;&gt;1,"",IF($AI917=1,0,MAX($J917,ROUNDUP(MAX($X917/$H917,$Y917/$I917),0))))</f>
        <v/>
      </c>
      <c r="AA917" s="84" t="str">
        <f aca="false">IF($D917&lt;&gt;1,"",IF(p_mode="Nœud",$Z917*$K917,$X917*IF($G917="IKS",p_iks_cpu,p_roks_cpu)+$Y917*IF($G917="IKS",p_iks_ram,p_roks_ram))*p_facteur)</f>
        <v/>
      </c>
      <c r="AB917" s="14" t="str">
        <f aca="false">IF($D917&lt;&gt;1,"",MAX($J917,ROUNDUP(MAX($L917/$H917,$M917/$I917),0)))</f>
        <v/>
      </c>
      <c r="AC917" s="84" t="str">
        <f aca="false">IF($D917&lt;&gt;1,"",IF(p_mode="Nœud",$AB917*$K917,$L917*IF($G917="IKS",p_iks_cpu,p_roks_cpu)+$M917*IF($G917="IKS",p_iks_ram,p_roks_ram))*p_facteur)</f>
        <v/>
      </c>
      <c r="AD917" s="14" t="str">
        <f aca="false">IF($D917&lt;&gt;1,"",IF(AND($G917="IKS",$AI917&lt;&gt;1,OR($L917-$P917&lt;$N917,$M917-$Q917&lt;$O917)),1,0))</f>
        <v/>
      </c>
      <c r="AE917" s="14" t="str">
        <f aca="false">IF($D917&lt;&gt;1,"",IF(AND($G917="ROKS",$T917&gt;p_maxworkers),1,0))</f>
        <v/>
      </c>
      <c r="AF917" s="14" t="str">
        <f aca="false">IF($D917&lt;&gt;1,"",IF(INDEX(TblClusters[Environnement],$B917)="","(vide)",INDEX(TblClusters[Environnement],$B917)))</f>
        <v/>
      </c>
      <c r="AG917" s="14" t="str">
        <f aca="false">IF($D917&lt;&gt;1,"",$R917+p_poidsram*$S917)</f>
        <v/>
      </c>
      <c r="AH917" s="14" t="str">
        <f aca="false">IF($D917&lt;&gt;1,"",IFERROR($W917/$AG917,0))</f>
        <v/>
      </c>
      <c r="AI917" s="14" t="str">
        <f aca="false">IF($D917&lt;&gt;1,"",IF(AND($G917="IKS",ISNUMBER(INDEX(TblClusters[Fermeture retenue],$B917))),IF($E917&gt;=INDEX(TblClusters[Fermeture retenue],$B917),1,0),0))</f>
        <v/>
      </c>
    </row>
    <row r="918" customFormat="false" ht="15" hidden="false" customHeight="false" outlineLevel="0" collapsed="false">
      <c r="A918" s="14" t="n">
        <v>913</v>
      </c>
      <c r="B918" s="14" t="n">
        <f aca="false">INT(($A918-1)/36)+1</f>
        <v>26</v>
      </c>
      <c r="C918" s="14" t="n">
        <f aca="false">MOD($A918-1,36)+1</f>
        <v>13</v>
      </c>
      <c r="D918" s="14" t="n">
        <f aca="false">IF($C918&gt;p_horizon,0,IFERROR(IF(AND(INDEX(TblClusters[Cluster],$B918)&lt;&gt;"",ISNUMBER(INDEX(TblClusters[CPU initial (vCPU)],$B918)),ISNUMBER(INDEX(TblClusters[CPU min (vCPU)],$B918)),OR(INDEX(TblClusters[Plateforme],$B918)="IKS",INDEX(TblClusters[Plateforme],$B918)="ROKS")),1,0),0))</f>
        <v>0</v>
      </c>
      <c r="E918" s="83" t="str">
        <f aca="false">IF($D918=1,EDATE(p_debut,$C918-1),"")</f>
        <v/>
      </c>
      <c r="F918" s="14" t="str">
        <f aca="false">IF($D918=1,INDEX(TblClusters[Cluster],$B918),"")</f>
        <v/>
      </c>
      <c r="G918" s="14" t="str">
        <f aca="false">IF($D918=1,INDEX(TblClusters[Plateforme],$B918),"")</f>
        <v/>
      </c>
      <c r="H918" s="14" t="str">
        <f aca="false">IF($D918=1,INDEX(TblClusters[vCPU par nœud],$B918),"")</f>
        <v/>
      </c>
      <c r="I918" s="14" t="str">
        <f aca="false">IF($D918=1,INDEX(TblClusters[RAM par nœud (Go)],$B918),"")</f>
        <v/>
      </c>
      <c r="J918" s="14" t="str">
        <f aca="false">IF($D918=1,INDEX(TblClusters[Workers min],$B918),"")</f>
        <v/>
      </c>
      <c r="K918" s="84" t="str">
        <f aca="false">IF($D918=1,INDEX(TblClusters[Tarif par nœud],$B918),"")</f>
        <v/>
      </c>
      <c r="L918" s="14" t="str">
        <f aca="false">IF($D918=1,INDEX(TblClusters[CPU initial (vCPU)],$B918),"")</f>
        <v/>
      </c>
      <c r="M918" s="14" t="str">
        <f aca="false">IF($D918=1,INDEX(TblClusters[RAM initiale (Go)],$B918),"")</f>
        <v/>
      </c>
      <c r="N918" s="14" t="str">
        <f aca="false">IF($D918=1,INDEX(TblClusters[CPU min (vCPU)],$B918),"")</f>
        <v/>
      </c>
      <c r="O918" s="14" t="str">
        <f aca="false">IF($D918=1,INDEX(TblClusters[RAM min (Go)],$B918),"")</f>
        <v/>
      </c>
      <c r="P918" s="14" t="str">
        <f aca="false">IF($D918&lt;&gt;1,"",IF($G918="ROKS",SUMIFS(TblApplications[Besoin ROKS CPU (vCPU)],TblApplications[Cluster ROKS cible],$F918,TblApplications[Action],"À migrer",TblApplications[Déjà incluse ROKS],"Non",TblApplications[Mois prov (calc)],"&lt;="&amp;$E918),SUMIFS(TblApplications[CPU IKS libérable (vCPU)],TblApplications[Cluster IKS source],$F918,TblApplications[Mois lib (calc)],"&lt;="&amp;$E918)))</f>
        <v/>
      </c>
      <c r="Q918" s="14" t="str">
        <f aca="false">IF($D918&lt;&gt;1,"",IF($G918="ROKS",SUMIFS(TblApplications[Besoin ROKS RAM (Go)],TblApplications[Cluster ROKS cible],$F918,TblApplications[Action],"À migrer",TblApplications[Déjà incluse ROKS],"Non",TblApplications[Mois prov (calc)],"&lt;="&amp;$E918),SUMIFS(TblApplications[RAM IKS libérable (Go)],TblApplications[Cluster IKS source],$F918,TblApplications[Mois lib (calc)],"&lt;="&amp;$E918)))</f>
        <v/>
      </c>
      <c r="R918" s="14" t="str">
        <f aca="false">IF($D918&lt;&gt;1,"",IF($G918="ROKS",$L918+$P918,IF($AI918=1,0,MAX($N918,$L918-$P918))))</f>
        <v/>
      </c>
      <c r="S918" s="14" t="str">
        <f aca="false">IF($D918&lt;&gt;1,"",IF($G918="ROKS",$M918+$Q918,IF($AI918=1,0,MAX($O918,$M918-$Q918))))</f>
        <v/>
      </c>
      <c r="T918" s="14" t="str">
        <f aca="false">IF($D918&lt;&gt;1,"",IF($AI918=1,0,MAX($J918,ROUNDUP(MAX($R918/$H918,$S918/$I918),0))))</f>
        <v/>
      </c>
      <c r="U918" s="14" t="str">
        <f aca="false">IF($D918&lt;&gt;1,"",IF(p_mode="Nœud",$T918*$H918,$R918))</f>
        <v/>
      </c>
      <c r="V918" s="14" t="str">
        <f aca="false">IF($D918&lt;&gt;1,"",IF(p_mode="Nœud",$T918*$I918,$S918))</f>
        <v/>
      </c>
      <c r="W918" s="84" t="str">
        <f aca="false">IF($D918&lt;&gt;1,"",IF(p_mode="Nœud",$T918*$K918,$R918*IF($G918="IKS",p_iks_cpu,p_roks_cpu)+$S918*IF($G918="IKS",p_iks_ram,p_roks_ram))*p_facteur)</f>
        <v/>
      </c>
      <c r="X918" s="14" t="str">
        <f aca="false">IF($D918&lt;&gt;1,"",IF($G918="ROKS",$R918,IF($AI918=1,0,MAX($N918,$L918-SUMIFS(TblApplications[CPU IKS libérable (vCPU)],TblApplications[Cluster IKS source],$F918,TblApplications[Action],"À migrer",TblApplications[Mois prov (calc)],"&lt;="&amp;$E918)-SUMIFS(TblApplications[CPU IKS libérable (vCPU)],TblApplications[Cluster IKS source],$F918,TblApplications[Action],"À décommissionner",TblApplications[Mois lib (calc)],"&lt;="&amp;$E918)))))</f>
        <v/>
      </c>
      <c r="Y918" s="14" t="str">
        <f aca="false">IF($D918&lt;&gt;1,"",IF($G918="ROKS",$S918,IF($AI918=1,0,MAX($O918,$M918-SUMIFS(TblApplications[RAM IKS libérable (Go)],TblApplications[Cluster IKS source],$F918,TblApplications[Action],"À migrer",TblApplications[Mois prov (calc)],"&lt;="&amp;$E918)-SUMIFS(TblApplications[RAM IKS libérable (Go)],TblApplications[Cluster IKS source],$F918,TblApplications[Action],"À décommissionner",TblApplications[Mois lib (calc)],"&lt;="&amp;$E918)))))</f>
        <v/>
      </c>
      <c r="Z918" s="14" t="str">
        <f aca="false">IF($D918&lt;&gt;1,"",IF($AI918=1,0,MAX($J918,ROUNDUP(MAX($X918/$H918,$Y918/$I918),0))))</f>
        <v/>
      </c>
      <c r="AA918" s="84" t="str">
        <f aca="false">IF($D918&lt;&gt;1,"",IF(p_mode="Nœud",$Z918*$K918,$X918*IF($G918="IKS",p_iks_cpu,p_roks_cpu)+$Y918*IF($G918="IKS",p_iks_ram,p_roks_ram))*p_facteur)</f>
        <v/>
      </c>
      <c r="AB918" s="14" t="str">
        <f aca="false">IF($D918&lt;&gt;1,"",MAX($J918,ROUNDUP(MAX($L918/$H918,$M918/$I918),0)))</f>
        <v/>
      </c>
      <c r="AC918" s="84" t="str">
        <f aca="false">IF($D918&lt;&gt;1,"",IF(p_mode="Nœud",$AB918*$K918,$L918*IF($G918="IKS",p_iks_cpu,p_roks_cpu)+$M918*IF($G918="IKS",p_iks_ram,p_roks_ram))*p_facteur)</f>
        <v/>
      </c>
      <c r="AD918" s="14" t="str">
        <f aca="false">IF($D918&lt;&gt;1,"",IF(AND($G918="IKS",$AI918&lt;&gt;1,OR($L918-$P918&lt;$N918,$M918-$Q918&lt;$O918)),1,0))</f>
        <v/>
      </c>
      <c r="AE918" s="14" t="str">
        <f aca="false">IF($D918&lt;&gt;1,"",IF(AND($G918="ROKS",$T918&gt;p_maxworkers),1,0))</f>
        <v/>
      </c>
      <c r="AF918" s="14" t="str">
        <f aca="false">IF($D918&lt;&gt;1,"",IF(INDEX(TblClusters[Environnement],$B918)="","(vide)",INDEX(TblClusters[Environnement],$B918)))</f>
        <v/>
      </c>
      <c r="AG918" s="14" t="str">
        <f aca="false">IF($D918&lt;&gt;1,"",$R918+p_poidsram*$S918)</f>
        <v/>
      </c>
      <c r="AH918" s="14" t="str">
        <f aca="false">IF($D918&lt;&gt;1,"",IFERROR($W918/$AG918,0))</f>
        <v/>
      </c>
      <c r="AI918" s="14" t="str">
        <f aca="false">IF($D918&lt;&gt;1,"",IF(AND($G918="IKS",ISNUMBER(INDEX(TblClusters[Fermeture retenue],$B918))),IF($E918&gt;=INDEX(TblClusters[Fermeture retenue],$B918),1,0),0))</f>
        <v/>
      </c>
    </row>
    <row r="919" customFormat="false" ht="15" hidden="false" customHeight="false" outlineLevel="0" collapsed="false">
      <c r="A919" s="14" t="n">
        <v>914</v>
      </c>
      <c r="B919" s="14" t="n">
        <f aca="false">INT(($A919-1)/36)+1</f>
        <v>26</v>
      </c>
      <c r="C919" s="14" t="n">
        <f aca="false">MOD($A919-1,36)+1</f>
        <v>14</v>
      </c>
      <c r="D919" s="14" t="n">
        <f aca="false">IF($C919&gt;p_horizon,0,IFERROR(IF(AND(INDEX(TblClusters[Cluster],$B919)&lt;&gt;"",ISNUMBER(INDEX(TblClusters[CPU initial (vCPU)],$B919)),ISNUMBER(INDEX(TblClusters[CPU min (vCPU)],$B919)),OR(INDEX(TblClusters[Plateforme],$B919)="IKS",INDEX(TblClusters[Plateforme],$B919)="ROKS")),1,0),0))</f>
        <v>0</v>
      </c>
      <c r="E919" s="83" t="str">
        <f aca="false">IF($D919=1,EDATE(p_debut,$C919-1),"")</f>
        <v/>
      </c>
      <c r="F919" s="14" t="str">
        <f aca="false">IF($D919=1,INDEX(TblClusters[Cluster],$B919),"")</f>
        <v/>
      </c>
      <c r="G919" s="14" t="str">
        <f aca="false">IF($D919=1,INDEX(TblClusters[Plateforme],$B919),"")</f>
        <v/>
      </c>
      <c r="H919" s="14" t="str">
        <f aca="false">IF($D919=1,INDEX(TblClusters[vCPU par nœud],$B919),"")</f>
        <v/>
      </c>
      <c r="I919" s="14" t="str">
        <f aca="false">IF($D919=1,INDEX(TblClusters[RAM par nœud (Go)],$B919),"")</f>
        <v/>
      </c>
      <c r="J919" s="14" t="str">
        <f aca="false">IF($D919=1,INDEX(TblClusters[Workers min],$B919),"")</f>
        <v/>
      </c>
      <c r="K919" s="84" t="str">
        <f aca="false">IF($D919=1,INDEX(TblClusters[Tarif par nœud],$B919),"")</f>
        <v/>
      </c>
      <c r="L919" s="14" t="str">
        <f aca="false">IF($D919=1,INDEX(TblClusters[CPU initial (vCPU)],$B919),"")</f>
        <v/>
      </c>
      <c r="M919" s="14" t="str">
        <f aca="false">IF($D919=1,INDEX(TblClusters[RAM initiale (Go)],$B919),"")</f>
        <v/>
      </c>
      <c r="N919" s="14" t="str">
        <f aca="false">IF($D919=1,INDEX(TblClusters[CPU min (vCPU)],$B919),"")</f>
        <v/>
      </c>
      <c r="O919" s="14" t="str">
        <f aca="false">IF($D919=1,INDEX(TblClusters[RAM min (Go)],$B919),"")</f>
        <v/>
      </c>
      <c r="P919" s="14" t="str">
        <f aca="false">IF($D919&lt;&gt;1,"",IF($G919="ROKS",SUMIFS(TblApplications[Besoin ROKS CPU (vCPU)],TblApplications[Cluster ROKS cible],$F919,TblApplications[Action],"À migrer",TblApplications[Déjà incluse ROKS],"Non",TblApplications[Mois prov (calc)],"&lt;="&amp;$E919),SUMIFS(TblApplications[CPU IKS libérable (vCPU)],TblApplications[Cluster IKS source],$F919,TblApplications[Mois lib (calc)],"&lt;="&amp;$E919)))</f>
        <v/>
      </c>
      <c r="Q919" s="14" t="str">
        <f aca="false">IF($D919&lt;&gt;1,"",IF($G919="ROKS",SUMIFS(TblApplications[Besoin ROKS RAM (Go)],TblApplications[Cluster ROKS cible],$F919,TblApplications[Action],"À migrer",TblApplications[Déjà incluse ROKS],"Non",TblApplications[Mois prov (calc)],"&lt;="&amp;$E919),SUMIFS(TblApplications[RAM IKS libérable (Go)],TblApplications[Cluster IKS source],$F919,TblApplications[Mois lib (calc)],"&lt;="&amp;$E919)))</f>
        <v/>
      </c>
      <c r="R919" s="14" t="str">
        <f aca="false">IF($D919&lt;&gt;1,"",IF($G919="ROKS",$L919+$P919,IF($AI919=1,0,MAX($N919,$L919-$P919))))</f>
        <v/>
      </c>
      <c r="S919" s="14" t="str">
        <f aca="false">IF($D919&lt;&gt;1,"",IF($G919="ROKS",$M919+$Q919,IF($AI919=1,0,MAX($O919,$M919-$Q919))))</f>
        <v/>
      </c>
      <c r="T919" s="14" t="str">
        <f aca="false">IF($D919&lt;&gt;1,"",IF($AI919=1,0,MAX($J919,ROUNDUP(MAX($R919/$H919,$S919/$I919),0))))</f>
        <v/>
      </c>
      <c r="U919" s="14" t="str">
        <f aca="false">IF($D919&lt;&gt;1,"",IF(p_mode="Nœud",$T919*$H919,$R919))</f>
        <v/>
      </c>
      <c r="V919" s="14" t="str">
        <f aca="false">IF($D919&lt;&gt;1,"",IF(p_mode="Nœud",$T919*$I919,$S919))</f>
        <v/>
      </c>
      <c r="W919" s="84" t="str">
        <f aca="false">IF($D919&lt;&gt;1,"",IF(p_mode="Nœud",$T919*$K919,$R919*IF($G919="IKS",p_iks_cpu,p_roks_cpu)+$S919*IF($G919="IKS",p_iks_ram,p_roks_ram))*p_facteur)</f>
        <v/>
      </c>
      <c r="X919" s="14" t="str">
        <f aca="false">IF($D919&lt;&gt;1,"",IF($G919="ROKS",$R919,IF($AI919=1,0,MAX($N919,$L919-SUMIFS(TblApplications[CPU IKS libérable (vCPU)],TblApplications[Cluster IKS source],$F919,TblApplications[Action],"À migrer",TblApplications[Mois prov (calc)],"&lt;="&amp;$E919)-SUMIFS(TblApplications[CPU IKS libérable (vCPU)],TblApplications[Cluster IKS source],$F919,TblApplications[Action],"À décommissionner",TblApplications[Mois lib (calc)],"&lt;="&amp;$E919)))))</f>
        <v/>
      </c>
      <c r="Y919" s="14" t="str">
        <f aca="false">IF($D919&lt;&gt;1,"",IF($G919="ROKS",$S919,IF($AI919=1,0,MAX($O919,$M919-SUMIFS(TblApplications[RAM IKS libérable (Go)],TblApplications[Cluster IKS source],$F919,TblApplications[Action],"À migrer",TblApplications[Mois prov (calc)],"&lt;="&amp;$E919)-SUMIFS(TblApplications[RAM IKS libérable (Go)],TblApplications[Cluster IKS source],$F919,TblApplications[Action],"À décommissionner",TblApplications[Mois lib (calc)],"&lt;="&amp;$E919)))))</f>
        <v/>
      </c>
      <c r="Z919" s="14" t="str">
        <f aca="false">IF($D919&lt;&gt;1,"",IF($AI919=1,0,MAX($J919,ROUNDUP(MAX($X919/$H919,$Y919/$I919),0))))</f>
        <v/>
      </c>
      <c r="AA919" s="84" t="str">
        <f aca="false">IF($D919&lt;&gt;1,"",IF(p_mode="Nœud",$Z919*$K919,$X919*IF($G919="IKS",p_iks_cpu,p_roks_cpu)+$Y919*IF($G919="IKS",p_iks_ram,p_roks_ram))*p_facteur)</f>
        <v/>
      </c>
      <c r="AB919" s="14" t="str">
        <f aca="false">IF($D919&lt;&gt;1,"",MAX($J919,ROUNDUP(MAX($L919/$H919,$M919/$I919),0)))</f>
        <v/>
      </c>
      <c r="AC919" s="84" t="str">
        <f aca="false">IF($D919&lt;&gt;1,"",IF(p_mode="Nœud",$AB919*$K919,$L919*IF($G919="IKS",p_iks_cpu,p_roks_cpu)+$M919*IF($G919="IKS",p_iks_ram,p_roks_ram))*p_facteur)</f>
        <v/>
      </c>
      <c r="AD919" s="14" t="str">
        <f aca="false">IF($D919&lt;&gt;1,"",IF(AND($G919="IKS",$AI919&lt;&gt;1,OR($L919-$P919&lt;$N919,$M919-$Q919&lt;$O919)),1,0))</f>
        <v/>
      </c>
      <c r="AE919" s="14" t="str">
        <f aca="false">IF($D919&lt;&gt;1,"",IF(AND($G919="ROKS",$T919&gt;p_maxworkers),1,0))</f>
        <v/>
      </c>
      <c r="AF919" s="14" t="str">
        <f aca="false">IF($D919&lt;&gt;1,"",IF(INDEX(TblClusters[Environnement],$B919)="","(vide)",INDEX(TblClusters[Environnement],$B919)))</f>
        <v/>
      </c>
      <c r="AG919" s="14" t="str">
        <f aca="false">IF($D919&lt;&gt;1,"",$R919+p_poidsram*$S919)</f>
        <v/>
      </c>
      <c r="AH919" s="14" t="str">
        <f aca="false">IF($D919&lt;&gt;1,"",IFERROR($W919/$AG919,0))</f>
        <v/>
      </c>
      <c r="AI919" s="14" t="str">
        <f aca="false">IF($D919&lt;&gt;1,"",IF(AND($G919="IKS",ISNUMBER(INDEX(TblClusters[Fermeture retenue],$B919))),IF($E919&gt;=INDEX(TblClusters[Fermeture retenue],$B919),1,0),0))</f>
        <v/>
      </c>
    </row>
    <row r="920" customFormat="false" ht="15" hidden="false" customHeight="false" outlineLevel="0" collapsed="false">
      <c r="A920" s="14" t="n">
        <v>915</v>
      </c>
      <c r="B920" s="14" t="n">
        <f aca="false">INT(($A920-1)/36)+1</f>
        <v>26</v>
      </c>
      <c r="C920" s="14" t="n">
        <f aca="false">MOD($A920-1,36)+1</f>
        <v>15</v>
      </c>
      <c r="D920" s="14" t="n">
        <f aca="false">IF($C920&gt;p_horizon,0,IFERROR(IF(AND(INDEX(TblClusters[Cluster],$B920)&lt;&gt;"",ISNUMBER(INDEX(TblClusters[CPU initial (vCPU)],$B920)),ISNUMBER(INDEX(TblClusters[CPU min (vCPU)],$B920)),OR(INDEX(TblClusters[Plateforme],$B920)="IKS",INDEX(TblClusters[Plateforme],$B920)="ROKS")),1,0),0))</f>
        <v>0</v>
      </c>
      <c r="E920" s="83" t="str">
        <f aca="false">IF($D920=1,EDATE(p_debut,$C920-1),"")</f>
        <v/>
      </c>
      <c r="F920" s="14" t="str">
        <f aca="false">IF($D920=1,INDEX(TblClusters[Cluster],$B920),"")</f>
        <v/>
      </c>
      <c r="G920" s="14" t="str">
        <f aca="false">IF($D920=1,INDEX(TblClusters[Plateforme],$B920),"")</f>
        <v/>
      </c>
      <c r="H920" s="14" t="str">
        <f aca="false">IF($D920=1,INDEX(TblClusters[vCPU par nœud],$B920),"")</f>
        <v/>
      </c>
      <c r="I920" s="14" t="str">
        <f aca="false">IF($D920=1,INDEX(TblClusters[RAM par nœud (Go)],$B920),"")</f>
        <v/>
      </c>
      <c r="J920" s="14" t="str">
        <f aca="false">IF($D920=1,INDEX(TblClusters[Workers min],$B920),"")</f>
        <v/>
      </c>
      <c r="K920" s="84" t="str">
        <f aca="false">IF($D920=1,INDEX(TblClusters[Tarif par nœud],$B920),"")</f>
        <v/>
      </c>
      <c r="L920" s="14" t="str">
        <f aca="false">IF($D920=1,INDEX(TblClusters[CPU initial (vCPU)],$B920),"")</f>
        <v/>
      </c>
      <c r="M920" s="14" t="str">
        <f aca="false">IF($D920=1,INDEX(TblClusters[RAM initiale (Go)],$B920),"")</f>
        <v/>
      </c>
      <c r="N920" s="14" t="str">
        <f aca="false">IF($D920=1,INDEX(TblClusters[CPU min (vCPU)],$B920),"")</f>
        <v/>
      </c>
      <c r="O920" s="14" t="str">
        <f aca="false">IF($D920=1,INDEX(TblClusters[RAM min (Go)],$B920),"")</f>
        <v/>
      </c>
      <c r="P920" s="14" t="str">
        <f aca="false">IF($D920&lt;&gt;1,"",IF($G920="ROKS",SUMIFS(TblApplications[Besoin ROKS CPU (vCPU)],TblApplications[Cluster ROKS cible],$F920,TblApplications[Action],"À migrer",TblApplications[Déjà incluse ROKS],"Non",TblApplications[Mois prov (calc)],"&lt;="&amp;$E920),SUMIFS(TblApplications[CPU IKS libérable (vCPU)],TblApplications[Cluster IKS source],$F920,TblApplications[Mois lib (calc)],"&lt;="&amp;$E920)))</f>
        <v/>
      </c>
      <c r="Q920" s="14" t="str">
        <f aca="false">IF($D920&lt;&gt;1,"",IF($G920="ROKS",SUMIFS(TblApplications[Besoin ROKS RAM (Go)],TblApplications[Cluster ROKS cible],$F920,TblApplications[Action],"À migrer",TblApplications[Déjà incluse ROKS],"Non",TblApplications[Mois prov (calc)],"&lt;="&amp;$E920),SUMIFS(TblApplications[RAM IKS libérable (Go)],TblApplications[Cluster IKS source],$F920,TblApplications[Mois lib (calc)],"&lt;="&amp;$E920)))</f>
        <v/>
      </c>
      <c r="R920" s="14" t="str">
        <f aca="false">IF($D920&lt;&gt;1,"",IF($G920="ROKS",$L920+$P920,IF($AI920=1,0,MAX($N920,$L920-$P920))))</f>
        <v/>
      </c>
      <c r="S920" s="14" t="str">
        <f aca="false">IF($D920&lt;&gt;1,"",IF($G920="ROKS",$M920+$Q920,IF($AI920=1,0,MAX($O920,$M920-$Q920))))</f>
        <v/>
      </c>
      <c r="T920" s="14" t="str">
        <f aca="false">IF($D920&lt;&gt;1,"",IF($AI920=1,0,MAX($J920,ROUNDUP(MAX($R920/$H920,$S920/$I920),0))))</f>
        <v/>
      </c>
      <c r="U920" s="14" t="str">
        <f aca="false">IF($D920&lt;&gt;1,"",IF(p_mode="Nœud",$T920*$H920,$R920))</f>
        <v/>
      </c>
      <c r="V920" s="14" t="str">
        <f aca="false">IF($D920&lt;&gt;1,"",IF(p_mode="Nœud",$T920*$I920,$S920))</f>
        <v/>
      </c>
      <c r="W920" s="84" t="str">
        <f aca="false">IF($D920&lt;&gt;1,"",IF(p_mode="Nœud",$T920*$K920,$R920*IF($G920="IKS",p_iks_cpu,p_roks_cpu)+$S920*IF($G920="IKS",p_iks_ram,p_roks_ram))*p_facteur)</f>
        <v/>
      </c>
      <c r="X920" s="14" t="str">
        <f aca="false">IF($D920&lt;&gt;1,"",IF($G920="ROKS",$R920,IF($AI920=1,0,MAX($N920,$L920-SUMIFS(TblApplications[CPU IKS libérable (vCPU)],TblApplications[Cluster IKS source],$F920,TblApplications[Action],"À migrer",TblApplications[Mois prov (calc)],"&lt;="&amp;$E920)-SUMIFS(TblApplications[CPU IKS libérable (vCPU)],TblApplications[Cluster IKS source],$F920,TblApplications[Action],"À décommissionner",TblApplications[Mois lib (calc)],"&lt;="&amp;$E920)))))</f>
        <v/>
      </c>
      <c r="Y920" s="14" t="str">
        <f aca="false">IF($D920&lt;&gt;1,"",IF($G920="ROKS",$S920,IF($AI920=1,0,MAX($O920,$M920-SUMIFS(TblApplications[RAM IKS libérable (Go)],TblApplications[Cluster IKS source],$F920,TblApplications[Action],"À migrer",TblApplications[Mois prov (calc)],"&lt;="&amp;$E920)-SUMIFS(TblApplications[RAM IKS libérable (Go)],TblApplications[Cluster IKS source],$F920,TblApplications[Action],"À décommissionner",TblApplications[Mois lib (calc)],"&lt;="&amp;$E920)))))</f>
        <v/>
      </c>
      <c r="Z920" s="14" t="str">
        <f aca="false">IF($D920&lt;&gt;1,"",IF($AI920=1,0,MAX($J920,ROUNDUP(MAX($X920/$H920,$Y920/$I920),0))))</f>
        <v/>
      </c>
      <c r="AA920" s="84" t="str">
        <f aca="false">IF($D920&lt;&gt;1,"",IF(p_mode="Nœud",$Z920*$K920,$X920*IF($G920="IKS",p_iks_cpu,p_roks_cpu)+$Y920*IF($G920="IKS",p_iks_ram,p_roks_ram))*p_facteur)</f>
        <v/>
      </c>
      <c r="AB920" s="14" t="str">
        <f aca="false">IF($D920&lt;&gt;1,"",MAX($J920,ROUNDUP(MAX($L920/$H920,$M920/$I920),0)))</f>
        <v/>
      </c>
      <c r="AC920" s="84" t="str">
        <f aca="false">IF($D920&lt;&gt;1,"",IF(p_mode="Nœud",$AB920*$K920,$L920*IF($G920="IKS",p_iks_cpu,p_roks_cpu)+$M920*IF($G920="IKS",p_iks_ram,p_roks_ram))*p_facteur)</f>
        <v/>
      </c>
      <c r="AD920" s="14" t="str">
        <f aca="false">IF($D920&lt;&gt;1,"",IF(AND($G920="IKS",$AI920&lt;&gt;1,OR($L920-$P920&lt;$N920,$M920-$Q920&lt;$O920)),1,0))</f>
        <v/>
      </c>
      <c r="AE920" s="14" t="str">
        <f aca="false">IF($D920&lt;&gt;1,"",IF(AND($G920="ROKS",$T920&gt;p_maxworkers),1,0))</f>
        <v/>
      </c>
      <c r="AF920" s="14" t="str">
        <f aca="false">IF($D920&lt;&gt;1,"",IF(INDEX(TblClusters[Environnement],$B920)="","(vide)",INDEX(TblClusters[Environnement],$B920)))</f>
        <v/>
      </c>
      <c r="AG920" s="14" t="str">
        <f aca="false">IF($D920&lt;&gt;1,"",$R920+p_poidsram*$S920)</f>
        <v/>
      </c>
      <c r="AH920" s="14" t="str">
        <f aca="false">IF($D920&lt;&gt;1,"",IFERROR($W920/$AG920,0))</f>
        <v/>
      </c>
      <c r="AI920" s="14" t="str">
        <f aca="false">IF($D920&lt;&gt;1,"",IF(AND($G920="IKS",ISNUMBER(INDEX(TblClusters[Fermeture retenue],$B920))),IF($E920&gt;=INDEX(TblClusters[Fermeture retenue],$B920),1,0),0))</f>
        <v/>
      </c>
    </row>
    <row r="921" customFormat="false" ht="15" hidden="false" customHeight="false" outlineLevel="0" collapsed="false">
      <c r="A921" s="14" t="n">
        <v>916</v>
      </c>
      <c r="B921" s="14" t="n">
        <f aca="false">INT(($A921-1)/36)+1</f>
        <v>26</v>
      </c>
      <c r="C921" s="14" t="n">
        <f aca="false">MOD($A921-1,36)+1</f>
        <v>16</v>
      </c>
      <c r="D921" s="14" t="n">
        <f aca="false">IF($C921&gt;p_horizon,0,IFERROR(IF(AND(INDEX(TblClusters[Cluster],$B921)&lt;&gt;"",ISNUMBER(INDEX(TblClusters[CPU initial (vCPU)],$B921)),ISNUMBER(INDEX(TblClusters[CPU min (vCPU)],$B921)),OR(INDEX(TblClusters[Plateforme],$B921)="IKS",INDEX(TblClusters[Plateforme],$B921)="ROKS")),1,0),0))</f>
        <v>0</v>
      </c>
      <c r="E921" s="83" t="str">
        <f aca="false">IF($D921=1,EDATE(p_debut,$C921-1),"")</f>
        <v/>
      </c>
      <c r="F921" s="14" t="str">
        <f aca="false">IF($D921=1,INDEX(TblClusters[Cluster],$B921),"")</f>
        <v/>
      </c>
      <c r="G921" s="14" t="str">
        <f aca="false">IF($D921=1,INDEX(TblClusters[Plateforme],$B921),"")</f>
        <v/>
      </c>
      <c r="H921" s="14" t="str">
        <f aca="false">IF($D921=1,INDEX(TblClusters[vCPU par nœud],$B921),"")</f>
        <v/>
      </c>
      <c r="I921" s="14" t="str">
        <f aca="false">IF($D921=1,INDEX(TblClusters[RAM par nœud (Go)],$B921),"")</f>
        <v/>
      </c>
      <c r="J921" s="14" t="str">
        <f aca="false">IF($D921=1,INDEX(TblClusters[Workers min],$B921),"")</f>
        <v/>
      </c>
      <c r="K921" s="84" t="str">
        <f aca="false">IF($D921=1,INDEX(TblClusters[Tarif par nœud],$B921),"")</f>
        <v/>
      </c>
      <c r="L921" s="14" t="str">
        <f aca="false">IF($D921=1,INDEX(TblClusters[CPU initial (vCPU)],$B921),"")</f>
        <v/>
      </c>
      <c r="M921" s="14" t="str">
        <f aca="false">IF($D921=1,INDEX(TblClusters[RAM initiale (Go)],$B921),"")</f>
        <v/>
      </c>
      <c r="N921" s="14" t="str">
        <f aca="false">IF($D921=1,INDEX(TblClusters[CPU min (vCPU)],$B921),"")</f>
        <v/>
      </c>
      <c r="O921" s="14" t="str">
        <f aca="false">IF($D921=1,INDEX(TblClusters[RAM min (Go)],$B921),"")</f>
        <v/>
      </c>
      <c r="P921" s="14" t="str">
        <f aca="false">IF($D921&lt;&gt;1,"",IF($G921="ROKS",SUMIFS(TblApplications[Besoin ROKS CPU (vCPU)],TblApplications[Cluster ROKS cible],$F921,TblApplications[Action],"À migrer",TblApplications[Déjà incluse ROKS],"Non",TblApplications[Mois prov (calc)],"&lt;="&amp;$E921),SUMIFS(TblApplications[CPU IKS libérable (vCPU)],TblApplications[Cluster IKS source],$F921,TblApplications[Mois lib (calc)],"&lt;="&amp;$E921)))</f>
        <v/>
      </c>
      <c r="Q921" s="14" t="str">
        <f aca="false">IF($D921&lt;&gt;1,"",IF($G921="ROKS",SUMIFS(TblApplications[Besoin ROKS RAM (Go)],TblApplications[Cluster ROKS cible],$F921,TblApplications[Action],"À migrer",TblApplications[Déjà incluse ROKS],"Non",TblApplications[Mois prov (calc)],"&lt;="&amp;$E921),SUMIFS(TblApplications[RAM IKS libérable (Go)],TblApplications[Cluster IKS source],$F921,TblApplications[Mois lib (calc)],"&lt;="&amp;$E921)))</f>
        <v/>
      </c>
      <c r="R921" s="14" t="str">
        <f aca="false">IF($D921&lt;&gt;1,"",IF($G921="ROKS",$L921+$P921,IF($AI921=1,0,MAX($N921,$L921-$P921))))</f>
        <v/>
      </c>
      <c r="S921" s="14" t="str">
        <f aca="false">IF($D921&lt;&gt;1,"",IF($G921="ROKS",$M921+$Q921,IF($AI921=1,0,MAX($O921,$M921-$Q921))))</f>
        <v/>
      </c>
      <c r="T921" s="14" t="str">
        <f aca="false">IF($D921&lt;&gt;1,"",IF($AI921=1,0,MAX($J921,ROUNDUP(MAX($R921/$H921,$S921/$I921),0))))</f>
        <v/>
      </c>
      <c r="U921" s="14" t="str">
        <f aca="false">IF($D921&lt;&gt;1,"",IF(p_mode="Nœud",$T921*$H921,$R921))</f>
        <v/>
      </c>
      <c r="V921" s="14" t="str">
        <f aca="false">IF($D921&lt;&gt;1,"",IF(p_mode="Nœud",$T921*$I921,$S921))</f>
        <v/>
      </c>
      <c r="W921" s="84" t="str">
        <f aca="false">IF($D921&lt;&gt;1,"",IF(p_mode="Nœud",$T921*$K921,$R921*IF($G921="IKS",p_iks_cpu,p_roks_cpu)+$S921*IF($G921="IKS",p_iks_ram,p_roks_ram))*p_facteur)</f>
        <v/>
      </c>
      <c r="X921" s="14" t="str">
        <f aca="false">IF($D921&lt;&gt;1,"",IF($G921="ROKS",$R921,IF($AI921=1,0,MAX($N921,$L921-SUMIFS(TblApplications[CPU IKS libérable (vCPU)],TblApplications[Cluster IKS source],$F921,TblApplications[Action],"À migrer",TblApplications[Mois prov (calc)],"&lt;="&amp;$E921)-SUMIFS(TblApplications[CPU IKS libérable (vCPU)],TblApplications[Cluster IKS source],$F921,TblApplications[Action],"À décommissionner",TblApplications[Mois lib (calc)],"&lt;="&amp;$E921)))))</f>
        <v/>
      </c>
      <c r="Y921" s="14" t="str">
        <f aca="false">IF($D921&lt;&gt;1,"",IF($G921="ROKS",$S921,IF($AI921=1,0,MAX($O921,$M921-SUMIFS(TblApplications[RAM IKS libérable (Go)],TblApplications[Cluster IKS source],$F921,TblApplications[Action],"À migrer",TblApplications[Mois prov (calc)],"&lt;="&amp;$E921)-SUMIFS(TblApplications[RAM IKS libérable (Go)],TblApplications[Cluster IKS source],$F921,TblApplications[Action],"À décommissionner",TblApplications[Mois lib (calc)],"&lt;="&amp;$E921)))))</f>
        <v/>
      </c>
      <c r="Z921" s="14" t="str">
        <f aca="false">IF($D921&lt;&gt;1,"",IF($AI921=1,0,MAX($J921,ROUNDUP(MAX($X921/$H921,$Y921/$I921),0))))</f>
        <v/>
      </c>
      <c r="AA921" s="84" t="str">
        <f aca="false">IF($D921&lt;&gt;1,"",IF(p_mode="Nœud",$Z921*$K921,$X921*IF($G921="IKS",p_iks_cpu,p_roks_cpu)+$Y921*IF($G921="IKS",p_iks_ram,p_roks_ram))*p_facteur)</f>
        <v/>
      </c>
      <c r="AB921" s="14" t="str">
        <f aca="false">IF($D921&lt;&gt;1,"",MAX($J921,ROUNDUP(MAX($L921/$H921,$M921/$I921),0)))</f>
        <v/>
      </c>
      <c r="AC921" s="84" t="str">
        <f aca="false">IF($D921&lt;&gt;1,"",IF(p_mode="Nœud",$AB921*$K921,$L921*IF($G921="IKS",p_iks_cpu,p_roks_cpu)+$M921*IF($G921="IKS",p_iks_ram,p_roks_ram))*p_facteur)</f>
        <v/>
      </c>
      <c r="AD921" s="14" t="str">
        <f aca="false">IF($D921&lt;&gt;1,"",IF(AND($G921="IKS",$AI921&lt;&gt;1,OR($L921-$P921&lt;$N921,$M921-$Q921&lt;$O921)),1,0))</f>
        <v/>
      </c>
      <c r="AE921" s="14" t="str">
        <f aca="false">IF($D921&lt;&gt;1,"",IF(AND($G921="ROKS",$T921&gt;p_maxworkers),1,0))</f>
        <v/>
      </c>
      <c r="AF921" s="14" t="str">
        <f aca="false">IF($D921&lt;&gt;1,"",IF(INDEX(TblClusters[Environnement],$B921)="","(vide)",INDEX(TblClusters[Environnement],$B921)))</f>
        <v/>
      </c>
      <c r="AG921" s="14" t="str">
        <f aca="false">IF($D921&lt;&gt;1,"",$R921+p_poidsram*$S921)</f>
        <v/>
      </c>
      <c r="AH921" s="14" t="str">
        <f aca="false">IF($D921&lt;&gt;1,"",IFERROR($W921/$AG921,0))</f>
        <v/>
      </c>
      <c r="AI921" s="14" t="str">
        <f aca="false">IF($D921&lt;&gt;1,"",IF(AND($G921="IKS",ISNUMBER(INDEX(TblClusters[Fermeture retenue],$B921))),IF($E921&gt;=INDEX(TblClusters[Fermeture retenue],$B921),1,0),0))</f>
        <v/>
      </c>
    </row>
    <row r="922" customFormat="false" ht="15" hidden="false" customHeight="false" outlineLevel="0" collapsed="false">
      <c r="A922" s="14" t="n">
        <v>917</v>
      </c>
      <c r="B922" s="14" t="n">
        <f aca="false">INT(($A922-1)/36)+1</f>
        <v>26</v>
      </c>
      <c r="C922" s="14" t="n">
        <f aca="false">MOD($A922-1,36)+1</f>
        <v>17</v>
      </c>
      <c r="D922" s="14" t="n">
        <f aca="false">IF($C922&gt;p_horizon,0,IFERROR(IF(AND(INDEX(TblClusters[Cluster],$B922)&lt;&gt;"",ISNUMBER(INDEX(TblClusters[CPU initial (vCPU)],$B922)),ISNUMBER(INDEX(TblClusters[CPU min (vCPU)],$B922)),OR(INDEX(TblClusters[Plateforme],$B922)="IKS",INDEX(TblClusters[Plateforme],$B922)="ROKS")),1,0),0))</f>
        <v>0</v>
      </c>
      <c r="E922" s="83" t="str">
        <f aca="false">IF($D922=1,EDATE(p_debut,$C922-1),"")</f>
        <v/>
      </c>
      <c r="F922" s="14" t="str">
        <f aca="false">IF($D922=1,INDEX(TblClusters[Cluster],$B922),"")</f>
        <v/>
      </c>
      <c r="G922" s="14" t="str">
        <f aca="false">IF($D922=1,INDEX(TblClusters[Plateforme],$B922),"")</f>
        <v/>
      </c>
      <c r="H922" s="14" t="str">
        <f aca="false">IF($D922=1,INDEX(TblClusters[vCPU par nœud],$B922),"")</f>
        <v/>
      </c>
      <c r="I922" s="14" t="str">
        <f aca="false">IF($D922=1,INDEX(TblClusters[RAM par nœud (Go)],$B922),"")</f>
        <v/>
      </c>
      <c r="J922" s="14" t="str">
        <f aca="false">IF($D922=1,INDEX(TblClusters[Workers min],$B922),"")</f>
        <v/>
      </c>
      <c r="K922" s="84" t="str">
        <f aca="false">IF($D922=1,INDEX(TblClusters[Tarif par nœud],$B922),"")</f>
        <v/>
      </c>
      <c r="L922" s="14" t="str">
        <f aca="false">IF($D922=1,INDEX(TblClusters[CPU initial (vCPU)],$B922),"")</f>
        <v/>
      </c>
      <c r="M922" s="14" t="str">
        <f aca="false">IF($D922=1,INDEX(TblClusters[RAM initiale (Go)],$B922),"")</f>
        <v/>
      </c>
      <c r="N922" s="14" t="str">
        <f aca="false">IF($D922=1,INDEX(TblClusters[CPU min (vCPU)],$B922),"")</f>
        <v/>
      </c>
      <c r="O922" s="14" t="str">
        <f aca="false">IF($D922=1,INDEX(TblClusters[RAM min (Go)],$B922),"")</f>
        <v/>
      </c>
      <c r="P922" s="14" t="str">
        <f aca="false">IF($D922&lt;&gt;1,"",IF($G922="ROKS",SUMIFS(TblApplications[Besoin ROKS CPU (vCPU)],TblApplications[Cluster ROKS cible],$F922,TblApplications[Action],"À migrer",TblApplications[Déjà incluse ROKS],"Non",TblApplications[Mois prov (calc)],"&lt;="&amp;$E922),SUMIFS(TblApplications[CPU IKS libérable (vCPU)],TblApplications[Cluster IKS source],$F922,TblApplications[Mois lib (calc)],"&lt;="&amp;$E922)))</f>
        <v/>
      </c>
      <c r="Q922" s="14" t="str">
        <f aca="false">IF($D922&lt;&gt;1,"",IF($G922="ROKS",SUMIFS(TblApplications[Besoin ROKS RAM (Go)],TblApplications[Cluster ROKS cible],$F922,TblApplications[Action],"À migrer",TblApplications[Déjà incluse ROKS],"Non",TblApplications[Mois prov (calc)],"&lt;="&amp;$E922),SUMIFS(TblApplications[RAM IKS libérable (Go)],TblApplications[Cluster IKS source],$F922,TblApplications[Mois lib (calc)],"&lt;="&amp;$E922)))</f>
        <v/>
      </c>
      <c r="R922" s="14" t="str">
        <f aca="false">IF($D922&lt;&gt;1,"",IF($G922="ROKS",$L922+$P922,IF($AI922=1,0,MAX($N922,$L922-$P922))))</f>
        <v/>
      </c>
      <c r="S922" s="14" t="str">
        <f aca="false">IF($D922&lt;&gt;1,"",IF($G922="ROKS",$M922+$Q922,IF($AI922=1,0,MAX($O922,$M922-$Q922))))</f>
        <v/>
      </c>
      <c r="T922" s="14" t="str">
        <f aca="false">IF($D922&lt;&gt;1,"",IF($AI922=1,0,MAX($J922,ROUNDUP(MAX($R922/$H922,$S922/$I922),0))))</f>
        <v/>
      </c>
      <c r="U922" s="14" t="str">
        <f aca="false">IF($D922&lt;&gt;1,"",IF(p_mode="Nœud",$T922*$H922,$R922))</f>
        <v/>
      </c>
      <c r="V922" s="14" t="str">
        <f aca="false">IF($D922&lt;&gt;1,"",IF(p_mode="Nœud",$T922*$I922,$S922))</f>
        <v/>
      </c>
      <c r="W922" s="84" t="str">
        <f aca="false">IF($D922&lt;&gt;1,"",IF(p_mode="Nœud",$T922*$K922,$R922*IF($G922="IKS",p_iks_cpu,p_roks_cpu)+$S922*IF($G922="IKS",p_iks_ram,p_roks_ram))*p_facteur)</f>
        <v/>
      </c>
      <c r="X922" s="14" t="str">
        <f aca="false">IF($D922&lt;&gt;1,"",IF($G922="ROKS",$R922,IF($AI922=1,0,MAX($N922,$L922-SUMIFS(TblApplications[CPU IKS libérable (vCPU)],TblApplications[Cluster IKS source],$F922,TblApplications[Action],"À migrer",TblApplications[Mois prov (calc)],"&lt;="&amp;$E922)-SUMIFS(TblApplications[CPU IKS libérable (vCPU)],TblApplications[Cluster IKS source],$F922,TblApplications[Action],"À décommissionner",TblApplications[Mois lib (calc)],"&lt;="&amp;$E922)))))</f>
        <v/>
      </c>
      <c r="Y922" s="14" t="str">
        <f aca="false">IF($D922&lt;&gt;1,"",IF($G922="ROKS",$S922,IF($AI922=1,0,MAX($O922,$M922-SUMIFS(TblApplications[RAM IKS libérable (Go)],TblApplications[Cluster IKS source],$F922,TblApplications[Action],"À migrer",TblApplications[Mois prov (calc)],"&lt;="&amp;$E922)-SUMIFS(TblApplications[RAM IKS libérable (Go)],TblApplications[Cluster IKS source],$F922,TblApplications[Action],"À décommissionner",TblApplications[Mois lib (calc)],"&lt;="&amp;$E922)))))</f>
        <v/>
      </c>
      <c r="Z922" s="14" t="str">
        <f aca="false">IF($D922&lt;&gt;1,"",IF($AI922=1,0,MAX($J922,ROUNDUP(MAX($X922/$H922,$Y922/$I922),0))))</f>
        <v/>
      </c>
      <c r="AA922" s="84" t="str">
        <f aca="false">IF($D922&lt;&gt;1,"",IF(p_mode="Nœud",$Z922*$K922,$X922*IF($G922="IKS",p_iks_cpu,p_roks_cpu)+$Y922*IF($G922="IKS",p_iks_ram,p_roks_ram))*p_facteur)</f>
        <v/>
      </c>
      <c r="AB922" s="14" t="str">
        <f aca="false">IF($D922&lt;&gt;1,"",MAX($J922,ROUNDUP(MAX($L922/$H922,$M922/$I922),0)))</f>
        <v/>
      </c>
      <c r="AC922" s="84" t="str">
        <f aca="false">IF($D922&lt;&gt;1,"",IF(p_mode="Nœud",$AB922*$K922,$L922*IF($G922="IKS",p_iks_cpu,p_roks_cpu)+$M922*IF($G922="IKS",p_iks_ram,p_roks_ram))*p_facteur)</f>
        <v/>
      </c>
      <c r="AD922" s="14" t="str">
        <f aca="false">IF($D922&lt;&gt;1,"",IF(AND($G922="IKS",$AI922&lt;&gt;1,OR($L922-$P922&lt;$N922,$M922-$Q922&lt;$O922)),1,0))</f>
        <v/>
      </c>
      <c r="AE922" s="14" t="str">
        <f aca="false">IF($D922&lt;&gt;1,"",IF(AND($G922="ROKS",$T922&gt;p_maxworkers),1,0))</f>
        <v/>
      </c>
      <c r="AF922" s="14" t="str">
        <f aca="false">IF($D922&lt;&gt;1,"",IF(INDEX(TblClusters[Environnement],$B922)="","(vide)",INDEX(TblClusters[Environnement],$B922)))</f>
        <v/>
      </c>
      <c r="AG922" s="14" t="str">
        <f aca="false">IF($D922&lt;&gt;1,"",$R922+p_poidsram*$S922)</f>
        <v/>
      </c>
      <c r="AH922" s="14" t="str">
        <f aca="false">IF($D922&lt;&gt;1,"",IFERROR($W922/$AG922,0))</f>
        <v/>
      </c>
      <c r="AI922" s="14" t="str">
        <f aca="false">IF($D922&lt;&gt;1,"",IF(AND($G922="IKS",ISNUMBER(INDEX(TblClusters[Fermeture retenue],$B922))),IF($E922&gt;=INDEX(TblClusters[Fermeture retenue],$B922),1,0),0))</f>
        <v/>
      </c>
    </row>
    <row r="923" customFormat="false" ht="15" hidden="false" customHeight="false" outlineLevel="0" collapsed="false">
      <c r="A923" s="14" t="n">
        <v>918</v>
      </c>
      <c r="B923" s="14" t="n">
        <f aca="false">INT(($A923-1)/36)+1</f>
        <v>26</v>
      </c>
      <c r="C923" s="14" t="n">
        <f aca="false">MOD($A923-1,36)+1</f>
        <v>18</v>
      </c>
      <c r="D923" s="14" t="n">
        <f aca="false">IF($C923&gt;p_horizon,0,IFERROR(IF(AND(INDEX(TblClusters[Cluster],$B923)&lt;&gt;"",ISNUMBER(INDEX(TblClusters[CPU initial (vCPU)],$B923)),ISNUMBER(INDEX(TblClusters[CPU min (vCPU)],$B923)),OR(INDEX(TblClusters[Plateforme],$B923)="IKS",INDEX(TblClusters[Plateforme],$B923)="ROKS")),1,0),0))</f>
        <v>0</v>
      </c>
      <c r="E923" s="83" t="str">
        <f aca="false">IF($D923=1,EDATE(p_debut,$C923-1),"")</f>
        <v/>
      </c>
      <c r="F923" s="14" t="str">
        <f aca="false">IF($D923=1,INDEX(TblClusters[Cluster],$B923),"")</f>
        <v/>
      </c>
      <c r="G923" s="14" t="str">
        <f aca="false">IF($D923=1,INDEX(TblClusters[Plateforme],$B923),"")</f>
        <v/>
      </c>
      <c r="H923" s="14" t="str">
        <f aca="false">IF($D923=1,INDEX(TblClusters[vCPU par nœud],$B923),"")</f>
        <v/>
      </c>
      <c r="I923" s="14" t="str">
        <f aca="false">IF($D923=1,INDEX(TblClusters[RAM par nœud (Go)],$B923),"")</f>
        <v/>
      </c>
      <c r="J923" s="14" t="str">
        <f aca="false">IF($D923=1,INDEX(TblClusters[Workers min],$B923),"")</f>
        <v/>
      </c>
      <c r="K923" s="84" t="str">
        <f aca="false">IF($D923=1,INDEX(TblClusters[Tarif par nœud],$B923),"")</f>
        <v/>
      </c>
      <c r="L923" s="14" t="str">
        <f aca="false">IF($D923=1,INDEX(TblClusters[CPU initial (vCPU)],$B923),"")</f>
        <v/>
      </c>
      <c r="M923" s="14" t="str">
        <f aca="false">IF($D923=1,INDEX(TblClusters[RAM initiale (Go)],$B923),"")</f>
        <v/>
      </c>
      <c r="N923" s="14" t="str">
        <f aca="false">IF($D923=1,INDEX(TblClusters[CPU min (vCPU)],$B923),"")</f>
        <v/>
      </c>
      <c r="O923" s="14" t="str">
        <f aca="false">IF($D923=1,INDEX(TblClusters[RAM min (Go)],$B923),"")</f>
        <v/>
      </c>
      <c r="P923" s="14" t="str">
        <f aca="false">IF($D923&lt;&gt;1,"",IF($G923="ROKS",SUMIFS(TblApplications[Besoin ROKS CPU (vCPU)],TblApplications[Cluster ROKS cible],$F923,TblApplications[Action],"À migrer",TblApplications[Déjà incluse ROKS],"Non",TblApplications[Mois prov (calc)],"&lt;="&amp;$E923),SUMIFS(TblApplications[CPU IKS libérable (vCPU)],TblApplications[Cluster IKS source],$F923,TblApplications[Mois lib (calc)],"&lt;="&amp;$E923)))</f>
        <v/>
      </c>
      <c r="Q923" s="14" t="str">
        <f aca="false">IF($D923&lt;&gt;1,"",IF($G923="ROKS",SUMIFS(TblApplications[Besoin ROKS RAM (Go)],TblApplications[Cluster ROKS cible],$F923,TblApplications[Action],"À migrer",TblApplications[Déjà incluse ROKS],"Non",TblApplications[Mois prov (calc)],"&lt;="&amp;$E923),SUMIFS(TblApplications[RAM IKS libérable (Go)],TblApplications[Cluster IKS source],$F923,TblApplications[Mois lib (calc)],"&lt;="&amp;$E923)))</f>
        <v/>
      </c>
      <c r="R923" s="14" t="str">
        <f aca="false">IF($D923&lt;&gt;1,"",IF($G923="ROKS",$L923+$P923,IF($AI923=1,0,MAX($N923,$L923-$P923))))</f>
        <v/>
      </c>
      <c r="S923" s="14" t="str">
        <f aca="false">IF($D923&lt;&gt;1,"",IF($G923="ROKS",$M923+$Q923,IF($AI923=1,0,MAX($O923,$M923-$Q923))))</f>
        <v/>
      </c>
      <c r="T923" s="14" t="str">
        <f aca="false">IF($D923&lt;&gt;1,"",IF($AI923=1,0,MAX($J923,ROUNDUP(MAX($R923/$H923,$S923/$I923),0))))</f>
        <v/>
      </c>
      <c r="U923" s="14" t="str">
        <f aca="false">IF($D923&lt;&gt;1,"",IF(p_mode="Nœud",$T923*$H923,$R923))</f>
        <v/>
      </c>
      <c r="V923" s="14" t="str">
        <f aca="false">IF($D923&lt;&gt;1,"",IF(p_mode="Nœud",$T923*$I923,$S923))</f>
        <v/>
      </c>
      <c r="W923" s="84" t="str">
        <f aca="false">IF($D923&lt;&gt;1,"",IF(p_mode="Nœud",$T923*$K923,$R923*IF($G923="IKS",p_iks_cpu,p_roks_cpu)+$S923*IF($G923="IKS",p_iks_ram,p_roks_ram))*p_facteur)</f>
        <v/>
      </c>
      <c r="X923" s="14" t="str">
        <f aca="false">IF($D923&lt;&gt;1,"",IF($G923="ROKS",$R923,IF($AI923=1,0,MAX($N923,$L923-SUMIFS(TblApplications[CPU IKS libérable (vCPU)],TblApplications[Cluster IKS source],$F923,TblApplications[Action],"À migrer",TblApplications[Mois prov (calc)],"&lt;="&amp;$E923)-SUMIFS(TblApplications[CPU IKS libérable (vCPU)],TblApplications[Cluster IKS source],$F923,TblApplications[Action],"À décommissionner",TblApplications[Mois lib (calc)],"&lt;="&amp;$E923)))))</f>
        <v/>
      </c>
      <c r="Y923" s="14" t="str">
        <f aca="false">IF($D923&lt;&gt;1,"",IF($G923="ROKS",$S923,IF($AI923=1,0,MAX($O923,$M923-SUMIFS(TblApplications[RAM IKS libérable (Go)],TblApplications[Cluster IKS source],$F923,TblApplications[Action],"À migrer",TblApplications[Mois prov (calc)],"&lt;="&amp;$E923)-SUMIFS(TblApplications[RAM IKS libérable (Go)],TblApplications[Cluster IKS source],$F923,TblApplications[Action],"À décommissionner",TblApplications[Mois lib (calc)],"&lt;="&amp;$E923)))))</f>
        <v/>
      </c>
      <c r="Z923" s="14" t="str">
        <f aca="false">IF($D923&lt;&gt;1,"",IF($AI923=1,0,MAX($J923,ROUNDUP(MAX($X923/$H923,$Y923/$I923),0))))</f>
        <v/>
      </c>
      <c r="AA923" s="84" t="str">
        <f aca="false">IF($D923&lt;&gt;1,"",IF(p_mode="Nœud",$Z923*$K923,$X923*IF($G923="IKS",p_iks_cpu,p_roks_cpu)+$Y923*IF($G923="IKS",p_iks_ram,p_roks_ram))*p_facteur)</f>
        <v/>
      </c>
      <c r="AB923" s="14" t="str">
        <f aca="false">IF($D923&lt;&gt;1,"",MAX($J923,ROUNDUP(MAX($L923/$H923,$M923/$I923),0)))</f>
        <v/>
      </c>
      <c r="AC923" s="84" t="str">
        <f aca="false">IF($D923&lt;&gt;1,"",IF(p_mode="Nœud",$AB923*$K923,$L923*IF($G923="IKS",p_iks_cpu,p_roks_cpu)+$M923*IF($G923="IKS",p_iks_ram,p_roks_ram))*p_facteur)</f>
        <v/>
      </c>
      <c r="AD923" s="14" t="str">
        <f aca="false">IF($D923&lt;&gt;1,"",IF(AND($G923="IKS",$AI923&lt;&gt;1,OR($L923-$P923&lt;$N923,$M923-$Q923&lt;$O923)),1,0))</f>
        <v/>
      </c>
      <c r="AE923" s="14" t="str">
        <f aca="false">IF($D923&lt;&gt;1,"",IF(AND($G923="ROKS",$T923&gt;p_maxworkers),1,0))</f>
        <v/>
      </c>
      <c r="AF923" s="14" t="str">
        <f aca="false">IF($D923&lt;&gt;1,"",IF(INDEX(TblClusters[Environnement],$B923)="","(vide)",INDEX(TblClusters[Environnement],$B923)))</f>
        <v/>
      </c>
      <c r="AG923" s="14" t="str">
        <f aca="false">IF($D923&lt;&gt;1,"",$R923+p_poidsram*$S923)</f>
        <v/>
      </c>
      <c r="AH923" s="14" t="str">
        <f aca="false">IF($D923&lt;&gt;1,"",IFERROR($W923/$AG923,0))</f>
        <v/>
      </c>
      <c r="AI923" s="14" t="str">
        <f aca="false">IF($D923&lt;&gt;1,"",IF(AND($G923="IKS",ISNUMBER(INDEX(TblClusters[Fermeture retenue],$B923))),IF($E923&gt;=INDEX(TblClusters[Fermeture retenue],$B923),1,0),0))</f>
        <v/>
      </c>
    </row>
    <row r="924" customFormat="false" ht="15" hidden="false" customHeight="false" outlineLevel="0" collapsed="false">
      <c r="A924" s="14" t="n">
        <v>919</v>
      </c>
      <c r="B924" s="14" t="n">
        <f aca="false">INT(($A924-1)/36)+1</f>
        <v>26</v>
      </c>
      <c r="C924" s="14" t="n">
        <f aca="false">MOD($A924-1,36)+1</f>
        <v>19</v>
      </c>
      <c r="D924" s="14" t="n">
        <f aca="false">IF($C924&gt;p_horizon,0,IFERROR(IF(AND(INDEX(TblClusters[Cluster],$B924)&lt;&gt;"",ISNUMBER(INDEX(TblClusters[CPU initial (vCPU)],$B924)),ISNUMBER(INDEX(TblClusters[CPU min (vCPU)],$B924)),OR(INDEX(TblClusters[Plateforme],$B924)="IKS",INDEX(TblClusters[Plateforme],$B924)="ROKS")),1,0),0))</f>
        <v>0</v>
      </c>
      <c r="E924" s="83" t="str">
        <f aca="false">IF($D924=1,EDATE(p_debut,$C924-1),"")</f>
        <v/>
      </c>
      <c r="F924" s="14" t="str">
        <f aca="false">IF($D924=1,INDEX(TblClusters[Cluster],$B924),"")</f>
        <v/>
      </c>
      <c r="G924" s="14" t="str">
        <f aca="false">IF($D924=1,INDEX(TblClusters[Plateforme],$B924),"")</f>
        <v/>
      </c>
      <c r="H924" s="14" t="str">
        <f aca="false">IF($D924=1,INDEX(TblClusters[vCPU par nœud],$B924),"")</f>
        <v/>
      </c>
      <c r="I924" s="14" t="str">
        <f aca="false">IF($D924=1,INDEX(TblClusters[RAM par nœud (Go)],$B924),"")</f>
        <v/>
      </c>
      <c r="J924" s="14" t="str">
        <f aca="false">IF($D924=1,INDEX(TblClusters[Workers min],$B924),"")</f>
        <v/>
      </c>
      <c r="K924" s="84" t="str">
        <f aca="false">IF($D924=1,INDEX(TblClusters[Tarif par nœud],$B924),"")</f>
        <v/>
      </c>
      <c r="L924" s="14" t="str">
        <f aca="false">IF($D924=1,INDEX(TblClusters[CPU initial (vCPU)],$B924),"")</f>
        <v/>
      </c>
      <c r="M924" s="14" t="str">
        <f aca="false">IF($D924=1,INDEX(TblClusters[RAM initiale (Go)],$B924),"")</f>
        <v/>
      </c>
      <c r="N924" s="14" t="str">
        <f aca="false">IF($D924=1,INDEX(TblClusters[CPU min (vCPU)],$B924),"")</f>
        <v/>
      </c>
      <c r="O924" s="14" t="str">
        <f aca="false">IF($D924=1,INDEX(TblClusters[RAM min (Go)],$B924),"")</f>
        <v/>
      </c>
      <c r="P924" s="14" t="str">
        <f aca="false">IF($D924&lt;&gt;1,"",IF($G924="ROKS",SUMIFS(TblApplications[Besoin ROKS CPU (vCPU)],TblApplications[Cluster ROKS cible],$F924,TblApplications[Action],"À migrer",TblApplications[Déjà incluse ROKS],"Non",TblApplications[Mois prov (calc)],"&lt;="&amp;$E924),SUMIFS(TblApplications[CPU IKS libérable (vCPU)],TblApplications[Cluster IKS source],$F924,TblApplications[Mois lib (calc)],"&lt;="&amp;$E924)))</f>
        <v/>
      </c>
      <c r="Q924" s="14" t="str">
        <f aca="false">IF($D924&lt;&gt;1,"",IF($G924="ROKS",SUMIFS(TblApplications[Besoin ROKS RAM (Go)],TblApplications[Cluster ROKS cible],$F924,TblApplications[Action],"À migrer",TblApplications[Déjà incluse ROKS],"Non",TblApplications[Mois prov (calc)],"&lt;="&amp;$E924),SUMIFS(TblApplications[RAM IKS libérable (Go)],TblApplications[Cluster IKS source],$F924,TblApplications[Mois lib (calc)],"&lt;="&amp;$E924)))</f>
        <v/>
      </c>
      <c r="R924" s="14" t="str">
        <f aca="false">IF($D924&lt;&gt;1,"",IF($G924="ROKS",$L924+$P924,IF($AI924=1,0,MAX($N924,$L924-$P924))))</f>
        <v/>
      </c>
      <c r="S924" s="14" t="str">
        <f aca="false">IF($D924&lt;&gt;1,"",IF($G924="ROKS",$M924+$Q924,IF($AI924=1,0,MAX($O924,$M924-$Q924))))</f>
        <v/>
      </c>
      <c r="T924" s="14" t="str">
        <f aca="false">IF($D924&lt;&gt;1,"",IF($AI924=1,0,MAX($J924,ROUNDUP(MAX($R924/$H924,$S924/$I924),0))))</f>
        <v/>
      </c>
      <c r="U924" s="14" t="str">
        <f aca="false">IF($D924&lt;&gt;1,"",IF(p_mode="Nœud",$T924*$H924,$R924))</f>
        <v/>
      </c>
      <c r="V924" s="14" t="str">
        <f aca="false">IF($D924&lt;&gt;1,"",IF(p_mode="Nœud",$T924*$I924,$S924))</f>
        <v/>
      </c>
      <c r="W924" s="84" t="str">
        <f aca="false">IF($D924&lt;&gt;1,"",IF(p_mode="Nœud",$T924*$K924,$R924*IF($G924="IKS",p_iks_cpu,p_roks_cpu)+$S924*IF($G924="IKS",p_iks_ram,p_roks_ram))*p_facteur)</f>
        <v/>
      </c>
      <c r="X924" s="14" t="str">
        <f aca="false">IF($D924&lt;&gt;1,"",IF($G924="ROKS",$R924,IF($AI924=1,0,MAX($N924,$L924-SUMIFS(TblApplications[CPU IKS libérable (vCPU)],TblApplications[Cluster IKS source],$F924,TblApplications[Action],"À migrer",TblApplications[Mois prov (calc)],"&lt;="&amp;$E924)-SUMIFS(TblApplications[CPU IKS libérable (vCPU)],TblApplications[Cluster IKS source],$F924,TblApplications[Action],"À décommissionner",TblApplications[Mois lib (calc)],"&lt;="&amp;$E924)))))</f>
        <v/>
      </c>
      <c r="Y924" s="14" t="str">
        <f aca="false">IF($D924&lt;&gt;1,"",IF($G924="ROKS",$S924,IF($AI924=1,0,MAX($O924,$M924-SUMIFS(TblApplications[RAM IKS libérable (Go)],TblApplications[Cluster IKS source],$F924,TblApplications[Action],"À migrer",TblApplications[Mois prov (calc)],"&lt;="&amp;$E924)-SUMIFS(TblApplications[RAM IKS libérable (Go)],TblApplications[Cluster IKS source],$F924,TblApplications[Action],"À décommissionner",TblApplications[Mois lib (calc)],"&lt;="&amp;$E924)))))</f>
        <v/>
      </c>
      <c r="Z924" s="14" t="str">
        <f aca="false">IF($D924&lt;&gt;1,"",IF($AI924=1,0,MAX($J924,ROUNDUP(MAX($X924/$H924,$Y924/$I924),0))))</f>
        <v/>
      </c>
      <c r="AA924" s="84" t="str">
        <f aca="false">IF($D924&lt;&gt;1,"",IF(p_mode="Nœud",$Z924*$K924,$X924*IF($G924="IKS",p_iks_cpu,p_roks_cpu)+$Y924*IF($G924="IKS",p_iks_ram,p_roks_ram))*p_facteur)</f>
        <v/>
      </c>
      <c r="AB924" s="14" t="str">
        <f aca="false">IF($D924&lt;&gt;1,"",MAX($J924,ROUNDUP(MAX($L924/$H924,$M924/$I924),0)))</f>
        <v/>
      </c>
      <c r="AC924" s="84" t="str">
        <f aca="false">IF($D924&lt;&gt;1,"",IF(p_mode="Nœud",$AB924*$K924,$L924*IF($G924="IKS",p_iks_cpu,p_roks_cpu)+$M924*IF($G924="IKS",p_iks_ram,p_roks_ram))*p_facteur)</f>
        <v/>
      </c>
      <c r="AD924" s="14" t="str">
        <f aca="false">IF($D924&lt;&gt;1,"",IF(AND($G924="IKS",$AI924&lt;&gt;1,OR($L924-$P924&lt;$N924,$M924-$Q924&lt;$O924)),1,0))</f>
        <v/>
      </c>
      <c r="AE924" s="14" t="str">
        <f aca="false">IF($D924&lt;&gt;1,"",IF(AND($G924="ROKS",$T924&gt;p_maxworkers),1,0))</f>
        <v/>
      </c>
      <c r="AF924" s="14" t="str">
        <f aca="false">IF($D924&lt;&gt;1,"",IF(INDEX(TblClusters[Environnement],$B924)="","(vide)",INDEX(TblClusters[Environnement],$B924)))</f>
        <v/>
      </c>
      <c r="AG924" s="14" t="str">
        <f aca="false">IF($D924&lt;&gt;1,"",$R924+p_poidsram*$S924)</f>
        <v/>
      </c>
      <c r="AH924" s="14" t="str">
        <f aca="false">IF($D924&lt;&gt;1,"",IFERROR($W924/$AG924,0))</f>
        <v/>
      </c>
      <c r="AI924" s="14" t="str">
        <f aca="false">IF($D924&lt;&gt;1,"",IF(AND($G924="IKS",ISNUMBER(INDEX(TblClusters[Fermeture retenue],$B924))),IF($E924&gt;=INDEX(TblClusters[Fermeture retenue],$B924),1,0),0))</f>
        <v/>
      </c>
    </row>
    <row r="925" customFormat="false" ht="15" hidden="false" customHeight="false" outlineLevel="0" collapsed="false">
      <c r="A925" s="14" t="n">
        <v>920</v>
      </c>
      <c r="B925" s="14" t="n">
        <f aca="false">INT(($A925-1)/36)+1</f>
        <v>26</v>
      </c>
      <c r="C925" s="14" t="n">
        <f aca="false">MOD($A925-1,36)+1</f>
        <v>20</v>
      </c>
      <c r="D925" s="14" t="n">
        <f aca="false">IF($C925&gt;p_horizon,0,IFERROR(IF(AND(INDEX(TblClusters[Cluster],$B925)&lt;&gt;"",ISNUMBER(INDEX(TblClusters[CPU initial (vCPU)],$B925)),ISNUMBER(INDEX(TblClusters[CPU min (vCPU)],$B925)),OR(INDEX(TblClusters[Plateforme],$B925)="IKS",INDEX(TblClusters[Plateforme],$B925)="ROKS")),1,0),0))</f>
        <v>0</v>
      </c>
      <c r="E925" s="83" t="str">
        <f aca="false">IF($D925=1,EDATE(p_debut,$C925-1),"")</f>
        <v/>
      </c>
      <c r="F925" s="14" t="str">
        <f aca="false">IF($D925=1,INDEX(TblClusters[Cluster],$B925),"")</f>
        <v/>
      </c>
      <c r="G925" s="14" t="str">
        <f aca="false">IF($D925=1,INDEX(TblClusters[Plateforme],$B925),"")</f>
        <v/>
      </c>
      <c r="H925" s="14" t="str">
        <f aca="false">IF($D925=1,INDEX(TblClusters[vCPU par nœud],$B925),"")</f>
        <v/>
      </c>
      <c r="I925" s="14" t="str">
        <f aca="false">IF($D925=1,INDEX(TblClusters[RAM par nœud (Go)],$B925),"")</f>
        <v/>
      </c>
      <c r="J925" s="14" t="str">
        <f aca="false">IF($D925=1,INDEX(TblClusters[Workers min],$B925),"")</f>
        <v/>
      </c>
      <c r="K925" s="84" t="str">
        <f aca="false">IF($D925=1,INDEX(TblClusters[Tarif par nœud],$B925),"")</f>
        <v/>
      </c>
      <c r="L925" s="14" t="str">
        <f aca="false">IF($D925=1,INDEX(TblClusters[CPU initial (vCPU)],$B925),"")</f>
        <v/>
      </c>
      <c r="M925" s="14" t="str">
        <f aca="false">IF($D925=1,INDEX(TblClusters[RAM initiale (Go)],$B925),"")</f>
        <v/>
      </c>
      <c r="N925" s="14" t="str">
        <f aca="false">IF($D925=1,INDEX(TblClusters[CPU min (vCPU)],$B925),"")</f>
        <v/>
      </c>
      <c r="O925" s="14" t="str">
        <f aca="false">IF($D925=1,INDEX(TblClusters[RAM min (Go)],$B925),"")</f>
        <v/>
      </c>
      <c r="P925" s="14" t="str">
        <f aca="false">IF($D925&lt;&gt;1,"",IF($G925="ROKS",SUMIFS(TblApplications[Besoin ROKS CPU (vCPU)],TblApplications[Cluster ROKS cible],$F925,TblApplications[Action],"À migrer",TblApplications[Déjà incluse ROKS],"Non",TblApplications[Mois prov (calc)],"&lt;="&amp;$E925),SUMIFS(TblApplications[CPU IKS libérable (vCPU)],TblApplications[Cluster IKS source],$F925,TblApplications[Mois lib (calc)],"&lt;="&amp;$E925)))</f>
        <v/>
      </c>
      <c r="Q925" s="14" t="str">
        <f aca="false">IF($D925&lt;&gt;1,"",IF($G925="ROKS",SUMIFS(TblApplications[Besoin ROKS RAM (Go)],TblApplications[Cluster ROKS cible],$F925,TblApplications[Action],"À migrer",TblApplications[Déjà incluse ROKS],"Non",TblApplications[Mois prov (calc)],"&lt;="&amp;$E925),SUMIFS(TblApplications[RAM IKS libérable (Go)],TblApplications[Cluster IKS source],$F925,TblApplications[Mois lib (calc)],"&lt;="&amp;$E925)))</f>
        <v/>
      </c>
      <c r="R925" s="14" t="str">
        <f aca="false">IF($D925&lt;&gt;1,"",IF($G925="ROKS",$L925+$P925,IF($AI925=1,0,MAX($N925,$L925-$P925))))</f>
        <v/>
      </c>
      <c r="S925" s="14" t="str">
        <f aca="false">IF($D925&lt;&gt;1,"",IF($G925="ROKS",$M925+$Q925,IF($AI925=1,0,MAX($O925,$M925-$Q925))))</f>
        <v/>
      </c>
      <c r="T925" s="14" t="str">
        <f aca="false">IF($D925&lt;&gt;1,"",IF($AI925=1,0,MAX($J925,ROUNDUP(MAX($R925/$H925,$S925/$I925),0))))</f>
        <v/>
      </c>
      <c r="U925" s="14" t="str">
        <f aca="false">IF($D925&lt;&gt;1,"",IF(p_mode="Nœud",$T925*$H925,$R925))</f>
        <v/>
      </c>
      <c r="V925" s="14" t="str">
        <f aca="false">IF($D925&lt;&gt;1,"",IF(p_mode="Nœud",$T925*$I925,$S925))</f>
        <v/>
      </c>
      <c r="W925" s="84" t="str">
        <f aca="false">IF($D925&lt;&gt;1,"",IF(p_mode="Nœud",$T925*$K925,$R925*IF($G925="IKS",p_iks_cpu,p_roks_cpu)+$S925*IF($G925="IKS",p_iks_ram,p_roks_ram))*p_facteur)</f>
        <v/>
      </c>
      <c r="X925" s="14" t="str">
        <f aca="false">IF($D925&lt;&gt;1,"",IF($G925="ROKS",$R925,IF($AI925=1,0,MAX($N925,$L925-SUMIFS(TblApplications[CPU IKS libérable (vCPU)],TblApplications[Cluster IKS source],$F925,TblApplications[Action],"À migrer",TblApplications[Mois prov (calc)],"&lt;="&amp;$E925)-SUMIFS(TblApplications[CPU IKS libérable (vCPU)],TblApplications[Cluster IKS source],$F925,TblApplications[Action],"À décommissionner",TblApplications[Mois lib (calc)],"&lt;="&amp;$E925)))))</f>
        <v/>
      </c>
      <c r="Y925" s="14" t="str">
        <f aca="false">IF($D925&lt;&gt;1,"",IF($G925="ROKS",$S925,IF($AI925=1,0,MAX($O925,$M925-SUMIFS(TblApplications[RAM IKS libérable (Go)],TblApplications[Cluster IKS source],$F925,TblApplications[Action],"À migrer",TblApplications[Mois prov (calc)],"&lt;="&amp;$E925)-SUMIFS(TblApplications[RAM IKS libérable (Go)],TblApplications[Cluster IKS source],$F925,TblApplications[Action],"À décommissionner",TblApplications[Mois lib (calc)],"&lt;="&amp;$E925)))))</f>
        <v/>
      </c>
      <c r="Z925" s="14" t="str">
        <f aca="false">IF($D925&lt;&gt;1,"",IF($AI925=1,0,MAX($J925,ROUNDUP(MAX($X925/$H925,$Y925/$I925),0))))</f>
        <v/>
      </c>
      <c r="AA925" s="84" t="str">
        <f aca="false">IF($D925&lt;&gt;1,"",IF(p_mode="Nœud",$Z925*$K925,$X925*IF($G925="IKS",p_iks_cpu,p_roks_cpu)+$Y925*IF($G925="IKS",p_iks_ram,p_roks_ram))*p_facteur)</f>
        <v/>
      </c>
      <c r="AB925" s="14" t="str">
        <f aca="false">IF($D925&lt;&gt;1,"",MAX($J925,ROUNDUP(MAX($L925/$H925,$M925/$I925),0)))</f>
        <v/>
      </c>
      <c r="AC925" s="84" t="str">
        <f aca="false">IF($D925&lt;&gt;1,"",IF(p_mode="Nœud",$AB925*$K925,$L925*IF($G925="IKS",p_iks_cpu,p_roks_cpu)+$M925*IF($G925="IKS",p_iks_ram,p_roks_ram))*p_facteur)</f>
        <v/>
      </c>
      <c r="AD925" s="14" t="str">
        <f aca="false">IF($D925&lt;&gt;1,"",IF(AND($G925="IKS",$AI925&lt;&gt;1,OR($L925-$P925&lt;$N925,$M925-$Q925&lt;$O925)),1,0))</f>
        <v/>
      </c>
      <c r="AE925" s="14" t="str">
        <f aca="false">IF($D925&lt;&gt;1,"",IF(AND($G925="ROKS",$T925&gt;p_maxworkers),1,0))</f>
        <v/>
      </c>
      <c r="AF925" s="14" t="str">
        <f aca="false">IF($D925&lt;&gt;1,"",IF(INDEX(TblClusters[Environnement],$B925)="","(vide)",INDEX(TblClusters[Environnement],$B925)))</f>
        <v/>
      </c>
      <c r="AG925" s="14" t="str">
        <f aca="false">IF($D925&lt;&gt;1,"",$R925+p_poidsram*$S925)</f>
        <v/>
      </c>
      <c r="AH925" s="14" t="str">
        <f aca="false">IF($D925&lt;&gt;1,"",IFERROR($W925/$AG925,0))</f>
        <v/>
      </c>
      <c r="AI925" s="14" t="str">
        <f aca="false">IF($D925&lt;&gt;1,"",IF(AND($G925="IKS",ISNUMBER(INDEX(TblClusters[Fermeture retenue],$B925))),IF($E925&gt;=INDEX(TblClusters[Fermeture retenue],$B925),1,0),0))</f>
        <v/>
      </c>
    </row>
    <row r="926" customFormat="false" ht="15" hidden="false" customHeight="false" outlineLevel="0" collapsed="false">
      <c r="A926" s="14" t="n">
        <v>921</v>
      </c>
      <c r="B926" s="14" t="n">
        <f aca="false">INT(($A926-1)/36)+1</f>
        <v>26</v>
      </c>
      <c r="C926" s="14" t="n">
        <f aca="false">MOD($A926-1,36)+1</f>
        <v>21</v>
      </c>
      <c r="D926" s="14" t="n">
        <f aca="false">IF($C926&gt;p_horizon,0,IFERROR(IF(AND(INDEX(TblClusters[Cluster],$B926)&lt;&gt;"",ISNUMBER(INDEX(TblClusters[CPU initial (vCPU)],$B926)),ISNUMBER(INDEX(TblClusters[CPU min (vCPU)],$B926)),OR(INDEX(TblClusters[Plateforme],$B926)="IKS",INDEX(TblClusters[Plateforme],$B926)="ROKS")),1,0),0))</f>
        <v>0</v>
      </c>
      <c r="E926" s="83" t="str">
        <f aca="false">IF($D926=1,EDATE(p_debut,$C926-1),"")</f>
        <v/>
      </c>
      <c r="F926" s="14" t="str">
        <f aca="false">IF($D926=1,INDEX(TblClusters[Cluster],$B926),"")</f>
        <v/>
      </c>
      <c r="G926" s="14" t="str">
        <f aca="false">IF($D926=1,INDEX(TblClusters[Plateforme],$B926),"")</f>
        <v/>
      </c>
      <c r="H926" s="14" t="str">
        <f aca="false">IF($D926=1,INDEX(TblClusters[vCPU par nœud],$B926),"")</f>
        <v/>
      </c>
      <c r="I926" s="14" t="str">
        <f aca="false">IF($D926=1,INDEX(TblClusters[RAM par nœud (Go)],$B926),"")</f>
        <v/>
      </c>
      <c r="J926" s="14" t="str">
        <f aca="false">IF($D926=1,INDEX(TblClusters[Workers min],$B926),"")</f>
        <v/>
      </c>
      <c r="K926" s="84" t="str">
        <f aca="false">IF($D926=1,INDEX(TblClusters[Tarif par nœud],$B926),"")</f>
        <v/>
      </c>
      <c r="L926" s="14" t="str">
        <f aca="false">IF($D926=1,INDEX(TblClusters[CPU initial (vCPU)],$B926),"")</f>
        <v/>
      </c>
      <c r="M926" s="14" t="str">
        <f aca="false">IF($D926=1,INDEX(TblClusters[RAM initiale (Go)],$B926),"")</f>
        <v/>
      </c>
      <c r="N926" s="14" t="str">
        <f aca="false">IF($D926=1,INDEX(TblClusters[CPU min (vCPU)],$B926),"")</f>
        <v/>
      </c>
      <c r="O926" s="14" t="str">
        <f aca="false">IF($D926=1,INDEX(TblClusters[RAM min (Go)],$B926),"")</f>
        <v/>
      </c>
      <c r="P926" s="14" t="str">
        <f aca="false">IF($D926&lt;&gt;1,"",IF($G926="ROKS",SUMIFS(TblApplications[Besoin ROKS CPU (vCPU)],TblApplications[Cluster ROKS cible],$F926,TblApplications[Action],"À migrer",TblApplications[Déjà incluse ROKS],"Non",TblApplications[Mois prov (calc)],"&lt;="&amp;$E926),SUMIFS(TblApplications[CPU IKS libérable (vCPU)],TblApplications[Cluster IKS source],$F926,TblApplications[Mois lib (calc)],"&lt;="&amp;$E926)))</f>
        <v/>
      </c>
      <c r="Q926" s="14" t="str">
        <f aca="false">IF($D926&lt;&gt;1,"",IF($G926="ROKS",SUMIFS(TblApplications[Besoin ROKS RAM (Go)],TblApplications[Cluster ROKS cible],$F926,TblApplications[Action],"À migrer",TblApplications[Déjà incluse ROKS],"Non",TblApplications[Mois prov (calc)],"&lt;="&amp;$E926),SUMIFS(TblApplications[RAM IKS libérable (Go)],TblApplications[Cluster IKS source],$F926,TblApplications[Mois lib (calc)],"&lt;="&amp;$E926)))</f>
        <v/>
      </c>
      <c r="R926" s="14" t="str">
        <f aca="false">IF($D926&lt;&gt;1,"",IF($G926="ROKS",$L926+$P926,IF($AI926=1,0,MAX($N926,$L926-$P926))))</f>
        <v/>
      </c>
      <c r="S926" s="14" t="str">
        <f aca="false">IF($D926&lt;&gt;1,"",IF($G926="ROKS",$M926+$Q926,IF($AI926=1,0,MAX($O926,$M926-$Q926))))</f>
        <v/>
      </c>
      <c r="T926" s="14" t="str">
        <f aca="false">IF($D926&lt;&gt;1,"",IF($AI926=1,0,MAX($J926,ROUNDUP(MAX($R926/$H926,$S926/$I926),0))))</f>
        <v/>
      </c>
      <c r="U926" s="14" t="str">
        <f aca="false">IF($D926&lt;&gt;1,"",IF(p_mode="Nœud",$T926*$H926,$R926))</f>
        <v/>
      </c>
      <c r="V926" s="14" t="str">
        <f aca="false">IF($D926&lt;&gt;1,"",IF(p_mode="Nœud",$T926*$I926,$S926))</f>
        <v/>
      </c>
      <c r="W926" s="84" t="str">
        <f aca="false">IF($D926&lt;&gt;1,"",IF(p_mode="Nœud",$T926*$K926,$R926*IF($G926="IKS",p_iks_cpu,p_roks_cpu)+$S926*IF($G926="IKS",p_iks_ram,p_roks_ram))*p_facteur)</f>
        <v/>
      </c>
      <c r="X926" s="14" t="str">
        <f aca="false">IF($D926&lt;&gt;1,"",IF($G926="ROKS",$R926,IF($AI926=1,0,MAX($N926,$L926-SUMIFS(TblApplications[CPU IKS libérable (vCPU)],TblApplications[Cluster IKS source],$F926,TblApplications[Action],"À migrer",TblApplications[Mois prov (calc)],"&lt;="&amp;$E926)-SUMIFS(TblApplications[CPU IKS libérable (vCPU)],TblApplications[Cluster IKS source],$F926,TblApplications[Action],"À décommissionner",TblApplications[Mois lib (calc)],"&lt;="&amp;$E926)))))</f>
        <v/>
      </c>
      <c r="Y926" s="14" t="str">
        <f aca="false">IF($D926&lt;&gt;1,"",IF($G926="ROKS",$S926,IF($AI926=1,0,MAX($O926,$M926-SUMIFS(TblApplications[RAM IKS libérable (Go)],TblApplications[Cluster IKS source],$F926,TblApplications[Action],"À migrer",TblApplications[Mois prov (calc)],"&lt;="&amp;$E926)-SUMIFS(TblApplications[RAM IKS libérable (Go)],TblApplications[Cluster IKS source],$F926,TblApplications[Action],"À décommissionner",TblApplications[Mois lib (calc)],"&lt;="&amp;$E926)))))</f>
        <v/>
      </c>
      <c r="Z926" s="14" t="str">
        <f aca="false">IF($D926&lt;&gt;1,"",IF($AI926=1,0,MAX($J926,ROUNDUP(MAX($X926/$H926,$Y926/$I926),0))))</f>
        <v/>
      </c>
      <c r="AA926" s="84" t="str">
        <f aca="false">IF($D926&lt;&gt;1,"",IF(p_mode="Nœud",$Z926*$K926,$X926*IF($G926="IKS",p_iks_cpu,p_roks_cpu)+$Y926*IF($G926="IKS",p_iks_ram,p_roks_ram))*p_facteur)</f>
        <v/>
      </c>
      <c r="AB926" s="14" t="str">
        <f aca="false">IF($D926&lt;&gt;1,"",MAX($J926,ROUNDUP(MAX($L926/$H926,$M926/$I926),0)))</f>
        <v/>
      </c>
      <c r="AC926" s="84" t="str">
        <f aca="false">IF($D926&lt;&gt;1,"",IF(p_mode="Nœud",$AB926*$K926,$L926*IF($G926="IKS",p_iks_cpu,p_roks_cpu)+$M926*IF($G926="IKS",p_iks_ram,p_roks_ram))*p_facteur)</f>
        <v/>
      </c>
      <c r="AD926" s="14" t="str">
        <f aca="false">IF($D926&lt;&gt;1,"",IF(AND($G926="IKS",$AI926&lt;&gt;1,OR($L926-$P926&lt;$N926,$M926-$Q926&lt;$O926)),1,0))</f>
        <v/>
      </c>
      <c r="AE926" s="14" t="str">
        <f aca="false">IF($D926&lt;&gt;1,"",IF(AND($G926="ROKS",$T926&gt;p_maxworkers),1,0))</f>
        <v/>
      </c>
      <c r="AF926" s="14" t="str">
        <f aca="false">IF($D926&lt;&gt;1,"",IF(INDEX(TblClusters[Environnement],$B926)="","(vide)",INDEX(TblClusters[Environnement],$B926)))</f>
        <v/>
      </c>
      <c r="AG926" s="14" t="str">
        <f aca="false">IF($D926&lt;&gt;1,"",$R926+p_poidsram*$S926)</f>
        <v/>
      </c>
      <c r="AH926" s="14" t="str">
        <f aca="false">IF($D926&lt;&gt;1,"",IFERROR($W926/$AG926,0))</f>
        <v/>
      </c>
      <c r="AI926" s="14" t="str">
        <f aca="false">IF($D926&lt;&gt;1,"",IF(AND($G926="IKS",ISNUMBER(INDEX(TblClusters[Fermeture retenue],$B926))),IF($E926&gt;=INDEX(TblClusters[Fermeture retenue],$B926),1,0),0))</f>
        <v/>
      </c>
    </row>
    <row r="927" customFormat="false" ht="15" hidden="false" customHeight="false" outlineLevel="0" collapsed="false">
      <c r="A927" s="14" t="n">
        <v>922</v>
      </c>
      <c r="B927" s="14" t="n">
        <f aca="false">INT(($A927-1)/36)+1</f>
        <v>26</v>
      </c>
      <c r="C927" s="14" t="n">
        <f aca="false">MOD($A927-1,36)+1</f>
        <v>22</v>
      </c>
      <c r="D927" s="14" t="n">
        <f aca="false">IF($C927&gt;p_horizon,0,IFERROR(IF(AND(INDEX(TblClusters[Cluster],$B927)&lt;&gt;"",ISNUMBER(INDEX(TblClusters[CPU initial (vCPU)],$B927)),ISNUMBER(INDEX(TblClusters[CPU min (vCPU)],$B927)),OR(INDEX(TblClusters[Plateforme],$B927)="IKS",INDEX(TblClusters[Plateforme],$B927)="ROKS")),1,0),0))</f>
        <v>0</v>
      </c>
      <c r="E927" s="83" t="str">
        <f aca="false">IF($D927=1,EDATE(p_debut,$C927-1),"")</f>
        <v/>
      </c>
      <c r="F927" s="14" t="str">
        <f aca="false">IF($D927=1,INDEX(TblClusters[Cluster],$B927),"")</f>
        <v/>
      </c>
      <c r="G927" s="14" t="str">
        <f aca="false">IF($D927=1,INDEX(TblClusters[Plateforme],$B927),"")</f>
        <v/>
      </c>
      <c r="H927" s="14" t="str">
        <f aca="false">IF($D927=1,INDEX(TblClusters[vCPU par nœud],$B927),"")</f>
        <v/>
      </c>
      <c r="I927" s="14" t="str">
        <f aca="false">IF($D927=1,INDEX(TblClusters[RAM par nœud (Go)],$B927),"")</f>
        <v/>
      </c>
      <c r="J927" s="14" t="str">
        <f aca="false">IF($D927=1,INDEX(TblClusters[Workers min],$B927),"")</f>
        <v/>
      </c>
      <c r="K927" s="84" t="str">
        <f aca="false">IF($D927=1,INDEX(TblClusters[Tarif par nœud],$B927),"")</f>
        <v/>
      </c>
      <c r="L927" s="14" t="str">
        <f aca="false">IF($D927=1,INDEX(TblClusters[CPU initial (vCPU)],$B927),"")</f>
        <v/>
      </c>
      <c r="M927" s="14" t="str">
        <f aca="false">IF($D927=1,INDEX(TblClusters[RAM initiale (Go)],$B927),"")</f>
        <v/>
      </c>
      <c r="N927" s="14" t="str">
        <f aca="false">IF($D927=1,INDEX(TblClusters[CPU min (vCPU)],$B927),"")</f>
        <v/>
      </c>
      <c r="O927" s="14" t="str">
        <f aca="false">IF($D927=1,INDEX(TblClusters[RAM min (Go)],$B927),"")</f>
        <v/>
      </c>
      <c r="P927" s="14" t="str">
        <f aca="false">IF($D927&lt;&gt;1,"",IF($G927="ROKS",SUMIFS(TblApplications[Besoin ROKS CPU (vCPU)],TblApplications[Cluster ROKS cible],$F927,TblApplications[Action],"À migrer",TblApplications[Déjà incluse ROKS],"Non",TblApplications[Mois prov (calc)],"&lt;="&amp;$E927),SUMIFS(TblApplications[CPU IKS libérable (vCPU)],TblApplications[Cluster IKS source],$F927,TblApplications[Mois lib (calc)],"&lt;="&amp;$E927)))</f>
        <v/>
      </c>
      <c r="Q927" s="14" t="str">
        <f aca="false">IF($D927&lt;&gt;1,"",IF($G927="ROKS",SUMIFS(TblApplications[Besoin ROKS RAM (Go)],TblApplications[Cluster ROKS cible],$F927,TblApplications[Action],"À migrer",TblApplications[Déjà incluse ROKS],"Non",TblApplications[Mois prov (calc)],"&lt;="&amp;$E927),SUMIFS(TblApplications[RAM IKS libérable (Go)],TblApplications[Cluster IKS source],$F927,TblApplications[Mois lib (calc)],"&lt;="&amp;$E927)))</f>
        <v/>
      </c>
      <c r="R927" s="14" t="str">
        <f aca="false">IF($D927&lt;&gt;1,"",IF($G927="ROKS",$L927+$P927,IF($AI927=1,0,MAX($N927,$L927-$P927))))</f>
        <v/>
      </c>
      <c r="S927" s="14" t="str">
        <f aca="false">IF($D927&lt;&gt;1,"",IF($G927="ROKS",$M927+$Q927,IF($AI927=1,0,MAX($O927,$M927-$Q927))))</f>
        <v/>
      </c>
      <c r="T927" s="14" t="str">
        <f aca="false">IF($D927&lt;&gt;1,"",IF($AI927=1,0,MAX($J927,ROUNDUP(MAX($R927/$H927,$S927/$I927),0))))</f>
        <v/>
      </c>
      <c r="U927" s="14" t="str">
        <f aca="false">IF($D927&lt;&gt;1,"",IF(p_mode="Nœud",$T927*$H927,$R927))</f>
        <v/>
      </c>
      <c r="V927" s="14" t="str">
        <f aca="false">IF($D927&lt;&gt;1,"",IF(p_mode="Nœud",$T927*$I927,$S927))</f>
        <v/>
      </c>
      <c r="W927" s="84" t="str">
        <f aca="false">IF($D927&lt;&gt;1,"",IF(p_mode="Nœud",$T927*$K927,$R927*IF($G927="IKS",p_iks_cpu,p_roks_cpu)+$S927*IF($G927="IKS",p_iks_ram,p_roks_ram))*p_facteur)</f>
        <v/>
      </c>
      <c r="X927" s="14" t="str">
        <f aca="false">IF($D927&lt;&gt;1,"",IF($G927="ROKS",$R927,IF($AI927=1,0,MAX($N927,$L927-SUMIFS(TblApplications[CPU IKS libérable (vCPU)],TblApplications[Cluster IKS source],$F927,TblApplications[Action],"À migrer",TblApplications[Mois prov (calc)],"&lt;="&amp;$E927)-SUMIFS(TblApplications[CPU IKS libérable (vCPU)],TblApplications[Cluster IKS source],$F927,TblApplications[Action],"À décommissionner",TblApplications[Mois lib (calc)],"&lt;="&amp;$E927)))))</f>
        <v/>
      </c>
      <c r="Y927" s="14" t="str">
        <f aca="false">IF($D927&lt;&gt;1,"",IF($G927="ROKS",$S927,IF($AI927=1,0,MAX($O927,$M927-SUMIFS(TblApplications[RAM IKS libérable (Go)],TblApplications[Cluster IKS source],$F927,TblApplications[Action],"À migrer",TblApplications[Mois prov (calc)],"&lt;="&amp;$E927)-SUMIFS(TblApplications[RAM IKS libérable (Go)],TblApplications[Cluster IKS source],$F927,TblApplications[Action],"À décommissionner",TblApplications[Mois lib (calc)],"&lt;="&amp;$E927)))))</f>
        <v/>
      </c>
      <c r="Z927" s="14" t="str">
        <f aca="false">IF($D927&lt;&gt;1,"",IF($AI927=1,0,MAX($J927,ROUNDUP(MAX($X927/$H927,$Y927/$I927),0))))</f>
        <v/>
      </c>
      <c r="AA927" s="84" t="str">
        <f aca="false">IF($D927&lt;&gt;1,"",IF(p_mode="Nœud",$Z927*$K927,$X927*IF($G927="IKS",p_iks_cpu,p_roks_cpu)+$Y927*IF($G927="IKS",p_iks_ram,p_roks_ram))*p_facteur)</f>
        <v/>
      </c>
      <c r="AB927" s="14" t="str">
        <f aca="false">IF($D927&lt;&gt;1,"",MAX($J927,ROUNDUP(MAX($L927/$H927,$M927/$I927),0)))</f>
        <v/>
      </c>
      <c r="AC927" s="84" t="str">
        <f aca="false">IF($D927&lt;&gt;1,"",IF(p_mode="Nœud",$AB927*$K927,$L927*IF($G927="IKS",p_iks_cpu,p_roks_cpu)+$M927*IF($G927="IKS",p_iks_ram,p_roks_ram))*p_facteur)</f>
        <v/>
      </c>
      <c r="AD927" s="14" t="str">
        <f aca="false">IF($D927&lt;&gt;1,"",IF(AND($G927="IKS",$AI927&lt;&gt;1,OR($L927-$P927&lt;$N927,$M927-$Q927&lt;$O927)),1,0))</f>
        <v/>
      </c>
      <c r="AE927" s="14" t="str">
        <f aca="false">IF($D927&lt;&gt;1,"",IF(AND($G927="ROKS",$T927&gt;p_maxworkers),1,0))</f>
        <v/>
      </c>
      <c r="AF927" s="14" t="str">
        <f aca="false">IF($D927&lt;&gt;1,"",IF(INDEX(TblClusters[Environnement],$B927)="","(vide)",INDEX(TblClusters[Environnement],$B927)))</f>
        <v/>
      </c>
      <c r="AG927" s="14" t="str">
        <f aca="false">IF($D927&lt;&gt;1,"",$R927+p_poidsram*$S927)</f>
        <v/>
      </c>
      <c r="AH927" s="14" t="str">
        <f aca="false">IF($D927&lt;&gt;1,"",IFERROR($W927/$AG927,0))</f>
        <v/>
      </c>
      <c r="AI927" s="14" t="str">
        <f aca="false">IF($D927&lt;&gt;1,"",IF(AND($G927="IKS",ISNUMBER(INDEX(TblClusters[Fermeture retenue],$B927))),IF($E927&gt;=INDEX(TblClusters[Fermeture retenue],$B927),1,0),0))</f>
        <v/>
      </c>
    </row>
    <row r="928" customFormat="false" ht="15" hidden="false" customHeight="false" outlineLevel="0" collapsed="false">
      <c r="A928" s="14" t="n">
        <v>923</v>
      </c>
      <c r="B928" s="14" t="n">
        <f aca="false">INT(($A928-1)/36)+1</f>
        <v>26</v>
      </c>
      <c r="C928" s="14" t="n">
        <f aca="false">MOD($A928-1,36)+1</f>
        <v>23</v>
      </c>
      <c r="D928" s="14" t="n">
        <f aca="false">IF($C928&gt;p_horizon,0,IFERROR(IF(AND(INDEX(TblClusters[Cluster],$B928)&lt;&gt;"",ISNUMBER(INDEX(TblClusters[CPU initial (vCPU)],$B928)),ISNUMBER(INDEX(TblClusters[CPU min (vCPU)],$B928)),OR(INDEX(TblClusters[Plateforme],$B928)="IKS",INDEX(TblClusters[Plateforme],$B928)="ROKS")),1,0),0))</f>
        <v>0</v>
      </c>
      <c r="E928" s="83" t="str">
        <f aca="false">IF($D928=1,EDATE(p_debut,$C928-1),"")</f>
        <v/>
      </c>
      <c r="F928" s="14" t="str">
        <f aca="false">IF($D928=1,INDEX(TblClusters[Cluster],$B928),"")</f>
        <v/>
      </c>
      <c r="G928" s="14" t="str">
        <f aca="false">IF($D928=1,INDEX(TblClusters[Plateforme],$B928),"")</f>
        <v/>
      </c>
      <c r="H928" s="14" t="str">
        <f aca="false">IF($D928=1,INDEX(TblClusters[vCPU par nœud],$B928),"")</f>
        <v/>
      </c>
      <c r="I928" s="14" t="str">
        <f aca="false">IF($D928=1,INDEX(TblClusters[RAM par nœud (Go)],$B928),"")</f>
        <v/>
      </c>
      <c r="J928" s="14" t="str">
        <f aca="false">IF($D928=1,INDEX(TblClusters[Workers min],$B928),"")</f>
        <v/>
      </c>
      <c r="K928" s="84" t="str">
        <f aca="false">IF($D928=1,INDEX(TblClusters[Tarif par nœud],$B928),"")</f>
        <v/>
      </c>
      <c r="L928" s="14" t="str">
        <f aca="false">IF($D928=1,INDEX(TblClusters[CPU initial (vCPU)],$B928),"")</f>
        <v/>
      </c>
      <c r="M928" s="14" t="str">
        <f aca="false">IF($D928=1,INDEX(TblClusters[RAM initiale (Go)],$B928),"")</f>
        <v/>
      </c>
      <c r="N928" s="14" t="str">
        <f aca="false">IF($D928=1,INDEX(TblClusters[CPU min (vCPU)],$B928),"")</f>
        <v/>
      </c>
      <c r="O928" s="14" t="str">
        <f aca="false">IF($D928=1,INDEX(TblClusters[RAM min (Go)],$B928),"")</f>
        <v/>
      </c>
      <c r="P928" s="14" t="str">
        <f aca="false">IF($D928&lt;&gt;1,"",IF($G928="ROKS",SUMIFS(TblApplications[Besoin ROKS CPU (vCPU)],TblApplications[Cluster ROKS cible],$F928,TblApplications[Action],"À migrer",TblApplications[Déjà incluse ROKS],"Non",TblApplications[Mois prov (calc)],"&lt;="&amp;$E928),SUMIFS(TblApplications[CPU IKS libérable (vCPU)],TblApplications[Cluster IKS source],$F928,TblApplications[Mois lib (calc)],"&lt;="&amp;$E928)))</f>
        <v/>
      </c>
      <c r="Q928" s="14" t="str">
        <f aca="false">IF($D928&lt;&gt;1,"",IF($G928="ROKS",SUMIFS(TblApplications[Besoin ROKS RAM (Go)],TblApplications[Cluster ROKS cible],$F928,TblApplications[Action],"À migrer",TblApplications[Déjà incluse ROKS],"Non",TblApplications[Mois prov (calc)],"&lt;="&amp;$E928),SUMIFS(TblApplications[RAM IKS libérable (Go)],TblApplications[Cluster IKS source],$F928,TblApplications[Mois lib (calc)],"&lt;="&amp;$E928)))</f>
        <v/>
      </c>
      <c r="R928" s="14" t="str">
        <f aca="false">IF($D928&lt;&gt;1,"",IF($G928="ROKS",$L928+$P928,IF($AI928=1,0,MAX($N928,$L928-$P928))))</f>
        <v/>
      </c>
      <c r="S928" s="14" t="str">
        <f aca="false">IF($D928&lt;&gt;1,"",IF($G928="ROKS",$M928+$Q928,IF($AI928=1,0,MAX($O928,$M928-$Q928))))</f>
        <v/>
      </c>
      <c r="T928" s="14" t="str">
        <f aca="false">IF($D928&lt;&gt;1,"",IF($AI928=1,0,MAX($J928,ROUNDUP(MAX($R928/$H928,$S928/$I928),0))))</f>
        <v/>
      </c>
      <c r="U928" s="14" t="str">
        <f aca="false">IF($D928&lt;&gt;1,"",IF(p_mode="Nœud",$T928*$H928,$R928))</f>
        <v/>
      </c>
      <c r="V928" s="14" t="str">
        <f aca="false">IF($D928&lt;&gt;1,"",IF(p_mode="Nœud",$T928*$I928,$S928))</f>
        <v/>
      </c>
      <c r="W928" s="84" t="str">
        <f aca="false">IF($D928&lt;&gt;1,"",IF(p_mode="Nœud",$T928*$K928,$R928*IF($G928="IKS",p_iks_cpu,p_roks_cpu)+$S928*IF($G928="IKS",p_iks_ram,p_roks_ram))*p_facteur)</f>
        <v/>
      </c>
      <c r="X928" s="14" t="str">
        <f aca="false">IF($D928&lt;&gt;1,"",IF($G928="ROKS",$R928,IF($AI928=1,0,MAX($N928,$L928-SUMIFS(TblApplications[CPU IKS libérable (vCPU)],TblApplications[Cluster IKS source],$F928,TblApplications[Action],"À migrer",TblApplications[Mois prov (calc)],"&lt;="&amp;$E928)-SUMIFS(TblApplications[CPU IKS libérable (vCPU)],TblApplications[Cluster IKS source],$F928,TblApplications[Action],"À décommissionner",TblApplications[Mois lib (calc)],"&lt;="&amp;$E928)))))</f>
        <v/>
      </c>
      <c r="Y928" s="14" t="str">
        <f aca="false">IF($D928&lt;&gt;1,"",IF($G928="ROKS",$S928,IF($AI928=1,0,MAX($O928,$M928-SUMIFS(TblApplications[RAM IKS libérable (Go)],TblApplications[Cluster IKS source],$F928,TblApplications[Action],"À migrer",TblApplications[Mois prov (calc)],"&lt;="&amp;$E928)-SUMIFS(TblApplications[RAM IKS libérable (Go)],TblApplications[Cluster IKS source],$F928,TblApplications[Action],"À décommissionner",TblApplications[Mois lib (calc)],"&lt;="&amp;$E928)))))</f>
        <v/>
      </c>
      <c r="Z928" s="14" t="str">
        <f aca="false">IF($D928&lt;&gt;1,"",IF($AI928=1,0,MAX($J928,ROUNDUP(MAX($X928/$H928,$Y928/$I928),0))))</f>
        <v/>
      </c>
      <c r="AA928" s="84" t="str">
        <f aca="false">IF($D928&lt;&gt;1,"",IF(p_mode="Nœud",$Z928*$K928,$X928*IF($G928="IKS",p_iks_cpu,p_roks_cpu)+$Y928*IF($G928="IKS",p_iks_ram,p_roks_ram))*p_facteur)</f>
        <v/>
      </c>
      <c r="AB928" s="14" t="str">
        <f aca="false">IF($D928&lt;&gt;1,"",MAX($J928,ROUNDUP(MAX($L928/$H928,$M928/$I928),0)))</f>
        <v/>
      </c>
      <c r="AC928" s="84" t="str">
        <f aca="false">IF($D928&lt;&gt;1,"",IF(p_mode="Nœud",$AB928*$K928,$L928*IF($G928="IKS",p_iks_cpu,p_roks_cpu)+$M928*IF($G928="IKS",p_iks_ram,p_roks_ram))*p_facteur)</f>
        <v/>
      </c>
      <c r="AD928" s="14" t="str">
        <f aca="false">IF($D928&lt;&gt;1,"",IF(AND($G928="IKS",$AI928&lt;&gt;1,OR($L928-$P928&lt;$N928,$M928-$Q928&lt;$O928)),1,0))</f>
        <v/>
      </c>
      <c r="AE928" s="14" t="str">
        <f aca="false">IF($D928&lt;&gt;1,"",IF(AND($G928="ROKS",$T928&gt;p_maxworkers),1,0))</f>
        <v/>
      </c>
      <c r="AF928" s="14" t="str">
        <f aca="false">IF($D928&lt;&gt;1,"",IF(INDEX(TblClusters[Environnement],$B928)="","(vide)",INDEX(TblClusters[Environnement],$B928)))</f>
        <v/>
      </c>
      <c r="AG928" s="14" t="str">
        <f aca="false">IF($D928&lt;&gt;1,"",$R928+p_poidsram*$S928)</f>
        <v/>
      </c>
      <c r="AH928" s="14" t="str">
        <f aca="false">IF($D928&lt;&gt;1,"",IFERROR($W928/$AG928,0))</f>
        <v/>
      </c>
      <c r="AI928" s="14" t="str">
        <f aca="false">IF($D928&lt;&gt;1,"",IF(AND($G928="IKS",ISNUMBER(INDEX(TblClusters[Fermeture retenue],$B928))),IF($E928&gt;=INDEX(TblClusters[Fermeture retenue],$B928),1,0),0))</f>
        <v/>
      </c>
    </row>
    <row r="929" customFormat="false" ht="15" hidden="false" customHeight="false" outlineLevel="0" collapsed="false">
      <c r="A929" s="14" t="n">
        <v>924</v>
      </c>
      <c r="B929" s="14" t="n">
        <f aca="false">INT(($A929-1)/36)+1</f>
        <v>26</v>
      </c>
      <c r="C929" s="14" t="n">
        <f aca="false">MOD($A929-1,36)+1</f>
        <v>24</v>
      </c>
      <c r="D929" s="14" t="n">
        <f aca="false">IF($C929&gt;p_horizon,0,IFERROR(IF(AND(INDEX(TblClusters[Cluster],$B929)&lt;&gt;"",ISNUMBER(INDEX(TblClusters[CPU initial (vCPU)],$B929)),ISNUMBER(INDEX(TblClusters[CPU min (vCPU)],$B929)),OR(INDEX(TblClusters[Plateforme],$B929)="IKS",INDEX(TblClusters[Plateforme],$B929)="ROKS")),1,0),0))</f>
        <v>0</v>
      </c>
      <c r="E929" s="83" t="str">
        <f aca="false">IF($D929=1,EDATE(p_debut,$C929-1),"")</f>
        <v/>
      </c>
      <c r="F929" s="14" t="str">
        <f aca="false">IF($D929=1,INDEX(TblClusters[Cluster],$B929),"")</f>
        <v/>
      </c>
      <c r="G929" s="14" t="str">
        <f aca="false">IF($D929=1,INDEX(TblClusters[Plateforme],$B929),"")</f>
        <v/>
      </c>
      <c r="H929" s="14" t="str">
        <f aca="false">IF($D929=1,INDEX(TblClusters[vCPU par nœud],$B929),"")</f>
        <v/>
      </c>
      <c r="I929" s="14" t="str">
        <f aca="false">IF($D929=1,INDEX(TblClusters[RAM par nœud (Go)],$B929),"")</f>
        <v/>
      </c>
      <c r="J929" s="14" t="str">
        <f aca="false">IF($D929=1,INDEX(TblClusters[Workers min],$B929),"")</f>
        <v/>
      </c>
      <c r="K929" s="84" t="str">
        <f aca="false">IF($D929=1,INDEX(TblClusters[Tarif par nœud],$B929),"")</f>
        <v/>
      </c>
      <c r="L929" s="14" t="str">
        <f aca="false">IF($D929=1,INDEX(TblClusters[CPU initial (vCPU)],$B929),"")</f>
        <v/>
      </c>
      <c r="M929" s="14" t="str">
        <f aca="false">IF($D929=1,INDEX(TblClusters[RAM initiale (Go)],$B929),"")</f>
        <v/>
      </c>
      <c r="N929" s="14" t="str">
        <f aca="false">IF($D929=1,INDEX(TblClusters[CPU min (vCPU)],$B929),"")</f>
        <v/>
      </c>
      <c r="O929" s="14" t="str">
        <f aca="false">IF($D929=1,INDEX(TblClusters[RAM min (Go)],$B929),"")</f>
        <v/>
      </c>
      <c r="P929" s="14" t="str">
        <f aca="false">IF($D929&lt;&gt;1,"",IF($G929="ROKS",SUMIFS(TblApplications[Besoin ROKS CPU (vCPU)],TblApplications[Cluster ROKS cible],$F929,TblApplications[Action],"À migrer",TblApplications[Déjà incluse ROKS],"Non",TblApplications[Mois prov (calc)],"&lt;="&amp;$E929),SUMIFS(TblApplications[CPU IKS libérable (vCPU)],TblApplications[Cluster IKS source],$F929,TblApplications[Mois lib (calc)],"&lt;="&amp;$E929)))</f>
        <v/>
      </c>
      <c r="Q929" s="14" t="str">
        <f aca="false">IF($D929&lt;&gt;1,"",IF($G929="ROKS",SUMIFS(TblApplications[Besoin ROKS RAM (Go)],TblApplications[Cluster ROKS cible],$F929,TblApplications[Action],"À migrer",TblApplications[Déjà incluse ROKS],"Non",TblApplications[Mois prov (calc)],"&lt;="&amp;$E929),SUMIFS(TblApplications[RAM IKS libérable (Go)],TblApplications[Cluster IKS source],$F929,TblApplications[Mois lib (calc)],"&lt;="&amp;$E929)))</f>
        <v/>
      </c>
      <c r="R929" s="14" t="str">
        <f aca="false">IF($D929&lt;&gt;1,"",IF($G929="ROKS",$L929+$P929,IF($AI929=1,0,MAX($N929,$L929-$P929))))</f>
        <v/>
      </c>
      <c r="S929" s="14" t="str">
        <f aca="false">IF($D929&lt;&gt;1,"",IF($G929="ROKS",$M929+$Q929,IF($AI929=1,0,MAX($O929,$M929-$Q929))))</f>
        <v/>
      </c>
      <c r="T929" s="14" t="str">
        <f aca="false">IF($D929&lt;&gt;1,"",IF($AI929=1,0,MAX($J929,ROUNDUP(MAX($R929/$H929,$S929/$I929),0))))</f>
        <v/>
      </c>
      <c r="U929" s="14" t="str">
        <f aca="false">IF($D929&lt;&gt;1,"",IF(p_mode="Nœud",$T929*$H929,$R929))</f>
        <v/>
      </c>
      <c r="V929" s="14" t="str">
        <f aca="false">IF($D929&lt;&gt;1,"",IF(p_mode="Nœud",$T929*$I929,$S929))</f>
        <v/>
      </c>
      <c r="W929" s="84" t="str">
        <f aca="false">IF($D929&lt;&gt;1,"",IF(p_mode="Nœud",$T929*$K929,$R929*IF($G929="IKS",p_iks_cpu,p_roks_cpu)+$S929*IF($G929="IKS",p_iks_ram,p_roks_ram))*p_facteur)</f>
        <v/>
      </c>
      <c r="X929" s="14" t="str">
        <f aca="false">IF($D929&lt;&gt;1,"",IF($G929="ROKS",$R929,IF($AI929=1,0,MAX($N929,$L929-SUMIFS(TblApplications[CPU IKS libérable (vCPU)],TblApplications[Cluster IKS source],$F929,TblApplications[Action],"À migrer",TblApplications[Mois prov (calc)],"&lt;="&amp;$E929)-SUMIFS(TblApplications[CPU IKS libérable (vCPU)],TblApplications[Cluster IKS source],$F929,TblApplications[Action],"À décommissionner",TblApplications[Mois lib (calc)],"&lt;="&amp;$E929)))))</f>
        <v/>
      </c>
      <c r="Y929" s="14" t="str">
        <f aca="false">IF($D929&lt;&gt;1,"",IF($G929="ROKS",$S929,IF($AI929=1,0,MAX($O929,$M929-SUMIFS(TblApplications[RAM IKS libérable (Go)],TblApplications[Cluster IKS source],$F929,TblApplications[Action],"À migrer",TblApplications[Mois prov (calc)],"&lt;="&amp;$E929)-SUMIFS(TblApplications[RAM IKS libérable (Go)],TblApplications[Cluster IKS source],$F929,TblApplications[Action],"À décommissionner",TblApplications[Mois lib (calc)],"&lt;="&amp;$E929)))))</f>
        <v/>
      </c>
      <c r="Z929" s="14" t="str">
        <f aca="false">IF($D929&lt;&gt;1,"",IF($AI929=1,0,MAX($J929,ROUNDUP(MAX($X929/$H929,$Y929/$I929),0))))</f>
        <v/>
      </c>
      <c r="AA929" s="84" t="str">
        <f aca="false">IF($D929&lt;&gt;1,"",IF(p_mode="Nœud",$Z929*$K929,$X929*IF($G929="IKS",p_iks_cpu,p_roks_cpu)+$Y929*IF($G929="IKS",p_iks_ram,p_roks_ram))*p_facteur)</f>
        <v/>
      </c>
      <c r="AB929" s="14" t="str">
        <f aca="false">IF($D929&lt;&gt;1,"",MAX($J929,ROUNDUP(MAX($L929/$H929,$M929/$I929),0)))</f>
        <v/>
      </c>
      <c r="AC929" s="84" t="str">
        <f aca="false">IF($D929&lt;&gt;1,"",IF(p_mode="Nœud",$AB929*$K929,$L929*IF($G929="IKS",p_iks_cpu,p_roks_cpu)+$M929*IF($G929="IKS",p_iks_ram,p_roks_ram))*p_facteur)</f>
        <v/>
      </c>
      <c r="AD929" s="14" t="str">
        <f aca="false">IF($D929&lt;&gt;1,"",IF(AND($G929="IKS",$AI929&lt;&gt;1,OR($L929-$P929&lt;$N929,$M929-$Q929&lt;$O929)),1,0))</f>
        <v/>
      </c>
      <c r="AE929" s="14" t="str">
        <f aca="false">IF($D929&lt;&gt;1,"",IF(AND($G929="ROKS",$T929&gt;p_maxworkers),1,0))</f>
        <v/>
      </c>
      <c r="AF929" s="14" t="str">
        <f aca="false">IF($D929&lt;&gt;1,"",IF(INDEX(TblClusters[Environnement],$B929)="","(vide)",INDEX(TblClusters[Environnement],$B929)))</f>
        <v/>
      </c>
      <c r="AG929" s="14" t="str">
        <f aca="false">IF($D929&lt;&gt;1,"",$R929+p_poidsram*$S929)</f>
        <v/>
      </c>
      <c r="AH929" s="14" t="str">
        <f aca="false">IF($D929&lt;&gt;1,"",IFERROR($W929/$AG929,0))</f>
        <v/>
      </c>
      <c r="AI929" s="14" t="str">
        <f aca="false">IF($D929&lt;&gt;1,"",IF(AND($G929="IKS",ISNUMBER(INDEX(TblClusters[Fermeture retenue],$B929))),IF($E929&gt;=INDEX(TblClusters[Fermeture retenue],$B929),1,0),0))</f>
        <v/>
      </c>
    </row>
    <row r="930" customFormat="false" ht="15" hidden="false" customHeight="false" outlineLevel="0" collapsed="false">
      <c r="A930" s="14" t="n">
        <v>925</v>
      </c>
      <c r="B930" s="14" t="n">
        <f aca="false">INT(($A930-1)/36)+1</f>
        <v>26</v>
      </c>
      <c r="C930" s="14" t="n">
        <f aca="false">MOD($A930-1,36)+1</f>
        <v>25</v>
      </c>
      <c r="D930" s="14" t="n">
        <f aca="false">IF($C930&gt;p_horizon,0,IFERROR(IF(AND(INDEX(TblClusters[Cluster],$B930)&lt;&gt;"",ISNUMBER(INDEX(TblClusters[CPU initial (vCPU)],$B930)),ISNUMBER(INDEX(TblClusters[CPU min (vCPU)],$B930)),OR(INDEX(TblClusters[Plateforme],$B930)="IKS",INDEX(TblClusters[Plateforme],$B930)="ROKS")),1,0),0))</f>
        <v>0</v>
      </c>
      <c r="E930" s="83" t="str">
        <f aca="false">IF($D930=1,EDATE(p_debut,$C930-1),"")</f>
        <v/>
      </c>
      <c r="F930" s="14" t="str">
        <f aca="false">IF($D930=1,INDEX(TblClusters[Cluster],$B930),"")</f>
        <v/>
      </c>
      <c r="G930" s="14" t="str">
        <f aca="false">IF($D930=1,INDEX(TblClusters[Plateforme],$B930),"")</f>
        <v/>
      </c>
      <c r="H930" s="14" t="str">
        <f aca="false">IF($D930=1,INDEX(TblClusters[vCPU par nœud],$B930),"")</f>
        <v/>
      </c>
      <c r="I930" s="14" t="str">
        <f aca="false">IF($D930=1,INDEX(TblClusters[RAM par nœud (Go)],$B930),"")</f>
        <v/>
      </c>
      <c r="J930" s="14" t="str">
        <f aca="false">IF($D930=1,INDEX(TblClusters[Workers min],$B930),"")</f>
        <v/>
      </c>
      <c r="K930" s="84" t="str">
        <f aca="false">IF($D930=1,INDEX(TblClusters[Tarif par nœud],$B930),"")</f>
        <v/>
      </c>
      <c r="L930" s="14" t="str">
        <f aca="false">IF($D930=1,INDEX(TblClusters[CPU initial (vCPU)],$B930),"")</f>
        <v/>
      </c>
      <c r="M930" s="14" t="str">
        <f aca="false">IF($D930=1,INDEX(TblClusters[RAM initiale (Go)],$B930),"")</f>
        <v/>
      </c>
      <c r="N930" s="14" t="str">
        <f aca="false">IF($D930=1,INDEX(TblClusters[CPU min (vCPU)],$B930),"")</f>
        <v/>
      </c>
      <c r="O930" s="14" t="str">
        <f aca="false">IF($D930=1,INDEX(TblClusters[RAM min (Go)],$B930),"")</f>
        <v/>
      </c>
      <c r="P930" s="14" t="str">
        <f aca="false">IF($D930&lt;&gt;1,"",IF($G930="ROKS",SUMIFS(TblApplications[Besoin ROKS CPU (vCPU)],TblApplications[Cluster ROKS cible],$F930,TblApplications[Action],"À migrer",TblApplications[Déjà incluse ROKS],"Non",TblApplications[Mois prov (calc)],"&lt;="&amp;$E930),SUMIFS(TblApplications[CPU IKS libérable (vCPU)],TblApplications[Cluster IKS source],$F930,TblApplications[Mois lib (calc)],"&lt;="&amp;$E930)))</f>
        <v/>
      </c>
      <c r="Q930" s="14" t="str">
        <f aca="false">IF($D930&lt;&gt;1,"",IF($G930="ROKS",SUMIFS(TblApplications[Besoin ROKS RAM (Go)],TblApplications[Cluster ROKS cible],$F930,TblApplications[Action],"À migrer",TblApplications[Déjà incluse ROKS],"Non",TblApplications[Mois prov (calc)],"&lt;="&amp;$E930),SUMIFS(TblApplications[RAM IKS libérable (Go)],TblApplications[Cluster IKS source],$F930,TblApplications[Mois lib (calc)],"&lt;="&amp;$E930)))</f>
        <v/>
      </c>
      <c r="R930" s="14" t="str">
        <f aca="false">IF($D930&lt;&gt;1,"",IF($G930="ROKS",$L930+$P930,IF($AI930=1,0,MAX($N930,$L930-$P930))))</f>
        <v/>
      </c>
      <c r="S930" s="14" t="str">
        <f aca="false">IF($D930&lt;&gt;1,"",IF($G930="ROKS",$M930+$Q930,IF($AI930=1,0,MAX($O930,$M930-$Q930))))</f>
        <v/>
      </c>
      <c r="T930" s="14" t="str">
        <f aca="false">IF($D930&lt;&gt;1,"",IF($AI930=1,0,MAX($J930,ROUNDUP(MAX($R930/$H930,$S930/$I930),0))))</f>
        <v/>
      </c>
      <c r="U930" s="14" t="str">
        <f aca="false">IF($D930&lt;&gt;1,"",IF(p_mode="Nœud",$T930*$H930,$R930))</f>
        <v/>
      </c>
      <c r="V930" s="14" t="str">
        <f aca="false">IF($D930&lt;&gt;1,"",IF(p_mode="Nœud",$T930*$I930,$S930))</f>
        <v/>
      </c>
      <c r="W930" s="84" t="str">
        <f aca="false">IF($D930&lt;&gt;1,"",IF(p_mode="Nœud",$T930*$K930,$R930*IF($G930="IKS",p_iks_cpu,p_roks_cpu)+$S930*IF($G930="IKS",p_iks_ram,p_roks_ram))*p_facteur)</f>
        <v/>
      </c>
      <c r="X930" s="14" t="str">
        <f aca="false">IF($D930&lt;&gt;1,"",IF($G930="ROKS",$R930,IF($AI930=1,0,MAX($N930,$L930-SUMIFS(TblApplications[CPU IKS libérable (vCPU)],TblApplications[Cluster IKS source],$F930,TblApplications[Action],"À migrer",TblApplications[Mois prov (calc)],"&lt;="&amp;$E930)-SUMIFS(TblApplications[CPU IKS libérable (vCPU)],TblApplications[Cluster IKS source],$F930,TblApplications[Action],"À décommissionner",TblApplications[Mois lib (calc)],"&lt;="&amp;$E930)))))</f>
        <v/>
      </c>
      <c r="Y930" s="14" t="str">
        <f aca="false">IF($D930&lt;&gt;1,"",IF($G930="ROKS",$S930,IF($AI930=1,0,MAX($O930,$M930-SUMIFS(TblApplications[RAM IKS libérable (Go)],TblApplications[Cluster IKS source],$F930,TblApplications[Action],"À migrer",TblApplications[Mois prov (calc)],"&lt;="&amp;$E930)-SUMIFS(TblApplications[RAM IKS libérable (Go)],TblApplications[Cluster IKS source],$F930,TblApplications[Action],"À décommissionner",TblApplications[Mois lib (calc)],"&lt;="&amp;$E930)))))</f>
        <v/>
      </c>
      <c r="Z930" s="14" t="str">
        <f aca="false">IF($D930&lt;&gt;1,"",IF($AI930=1,0,MAX($J930,ROUNDUP(MAX($X930/$H930,$Y930/$I930),0))))</f>
        <v/>
      </c>
      <c r="AA930" s="84" t="str">
        <f aca="false">IF($D930&lt;&gt;1,"",IF(p_mode="Nœud",$Z930*$K930,$X930*IF($G930="IKS",p_iks_cpu,p_roks_cpu)+$Y930*IF($G930="IKS",p_iks_ram,p_roks_ram))*p_facteur)</f>
        <v/>
      </c>
      <c r="AB930" s="14" t="str">
        <f aca="false">IF($D930&lt;&gt;1,"",MAX($J930,ROUNDUP(MAX($L930/$H930,$M930/$I930),0)))</f>
        <v/>
      </c>
      <c r="AC930" s="84" t="str">
        <f aca="false">IF($D930&lt;&gt;1,"",IF(p_mode="Nœud",$AB930*$K930,$L930*IF($G930="IKS",p_iks_cpu,p_roks_cpu)+$M930*IF($G930="IKS",p_iks_ram,p_roks_ram))*p_facteur)</f>
        <v/>
      </c>
      <c r="AD930" s="14" t="str">
        <f aca="false">IF($D930&lt;&gt;1,"",IF(AND($G930="IKS",$AI930&lt;&gt;1,OR($L930-$P930&lt;$N930,$M930-$Q930&lt;$O930)),1,0))</f>
        <v/>
      </c>
      <c r="AE930" s="14" t="str">
        <f aca="false">IF($D930&lt;&gt;1,"",IF(AND($G930="ROKS",$T930&gt;p_maxworkers),1,0))</f>
        <v/>
      </c>
      <c r="AF930" s="14" t="str">
        <f aca="false">IF($D930&lt;&gt;1,"",IF(INDEX(TblClusters[Environnement],$B930)="","(vide)",INDEX(TblClusters[Environnement],$B930)))</f>
        <v/>
      </c>
      <c r="AG930" s="14" t="str">
        <f aca="false">IF($D930&lt;&gt;1,"",$R930+p_poidsram*$S930)</f>
        <v/>
      </c>
      <c r="AH930" s="14" t="str">
        <f aca="false">IF($D930&lt;&gt;1,"",IFERROR($W930/$AG930,0))</f>
        <v/>
      </c>
      <c r="AI930" s="14" t="str">
        <f aca="false">IF($D930&lt;&gt;1,"",IF(AND($G930="IKS",ISNUMBER(INDEX(TblClusters[Fermeture retenue],$B930))),IF($E930&gt;=INDEX(TblClusters[Fermeture retenue],$B930),1,0),0))</f>
        <v/>
      </c>
    </row>
    <row r="931" customFormat="false" ht="15" hidden="false" customHeight="false" outlineLevel="0" collapsed="false">
      <c r="A931" s="14" t="n">
        <v>926</v>
      </c>
      <c r="B931" s="14" t="n">
        <f aca="false">INT(($A931-1)/36)+1</f>
        <v>26</v>
      </c>
      <c r="C931" s="14" t="n">
        <f aca="false">MOD($A931-1,36)+1</f>
        <v>26</v>
      </c>
      <c r="D931" s="14" t="n">
        <f aca="false">IF($C931&gt;p_horizon,0,IFERROR(IF(AND(INDEX(TblClusters[Cluster],$B931)&lt;&gt;"",ISNUMBER(INDEX(TblClusters[CPU initial (vCPU)],$B931)),ISNUMBER(INDEX(TblClusters[CPU min (vCPU)],$B931)),OR(INDEX(TblClusters[Plateforme],$B931)="IKS",INDEX(TblClusters[Plateforme],$B931)="ROKS")),1,0),0))</f>
        <v>0</v>
      </c>
      <c r="E931" s="83" t="str">
        <f aca="false">IF($D931=1,EDATE(p_debut,$C931-1),"")</f>
        <v/>
      </c>
      <c r="F931" s="14" t="str">
        <f aca="false">IF($D931=1,INDEX(TblClusters[Cluster],$B931),"")</f>
        <v/>
      </c>
      <c r="G931" s="14" t="str">
        <f aca="false">IF($D931=1,INDEX(TblClusters[Plateforme],$B931),"")</f>
        <v/>
      </c>
      <c r="H931" s="14" t="str">
        <f aca="false">IF($D931=1,INDEX(TblClusters[vCPU par nœud],$B931),"")</f>
        <v/>
      </c>
      <c r="I931" s="14" t="str">
        <f aca="false">IF($D931=1,INDEX(TblClusters[RAM par nœud (Go)],$B931),"")</f>
        <v/>
      </c>
      <c r="J931" s="14" t="str">
        <f aca="false">IF($D931=1,INDEX(TblClusters[Workers min],$B931),"")</f>
        <v/>
      </c>
      <c r="K931" s="84" t="str">
        <f aca="false">IF($D931=1,INDEX(TblClusters[Tarif par nœud],$B931),"")</f>
        <v/>
      </c>
      <c r="L931" s="14" t="str">
        <f aca="false">IF($D931=1,INDEX(TblClusters[CPU initial (vCPU)],$B931),"")</f>
        <v/>
      </c>
      <c r="M931" s="14" t="str">
        <f aca="false">IF($D931=1,INDEX(TblClusters[RAM initiale (Go)],$B931),"")</f>
        <v/>
      </c>
      <c r="N931" s="14" t="str">
        <f aca="false">IF($D931=1,INDEX(TblClusters[CPU min (vCPU)],$B931),"")</f>
        <v/>
      </c>
      <c r="O931" s="14" t="str">
        <f aca="false">IF($D931=1,INDEX(TblClusters[RAM min (Go)],$B931),"")</f>
        <v/>
      </c>
      <c r="P931" s="14" t="str">
        <f aca="false">IF($D931&lt;&gt;1,"",IF($G931="ROKS",SUMIFS(TblApplications[Besoin ROKS CPU (vCPU)],TblApplications[Cluster ROKS cible],$F931,TblApplications[Action],"À migrer",TblApplications[Déjà incluse ROKS],"Non",TblApplications[Mois prov (calc)],"&lt;="&amp;$E931),SUMIFS(TblApplications[CPU IKS libérable (vCPU)],TblApplications[Cluster IKS source],$F931,TblApplications[Mois lib (calc)],"&lt;="&amp;$E931)))</f>
        <v/>
      </c>
      <c r="Q931" s="14" t="str">
        <f aca="false">IF($D931&lt;&gt;1,"",IF($G931="ROKS",SUMIFS(TblApplications[Besoin ROKS RAM (Go)],TblApplications[Cluster ROKS cible],$F931,TblApplications[Action],"À migrer",TblApplications[Déjà incluse ROKS],"Non",TblApplications[Mois prov (calc)],"&lt;="&amp;$E931),SUMIFS(TblApplications[RAM IKS libérable (Go)],TblApplications[Cluster IKS source],$F931,TblApplications[Mois lib (calc)],"&lt;="&amp;$E931)))</f>
        <v/>
      </c>
      <c r="R931" s="14" t="str">
        <f aca="false">IF($D931&lt;&gt;1,"",IF($G931="ROKS",$L931+$P931,IF($AI931=1,0,MAX($N931,$L931-$P931))))</f>
        <v/>
      </c>
      <c r="S931" s="14" t="str">
        <f aca="false">IF($D931&lt;&gt;1,"",IF($G931="ROKS",$M931+$Q931,IF($AI931=1,0,MAX($O931,$M931-$Q931))))</f>
        <v/>
      </c>
      <c r="T931" s="14" t="str">
        <f aca="false">IF($D931&lt;&gt;1,"",IF($AI931=1,0,MAX($J931,ROUNDUP(MAX($R931/$H931,$S931/$I931),0))))</f>
        <v/>
      </c>
      <c r="U931" s="14" t="str">
        <f aca="false">IF($D931&lt;&gt;1,"",IF(p_mode="Nœud",$T931*$H931,$R931))</f>
        <v/>
      </c>
      <c r="V931" s="14" t="str">
        <f aca="false">IF($D931&lt;&gt;1,"",IF(p_mode="Nœud",$T931*$I931,$S931))</f>
        <v/>
      </c>
      <c r="W931" s="84" t="str">
        <f aca="false">IF($D931&lt;&gt;1,"",IF(p_mode="Nœud",$T931*$K931,$R931*IF($G931="IKS",p_iks_cpu,p_roks_cpu)+$S931*IF($G931="IKS",p_iks_ram,p_roks_ram))*p_facteur)</f>
        <v/>
      </c>
      <c r="X931" s="14" t="str">
        <f aca="false">IF($D931&lt;&gt;1,"",IF($G931="ROKS",$R931,IF($AI931=1,0,MAX($N931,$L931-SUMIFS(TblApplications[CPU IKS libérable (vCPU)],TblApplications[Cluster IKS source],$F931,TblApplications[Action],"À migrer",TblApplications[Mois prov (calc)],"&lt;="&amp;$E931)-SUMIFS(TblApplications[CPU IKS libérable (vCPU)],TblApplications[Cluster IKS source],$F931,TblApplications[Action],"À décommissionner",TblApplications[Mois lib (calc)],"&lt;="&amp;$E931)))))</f>
        <v/>
      </c>
      <c r="Y931" s="14" t="str">
        <f aca="false">IF($D931&lt;&gt;1,"",IF($G931="ROKS",$S931,IF($AI931=1,0,MAX($O931,$M931-SUMIFS(TblApplications[RAM IKS libérable (Go)],TblApplications[Cluster IKS source],$F931,TblApplications[Action],"À migrer",TblApplications[Mois prov (calc)],"&lt;="&amp;$E931)-SUMIFS(TblApplications[RAM IKS libérable (Go)],TblApplications[Cluster IKS source],$F931,TblApplications[Action],"À décommissionner",TblApplications[Mois lib (calc)],"&lt;="&amp;$E931)))))</f>
        <v/>
      </c>
      <c r="Z931" s="14" t="str">
        <f aca="false">IF($D931&lt;&gt;1,"",IF($AI931=1,0,MAX($J931,ROUNDUP(MAX($X931/$H931,$Y931/$I931),0))))</f>
        <v/>
      </c>
      <c r="AA931" s="84" t="str">
        <f aca="false">IF($D931&lt;&gt;1,"",IF(p_mode="Nœud",$Z931*$K931,$X931*IF($G931="IKS",p_iks_cpu,p_roks_cpu)+$Y931*IF($G931="IKS",p_iks_ram,p_roks_ram))*p_facteur)</f>
        <v/>
      </c>
      <c r="AB931" s="14" t="str">
        <f aca="false">IF($D931&lt;&gt;1,"",MAX($J931,ROUNDUP(MAX($L931/$H931,$M931/$I931),0)))</f>
        <v/>
      </c>
      <c r="AC931" s="84" t="str">
        <f aca="false">IF($D931&lt;&gt;1,"",IF(p_mode="Nœud",$AB931*$K931,$L931*IF($G931="IKS",p_iks_cpu,p_roks_cpu)+$M931*IF($G931="IKS",p_iks_ram,p_roks_ram))*p_facteur)</f>
        <v/>
      </c>
      <c r="AD931" s="14" t="str">
        <f aca="false">IF($D931&lt;&gt;1,"",IF(AND($G931="IKS",$AI931&lt;&gt;1,OR($L931-$P931&lt;$N931,$M931-$Q931&lt;$O931)),1,0))</f>
        <v/>
      </c>
      <c r="AE931" s="14" t="str">
        <f aca="false">IF($D931&lt;&gt;1,"",IF(AND($G931="ROKS",$T931&gt;p_maxworkers),1,0))</f>
        <v/>
      </c>
      <c r="AF931" s="14" t="str">
        <f aca="false">IF($D931&lt;&gt;1,"",IF(INDEX(TblClusters[Environnement],$B931)="","(vide)",INDEX(TblClusters[Environnement],$B931)))</f>
        <v/>
      </c>
      <c r="AG931" s="14" t="str">
        <f aca="false">IF($D931&lt;&gt;1,"",$R931+p_poidsram*$S931)</f>
        <v/>
      </c>
      <c r="AH931" s="14" t="str">
        <f aca="false">IF($D931&lt;&gt;1,"",IFERROR($W931/$AG931,0))</f>
        <v/>
      </c>
      <c r="AI931" s="14" t="str">
        <f aca="false">IF($D931&lt;&gt;1,"",IF(AND($G931="IKS",ISNUMBER(INDEX(TblClusters[Fermeture retenue],$B931))),IF($E931&gt;=INDEX(TblClusters[Fermeture retenue],$B931),1,0),0))</f>
        <v/>
      </c>
    </row>
    <row r="932" customFormat="false" ht="15" hidden="false" customHeight="false" outlineLevel="0" collapsed="false">
      <c r="A932" s="14" t="n">
        <v>927</v>
      </c>
      <c r="B932" s="14" t="n">
        <f aca="false">INT(($A932-1)/36)+1</f>
        <v>26</v>
      </c>
      <c r="C932" s="14" t="n">
        <f aca="false">MOD($A932-1,36)+1</f>
        <v>27</v>
      </c>
      <c r="D932" s="14" t="n">
        <f aca="false">IF($C932&gt;p_horizon,0,IFERROR(IF(AND(INDEX(TblClusters[Cluster],$B932)&lt;&gt;"",ISNUMBER(INDEX(TblClusters[CPU initial (vCPU)],$B932)),ISNUMBER(INDEX(TblClusters[CPU min (vCPU)],$B932)),OR(INDEX(TblClusters[Plateforme],$B932)="IKS",INDEX(TblClusters[Plateforme],$B932)="ROKS")),1,0),0))</f>
        <v>0</v>
      </c>
      <c r="E932" s="83" t="str">
        <f aca="false">IF($D932=1,EDATE(p_debut,$C932-1),"")</f>
        <v/>
      </c>
      <c r="F932" s="14" t="str">
        <f aca="false">IF($D932=1,INDEX(TblClusters[Cluster],$B932),"")</f>
        <v/>
      </c>
      <c r="G932" s="14" t="str">
        <f aca="false">IF($D932=1,INDEX(TblClusters[Plateforme],$B932),"")</f>
        <v/>
      </c>
      <c r="H932" s="14" t="str">
        <f aca="false">IF($D932=1,INDEX(TblClusters[vCPU par nœud],$B932),"")</f>
        <v/>
      </c>
      <c r="I932" s="14" t="str">
        <f aca="false">IF($D932=1,INDEX(TblClusters[RAM par nœud (Go)],$B932),"")</f>
        <v/>
      </c>
      <c r="J932" s="14" t="str">
        <f aca="false">IF($D932=1,INDEX(TblClusters[Workers min],$B932),"")</f>
        <v/>
      </c>
      <c r="K932" s="84" t="str">
        <f aca="false">IF($D932=1,INDEX(TblClusters[Tarif par nœud],$B932),"")</f>
        <v/>
      </c>
      <c r="L932" s="14" t="str">
        <f aca="false">IF($D932=1,INDEX(TblClusters[CPU initial (vCPU)],$B932),"")</f>
        <v/>
      </c>
      <c r="M932" s="14" t="str">
        <f aca="false">IF($D932=1,INDEX(TblClusters[RAM initiale (Go)],$B932),"")</f>
        <v/>
      </c>
      <c r="N932" s="14" t="str">
        <f aca="false">IF($D932=1,INDEX(TblClusters[CPU min (vCPU)],$B932),"")</f>
        <v/>
      </c>
      <c r="O932" s="14" t="str">
        <f aca="false">IF($D932=1,INDEX(TblClusters[RAM min (Go)],$B932),"")</f>
        <v/>
      </c>
      <c r="P932" s="14" t="str">
        <f aca="false">IF($D932&lt;&gt;1,"",IF($G932="ROKS",SUMIFS(TblApplications[Besoin ROKS CPU (vCPU)],TblApplications[Cluster ROKS cible],$F932,TblApplications[Action],"À migrer",TblApplications[Déjà incluse ROKS],"Non",TblApplications[Mois prov (calc)],"&lt;="&amp;$E932),SUMIFS(TblApplications[CPU IKS libérable (vCPU)],TblApplications[Cluster IKS source],$F932,TblApplications[Mois lib (calc)],"&lt;="&amp;$E932)))</f>
        <v/>
      </c>
      <c r="Q932" s="14" t="str">
        <f aca="false">IF($D932&lt;&gt;1,"",IF($G932="ROKS",SUMIFS(TblApplications[Besoin ROKS RAM (Go)],TblApplications[Cluster ROKS cible],$F932,TblApplications[Action],"À migrer",TblApplications[Déjà incluse ROKS],"Non",TblApplications[Mois prov (calc)],"&lt;="&amp;$E932),SUMIFS(TblApplications[RAM IKS libérable (Go)],TblApplications[Cluster IKS source],$F932,TblApplications[Mois lib (calc)],"&lt;="&amp;$E932)))</f>
        <v/>
      </c>
      <c r="R932" s="14" t="str">
        <f aca="false">IF($D932&lt;&gt;1,"",IF($G932="ROKS",$L932+$P932,IF($AI932=1,0,MAX($N932,$L932-$P932))))</f>
        <v/>
      </c>
      <c r="S932" s="14" t="str">
        <f aca="false">IF($D932&lt;&gt;1,"",IF($G932="ROKS",$M932+$Q932,IF($AI932=1,0,MAX($O932,$M932-$Q932))))</f>
        <v/>
      </c>
      <c r="T932" s="14" t="str">
        <f aca="false">IF($D932&lt;&gt;1,"",IF($AI932=1,0,MAX($J932,ROUNDUP(MAX($R932/$H932,$S932/$I932),0))))</f>
        <v/>
      </c>
      <c r="U932" s="14" t="str">
        <f aca="false">IF($D932&lt;&gt;1,"",IF(p_mode="Nœud",$T932*$H932,$R932))</f>
        <v/>
      </c>
      <c r="V932" s="14" t="str">
        <f aca="false">IF($D932&lt;&gt;1,"",IF(p_mode="Nœud",$T932*$I932,$S932))</f>
        <v/>
      </c>
      <c r="W932" s="84" t="str">
        <f aca="false">IF($D932&lt;&gt;1,"",IF(p_mode="Nœud",$T932*$K932,$R932*IF($G932="IKS",p_iks_cpu,p_roks_cpu)+$S932*IF($G932="IKS",p_iks_ram,p_roks_ram))*p_facteur)</f>
        <v/>
      </c>
      <c r="X932" s="14" t="str">
        <f aca="false">IF($D932&lt;&gt;1,"",IF($G932="ROKS",$R932,IF($AI932=1,0,MAX($N932,$L932-SUMIFS(TblApplications[CPU IKS libérable (vCPU)],TblApplications[Cluster IKS source],$F932,TblApplications[Action],"À migrer",TblApplications[Mois prov (calc)],"&lt;="&amp;$E932)-SUMIFS(TblApplications[CPU IKS libérable (vCPU)],TblApplications[Cluster IKS source],$F932,TblApplications[Action],"À décommissionner",TblApplications[Mois lib (calc)],"&lt;="&amp;$E932)))))</f>
        <v/>
      </c>
      <c r="Y932" s="14" t="str">
        <f aca="false">IF($D932&lt;&gt;1,"",IF($G932="ROKS",$S932,IF($AI932=1,0,MAX($O932,$M932-SUMIFS(TblApplications[RAM IKS libérable (Go)],TblApplications[Cluster IKS source],$F932,TblApplications[Action],"À migrer",TblApplications[Mois prov (calc)],"&lt;="&amp;$E932)-SUMIFS(TblApplications[RAM IKS libérable (Go)],TblApplications[Cluster IKS source],$F932,TblApplications[Action],"À décommissionner",TblApplications[Mois lib (calc)],"&lt;="&amp;$E932)))))</f>
        <v/>
      </c>
      <c r="Z932" s="14" t="str">
        <f aca="false">IF($D932&lt;&gt;1,"",IF($AI932=1,0,MAX($J932,ROUNDUP(MAX($X932/$H932,$Y932/$I932),0))))</f>
        <v/>
      </c>
      <c r="AA932" s="84" t="str">
        <f aca="false">IF($D932&lt;&gt;1,"",IF(p_mode="Nœud",$Z932*$K932,$X932*IF($G932="IKS",p_iks_cpu,p_roks_cpu)+$Y932*IF($G932="IKS",p_iks_ram,p_roks_ram))*p_facteur)</f>
        <v/>
      </c>
      <c r="AB932" s="14" t="str">
        <f aca="false">IF($D932&lt;&gt;1,"",MAX($J932,ROUNDUP(MAX($L932/$H932,$M932/$I932),0)))</f>
        <v/>
      </c>
      <c r="AC932" s="84" t="str">
        <f aca="false">IF($D932&lt;&gt;1,"",IF(p_mode="Nœud",$AB932*$K932,$L932*IF($G932="IKS",p_iks_cpu,p_roks_cpu)+$M932*IF($G932="IKS",p_iks_ram,p_roks_ram))*p_facteur)</f>
        <v/>
      </c>
      <c r="AD932" s="14" t="str">
        <f aca="false">IF($D932&lt;&gt;1,"",IF(AND($G932="IKS",$AI932&lt;&gt;1,OR($L932-$P932&lt;$N932,$M932-$Q932&lt;$O932)),1,0))</f>
        <v/>
      </c>
      <c r="AE932" s="14" t="str">
        <f aca="false">IF($D932&lt;&gt;1,"",IF(AND($G932="ROKS",$T932&gt;p_maxworkers),1,0))</f>
        <v/>
      </c>
      <c r="AF932" s="14" t="str">
        <f aca="false">IF($D932&lt;&gt;1,"",IF(INDEX(TblClusters[Environnement],$B932)="","(vide)",INDEX(TblClusters[Environnement],$B932)))</f>
        <v/>
      </c>
      <c r="AG932" s="14" t="str">
        <f aca="false">IF($D932&lt;&gt;1,"",$R932+p_poidsram*$S932)</f>
        <v/>
      </c>
      <c r="AH932" s="14" t="str">
        <f aca="false">IF($D932&lt;&gt;1,"",IFERROR($W932/$AG932,0))</f>
        <v/>
      </c>
      <c r="AI932" s="14" t="str">
        <f aca="false">IF($D932&lt;&gt;1,"",IF(AND($G932="IKS",ISNUMBER(INDEX(TblClusters[Fermeture retenue],$B932))),IF($E932&gt;=INDEX(TblClusters[Fermeture retenue],$B932),1,0),0))</f>
        <v/>
      </c>
    </row>
    <row r="933" customFormat="false" ht="15" hidden="false" customHeight="false" outlineLevel="0" collapsed="false">
      <c r="A933" s="14" t="n">
        <v>928</v>
      </c>
      <c r="B933" s="14" t="n">
        <f aca="false">INT(($A933-1)/36)+1</f>
        <v>26</v>
      </c>
      <c r="C933" s="14" t="n">
        <f aca="false">MOD($A933-1,36)+1</f>
        <v>28</v>
      </c>
      <c r="D933" s="14" t="n">
        <f aca="false">IF($C933&gt;p_horizon,0,IFERROR(IF(AND(INDEX(TblClusters[Cluster],$B933)&lt;&gt;"",ISNUMBER(INDEX(TblClusters[CPU initial (vCPU)],$B933)),ISNUMBER(INDEX(TblClusters[CPU min (vCPU)],$B933)),OR(INDEX(TblClusters[Plateforme],$B933)="IKS",INDEX(TblClusters[Plateforme],$B933)="ROKS")),1,0),0))</f>
        <v>0</v>
      </c>
      <c r="E933" s="83" t="str">
        <f aca="false">IF($D933=1,EDATE(p_debut,$C933-1),"")</f>
        <v/>
      </c>
      <c r="F933" s="14" t="str">
        <f aca="false">IF($D933=1,INDEX(TblClusters[Cluster],$B933),"")</f>
        <v/>
      </c>
      <c r="G933" s="14" t="str">
        <f aca="false">IF($D933=1,INDEX(TblClusters[Plateforme],$B933),"")</f>
        <v/>
      </c>
      <c r="H933" s="14" t="str">
        <f aca="false">IF($D933=1,INDEX(TblClusters[vCPU par nœud],$B933),"")</f>
        <v/>
      </c>
      <c r="I933" s="14" t="str">
        <f aca="false">IF($D933=1,INDEX(TblClusters[RAM par nœud (Go)],$B933),"")</f>
        <v/>
      </c>
      <c r="J933" s="14" t="str">
        <f aca="false">IF($D933=1,INDEX(TblClusters[Workers min],$B933),"")</f>
        <v/>
      </c>
      <c r="K933" s="84" t="str">
        <f aca="false">IF($D933=1,INDEX(TblClusters[Tarif par nœud],$B933),"")</f>
        <v/>
      </c>
      <c r="L933" s="14" t="str">
        <f aca="false">IF($D933=1,INDEX(TblClusters[CPU initial (vCPU)],$B933),"")</f>
        <v/>
      </c>
      <c r="M933" s="14" t="str">
        <f aca="false">IF($D933=1,INDEX(TblClusters[RAM initiale (Go)],$B933),"")</f>
        <v/>
      </c>
      <c r="N933" s="14" t="str">
        <f aca="false">IF($D933=1,INDEX(TblClusters[CPU min (vCPU)],$B933),"")</f>
        <v/>
      </c>
      <c r="O933" s="14" t="str">
        <f aca="false">IF($D933=1,INDEX(TblClusters[RAM min (Go)],$B933),"")</f>
        <v/>
      </c>
      <c r="P933" s="14" t="str">
        <f aca="false">IF($D933&lt;&gt;1,"",IF($G933="ROKS",SUMIFS(TblApplications[Besoin ROKS CPU (vCPU)],TblApplications[Cluster ROKS cible],$F933,TblApplications[Action],"À migrer",TblApplications[Déjà incluse ROKS],"Non",TblApplications[Mois prov (calc)],"&lt;="&amp;$E933),SUMIFS(TblApplications[CPU IKS libérable (vCPU)],TblApplications[Cluster IKS source],$F933,TblApplications[Mois lib (calc)],"&lt;="&amp;$E933)))</f>
        <v/>
      </c>
      <c r="Q933" s="14" t="str">
        <f aca="false">IF($D933&lt;&gt;1,"",IF($G933="ROKS",SUMIFS(TblApplications[Besoin ROKS RAM (Go)],TblApplications[Cluster ROKS cible],$F933,TblApplications[Action],"À migrer",TblApplications[Déjà incluse ROKS],"Non",TblApplications[Mois prov (calc)],"&lt;="&amp;$E933),SUMIFS(TblApplications[RAM IKS libérable (Go)],TblApplications[Cluster IKS source],$F933,TblApplications[Mois lib (calc)],"&lt;="&amp;$E933)))</f>
        <v/>
      </c>
      <c r="R933" s="14" t="str">
        <f aca="false">IF($D933&lt;&gt;1,"",IF($G933="ROKS",$L933+$P933,IF($AI933=1,0,MAX($N933,$L933-$P933))))</f>
        <v/>
      </c>
      <c r="S933" s="14" t="str">
        <f aca="false">IF($D933&lt;&gt;1,"",IF($G933="ROKS",$M933+$Q933,IF($AI933=1,0,MAX($O933,$M933-$Q933))))</f>
        <v/>
      </c>
      <c r="T933" s="14" t="str">
        <f aca="false">IF($D933&lt;&gt;1,"",IF($AI933=1,0,MAX($J933,ROUNDUP(MAX($R933/$H933,$S933/$I933),0))))</f>
        <v/>
      </c>
      <c r="U933" s="14" t="str">
        <f aca="false">IF($D933&lt;&gt;1,"",IF(p_mode="Nœud",$T933*$H933,$R933))</f>
        <v/>
      </c>
      <c r="V933" s="14" t="str">
        <f aca="false">IF($D933&lt;&gt;1,"",IF(p_mode="Nœud",$T933*$I933,$S933))</f>
        <v/>
      </c>
      <c r="W933" s="84" t="str">
        <f aca="false">IF($D933&lt;&gt;1,"",IF(p_mode="Nœud",$T933*$K933,$R933*IF($G933="IKS",p_iks_cpu,p_roks_cpu)+$S933*IF($G933="IKS",p_iks_ram,p_roks_ram))*p_facteur)</f>
        <v/>
      </c>
      <c r="X933" s="14" t="str">
        <f aca="false">IF($D933&lt;&gt;1,"",IF($G933="ROKS",$R933,IF($AI933=1,0,MAX($N933,$L933-SUMIFS(TblApplications[CPU IKS libérable (vCPU)],TblApplications[Cluster IKS source],$F933,TblApplications[Action],"À migrer",TblApplications[Mois prov (calc)],"&lt;="&amp;$E933)-SUMIFS(TblApplications[CPU IKS libérable (vCPU)],TblApplications[Cluster IKS source],$F933,TblApplications[Action],"À décommissionner",TblApplications[Mois lib (calc)],"&lt;="&amp;$E933)))))</f>
        <v/>
      </c>
      <c r="Y933" s="14" t="str">
        <f aca="false">IF($D933&lt;&gt;1,"",IF($G933="ROKS",$S933,IF($AI933=1,0,MAX($O933,$M933-SUMIFS(TblApplications[RAM IKS libérable (Go)],TblApplications[Cluster IKS source],$F933,TblApplications[Action],"À migrer",TblApplications[Mois prov (calc)],"&lt;="&amp;$E933)-SUMIFS(TblApplications[RAM IKS libérable (Go)],TblApplications[Cluster IKS source],$F933,TblApplications[Action],"À décommissionner",TblApplications[Mois lib (calc)],"&lt;="&amp;$E933)))))</f>
        <v/>
      </c>
      <c r="Z933" s="14" t="str">
        <f aca="false">IF($D933&lt;&gt;1,"",IF($AI933=1,0,MAX($J933,ROUNDUP(MAX($X933/$H933,$Y933/$I933),0))))</f>
        <v/>
      </c>
      <c r="AA933" s="84" t="str">
        <f aca="false">IF($D933&lt;&gt;1,"",IF(p_mode="Nœud",$Z933*$K933,$X933*IF($G933="IKS",p_iks_cpu,p_roks_cpu)+$Y933*IF($G933="IKS",p_iks_ram,p_roks_ram))*p_facteur)</f>
        <v/>
      </c>
      <c r="AB933" s="14" t="str">
        <f aca="false">IF($D933&lt;&gt;1,"",MAX($J933,ROUNDUP(MAX($L933/$H933,$M933/$I933),0)))</f>
        <v/>
      </c>
      <c r="AC933" s="84" t="str">
        <f aca="false">IF($D933&lt;&gt;1,"",IF(p_mode="Nœud",$AB933*$K933,$L933*IF($G933="IKS",p_iks_cpu,p_roks_cpu)+$M933*IF($G933="IKS",p_iks_ram,p_roks_ram))*p_facteur)</f>
        <v/>
      </c>
      <c r="AD933" s="14" t="str">
        <f aca="false">IF($D933&lt;&gt;1,"",IF(AND($G933="IKS",$AI933&lt;&gt;1,OR($L933-$P933&lt;$N933,$M933-$Q933&lt;$O933)),1,0))</f>
        <v/>
      </c>
      <c r="AE933" s="14" t="str">
        <f aca="false">IF($D933&lt;&gt;1,"",IF(AND($G933="ROKS",$T933&gt;p_maxworkers),1,0))</f>
        <v/>
      </c>
      <c r="AF933" s="14" t="str">
        <f aca="false">IF($D933&lt;&gt;1,"",IF(INDEX(TblClusters[Environnement],$B933)="","(vide)",INDEX(TblClusters[Environnement],$B933)))</f>
        <v/>
      </c>
      <c r="AG933" s="14" t="str">
        <f aca="false">IF($D933&lt;&gt;1,"",$R933+p_poidsram*$S933)</f>
        <v/>
      </c>
      <c r="AH933" s="14" t="str">
        <f aca="false">IF($D933&lt;&gt;1,"",IFERROR($W933/$AG933,0))</f>
        <v/>
      </c>
      <c r="AI933" s="14" t="str">
        <f aca="false">IF($D933&lt;&gt;1,"",IF(AND($G933="IKS",ISNUMBER(INDEX(TblClusters[Fermeture retenue],$B933))),IF($E933&gt;=INDEX(TblClusters[Fermeture retenue],$B933),1,0),0))</f>
        <v/>
      </c>
    </row>
    <row r="934" customFormat="false" ht="15" hidden="false" customHeight="false" outlineLevel="0" collapsed="false">
      <c r="A934" s="14" t="n">
        <v>929</v>
      </c>
      <c r="B934" s="14" t="n">
        <f aca="false">INT(($A934-1)/36)+1</f>
        <v>26</v>
      </c>
      <c r="C934" s="14" t="n">
        <f aca="false">MOD($A934-1,36)+1</f>
        <v>29</v>
      </c>
      <c r="D934" s="14" t="n">
        <f aca="false">IF($C934&gt;p_horizon,0,IFERROR(IF(AND(INDEX(TblClusters[Cluster],$B934)&lt;&gt;"",ISNUMBER(INDEX(TblClusters[CPU initial (vCPU)],$B934)),ISNUMBER(INDEX(TblClusters[CPU min (vCPU)],$B934)),OR(INDEX(TblClusters[Plateforme],$B934)="IKS",INDEX(TblClusters[Plateforme],$B934)="ROKS")),1,0),0))</f>
        <v>0</v>
      </c>
      <c r="E934" s="83" t="str">
        <f aca="false">IF($D934=1,EDATE(p_debut,$C934-1),"")</f>
        <v/>
      </c>
      <c r="F934" s="14" t="str">
        <f aca="false">IF($D934=1,INDEX(TblClusters[Cluster],$B934),"")</f>
        <v/>
      </c>
      <c r="G934" s="14" t="str">
        <f aca="false">IF($D934=1,INDEX(TblClusters[Plateforme],$B934),"")</f>
        <v/>
      </c>
      <c r="H934" s="14" t="str">
        <f aca="false">IF($D934=1,INDEX(TblClusters[vCPU par nœud],$B934),"")</f>
        <v/>
      </c>
      <c r="I934" s="14" t="str">
        <f aca="false">IF($D934=1,INDEX(TblClusters[RAM par nœud (Go)],$B934),"")</f>
        <v/>
      </c>
      <c r="J934" s="14" t="str">
        <f aca="false">IF($D934=1,INDEX(TblClusters[Workers min],$B934),"")</f>
        <v/>
      </c>
      <c r="K934" s="84" t="str">
        <f aca="false">IF($D934=1,INDEX(TblClusters[Tarif par nœud],$B934),"")</f>
        <v/>
      </c>
      <c r="L934" s="14" t="str">
        <f aca="false">IF($D934=1,INDEX(TblClusters[CPU initial (vCPU)],$B934),"")</f>
        <v/>
      </c>
      <c r="M934" s="14" t="str">
        <f aca="false">IF($D934=1,INDEX(TblClusters[RAM initiale (Go)],$B934),"")</f>
        <v/>
      </c>
      <c r="N934" s="14" t="str">
        <f aca="false">IF($D934=1,INDEX(TblClusters[CPU min (vCPU)],$B934),"")</f>
        <v/>
      </c>
      <c r="O934" s="14" t="str">
        <f aca="false">IF($D934=1,INDEX(TblClusters[RAM min (Go)],$B934),"")</f>
        <v/>
      </c>
      <c r="P934" s="14" t="str">
        <f aca="false">IF($D934&lt;&gt;1,"",IF($G934="ROKS",SUMIFS(TblApplications[Besoin ROKS CPU (vCPU)],TblApplications[Cluster ROKS cible],$F934,TblApplications[Action],"À migrer",TblApplications[Déjà incluse ROKS],"Non",TblApplications[Mois prov (calc)],"&lt;="&amp;$E934),SUMIFS(TblApplications[CPU IKS libérable (vCPU)],TblApplications[Cluster IKS source],$F934,TblApplications[Mois lib (calc)],"&lt;="&amp;$E934)))</f>
        <v/>
      </c>
      <c r="Q934" s="14" t="str">
        <f aca="false">IF($D934&lt;&gt;1,"",IF($G934="ROKS",SUMIFS(TblApplications[Besoin ROKS RAM (Go)],TblApplications[Cluster ROKS cible],$F934,TblApplications[Action],"À migrer",TblApplications[Déjà incluse ROKS],"Non",TblApplications[Mois prov (calc)],"&lt;="&amp;$E934),SUMIFS(TblApplications[RAM IKS libérable (Go)],TblApplications[Cluster IKS source],$F934,TblApplications[Mois lib (calc)],"&lt;="&amp;$E934)))</f>
        <v/>
      </c>
      <c r="R934" s="14" t="str">
        <f aca="false">IF($D934&lt;&gt;1,"",IF($G934="ROKS",$L934+$P934,IF($AI934=1,0,MAX($N934,$L934-$P934))))</f>
        <v/>
      </c>
      <c r="S934" s="14" t="str">
        <f aca="false">IF($D934&lt;&gt;1,"",IF($G934="ROKS",$M934+$Q934,IF($AI934=1,0,MAX($O934,$M934-$Q934))))</f>
        <v/>
      </c>
      <c r="T934" s="14" t="str">
        <f aca="false">IF($D934&lt;&gt;1,"",IF($AI934=1,0,MAX($J934,ROUNDUP(MAX($R934/$H934,$S934/$I934),0))))</f>
        <v/>
      </c>
      <c r="U934" s="14" t="str">
        <f aca="false">IF($D934&lt;&gt;1,"",IF(p_mode="Nœud",$T934*$H934,$R934))</f>
        <v/>
      </c>
      <c r="V934" s="14" t="str">
        <f aca="false">IF($D934&lt;&gt;1,"",IF(p_mode="Nœud",$T934*$I934,$S934))</f>
        <v/>
      </c>
      <c r="W934" s="84" t="str">
        <f aca="false">IF($D934&lt;&gt;1,"",IF(p_mode="Nœud",$T934*$K934,$R934*IF($G934="IKS",p_iks_cpu,p_roks_cpu)+$S934*IF($G934="IKS",p_iks_ram,p_roks_ram))*p_facteur)</f>
        <v/>
      </c>
      <c r="X934" s="14" t="str">
        <f aca="false">IF($D934&lt;&gt;1,"",IF($G934="ROKS",$R934,IF($AI934=1,0,MAX($N934,$L934-SUMIFS(TblApplications[CPU IKS libérable (vCPU)],TblApplications[Cluster IKS source],$F934,TblApplications[Action],"À migrer",TblApplications[Mois prov (calc)],"&lt;="&amp;$E934)-SUMIFS(TblApplications[CPU IKS libérable (vCPU)],TblApplications[Cluster IKS source],$F934,TblApplications[Action],"À décommissionner",TblApplications[Mois lib (calc)],"&lt;="&amp;$E934)))))</f>
        <v/>
      </c>
      <c r="Y934" s="14" t="str">
        <f aca="false">IF($D934&lt;&gt;1,"",IF($G934="ROKS",$S934,IF($AI934=1,0,MAX($O934,$M934-SUMIFS(TblApplications[RAM IKS libérable (Go)],TblApplications[Cluster IKS source],$F934,TblApplications[Action],"À migrer",TblApplications[Mois prov (calc)],"&lt;="&amp;$E934)-SUMIFS(TblApplications[RAM IKS libérable (Go)],TblApplications[Cluster IKS source],$F934,TblApplications[Action],"À décommissionner",TblApplications[Mois lib (calc)],"&lt;="&amp;$E934)))))</f>
        <v/>
      </c>
      <c r="Z934" s="14" t="str">
        <f aca="false">IF($D934&lt;&gt;1,"",IF($AI934=1,0,MAX($J934,ROUNDUP(MAX($X934/$H934,$Y934/$I934),0))))</f>
        <v/>
      </c>
      <c r="AA934" s="84" t="str">
        <f aca="false">IF($D934&lt;&gt;1,"",IF(p_mode="Nœud",$Z934*$K934,$X934*IF($G934="IKS",p_iks_cpu,p_roks_cpu)+$Y934*IF($G934="IKS",p_iks_ram,p_roks_ram))*p_facteur)</f>
        <v/>
      </c>
      <c r="AB934" s="14" t="str">
        <f aca="false">IF($D934&lt;&gt;1,"",MAX($J934,ROUNDUP(MAX($L934/$H934,$M934/$I934),0)))</f>
        <v/>
      </c>
      <c r="AC934" s="84" t="str">
        <f aca="false">IF($D934&lt;&gt;1,"",IF(p_mode="Nœud",$AB934*$K934,$L934*IF($G934="IKS",p_iks_cpu,p_roks_cpu)+$M934*IF($G934="IKS",p_iks_ram,p_roks_ram))*p_facteur)</f>
        <v/>
      </c>
      <c r="AD934" s="14" t="str">
        <f aca="false">IF($D934&lt;&gt;1,"",IF(AND($G934="IKS",$AI934&lt;&gt;1,OR($L934-$P934&lt;$N934,$M934-$Q934&lt;$O934)),1,0))</f>
        <v/>
      </c>
      <c r="AE934" s="14" t="str">
        <f aca="false">IF($D934&lt;&gt;1,"",IF(AND($G934="ROKS",$T934&gt;p_maxworkers),1,0))</f>
        <v/>
      </c>
      <c r="AF934" s="14" t="str">
        <f aca="false">IF($D934&lt;&gt;1,"",IF(INDEX(TblClusters[Environnement],$B934)="","(vide)",INDEX(TblClusters[Environnement],$B934)))</f>
        <v/>
      </c>
      <c r="AG934" s="14" t="str">
        <f aca="false">IF($D934&lt;&gt;1,"",$R934+p_poidsram*$S934)</f>
        <v/>
      </c>
      <c r="AH934" s="14" t="str">
        <f aca="false">IF($D934&lt;&gt;1,"",IFERROR($W934/$AG934,0))</f>
        <v/>
      </c>
      <c r="AI934" s="14" t="str">
        <f aca="false">IF($D934&lt;&gt;1,"",IF(AND($G934="IKS",ISNUMBER(INDEX(TblClusters[Fermeture retenue],$B934))),IF($E934&gt;=INDEX(TblClusters[Fermeture retenue],$B934),1,0),0))</f>
        <v/>
      </c>
    </row>
    <row r="935" customFormat="false" ht="15" hidden="false" customHeight="false" outlineLevel="0" collapsed="false">
      <c r="A935" s="14" t="n">
        <v>930</v>
      </c>
      <c r="B935" s="14" t="n">
        <f aca="false">INT(($A935-1)/36)+1</f>
        <v>26</v>
      </c>
      <c r="C935" s="14" t="n">
        <f aca="false">MOD($A935-1,36)+1</f>
        <v>30</v>
      </c>
      <c r="D935" s="14" t="n">
        <f aca="false">IF($C935&gt;p_horizon,0,IFERROR(IF(AND(INDEX(TblClusters[Cluster],$B935)&lt;&gt;"",ISNUMBER(INDEX(TblClusters[CPU initial (vCPU)],$B935)),ISNUMBER(INDEX(TblClusters[CPU min (vCPU)],$B935)),OR(INDEX(TblClusters[Plateforme],$B935)="IKS",INDEX(TblClusters[Plateforme],$B935)="ROKS")),1,0),0))</f>
        <v>0</v>
      </c>
      <c r="E935" s="83" t="str">
        <f aca="false">IF($D935=1,EDATE(p_debut,$C935-1),"")</f>
        <v/>
      </c>
      <c r="F935" s="14" t="str">
        <f aca="false">IF($D935=1,INDEX(TblClusters[Cluster],$B935),"")</f>
        <v/>
      </c>
      <c r="G935" s="14" t="str">
        <f aca="false">IF($D935=1,INDEX(TblClusters[Plateforme],$B935),"")</f>
        <v/>
      </c>
      <c r="H935" s="14" t="str">
        <f aca="false">IF($D935=1,INDEX(TblClusters[vCPU par nœud],$B935),"")</f>
        <v/>
      </c>
      <c r="I935" s="14" t="str">
        <f aca="false">IF($D935=1,INDEX(TblClusters[RAM par nœud (Go)],$B935),"")</f>
        <v/>
      </c>
      <c r="J935" s="14" t="str">
        <f aca="false">IF($D935=1,INDEX(TblClusters[Workers min],$B935),"")</f>
        <v/>
      </c>
      <c r="K935" s="84" t="str">
        <f aca="false">IF($D935=1,INDEX(TblClusters[Tarif par nœud],$B935),"")</f>
        <v/>
      </c>
      <c r="L935" s="14" t="str">
        <f aca="false">IF($D935=1,INDEX(TblClusters[CPU initial (vCPU)],$B935),"")</f>
        <v/>
      </c>
      <c r="M935" s="14" t="str">
        <f aca="false">IF($D935=1,INDEX(TblClusters[RAM initiale (Go)],$B935),"")</f>
        <v/>
      </c>
      <c r="N935" s="14" t="str">
        <f aca="false">IF($D935=1,INDEX(TblClusters[CPU min (vCPU)],$B935),"")</f>
        <v/>
      </c>
      <c r="O935" s="14" t="str">
        <f aca="false">IF($D935=1,INDEX(TblClusters[RAM min (Go)],$B935),"")</f>
        <v/>
      </c>
      <c r="P935" s="14" t="str">
        <f aca="false">IF($D935&lt;&gt;1,"",IF($G935="ROKS",SUMIFS(TblApplications[Besoin ROKS CPU (vCPU)],TblApplications[Cluster ROKS cible],$F935,TblApplications[Action],"À migrer",TblApplications[Déjà incluse ROKS],"Non",TblApplications[Mois prov (calc)],"&lt;="&amp;$E935),SUMIFS(TblApplications[CPU IKS libérable (vCPU)],TblApplications[Cluster IKS source],$F935,TblApplications[Mois lib (calc)],"&lt;="&amp;$E935)))</f>
        <v/>
      </c>
      <c r="Q935" s="14" t="str">
        <f aca="false">IF($D935&lt;&gt;1,"",IF($G935="ROKS",SUMIFS(TblApplications[Besoin ROKS RAM (Go)],TblApplications[Cluster ROKS cible],$F935,TblApplications[Action],"À migrer",TblApplications[Déjà incluse ROKS],"Non",TblApplications[Mois prov (calc)],"&lt;="&amp;$E935),SUMIFS(TblApplications[RAM IKS libérable (Go)],TblApplications[Cluster IKS source],$F935,TblApplications[Mois lib (calc)],"&lt;="&amp;$E935)))</f>
        <v/>
      </c>
      <c r="R935" s="14" t="str">
        <f aca="false">IF($D935&lt;&gt;1,"",IF($G935="ROKS",$L935+$P935,IF($AI935=1,0,MAX($N935,$L935-$P935))))</f>
        <v/>
      </c>
      <c r="S935" s="14" t="str">
        <f aca="false">IF($D935&lt;&gt;1,"",IF($G935="ROKS",$M935+$Q935,IF($AI935=1,0,MAX($O935,$M935-$Q935))))</f>
        <v/>
      </c>
      <c r="T935" s="14" t="str">
        <f aca="false">IF($D935&lt;&gt;1,"",IF($AI935=1,0,MAX($J935,ROUNDUP(MAX($R935/$H935,$S935/$I935),0))))</f>
        <v/>
      </c>
      <c r="U935" s="14" t="str">
        <f aca="false">IF($D935&lt;&gt;1,"",IF(p_mode="Nœud",$T935*$H935,$R935))</f>
        <v/>
      </c>
      <c r="V935" s="14" t="str">
        <f aca="false">IF($D935&lt;&gt;1,"",IF(p_mode="Nœud",$T935*$I935,$S935))</f>
        <v/>
      </c>
      <c r="W935" s="84" t="str">
        <f aca="false">IF($D935&lt;&gt;1,"",IF(p_mode="Nœud",$T935*$K935,$R935*IF($G935="IKS",p_iks_cpu,p_roks_cpu)+$S935*IF($G935="IKS",p_iks_ram,p_roks_ram))*p_facteur)</f>
        <v/>
      </c>
      <c r="X935" s="14" t="str">
        <f aca="false">IF($D935&lt;&gt;1,"",IF($G935="ROKS",$R935,IF($AI935=1,0,MAX($N935,$L935-SUMIFS(TblApplications[CPU IKS libérable (vCPU)],TblApplications[Cluster IKS source],$F935,TblApplications[Action],"À migrer",TblApplications[Mois prov (calc)],"&lt;="&amp;$E935)-SUMIFS(TblApplications[CPU IKS libérable (vCPU)],TblApplications[Cluster IKS source],$F935,TblApplications[Action],"À décommissionner",TblApplications[Mois lib (calc)],"&lt;="&amp;$E935)))))</f>
        <v/>
      </c>
      <c r="Y935" s="14" t="str">
        <f aca="false">IF($D935&lt;&gt;1,"",IF($G935="ROKS",$S935,IF($AI935=1,0,MAX($O935,$M935-SUMIFS(TblApplications[RAM IKS libérable (Go)],TblApplications[Cluster IKS source],$F935,TblApplications[Action],"À migrer",TblApplications[Mois prov (calc)],"&lt;="&amp;$E935)-SUMIFS(TblApplications[RAM IKS libérable (Go)],TblApplications[Cluster IKS source],$F935,TblApplications[Action],"À décommissionner",TblApplications[Mois lib (calc)],"&lt;="&amp;$E935)))))</f>
        <v/>
      </c>
      <c r="Z935" s="14" t="str">
        <f aca="false">IF($D935&lt;&gt;1,"",IF($AI935=1,0,MAX($J935,ROUNDUP(MAX($X935/$H935,$Y935/$I935),0))))</f>
        <v/>
      </c>
      <c r="AA935" s="84" t="str">
        <f aca="false">IF($D935&lt;&gt;1,"",IF(p_mode="Nœud",$Z935*$K935,$X935*IF($G935="IKS",p_iks_cpu,p_roks_cpu)+$Y935*IF($G935="IKS",p_iks_ram,p_roks_ram))*p_facteur)</f>
        <v/>
      </c>
      <c r="AB935" s="14" t="str">
        <f aca="false">IF($D935&lt;&gt;1,"",MAX($J935,ROUNDUP(MAX($L935/$H935,$M935/$I935),0)))</f>
        <v/>
      </c>
      <c r="AC935" s="84" t="str">
        <f aca="false">IF($D935&lt;&gt;1,"",IF(p_mode="Nœud",$AB935*$K935,$L935*IF($G935="IKS",p_iks_cpu,p_roks_cpu)+$M935*IF($G935="IKS",p_iks_ram,p_roks_ram))*p_facteur)</f>
        <v/>
      </c>
      <c r="AD935" s="14" t="str">
        <f aca="false">IF($D935&lt;&gt;1,"",IF(AND($G935="IKS",$AI935&lt;&gt;1,OR($L935-$P935&lt;$N935,$M935-$Q935&lt;$O935)),1,0))</f>
        <v/>
      </c>
      <c r="AE935" s="14" t="str">
        <f aca="false">IF($D935&lt;&gt;1,"",IF(AND($G935="ROKS",$T935&gt;p_maxworkers),1,0))</f>
        <v/>
      </c>
      <c r="AF935" s="14" t="str">
        <f aca="false">IF($D935&lt;&gt;1,"",IF(INDEX(TblClusters[Environnement],$B935)="","(vide)",INDEX(TblClusters[Environnement],$B935)))</f>
        <v/>
      </c>
      <c r="AG935" s="14" t="str">
        <f aca="false">IF($D935&lt;&gt;1,"",$R935+p_poidsram*$S935)</f>
        <v/>
      </c>
      <c r="AH935" s="14" t="str">
        <f aca="false">IF($D935&lt;&gt;1,"",IFERROR($W935/$AG935,0))</f>
        <v/>
      </c>
      <c r="AI935" s="14" t="str">
        <f aca="false">IF($D935&lt;&gt;1,"",IF(AND($G935="IKS",ISNUMBER(INDEX(TblClusters[Fermeture retenue],$B935))),IF($E935&gt;=INDEX(TblClusters[Fermeture retenue],$B935),1,0),0))</f>
        <v/>
      </c>
    </row>
    <row r="936" customFormat="false" ht="15" hidden="false" customHeight="false" outlineLevel="0" collapsed="false">
      <c r="A936" s="14" t="n">
        <v>931</v>
      </c>
      <c r="B936" s="14" t="n">
        <f aca="false">INT(($A936-1)/36)+1</f>
        <v>26</v>
      </c>
      <c r="C936" s="14" t="n">
        <f aca="false">MOD($A936-1,36)+1</f>
        <v>31</v>
      </c>
      <c r="D936" s="14" t="n">
        <f aca="false">IF($C936&gt;p_horizon,0,IFERROR(IF(AND(INDEX(TblClusters[Cluster],$B936)&lt;&gt;"",ISNUMBER(INDEX(TblClusters[CPU initial (vCPU)],$B936)),ISNUMBER(INDEX(TblClusters[CPU min (vCPU)],$B936)),OR(INDEX(TblClusters[Plateforme],$B936)="IKS",INDEX(TblClusters[Plateforme],$B936)="ROKS")),1,0),0))</f>
        <v>0</v>
      </c>
      <c r="E936" s="83" t="str">
        <f aca="false">IF($D936=1,EDATE(p_debut,$C936-1),"")</f>
        <v/>
      </c>
      <c r="F936" s="14" t="str">
        <f aca="false">IF($D936=1,INDEX(TblClusters[Cluster],$B936),"")</f>
        <v/>
      </c>
      <c r="G936" s="14" t="str">
        <f aca="false">IF($D936=1,INDEX(TblClusters[Plateforme],$B936),"")</f>
        <v/>
      </c>
      <c r="H936" s="14" t="str">
        <f aca="false">IF($D936=1,INDEX(TblClusters[vCPU par nœud],$B936),"")</f>
        <v/>
      </c>
      <c r="I936" s="14" t="str">
        <f aca="false">IF($D936=1,INDEX(TblClusters[RAM par nœud (Go)],$B936),"")</f>
        <v/>
      </c>
      <c r="J936" s="14" t="str">
        <f aca="false">IF($D936=1,INDEX(TblClusters[Workers min],$B936),"")</f>
        <v/>
      </c>
      <c r="K936" s="84" t="str">
        <f aca="false">IF($D936=1,INDEX(TblClusters[Tarif par nœud],$B936),"")</f>
        <v/>
      </c>
      <c r="L936" s="14" t="str">
        <f aca="false">IF($D936=1,INDEX(TblClusters[CPU initial (vCPU)],$B936),"")</f>
        <v/>
      </c>
      <c r="M936" s="14" t="str">
        <f aca="false">IF($D936=1,INDEX(TblClusters[RAM initiale (Go)],$B936),"")</f>
        <v/>
      </c>
      <c r="N936" s="14" t="str">
        <f aca="false">IF($D936=1,INDEX(TblClusters[CPU min (vCPU)],$B936),"")</f>
        <v/>
      </c>
      <c r="O936" s="14" t="str">
        <f aca="false">IF($D936=1,INDEX(TblClusters[RAM min (Go)],$B936),"")</f>
        <v/>
      </c>
      <c r="P936" s="14" t="str">
        <f aca="false">IF($D936&lt;&gt;1,"",IF($G936="ROKS",SUMIFS(TblApplications[Besoin ROKS CPU (vCPU)],TblApplications[Cluster ROKS cible],$F936,TblApplications[Action],"À migrer",TblApplications[Déjà incluse ROKS],"Non",TblApplications[Mois prov (calc)],"&lt;="&amp;$E936),SUMIFS(TblApplications[CPU IKS libérable (vCPU)],TblApplications[Cluster IKS source],$F936,TblApplications[Mois lib (calc)],"&lt;="&amp;$E936)))</f>
        <v/>
      </c>
      <c r="Q936" s="14" t="str">
        <f aca="false">IF($D936&lt;&gt;1,"",IF($G936="ROKS",SUMIFS(TblApplications[Besoin ROKS RAM (Go)],TblApplications[Cluster ROKS cible],$F936,TblApplications[Action],"À migrer",TblApplications[Déjà incluse ROKS],"Non",TblApplications[Mois prov (calc)],"&lt;="&amp;$E936),SUMIFS(TblApplications[RAM IKS libérable (Go)],TblApplications[Cluster IKS source],$F936,TblApplications[Mois lib (calc)],"&lt;="&amp;$E936)))</f>
        <v/>
      </c>
      <c r="R936" s="14" t="str">
        <f aca="false">IF($D936&lt;&gt;1,"",IF($G936="ROKS",$L936+$P936,IF($AI936=1,0,MAX($N936,$L936-$P936))))</f>
        <v/>
      </c>
      <c r="S936" s="14" t="str">
        <f aca="false">IF($D936&lt;&gt;1,"",IF($G936="ROKS",$M936+$Q936,IF($AI936=1,0,MAX($O936,$M936-$Q936))))</f>
        <v/>
      </c>
      <c r="T936" s="14" t="str">
        <f aca="false">IF($D936&lt;&gt;1,"",IF($AI936=1,0,MAX($J936,ROUNDUP(MAX($R936/$H936,$S936/$I936),0))))</f>
        <v/>
      </c>
      <c r="U936" s="14" t="str">
        <f aca="false">IF($D936&lt;&gt;1,"",IF(p_mode="Nœud",$T936*$H936,$R936))</f>
        <v/>
      </c>
      <c r="V936" s="14" t="str">
        <f aca="false">IF($D936&lt;&gt;1,"",IF(p_mode="Nœud",$T936*$I936,$S936))</f>
        <v/>
      </c>
      <c r="W936" s="84" t="str">
        <f aca="false">IF($D936&lt;&gt;1,"",IF(p_mode="Nœud",$T936*$K936,$R936*IF($G936="IKS",p_iks_cpu,p_roks_cpu)+$S936*IF($G936="IKS",p_iks_ram,p_roks_ram))*p_facteur)</f>
        <v/>
      </c>
      <c r="X936" s="14" t="str">
        <f aca="false">IF($D936&lt;&gt;1,"",IF($G936="ROKS",$R936,IF($AI936=1,0,MAX($N936,$L936-SUMIFS(TblApplications[CPU IKS libérable (vCPU)],TblApplications[Cluster IKS source],$F936,TblApplications[Action],"À migrer",TblApplications[Mois prov (calc)],"&lt;="&amp;$E936)-SUMIFS(TblApplications[CPU IKS libérable (vCPU)],TblApplications[Cluster IKS source],$F936,TblApplications[Action],"À décommissionner",TblApplications[Mois lib (calc)],"&lt;="&amp;$E936)))))</f>
        <v/>
      </c>
      <c r="Y936" s="14" t="str">
        <f aca="false">IF($D936&lt;&gt;1,"",IF($G936="ROKS",$S936,IF($AI936=1,0,MAX($O936,$M936-SUMIFS(TblApplications[RAM IKS libérable (Go)],TblApplications[Cluster IKS source],$F936,TblApplications[Action],"À migrer",TblApplications[Mois prov (calc)],"&lt;="&amp;$E936)-SUMIFS(TblApplications[RAM IKS libérable (Go)],TblApplications[Cluster IKS source],$F936,TblApplications[Action],"À décommissionner",TblApplications[Mois lib (calc)],"&lt;="&amp;$E936)))))</f>
        <v/>
      </c>
      <c r="Z936" s="14" t="str">
        <f aca="false">IF($D936&lt;&gt;1,"",IF($AI936=1,0,MAX($J936,ROUNDUP(MAX($X936/$H936,$Y936/$I936),0))))</f>
        <v/>
      </c>
      <c r="AA936" s="84" t="str">
        <f aca="false">IF($D936&lt;&gt;1,"",IF(p_mode="Nœud",$Z936*$K936,$X936*IF($G936="IKS",p_iks_cpu,p_roks_cpu)+$Y936*IF($G936="IKS",p_iks_ram,p_roks_ram))*p_facteur)</f>
        <v/>
      </c>
      <c r="AB936" s="14" t="str">
        <f aca="false">IF($D936&lt;&gt;1,"",MAX($J936,ROUNDUP(MAX($L936/$H936,$M936/$I936),0)))</f>
        <v/>
      </c>
      <c r="AC936" s="84" t="str">
        <f aca="false">IF($D936&lt;&gt;1,"",IF(p_mode="Nœud",$AB936*$K936,$L936*IF($G936="IKS",p_iks_cpu,p_roks_cpu)+$M936*IF($G936="IKS",p_iks_ram,p_roks_ram))*p_facteur)</f>
        <v/>
      </c>
      <c r="AD936" s="14" t="str">
        <f aca="false">IF($D936&lt;&gt;1,"",IF(AND($G936="IKS",$AI936&lt;&gt;1,OR($L936-$P936&lt;$N936,$M936-$Q936&lt;$O936)),1,0))</f>
        <v/>
      </c>
      <c r="AE936" s="14" t="str">
        <f aca="false">IF($D936&lt;&gt;1,"",IF(AND($G936="ROKS",$T936&gt;p_maxworkers),1,0))</f>
        <v/>
      </c>
      <c r="AF936" s="14" t="str">
        <f aca="false">IF($D936&lt;&gt;1,"",IF(INDEX(TblClusters[Environnement],$B936)="","(vide)",INDEX(TblClusters[Environnement],$B936)))</f>
        <v/>
      </c>
      <c r="AG936" s="14" t="str">
        <f aca="false">IF($D936&lt;&gt;1,"",$R936+p_poidsram*$S936)</f>
        <v/>
      </c>
      <c r="AH936" s="14" t="str">
        <f aca="false">IF($D936&lt;&gt;1,"",IFERROR($W936/$AG936,0))</f>
        <v/>
      </c>
      <c r="AI936" s="14" t="str">
        <f aca="false">IF($D936&lt;&gt;1,"",IF(AND($G936="IKS",ISNUMBER(INDEX(TblClusters[Fermeture retenue],$B936))),IF($E936&gt;=INDEX(TblClusters[Fermeture retenue],$B936),1,0),0))</f>
        <v/>
      </c>
    </row>
    <row r="937" customFormat="false" ht="15" hidden="false" customHeight="false" outlineLevel="0" collapsed="false">
      <c r="A937" s="14" t="n">
        <v>932</v>
      </c>
      <c r="B937" s="14" t="n">
        <f aca="false">INT(($A937-1)/36)+1</f>
        <v>26</v>
      </c>
      <c r="C937" s="14" t="n">
        <f aca="false">MOD($A937-1,36)+1</f>
        <v>32</v>
      </c>
      <c r="D937" s="14" t="n">
        <f aca="false">IF($C937&gt;p_horizon,0,IFERROR(IF(AND(INDEX(TblClusters[Cluster],$B937)&lt;&gt;"",ISNUMBER(INDEX(TblClusters[CPU initial (vCPU)],$B937)),ISNUMBER(INDEX(TblClusters[CPU min (vCPU)],$B937)),OR(INDEX(TblClusters[Plateforme],$B937)="IKS",INDEX(TblClusters[Plateforme],$B937)="ROKS")),1,0),0))</f>
        <v>0</v>
      </c>
      <c r="E937" s="83" t="str">
        <f aca="false">IF($D937=1,EDATE(p_debut,$C937-1),"")</f>
        <v/>
      </c>
      <c r="F937" s="14" t="str">
        <f aca="false">IF($D937=1,INDEX(TblClusters[Cluster],$B937),"")</f>
        <v/>
      </c>
      <c r="G937" s="14" t="str">
        <f aca="false">IF($D937=1,INDEX(TblClusters[Plateforme],$B937),"")</f>
        <v/>
      </c>
      <c r="H937" s="14" t="str">
        <f aca="false">IF($D937=1,INDEX(TblClusters[vCPU par nœud],$B937),"")</f>
        <v/>
      </c>
      <c r="I937" s="14" t="str">
        <f aca="false">IF($D937=1,INDEX(TblClusters[RAM par nœud (Go)],$B937),"")</f>
        <v/>
      </c>
      <c r="J937" s="14" t="str">
        <f aca="false">IF($D937=1,INDEX(TblClusters[Workers min],$B937),"")</f>
        <v/>
      </c>
      <c r="K937" s="84" t="str">
        <f aca="false">IF($D937=1,INDEX(TblClusters[Tarif par nœud],$B937),"")</f>
        <v/>
      </c>
      <c r="L937" s="14" t="str">
        <f aca="false">IF($D937=1,INDEX(TblClusters[CPU initial (vCPU)],$B937),"")</f>
        <v/>
      </c>
      <c r="M937" s="14" t="str">
        <f aca="false">IF($D937=1,INDEX(TblClusters[RAM initiale (Go)],$B937),"")</f>
        <v/>
      </c>
      <c r="N937" s="14" t="str">
        <f aca="false">IF($D937=1,INDEX(TblClusters[CPU min (vCPU)],$B937),"")</f>
        <v/>
      </c>
      <c r="O937" s="14" t="str">
        <f aca="false">IF($D937=1,INDEX(TblClusters[RAM min (Go)],$B937),"")</f>
        <v/>
      </c>
      <c r="P937" s="14" t="str">
        <f aca="false">IF($D937&lt;&gt;1,"",IF($G937="ROKS",SUMIFS(TblApplications[Besoin ROKS CPU (vCPU)],TblApplications[Cluster ROKS cible],$F937,TblApplications[Action],"À migrer",TblApplications[Déjà incluse ROKS],"Non",TblApplications[Mois prov (calc)],"&lt;="&amp;$E937),SUMIFS(TblApplications[CPU IKS libérable (vCPU)],TblApplications[Cluster IKS source],$F937,TblApplications[Mois lib (calc)],"&lt;="&amp;$E937)))</f>
        <v/>
      </c>
      <c r="Q937" s="14" t="str">
        <f aca="false">IF($D937&lt;&gt;1,"",IF($G937="ROKS",SUMIFS(TblApplications[Besoin ROKS RAM (Go)],TblApplications[Cluster ROKS cible],$F937,TblApplications[Action],"À migrer",TblApplications[Déjà incluse ROKS],"Non",TblApplications[Mois prov (calc)],"&lt;="&amp;$E937),SUMIFS(TblApplications[RAM IKS libérable (Go)],TblApplications[Cluster IKS source],$F937,TblApplications[Mois lib (calc)],"&lt;="&amp;$E937)))</f>
        <v/>
      </c>
      <c r="R937" s="14" t="str">
        <f aca="false">IF($D937&lt;&gt;1,"",IF($G937="ROKS",$L937+$P937,IF($AI937=1,0,MAX($N937,$L937-$P937))))</f>
        <v/>
      </c>
      <c r="S937" s="14" t="str">
        <f aca="false">IF($D937&lt;&gt;1,"",IF($G937="ROKS",$M937+$Q937,IF($AI937=1,0,MAX($O937,$M937-$Q937))))</f>
        <v/>
      </c>
      <c r="T937" s="14" t="str">
        <f aca="false">IF($D937&lt;&gt;1,"",IF($AI937=1,0,MAX($J937,ROUNDUP(MAX($R937/$H937,$S937/$I937),0))))</f>
        <v/>
      </c>
      <c r="U937" s="14" t="str">
        <f aca="false">IF($D937&lt;&gt;1,"",IF(p_mode="Nœud",$T937*$H937,$R937))</f>
        <v/>
      </c>
      <c r="V937" s="14" t="str">
        <f aca="false">IF($D937&lt;&gt;1,"",IF(p_mode="Nœud",$T937*$I937,$S937))</f>
        <v/>
      </c>
      <c r="W937" s="84" t="str">
        <f aca="false">IF($D937&lt;&gt;1,"",IF(p_mode="Nœud",$T937*$K937,$R937*IF($G937="IKS",p_iks_cpu,p_roks_cpu)+$S937*IF($G937="IKS",p_iks_ram,p_roks_ram))*p_facteur)</f>
        <v/>
      </c>
      <c r="X937" s="14" t="str">
        <f aca="false">IF($D937&lt;&gt;1,"",IF($G937="ROKS",$R937,IF($AI937=1,0,MAX($N937,$L937-SUMIFS(TblApplications[CPU IKS libérable (vCPU)],TblApplications[Cluster IKS source],$F937,TblApplications[Action],"À migrer",TblApplications[Mois prov (calc)],"&lt;="&amp;$E937)-SUMIFS(TblApplications[CPU IKS libérable (vCPU)],TblApplications[Cluster IKS source],$F937,TblApplications[Action],"À décommissionner",TblApplications[Mois lib (calc)],"&lt;="&amp;$E937)))))</f>
        <v/>
      </c>
      <c r="Y937" s="14" t="str">
        <f aca="false">IF($D937&lt;&gt;1,"",IF($G937="ROKS",$S937,IF($AI937=1,0,MAX($O937,$M937-SUMIFS(TblApplications[RAM IKS libérable (Go)],TblApplications[Cluster IKS source],$F937,TblApplications[Action],"À migrer",TblApplications[Mois prov (calc)],"&lt;="&amp;$E937)-SUMIFS(TblApplications[RAM IKS libérable (Go)],TblApplications[Cluster IKS source],$F937,TblApplications[Action],"À décommissionner",TblApplications[Mois lib (calc)],"&lt;="&amp;$E937)))))</f>
        <v/>
      </c>
      <c r="Z937" s="14" t="str">
        <f aca="false">IF($D937&lt;&gt;1,"",IF($AI937=1,0,MAX($J937,ROUNDUP(MAX($X937/$H937,$Y937/$I937),0))))</f>
        <v/>
      </c>
      <c r="AA937" s="84" t="str">
        <f aca="false">IF($D937&lt;&gt;1,"",IF(p_mode="Nœud",$Z937*$K937,$X937*IF($G937="IKS",p_iks_cpu,p_roks_cpu)+$Y937*IF($G937="IKS",p_iks_ram,p_roks_ram))*p_facteur)</f>
        <v/>
      </c>
      <c r="AB937" s="14" t="str">
        <f aca="false">IF($D937&lt;&gt;1,"",MAX($J937,ROUNDUP(MAX($L937/$H937,$M937/$I937),0)))</f>
        <v/>
      </c>
      <c r="AC937" s="84" t="str">
        <f aca="false">IF($D937&lt;&gt;1,"",IF(p_mode="Nœud",$AB937*$K937,$L937*IF($G937="IKS",p_iks_cpu,p_roks_cpu)+$M937*IF($G937="IKS",p_iks_ram,p_roks_ram))*p_facteur)</f>
        <v/>
      </c>
      <c r="AD937" s="14" t="str">
        <f aca="false">IF($D937&lt;&gt;1,"",IF(AND($G937="IKS",$AI937&lt;&gt;1,OR($L937-$P937&lt;$N937,$M937-$Q937&lt;$O937)),1,0))</f>
        <v/>
      </c>
      <c r="AE937" s="14" t="str">
        <f aca="false">IF($D937&lt;&gt;1,"",IF(AND($G937="ROKS",$T937&gt;p_maxworkers),1,0))</f>
        <v/>
      </c>
      <c r="AF937" s="14" t="str">
        <f aca="false">IF($D937&lt;&gt;1,"",IF(INDEX(TblClusters[Environnement],$B937)="","(vide)",INDEX(TblClusters[Environnement],$B937)))</f>
        <v/>
      </c>
      <c r="AG937" s="14" t="str">
        <f aca="false">IF($D937&lt;&gt;1,"",$R937+p_poidsram*$S937)</f>
        <v/>
      </c>
      <c r="AH937" s="14" t="str">
        <f aca="false">IF($D937&lt;&gt;1,"",IFERROR($W937/$AG937,0))</f>
        <v/>
      </c>
      <c r="AI937" s="14" t="str">
        <f aca="false">IF($D937&lt;&gt;1,"",IF(AND($G937="IKS",ISNUMBER(INDEX(TblClusters[Fermeture retenue],$B937))),IF($E937&gt;=INDEX(TblClusters[Fermeture retenue],$B937),1,0),0))</f>
        <v/>
      </c>
    </row>
    <row r="938" customFormat="false" ht="15" hidden="false" customHeight="false" outlineLevel="0" collapsed="false">
      <c r="A938" s="14" t="n">
        <v>933</v>
      </c>
      <c r="B938" s="14" t="n">
        <f aca="false">INT(($A938-1)/36)+1</f>
        <v>26</v>
      </c>
      <c r="C938" s="14" t="n">
        <f aca="false">MOD($A938-1,36)+1</f>
        <v>33</v>
      </c>
      <c r="D938" s="14" t="n">
        <f aca="false">IF($C938&gt;p_horizon,0,IFERROR(IF(AND(INDEX(TblClusters[Cluster],$B938)&lt;&gt;"",ISNUMBER(INDEX(TblClusters[CPU initial (vCPU)],$B938)),ISNUMBER(INDEX(TblClusters[CPU min (vCPU)],$B938)),OR(INDEX(TblClusters[Plateforme],$B938)="IKS",INDEX(TblClusters[Plateforme],$B938)="ROKS")),1,0),0))</f>
        <v>0</v>
      </c>
      <c r="E938" s="83" t="str">
        <f aca="false">IF($D938=1,EDATE(p_debut,$C938-1),"")</f>
        <v/>
      </c>
      <c r="F938" s="14" t="str">
        <f aca="false">IF($D938=1,INDEX(TblClusters[Cluster],$B938),"")</f>
        <v/>
      </c>
      <c r="G938" s="14" t="str">
        <f aca="false">IF($D938=1,INDEX(TblClusters[Plateforme],$B938),"")</f>
        <v/>
      </c>
      <c r="H938" s="14" t="str">
        <f aca="false">IF($D938=1,INDEX(TblClusters[vCPU par nœud],$B938),"")</f>
        <v/>
      </c>
      <c r="I938" s="14" t="str">
        <f aca="false">IF($D938=1,INDEX(TblClusters[RAM par nœud (Go)],$B938),"")</f>
        <v/>
      </c>
      <c r="J938" s="14" t="str">
        <f aca="false">IF($D938=1,INDEX(TblClusters[Workers min],$B938),"")</f>
        <v/>
      </c>
      <c r="K938" s="84" t="str">
        <f aca="false">IF($D938=1,INDEX(TblClusters[Tarif par nœud],$B938),"")</f>
        <v/>
      </c>
      <c r="L938" s="14" t="str">
        <f aca="false">IF($D938=1,INDEX(TblClusters[CPU initial (vCPU)],$B938),"")</f>
        <v/>
      </c>
      <c r="M938" s="14" t="str">
        <f aca="false">IF($D938=1,INDEX(TblClusters[RAM initiale (Go)],$B938),"")</f>
        <v/>
      </c>
      <c r="N938" s="14" t="str">
        <f aca="false">IF($D938=1,INDEX(TblClusters[CPU min (vCPU)],$B938),"")</f>
        <v/>
      </c>
      <c r="O938" s="14" t="str">
        <f aca="false">IF($D938=1,INDEX(TblClusters[RAM min (Go)],$B938),"")</f>
        <v/>
      </c>
      <c r="P938" s="14" t="str">
        <f aca="false">IF($D938&lt;&gt;1,"",IF($G938="ROKS",SUMIFS(TblApplications[Besoin ROKS CPU (vCPU)],TblApplications[Cluster ROKS cible],$F938,TblApplications[Action],"À migrer",TblApplications[Déjà incluse ROKS],"Non",TblApplications[Mois prov (calc)],"&lt;="&amp;$E938),SUMIFS(TblApplications[CPU IKS libérable (vCPU)],TblApplications[Cluster IKS source],$F938,TblApplications[Mois lib (calc)],"&lt;="&amp;$E938)))</f>
        <v/>
      </c>
      <c r="Q938" s="14" t="str">
        <f aca="false">IF($D938&lt;&gt;1,"",IF($G938="ROKS",SUMIFS(TblApplications[Besoin ROKS RAM (Go)],TblApplications[Cluster ROKS cible],$F938,TblApplications[Action],"À migrer",TblApplications[Déjà incluse ROKS],"Non",TblApplications[Mois prov (calc)],"&lt;="&amp;$E938),SUMIFS(TblApplications[RAM IKS libérable (Go)],TblApplications[Cluster IKS source],$F938,TblApplications[Mois lib (calc)],"&lt;="&amp;$E938)))</f>
        <v/>
      </c>
      <c r="R938" s="14" t="str">
        <f aca="false">IF($D938&lt;&gt;1,"",IF($G938="ROKS",$L938+$P938,IF($AI938=1,0,MAX($N938,$L938-$P938))))</f>
        <v/>
      </c>
      <c r="S938" s="14" t="str">
        <f aca="false">IF($D938&lt;&gt;1,"",IF($G938="ROKS",$M938+$Q938,IF($AI938=1,0,MAX($O938,$M938-$Q938))))</f>
        <v/>
      </c>
      <c r="T938" s="14" t="str">
        <f aca="false">IF($D938&lt;&gt;1,"",IF($AI938=1,0,MAX($J938,ROUNDUP(MAX($R938/$H938,$S938/$I938),0))))</f>
        <v/>
      </c>
      <c r="U938" s="14" t="str">
        <f aca="false">IF($D938&lt;&gt;1,"",IF(p_mode="Nœud",$T938*$H938,$R938))</f>
        <v/>
      </c>
      <c r="V938" s="14" t="str">
        <f aca="false">IF($D938&lt;&gt;1,"",IF(p_mode="Nœud",$T938*$I938,$S938))</f>
        <v/>
      </c>
      <c r="W938" s="84" t="str">
        <f aca="false">IF($D938&lt;&gt;1,"",IF(p_mode="Nœud",$T938*$K938,$R938*IF($G938="IKS",p_iks_cpu,p_roks_cpu)+$S938*IF($G938="IKS",p_iks_ram,p_roks_ram))*p_facteur)</f>
        <v/>
      </c>
      <c r="X938" s="14" t="str">
        <f aca="false">IF($D938&lt;&gt;1,"",IF($G938="ROKS",$R938,IF($AI938=1,0,MAX($N938,$L938-SUMIFS(TblApplications[CPU IKS libérable (vCPU)],TblApplications[Cluster IKS source],$F938,TblApplications[Action],"À migrer",TblApplications[Mois prov (calc)],"&lt;="&amp;$E938)-SUMIFS(TblApplications[CPU IKS libérable (vCPU)],TblApplications[Cluster IKS source],$F938,TblApplications[Action],"À décommissionner",TblApplications[Mois lib (calc)],"&lt;="&amp;$E938)))))</f>
        <v/>
      </c>
      <c r="Y938" s="14" t="str">
        <f aca="false">IF($D938&lt;&gt;1,"",IF($G938="ROKS",$S938,IF($AI938=1,0,MAX($O938,$M938-SUMIFS(TblApplications[RAM IKS libérable (Go)],TblApplications[Cluster IKS source],$F938,TblApplications[Action],"À migrer",TblApplications[Mois prov (calc)],"&lt;="&amp;$E938)-SUMIFS(TblApplications[RAM IKS libérable (Go)],TblApplications[Cluster IKS source],$F938,TblApplications[Action],"À décommissionner",TblApplications[Mois lib (calc)],"&lt;="&amp;$E938)))))</f>
        <v/>
      </c>
      <c r="Z938" s="14" t="str">
        <f aca="false">IF($D938&lt;&gt;1,"",IF($AI938=1,0,MAX($J938,ROUNDUP(MAX($X938/$H938,$Y938/$I938),0))))</f>
        <v/>
      </c>
      <c r="AA938" s="84" t="str">
        <f aca="false">IF($D938&lt;&gt;1,"",IF(p_mode="Nœud",$Z938*$K938,$X938*IF($G938="IKS",p_iks_cpu,p_roks_cpu)+$Y938*IF($G938="IKS",p_iks_ram,p_roks_ram))*p_facteur)</f>
        <v/>
      </c>
      <c r="AB938" s="14" t="str">
        <f aca="false">IF($D938&lt;&gt;1,"",MAX($J938,ROUNDUP(MAX($L938/$H938,$M938/$I938),0)))</f>
        <v/>
      </c>
      <c r="AC938" s="84" t="str">
        <f aca="false">IF($D938&lt;&gt;1,"",IF(p_mode="Nœud",$AB938*$K938,$L938*IF($G938="IKS",p_iks_cpu,p_roks_cpu)+$M938*IF($G938="IKS",p_iks_ram,p_roks_ram))*p_facteur)</f>
        <v/>
      </c>
      <c r="AD938" s="14" t="str">
        <f aca="false">IF($D938&lt;&gt;1,"",IF(AND($G938="IKS",$AI938&lt;&gt;1,OR($L938-$P938&lt;$N938,$M938-$Q938&lt;$O938)),1,0))</f>
        <v/>
      </c>
      <c r="AE938" s="14" t="str">
        <f aca="false">IF($D938&lt;&gt;1,"",IF(AND($G938="ROKS",$T938&gt;p_maxworkers),1,0))</f>
        <v/>
      </c>
      <c r="AF938" s="14" t="str">
        <f aca="false">IF($D938&lt;&gt;1,"",IF(INDEX(TblClusters[Environnement],$B938)="","(vide)",INDEX(TblClusters[Environnement],$B938)))</f>
        <v/>
      </c>
      <c r="AG938" s="14" t="str">
        <f aca="false">IF($D938&lt;&gt;1,"",$R938+p_poidsram*$S938)</f>
        <v/>
      </c>
      <c r="AH938" s="14" t="str">
        <f aca="false">IF($D938&lt;&gt;1,"",IFERROR($W938/$AG938,0))</f>
        <v/>
      </c>
      <c r="AI938" s="14" t="str">
        <f aca="false">IF($D938&lt;&gt;1,"",IF(AND($G938="IKS",ISNUMBER(INDEX(TblClusters[Fermeture retenue],$B938))),IF($E938&gt;=INDEX(TblClusters[Fermeture retenue],$B938),1,0),0))</f>
        <v/>
      </c>
    </row>
    <row r="939" customFormat="false" ht="15" hidden="false" customHeight="false" outlineLevel="0" collapsed="false">
      <c r="A939" s="14" t="n">
        <v>934</v>
      </c>
      <c r="B939" s="14" t="n">
        <f aca="false">INT(($A939-1)/36)+1</f>
        <v>26</v>
      </c>
      <c r="C939" s="14" t="n">
        <f aca="false">MOD($A939-1,36)+1</f>
        <v>34</v>
      </c>
      <c r="D939" s="14" t="n">
        <f aca="false">IF($C939&gt;p_horizon,0,IFERROR(IF(AND(INDEX(TblClusters[Cluster],$B939)&lt;&gt;"",ISNUMBER(INDEX(TblClusters[CPU initial (vCPU)],$B939)),ISNUMBER(INDEX(TblClusters[CPU min (vCPU)],$B939)),OR(INDEX(TblClusters[Plateforme],$B939)="IKS",INDEX(TblClusters[Plateforme],$B939)="ROKS")),1,0),0))</f>
        <v>0</v>
      </c>
      <c r="E939" s="83" t="str">
        <f aca="false">IF($D939=1,EDATE(p_debut,$C939-1),"")</f>
        <v/>
      </c>
      <c r="F939" s="14" t="str">
        <f aca="false">IF($D939=1,INDEX(TblClusters[Cluster],$B939),"")</f>
        <v/>
      </c>
      <c r="G939" s="14" t="str">
        <f aca="false">IF($D939=1,INDEX(TblClusters[Plateforme],$B939),"")</f>
        <v/>
      </c>
      <c r="H939" s="14" t="str">
        <f aca="false">IF($D939=1,INDEX(TblClusters[vCPU par nœud],$B939),"")</f>
        <v/>
      </c>
      <c r="I939" s="14" t="str">
        <f aca="false">IF($D939=1,INDEX(TblClusters[RAM par nœud (Go)],$B939),"")</f>
        <v/>
      </c>
      <c r="J939" s="14" t="str">
        <f aca="false">IF($D939=1,INDEX(TblClusters[Workers min],$B939),"")</f>
        <v/>
      </c>
      <c r="K939" s="84" t="str">
        <f aca="false">IF($D939=1,INDEX(TblClusters[Tarif par nœud],$B939),"")</f>
        <v/>
      </c>
      <c r="L939" s="14" t="str">
        <f aca="false">IF($D939=1,INDEX(TblClusters[CPU initial (vCPU)],$B939),"")</f>
        <v/>
      </c>
      <c r="M939" s="14" t="str">
        <f aca="false">IF($D939=1,INDEX(TblClusters[RAM initiale (Go)],$B939),"")</f>
        <v/>
      </c>
      <c r="N939" s="14" t="str">
        <f aca="false">IF($D939=1,INDEX(TblClusters[CPU min (vCPU)],$B939),"")</f>
        <v/>
      </c>
      <c r="O939" s="14" t="str">
        <f aca="false">IF($D939=1,INDEX(TblClusters[RAM min (Go)],$B939),"")</f>
        <v/>
      </c>
      <c r="P939" s="14" t="str">
        <f aca="false">IF($D939&lt;&gt;1,"",IF($G939="ROKS",SUMIFS(TblApplications[Besoin ROKS CPU (vCPU)],TblApplications[Cluster ROKS cible],$F939,TblApplications[Action],"À migrer",TblApplications[Déjà incluse ROKS],"Non",TblApplications[Mois prov (calc)],"&lt;="&amp;$E939),SUMIFS(TblApplications[CPU IKS libérable (vCPU)],TblApplications[Cluster IKS source],$F939,TblApplications[Mois lib (calc)],"&lt;="&amp;$E939)))</f>
        <v/>
      </c>
      <c r="Q939" s="14" t="str">
        <f aca="false">IF($D939&lt;&gt;1,"",IF($G939="ROKS",SUMIFS(TblApplications[Besoin ROKS RAM (Go)],TblApplications[Cluster ROKS cible],$F939,TblApplications[Action],"À migrer",TblApplications[Déjà incluse ROKS],"Non",TblApplications[Mois prov (calc)],"&lt;="&amp;$E939),SUMIFS(TblApplications[RAM IKS libérable (Go)],TblApplications[Cluster IKS source],$F939,TblApplications[Mois lib (calc)],"&lt;="&amp;$E939)))</f>
        <v/>
      </c>
      <c r="R939" s="14" t="str">
        <f aca="false">IF($D939&lt;&gt;1,"",IF($G939="ROKS",$L939+$P939,IF($AI939=1,0,MAX($N939,$L939-$P939))))</f>
        <v/>
      </c>
      <c r="S939" s="14" t="str">
        <f aca="false">IF($D939&lt;&gt;1,"",IF($G939="ROKS",$M939+$Q939,IF($AI939=1,0,MAX($O939,$M939-$Q939))))</f>
        <v/>
      </c>
      <c r="T939" s="14" t="str">
        <f aca="false">IF($D939&lt;&gt;1,"",IF($AI939=1,0,MAX($J939,ROUNDUP(MAX($R939/$H939,$S939/$I939),0))))</f>
        <v/>
      </c>
      <c r="U939" s="14" t="str">
        <f aca="false">IF($D939&lt;&gt;1,"",IF(p_mode="Nœud",$T939*$H939,$R939))</f>
        <v/>
      </c>
      <c r="V939" s="14" t="str">
        <f aca="false">IF($D939&lt;&gt;1,"",IF(p_mode="Nœud",$T939*$I939,$S939))</f>
        <v/>
      </c>
      <c r="W939" s="84" t="str">
        <f aca="false">IF($D939&lt;&gt;1,"",IF(p_mode="Nœud",$T939*$K939,$R939*IF($G939="IKS",p_iks_cpu,p_roks_cpu)+$S939*IF($G939="IKS",p_iks_ram,p_roks_ram))*p_facteur)</f>
        <v/>
      </c>
      <c r="X939" s="14" t="str">
        <f aca="false">IF($D939&lt;&gt;1,"",IF($G939="ROKS",$R939,IF($AI939=1,0,MAX($N939,$L939-SUMIFS(TblApplications[CPU IKS libérable (vCPU)],TblApplications[Cluster IKS source],$F939,TblApplications[Action],"À migrer",TblApplications[Mois prov (calc)],"&lt;="&amp;$E939)-SUMIFS(TblApplications[CPU IKS libérable (vCPU)],TblApplications[Cluster IKS source],$F939,TblApplications[Action],"À décommissionner",TblApplications[Mois lib (calc)],"&lt;="&amp;$E939)))))</f>
        <v/>
      </c>
      <c r="Y939" s="14" t="str">
        <f aca="false">IF($D939&lt;&gt;1,"",IF($G939="ROKS",$S939,IF($AI939=1,0,MAX($O939,$M939-SUMIFS(TblApplications[RAM IKS libérable (Go)],TblApplications[Cluster IKS source],$F939,TblApplications[Action],"À migrer",TblApplications[Mois prov (calc)],"&lt;="&amp;$E939)-SUMIFS(TblApplications[RAM IKS libérable (Go)],TblApplications[Cluster IKS source],$F939,TblApplications[Action],"À décommissionner",TblApplications[Mois lib (calc)],"&lt;="&amp;$E939)))))</f>
        <v/>
      </c>
      <c r="Z939" s="14" t="str">
        <f aca="false">IF($D939&lt;&gt;1,"",IF($AI939=1,0,MAX($J939,ROUNDUP(MAX($X939/$H939,$Y939/$I939),0))))</f>
        <v/>
      </c>
      <c r="AA939" s="84" t="str">
        <f aca="false">IF($D939&lt;&gt;1,"",IF(p_mode="Nœud",$Z939*$K939,$X939*IF($G939="IKS",p_iks_cpu,p_roks_cpu)+$Y939*IF($G939="IKS",p_iks_ram,p_roks_ram))*p_facteur)</f>
        <v/>
      </c>
      <c r="AB939" s="14" t="str">
        <f aca="false">IF($D939&lt;&gt;1,"",MAX($J939,ROUNDUP(MAX($L939/$H939,$M939/$I939),0)))</f>
        <v/>
      </c>
      <c r="AC939" s="84" t="str">
        <f aca="false">IF($D939&lt;&gt;1,"",IF(p_mode="Nœud",$AB939*$K939,$L939*IF($G939="IKS",p_iks_cpu,p_roks_cpu)+$M939*IF($G939="IKS",p_iks_ram,p_roks_ram))*p_facteur)</f>
        <v/>
      </c>
      <c r="AD939" s="14" t="str">
        <f aca="false">IF($D939&lt;&gt;1,"",IF(AND($G939="IKS",$AI939&lt;&gt;1,OR($L939-$P939&lt;$N939,$M939-$Q939&lt;$O939)),1,0))</f>
        <v/>
      </c>
      <c r="AE939" s="14" t="str">
        <f aca="false">IF($D939&lt;&gt;1,"",IF(AND($G939="ROKS",$T939&gt;p_maxworkers),1,0))</f>
        <v/>
      </c>
      <c r="AF939" s="14" t="str">
        <f aca="false">IF($D939&lt;&gt;1,"",IF(INDEX(TblClusters[Environnement],$B939)="","(vide)",INDEX(TblClusters[Environnement],$B939)))</f>
        <v/>
      </c>
      <c r="AG939" s="14" t="str">
        <f aca="false">IF($D939&lt;&gt;1,"",$R939+p_poidsram*$S939)</f>
        <v/>
      </c>
      <c r="AH939" s="14" t="str">
        <f aca="false">IF($D939&lt;&gt;1,"",IFERROR($W939/$AG939,0))</f>
        <v/>
      </c>
      <c r="AI939" s="14" t="str">
        <f aca="false">IF($D939&lt;&gt;1,"",IF(AND($G939="IKS",ISNUMBER(INDEX(TblClusters[Fermeture retenue],$B939))),IF($E939&gt;=INDEX(TblClusters[Fermeture retenue],$B939),1,0),0))</f>
        <v/>
      </c>
    </row>
    <row r="940" customFormat="false" ht="15" hidden="false" customHeight="false" outlineLevel="0" collapsed="false">
      <c r="A940" s="14" t="n">
        <v>935</v>
      </c>
      <c r="B940" s="14" t="n">
        <f aca="false">INT(($A940-1)/36)+1</f>
        <v>26</v>
      </c>
      <c r="C940" s="14" t="n">
        <f aca="false">MOD($A940-1,36)+1</f>
        <v>35</v>
      </c>
      <c r="D940" s="14" t="n">
        <f aca="false">IF($C940&gt;p_horizon,0,IFERROR(IF(AND(INDEX(TblClusters[Cluster],$B940)&lt;&gt;"",ISNUMBER(INDEX(TblClusters[CPU initial (vCPU)],$B940)),ISNUMBER(INDEX(TblClusters[CPU min (vCPU)],$B940)),OR(INDEX(TblClusters[Plateforme],$B940)="IKS",INDEX(TblClusters[Plateforme],$B940)="ROKS")),1,0),0))</f>
        <v>0</v>
      </c>
      <c r="E940" s="83" t="str">
        <f aca="false">IF($D940=1,EDATE(p_debut,$C940-1),"")</f>
        <v/>
      </c>
      <c r="F940" s="14" t="str">
        <f aca="false">IF($D940=1,INDEX(TblClusters[Cluster],$B940),"")</f>
        <v/>
      </c>
      <c r="G940" s="14" t="str">
        <f aca="false">IF($D940=1,INDEX(TblClusters[Plateforme],$B940),"")</f>
        <v/>
      </c>
      <c r="H940" s="14" t="str">
        <f aca="false">IF($D940=1,INDEX(TblClusters[vCPU par nœud],$B940),"")</f>
        <v/>
      </c>
      <c r="I940" s="14" t="str">
        <f aca="false">IF($D940=1,INDEX(TblClusters[RAM par nœud (Go)],$B940),"")</f>
        <v/>
      </c>
      <c r="J940" s="14" t="str">
        <f aca="false">IF($D940=1,INDEX(TblClusters[Workers min],$B940),"")</f>
        <v/>
      </c>
      <c r="K940" s="84" t="str">
        <f aca="false">IF($D940=1,INDEX(TblClusters[Tarif par nœud],$B940),"")</f>
        <v/>
      </c>
      <c r="L940" s="14" t="str">
        <f aca="false">IF($D940=1,INDEX(TblClusters[CPU initial (vCPU)],$B940),"")</f>
        <v/>
      </c>
      <c r="M940" s="14" t="str">
        <f aca="false">IF($D940=1,INDEX(TblClusters[RAM initiale (Go)],$B940),"")</f>
        <v/>
      </c>
      <c r="N940" s="14" t="str">
        <f aca="false">IF($D940=1,INDEX(TblClusters[CPU min (vCPU)],$B940),"")</f>
        <v/>
      </c>
      <c r="O940" s="14" t="str">
        <f aca="false">IF($D940=1,INDEX(TblClusters[RAM min (Go)],$B940),"")</f>
        <v/>
      </c>
      <c r="P940" s="14" t="str">
        <f aca="false">IF($D940&lt;&gt;1,"",IF($G940="ROKS",SUMIFS(TblApplications[Besoin ROKS CPU (vCPU)],TblApplications[Cluster ROKS cible],$F940,TblApplications[Action],"À migrer",TblApplications[Déjà incluse ROKS],"Non",TblApplications[Mois prov (calc)],"&lt;="&amp;$E940),SUMIFS(TblApplications[CPU IKS libérable (vCPU)],TblApplications[Cluster IKS source],$F940,TblApplications[Mois lib (calc)],"&lt;="&amp;$E940)))</f>
        <v/>
      </c>
      <c r="Q940" s="14" t="str">
        <f aca="false">IF($D940&lt;&gt;1,"",IF($G940="ROKS",SUMIFS(TblApplications[Besoin ROKS RAM (Go)],TblApplications[Cluster ROKS cible],$F940,TblApplications[Action],"À migrer",TblApplications[Déjà incluse ROKS],"Non",TblApplications[Mois prov (calc)],"&lt;="&amp;$E940),SUMIFS(TblApplications[RAM IKS libérable (Go)],TblApplications[Cluster IKS source],$F940,TblApplications[Mois lib (calc)],"&lt;="&amp;$E940)))</f>
        <v/>
      </c>
      <c r="R940" s="14" t="str">
        <f aca="false">IF($D940&lt;&gt;1,"",IF($G940="ROKS",$L940+$P940,IF($AI940=1,0,MAX($N940,$L940-$P940))))</f>
        <v/>
      </c>
      <c r="S940" s="14" t="str">
        <f aca="false">IF($D940&lt;&gt;1,"",IF($G940="ROKS",$M940+$Q940,IF($AI940=1,0,MAX($O940,$M940-$Q940))))</f>
        <v/>
      </c>
      <c r="T940" s="14" t="str">
        <f aca="false">IF($D940&lt;&gt;1,"",IF($AI940=1,0,MAX($J940,ROUNDUP(MAX($R940/$H940,$S940/$I940),0))))</f>
        <v/>
      </c>
      <c r="U940" s="14" t="str">
        <f aca="false">IF($D940&lt;&gt;1,"",IF(p_mode="Nœud",$T940*$H940,$R940))</f>
        <v/>
      </c>
      <c r="V940" s="14" t="str">
        <f aca="false">IF($D940&lt;&gt;1,"",IF(p_mode="Nœud",$T940*$I940,$S940))</f>
        <v/>
      </c>
      <c r="W940" s="84" t="str">
        <f aca="false">IF($D940&lt;&gt;1,"",IF(p_mode="Nœud",$T940*$K940,$R940*IF($G940="IKS",p_iks_cpu,p_roks_cpu)+$S940*IF($G940="IKS",p_iks_ram,p_roks_ram))*p_facteur)</f>
        <v/>
      </c>
      <c r="X940" s="14" t="str">
        <f aca="false">IF($D940&lt;&gt;1,"",IF($G940="ROKS",$R940,IF($AI940=1,0,MAX($N940,$L940-SUMIFS(TblApplications[CPU IKS libérable (vCPU)],TblApplications[Cluster IKS source],$F940,TblApplications[Action],"À migrer",TblApplications[Mois prov (calc)],"&lt;="&amp;$E940)-SUMIFS(TblApplications[CPU IKS libérable (vCPU)],TblApplications[Cluster IKS source],$F940,TblApplications[Action],"À décommissionner",TblApplications[Mois lib (calc)],"&lt;="&amp;$E940)))))</f>
        <v/>
      </c>
      <c r="Y940" s="14" t="str">
        <f aca="false">IF($D940&lt;&gt;1,"",IF($G940="ROKS",$S940,IF($AI940=1,0,MAX($O940,$M940-SUMIFS(TblApplications[RAM IKS libérable (Go)],TblApplications[Cluster IKS source],$F940,TblApplications[Action],"À migrer",TblApplications[Mois prov (calc)],"&lt;="&amp;$E940)-SUMIFS(TblApplications[RAM IKS libérable (Go)],TblApplications[Cluster IKS source],$F940,TblApplications[Action],"À décommissionner",TblApplications[Mois lib (calc)],"&lt;="&amp;$E940)))))</f>
        <v/>
      </c>
      <c r="Z940" s="14" t="str">
        <f aca="false">IF($D940&lt;&gt;1,"",IF($AI940=1,0,MAX($J940,ROUNDUP(MAX($X940/$H940,$Y940/$I940),0))))</f>
        <v/>
      </c>
      <c r="AA940" s="84" t="str">
        <f aca="false">IF($D940&lt;&gt;1,"",IF(p_mode="Nœud",$Z940*$K940,$X940*IF($G940="IKS",p_iks_cpu,p_roks_cpu)+$Y940*IF($G940="IKS",p_iks_ram,p_roks_ram))*p_facteur)</f>
        <v/>
      </c>
      <c r="AB940" s="14" t="str">
        <f aca="false">IF($D940&lt;&gt;1,"",MAX($J940,ROUNDUP(MAX($L940/$H940,$M940/$I940),0)))</f>
        <v/>
      </c>
      <c r="AC940" s="84" t="str">
        <f aca="false">IF($D940&lt;&gt;1,"",IF(p_mode="Nœud",$AB940*$K940,$L940*IF($G940="IKS",p_iks_cpu,p_roks_cpu)+$M940*IF($G940="IKS",p_iks_ram,p_roks_ram))*p_facteur)</f>
        <v/>
      </c>
      <c r="AD940" s="14" t="str">
        <f aca="false">IF($D940&lt;&gt;1,"",IF(AND($G940="IKS",$AI940&lt;&gt;1,OR($L940-$P940&lt;$N940,$M940-$Q940&lt;$O940)),1,0))</f>
        <v/>
      </c>
      <c r="AE940" s="14" t="str">
        <f aca="false">IF($D940&lt;&gt;1,"",IF(AND($G940="ROKS",$T940&gt;p_maxworkers),1,0))</f>
        <v/>
      </c>
      <c r="AF940" s="14" t="str">
        <f aca="false">IF($D940&lt;&gt;1,"",IF(INDEX(TblClusters[Environnement],$B940)="","(vide)",INDEX(TblClusters[Environnement],$B940)))</f>
        <v/>
      </c>
      <c r="AG940" s="14" t="str">
        <f aca="false">IF($D940&lt;&gt;1,"",$R940+p_poidsram*$S940)</f>
        <v/>
      </c>
      <c r="AH940" s="14" t="str">
        <f aca="false">IF($D940&lt;&gt;1,"",IFERROR($W940/$AG940,0))</f>
        <v/>
      </c>
      <c r="AI940" s="14" t="str">
        <f aca="false">IF($D940&lt;&gt;1,"",IF(AND($G940="IKS",ISNUMBER(INDEX(TblClusters[Fermeture retenue],$B940))),IF($E940&gt;=INDEX(TblClusters[Fermeture retenue],$B940),1,0),0))</f>
        <v/>
      </c>
    </row>
    <row r="941" customFormat="false" ht="15" hidden="false" customHeight="false" outlineLevel="0" collapsed="false">
      <c r="A941" s="14" t="n">
        <v>936</v>
      </c>
      <c r="B941" s="14" t="n">
        <f aca="false">INT(($A941-1)/36)+1</f>
        <v>26</v>
      </c>
      <c r="C941" s="14" t="n">
        <f aca="false">MOD($A941-1,36)+1</f>
        <v>36</v>
      </c>
      <c r="D941" s="14" t="n">
        <f aca="false">IF($C941&gt;p_horizon,0,IFERROR(IF(AND(INDEX(TblClusters[Cluster],$B941)&lt;&gt;"",ISNUMBER(INDEX(TblClusters[CPU initial (vCPU)],$B941)),ISNUMBER(INDEX(TblClusters[CPU min (vCPU)],$B941)),OR(INDEX(TblClusters[Plateforme],$B941)="IKS",INDEX(TblClusters[Plateforme],$B941)="ROKS")),1,0),0))</f>
        <v>0</v>
      </c>
      <c r="E941" s="83" t="str">
        <f aca="false">IF($D941=1,EDATE(p_debut,$C941-1),"")</f>
        <v/>
      </c>
      <c r="F941" s="14" t="str">
        <f aca="false">IF($D941=1,INDEX(TblClusters[Cluster],$B941),"")</f>
        <v/>
      </c>
      <c r="G941" s="14" t="str">
        <f aca="false">IF($D941=1,INDEX(TblClusters[Plateforme],$B941),"")</f>
        <v/>
      </c>
      <c r="H941" s="14" t="str">
        <f aca="false">IF($D941=1,INDEX(TblClusters[vCPU par nœud],$B941),"")</f>
        <v/>
      </c>
      <c r="I941" s="14" t="str">
        <f aca="false">IF($D941=1,INDEX(TblClusters[RAM par nœud (Go)],$B941),"")</f>
        <v/>
      </c>
      <c r="J941" s="14" t="str">
        <f aca="false">IF($D941=1,INDEX(TblClusters[Workers min],$B941),"")</f>
        <v/>
      </c>
      <c r="K941" s="84" t="str">
        <f aca="false">IF($D941=1,INDEX(TblClusters[Tarif par nœud],$B941),"")</f>
        <v/>
      </c>
      <c r="L941" s="14" t="str">
        <f aca="false">IF($D941=1,INDEX(TblClusters[CPU initial (vCPU)],$B941),"")</f>
        <v/>
      </c>
      <c r="M941" s="14" t="str">
        <f aca="false">IF($D941=1,INDEX(TblClusters[RAM initiale (Go)],$B941),"")</f>
        <v/>
      </c>
      <c r="N941" s="14" t="str">
        <f aca="false">IF($D941=1,INDEX(TblClusters[CPU min (vCPU)],$B941),"")</f>
        <v/>
      </c>
      <c r="O941" s="14" t="str">
        <f aca="false">IF($D941=1,INDEX(TblClusters[RAM min (Go)],$B941),"")</f>
        <v/>
      </c>
      <c r="P941" s="14" t="str">
        <f aca="false">IF($D941&lt;&gt;1,"",IF($G941="ROKS",SUMIFS(TblApplications[Besoin ROKS CPU (vCPU)],TblApplications[Cluster ROKS cible],$F941,TblApplications[Action],"À migrer",TblApplications[Déjà incluse ROKS],"Non",TblApplications[Mois prov (calc)],"&lt;="&amp;$E941),SUMIFS(TblApplications[CPU IKS libérable (vCPU)],TblApplications[Cluster IKS source],$F941,TblApplications[Mois lib (calc)],"&lt;="&amp;$E941)))</f>
        <v/>
      </c>
      <c r="Q941" s="14" t="str">
        <f aca="false">IF($D941&lt;&gt;1,"",IF($G941="ROKS",SUMIFS(TblApplications[Besoin ROKS RAM (Go)],TblApplications[Cluster ROKS cible],$F941,TblApplications[Action],"À migrer",TblApplications[Déjà incluse ROKS],"Non",TblApplications[Mois prov (calc)],"&lt;="&amp;$E941),SUMIFS(TblApplications[RAM IKS libérable (Go)],TblApplications[Cluster IKS source],$F941,TblApplications[Mois lib (calc)],"&lt;="&amp;$E941)))</f>
        <v/>
      </c>
      <c r="R941" s="14" t="str">
        <f aca="false">IF($D941&lt;&gt;1,"",IF($G941="ROKS",$L941+$P941,IF($AI941=1,0,MAX($N941,$L941-$P941))))</f>
        <v/>
      </c>
      <c r="S941" s="14" t="str">
        <f aca="false">IF($D941&lt;&gt;1,"",IF($G941="ROKS",$M941+$Q941,IF($AI941=1,0,MAX($O941,$M941-$Q941))))</f>
        <v/>
      </c>
      <c r="T941" s="14" t="str">
        <f aca="false">IF($D941&lt;&gt;1,"",IF($AI941=1,0,MAX($J941,ROUNDUP(MAX($R941/$H941,$S941/$I941),0))))</f>
        <v/>
      </c>
      <c r="U941" s="14" t="str">
        <f aca="false">IF($D941&lt;&gt;1,"",IF(p_mode="Nœud",$T941*$H941,$R941))</f>
        <v/>
      </c>
      <c r="V941" s="14" t="str">
        <f aca="false">IF($D941&lt;&gt;1,"",IF(p_mode="Nœud",$T941*$I941,$S941))</f>
        <v/>
      </c>
      <c r="W941" s="84" t="str">
        <f aca="false">IF($D941&lt;&gt;1,"",IF(p_mode="Nœud",$T941*$K941,$R941*IF($G941="IKS",p_iks_cpu,p_roks_cpu)+$S941*IF($G941="IKS",p_iks_ram,p_roks_ram))*p_facteur)</f>
        <v/>
      </c>
      <c r="X941" s="14" t="str">
        <f aca="false">IF($D941&lt;&gt;1,"",IF($G941="ROKS",$R941,IF($AI941=1,0,MAX($N941,$L941-SUMIFS(TblApplications[CPU IKS libérable (vCPU)],TblApplications[Cluster IKS source],$F941,TblApplications[Action],"À migrer",TblApplications[Mois prov (calc)],"&lt;="&amp;$E941)-SUMIFS(TblApplications[CPU IKS libérable (vCPU)],TblApplications[Cluster IKS source],$F941,TblApplications[Action],"À décommissionner",TblApplications[Mois lib (calc)],"&lt;="&amp;$E941)))))</f>
        <v/>
      </c>
      <c r="Y941" s="14" t="str">
        <f aca="false">IF($D941&lt;&gt;1,"",IF($G941="ROKS",$S941,IF($AI941=1,0,MAX($O941,$M941-SUMIFS(TblApplications[RAM IKS libérable (Go)],TblApplications[Cluster IKS source],$F941,TblApplications[Action],"À migrer",TblApplications[Mois prov (calc)],"&lt;="&amp;$E941)-SUMIFS(TblApplications[RAM IKS libérable (Go)],TblApplications[Cluster IKS source],$F941,TblApplications[Action],"À décommissionner",TblApplications[Mois lib (calc)],"&lt;="&amp;$E941)))))</f>
        <v/>
      </c>
      <c r="Z941" s="14" t="str">
        <f aca="false">IF($D941&lt;&gt;1,"",IF($AI941=1,0,MAX($J941,ROUNDUP(MAX($X941/$H941,$Y941/$I941),0))))</f>
        <v/>
      </c>
      <c r="AA941" s="84" t="str">
        <f aca="false">IF($D941&lt;&gt;1,"",IF(p_mode="Nœud",$Z941*$K941,$X941*IF($G941="IKS",p_iks_cpu,p_roks_cpu)+$Y941*IF($G941="IKS",p_iks_ram,p_roks_ram))*p_facteur)</f>
        <v/>
      </c>
      <c r="AB941" s="14" t="str">
        <f aca="false">IF($D941&lt;&gt;1,"",MAX($J941,ROUNDUP(MAX($L941/$H941,$M941/$I941),0)))</f>
        <v/>
      </c>
      <c r="AC941" s="84" t="str">
        <f aca="false">IF($D941&lt;&gt;1,"",IF(p_mode="Nœud",$AB941*$K941,$L941*IF($G941="IKS",p_iks_cpu,p_roks_cpu)+$M941*IF($G941="IKS",p_iks_ram,p_roks_ram))*p_facteur)</f>
        <v/>
      </c>
      <c r="AD941" s="14" t="str">
        <f aca="false">IF($D941&lt;&gt;1,"",IF(AND($G941="IKS",$AI941&lt;&gt;1,OR($L941-$P941&lt;$N941,$M941-$Q941&lt;$O941)),1,0))</f>
        <v/>
      </c>
      <c r="AE941" s="14" t="str">
        <f aca="false">IF($D941&lt;&gt;1,"",IF(AND($G941="ROKS",$T941&gt;p_maxworkers),1,0))</f>
        <v/>
      </c>
      <c r="AF941" s="14" t="str">
        <f aca="false">IF($D941&lt;&gt;1,"",IF(INDEX(TblClusters[Environnement],$B941)="","(vide)",INDEX(TblClusters[Environnement],$B941)))</f>
        <v/>
      </c>
      <c r="AG941" s="14" t="str">
        <f aca="false">IF($D941&lt;&gt;1,"",$R941+p_poidsram*$S941)</f>
        <v/>
      </c>
      <c r="AH941" s="14" t="str">
        <f aca="false">IF($D941&lt;&gt;1,"",IFERROR($W941/$AG941,0))</f>
        <v/>
      </c>
      <c r="AI941" s="14" t="str">
        <f aca="false">IF($D941&lt;&gt;1,"",IF(AND($G941="IKS",ISNUMBER(INDEX(TblClusters[Fermeture retenue],$B941))),IF($E941&gt;=INDEX(TblClusters[Fermeture retenue],$B941),1,0),0))</f>
        <v/>
      </c>
    </row>
    <row r="942" customFormat="false" ht="15" hidden="false" customHeight="false" outlineLevel="0" collapsed="false">
      <c r="A942" s="14" t="n">
        <v>937</v>
      </c>
      <c r="B942" s="14" t="n">
        <f aca="false">INT(($A942-1)/36)+1</f>
        <v>27</v>
      </c>
      <c r="C942" s="14" t="n">
        <f aca="false">MOD($A942-1,36)+1</f>
        <v>1</v>
      </c>
      <c r="D942" s="14" t="n">
        <f aca="false">IF($C942&gt;p_horizon,0,IFERROR(IF(AND(INDEX(TblClusters[Cluster],$B942)&lt;&gt;"",ISNUMBER(INDEX(TblClusters[CPU initial (vCPU)],$B942)),ISNUMBER(INDEX(TblClusters[CPU min (vCPU)],$B942)),OR(INDEX(TblClusters[Plateforme],$B942)="IKS",INDEX(TblClusters[Plateforme],$B942)="ROKS")),1,0),0))</f>
        <v>0</v>
      </c>
      <c r="E942" s="83" t="str">
        <f aca="false">IF($D942=1,EDATE(p_debut,$C942-1),"")</f>
        <v/>
      </c>
      <c r="F942" s="14" t="str">
        <f aca="false">IF($D942=1,INDEX(TblClusters[Cluster],$B942),"")</f>
        <v/>
      </c>
      <c r="G942" s="14" t="str">
        <f aca="false">IF($D942=1,INDEX(TblClusters[Plateforme],$B942),"")</f>
        <v/>
      </c>
      <c r="H942" s="14" t="str">
        <f aca="false">IF($D942=1,INDEX(TblClusters[vCPU par nœud],$B942),"")</f>
        <v/>
      </c>
      <c r="I942" s="14" t="str">
        <f aca="false">IF($D942=1,INDEX(TblClusters[RAM par nœud (Go)],$B942),"")</f>
        <v/>
      </c>
      <c r="J942" s="14" t="str">
        <f aca="false">IF($D942=1,INDEX(TblClusters[Workers min],$B942),"")</f>
        <v/>
      </c>
      <c r="K942" s="84" t="str">
        <f aca="false">IF($D942=1,INDEX(TblClusters[Tarif par nœud],$B942),"")</f>
        <v/>
      </c>
      <c r="L942" s="14" t="str">
        <f aca="false">IF($D942=1,INDEX(TblClusters[CPU initial (vCPU)],$B942),"")</f>
        <v/>
      </c>
      <c r="M942" s="14" t="str">
        <f aca="false">IF($D942=1,INDEX(TblClusters[RAM initiale (Go)],$B942),"")</f>
        <v/>
      </c>
      <c r="N942" s="14" t="str">
        <f aca="false">IF($D942=1,INDEX(TblClusters[CPU min (vCPU)],$B942),"")</f>
        <v/>
      </c>
      <c r="O942" s="14" t="str">
        <f aca="false">IF($D942=1,INDEX(TblClusters[RAM min (Go)],$B942),"")</f>
        <v/>
      </c>
      <c r="P942" s="14" t="str">
        <f aca="false">IF($D942&lt;&gt;1,"",IF($G942="ROKS",SUMIFS(TblApplications[Besoin ROKS CPU (vCPU)],TblApplications[Cluster ROKS cible],$F942,TblApplications[Action],"À migrer",TblApplications[Déjà incluse ROKS],"Non",TblApplications[Mois prov (calc)],"&lt;="&amp;$E942),SUMIFS(TblApplications[CPU IKS libérable (vCPU)],TblApplications[Cluster IKS source],$F942,TblApplications[Mois lib (calc)],"&lt;="&amp;$E942)))</f>
        <v/>
      </c>
      <c r="Q942" s="14" t="str">
        <f aca="false">IF($D942&lt;&gt;1,"",IF($G942="ROKS",SUMIFS(TblApplications[Besoin ROKS RAM (Go)],TblApplications[Cluster ROKS cible],$F942,TblApplications[Action],"À migrer",TblApplications[Déjà incluse ROKS],"Non",TblApplications[Mois prov (calc)],"&lt;="&amp;$E942),SUMIFS(TblApplications[RAM IKS libérable (Go)],TblApplications[Cluster IKS source],$F942,TblApplications[Mois lib (calc)],"&lt;="&amp;$E942)))</f>
        <v/>
      </c>
      <c r="R942" s="14" t="str">
        <f aca="false">IF($D942&lt;&gt;1,"",IF($G942="ROKS",$L942+$P942,IF($AI942=1,0,MAX($N942,$L942-$P942))))</f>
        <v/>
      </c>
      <c r="S942" s="14" t="str">
        <f aca="false">IF($D942&lt;&gt;1,"",IF($G942="ROKS",$M942+$Q942,IF($AI942=1,0,MAX($O942,$M942-$Q942))))</f>
        <v/>
      </c>
      <c r="T942" s="14" t="str">
        <f aca="false">IF($D942&lt;&gt;1,"",IF($AI942=1,0,MAX($J942,ROUNDUP(MAX($R942/$H942,$S942/$I942),0))))</f>
        <v/>
      </c>
      <c r="U942" s="14" t="str">
        <f aca="false">IF($D942&lt;&gt;1,"",IF(p_mode="Nœud",$T942*$H942,$R942))</f>
        <v/>
      </c>
      <c r="V942" s="14" t="str">
        <f aca="false">IF($D942&lt;&gt;1,"",IF(p_mode="Nœud",$T942*$I942,$S942))</f>
        <v/>
      </c>
      <c r="W942" s="84" t="str">
        <f aca="false">IF($D942&lt;&gt;1,"",IF(p_mode="Nœud",$T942*$K942,$R942*IF($G942="IKS",p_iks_cpu,p_roks_cpu)+$S942*IF($G942="IKS",p_iks_ram,p_roks_ram))*p_facteur)</f>
        <v/>
      </c>
      <c r="X942" s="14" t="str">
        <f aca="false">IF($D942&lt;&gt;1,"",IF($G942="ROKS",$R942,IF($AI942=1,0,MAX($N942,$L942-SUMIFS(TblApplications[CPU IKS libérable (vCPU)],TblApplications[Cluster IKS source],$F942,TblApplications[Action],"À migrer",TblApplications[Mois prov (calc)],"&lt;="&amp;$E942)-SUMIFS(TblApplications[CPU IKS libérable (vCPU)],TblApplications[Cluster IKS source],$F942,TblApplications[Action],"À décommissionner",TblApplications[Mois lib (calc)],"&lt;="&amp;$E942)))))</f>
        <v/>
      </c>
      <c r="Y942" s="14" t="str">
        <f aca="false">IF($D942&lt;&gt;1,"",IF($G942="ROKS",$S942,IF($AI942=1,0,MAX($O942,$M942-SUMIFS(TblApplications[RAM IKS libérable (Go)],TblApplications[Cluster IKS source],$F942,TblApplications[Action],"À migrer",TblApplications[Mois prov (calc)],"&lt;="&amp;$E942)-SUMIFS(TblApplications[RAM IKS libérable (Go)],TblApplications[Cluster IKS source],$F942,TblApplications[Action],"À décommissionner",TblApplications[Mois lib (calc)],"&lt;="&amp;$E942)))))</f>
        <v/>
      </c>
      <c r="Z942" s="14" t="str">
        <f aca="false">IF($D942&lt;&gt;1,"",IF($AI942=1,0,MAX($J942,ROUNDUP(MAX($X942/$H942,$Y942/$I942),0))))</f>
        <v/>
      </c>
      <c r="AA942" s="84" t="str">
        <f aca="false">IF($D942&lt;&gt;1,"",IF(p_mode="Nœud",$Z942*$K942,$X942*IF($G942="IKS",p_iks_cpu,p_roks_cpu)+$Y942*IF($G942="IKS",p_iks_ram,p_roks_ram))*p_facteur)</f>
        <v/>
      </c>
      <c r="AB942" s="14" t="str">
        <f aca="false">IF($D942&lt;&gt;1,"",MAX($J942,ROUNDUP(MAX($L942/$H942,$M942/$I942),0)))</f>
        <v/>
      </c>
      <c r="AC942" s="84" t="str">
        <f aca="false">IF($D942&lt;&gt;1,"",IF(p_mode="Nœud",$AB942*$K942,$L942*IF($G942="IKS",p_iks_cpu,p_roks_cpu)+$M942*IF($G942="IKS",p_iks_ram,p_roks_ram))*p_facteur)</f>
        <v/>
      </c>
      <c r="AD942" s="14" t="str">
        <f aca="false">IF($D942&lt;&gt;1,"",IF(AND($G942="IKS",$AI942&lt;&gt;1,OR($L942-$P942&lt;$N942,$M942-$Q942&lt;$O942)),1,0))</f>
        <v/>
      </c>
      <c r="AE942" s="14" t="str">
        <f aca="false">IF($D942&lt;&gt;1,"",IF(AND($G942="ROKS",$T942&gt;p_maxworkers),1,0))</f>
        <v/>
      </c>
      <c r="AF942" s="14" t="str">
        <f aca="false">IF($D942&lt;&gt;1,"",IF(INDEX(TblClusters[Environnement],$B942)="","(vide)",INDEX(TblClusters[Environnement],$B942)))</f>
        <v/>
      </c>
      <c r="AG942" s="14" t="str">
        <f aca="false">IF($D942&lt;&gt;1,"",$R942+p_poidsram*$S942)</f>
        <v/>
      </c>
      <c r="AH942" s="14" t="str">
        <f aca="false">IF($D942&lt;&gt;1,"",IFERROR($W942/$AG942,0))</f>
        <v/>
      </c>
      <c r="AI942" s="14" t="str">
        <f aca="false">IF($D942&lt;&gt;1,"",IF(AND($G942="IKS",ISNUMBER(INDEX(TblClusters[Fermeture retenue],$B942))),IF($E942&gt;=INDEX(TblClusters[Fermeture retenue],$B942),1,0),0))</f>
        <v/>
      </c>
    </row>
    <row r="943" customFormat="false" ht="15" hidden="false" customHeight="false" outlineLevel="0" collapsed="false">
      <c r="A943" s="14" t="n">
        <v>938</v>
      </c>
      <c r="B943" s="14" t="n">
        <f aca="false">INT(($A943-1)/36)+1</f>
        <v>27</v>
      </c>
      <c r="C943" s="14" t="n">
        <f aca="false">MOD($A943-1,36)+1</f>
        <v>2</v>
      </c>
      <c r="D943" s="14" t="n">
        <f aca="false">IF($C943&gt;p_horizon,0,IFERROR(IF(AND(INDEX(TblClusters[Cluster],$B943)&lt;&gt;"",ISNUMBER(INDEX(TblClusters[CPU initial (vCPU)],$B943)),ISNUMBER(INDEX(TblClusters[CPU min (vCPU)],$B943)),OR(INDEX(TblClusters[Plateforme],$B943)="IKS",INDEX(TblClusters[Plateforme],$B943)="ROKS")),1,0),0))</f>
        <v>0</v>
      </c>
      <c r="E943" s="83" t="str">
        <f aca="false">IF($D943=1,EDATE(p_debut,$C943-1),"")</f>
        <v/>
      </c>
      <c r="F943" s="14" t="str">
        <f aca="false">IF($D943=1,INDEX(TblClusters[Cluster],$B943),"")</f>
        <v/>
      </c>
      <c r="G943" s="14" t="str">
        <f aca="false">IF($D943=1,INDEX(TblClusters[Plateforme],$B943),"")</f>
        <v/>
      </c>
      <c r="H943" s="14" t="str">
        <f aca="false">IF($D943=1,INDEX(TblClusters[vCPU par nœud],$B943),"")</f>
        <v/>
      </c>
      <c r="I943" s="14" t="str">
        <f aca="false">IF($D943=1,INDEX(TblClusters[RAM par nœud (Go)],$B943),"")</f>
        <v/>
      </c>
      <c r="J943" s="14" t="str">
        <f aca="false">IF($D943=1,INDEX(TblClusters[Workers min],$B943),"")</f>
        <v/>
      </c>
      <c r="K943" s="84" t="str">
        <f aca="false">IF($D943=1,INDEX(TblClusters[Tarif par nœud],$B943),"")</f>
        <v/>
      </c>
      <c r="L943" s="14" t="str">
        <f aca="false">IF($D943=1,INDEX(TblClusters[CPU initial (vCPU)],$B943),"")</f>
        <v/>
      </c>
      <c r="M943" s="14" t="str">
        <f aca="false">IF($D943=1,INDEX(TblClusters[RAM initiale (Go)],$B943),"")</f>
        <v/>
      </c>
      <c r="N943" s="14" t="str">
        <f aca="false">IF($D943=1,INDEX(TblClusters[CPU min (vCPU)],$B943),"")</f>
        <v/>
      </c>
      <c r="O943" s="14" t="str">
        <f aca="false">IF($D943=1,INDEX(TblClusters[RAM min (Go)],$B943),"")</f>
        <v/>
      </c>
      <c r="P943" s="14" t="str">
        <f aca="false">IF($D943&lt;&gt;1,"",IF($G943="ROKS",SUMIFS(TblApplications[Besoin ROKS CPU (vCPU)],TblApplications[Cluster ROKS cible],$F943,TblApplications[Action],"À migrer",TblApplications[Déjà incluse ROKS],"Non",TblApplications[Mois prov (calc)],"&lt;="&amp;$E943),SUMIFS(TblApplications[CPU IKS libérable (vCPU)],TblApplications[Cluster IKS source],$F943,TblApplications[Mois lib (calc)],"&lt;="&amp;$E943)))</f>
        <v/>
      </c>
      <c r="Q943" s="14" t="str">
        <f aca="false">IF($D943&lt;&gt;1,"",IF($G943="ROKS",SUMIFS(TblApplications[Besoin ROKS RAM (Go)],TblApplications[Cluster ROKS cible],$F943,TblApplications[Action],"À migrer",TblApplications[Déjà incluse ROKS],"Non",TblApplications[Mois prov (calc)],"&lt;="&amp;$E943),SUMIFS(TblApplications[RAM IKS libérable (Go)],TblApplications[Cluster IKS source],$F943,TblApplications[Mois lib (calc)],"&lt;="&amp;$E943)))</f>
        <v/>
      </c>
      <c r="R943" s="14" t="str">
        <f aca="false">IF($D943&lt;&gt;1,"",IF($G943="ROKS",$L943+$P943,IF($AI943=1,0,MAX($N943,$L943-$P943))))</f>
        <v/>
      </c>
      <c r="S943" s="14" t="str">
        <f aca="false">IF($D943&lt;&gt;1,"",IF($G943="ROKS",$M943+$Q943,IF($AI943=1,0,MAX($O943,$M943-$Q943))))</f>
        <v/>
      </c>
      <c r="T943" s="14" t="str">
        <f aca="false">IF($D943&lt;&gt;1,"",IF($AI943=1,0,MAX($J943,ROUNDUP(MAX($R943/$H943,$S943/$I943),0))))</f>
        <v/>
      </c>
      <c r="U943" s="14" t="str">
        <f aca="false">IF($D943&lt;&gt;1,"",IF(p_mode="Nœud",$T943*$H943,$R943))</f>
        <v/>
      </c>
      <c r="V943" s="14" t="str">
        <f aca="false">IF($D943&lt;&gt;1,"",IF(p_mode="Nœud",$T943*$I943,$S943))</f>
        <v/>
      </c>
      <c r="W943" s="84" t="str">
        <f aca="false">IF($D943&lt;&gt;1,"",IF(p_mode="Nœud",$T943*$K943,$R943*IF($G943="IKS",p_iks_cpu,p_roks_cpu)+$S943*IF($G943="IKS",p_iks_ram,p_roks_ram))*p_facteur)</f>
        <v/>
      </c>
      <c r="X943" s="14" t="str">
        <f aca="false">IF($D943&lt;&gt;1,"",IF($G943="ROKS",$R943,IF($AI943=1,0,MAX($N943,$L943-SUMIFS(TblApplications[CPU IKS libérable (vCPU)],TblApplications[Cluster IKS source],$F943,TblApplications[Action],"À migrer",TblApplications[Mois prov (calc)],"&lt;="&amp;$E943)-SUMIFS(TblApplications[CPU IKS libérable (vCPU)],TblApplications[Cluster IKS source],$F943,TblApplications[Action],"À décommissionner",TblApplications[Mois lib (calc)],"&lt;="&amp;$E943)))))</f>
        <v/>
      </c>
      <c r="Y943" s="14" t="str">
        <f aca="false">IF($D943&lt;&gt;1,"",IF($G943="ROKS",$S943,IF($AI943=1,0,MAX($O943,$M943-SUMIFS(TblApplications[RAM IKS libérable (Go)],TblApplications[Cluster IKS source],$F943,TblApplications[Action],"À migrer",TblApplications[Mois prov (calc)],"&lt;="&amp;$E943)-SUMIFS(TblApplications[RAM IKS libérable (Go)],TblApplications[Cluster IKS source],$F943,TblApplications[Action],"À décommissionner",TblApplications[Mois lib (calc)],"&lt;="&amp;$E943)))))</f>
        <v/>
      </c>
      <c r="Z943" s="14" t="str">
        <f aca="false">IF($D943&lt;&gt;1,"",IF($AI943=1,0,MAX($J943,ROUNDUP(MAX($X943/$H943,$Y943/$I943),0))))</f>
        <v/>
      </c>
      <c r="AA943" s="84" t="str">
        <f aca="false">IF($D943&lt;&gt;1,"",IF(p_mode="Nœud",$Z943*$K943,$X943*IF($G943="IKS",p_iks_cpu,p_roks_cpu)+$Y943*IF($G943="IKS",p_iks_ram,p_roks_ram))*p_facteur)</f>
        <v/>
      </c>
      <c r="AB943" s="14" t="str">
        <f aca="false">IF($D943&lt;&gt;1,"",MAX($J943,ROUNDUP(MAX($L943/$H943,$M943/$I943),0)))</f>
        <v/>
      </c>
      <c r="AC943" s="84" t="str">
        <f aca="false">IF($D943&lt;&gt;1,"",IF(p_mode="Nœud",$AB943*$K943,$L943*IF($G943="IKS",p_iks_cpu,p_roks_cpu)+$M943*IF($G943="IKS",p_iks_ram,p_roks_ram))*p_facteur)</f>
        <v/>
      </c>
      <c r="AD943" s="14" t="str">
        <f aca="false">IF($D943&lt;&gt;1,"",IF(AND($G943="IKS",$AI943&lt;&gt;1,OR($L943-$P943&lt;$N943,$M943-$Q943&lt;$O943)),1,0))</f>
        <v/>
      </c>
      <c r="AE943" s="14" t="str">
        <f aca="false">IF($D943&lt;&gt;1,"",IF(AND($G943="ROKS",$T943&gt;p_maxworkers),1,0))</f>
        <v/>
      </c>
      <c r="AF943" s="14" t="str">
        <f aca="false">IF($D943&lt;&gt;1,"",IF(INDEX(TblClusters[Environnement],$B943)="","(vide)",INDEX(TblClusters[Environnement],$B943)))</f>
        <v/>
      </c>
      <c r="AG943" s="14" t="str">
        <f aca="false">IF($D943&lt;&gt;1,"",$R943+p_poidsram*$S943)</f>
        <v/>
      </c>
      <c r="AH943" s="14" t="str">
        <f aca="false">IF($D943&lt;&gt;1,"",IFERROR($W943/$AG943,0))</f>
        <v/>
      </c>
      <c r="AI943" s="14" t="str">
        <f aca="false">IF($D943&lt;&gt;1,"",IF(AND($G943="IKS",ISNUMBER(INDEX(TblClusters[Fermeture retenue],$B943))),IF($E943&gt;=INDEX(TblClusters[Fermeture retenue],$B943),1,0),0))</f>
        <v/>
      </c>
    </row>
    <row r="944" customFormat="false" ht="15" hidden="false" customHeight="false" outlineLevel="0" collapsed="false">
      <c r="A944" s="14" t="n">
        <v>939</v>
      </c>
      <c r="B944" s="14" t="n">
        <f aca="false">INT(($A944-1)/36)+1</f>
        <v>27</v>
      </c>
      <c r="C944" s="14" t="n">
        <f aca="false">MOD($A944-1,36)+1</f>
        <v>3</v>
      </c>
      <c r="D944" s="14" t="n">
        <f aca="false">IF($C944&gt;p_horizon,0,IFERROR(IF(AND(INDEX(TblClusters[Cluster],$B944)&lt;&gt;"",ISNUMBER(INDEX(TblClusters[CPU initial (vCPU)],$B944)),ISNUMBER(INDEX(TblClusters[CPU min (vCPU)],$B944)),OR(INDEX(TblClusters[Plateforme],$B944)="IKS",INDEX(TblClusters[Plateforme],$B944)="ROKS")),1,0),0))</f>
        <v>0</v>
      </c>
      <c r="E944" s="83" t="str">
        <f aca="false">IF($D944=1,EDATE(p_debut,$C944-1),"")</f>
        <v/>
      </c>
      <c r="F944" s="14" t="str">
        <f aca="false">IF($D944=1,INDEX(TblClusters[Cluster],$B944),"")</f>
        <v/>
      </c>
      <c r="G944" s="14" t="str">
        <f aca="false">IF($D944=1,INDEX(TblClusters[Plateforme],$B944),"")</f>
        <v/>
      </c>
      <c r="H944" s="14" t="str">
        <f aca="false">IF($D944=1,INDEX(TblClusters[vCPU par nœud],$B944),"")</f>
        <v/>
      </c>
      <c r="I944" s="14" t="str">
        <f aca="false">IF($D944=1,INDEX(TblClusters[RAM par nœud (Go)],$B944),"")</f>
        <v/>
      </c>
      <c r="J944" s="14" t="str">
        <f aca="false">IF($D944=1,INDEX(TblClusters[Workers min],$B944),"")</f>
        <v/>
      </c>
      <c r="K944" s="84" t="str">
        <f aca="false">IF($D944=1,INDEX(TblClusters[Tarif par nœud],$B944),"")</f>
        <v/>
      </c>
      <c r="L944" s="14" t="str">
        <f aca="false">IF($D944=1,INDEX(TblClusters[CPU initial (vCPU)],$B944),"")</f>
        <v/>
      </c>
      <c r="M944" s="14" t="str">
        <f aca="false">IF($D944=1,INDEX(TblClusters[RAM initiale (Go)],$B944),"")</f>
        <v/>
      </c>
      <c r="N944" s="14" t="str">
        <f aca="false">IF($D944=1,INDEX(TblClusters[CPU min (vCPU)],$B944),"")</f>
        <v/>
      </c>
      <c r="O944" s="14" t="str">
        <f aca="false">IF($D944=1,INDEX(TblClusters[RAM min (Go)],$B944),"")</f>
        <v/>
      </c>
      <c r="P944" s="14" t="str">
        <f aca="false">IF($D944&lt;&gt;1,"",IF($G944="ROKS",SUMIFS(TblApplications[Besoin ROKS CPU (vCPU)],TblApplications[Cluster ROKS cible],$F944,TblApplications[Action],"À migrer",TblApplications[Déjà incluse ROKS],"Non",TblApplications[Mois prov (calc)],"&lt;="&amp;$E944),SUMIFS(TblApplications[CPU IKS libérable (vCPU)],TblApplications[Cluster IKS source],$F944,TblApplications[Mois lib (calc)],"&lt;="&amp;$E944)))</f>
        <v/>
      </c>
      <c r="Q944" s="14" t="str">
        <f aca="false">IF($D944&lt;&gt;1,"",IF($G944="ROKS",SUMIFS(TblApplications[Besoin ROKS RAM (Go)],TblApplications[Cluster ROKS cible],$F944,TblApplications[Action],"À migrer",TblApplications[Déjà incluse ROKS],"Non",TblApplications[Mois prov (calc)],"&lt;="&amp;$E944),SUMIFS(TblApplications[RAM IKS libérable (Go)],TblApplications[Cluster IKS source],$F944,TblApplications[Mois lib (calc)],"&lt;="&amp;$E944)))</f>
        <v/>
      </c>
      <c r="R944" s="14" t="str">
        <f aca="false">IF($D944&lt;&gt;1,"",IF($G944="ROKS",$L944+$P944,IF($AI944=1,0,MAX($N944,$L944-$P944))))</f>
        <v/>
      </c>
      <c r="S944" s="14" t="str">
        <f aca="false">IF($D944&lt;&gt;1,"",IF($G944="ROKS",$M944+$Q944,IF($AI944=1,0,MAX($O944,$M944-$Q944))))</f>
        <v/>
      </c>
      <c r="T944" s="14" t="str">
        <f aca="false">IF($D944&lt;&gt;1,"",IF($AI944=1,0,MAX($J944,ROUNDUP(MAX($R944/$H944,$S944/$I944),0))))</f>
        <v/>
      </c>
      <c r="U944" s="14" t="str">
        <f aca="false">IF($D944&lt;&gt;1,"",IF(p_mode="Nœud",$T944*$H944,$R944))</f>
        <v/>
      </c>
      <c r="V944" s="14" t="str">
        <f aca="false">IF($D944&lt;&gt;1,"",IF(p_mode="Nœud",$T944*$I944,$S944))</f>
        <v/>
      </c>
      <c r="W944" s="84" t="str">
        <f aca="false">IF($D944&lt;&gt;1,"",IF(p_mode="Nœud",$T944*$K944,$R944*IF($G944="IKS",p_iks_cpu,p_roks_cpu)+$S944*IF($G944="IKS",p_iks_ram,p_roks_ram))*p_facteur)</f>
        <v/>
      </c>
      <c r="X944" s="14" t="str">
        <f aca="false">IF($D944&lt;&gt;1,"",IF($G944="ROKS",$R944,IF($AI944=1,0,MAX($N944,$L944-SUMIFS(TblApplications[CPU IKS libérable (vCPU)],TblApplications[Cluster IKS source],$F944,TblApplications[Action],"À migrer",TblApplications[Mois prov (calc)],"&lt;="&amp;$E944)-SUMIFS(TblApplications[CPU IKS libérable (vCPU)],TblApplications[Cluster IKS source],$F944,TblApplications[Action],"À décommissionner",TblApplications[Mois lib (calc)],"&lt;="&amp;$E944)))))</f>
        <v/>
      </c>
      <c r="Y944" s="14" t="str">
        <f aca="false">IF($D944&lt;&gt;1,"",IF($G944="ROKS",$S944,IF($AI944=1,0,MAX($O944,$M944-SUMIFS(TblApplications[RAM IKS libérable (Go)],TblApplications[Cluster IKS source],$F944,TblApplications[Action],"À migrer",TblApplications[Mois prov (calc)],"&lt;="&amp;$E944)-SUMIFS(TblApplications[RAM IKS libérable (Go)],TblApplications[Cluster IKS source],$F944,TblApplications[Action],"À décommissionner",TblApplications[Mois lib (calc)],"&lt;="&amp;$E944)))))</f>
        <v/>
      </c>
      <c r="Z944" s="14" t="str">
        <f aca="false">IF($D944&lt;&gt;1,"",IF($AI944=1,0,MAX($J944,ROUNDUP(MAX($X944/$H944,$Y944/$I944),0))))</f>
        <v/>
      </c>
      <c r="AA944" s="84" t="str">
        <f aca="false">IF($D944&lt;&gt;1,"",IF(p_mode="Nœud",$Z944*$K944,$X944*IF($G944="IKS",p_iks_cpu,p_roks_cpu)+$Y944*IF($G944="IKS",p_iks_ram,p_roks_ram))*p_facteur)</f>
        <v/>
      </c>
      <c r="AB944" s="14" t="str">
        <f aca="false">IF($D944&lt;&gt;1,"",MAX($J944,ROUNDUP(MAX($L944/$H944,$M944/$I944),0)))</f>
        <v/>
      </c>
      <c r="AC944" s="84" t="str">
        <f aca="false">IF($D944&lt;&gt;1,"",IF(p_mode="Nœud",$AB944*$K944,$L944*IF($G944="IKS",p_iks_cpu,p_roks_cpu)+$M944*IF($G944="IKS",p_iks_ram,p_roks_ram))*p_facteur)</f>
        <v/>
      </c>
      <c r="AD944" s="14" t="str">
        <f aca="false">IF($D944&lt;&gt;1,"",IF(AND($G944="IKS",$AI944&lt;&gt;1,OR($L944-$P944&lt;$N944,$M944-$Q944&lt;$O944)),1,0))</f>
        <v/>
      </c>
      <c r="AE944" s="14" t="str">
        <f aca="false">IF($D944&lt;&gt;1,"",IF(AND($G944="ROKS",$T944&gt;p_maxworkers),1,0))</f>
        <v/>
      </c>
      <c r="AF944" s="14" t="str">
        <f aca="false">IF($D944&lt;&gt;1,"",IF(INDEX(TblClusters[Environnement],$B944)="","(vide)",INDEX(TblClusters[Environnement],$B944)))</f>
        <v/>
      </c>
      <c r="AG944" s="14" t="str">
        <f aca="false">IF($D944&lt;&gt;1,"",$R944+p_poidsram*$S944)</f>
        <v/>
      </c>
      <c r="AH944" s="14" t="str">
        <f aca="false">IF($D944&lt;&gt;1,"",IFERROR($W944/$AG944,0))</f>
        <v/>
      </c>
      <c r="AI944" s="14" t="str">
        <f aca="false">IF($D944&lt;&gt;1,"",IF(AND($G944="IKS",ISNUMBER(INDEX(TblClusters[Fermeture retenue],$B944))),IF($E944&gt;=INDEX(TblClusters[Fermeture retenue],$B944),1,0),0))</f>
        <v/>
      </c>
    </row>
    <row r="945" customFormat="false" ht="15" hidden="false" customHeight="false" outlineLevel="0" collapsed="false">
      <c r="A945" s="14" t="n">
        <v>940</v>
      </c>
      <c r="B945" s="14" t="n">
        <f aca="false">INT(($A945-1)/36)+1</f>
        <v>27</v>
      </c>
      <c r="C945" s="14" t="n">
        <f aca="false">MOD($A945-1,36)+1</f>
        <v>4</v>
      </c>
      <c r="D945" s="14" t="n">
        <f aca="false">IF($C945&gt;p_horizon,0,IFERROR(IF(AND(INDEX(TblClusters[Cluster],$B945)&lt;&gt;"",ISNUMBER(INDEX(TblClusters[CPU initial (vCPU)],$B945)),ISNUMBER(INDEX(TblClusters[CPU min (vCPU)],$B945)),OR(INDEX(TblClusters[Plateforme],$B945)="IKS",INDEX(TblClusters[Plateforme],$B945)="ROKS")),1,0),0))</f>
        <v>0</v>
      </c>
      <c r="E945" s="83" t="str">
        <f aca="false">IF($D945=1,EDATE(p_debut,$C945-1),"")</f>
        <v/>
      </c>
      <c r="F945" s="14" t="str">
        <f aca="false">IF($D945=1,INDEX(TblClusters[Cluster],$B945),"")</f>
        <v/>
      </c>
      <c r="G945" s="14" t="str">
        <f aca="false">IF($D945=1,INDEX(TblClusters[Plateforme],$B945),"")</f>
        <v/>
      </c>
      <c r="H945" s="14" t="str">
        <f aca="false">IF($D945=1,INDEX(TblClusters[vCPU par nœud],$B945),"")</f>
        <v/>
      </c>
      <c r="I945" s="14" t="str">
        <f aca="false">IF($D945=1,INDEX(TblClusters[RAM par nœud (Go)],$B945),"")</f>
        <v/>
      </c>
      <c r="J945" s="14" t="str">
        <f aca="false">IF($D945=1,INDEX(TblClusters[Workers min],$B945),"")</f>
        <v/>
      </c>
      <c r="K945" s="84" t="str">
        <f aca="false">IF($D945=1,INDEX(TblClusters[Tarif par nœud],$B945),"")</f>
        <v/>
      </c>
      <c r="L945" s="14" t="str">
        <f aca="false">IF($D945=1,INDEX(TblClusters[CPU initial (vCPU)],$B945),"")</f>
        <v/>
      </c>
      <c r="M945" s="14" t="str">
        <f aca="false">IF($D945=1,INDEX(TblClusters[RAM initiale (Go)],$B945),"")</f>
        <v/>
      </c>
      <c r="N945" s="14" t="str">
        <f aca="false">IF($D945=1,INDEX(TblClusters[CPU min (vCPU)],$B945),"")</f>
        <v/>
      </c>
      <c r="O945" s="14" t="str">
        <f aca="false">IF($D945=1,INDEX(TblClusters[RAM min (Go)],$B945),"")</f>
        <v/>
      </c>
      <c r="P945" s="14" t="str">
        <f aca="false">IF($D945&lt;&gt;1,"",IF($G945="ROKS",SUMIFS(TblApplications[Besoin ROKS CPU (vCPU)],TblApplications[Cluster ROKS cible],$F945,TblApplications[Action],"À migrer",TblApplications[Déjà incluse ROKS],"Non",TblApplications[Mois prov (calc)],"&lt;="&amp;$E945),SUMIFS(TblApplications[CPU IKS libérable (vCPU)],TblApplications[Cluster IKS source],$F945,TblApplications[Mois lib (calc)],"&lt;="&amp;$E945)))</f>
        <v/>
      </c>
      <c r="Q945" s="14" t="str">
        <f aca="false">IF($D945&lt;&gt;1,"",IF($G945="ROKS",SUMIFS(TblApplications[Besoin ROKS RAM (Go)],TblApplications[Cluster ROKS cible],$F945,TblApplications[Action],"À migrer",TblApplications[Déjà incluse ROKS],"Non",TblApplications[Mois prov (calc)],"&lt;="&amp;$E945),SUMIFS(TblApplications[RAM IKS libérable (Go)],TblApplications[Cluster IKS source],$F945,TblApplications[Mois lib (calc)],"&lt;="&amp;$E945)))</f>
        <v/>
      </c>
      <c r="R945" s="14" t="str">
        <f aca="false">IF($D945&lt;&gt;1,"",IF($G945="ROKS",$L945+$P945,IF($AI945=1,0,MAX($N945,$L945-$P945))))</f>
        <v/>
      </c>
      <c r="S945" s="14" t="str">
        <f aca="false">IF($D945&lt;&gt;1,"",IF($G945="ROKS",$M945+$Q945,IF($AI945=1,0,MAX($O945,$M945-$Q945))))</f>
        <v/>
      </c>
      <c r="T945" s="14" t="str">
        <f aca="false">IF($D945&lt;&gt;1,"",IF($AI945=1,0,MAX($J945,ROUNDUP(MAX($R945/$H945,$S945/$I945),0))))</f>
        <v/>
      </c>
      <c r="U945" s="14" t="str">
        <f aca="false">IF($D945&lt;&gt;1,"",IF(p_mode="Nœud",$T945*$H945,$R945))</f>
        <v/>
      </c>
      <c r="V945" s="14" t="str">
        <f aca="false">IF($D945&lt;&gt;1,"",IF(p_mode="Nœud",$T945*$I945,$S945))</f>
        <v/>
      </c>
      <c r="W945" s="84" t="str">
        <f aca="false">IF($D945&lt;&gt;1,"",IF(p_mode="Nœud",$T945*$K945,$R945*IF($G945="IKS",p_iks_cpu,p_roks_cpu)+$S945*IF($G945="IKS",p_iks_ram,p_roks_ram))*p_facteur)</f>
        <v/>
      </c>
      <c r="X945" s="14" t="str">
        <f aca="false">IF($D945&lt;&gt;1,"",IF($G945="ROKS",$R945,IF($AI945=1,0,MAX($N945,$L945-SUMIFS(TblApplications[CPU IKS libérable (vCPU)],TblApplications[Cluster IKS source],$F945,TblApplications[Action],"À migrer",TblApplications[Mois prov (calc)],"&lt;="&amp;$E945)-SUMIFS(TblApplications[CPU IKS libérable (vCPU)],TblApplications[Cluster IKS source],$F945,TblApplications[Action],"À décommissionner",TblApplications[Mois lib (calc)],"&lt;="&amp;$E945)))))</f>
        <v/>
      </c>
      <c r="Y945" s="14" t="str">
        <f aca="false">IF($D945&lt;&gt;1,"",IF($G945="ROKS",$S945,IF($AI945=1,0,MAX($O945,$M945-SUMIFS(TblApplications[RAM IKS libérable (Go)],TblApplications[Cluster IKS source],$F945,TblApplications[Action],"À migrer",TblApplications[Mois prov (calc)],"&lt;="&amp;$E945)-SUMIFS(TblApplications[RAM IKS libérable (Go)],TblApplications[Cluster IKS source],$F945,TblApplications[Action],"À décommissionner",TblApplications[Mois lib (calc)],"&lt;="&amp;$E945)))))</f>
        <v/>
      </c>
      <c r="Z945" s="14" t="str">
        <f aca="false">IF($D945&lt;&gt;1,"",IF($AI945=1,0,MAX($J945,ROUNDUP(MAX($X945/$H945,$Y945/$I945),0))))</f>
        <v/>
      </c>
      <c r="AA945" s="84" t="str">
        <f aca="false">IF($D945&lt;&gt;1,"",IF(p_mode="Nœud",$Z945*$K945,$X945*IF($G945="IKS",p_iks_cpu,p_roks_cpu)+$Y945*IF($G945="IKS",p_iks_ram,p_roks_ram))*p_facteur)</f>
        <v/>
      </c>
      <c r="AB945" s="14" t="str">
        <f aca="false">IF($D945&lt;&gt;1,"",MAX($J945,ROUNDUP(MAX($L945/$H945,$M945/$I945),0)))</f>
        <v/>
      </c>
      <c r="AC945" s="84" t="str">
        <f aca="false">IF($D945&lt;&gt;1,"",IF(p_mode="Nœud",$AB945*$K945,$L945*IF($G945="IKS",p_iks_cpu,p_roks_cpu)+$M945*IF($G945="IKS",p_iks_ram,p_roks_ram))*p_facteur)</f>
        <v/>
      </c>
      <c r="AD945" s="14" t="str">
        <f aca="false">IF($D945&lt;&gt;1,"",IF(AND($G945="IKS",$AI945&lt;&gt;1,OR($L945-$P945&lt;$N945,$M945-$Q945&lt;$O945)),1,0))</f>
        <v/>
      </c>
      <c r="AE945" s="14" t="str">
        <f aca="false">IF($D945&lt;&gt;1,"",IF(AND($G945="ROKS",$T945&gt;p_maxworkers),1,0))</f>
        <v/>
      </c>
      <c r="AF945" s="14" t="str">
        <f aca="false">IF($D945&lt;&gt;1,"",IF(INDEX(TblClusters[Environnement],$B945)="","(vide)",INDEX(TblClusters[Environnement],$B945)))</f>
        <v/>
      </c>
      <c r="AG945" s="14" t="str">
        <f aca="false">IF($D945&lt;&gt;1,"",$R945+p_poidsram*$S945)</f>
        <v/>
      </c>
      <c r="AH945" s="14" t="str">
        <f aca="false">IF($D945&lt;&gt;1,"",IFERROR($W945/$AG945,0))</f>
        <v/>
      </c>
      <c r="AI945" s="14" t="str">
        <f aca="false">IF($D945&lt;&gt;1,"",IF(AND($G945="IKS",ISNUMBER(INDEX(TblClusters[Fermeture retenue],$B945))),IF($E945&gt;=INDEX(TblClusters[Fermeture retenue],$B945),1,0),0))</f>
        <v/>
      </c>
    </row>
    <row r="946" customFormat="false" ht="15" hidden="false" customHeight="false" outlineLevel="0" collapsed="false">
      <c r="A946" s="14" t="n">
        <v>941</v>
      </c>
      <c r="B946" s="14" t="n">
        <f aca="false">INT(($A946-1)/36)+1</f>
        <v>27</v>
      </c>
      <c r="C946" s="14" t="n">
        <f aca="false">MOD($A946-1,36)+1</f>
        <v>5</v>
      </c>
      <c r="D946" s="14" t="n">
        <f aca="false">IF($C946&gt;p_horizon,0,IFERROR(IF(AND(INDEX(TblClusters[Cluster],$B946)&lt;&gt;"",ISNUMBER(INDEX(TblClusters[CPU initial (vCPU)],$B946)),ISNUMBER(INDEX(TblClusters[CPU min (vCPU)],$B946)),OR(INDEX(TblClusters[Plateforme],$B946)="IKS",INDEX(TblClusters[Plateforme],$B946)="ROKS")),1,0),0))</f>
        <v>0</v>
      </c>
      <c r="E946" s="83" t="str">
        <f aca="false">IF($D946=1,EDATE(p_debut,$C946-1),"")</f>
        <v/>
      </c>
      <c r="F946" s="14" t="str">
        <f aca="false">IF($D946=1,INDEX(TblClusters[Cluster],$B946),"")</f>
        <v/>
      </c>
      <c r="G946" s="14" t="str">
        <f aca="false">IF($D946=1,INDEX(TblClusters[Plateforme],$B946),"")</f>
        <v/>
      </c>
      <c r="H946" s="14" t="str">
        <f aca="false">IF($D946=1,INDEX(TblClusters[vCPU par nœud],$B946),"")</f>
        <v/>
      </c>
      <c r="I946" s="14" t="str">
        <f aca="false">IF($D946=1,INDEX(TblClusters[RAM par nœud (Go)],$B946),"")</f>
        <v/>
      </c>
      <c r="J946" s="14" t="str">
        <f aca="false">IF($D946=1,INDEX(TblClusters[Workers min],$B946),"")</f>
        <v/>
      </c>
      <c r="K946" s="84" t="str">
        <f aca="false">IF($D946=1,INDEX(TblClusters[Tarif par nœud],$B946),"")</f>
        <v/>
      </c>
      <c r="L946" s="14" t="str">
        <f aca="false">IF($D946=1,INDEX(TblClusters[CPU initial (vCPU)],$B946),"")</f>
        <v/>
      </c>
      <c r="M946" s="14" t="str">
        <f aca="false">IF($D946=1,INDEX(TblClusters[RAM initiale (Go)],$B946),"")</f>
        <v/>
      </c>
      <c r="N946" s="14" t="str">
        <f aca="false">IF($D946=1,INDEX(TblClusters[CPU min (vCPU)],$B946),"")</f>
        <v/>
      </c>
      <c r="O946" s="14" t="str">
        <f aca="false">IF($D946=1,INDEX(TblClusters[RAM min (Go)],$B946),"")</f>
        <v/>
      </c>
      <c r="P946" s="14" t="str">
        <f aca="false">IF($D946&lt;&gt;1,"",IF($G946="ROKS",SUMIFS(TblApplications[Besoin ROKS CPU (vCPU)],TblApplications[Cluster ROKS cible],$F946,TblApplications[Action],"À migrer",TblApplications[Déjà incluse ROKS],"Non",TblApplications[Mois prov (calc)],"&lt;="&amp;$E946),SUMIFS(TblApplications[CPU IKS libérable (vCPU)],TblApplications[Cluster IKS source],$F946,TblApplications[Mois lib (calc)],"&lt;="&amp;$E946)))</f>
        <v/>
      </c>
      <c r="Q946" s="14" t="str">
        <f aca="false">IF($D946&lt;&gt;1,"",IF($G946="ROKS",SUMIFS(TblApplications[Besoin ROKS RAM (Go)],TblApplications[Cluster ROKS cible],$F946,TblApplications[Action],"À migrer",TblApplications[Déjà incluse ROKS],"Non",TblApplications[Mois prov (calc)],"&lt;="&amp;$E946),SUMIFS(TblApplications[RAM IKS libérable (Go)],TblApplications[Cluster IKS source],$F946,TblApplications[Mois lib (calc)],"&lt;="&amp;$E946)))</f>
        <v/>
      </c>
      <c r="R946" s="14" t="str">
        <f aca="false">IF($D946&lt;&gt;1,"",IF($G946="ROKS",$L946+$P946,IF($AI946=1,0,MAX($N946,$L946-$P946))))</f>
        <v/>
      </c>
      <c r="S946" s="14" t="str">
        <f aca="false">IF($D946&lt;&gt;1,"",IF($G946="ROKS",$M946+$Q946,IF($AI946=1,0,MAX($O946,$M946-$Q946))))</f>
        <v/>
      </c>
      <c r="T946" s="14" t="str">
        <f aca="false">IF($D946&lt;&gt;1,"",IF($AI946=1,0,MAX($J946,ROUNDUP(MAX($R946/$H946,$S946/$I946),0))))</f>
        <v/>
      </c>
      <c r="U946" s="14" t="str">
        <f aca="false">IF($D946&lt;&gt;1,"",IF(p_mode="Nœud",$T946*$H946,$R946))</f>
        <v/>
      </c>
      <c r="V946" s="14" t="str">
        <f aca="false">IF($D946&lt;&gt;1,"",IF(p_mode="Nœud",$T946*$I946,$S946))</f>
        <v/>
      </c>
      <c r="W946" s="84" t="str">
        <f aca="false">IF($D946&lt;&gt;1,"",IF(p_mode="Nœud",$T946*$K946,$R946*IF($G946="IKS",p_iks_cpu,p_roks_cpu)+$S946*IF($G946="IKS",p_iks_ram,p_roks_ram))*p_facteur)</f>
        <v/>
      </c>
      <c r="X946" s="14" t="str">
        <f aca="false">IF($D946&lt;&gt;1,"",IF($G946="ROKS",$R946,IF($AI946=1,0,MAX($N946,$L946-SUMIFS(TblApplications[CPU IKS libérable (vCPU)],TblApplications[Cluster IKS source],$F946,TblApplications[Action],"À migrer",TblApplications[Mois prov (calc)],"&lt;="&amp;$E946)-SUMIFS(TblApplications[CPU IKS libérable (vCPU)],TblApplications[Cluster IKS source],$F946,TblApplications[Action],"À décommissionner",TblApplications[Mois lib (calc)],"&lt;="&amp;$E946)))))</f>
        <v/>
      </c>
      <c r="Y946" s="14" t="str">
        <f aca="false">IF($D946&lt;&gt;1,"",IF($G946="ROKS",$S946,IF($AI946=1,0,MAX($O946,$M946-SUMIFS(TblApplications[RAM IKS libérable (Go)],TblApplications[Cluster IKS source],$F946,TblApplications[Action],"À migrer",TblApplications[Mois prov (calc)],"&lt;="&amp;$E946)-SUMIFS(TblApplications[RAM IKS libérable (Go)],TblApplications[Cluster IKS source],$F946,TblApplications[Action],"À décommissionner",TblApplications[Mois lib (calc)],"&lt;="&amp;$E946)))))</f>
        <v/>
      </c>
      <c r="Z946" s="14" t="str">
        <f aca="false">IF($D946&lt;&gt;1,"",IF($AI946=1,0,MAX($J946,ROUNDUP(MAX($X946/$H946,$Y946/$I946),0))))</f>
        <v/>
      </c>
      <c r="AA946" s="84" t="str">
        <f aca="false">IF($D946&lt;&gt;1,"",IF(p_mode="Nœud",$Z946*$K946,$X946*IF($G946="IKS",p_iks_cpu,p_roks_cpu)+$Y946*IF($G946="IKS",p_iks_ram,p_roks_ram))*p_facteur)</f>
        <v/>
      </c>
      <c r="AB946" s="14" t="str">
        <f aca="false">IF($D946&lt;&gt;1,"",MAX($J946,ROUNDUP(MAX($L946/$H946,$M946/$I946),0)))</f>
        <v/>
      </c>
      <c r="AC946" s="84" t="str">
        <f aca="false">IF($D946&lt;&gt;1,"",IF(p_mode="Nœud",$AB946*$K946,$L946*IF($G946="IKS",p_iks_cpu,p_roks_cpu)+$M946*IF($G946="IKS",p_iks_ram,p_roks_ram))*p_facteur)</f>
        <v/>
      </c>
      <c r="AD946" s="14" t="str">
        <f aca="false">IF($D946&lt;&gt;1,"",IF(AND($G946="IKS",$AI946&lt;&gt;1,OR($L946-$P946&lt;$N946,$M946-$Q946&lt;$O946)),1,0))</f>
        <v/>
      </c>
      <c r="AE946" s="14" t="str">
        <f aca="false">IF($D946&lt;&gt;1,"",IF(AND($G946="ROKS",$T946&gt;p_maxworkers),1,0))</f>
        <v/>
      </c>
      <c r="AF946" s="14" t="str">
        <f aca="false">IF($D946&lt;&gt;1,"",IF(INDEX(TblClusters[Environnement],$B946)="","(vide)",INDEX(TblClusters[Environnement],$B946)))</f>
        <v/>
      </c>
      <c r="AG946" s="14" t="str">
        <f aca="false">IF($D946&lt;&gt;1,"",$R946+p_poidsram*$S946)</f>
        <v/>
      </c>
      <c r="AH946" s="14" t="str">
        <f aca="false">IF($D946&lt;&gt;1,"",IFERROR($W946/$AG946,0))</f>
        <v/>
      </c>
      <c r="AI946" s="14" t="str">
        <f aca="false">IF($D946&lt;&gt;1,"",IF(AND($G946="IKS",ISNUMBER(INDEX(TblClusters[Fermeture retenue],$B946))),IF($E946&gt;=INDEX(TblClusters[Fermeture retenue],$B946),1,0),0))</f>
        <v/>
      </c>
    </row>
    <row r="947" customFormat="false" ht="15" hidden="false" customHeight="false" outlineLevel="0" collapsed="false">
      <c r="A947" s="14" t="n">
        <v>942</v>
      </c>
      <c r="B947" s="14" t="n">
        <f aca="false">INT(($A947-1)/36)+1</f>
        <v>27</v>
      </c>
      <c r="C947" s="14" t="n">
        <f aca="false">MOD($A947-1,36)+1</f>
        <v>6</v>
      </c>
      <c r="D947" s="14" t="n">
        <f aca="false">IF($C947&gt;p_horizon,0,IFERROR(IF(AND(INDEX(TblClusters[Cluster],$B947)&lt;&gt;"",ISNUMBER(INDEX(TblClusters[CPU initial (vCPU)],$B947)),ISNUMBER(INDEX(TblClusters[CPU min (vCPU)],$B947)),OR(INDEX(TblClusters[Plateforme],$B947)="IKS",INDEX(TblClusters[Plateforme],$B947)="ROKS")),1,0),0))</f>
        <v>0</v>
      </c>
      <c r="E947" s="83" t="str">
        <f aca="false">IF($D947=1,EDATE(p_debut,$C947-1),"")</f>
        <v/>
      </c>
      <c r="F947" s="14" t="str">
        <f aca="false">IF($D947=1,INDEX(TblClusters[Cluster],$B947),"")</f>
        <v/>
      </c>
      <c r="G947" s="14" t="str">
        <f aca="false">IF($D947=1,INDEX(TblClusters[Plateforme],$B947),"")</f>
        <v/>
      </c>
      <c r="H947" s="14" t="str">
        <f aca="false">IF($D947=1,INDEX(TblClusters[vCPU par nœud],$B947),"")</f>
        <v/>
      </c>
      <c r="I947" s="14" t="str">
        <f aca="false">IF($D947=1,INDEX(TblClusters[RAM par nœud (Go)],$B947),"")</f>
        <v/>
      </c>
      <c r="J947" s="14" t="str">
        <f aca="false">IF($D947=1,INDEX(TblClusters[Workers min],$B947),"")</f>
        <v/>
      </c>
      <c r="K947" s="84" t="str">
        <f aca="false">IF($D947=1,INDEX(TblClusters[Tarif par nœud],$B947),"")</f>
        <v/>
      </c>
      <c r="L947" s="14" t="str">
        <f aca="false">IF($D947=1,INDEX(TblClusters[CPU initial (vCPU)],$B947),"")</f>
        <v/>
      </c>
      <c r="M947" s="14" t="str">
        <f aca="false">IF($D947=1,INDEX(TblClusters[RAM initiale (Go)],$B947),"")</f>
        <v/>
      </c>
      <c r="N947" s="14" t="str">
        <f aca="false">IF($D947=1,INDEX(TblClusters[CPU min (vCPU)],$B947),"")</f>
        <v/>
      </c>
      <c r="O947" s="14" t="str">
        <f aca="false">IF($D947=1,INDEX(TblClusters[RAM min (Go)],$B947),"")</f>
        <v/>
      </c>
      <c r="P947" s="14" t="str">
        <f aca="false">IF($D947&lt;&gt;1,"",IF($G947="ROKS",SUMIFS(TblApplications[Besoin ROKS CPU (vCPU)],TblApplications[Cluster ROKS cible],$F947,TblApplications[Action],"À migrer",TblApplications[Déjà incluse ROKS],"Non",TblApplications[Mois prov (calc)],"&lt;="&amp;$E947),SUMIFS(TblApplications[CPU IKS libérable (vCPU)],TblApplications[Cluster IKS source],$F947,TblApplications[Mois lib (calc)],"&lt;="&amp;$E947)))</f>
        <v/>
      </c>
      <c r="Q947" s="14" t="str">
        <f aca="false">IF($D947&lt;&gt;1,"",IF($G947="ROKS",SUMIFS(TblApplications[Besoin ROKS RAM (Go)],TblApplications[Cluster ROKS cible],$F947,TblApplications[Action],"À migrer",TblApplications[Déjà incluse ROKS],"Non",TblApplications[Mois prov (calc)],"&lt;="&amp;$E947),SUMIFS(TblApplications[RAM IKS libérable (Go)],TblApplications[Cluster IKS source],$F947,TblApplications[Mois lib (calc)],"&lt;="&amp;$E947)))</f>
        <v/>
      </c>
      <c r="R947" s="14" t="str">
        <f aca="false">IF($D947&lt;&gt;1,"",IF($G947="ROKS",$L947+$P947,IF($AI947=1,0,MAX($N947,$L947-$P947))))</f>
        <v/>
      </c>
      <c r="S947" s="14" t="str">
        <f aca="false">IF($D947&lt;&gt;1,"",IF($G947="ROKS",$M947+$Q947,IF($AI947=1,0,MAX($O947,$M947-$Q947))))</f>
        <v/>
      </c>
      <c r="T947" s="14" t="str">
        <f aca="false">IF($D947&lt;&gt;1,"",IF($AI947=1,0,MAX($J947,ROUNDUP(MAX($R947/$H947,$S947/$I947),0))))</f>
        <v/>
      </c>
      <c r="U947" s="14" t="str">
        <f aca="false">IF($D947&lt;&gt;1,"",IF(p_mode="Nœud",$T947*$H947,$R947))</f>
        <v/>
      </c>
      <c r="V947" s="14" t="str">
        <f aca="false">IF($D947&lt;&gt;1,"",IF(p_mode="Nœud",$T947*$I947,$S947))</f>
        <v/>
      </c>
      <c r="W947" s="84" t="str">
        <f aca="false">IF($D947&lt;&gt;1,"",IF(p_mode="Nœud",$T947*$K947,$R947*IF($G947="IKS",p_iks_cpu,p_roks_cpu)+$S947*IF($G947="IKS",p_iks_ram,p_roks_ram))*p_facteur)</f>
        <v/>
      </c>
      <c r="X947" s="14" t="str">
        <f aca="false">IF($D947&lt;&gt;1,"",IF($G947="ROKS",$R947,IF($AI947=1,0,MAX($N947,$L947-SUMIFS(TblApplications[CPU IKS libérable (vCPU)],TblApplications[Cluster IKS source],$F947,TblApplications[Action],"À migrer",TblApplications[Mois prov (calc)],"&lt;="&amp;$E947)-SUMIFS(TblApplications[CPU IKS libérable (vCPU)],TblApplications[Cluster IKS source],$F947,TblApplications[Action],"À décommissionner",TblApplications[Mois lib (calc)],"&lt;="&amp;$E947)))))</f>
        <v/>
      </c>
      <c r="Y947" s="14" t="str">
        <f aca="false">IF($D947&lt;&gt;1,"",IF($G947="ROKS",$S947,IF($AI947=1,0,MAX($O947,$M947-SUMIFS(TblApplications[RAM IKS libérable (Go)],TblApplications[Cluster IKS source],$F947,TblApplications[Action],"À migrer",TblApplications[Mois prov (calc)],"&lt;="&amp;$E947)-SUMIFS(TblApplications[RAM IKS libérable (Go)],TblApplications[Cluster IKS source],$F947,TblApplications[Action],"À décommissionner",TblApplications[Mois lib (calc)],"&lt;="&amp;$E947)))))</f>
        <v/>
      </c>
      <c r="Z947" s="14" t="str">
        <f aca="false">IF($D947&lt;&gt;1,"",IF($AI947=1,0,MAX($J947,ROUNDUP(MAX($X947/$H947,$Y947/$I947),0))))</f>
        <v/>
      </c>
      <c r="AA947" s="84" t="str">
        <f aca="false">IF($D947&lt;&gt;1,"",IF(p_mode="Nœud",$Z947*$K947,$X947*IF($G947="IKS",p_iks_cpu,p_roks_cpu)+$Y947*IF($G947="IKS",p_iks_ram,p_roks_ram))*p_facteur)</f>
        <v/>
      </c>
      <c r="AB947" s="14" t="str">
        <f aca="false">IF($D947&lt;&gt;1,"",MAX($J947,ROUNDUP(MAX($L947/$H947,$M947/$I947),0)))</f>
        <v/>
      </c>
      <c r="AC947" s="84" t="str">
        <f aca="false">IF($D947&lt;&gt;1,"",IF(p_mode="Nœud",$AB947*$K947,$L947*IF($G947="IKS",p_iks_cpu,p_roks_cpu)+$M947*IF($G947="IKS",p_iks_ram,p_roks_ram))*p_facteur)</f>
        <v/>
      </c>
      <c r="AD947" s="14" t="str">
        <f aca="false">IF($D947&lt;&gt;1,"",IF(AND($G947="IKS",$AI947&lt;&gt;1,OR($L947-$P947&lt;$N947,$M947-$Q947&lt;$O947)),1,0))</f>
        <v/>
      </c>
      <c r="AE947" s="14" t="str">
        <f aca="false">IF($D947&lt;&gt;1,"",IF(AND($G947="ROKS",$T947&gt;p_maxworkers),1,0))</f>
        <v/>
      </c>
      <c r="AF947" s="14" t="str">
        <f aca="false">IF($D947&lt;&gt;1,"",IF(INDEX(TblClusters[Environnement],$B947)="","(vide)",INDEX(TblClusters[Environnement],$B947)))</f>
        <v/>
      </c>
      <c r="AG947" s="14" t="str">
        <f aca="false">IF($D947&lt;&gt;1,"",$R947+p_poidsram*$S947)</f>
        <v/>
      </c>
      <c r="AH947" s="14" t="str">
        <f aca="false">IF($D947&lt;&gt;1,"",IFERROR($W947/$AG947,0))</f>
        <v/>
      </c>
      <c r="AI947" s="14" t="str">
        <f aca="false">IF($D947&lt;&gt;1,"",IF(AND($G947="IKS",ISNUMBER(INDEX(TblClusters[Fermeture retenue],$B947))),IF($E947&gt;=INDEX(TblClusters[Fermeture retenue],$B947),1,0),0))</f>
        <v/>
      </c>
    </row>
    <row r="948" customFormat="false" ht="15" hidden="false" customHeight="false" outlineLevel="0" collapsed="false">
      <c r="A948" s="14" t="n">
        <v>943</v>
      </c>
      <c r="B948" s="14" t="n">
        <f aca="false">INT(($A948-1)/36)+1</f>
        <v>27</v>
      </c>
      <c r="C948" s="14" t="n">
        <f aca="false">MOD($A948-1,36)+1</f>
        <v>7</v>
      </c>
      <c r="D948" s="14" t="n">
        <f aca="false">IF($C948&gt;p_horizon,0,IFERROR(IF(AND(INDEX(TblClusters[Cluster],$B948)&lt;&gt;"",ISNUMBER(INDEX(TblClusters[CPU initial (vCPU)],$B948)),ISNUMBER(INDEX(TblClusters[CPU min (vCPU)],$B948)),OR(INDEX(TblClusters[Plateforme],$B948)="IKS",INDEX(TblClusters[Plateforme],$B948)="ROKS")),1,0),0))</f>
        <v>0</v>
      </c>
      <c r="E948" s="83" t="str">
        <f aca="false">IF($D948=1,EDATE(p_debut,$C948-1),"")</f>
        <v/>
      </c>
      <c r="F948" s="14" t="str">
        <f aca="false">IF($D948=1,INDEX(TblClusters[Cluster],$B948),"")</f>
        <v/>
      </c>
      <c r="G948" s="14" t="str">
        <f aca="false">IF($D948=1,INDEX(TblClusters[Plateforme],$B948),"")</f>
        <v/>
      </c>
      <c r="H948" s="14" t="str">
        <f aca="false">IF($D948=1,INDEX(TblClusters[vCPU par nœud],$B948),"")</f>
        <v/>
      </c>
      <c r="I948" s="14" t="str">
        <f aca="false">IF($D948=1,INDEX(TblClusters[RAM par nœud (Go)],$B948),"")</f>
        <v/>
      </c>
      <c r="J948" s="14" t="str">
        <f aca="false">IF($D948=1,INDEX(TblClusters[Workers min],$B948),"")</f>
        <v/>
      </c>
      <c r="K948" s="84" t="str">
        <f aca="false">IF($D948=1,INDEX(TblClusters[Tarif par nœud],$B948),"")</f>
        <v/>
      </c>
      <c r="L948" s="14" t="str">
        <f aca="false">IF($D948=1,INDEX(TblClusters[CPU initial (vCPU)],$B948),"")</f>
        <v/>
      </c>
      <c r="M948" s="14" t="str">
        <f aca="false">IF($D948=1,INDEX(TblClusters[RAM initiale (Go)],$B948),"")</f>
        <v/>
      </c>
      <c r="N948" s="14" t="str">
        <f aca="false">IF($D948=1,INDEX(TblClusters[CPU min (vCPU)],$B948),"")</f>
        <v/>
      </c>
      <c r="O948" s="14" t="str">
        <f aca="false">IF($D948=1,INDEX(TblClusters[RAM min (Go)],$B948),"")</f>
        <v/>
      </c>
      <c r="P948" s="14" t="str">
        <f aca="false">IF($D948&lt;&gt;1,"",IF($G948="ROKS",SUMIFS(TblApplications[Besoin ROKS CPU (vCPU)],TblApplications[Cluster ROKS cible],$F948,TblApplications[Action],"À migrer",TblApplications[Déjà incluse ROKS],"Non",TblApplications[Mois prov (calc)],"&lt;="&amp;$E948),SUMIFS(TblApplications[CPU IKS libérable (vCPU)],TblApplications[Cluster IKS source],$F948,TblApplications[Mois lib (calc)],"&lt;="&amp;$E948)))</f>
        <v/>
      </c>
      <c r="Q948" s="14" t="str">
        <f aca="false">IF($D948&lt;&gt;1,"",IF($G948="ROKS",SUMIFS(TblApplications[Besoin ROKS RAM (Go)],TblApplications[Cluster ROKS cible],$F948,TblApplications[Action],"À migrer",TblApplications[Déjà incluse ROKS],"Non",TblApplications[Mois prov (calc)],"&lt;="&amp;$E948),SUMIFS(TblApplications[RAM IKS libérable (Go)],TblApplications[Cluster IKS source],$F948,TblApplications[Mois lib (calc)],"&lt;="&amp;$E948)))</f>
        <v/>
      </c>
      <c r="R948" s="14" t="str">
        <f aca="false">IF($D948&lt;&gt;1,"",IF($G948="ROKS",$L948+$P948,IF($AI948=1,0,MAX($N948,$L948-$P948))))</f>
        <v/>
      </c>
      <c r="S948" s="14" t="str">
        <f aca="false">IF($D948&lt;&gt;1,"",IF($G948="ROKS",$M948+$Q948,IF($AI948=1,0,MAX($O948,$M948-$Q948))))</f>
        <v/>
      </c>
      <c r="T948" s="14" t="str">
        <f aca="false">IF($D948&lt;&gt;1,"",IF($AI948=1,0,MAX($J948,ROUNDUP(MAX($R948/$H948,$S948/$I948),0))))</f>
        <v/>
      </c>
      <c r="U948" s="14" t="str">
        <f aca="false">IF($D948&lt;&gt;1,"",IF(p_mode="Nœud",$T948*$H948,$R948))</f>
        <v/>
      </c>
      <c r="V948" s="14" t="str">
        <f aca="false">IF($D948&lt;&gt;1,"",IF(p_mode="Nœud",$T948*$I948,$S948))</f>
        <v/>
      </c>
      <c r="W948" s="84" t="str">
        <f aca="false">IF($D948&lt;&gt;1,"",IF(p_mode="Nœud",$T948*$K948,$R948*IF($G948="IKS",p_iks_cpu,p_roks_cpu)+$S948*IF($G948="IKS",p_iks_ram,p_roks_ram))*p_facteur)</f>
        <v/>
      </c>
      <c r="X948" s="14" t="str">
        <f aca="false">IF($D948&lt;&gt;1,"",IF($G948="ROKS",$R948,IF($AI948=1,0,MAX($N948,$L948-SUMIFS(TblApplications[CPU IKS libérable (vCPU)],TblApplications[Cluster IKS source],$F948,TblApplications[Action],"À migrer",TblApplications[Mois prov (calc)],"&lt;="&amp;$E948)-SUMIFS(TblApplications[CPU IKS libérable (vCPU)],TblApplications[Cluster IKS source],$F948,TblApplications[Action],"À décommissionner",TblApplications[Mois lib (calc)],"&lt;="&amp;$E948)))))</f>
        <v/>
      </c>
      <c r="Y948" s="14" t="str">
        <f aca="false">IF($D948&lt;&gt;1,"",IF($G948="ROKS",$S948,IF($AI948=1,0,MAX($O948,$M948-SUMIFS(TblApplications[RAM IKS libérable (Go)],TblApplications[Cluster IKS source],$F948,TblApplications[Action],"À migrer",TblApplications[Mois prov (calc)],"&lt;="&amp;$E948)-SUMIFS(TblApplications[RAM IKS libérable (Go)],TblApplications[Cluster IKS source],$F948,TblApplications[Action],"À décommissionner",TblApplications[Mois lib (calc)],"&lt;="&amp;$E948)))))</f>
        <v/>
      </c>
      <c r="Z948" s="14" t="str">
        <f aca="false">IF($D948&lt;&gt;1,"",IF($AI948=1,0,MAX($J948,ROUNDUP(MAX($X948/$H948,$Y948/$I948),0))))</f>
        <v/>
      </c>
      <c r="AA948" s="84" t="str">
        <f aca="false">IF($D948&lt;&gt;1,"",IF(p_mode="Nœud",$Z948*$K948,$X948*IF($G948="IKS",p_iks_cpu,p_roks_cpu)+$Y948*IF($G948="IKS",p_iks_ram,p_roks_ram))*p_facteur)</f>
        <v/>
      </c>
      <c r="AB948" s="14" t="str">
        <f aca="false">IF($D948&lt;&gt;1,"",MAX($J948,ROUNDUP(MAX($L948/$H948,$M948/$I948),0)))</f>
        <v/>
      </c>
      <c r="AC948" s="84" t="str">
        <f aca="false">IF($D948&lt;&gt;1,"",IF(p_mode="Nœud",$AB948*$K948,$L948*IF($G948="IKS",p_iks_cpu,p_roks_cpu)+$M948*IF($G948="IKS",p_iks_ram,p_roks_ram))*p_facteur)</f>
        <v/>
      </c>
      <c r="AD948" s="14" t="str">
        <f aca="false">IF($D948&lt;&gt;1,"",IF(AND($G948="IKS",$AI948&lt;&gt;1,OR($L948-$P948&lt;$N948,$M948-$Q948&lt;$O948)),1,0))</f>
        <v/>
      </c>
      <c r="AE948" s="14" t="str">
        <f aca="false">IF($D948&lt;&gt;1,"",IF(AND($G948="ROKS",$T948&gt;p_maxworkers),1,0))</f>
        <v/>
      </c>
      <c r="AF948" s="14" t="str">
        <f aca="false">IF($D948&lt;&gt;1,"",IF(INDEX(TblClusters[Environnement],$B948)="","(vide)",INDEX(TblClusters[Environnement],$B948)))</f>
        <v/>
      </c>
      <c r="AG948" s="14" t="str">
        <f aca="false">IF($D948&lt;&gt;1,"",$R948+p_poidsram*$S948)</f>
        <v/>
      </c>
      <c r="AH948" s="14" t="str">
        <f aca="false">IF($D948&lt;&gt;1,"",IFERROR($W948/$AG948,0))</f>
        <v/>
      </c>
      <c r="AI948" s="14" t="str">
        <f aca="false">IF($D948&lt;&gt;1,"",IF(AND($G948="IKS",ISNUMBER(INDEX(TblClusters[Fermeture retenue],$B948))),IF($E948&gt;=INDEX(TblClusters[Fermeture retenue],$B948),1,0),0))</f>
        <v/>
      </c>
    </row>
    <row r="949" customFormat="false" ht="15" hidden="false" customHeight="false" outlineLevel="0" collapsed="false">
      <c r="A949" s="14" t="n">
        <v>944</v>
      </c>
      <c r="B949" s="14" t="n">
        <f aca="false">INT(($A949-1)/36)+1</f>
        <v>27</v>
      </c>
      <c r="C949" s="14" t="n">
        <f aca="false">MOD($A949-1,36)+1</f>
        <v>8</v>
      </c>
      <c r="D949" s="14" t="n">
        <f aca="false">IF($C949&gt;p_horizon,0,IFERROR(IF(AND(INDEX(TblClusters[Cluster],$B949)&lt;&gt;"",ISNUMBER(INDEX(TblClusters[CPU initial (vCPU)],$B949)),ISNUMBER(INDEX(TblClusters[CPU min (vCPU)],$B949)),OR(INDEX(TblClusters[Plateforme],$B949)="IKS",INDEX(TblClusters[Plateforme],$B949)="ROKS")),1,0),0))</f>
        <v>0</v>
      </c>
      <c r="E949" s="83" t="str">
        <f aca="false">IF($D949=1,EDATE(p_debut,$C949-1),"")</f>
        <v/>
      </c>
      <c r="F949" s="14" t="str">
        <f aca="false">IF($D949=1,INDEX(TblClusters[Cluster],$B949),"")</f>
        <v/>
      </c>
      <c r="G949" s="14" t="str">
        <f aca="false">IF($D949=1,INDEX(TblClusters[Plateforme],$B949),"")</f>
        <v/>
      </c>
      <c r="H949" s="14" t="str">
        <f aca="false">IF($D949=1,INDEX(TblClusters[vCPU par nœud],$B949),"")</f>
        <v/>
      </c>
      <c r="I949" s="14" t="str">
        <f aca="false">IF($D949=1,INDEX(TblClusters[RAM par nœud (Go)],$B949),"")</f>
        <v/>
      </c>
      <c r="J949" s="14" t="str">
        <f aca="false">IF($D949=1,INDEX(TblClusters[Workers min],$B949),"")</f>
        <v/>
      </c>
      <c r="K949" s="84" t="str">
        <f aca="false">IF($D949=1,INDEX(TblClusters[Tarif par nœud],$B949),"")</f>
        <v/>
      </c>
      <c r="L949" s="14" t="str">
        <f aca="false">IF($D949=1,INDEX(TblClusters[CPU initial (vCPU)],$B949),"")</f>
        <v/>
      </c>
      <c r="M949" s="14" t="str">
        <f aca="false">IF($D949=1,INDEX(TblClusters[RAM initiale (Go)],$B949),"")</f>
        <v/>
      </c>
      <c r="N949" s="14" t="str">
        <f aca="false">IF($D949=1,INDEX(TblClusters[CPU min (vCPU)],$B949),"")</f>
        <v/>
      </c>
      <c r="O949" s="14" t="str">
        <f aca="false">IF($D949=1,INDEX(TblClusters[RAM min (Go)],$B949),"")</f>
        <v/>
      </c>
      <c r="P949" s="14" t="str">
        <f aca="false">IF($D949&lt;&gt;1,"",IF($G949="ROKS",SUMIFS(TblApplications[Besoin ROKS CPU (vCPU)],TblApplications[Cluster ROKS cible],$F949,TblApplications[Action],"À migrer",TblApplications[Déjà incluse ROKS],"Non",TblApplications[Mois prov (calc)],"&lt;="&amp;$E949),SUMIFS(TblApplications[CPU IKS libérable (vCPU)],TblApplications[Cluster IKS source],$F949,TblApplications[Mois lib (calc)],"&lt;="&amp;$E949)))</f>
        <v/>
      </c>
      <c r="Q949" s="14" t="str">
        <f aca="false">IF($D949&lt;&gt;1,"",IF($G949="ROKS",SUMIFS(TblApplications[Besoin ROKS RAM (Go)],TblApplications[Cluster ROKS cible],$F949,TblApplications[Action],"À migrer",TblApplications[Déjà incluse ROKS],"Non",TblApplications[Mois prov (calc)],"&lt;="&amp;$E949),SUMIFS(TblApplications[RAM IKS libérable (Go)],TblApplications[Cluster IKS source],$F949,TblApplications[Mois lib (calc)],"&lt;="&amp;$E949)))</f>
        <v/>
      </c>
      <c r="R949" s="14" t="str">
        <f aca="false">IF($D949&lt;&gt;1,"",IF($G949="ROKS",$L949+$P949,IF($AI949=1,0,MAX($N949,$L949-$P949))))</f>
        <v/>
      </c>
      <c r="S949" s="14" t="str">
        <f aca="false">IF($D949&lt;&gt;1,"",IF($G949="ROKS",$M949+$Q949,IF($AI949=1,0,MAX($O949,$M949-$Q949))))</f>
        <v/>
      </c>
      <c r="T949" s="14" t="str">
        <f aca="false">IF($D949&lt;&gt;1,"",IF($AI949=1,0,MAX($J949,ROUNDUP(MAX($R949/$H949,$S949/$I949),0))))</f>
        <v/>
      </c>
      <c r="U949" s="14" t="str">
        <f aca="false">IF($D949&lt;&gt;1,"",IF(p_mode="Nœud",$T949*$H949,$R949))</f>
        <v/>
      </c>
      <c r="V949" s="14" t="str">
        <f aca="false">IF($D949&lt;&gt;1,"",IF(p_mode="Nœud",$T949*$I949,$S949))</f>
        <v/>
      </c>
      <c r="W949" s="84" t="str">
        <f aca="false">IF($D949&lt;&gt;1,"",IF(p_mode="Nœud",$T949*$K949,$R949*IF($G949="IKS",p_iks_cpu,p_roks_cpu)+$S949*IF($G949="IKS",p_iks_ram,p_roks_ram))*p_facteur)</f>
        <v/>
      </c>
      <c r="X949" s="14" t="str">
        <f aca="false">IF($D949&lt;&gt;1,"",IF($G949="ROKS",$R949,IF($AI949=1,0,MAX($N949,$L949-SUMIFS(TblApplications[CPU IKS libérable (vCPU)],TblApplications[Cluster IKS source],$F949,TblApplications[Action],"À migrer",TblApplications[Mois prov (calc)],"&lt;="&amp;$E949)-SUMIFS(TblApplications[CPU IKS libérable (vCPU)],TblApplications[Cluster IKS source],$F949,TblApplications[Action],"À décommissionner",TblApplications[Mois lib (calc)],"&lt;="&amp;$E949)))))</f>
        <v/>
      </c>
      <c r="Y949" s="14" t="str">
        <f aca="false">IF($D949&lt;&gt;1,"",IF($G949="ROKS",$S949,IF($AI949=1,0,MAX($O949,$M949-SUMIFS(TblApplications[RAM IKS libérable (Go)],TblApplications[Cluster IKS source],$F949,TblApplications[Action],"À migrer",TblApplications[Mois prov (calc)],"&lt;="&amp;$E949)-SUMIFS(TblApplications[RAM IKS libérable (Go)],TblApplications[Cluster IKS source],$F949,TblApplications[Action],"À décommissionner",TblApplications[Mois lib (calc)],"&lt;="&amp;$E949)))))</f>
        <v/>
      </c>
      <c r="Z949" s="14" t="str">
        <f aca="false">IF($D949&lt;&gt;1,"",IF($AI949=1,0,MAX($J949,ROUNDUP(MAX($X949/$H949,$Y949/$I949),0))))</f>
        <v/>
      </c>
      <c r="AA949" s="84" t="str">
        <f aca="false">IF($D949&lt;&gt;1,"",IF(p_mode="Nœud",$Z949*$K949,$X949*IF($G949="IKS",p_iks_cpu,p_roks_cpu)+$Y949*IF($G949="IKS",p_iks_ram,p_roks_ram))*p_facteur)</f>
        <v/>
      </c>
      <c r="AB949" s="14" t="str">
        <f aca="false">IF($D949&lt;&gt;1,"",MAX($J949,ROUNDUP(MAX($L949/$H949,$M949/$I949),0)))</f>
        <v/>
      </c>
      <c r="AC949" s="84" t="str">
        <f aca="false">IF($D949&lt;&gt;1,"",IF(p_mode="Nœud",$AB949*$K949,$L949*IF($G949="IKS",p_iks_cpu,p_roks_cpu)+$M949*IF($G949="IKS",p_iks_ram,p_roks_ram))*p_facteur)</f>
        <v/>
      </c>
      <c r="AD949" s="14" t="str">
        <f aca="false">IF($D949&lt;&gt;1,"",IF(AND($G949="IKS",$AI949&lt;&gt;1,OR($L949-$P949&lt;$N949,$M949-$Q949&lt;$O949)),1,0))</f>
        <v/>
      </c>
      <c r="AE949" s="14" t="str">
        <f aca="false">IF($D949&lt;&gt;1,"",IF(AND($G949="ROKS",$T949&gt;p_maxworkers),1,0))</f>
        <v/>
      </c>
      <c r="AF949" s="14" t="str">
        <f aca="false">IF($D949&lt;&gt;1,"",IF(INDEX(TblClusters[Environnement],$B949)="","(vide)",INDEX(TblClusters[Environnement],$B949)))</f>
        <v/>
      </c>
      <c r="AG949" s="14" t="str">
        <f aca="false">IF($D949&lt;&gt;1,"",$R949+p_poidsram*$S949)</f>
        <v/>
      </c>
      <c r="AH949" s="14" t="str">
        <f aca="false">IF($D949&lt;&gt;1,"",IFERROR($W949/$AG949,0))</f>
        <v/>
      </c>
      <c r="AI949" s="14" t="str">
        <f aca="false">IF($D949&lt;&gt;1,"",IF(AND($G949="IKS",ISNUMBER(INDEX(TblClusters[Fermeture retenue],$B949))),IF($E949&gt;=INDEX(TblClusters[Fermeture retenue],$B949),1,0),0))</f>
        <v/>
      </c>
    </row>
    <row r="950" customFormat="false" ht="15" hidden="false" customHeight="false" outlineLevel="0" collapsed="false">
      <c r="A950" s="14" t="n">
        <v>945</v>
      </c>
      <c r="B950" s="14" t="n">
        <f aca="false">INT(($A950-1)/36)+1</f>
        <v>27</v>
      </c>
      <c r="C950" s="14" t="n">
        <f aca="false">MOD($A950-1,36)+1</f>
        <v>9</v>
      </c>
      <c r="D950" s="14" t="n">
        <f aca="false">IF($C950&gt;p_horizon,0,IFERROR(IF(AND(INDEX(TblClusters[Cluster],$B950)&lt;&gt;"",ISNUMBER(INDEX(TblClusters[CPU initial (vCPU)],$B950)),ISNUMBER(INDEX(TblClusters[CPU min (vCPU)],$B950)),OR(INDEX(TblClusters[Plateforme],$B950)="IKS",INDEX(TblClusters[Plateforme],$B950)="ROKS")),1,0),0))</f>
        <v>0</v>
      </c>
      <c r="E950" s="83" t="str">
        <f aca="false">IF($D950=1,EDATE(p_debut,$C950-1),"")</f>
        <v/>
      </c>
      <c r="F950" s="14" t="str">
        <f aca="false">IF($D950=1,INDEX(TblClusters[Cluster],$B950),"")</f>
        <v/>
      </c>
      <c r="G950" s="14" t="str">
        <f aca="false">IF($D950=1,INDEX(TblClusters[Plateforme],$B950),"")</f>
        <v/>
      </c>
      <c r="H950" s="14" t="str">
        <f aca="false">IF($D950=1,INDEX(TblClusters[vCPU par nœud],$B950),"")</f>
        <v/>
      </c>
      <c r="I950" s="14" t="str">
        <f aca="false">IF($D950=1,INDEX(TblClusters[RAM par nœud (Go)],$B950),"")</f>
        <v/>
      </c>
      <c r="J950" s="14" t="str">
        <f aca="false">IF($D950=1,INDEX(TblClusters[Workers min],$B950),"")</f>
        <v/>
      </c>
      <c r="K950" s="84" t="str">
        <f aca="false">IF($D950=1,INDEX(TblClusters[Tarif par nœud],$B950),"")</f>
        <v/>
      </c>
      <c r="L950" s="14" t="str">
        <f aca="false">IF($D950=1,INDEX(TblClusters[CPU initial (vCPU)],$B950),"")</f>
        <v/>
      </c>
      <c r="M950" s="14" t="str">
        <f aca="false">IF($D950=1,INDEX(TblClusters[RAM initiale (Go)],$B950),"")</f>
        <v/>
      </c>
      <c r="N950" s="14" t="str">
        <f aca="false">IF($D950=1,INDEX(TblClusters[CPU min (vCPU)],$B950),"")</f>
        <v/>
      </c>
      <c r="O950" s="14" t="str">
        <f aca="false">IF($D950=1,INDEX(TblClusters[RAM min (Go)],$B950),"")</f>
        <v/>
      </c>
      <c r="P950" s="14" t="str">
        <f aca="false">IF($D950&lt;&gt;1,"",IF($G950="ROKS",SUMIFS(TblApplications[Besoin ROKS CPU (vCPU)],TblApplications[Cluster ROKS cible],$F950,TblApplications[Action],"À migrer",TblApplications[Déjà incluse ROKS],"Non",TblApplications[Mois prov (calc)],"&lt;="&amp;$E950),SUMIFS(TblApplications[CPU IKS libérable (vCPU)],TblApplications[Cluster IKS source],$F950,TblApplications[Mois lib (calc)],"&lt;="&amp;$E950)))</f>
        <v/>
      </c>
      <c r="Q950" s="14" t="str">
        <f aca="false">IF($D950&lt;&gt;1,"",IF($G950="ROKS",SUMIFS(TblApplications[Besoin ROKS RAM (Go)],TblApplications[Cluster ROKS cible],$F950,TblApplications[Action],"À migrer",TblApplications[Déjà incluse ROKS],"Non",TblApplications[Mois prov (calc)],"&lt;="&amp;$E950),SUMIFS(TblApplications[RAM IKS libérable (Go)],TblApplications[Cluster IKS source],$F950,TblApplications[Mois lib (calc)],"&lt;="&amp;$E950)))</f>
        <v/>
      </c>
      <c r="R950" s="14" t="str">
        <f aca="false">IF($D950&lt;&gt;1,"",IF($G950="ROKS",$L950+$P950,IF($AI950=1,0,MAX($N950,$L950-$P950))))</f>
        <v/>
      </c>
      <c r="S950" s="14" t="str">
        <f aca="false">IF($D950&lt;&gt;1,"",IF($G950="ROKS",$M950+$Q950,IF($AI950=1,0,MAX($O950,$M950-$Q950))))</f>
        <v/>
      </c>
      <c r="T950" s="14" t="str">
        <f aca="false">IF($D950&lt;&gt;1,"",IF($AI950=1,0,MAX($J950,ROUNDUP(MAX($R950/$H950,$S950/$I950),0))))</f>
        <v/>
      </c>
      <c r="U950" s="14" t="str">
        <f aca="false">IF($D950&lt;&gt;1,"",IF(p_mode="Nœud",$T950*$H950,$R950))</f>
        <v/>
      </c>
      <c r="V950" s="14" t="str">
        <f aca="false">IF($D950&lt;&gt;1,"",IF(p_mode="Nœud",$T950*$I950,$S950))</f>
        <v/>
      </c>
      <c r="W950" s="84" t="str">
        <f aca="false">IF($D950&lt;&gt;1,"",IF(p_mode="Nœud",$T950*$K950,$R950*IF($G950="IKS",p_iks_cpu,p_roks_cpu)+$S950*IF($G950="IKS",p_iks_ram,p_roks_ram))*p_facteur)</f>
        <v/>
      </c>
      <c r="X950" s="14" t="str">
        <f aca="false">IF($D950&lt;&gt;1,"",IF($G950="ROKS",$R950,IF($AI950=1,0,MAX($N950,$L950-SUMIFS(TblApplications[CPU IKS libérable (vCPU)],TblApplications[Cluster IKS source],$F950,TblApplications[Action],"À migrer",TblApplications[Mois prov (calc)],"&lt;="&amp;$E950)-SUMIFS(TblApplications[CPU IKS libérable (vCPU)],TblApplications[Cluster IKS source],$F950,TblApplications[Action],"À décommissionner",TblApplications[Mois lib (calc)],"&lt;="&amp;$E950)))))</f>
        <v/>
      </c>
      <c r="Y950" s="14" t="str">
        <f aca="false">IF($D950&lt;&gt;1,"",IF($G950="ROKS",$S950,IF($AI950=1,0,MAX($O950,$M950-SUMIFS(TblApplications[RAM IKS libérable (Go)],TblApplications[Cluster IKS source],$F950,TblApplications[Action],"À migrer",TblApplications[Mois prov (calc)],"&lt;="&amp;$E950)-SUMIFS(TblApplications[RAM IKS libérable (Go)],TblApplications[Cluster IKS source],$F950,TblApplications[Action],"À décommissionner",TblApplications[Mois lib (calc)],"&lt;="&amp;$E950)))))</f>
        <v/>
      </c>
      <c r="Z950" s="14" t="str">
        <f aca="false">IF($D950&lt;&gt;1,"",IF($AI950=1,0,MAX($J950,ROUNDUP(MAX($X950/$H950,$Y950/$I950),0))))</f>
        <v/>
      </c>
      <c r="AA950" s="84" t="str">
        <f aca="false">IF($D950&lt;&gt;1,"",IF(p_mode="Nœud",$Z950*$K950,$X950*IF($G950="IKS",p_iks_cpu,p_roks_cpu)+$Y950*IF($G950="IKS",p_iks_ram,p_roks_ram))*p_facteur)</f>
        <v/>
      </c>
      <c r="AB950" s="14" t="str">
        <f aca="false">IF($D950&lt;&gt;1,"",MAX($J950,ROUNDUP(MAX($L950/$H950,$M950/$I950),0)))</f>
        <v/>
      </c>
      <c r="AC950" s="84" t="str">
        <f aca="false">IF($D950&lt;&gt;1,"",IF(p_mode="Nœud",$AB950*$K950,$L950*IF($G950="IKS",p_iks_cpu,p_roks_cpu)+$M950*IF($G950="IKS",p_iks_ram,p_roks_ram))*p_facteur)</f>
        <v/>
      </c>
      <c r="AD950" s="14" t="str">
        <f aca="false">IF($D950&lt;&gt;1,"",IF(AND($G950="IKS",$AI950&lt;&gt;1,OR($L950-$P950&lt;$N950,$M950-$Q950&lt;$O950)),1,0))</f>
        <v/>
      </c>
      <c r="AE950" s="14" t="str">
        <f aca="false">IF($D950&lt;&gt;1,"",IF(AND($G950="ROKS",$T950&gt;p_maxworkers),1,0))</f>
        <v/>
      </c>
      <c r="AF950" s="14" t="str">
        <f aca="false">IF($D950&lt;&gt;1,"",IF(INDEX(TblClusters[Environnement],$B950)="","(vide)",INDEX(TblClusters[Environnement],$B950)))</f>
        <v/>
      </c>
      <c r="AG950" s="14" t="str">
        <f aca="false">IF($D950&lt;&gt;1,"",$R950+p_poidsram*$S950)</f>
        <v/>
      </c>
      <c r="AH950" s="14" t="str">
        <f aca="false">IF($D950&lt;&gt;1,"",IFERROR($W950/$AG950,0))</f>
        <v/>
      </c>
      <c r="AI950" s="14" t="str">
        <f aca="false">IF($D950&lt;&gt;1,"",IF(AND($G950="IKS",ISNUMBER(INDEX(TblClusters[Fermeture retenue],$B950))),IF($E950&gt;=INDEX(TblClusters[Fermeture retenue],$B950),1,0),0))</f>
        <v/>
      </c>
    </row>
    <row r="951" customFormat="false" ht="15" hidden="false" customHeight="false" outlineLevel="0" collapsed="false">
      <c r="A951" s="14" t="n">
        <v>946</v>
      </c>
      <c r="B951" s="14" t="n">
        <f aca="false">INT(($A951-1)/36)+1</f>
        <v>27</v>
      </c>
      <c r="C951" s="14" t="n">
        <f aca="false">MOD($A951-1,36)+1</f>
        <v>10</v>
      </c>
      <c r="D951" s="14" t="n">
        <f aca="false">IF($C951&gt;p_horizon,0,IFERROR(IF(AND(INDEX(TblClusters[Cluster],$B951)&lt;&gt;"",ISNUMBER(INDEX(TblClusters[CPU initial (vCPU)],$B951)),ISNUMBER(INDEX(TblClusters[CPU min (vCPU)],$B951)),OR(INDEX(TblClusters[Plateforme],$B951)="IKS",INDEX(TblClusters[Plateforme],$B951)="ROKS")),1,0),0))</f>
        <v>0</v>
      </c>
      <c r="E951" s="83" t="str">
        <f aca="false">IF($D951=1,EDATE(p_debut,$C951-1),"")</f>
        <v/>
      </c>
      <c r="F951" s="14" t="str">
        <f aca="false">IF($D951=1,INDEX(TblClusters[Cluster],$B951),"")</f>
        <v/>
      </c>
      <c r="G951" s="14" t="str">
        <f aca="false">IF($D951=1,INDEX(TblClusters[Plateforme],$B951),"")</f>
        <v/>
      </c>
      <c r="H951" s="14" t="str">
        <f aca="false">IF($D951=1,INDEX(TblClusters[vCPU par nœud],$B951),"")</f>
        <v/>
      </c>
      <c r="I951" s="14" t="str">
        <f aca="false">IF($D951=1,INDEX(TblClusters[RAM par nœud (Go)],$B951),"")</f>
        <v/>
      </c>
      <c r="J951" s="14" t="str">
        <f aca="false">IF($D951=1,INDEX(TblClusters[Workers min],$B951),"")</f>
        <v/>
      </c>
      <c r="K951" s="84" t="str">
        <f aca="false">IF($D951=1,INDEX(TblClusters[Tarif par nœud],$B951),"")</f>
        <v/>
      </c>
      <c r="L951" s="14" t="str">
        <f aca="false">IF($D951=1,INDEX(TblClusters[CPU initial (vCPU)],$B951),"")</f>
        <v/>
      </c>
      <c r="M951" s="14" t="str">
        <f aca="false">IF($D951=1,INDEX(TblClusters[RAM initiale (Go)],$B951),"")</f>
        <v/>
      </c>
      <c r="N951" s="14" t="str">
        <f aca="false">IF($D951=1,INDEX(TblClusters[CPU min (vCPU)],$B951),"")</f>
        <v/>
      </c>
      <c r="O951" s="14" t="str">
        <f aca="false">IF($D951=1,INDEX(TblClusters[RAM min (Go)],$B951),"")</f>
        <v/>
      </c>
      <c r="P951" s="14" t="str">
        <f aca="false">IF($D951&lt;&gt;1,"",IF($G951="ROKS",SUMIFS(TblApplications[Besoin ROKS CPU (vCPU)],TblApplications[Cluster ROKS cible],$F951,TblApplications[Action],"À migrer",TblApplications[Déjà incluse ROKS],"Non",TblApplications[Mois prov (calc)],"&lt;="&amp;$E951),SUMIFS(TblApplications[CPU IKS libérable (vCPU)],TblApplications[Cluster IKS source],$F951,TblApplications[Mois lib (calc)],"&lt;="&amp;$E951)))</f>
        <v/>
      </c>
      <c r="Q951" s="14" t="str">
        <f aca="false">IF($D951&lt;&gt;1,"",IF($G951="ROKS",SUMIFS(TblApplications[Besoin ROKS RAM (Go)],TblApplications[Cluster ROKS cible],$F951,TblApplications[Action],"À migrer",TblApplications[Déjà incluse ROKS],"Non",TblApplications[Mois prov (calc)],"&lt;="&amp;$E951),SUMIFS(TblApplications[RAM IKS libérable (Go)],TblApplications[Cluster IKS source],$F951,TblApplications[Mois lib (calc)],"&lt;="&amp;$E951)))</f>
        <v/>
      </c>
      <c r="R951" s="14" t="str">
        <f aca="false">IF($D951&lt;&gt;1,"",IF($G951="ROKS",$L951+$P951,IF($AI951=1,0,MAX($N951,$L951-$P951))))</f>
        <v/>
      </c>
      <c r="S951" s="14" t="str">
        <f aca="false">IF($D951&lt;&gt;1,"",IF($G951="ROKS",$M951+$Q951,IF($AI951=1,0,MAX($O951,$M951-$Q951))))</f>
        <v/>
      </c>
      <c r="T951" s="14" t="str">
        <f aca="false">IF($D951&lt;&gt;1,"",IF($AI951=1,0,MAX($J951,ROUNDUP(MAX($R951/$H951,$S951/$I951),0))))</f>
        <v/>
      </c>
      <c r="U951" s="14" t="str">
        <f aca="false">IF($D951&lt;&gt;1,"",IF(p_mode="Nœud",$T951*$H951,$R951))</f>
        <v/>
      </c>
      <c r="V951" s="14" t="str">
        <f aca="false">IF($D951&lt;&gt;1,"",IF(p_mode="Nœud",$T951*$I951,$S951))</f>
        <v/>
      </c>
      <c r="W951" s="84" t="str">
        <f aca="false">IF($D951&lt;&gt;1,"",IF(p_mode="Nœud",$T951*$K951,$R951*IF($G951="IKS",p_iks_cpu,p_roks_cpu)+$S951*IF($G951="IKS",p_iks_ram,p_roks_ram))*p_facteur)</f>
        <v/>
      </c>
      <c r="X951" s="14" t="str">
        <f aca="false">IF($D951&lt;&gt;1,"",IF($G951="ROKS",$R951,IF($AI951=1,0,MAX($N951,$L951-SUMIFS(TblApplications[CPU IKS libérable (vCPU)],TblApplications[Cluster IKS source],$F951,TblApplications[Action],"À migrer",TblApplications[Mois prov (calc)],"&lt;="&amp;$E951)-SUMIFS(TblApplications[CPU IKS libérable (vCPU)],TblApplications[Cluster IKS source],$F951,TblApplications[Action],"À décommissionner",TblApplications[Mois lib (calc)],"&lt;="&amp;$E951)))))</f>
        <v/>
      </c>
      <c r="Y951" s="14" t="str">
        <f aca="false">IF($D951&lt;&gt;1,"",IF($G951="ROKS",$S951,IF($AI951=1,0,MAX($O951,$M951-SUMIFS(TblApplications[RAM IKS libérable (Go)],TblApplications[Cluster IKS source],$F951,TblApplications[Action],"À migrer",TblApplications[Mois prov (calc)],"&lt;="&amp;$E951)-SUMIFS(TblApplications[RAM IKS libérable (Go)],TblApplications[Cluster IKS source],$F951,TblApplications[Action],"À décommissionner",TblApplications[Mois lib (calc)],"&lt;="&amp;$E951)))))</f>
        <v/>
      </c>
      <c r="Z951" s="14" t="str">
        <f aca="false">IF($D951&lt;&gt;1,"",IF($AI951=1,0,MAX($J951,ROUNDUP(MAX($X951/$H951,$Y951/$I951),0))))</f>
        <v/>
      </c>
      <c r="AA951" s="84" t="str">
        <f aca="false">IF($D951&lt;&gt;1,"",IF(p_mode="Nœud",$Z951*$K951,$X951*IF($G951="IKS",p_iks_cpu,p_roks_cpu)+$Y951*IF($G951="IKS",p_iks_ram,p_roks_ram))*p_facteur)</f>
        <v/>
      </c>
      <c r="AB951" s="14" t="str">
        <f aca="false">IF($D951&lt;&gt;1,"",MAX($J951,ROUNDUP(MAX($L951/$H951,$M951/$I951),0)))</f>
        <v/>
      </c>
      <c r="AC951" s="84" t="str">
        <f aca="false">IF($D951&lt;&gt;1,"",IF(p_mode="Nœud",$AB951*$K951,$L951*IF($G951="IKS",p_iks_cpu,p_roks_cpu)+$M951*IF($G951="IKS",p_iks_ram,p_roks_ram))*p_facteur)</f>
        <v/>
      </c>
      <c r="AD951" s="14" t="str">
        <f aca="false">IF($D951&lt;&gt;1,"",IF(AND($G951="IKS",$AI951&lt;&gt;1,OR($L951-$P951&lt;$N951,$M951-$Q951&lt;$O951)),1,0))</f>
        <v/>
      </c>
      <c r="AE951" s="14" t="str">
        <f aca="false">IF($D951&lt;&gt;1,"",IF(AND($G951="ROKS",$T951&gt;p_maxworkers),1,0))</f>
        <v/>
      </c>
      <c r="AF951" s="14" t="str">
        <f aca="false">IF($D951&lt;&gt;1,"",IF(INDEX(TblClusters[Environnement],$B951)="","(vide)",INDEX(TblClusters[Environnement],$B951)))</f>
        <v/>
      </c>
      <c r="AG951" s="14" t="str">
        <f aca="false">IF($D951&lt;&gt;1,"",$R951+p_poidsram*$S951)</f>
        <v/>
      </c>
      <c r="AH951" s="14" t="str">
        <f aca="false">IF($D951&lt;&gt;1,"",IFERROR($W951/$AG951,0))</f>
        <v/>
      </c>
      <c r="AI951" s="14" t="str">
        <f aca="false">IF($D951&lt;&gt;1,"",IF(AND($G951="IKS",ISNUMBER(INDEX(TblClusters[Fermeture retenue],$B951))),IF($E951&gt;=INDEX(TblClusters[Fermeture retenue],$B951),1,0),0))</f>
        <v/>
      </c>
    </row>
    <row r="952" customFormat="false" ht="15" hidden="false" customHeight="false" outlineLevel="0" collapsed="false">
      <c r="A952" s="14" t="n">
        <v>947</v>
      </c>
      <c r="B952" s="14" t="n">
        <f aca="false">INT(($A952-1)/36)+1</f>
        <v>27</v>
      </c>
      <c r="C952" s="14" t="n">
        <f aca="false">MOD($A952-1,36)+1</f>
        <v>11</v>
      </c>
      <c r="D952" s="14" t="n">
        <f aca="false">IF($C952&gt;p_horizon,0,IFERROR(IF(AND(INDEX(TblClusters[Cluster],$B952)&lt;&gt;"",ISNUMBER(INDEX(TblClusters[CPU initial (vCPU)],$B952)),ISNUMBER(INDEX(TblClusters[CPU min (vCPU)],$B952)),OR(INDEX(TblClusters[Plateforme],$B952)="IKS",INDEX(TblClusters[Plateforme],$B952)="ROKS")),1,0),0))</f>
        <v>0</v>
      </c>
      <c r="E952" s="83" t="str">
        <f aca="false">IF($D952=1,EDATE(p_debut,$C952-1),"")</f>
        <v/>
      </c>
      <c r="F952" s="14" t="str">
        <f aca="false">IF($D952=1,INDEX(TblClusters[Cluster],$B952),"")</f>
        <v/>
      </c>
      <c r="G952" s="14" t="str">
        <f aca="false">IF($D952=1,INDEX(TblClusters[Plateforme],$B952),"")</f>
        <v/>
      </c>
      <c r="H952" s="14" t="str">
        <f aca="false">IF($D952=1,INDEX(TblClusters[vCPU par nœud],$B952),"")</f>
        <v/>
      </c>
      <c r="I952" s="14" t="str">
        <f aca="false">IF($D952=1,INDEX(TblClusters[RAM par nœud (Go)],$B952),"")</f>
        <v/>
      </c>
      <c r="J952" s="14" t="str">
        <f aca="false">IF($D952=1,INDEX(TblClusters[Workers min],$B952),"")</f>
        <v/>
      </c>
      <c r="K952" s="84" t="str">
        <f aca="false">IF($D952=1,INDEX(TblClusters[Tarif par nœud],$B952),"")</f>
        <v/>
      </c>
      <c r="L952" s="14" t="str">
        <f aca="false">IF($D952=1,INDEX(TblClusters[CPU initial (vCPU)],$B952),"")</f>
        <v/>
      </c>
      <c r="M952" s="14" t="str">
        <f aca="false">IF($D952=1,INDEX(TblClusters[RAM initiale (Go)],$B952),"")</f>
        <v/>
      </c>
      <c r="N952" s="14" t="str">
        <f aca="false">IF($D952=1,INDEX(TblClusters[CPU min (vCPU)],$B952),"")</f>
        <v/>
      </c>
      <c r="O952" s="14" t="str">
        <f aca="false">IF($D952=1,INDEX(TblClusters[RAM min (Go)],$B952),"")</f>
        <v/>
      </c>
      <c r="P952" s="14" t="str">
        <f aca="false">IF($D952&lt;&gt;1,"",IF($G952="ROKS",SUMIFS(TblApplications[Besoin ROKS CPU (vCPU)],TblApplications[Cluster ROKS cible],$F952,TblApplications[Action],"À migrer",TblApplications[Déjà incluse ROKS],"Non",TblApplications[Mois prov (calc)],"&lt;="&amp;$E952),SUMIFS(TblApplications[CPU IKS libérable (vCPU)],TblApplications[Cluster IKS source],$F952,TblApplications[Mois lib (calc)],"&lt;="&amp;$E952)))</f>
        <v/>
      </c>
      <c r="Q952" s="14" t="str">
        <f aca="false">IF($D952&lt;&gt;1,"",IF($G952="ROKS",SUMIFS(TblApplications[Besoin ROKS RAM (Go)],TblApplications[Cluster ROKS cible],$F952,TblApplications[Action],"À migrer",TblApplications[Déjà incluse ROKS],"Non",TblApplications[Mois prov (calc)],"&lt;="&amp;$E952),SUMIFS(TblApplications[RAM IKS libérable (Go)],TblApplications[Cluster IKS source],$F952,TblApplications[Mois lib (calc)],"&lt;="&amp;$E952)))</f>
        <v/>
      </c>
      <c r="R952" s="14" t="str">
        <f aca="false">IF($D952&lt;&gt;1,"",IF($G952="ROKS",$L952+$P952,IF($AI952=1,0,MAX($N952,$L952-$P952))))</f>
        <v/>
      </c>
      <c r="S952" s="14" t="str">
        <f aca="false">IF($D952&lt;&gt;1,"",IF($G952="ROKS",$M952+$Q952,IF($AI952=1,0,MAX($O952,$M952-$Q952))))</f>
        <v/>
      </c>
      <c r="T952" s="14" t="str">
        <f aca="false">IF($D952&lt;&gt;1,"",IF($AI952=1,0,MAX($J952,ROUNDUP(MAX($R952/$H952,$S952/$I952),0))))</f>
        <v/>
      </c>
      <c r="U952" s="14" t="str">
        <f aca="false">IF($D952&lt;&gt;1,"",IF(p_mode="Nœud",$T952*$H952,$R952))</f>
        <v/>
      </c>
      <c r="V952" s="14" t="str">
        <f aca="false">IF($D952&lt;&gt;1,"",IF(p_mode="Nœud",$T952*$I952,$S952))</f>
        <v/>
      </c>
      <c r="W952" s="84" t="str">
        <f aca="false">IF($D952&lt;&gt;1,"",IF(p_mode="Nœud",$T952*$K952,$R952*IF($G952="IKS",p_iks_cpu,p_roks_cpu)+$S952*IF($G952="IKS",p_iks_ram,p_roks_ram))*p_facteur)</f>
        <v/>
      </c>
      <c r="X952" s="14" t="str">
        <f aca="false">IF($D952&lt;&gt;1,"",IF($G952="ROKS",$R952,IF($AI952=1,0,MAX($N952,$L952-SUMIFS(TblApplications[CPU IKS libérable (vCPU)],TblApplications[Cluster IKS source],$F952,TblApplications[Action],"À migrer",TblApplications[Mois prov (calc)],"&lt;="&amp;$E952)-SUMIFS(TblApplications[CPU IKS libérable (vCPU)],TblApplications[Cluster IKS source],$F952,TblApplications[Action],"À décommissionner",TblApplications[Mois lib (calc)],"&lt;="&amp;$E952)))))</f>
        <v/>
      </c>
      <c r="Y952" s="14" t="str">
        <f aca="false">IF($D952&lt;&gt;1,"",IF($G952="ROKS",$S952,IF($AI952=1,0,MAX($O952,$M952-SUMIFS(TblApplications[RAM IKS libérable (Go)],TblApplications[Cluster IKS source],$F952,TblApplications[Action],"À migrer",TblApplications[Mois prov (calc)],"&lt;="&amp;$E952)-SUMIFS(TblApplications[RAM IKS libérable (Go)],TblApplications[Cluster IKS source],$F952,TblApplications[Action],"À décommissionner",TblApplications[Mois lib (calc)],"&lt;="&amp;$E952)))))</f>
        <v/>
      </c>
      <c r="Z952" s="14" t="str">
        <f aca="false">IF($D952&lt;&gt;1,"",IF($AI952=1,0,MAX($J952,ROUNDUP(MAX($X952/$H952,$Y952/$I952),0))))</f>
        <v/>
      </c>
      <c r="AA952" s="84" t="str">
        <f aca="false">IF($D952&lt;&gt;1,"",IF(p_mode="Nœud",$Z952*$K952,$X952*IF($G952="IKS",p_iks_cpu,p_roks_cpu)+$Y952*IF($G952="IKS",p_iks_ram,p_roks_ram))*p_facteur)</f>
        <v/>
      </c>
      <c r="AB952" s="14" t="str">
        <f aca="false">IF($D952&lt;&gt;1,"",MAX($J952,ROUNDUP(MAX($L952/$H952,$M952/$I952),0)))</f>
        <v/>
      </c>
      <c r="AC952" s="84" t="str">
        <f aca="false">IF($D952&lt;&gt;1,"",IF(p_mode="Nœud",$AB952*$K952,$L952*IF($G952="IKS",p_iks_cpu,p_roks_cpu)+$M952*IF($G952="IKS",p_iks_ram,p_roks_ram))*p_facteur)</f>
        <v/>
      </c>
      <c r="AD952" s="14" t="str">
        <f aca="false">IF($D952&lt;&gt;1,"",IF(AND($G952="IKS",$AI952&lt;&gt;1,OR($L952-$P952&lt;$N952,$M952-$Q952&lt;$O952)),1,0))</f>
        <v/>
      </c>
      <c r="AE952" s="14" t="str">
        <f aca="false">IF($D952&lt;&gt;1,"",IF(AND($G952="ROKS",$T952&gt;p_maxworkers),1,0))</f>
        <v/>
      </c>
      <c r="AF952" s="14" t="str">
        <f aca="false">IF($D952&lt;&gt;1,"",IF(INDEX(TblClusters[Environnement],$B952)="","(vide)",INDEX(TblClusters[Environnement],$B952)))</f>
        <v/>
      </c>
      <c r="AG952" s="14" t="str">
        <f aca="false">IF($D952&lt;&gt;1,"",$R952+p_poidsram*$S952)</f>
        <v/>
      </c>
      <c r="AH952" s="14" t="str">
        <f aca="false">IF($D952&lt;&gt;1,"",IFERROR($W952/$AG952,0))</f>
        <v/>
      </c>
      <c r="AI952" s="14" t="str">
        <f aca="false">IF($D952&lt;&gt;1,"",IF(AND($G952="IKS",ISNUMBER(INDEX(TblClusters[Fermeture retenue],$B952))),IF($E952&gt;=INDEX(TblClusters[Fermeture retenue],$B952),1,0),0))</f>
        <v/>
      </c>
    </row>
    <row r="953" customFormat="false" ht="15" hidden="false" customHeight="false" outlineLevel="0" collapsed="false">
      <c r="A953" s="14" t="n">
        <v>948</v>
      </c>
      <c r="B953" s="14" t="n">
        <f aca="false">INT(($A953-1)/36)+1</f>
        <v>27</v>
      </c>
      <c r="C953" s="14" t="n">
        <f aca="false">MOD($A953-1,36)+1</f>
        <v>12</v>
      </c>
      <c r="D953" s="14" t="n">
        <f aca="false">IF($C953&gt;p_horizon,0,IFERROR(IF(AND(INDEX(TblClusters[Cluster],$B953)&lt;&gt;"",ISNUMBER(INDEX(TblClusters[CPU initial (vCPU)],$B953)),ISNUMBER(INDEX(TblClusters[CPU min (vCPU)],$B953)),OR(INDEX(TblClusters[Plateforme],$B953)="IKS",INDEX(TblClusters[Plateforme],$B953)="ROKS")),1,0),0))</f>
        <v>0</v>
      </c>
      <c r="E953" s="83" t="str">
        <f aca="false">IF($D953=1,EDATE(p_debut,$C953-1),"")</f>
        <v/>
      </c>
      <c r="F953" s="14" t="str">
        <f aca="false">IF($D953=1,INDEX(TblClusters[Cluster],$B953),"")</f>
        <v/>
      </c>
      <c r="G953" s="14" t="str">
        <f aca="false">IF($D953=1,INDEX(TblClusters[Plateforme],$B953),"")</f>
        <v/>
      </c>
      <c r="H953" s="14" t="str">
        <f aca="false">IF($D953=1,INDEX(TblClusters[vCPU par nœud],$B953),"")</f>
        <v/>
      </c>
      <c r="I953" s="14" t="str">
        <f aca="false">IF($D953=1,INDEX(TblClusters[RAM par nœud (Go)],$B953),"")</f>
        <v/>
      </c>
      <c r="J953" s="14" t="str">
        <f aca="false">IF($D953=1,INDEX(TblClusters[Workers min],$B953),"")</f>
        <v/>
      </c>
      <c r="K953" s="84" t="str">
        <f aca="false">IF($D953=1,INDEX(TblClusters[Tarif par nœud],$B953),"")</f>
        <v/>
      </c>
      <c r="L953" s="14" t="str">
        <f aca="false">IF($D953=1,INDEX(TblClusters[CPU initial (vCPU)],$B953),"")</f>
        <v/>
      </c>
      <c r="M953" s="14" t="str">
        <f aca="false">IF($D953=1,INDEX(TblClusters[RAM initiale (Go)],$B953),"")</f>
        <v/>
      </c>
      <c r="N953" s="14" t="str">
        <f aca="false">IF($D953=1,INDEX(TblClusters[CPU min (vCPU)],$B953),"")</f>
        <v/>
      </c>
      <c r="O953" s="14" t="str">
        <f aca="false">IF($D953=1,INDEX(TblClusters[RAM min (Go)],$B953),"")</f>
        <v/>
      </c>
      <c r="P953" s="14" t="str">
        <f aca="false">IF($D953&lt;&gt;1,"",IF($G953="ROKS",SUMIFS(TblApplications[Besoin ROKS CPU (vCPU)],TblApplications[Cluster ROKS cible],$F953,TblApplications[Action],"À migrer",TblApplications[Déjà incluse ROKS],"Non",TblApplications[Mois prov (calc)],"&lt;="&amp;$E953),SUMIFS(TblApplications[CPU IKS libérable (vCPU)],TblApplications[Cluster IKS source],$F953,TblApplications[Mois lib (calc)],"&lt;="&amp;$E953)))</f>
        <v/>
      </c>
      <c r="Q953" s="14" t="str">
        <f aca="false">IF($D953&lt;&gt;1,"",IF($G953="ROKS",SUMIFS(TblApplications[Besoin ROKS RAM (Go)],TblApplications[Cluster ROKS cible],$F953,TblApplications[Action],"À migrer",TblApplications[Déjà incluse ROKS],"Non",TblApplications[Mois prov (calc)],"&lt;="&amp;$E953),SUMIFS(TblApplications[RAM IKS libérable (Go)],TblApplications[Cluster IKS source],$F953,TblApplications[Mois lib (calc)],"&lt;="&amp;$E953)))</f>
        <v/>
      </c>
      <c r="R953" s="14" t="str">
        <f aca="false">IF($D953&lt;&gt;1,"",IF($G953="ROKS",$L953+$P953,IF($AI953=1,0,MAX($N953,$L953-$P953))))</f>
        <v/>
      </c>
      <c r="S953" s="14" t="str">
        <f aca="false">IF($D953&lt;&gt;1,"",IF($G953="ROKS",$M953+$Q953,IF($AI953=1,0,MAX($O953,$M953-$Q953))))</f>
        <v/>
      </c>
      <c r="T953" s="14" t="str">
        <f aca="false">IF($D953&lt;&gt;1,"",IF($AI953=1,0,MAX($J953,ROUNDUP(MAX($R953/$H953,$S953/$I953),0))))</f>
        <v/>
      </c>
      <c r="U953" s="14" t="str">
        <f aca="false">IF($D953&lt;&gt;1,"",IF(p_mode="Nœud",$T953*$H953,$R953))</f>
        <v/>
      </c>
      <c r="V953" s="14" t="str">
        <f aca="false">IF($D953&lt;&gt;1,"",IF(p_mode="Nœud",$T953*$I953,$S953))</f>
        <v/>
      </c>
      <c r="W953" s="84" t="str">
        <f aca="false">IF($D953&lt;&gt;1,"",IF(p_mode="Nœud",$T953*$K953,$R953*IF($G953="IKS",p_iks_cpu,p_roks_cpu)+$S953*IF($G953="IKS",p_iks_ram,p_roks_ram))*p_facteur)</f>
        <v/>
      </c>
      <c r="X953" s="14" t="str">
        <f aca="false">IF($D953&lt;&gt;1,"",IF($G953="ROKS",$R953,IF($AI953=1,0,MAX($N953,$L953-SUMIFS(TblApplications[CPU IKS libérable (vCPU)],TblApplications[Cluster IKS source],$F953,TblApplications[Action],"À migrer",TblApplications[Mois prov (calc)],"&lt;="&amp;$E953)-SUMIFS(TblApplications[CPU IKS libérable (vCPU)],TblApplications[Cluster IKS source],$F953,TblApplications[Action],"À décommissionner",TblApplications[Mois lib (calc)],"&lt;="&amp;$E953)))))</f>
        <v/>
      </c>
      <c r="Y953" s="14" t="str">
        <f aca="false">IF($D953&lt;&gt;1,"",IF($G953="ROKS",$S953,IF($AI953=1,0,MAX($O953,$M953-SUMIFS(TblApplications[RAM IKS libérable (Go)],TblApplications[Cluster IKS source],$F953,TblApplications[Action],"À migrer",TblApplications[Mois prov (calc)],"&lt;="&amp;$E953)-SUMIFS(TblApplications[RAM IKS libérable (Go)],TblApplications[Cluster IKS source],$F953,TblApplications[Action],"À décommissionner",TblApplications[Mois lib (calc)],"&lt;="&amp;$E953)))))</f>
        <v/>
      </c>
      <c r="Z953" s="14" t="str">
        <f aca="false">IF($D953&lt;&gt;1,"",IF($AI953=1,0,MAX($J953,ROUNDUP(MAX($X953/$H953,$Y953/$I953),0))))</f>
        <v/>
      </c>
      <c r="AA953" s="84" t="str">
        <f aca="false">IF($D953&lt;&gt;1,"",IF(p_mode="Nœud",$Z953*$K953,$X953*IF($G953="IKS",p_iks_cpu,p_roks_cpu)+$Y953*IF($G953="IKS",p_iks_ram,p_roks_ram))*p_facteur)</f>
        <v/>
      </c>
      <c r="AB953" s="14" t="str">
        <f aca="false">IF($D953&lt;&gt;1,"",MAX($J953,ROUNDUP(MAX($L953/$H953,$M953/$I953),0)))</f>
        <v/>
      </c>
      <c r="AC953" s="84" t="str">
        <f aca="false">IF($D953&lt;&gt;1,"",IF(p_mode="Nœud",$AB953*$K953,$L953*IF($G953="IKS",p_iks_cpu,p_roks_cpu)+$M953*IF($G953="IKS",p_iks_ram,p_roks_ram))*p_facteur)</f>
        <v/>
      </c>
      <c r="AD953" s="14" t="str">
        <f aca="false">IF($D953&lt;&gt;1,"",IF(AND($G953="IKS",$AI953&lt;&gt;1,OR($L953-$P953&lt;$N953,$M953-$Q953&lt;$O953)),1,0))</f>
        <v/>
      </c>
      <c r="AE953" s="14" t="str">
        <f aca="false">IF($D953&lt;&gt;1,"",IF(AND($G953="ROKS",$T953&gt;p_maxworkers),1,0))</f>
        <v/>
      </c>
      <c r="AF953" s="14" t="str">
        <f aca="false">IF($D953&lt;&gt;1,"",IF(INDEX(TblClusters[Environnement],$B953)="","(vide)",INDEX(TblClusters[Environnement],$B953)))</f>
        <v/>
      </c>
      <c r="AG953" s="14" t="str">
        <f aca="false">IF($D953&lt;&gt;1,"",$R953+p_poidsram*$S953)</f>
        <v/>
      </c>
      <c r="AH953" s="14" t="str">
        <f aca="false">IF($D953&lt;&gt;1,"",IFERROR($W953/$AG953,0))</f>
        <v/>
      </c>
      <c r="AI953" s="14" t="str">
        <f aca="false">IF($D953&lt;&gt;1,"",IF(AND($G953="IKS",ISNUMBER(INDEX(TblClusters[Fermeture retenue],$B953))),IF($E953&gt;=INDEX(TblClusters[Fermeture retenue],$B953),1,0),0))</f>
        <v/>
      </c>
    </row>
    <row r="954" customFormat="false" ht="15" hidden="false" customHeight="false" outlineLevel="0" collapsed="false">
      <c r="A954" s="14" t="n">
        <v>949</v>
      </c>
      <c r="B954" s="14" t="n">
        <f aca="false">INT(($A954-1)/36)+1</f>
        <v>27</v>
      </c>
      <c r="C954" s="14" t="n">
        <f aca="false">MOD($A954-1,36)+1</f>
        <v>13</v>
      </c>
      <c r="D954" s="14" t="n">
        <f aca="false">IF($C954&gt;p_horizon,0,IFERROR(IF(AND(INDEX(TblClusters[Cluster],$B954)&lt;&gt;"",ISNUMBER(INDEX(TblClusters[CPU initial (vCPU)],$B954)),ISNUMBER(INDEX(TblClusters[CPU min (vCPU)],$B954)),OR(INDEX(TblClusters[Plateforme],$B954)="IKS",INDEX(TblClusters[Plateforme],$B954)="ROKS")),1,0),0))</f>
        <v>0</v>
      </c>
      <c r="E954" s="83" t="str">
        <f aca="false">IF($D954=1,EDATE(p_debut,$C954-1),"")</f>
        <v/>
      </c>
      <c r="F954" s="14" t="str">
        <f aca="false">IF($D954=1,INDEX(TblClusters[Cluster],$B954),"")</f>
        <v/>
      </c>
      <c r="G954" s="14" t="str">
        <f aca="false">IF($D954=1,INDEX(TblClusters[Plateforme],$B954),"")</f>
        <v/>
      </c>
      <c r="H954" s="14" t="str">
        <f aca="false">IF($D954=1,INDEX(TblClusters[vCPU par nœud],$B954),"")</f>
        <v/>
      </c>
      <c r="I954" s="14" t="str">
        <f aca="false">IF($D954=1,INDEX(TblClusters[RAM par nœud (Go)],$B954),"")</f>
        <v/>
      </c>
      <c r="J954" s="14" t="str">
        <f aca="false">IF($D954=1,INDEX(TblClusters[Workers min],$B954),"")</f>
        <v/>
      </c>
      <c r="K954" s="84" t="str">
        <f aca="false">IF($D954=1,INDEX(TblClusters[Tarif par nœud],$B954),"")</f>
        <v/>
      </c>
      <c r="L954" s="14" t="str">
        <f aca="false">IF($D954=1,INDEX(TblClusters[CPU initial (vCPU)],$B954),"")</f>
        <v/>
      </c>
      <c r="M954" s="14" t="str">
        <f aca="false">IF($D954=1,INDEX(TblClusters[RAM initiale (Go)],$B954),"")</f>
        <v/>
      </c>
      <c r="N954" s="14" t="str">
        <f aca="false">IF($D954=1,INDEX(TblClusters[CPU min (vCPU)],$B954),"")</f>
        <v/>
      </c>
      <c r="O954" s="14" t="str">
        <f aca="false">IF($D954=1,INDEX(TblClusters[RAM min (Go)],$B954),"")</f>
        <v/>
      </c>
      <c r="P954" s="14" t="str">
        <f aca="false">IF($D954&lt;&gt;1,"",IF($G954="ROKS",SUMIFS(TblApplications[Besoin ROKS CPU (vCPU)],TblApplications[Cluster ROKS cible],$F954,TblApplications[Action],"À migrer",TblApplications[Déjà incluse ROKS],"Non",TblApplications[Mois prov (calc)],"&lt;="&amp;$E954),SUMIFS(TblApplications[CPU IKS libérable (vCPU)],TblApplications[Cluster IKS source],$F954,TblApplications[Mois lib (calc)],"&lt;="&amp;$E954)))</f>
        <v/>
      </c>
      <c r="Q954" s="14" t="str">
        <f aca="false">IF($D954&lt;&gt;1,"",IF($G954="ROKS",SUMIFS(TblApplications[Besoin ROKS RAM (Go)],TblApplications[Cluster ROKS cible],$F954,TblApplications[Action],"À migrer",TblApplications[Déjà incluse ROKS],"Non",TblApplications[Mois prov (calc)],"&lt;="&amp;$E954),SUMIFS(TblApplications[RAM IKS libérable (Go)],TblApplications[Cluster IKS source],$F954,TblApplications[Mois lib (calc)],"&lt;="&amp;$E954)))</f>
        <v/>
      </c>
      <c r="R954" s="14" t="str">
        <f aca="false">IF($D954&lt;&gt;1,"",IF($G954="ROKS",$L954+$P954,IF($AI954=1,0,MAX($N954,$L954-$P954))))</f>
        <v/>
      </c>
      <c r="S954" s="14" t="str">
        <f aca="false">IF($D954&lt;&gt;1,"",IF($G954="ROKS",$M954+$Q954,IF($AI954=1,0,MAX($O954,$M954-$Q954))))</f>
        <v/>
      </c>
      <c r="T954" s="14" t="str">
        <f aca="false">IF($D954&lt;&gt;1,"",IF($AI954=1,0,MAX($J954,ROUNDUP(MAX($R954/$H954,$S954/$I954),0))))</f>
        <v/>
      </c>
      <c r="U954" s="14" t="str">
        <f aca="false">IF($D954&lt;&gt;1,"",IF(p_mode="Nœud",$T954*$H954,$R954))</f>
        <v/>
      </c>
      <c r="V954" s="14" t="str">
        <f aca="false">IF($D954&lt;&gt;1,"",IF(p_mode="Nœud",$T954*$I954,$S954))</f>
        <v/>
      </c>
      <c r="W954" s="84" t="str">
        <f aca="false">IF($D954&lt;&gt;1,"",IF(p_mode="Nœud",$T954*$K954,$R954*IF($G954="IKS",p_iks_cpu,p_roks_cpu)+$S954*IF($G954="IKS",p_iks_ram,p_roks_ram))*p_facteur)</f>
        <v/>
      </c>
      <c r="X954" s="14" t="str">
        <f aca="false">IF($D954&lt;&gt;1,"",IF($G954="ROKS",$R954,IF($AI954=1,0,MAX($N954,$L954-SUMIFS(TblApplications[CPU IKS libérable (vCPU)],TblApplications[Cluster IKS source],$F954,TblApplications[Action],"À migrer",TblApplications[Mois prov (calc)],"&lt;="&amp;$E954)-SUMIFS(TblApplications[CPU IKS libérable (vCPU)],TblApplications[Cluster IKS source],$F954,TblApplications[Action],"À décommissionner",TblApplications[Mois lib (calc)],"&lt;="&amp;$E954)))))</f>
        <v/>
      </c>
      <c r="Y954" s="14" t="str">
        <f aca="false">IF($D954&lt;&gt;1,"",IF($G954="ROKS",$S954,IF($AI954=1,0,MAX($O954,$M954-SUMIFS(TblApplications[RAM IKS libérable (Go)],TblApplications[Cluster IKS source],$F954,TblApplications[Action],"À migrer",TblApplications[Mois prov (calc)],"&lt;="&amp;$E954)-SUMIFS(TblApplications[RAM IKS libérable (Go)],TblApplications[Cluster IKS source],$F954,TblApplications[Action],"À décommissionner",TblApplications[Mois lib (calc)],"&lt;="&amp;$E954)))))</f>
        <v/>
      </c>
      <c r="Z954" s="14" t="str">
        <f aca="false">IF($D954&lt;&gt;1,"",IF($AI954=1,0,MAX($J954,ROUNDUP(MAX($X954/$H954,$Y954/$I954),0))))</f>
        <v/>
      </c>
      <c r="AA954" s="84" t="str">
        <f aca="false">IF($D954&lt;&gt;1,"",IF(p_mode="Nœud",$Z954*$K954,$X954*IF($G954="IKS",p_iks_cpu,p_roks_cpu)+$Y954*IF($G954="IKS",p_iks_ram,p_roks_ram))*p_facteur)</f>
        <v/>
      </c>
      <c r="AB954" s="14" t="str">
        <f aca="false">IF($D954&lt;&gt;1,"",MAX($J954,ROUNDUP(MAX($L954/$H954,$M954/$I954),0)))</f>
        <v/>
      </c>
      <c r="AC954" s="84" t="str">
        <f aca="false">IF($D954&lt;&gt;1,"",IF(p_mode="Nœud",$AB954*$K954,$L954*IF($G954="IKS",p_iks_cpu,p_roks_cpu)+$M954*IF($G954="IKS",p_iks_ram,p_roks_ram))*p_facteur)</f>
        <v/>
      </c>
      <c r="AD954" s="14" t="str">
        <f aca="false">IF($D954&lt;&gt;1,"",IF(AND($G954="IKS",$AI954&lt;&gt;1,OR($L954-$P954&lt;$N954,$M954-$Q954&lt;$O954)),1,0))</f>
        <v/>
      </c>
      <c r="AE954" s="14" t="str">
        <f aca="false">IF($D954&lt;&gt;1,"",IF(AND($G954="ROKS",$T954&gt;p_maxworkers),1,0))</f>
        <v/>
      </c>
      <c r="AF954" s="14" t="str">
        <f aca="false">IF($D954&lt;&gt;1,"",IF(INDEX(TblClusters[Environnement],$B954)="","(vide)",INDEX(TblClusters[Environnement],$B954)))</f>
        <v/>
      </c>
      <c r="AG954" s="14" t="str">
        <f aca="false">IF($D954&lt;&gt;1,"",$R954+p_poidsram*$S954)</f>
        <v/>
      </c>
      <c r="AH954" s="14" t="str">
        <f aca="false">IF($D954&lt;&gt;1,"",IFERROR($W954/$AG954,0))</f>
        <v/>
      </c>
      <c r="AI954" s="14" t="str">
        <f aca="false">IF($D954&lt;&gt;1,"",IF(AND($G954="IKS",ISNUMBER(INDEX(TblClusters[Fermeture retenue],$B954))),IF($E954&gt;=INDEX(TblClusters[Fermeture retenue],$B954),1,0),0))</f>
        <v/>
      </c>
    </row>
    <row r="955" customFormat="false" ht="15" hidden="false" customHeight="false" outlineLevel="0" collapsed="false">
      <c r="A955" s="14" t="n">
        <v>950</v>
      </c>
      <c r="B955" s="14" t="n">
        <f aca="false">INT(($A955-1)/36)+1</f>
        <v>27</v>
      </c>
      <c r="C955" s="14" t="n">
        <f aca="false">MOD($A955-1,36)+1</f>
        <v>14</v>
      </c>
      <c r="D955" s="14" t="n">
        <f aca="false">IF($C955&gt;p_horizon,0,IFERROR(IF(AND(INDEX(TblClusters[Cluster],$B955)&lt;&gt;"",ISNUMBER(INDEX(TblClusters[CPU initial (vCPU)],$B955)),ISNUMBER(INDEX(TblClusters[CPU min (vCPU)],$B955)),OR(INDEX(TblClusters[Plateforme],$B955)="IKS",INDEX(TblClusters[Plateforme],$B955)="ROKS")),1,0),0))</f>
        <v>0</v>
      </c>
      <c r="E955" s="83" t="str">
        <f aca="false">IF($D955=1,EDATE(p_debut,$C955-1),"")</f>
        <v/>
      </c>
      <c r="F955" s="14" t="str">
        <f aca="false">IF($D955=1,INDEX(TblClusters[Cluster],$B955),"")</f>
        <v/>
      </c>
      <c r="G955" s="14" t="str">
        <f aca="false">IF($D955=1,INDEX(TblClusters[Plateforme],$B955),"")</f>
        <v/>
      </c>
      <c r="H955" s="14" t="str">
        <f aca="false">IF($D955=1,INDEX(TblClusters[vCPU par nœud],$B955),"")</f>
        <v/>
      </c>
      <c r="I955" s="14" t="str">
        <f aca="false">IF($D955=1,INDEX(TblClusters[RAM par nœud (Go)],$B955),"")</f>
        <v/>
      </c>
      <c r="J955" s="14" t="str">
        <f aca="false">IF($D955=1,INDEX(TblClusters[Workers min],$B955),"")</f>
        <v/>
      </c>
      <c r="K955" s="84" t="str">
        <f aca="false">IF($D955=1,INDEX(TblClusters[Tarif par nœud],$B955),"")</f>
        <v/>
      </c>
      <c r="L955" s="14" t="str">
        <f aca="false">IF($D955=1,INDEX(TblClusters[CPU initial (vCPU)],$B955),"")</f>
        <v/>
      </c>
      <c r="M955" s="14" t="str">
        <f aca="false">IF($D955=1,INDEX(TblClusters[RAM initiale (Go)],$B955),"")</f>
        <v/>
      </c>
      <c r="N955" s="14" t="str">
        <f aca="false">IF($D955=1,INDEX(TblClusters[CPU min (vCPU)],$B955),"")</f>
        <v/>
      </c>
      <c r="O955" s="14" t="str">
        <f aca="false">IF($D955=1,INDEX(TblClusters[RAM min (Go)],$B955),"")</f>
        <v/>
      </c>
      <c r="P955" s="14" t="str">
        <f aca="false">IF($D955&lt;&gt;1,"",IF($G955="ROKS",SUMIFS(TblApplications[Besoin ROKS CPU (vCPU)],TblApplications[Cluster ROKS cible],$F955,TblApplications[Action],"À migrer",TblApplications[Déjà incluse ROKS],"Non",TblApplications[Mois prov (calc)],"&lt;="&amp;$E955),SUMIFS(TblApplications[CPU IKS libérable (vCPU)],TblApplications[Cluster IKS source],$F955,TblApplications[Mois lib (calc)],"&lt;="&amp;$E955)))</f>
        <v/>
      </c>
      <c r="Q955" s="14" t="str">
        <f aca="false">IF($D955&lt;&gt;1,"",IF($G955="ROKS",SUMIFS(TblApplications[Besoin ROKS RAM (Go)],TblApplications[Cluster ROKS cible],$F955,TblApplications[Action],"À migrer",TblApplications[Déjà incluse ROKS],"Non",TblApplications[Mois prov (calc)],"&lt;="&amp;$E955),SUMIFS(TblApplications[RAM IKS libérable (Go)],TblApplications[Cluster IKS source],$F955,TblApplications[Mois lib (calc)],"&lt;="&amp;$E955)))</f>
        <v/>
      </c>
      <c r="R955" s="14" t="str">
        <f aca="false">IF($D955&lt;&gt;1,"",IF($G955="ROKS",$L955+$P955,IF($AI955=1,0,MAX($N955,$L955-$P955))))</f>
        <v/>
      </c>
      <c r="S955" s="14" t="str">
        <f aca="false">IF($D955&lt;&gt;1,"",IF($G955="ROKS",$M955+$Q955,IF($AI955=1,0,MAX($O955,$M955-$Q955))))</f>
        <v/>
      </c>
      <c r="T955" s="14" t="str">
        <f aca="false">IF($D955&lt;&gt;1,"",IF($AI955=1,0,MAX($J955,ROUNDUP(MAX($R955/$H955,$S955/$I955),0))))</f>
        <v/>
      </c>
      <c r="U955" s="14" t="str">
        <f aca="false">IF($D955&lt;&gt;1,"",IF(p_mode="Nœud",$T955*$H955,$R955))</f>
        <v/>
      </c>
      <c r="V955" s="14" t="str">
        <f aca="false">IF($D955&lt;&gt;1,"",IF(p_mode="Nœud",$T955*$I955,$S955))</f>
        <v/>
      </c>
      <c r="W955" s="84" t="str">
        <f aca="false">IF($D955&lt;&gt;1,"",IF(p_mode="Nœud",$T955*$K955,$R955*IF($G955="IKS",p_iks_cpu,p_roks_cpu)+$S955*IF($G955="IKS",p_iks_ram,p_roks_ram))*p_facteur)</f>
        <v/>
      </c>
      <c r="X955" s="14" t="str">
        <f aca="false">IF($D955&lt;&gt;1,"",IF($G955="ROKS",$R955,IF($AI955=1,0,MAX($N955,$L955-SUMIFS(TblApplications[CPU IKS libérable (vCPU)],TblApplications[Cluster IKS source],$F955,TblApplications[Action],"À migrer",TblApplications[Mois prov (calc)],"&lt;="&amp;$E955)-SUMIFS(TblApplications[CPU IKS libérable (vCPU)],TblApplications[Cluster IKS source],$F955,TblApplications[Action],"À décommissionner",TblApplications[Mois lib (calc)],"&lt;="&amp;$E955)))))</f>
        <v/>
      </c>
      <c r="Y955" s="14" t="str">
        <f aca="false">IF($D955&lt;&gt;1,"",IF($G955="ROKS",$S955,IF($AI955=1,0,MAX($O955,$M955-SUMIFS(TblApplications[RAM IKS libérable (Go)],TblApplications[Cluster IKS source],$F955,TblApplications[Action],"À migrer",TblApplications[Mois prov (calc)],"&lt;="&amp;$E955)-SUMIFS(TblApplications[RAM IKS libérable (Go)],TblApplications[Cluster IKS source],$F955,TblApplications[Action],"À décommissionner",TblApplications[Mois lib (calc)],"&lt;="&amp;$E955)))))</f>
        <v/>
      </c>
      <c r="Z955" s="14" t="str">
        <f aca="false">IF($D955&lt;&gt;1,"",IF($AI955=1,0,MAX($J955,ROUNDUP(MAX($X955/$H955,$Y955/$I955),0))))</f>
        <v/>
      </c>
      <c r="AA955" s="84" t="str">
        <f aca="false">IF($D955&lt;&gt;1,"",IF(p_mode="Nœud",$Z955*$K955,$X955*IF($G955="IKS",p_iks_cpu,p_roks_cpu)+$Y955*IF($G955="IKS",p_iks_ram,p_roks_ram))*p_facteur)</f>
        <v/>
      </c>
      <c r="AB955" s="14" t="str">
        <f aca="false">IF($D955&lt;&gt;1,"",MAX($J955,ROUNDUP(MAX($L955/$H955,$M955/$I955),0)))</f>
        <v/>
      </c>
      <c r="AC955" s="84" t="str">
        <f aca="false">IF($D955&lt;&gt;1,"",IF(p_mode="Nœud",$AB955*$K955,$L955*IF($G955="IKS",p_iks_cpu,p_roks_cpu)+$M955*IF($G955="IKS",p_iks_ram,p_roks_ram))*p_facteur)</f>
        <v/>
      </c>
      <c r="AD955" s="14" t="str">
        <f aca="false">IF($D955&lt;&gt;1,"",IF(AND($G955="IKS",$AI955&lt;&gt;1,OR($L955-$P955&lt;$N955,$M955-$Q955&lt;$O955)),1,0))</f>
        <v/>
      </c>
      <c r="AE955" s="14" t="str">
        <f aca="false">IF($D955&lt;&gt;1,"",IF(AND($G955="ROKS",$T955&gt;p_maxworkers),1,0))</f>
        <v/>
      </c>
      <c r="AF955" s="14" t="str">
        <f aca="false">IF($D955&lt;&gt;1,"",IF(INDEX(TblClusters[Environnement],$B955)="","(vide)",INDEX(TblClusters[Environnement],$B955)))</f>
        <v/>
      </c>
      <c r="AG955" s="14" t="str">
        <f aca="false">IF($D955&lt;&gt;1,"",$R955+p_poidsram*$S955)</f>
        <v/>
      </c>
      <c r="AH955" s="14" t="str">
        <f aca="false">IF($D955&lt;&gt;1,"",IFERROR($W955/$AG955,0))</f>
        <v/>
      </c>
      <c r="AI955" s="14" t="str">
        <f aca="false">IF($D955&lt;&gt;1,"",IF(AND($G955="IKS",ISNUMBER(INDEX(TblClusters[Fermeture retenue],$B955))),IF($E955&gt;=INDEX(TblClusters[Fermeture retenue],$B955),1,0),0))</f>
        <v/>
      </c>
    </row>
    <row r="956" customFormat="false" ht="15" hidden="false" customHeight="false" outlineLevel="0" collapsed="false">
      <c r="A956" s="14" t="n">
        <v>951</v>
      </c>
      <c r="B956" s="14" t="n">
        <f aca="false">INT(($A956-1)/36)+1</f>
        <v>27</v>
      </c>
      <c r="C956" s="14" t="n">
        <f aca="false">MOD($A956-1,36)+1</f>
        <v>15</v>
      </c>
      <c r="D956" s="14" t="n">
        <f aca="false">IF($C956&gt;p_horizon,0,IFERROR(IF(AND(INDEX(TblClusters[Cluster],$B956)&lt;&gt;"",ISNUMBER(INDEX(TblClusters[CPU initial (vCPU)],$B956)),ISNUMBER(INDEX(TblClusters[CPU min (vCPU)],$B956)),OR(INDEX(TblClusters[Plateforme],$B956)="IKS",INDEX(TblClusters[Plateforme],$B956)="ROKS")),1,0),0))</f>
        <v>0</v>
      </c>
      <c r="E956" s="83" t="str">
        <f aca="false">IF($D956=1,EDATE(p_debut,$C956-1),"")</f>
        <v/>
      </c>
      <c r="F956" s="14" t="str">
        <f aca="false">IF($D956=1,INDEX(TblClusters[Cluster],$B956),"")</f>
        <v/>
      </c>
      <c r="G956" s="14" t="str">
        <f aca="false">IF($D956=1,INDEX(TblClusters[Plateforme],$B956),"")</f>
        <v/>
      </c>
      <c r="H956" s="14" t="str">
        <f aca="false">IF($D956=1,INDEX(TblClusters[vCPU par nœud],$B956),"")</f>
        <v/>
      </c>
      <c r="I956" s="14" t="str">
        <f aca="false">IF($D956=1,INDEX(TblClusters[RAM par nœud (Go)],$B956),"")</f>
        <v/>
      </c>
      <c r="J956" s="14" t="str">
        <f aca="false">IF($D956=1,INDEX(TblClusters[Workers min],$B956),"")</f>
        <v/>
      </c>
      <c r="K956" s="84" t="str">
        <f aca="false">IF($D956=1,INDEX(TblClusters[Tarif par nœud],$B956),"")</f>
        <v/>
      </c>
      <c r="L956" s="14" t="str">
        <f aca="false">IF($D956=1,INDEX(TblClusters[CPU initial (vCPU)],$B956),"")</f>
        <v/>
      </c>
      <c r="M956" s="14" t="str">
        <f aca="false">IF($D956=1,INDEX(TblClusters[RAM initiale (Go)],$B956),"")</f>
        <v/>
      </c>
      <c r="N956" s="14" t="str">
        <f aca="false">IF($D956=1,INDEX(TblClusters[CPU min (vCPU)],$B956),"")</f>
        <v/>
      </c>
      <c r="O956" s="14" t="str">
        <f aca="false">IF($D956=1,INDEX(TblClusters[RAM min (Go)],$B956),"")</f>
        <v/>
      </c>
      <c r="P956" s="14" t="str">
        <f aca="false">IF($D956&lt;&gt;1,"",IF($G956="ROKS",SUMIFS(TblApplications[Besoin ROKS CPU (vCPU)],TblApplications[Cluster ROKS cible],$F956,TblApplications[Action],"À migrer",TblApplications[Déjà incluse ROKS],"Non",TblApplications[Mois prov (calc)],"&lt;="&amp;$E956),SUMIFS(TblApplications[CPU IKS libérable (vCPU)],TblApplications[Cluster IKS source],$F956,TblApplications[Mois lib (calc)],"&lt;="&amp;$E956)))</f>
        <v/>
      </c>
      <c r="Q956" s="14" t="str">
        <f aca="false">IF($D956&lt;&gt;1,"",IF($G956="ROKS",SUMIFS(TblApplications[Besoin ROKS RAM (Go)],TblApplications[Cluster ROKS cible],$F956,TblApplications[Action],"À migrer",TblApplications[Déjà incluse ROKS],"Non",TblApplications[Mois prov (calc)],"&lt;="&amp;$E956),SUMIFS(TblApplications[RAM IKS libérable (Go)],TblApplications[Cluster IKS source],$F956,TblApplications[Mois lib (calc)],"&lt;="&amp;$E956)))</f>
        <v/>
      </c>
      <c r="R956" s="14" t="str">
        <f aca="false">IF($D956&lt;&gt;1,"",IF($G956="ROKS",$L956+$P956,IF($AI956=1,0,MAX($N956,$L956-$P956))))</f>
        <v/>
      </c>
      <c r="S956" s="14" t="str">
        <f aca="false">IF($D956&lt;&gt;1,"",IF($G956="ROKS",$M956+$Q956,IF($AI956=1,0,MAX($O956,$M956-$Q956))))</f>
        <v/>
      </c>
      <c r="T956" s="14" t="str">
        <f aca="false">IF($D956&lt;&gt;1,"",IF($AI956=1,0,MAX($J956,ROUNDUP(MAX($R956/$H956,$S956/$I956),0))))</f>
        <v/>
      </c>
      <c r="U956" s="14" t="str">
        <f aca="false">IF($D956&lt;&gt;1,"",IF(p_mode="Nœud",$T956*$H956,$R956))</f>
        <v/>
      </c>
      <c r="V956" s="14" t="str">
        <f aca="false">IF($D956&lt;&gt;1,"",IF(p_mode="Nœud",$T956*$I956,$S956))</f>
        <v/>
      </c>
      <c r="W956" s="84" t="str">
        <f aca="false">IF($D956&lt;&gt;1,"",IF(p_mode="Nœud",$T956*$K956,$R956*IF($G956="IKS",p_iks_cpu,p_roks_cpu)+$S956*IF($G956="IKS",p_iks_ram,p_roks_ram))*p_facteur)</f>
        <v/>
      </c>
      <c r="X956" s="14" t="str">
        <f aca="false">IF($D956&lt;&gt;1,"",IF($G956="ROKS",$R956,IF($AI956=1,0,MAX($N956,$L956-SUMIFS(TblApplications[CPU IKS libérable (vCPU)],TblApplications[Cluster IKS source],$F956,TblApplications[Action],"À migrer",TblApplications[Mois prov (calc)],"&lt;="&amp;$E956)-SUMIFS(TblApplications[CPU IKS libérable (vCPU)],TblApplications[Cluster IKS source],$F956,TblApplications[Action],"À décommissionner",TblApplications[Mois lib (calc)],"&lt;="&amp;$E956)))))</f>
        <v/>
      </c>
      <c r="Y956" s="14" t="str">
        <f aca="false">IF($D956&lt;&gt;1,"",IF($G956="ROKS",$S956,IF($AI956=1,0,MAX($O956,$M956-SUMIFS(TblApplications[RAM IKS libérable (Go)],TblApplications[Cluster IKS source],$F956,TblApplications[Action],"À migrer",TblApplications[Mois prov (calc)],"&lt;="&amp;$E956)-SUMIFS(TblApplications[RAM IKS libérable (Go)],TblApplications[Cluster IKS source],$F956,TblApplications[Action],"À décommissionner",TblApplications[Mois lib (calc)],"&lt;="&amp;$E956)))))</f>
        <v/>
      </c>
      <c r="Z956" s="14" t="str">
        <f aca="false">IF($D956&lt;&gt;1,"",IF($AI956=1,0,MAX($J956,ROUNDUP(MAX($X956/$H956,$Y956/$I956),0))))</f>
        <v/>
      </c>
      <c r="AA956" s="84" t="str">
        <f aca="false">IF($D956&lt;&gt;1,"",IF(p_mode="Nœud",$Z956*$K956,$X956*IF($G956="IKS",p_iks_cpu,p_roks_cpu)+$Y956*IF($G956="IKS",p_iks_ram,p_roks_ram))*p_facteur)</f>
        <v/>
      </c>
      <c r="AB956" s="14" t="str">
        <f aca="false">IF($D956&lt;&gt;1,"",MAX($J956,ROUNDUP(MAX($L956/$H956,$M956/$I956),0)))</f>
        <v/>
      </c>
      <c r="AC956" s="84" t="str">
        <f aca="false">IF($D956&lt;&gt;1,"",IF(p_mode="Nœud",$AB956*$K956,$L956*IF($G956="IKS",p_iks_cpu,p_roks_cpu)+$M956*IF($G956="IKS",p_iks_ram,p_roks_ram))*p_facteur)</f>
        <v/>
      </c>
      <c r="AD956" s="14" t="str">
        <f aca="false">IF($D956&lt;&gt;1,"",IF(AND($G956="IKS",$AI956&lt;&gt;1,OR($L956-$P956&lt;$N956,$M956-$Q956&lt;$O956)),1,0))</f>
        <v/>
      </c>
      <c r="AE956" s="14" t="str">
        <f aca="false">IF($D956&lt;&gt;1,"",IF(AND($G956="ROKS",$T956&gt;p_maxworkers),1,0))</f>
        <v/>
      </c>
      <c r="AF956" s="14" t="str">
        <f aca="false">IF($D956&lt;&gt;1,"",IF(INDEX(TblClusters[Environnement],$B956)="","(vide)",INDEX(TblClusters[Environnement],$B956)))</f>
        <v/>
      </c>
      <c r="AG956" s="14" t="str">
        <f aca="false">IF($D956&lt;&gt;1,"",$R956+p_poidsram*$S956)</f>
        <v/>
      </c>
      <c r="AH956" s="14" t="str">
        <f aca="false">IF($D956&lt;&gt;1,"",IFERROR($W956/$AG956,0))</f>
        <v/>
      </c>
      <c r="AI956" s="14" t="str">
        <f aca="false">IF($D956&lt;&gt;1,"",IF(AND($G956="IKS",ISNUMBER(INDEX(TblClusters[Fermeture retenue],$B956))),IF($E956&gt;=INDEX(TblClusters[Fermeture retenue],$B956),1,0),0))</f>
        <v/>
      </c>
    </row>
    <row r="957" customFormat="false" ht="15" hidden="false" customHeight="false" outlineLevel="0" collapsed="false">
      <c r="A957" s="14" t="n">
        <v>952</v>
      </c>
      <c r="B957" s="14" t="n">
        <f aca="false">INT(($A957-1)/36)+1</f>
        <v>27</v>
      </c>
      <c r="C957" s="14" t="n">
        <f aca="false">MOD($A957-1,36)+1</f>
        <v>16</v>
      </c>
      <c r="D957" s="14" t="n">
        <f aca="false">IF($C957&gt;p_horizon,0,IFERROR(IF(AND(INDEX(TblClusters[Cluster],$B957)&lt;&gt;"",ISNUMBER(INDEX(TblClusters[CPU initial (vCPU)],$B957)),ISNUMBER(INDEX(TblClusters[CPU min (vCPU)],$B957)),OR(INDEX(TblClusters[Plateforme],$B957)="IKS",INDEX(TblClusters[Plateforme],$B957)="ROKS")),1,0),0))</f>
        <v>0</v>
      </c>
      <c r="E957" s="83" t="str">
        <f aca="false">IF($D957=1,EDATE(p_debut,$C957-1),"")</f>
        <v/>
      </c>
      <c r="F957" s="14" t="str">
        <f aca="false">IF($D957=1,INDEX(TblClusters[Cluster],$B957),"")</f>
        <v/>
      </c>
      <c r="G957" s="14" t="str">
        <f aca="false">IF($D957=1,INDEX(TblClusters[Plateforme],$B957),"")</f>
        <v/>
      </c>
      <c r="H957" s="14" t="str">
        <f aca="false">IF($D957=1,INDEX(TblClusters[vCPU par nœud],$B957),"")</f>
        <v/>
      </c>
      <c r="I957" s="14" t="str">
        <f aca="false">IF($D957=1,INDEX(TblClusters[RAM par nœud (Go)],$B957),"")</f>
        <v/>
      </c>
      <c r="J957" s="14" t="str">
        <f aca="false">IF($D957=1,INDEX(TblClusters[Workers min],$B957),"")</f>
        <v/>
      </c>
      <c r="K957" s="84" t="str">
        <f aca="false">IF($D957=1,INDEX(TblClusters[Tarif par nœud],$B957),"")</f>
        <v/>
      </c>
      <c r="L957" s="14" t="str">
        <f aca="false">IF($D957=1,INDEX(TblClusters[CPU initial (vCPU)],$B957),"")</f>
        <v/>
      </c>
      <c r="M957" s="14" t="str">
        <f aca="false">IF($D957=1,INDEX(TblClusters[RAM initiale (Go)],$B957),"")</f>
        <v/>
      </c>
      <c r="N957" s="14" t="str">
        <f aca="false">IF($D957=1,INDEX(TblClusters[CPU min (vCPU)],$B957),"")</f>
        <v/>
      </c>
      <c r="O957" s="14" t="str">
        <f aca="false">IF($D957=1,INDEX(TblClusters[RAM min (Go)],$B957),"")</f>
        <v/>
      </c>
      <c r="P957" s="14" t="str">
        <f aca="false">IF($D957&lt;&gt;1,"",IF($G957="ROKS",SUMIFS(TblApplications[Besoin ROKS CPU (vCPU)],TblApplications[Cluster ROKS cible],$F957,TblApplications[Action],"À migrer",TblApplications[Déjà incluse ROKS],"Non",TblApplications[Mois prov (calc)],"&lt;="&amp;$E957),SUMIFS(TblApplications[CPU IKS libérable (vCPU)],TblApplications[Cluster IKS source],$F957,TblApplications[Mois lib (calc)],"&lt;="&amp;$E957)))</f>
        <v/>
      </c>
      <c r="Q957" s="14" t="str">
        <f aca="false">IF($D957&lt;&gt;1,"",IF($G957="ROKS",SUMIFS(TblApplications[Besoin ROKS RAM (Go)],TblApplications[Cluster ROKS cible],$F957,TblApplications[Action],"À migrer",TblApplications[Déjà incluse ROKS],"Non",TblApplications[Mois prov (calc)],"&lt;="&amp;$E957),SUMIFS(TblApplications[RAM IKS libérable (Go)],TblApplications[Cluster IKS source],$F957,TblApplications[Mois lib (calc)],"&lt;="&amp;$E957)))</f>
        <v/>
      </c>
      <c r="R957" s="14" t="str">
        <f aca="false">IF($D957&lt;&gt;1,"",IF($G957="ROKS",$L957+$P957,IF($AI957=1,0,MAX($N957,$L957-$P957))))</f>
        <v/>
      </c>
      <c r="S957" s="14" t="str">
        <f aca="false">IF($D957&lt;&gt;1,"",IF($G957="ROKS",$M957+$Q957,IF($AI957=1,0,MAX($O957,$M957-$Q957))))</f>
        <v/>
      </c>
      <c r="T957" s="14" t="str">
        <f aca="false">IF($D957&lt;&gt;1,"",IF($AI957=1,0,MAX($J957,ROUNDUP(MAX($R957/$H957,$S957/$I957),0))))</f>
        <v/>
      </c>
      <c r="U957" s="14" t="str">
        <f aca="false">IF($D957&lt;&gt;1,"",IF(p_mode="Nœud",$T957*$H957,$R957))</f>
        <v/>
      </c>
      <c r="V957" s="14" t="str">
        <f aca="false">IF($D957&lt;&gt;1,"",IF(p_mode="Nœud",$T957*$I957,$S957))</f>
        <v/>
      </c>
      <c r="W957" s="84" t="str">
        <f aca="false">IF($D957&lt;&gt;1,"",IF(p_mode="Nœud",$T957*$K957,$R957*IF($G957="IKS",p_iks_cpu,p_roks_cpu)+$S957*IF($G957="IKS",p_iks_ram,p_roks_ram))*p_facteur)</f>
        <v/>
      </c>
      <c r="X957" s="14" t="str">
        <f aca="false">IF($D957&lt;&gt;1,"",IF($G957="ROKS",$R957,IF($AI957=1,0,MAX($N957,$L957-SUMIFS(TblApplications[CPU IKS libérable (vCPU)],TblApplications[Cluster IKS source],$F957,TblApplications[Action],"À migrer",TblApplications[Mois prov (calc)],"&lt;="&amp;$E957)-SUMIFS(TblApplications[CPU IKS libérable (vCPU)],TblApplications[Cluster IKS source],$F957,TblApplications[Action],"À décommissionner",TblApplications[Mois lib (calc)],"&lt;="&amp;$E957)))))</f>
        <v/>
      </c>
      <c r="Y957" s="14" t="str">
        <f aca="false">IF($D957&lt;&gt;1,"",IF($G957="ROKS",$S957,IF($AI957=1,0,MAX($O957,$M957-SUMIFS(TblApplications[RAM IKS libérable (Go)],TblApplications[Cluster IKS source],$F957,TblApplications[Action],"À migrer",TblApplications[Mois prov (calc)],"&lt;="&amp;$E957)-SUMIFS(TblApplications[RAM IKS libérable (Go)],TblApplications[Cluster IKS source],$F957,TblApplications[Action],"À décommissionner",TblApplications[Mois lib (calc)],"&lt;="&amp;$E957)))))</f>
        <v/>
      </c>
      <c r="Z957" s="14" t="str">
        <f aca="false">IF($D957&lt;&gt;1,"",IF($AI957=1,0,MAX($J957,ROUNDUP(MAX($X957/$H957,$Y957/$I957),0))))</f>
        <v/>
      </c>
      <c r="AA957" s="84" t="str">
        <f aca="false">IF($D957&lt;&gt;1,"",IF(p_mode="Nœud",$Z957*$K957,$X957*IF($G957="IKS",p_iks_cpu,p_roks_cpu)+$Y957*IF($G957="IKS",p_iks_ram,p_roks_ram))*p_facteur)</f>
        <v/>
      </c>
      <c r="AB957" s="14" t="str">
        <f aca="false">IF($D957&lt;&gt;1,"",MAX($J957,ROUNDUP(MAX($L957/$H957,$M957/$I957),0)))</f>
        <v/>
      </c>
      <c r="AC957" s="84" t="str">
        <f aca="false">IF($D957&lt;&gt;1,"",IF(p_mode="Nœud",$AB957*$K957,$L957*IF($G957="IKS",p_iks_cpu,p_roks_cpu)+$M957*IF($G957="IKS",p_iks_ram,p_roks_ram))*p_facteur)</f>
        <v/>
      </c>
      <c r="AD957" s="14" t="str">
        <f aca="false">IF($D957&lt;&gt;1,"",IF(AND($G957="IKS",$AI957&lt;&gt;1,OR($L957-$P957&lt;$N957,$M957-$Q957&lt;$O957)),1,0))</f>
        <v/>
      </c>
      <c r="AE957" s="14" t="str">
        <f aca="false">IF($D957&lt;&gt;1,"",IF(AND($G957="ROKS",$T957&gt;p_maxworkers),1,0))</f>
        <v/>
      </c>
      <c r="AF957" s="14" t="str">
        <f aca="false">IF($D957&lt;&gt;1,"",IF(INDEX(TblClusters[Environnement],$B957)="","(vide)",INDEX(TblClusters[Environnement],$B957)))</f>
        <v/>
      </c>
      <c r="AG957" s="14" t="str">
        <f aca="false">IF($D957&lt;&gt;1,"",$R957+p_poidsram*$S957)</f>
        <v/>
      </c>
      <c r="AH957" s="14" t="str">
        <f aca="false">IF($D957&lt;&gt;1,"",IFERROR($W957/$AG957,0))</f>
        <v/>
      </c>
      <c r="AI957" s="14" t="str">
        <f aca="false">IF($D957&lt;&gt;1,"",IF(AND($G957="IKS",ISNUMBER(INDEX(TblClusters[Fermeture retenue],$B957))),IF($E957&gt;=INDEX(TblClusters[Fermeture retenue],$B957),1,0),0))</f>
        <v/>
      </c>
    </row>
    <row r="958" customFormat="false" ht="15" hidden="false" customHeight="false" outlineLevel="0" collapsed="false">
      <c r="A958" s="14" t="n">
        <v>953</v>
      </c>
      <c r="B958" s="14" t="n">
        <f aca="false">INT(($A958-1)/36)+1</f>
        <v>27</v>
      </c>
      <c r="C958" s="14" t="n">
        <f aca="false">MOD($A958-1,36)+1</f>
        <v>17</v>
      </c>
      <c r="D958" s="14" t="n">
        <f aca="false">IF($C958&gt;p_horizon,0,IFERROR(IF(AND(INDEX(TblClusters[Cluster],$B958)&lt;&gt;"",ISNUMBER(INDEX(TblClusters[CPU initial (vCPU)],$B958)),ISNUMBER(INDEX(TblClusters[CPU min (vCPU)],$B958)),OR(INDEX(TblClusters[Plateforme],$B958)="IKS",INDEX(TblClusters[Plateforme],$B958)="ROKS")),1,0),0))</f>
        <v>0</v>
      </c>
      <c r="E958" s="83" t="str">
        <f aca="false">IF($D958=1,EDATE(p_debut,$C958-1),"")</f>
        <v/>
      </c>
      <c r="F958" s="14" t="str">
        <f aca="false">IF($D958=1,INDEX(TblClusters[Cluster],$B958),"")</f>
        <v/>
      </c>
      <c r="G958" s="14" t="str">
        <f aca="false">IF($D958=1,INDEX(TblClusters[Plateforme],$B958),"")</f>
        <v/>
      </c>
      <c r="H958" s="14" t="str">
        <f aca="false">IF($D958=1,INDEX(TblClusters[vCPU par nœud],$B958),"")</f>
        <v/>
      </c>
      <c r="I958" s="14" t="str">
        <f aca="false">IF($D958=1,INDEX(TblClusters[RAM par nœud (Go)],$B958),"")</f>
        <v/>
      </c>
      <c r="J958" s="14" t="str">
        <f aca="false">IF($D958=1,INDEX(TblClusters[Workers min],$B958),"")</f>
        <v/>
      </c>
      <c r="K958" s="84" t="str">
        <f aca="false">IF($D958=1,INDEX(TblClusters[Tarif par nœud],$B958),"")</f>
        <v/>
      </c>
      <c r="L958" s="14" t="str">
        <f aca="false">IF($D958=1,INDEX(TblClusters[CPU initial (vCPU)],$B958),"")</f>
        <v/>
      </c>
      <c r="M958" s="14" t="str">
        <f aca="false">IF($D958=1,INDEX(TblClusters[RAM initiale (Go)],$B958),"")</f>
        <v/>
      </c>
      <c r="N958" s="14" t="str">
        <f aca="false">IF($D958=1,INDEX(TblClusters[CPU min (vCPU)],$B958),"")</f>
        <v/>
      </c>
      <c r="O958" s="14" t="str">
        <f aca="false">IF($D958=1,INDEX(TblClusters[RAM min (Go)],$B958),"")</f>
        <v/>
      </c>
      <c r="P958" s="14" t="str">
        <f aca="false">IF($D958&lt;&gt;1,"",IF($G958="ROKS",SUMIFS(TblApplications[Besoin ROKS CPU (vCPU)],TblApplications[Cluster ROKS cible],$F958,TblApplications[Action],"À migrer",TblApplications[Déjà incluse ROKS],"Non",TblApplications[Mois prov (calc)],"&lt;="&amp;$E958),SUMIFS(TblApplications[CPU IKS libérable (vCPU)],TblApplications[Cluster IKS source],$F958,TblApplications[Mois lib (calc)],"&lt;="&amp;$E958)))</f>
        <v/>
      </c>
      <c r="Q958" s="14" t="str">
        <f aca="false">IF($D958&lt;&gt;1,"",IF($G958="ROKS",SUMIFS(TblApplications[Besoin ROKS RAM (Go)],TblApplications[Cluster ROKS cible],$F958,TblApplications[Action],"À migrer",TblApplications[Déjà incluse ROKS],"Non",TblApplications[Mois prov (calc)],"&lt;="&amp;$E958),SUMIFS(TblApplications[RAM IKS libérable (Go)],TblApplications[Cluster IKS source],$F958,TblApplications[Mois lib (calc)],"&lt;="&amp;$E958)))</f>
        <v/>
      </c>
      <c r="R958" s="14" t="str">
        <f aca="false">IF($D958&lt;&gt;1,"",IF($G958="ROKS",$L958+$P958,IF($AI958=1,0,MAX($N958,$L958-$P958))))</f>
        <v/>
      </c>
      <c r="S958" s="14" t="str">
        <f aca="false">IF($D958&lt;&gt;1,"",IF($G958="ROKS",$M958+$Q958,IF($AI958=1,0,MAX($O958,$M958-$Q958))))</f>
        <v/>
      </c>
      <c r="T958" s="14" t="str">
        <f aca="false">IF($D958&lt;&gt;1,"",IF($AI958=1,0,MAX($J958,ROUNDUP(MAX($R958/$H958,$S958/$I958),0))))</f>
        <v/>
      </c>
      <c r="U958" s="14" t="str">
        <f aca="false">IF($D958&lt;&gt;1,"",IF(p_mode="Nœud",$T958*$H958,$R958))</f>
        <v/>
      </c>
      <c r="V958" s="14" t="str">
        <f aca="false">IF($D958&lt;&gt;1,"",IF(p_mode="Nœud",$T958*$I958,$S958))</f>
        <v/>
      </c>
      <c r="W958" s="84" t="str">
        <f aca="false">IF($D958&lt;&gt;1,"",IF(p_mode="Nœud",$T958*$K958,$R958*IF($G958="IKS",p_iks_cpu,p_roks_cpu)+$S958*IF($G958="IKS",p_iks_ram,p_roks_ram))*p_facteur)</f>
        <v/>
      </c>
      <c r="X958" s="14" t="str">
        <f aca="false">IF($D958&lt;&gt;1,"",IF($G958="ROKS",$R958,IF($AI958=1,0,MAX($N958,$L958-SUMIFS(TblApplications[CPU IKS libérable (vCPU)],TblApplications[Cluster IKS source],$F958,TblApplications[Action],"À migrer",TblApplications[Mois prov (calc)],"&lt;="&amp;$E958)-SUMIFS(TblApplications[CPU IKS libérable (vCPU)],TblApplications[Cluster IKS source],$F958,TblApplications[Action],"À décommissionner",TblApplications[Mois lib (calc)],"&lt;="&amp;$E958)))))</f>
        <v/>
      </c>
      <c r="Y958" s="14" t="str">
        <f aca="false">IF($D958&lt;&gt;1,"",IF($G958="ROKS",$S958,IF($AI958=1,0,MAX($O958,$M958-SUMIFS(TblApplications[RAM IKS libérable (Go)],TblApplications[Cluster IKS source],$F958,TblApplications[Action],"À migrer",TblApplications[Mois prov (calc)],"&lt;="&amp;$E958)-SUMIFS(TblApplications[RAM IKS libérable (Go)],TblApplications[Cluster IKS source],$F958,TblApplications[Action],"À décommissionner",TblApplications[Mois lib (calc)],"&lt;="&amp;$E958)))))</f>
        <v/>
      </c>
      <c r="Z958" s="14" t="str">
        <f aca="false">IF($D958&lt;&gt;1,"",IF($AI958=1,0,MAX($J958,ROUNDUP(MAX($X958/$H958,$Y958/$I958),0))))</f>
        <v/>
      </c>
      <c r="AA958" s="84" t="str">
        <f aca="false">IF($D958&lt;&gt;1,"",IF(p_mode="Nœud",$Z958*$K958,$X958*IF($G958="IKS",p_iks_cpu,p_roks_cpu)+$Y958*IF($G958="IKS",p_iks_ram,p_roks_ram))*p_facteur)</f>
        <v/>
      </c>
      <c r="AB958" s="14" t="str">
        <f aca="false">IF($D958&lt;&gt;1,"",MAX($J958,ROUNDUP(MAX($L958/$H958,$M958/$I958),0)))</f>
        <v/>
      </c>
      <c r="AC958" s="84" t="str">
        <f aca="false">IF($D958&lt;&gt;1,"",IF(p_mode="Nœud",$AB958*$K958,$L958*IF($G958="IKS",p_iks_cpu,p_roks_cpu)+$M958*IF($G958="IKS",p_iks_ram,p_roks_ram))*p_facteur)</f>
        <v/>
      </c>
      <c r="AD958" s="14" t="str">
        <f aca="false">IF($D958&lt;&gt;1,"",IF(AND($G958="IKS",$AI958&lt;&gt;1,OR($L958-$P958&lt;$N958,$M958-$Q958&lt;$O958)),1,0))</f>
        <v/>
      </c>
      <c r="AE958" s="14" t="str">
        <f aca="false">IF($D958&lt;&gt;1,"",IF(AND($G958="ROKS",$T958&gt;p_maxworkers),1,0))</f>
        <v/>
      </c>
      <c r="AF958" s="14" t="str">
        <f aca="false">IF($D958&lt;&gt;1,"",IF(INDEX(TblClusters[Environnement],$B958)="","(vide)",INDEX(TblClusters[Environnement],$B958)))</f>
        <v/>
      </c>
      <c r="AG958" s="14" t="str">
        <f aca="false">IF($D958&lt;&gt;1,"",$R958+p_poidsram*$S958)</f>
        <v/>
      </c>
      <c r="AH958" s="14" t="str">
        <f aca="false">IF($D958&lt;&gt;1,"",IFERROR($W958/$AG958,0))</f>
        <v/>
      </c>
      <c r="AI958" s="14" t="str">
        <f aca="false">IF($D958&lt;&gt;1,"",IF(AND($G958="IKS",ISNUMBER(INDEX(TblClusters[Fermeture retenue],$B958))),IF($E958&gt;=INDEX(TblClusters[Fermeture retenue],$B958),1,0),0))</f>
        <v/>
      </c>
    </row>
    <row r="959" customFormat="false" ht="15" hidden="false" customHeight="false" outlineLevel="0" collapsed="false">
      <c r="A959" s="14" t="n">
        <v>954</v>
      </c>
      <c r="B959" s="14" t="n">
        <f aca="false">INT(($A959-1)/36)+1</f>
        <v>27</v>
      </c>
      <c r="C959" s="14" t="n">
        <f aca="false">MOD($A959-1,36)+1</f>
        <v>18</v>
      </c>
      <c r="D959" s="14" t="n">
        <f aca="false">IF($C959&gt;p_horizon,0,IFERROR(IF(AND(INDEX(TblClusters[Cluster],$B959)&lt;&gt;"",ISNUMBER(INDEX(TblClusters[CPU initial (vCPU)],$B959)),ISNUMBER(INDEX(TblClusters[CPU min (vCPU)],$B959)),OR(INDEX(TblClusters[Plateforme],$B959)="IKS",INDEX(TblClusters[Plateforme],$B959)="ROKS")),1,0),0))</f>
        <v>0</v>
      </c>
      <c r="E959" s="83" t="str">
        <f aca="false">IF($D959=1,EDATE(p_debut,$C959-1),"")</f>
        <v/>
      </c>
      <c r="F959" s="14" t="str">
        <f aca="false">IF($D959=1,INDEX(TblClusters[Cluster],$B959),"")</f>
        <v/>
      </c>
      <c r="G959" s="14" t="str">
        <f aca="false">IF($D959=1,INDEX(TblClusters[Plateforme],$B959),"")</f>
        <v/>
      </c>
      <c r="H959" s="14" t="str">
        <f aca="false">IF($D959=1,INDEX(TblClusters[vCPU par nœud],$B959),"")</f>
        <v/>
      </c>
      <c r="I959" s="14" t="str">
        <f aca="false">IF($D959=1,INDEX(TblClusters[RAM par nœud (Go)],$B959),"")</f>
        <v/>
      </c>
      <c r="J959" s="14" t="str">
        <f aca="false">IF($D959=1,INDEX(TblClusters[Workers min],$B959),"")</f>
        <v/>
      </c>
      <c r="K959" s="84" t="str">
        <f aca="false">IF($D959=1,INDEX(TblClusters[Tarif par nœud],$B959),"")</f>
        <v/>
      </c>
      <c r="L959" s="14" t="str">
        <f aca="false">IF($D959=1,INDEX(TblClusters[CPU initial (vCPU)],$B959),"")</f>
        <v/>
      </c>
      <c r="M959" s="14" t="str">
        <f aca="false">IF($D959=1,INDEX(TblClusters[RAM initiale (Go)],$B959),"")</f>
        <v/>
      </c>
      <c r="N959" s="14" t="str">
        <f aca="false">IF($D959=1,INDEX(TblClusters[CPU min (vCPU)],$B959),"")</f>
        <v/>
      </c>
      <c r="O959" s="14" t="str">
        <f aca="false">IF($D959=1,INDEX(TblClusters[RAM min (Go)],$B959),"")</f>
        <v/>
      </c>
      <c r="P959" s="14" t="str">
        <f aca="false">IF($D959&lt;&gt;1,"",IF($G959="ROKS",SUMIFS(TblApplications[Besoin ROKS CPU (vCPU)],TblApplications[Cluster ROKS cible],$F959,TblApplications[Action],"À migrer",TblApplications[Déjà incluse ROKS],"Non",TblApplications[Mois prov (calc)],"&lt;="&amp;$E959),SUMIFS(TblApplications[CPU IKS libérable (vCPU)],TblApplications[Cluster IKS source],$F959,TblApplications[Mois lib (calc)],"&lt;="&amp;$E959)))</f>
        <v/>
      </c>
      <c r="Q959" s="14" t="str">
        <f aca="false">IF($D959&lt;&gt;1,"",IF($G959="ROKS",SUMIFS(TblApplications[Besoin ROKS RAM (Go)],TblApplications[Cluster ROKS cible],$F959,TblApplications[Action],"À migrer",TblApplications[Déjà incluse ROKS],"Non",TblApplications[Mois prov (calc)],"&lt;="&amp;$E959),SUMIFS(TblApplications[RAM IKS libérable (Go)],TblApplications[Cluster IKS source],$F959,TblApplications[Mois lib (calc)],"&lt;="&amp;$E959)))</f>
        <v/>
      </c>
      <c r="R959" s="14" t="str">
        <f aca="false">IF($D959&lt;&gt;1,"",IF($G959="ROKS",$L959+$P959,IF($AI959=1,0,MAX($N959,$L959-$P959))))</f>
        <v/>
      </c>
      <c r="S959" s="14" t="str">
        <f aca="false">IF($D959&lt;&gt;1,"",IF($G959="ROKS",$M959+$Q959,IF($AI959=1,0,MAX($O959,$M959-$Q959))))</f>
        <v/>
      </c>
      <c r="T959" s="14" t="str">
        <f aca="false">IF($D959&lt;&gt;1,"",IF($AI959=1,0,MAX($J959,ROUNDUP(MAX($R959/$H959,$S959/$I959),0))))</f>
        <v/>
      </c>
      <c r="U959" s="14" t="str">
        <f aca="false">IF($D959&lt;&gt;1,"",IF(p_mode="Nœud",$T959*$H959,$R959))</f>
        <v/>
      </c>
      <c r="V959" s="14" t="str">
        <f aca="false">IF($D959&lt;&gt;1,"",IF(p_mode="Nœud",$T959*$I959,$S959))</f>
        <v/>
      </c>
      <c r="W959" s="84" t="str">
        <f aca="false">IF($D959&lt;&gt;1,"",IF(p_mode="Nœud",$T959*$K959,$R959*IF($G959="IKS",p_iks_cpu,p_roks_cpu)+$S959*IF($G959="IKS",p_iks_ram,p_roks_ram))*p_facteur)</f>
        <v/>
      </c>
      <c r="X959" s="14" t="str">
        <f aca="false">IF($D959&lt;&gt;1,"",IF($G959="ROKS",$R959,IF($AI959=1,0,MAX($N959,$L959-SUMIFS(TblApplications[CPU IKS libérable (vCPU)],TblApplications[Cluster IKS source],$F959,TblApplications[Action],"À migrer",TblApplications[Mois prov (calc)],"&lt;="&amp;$E959)-SUMIFS(TblApplications[CPU IKS libérable (vCPU)],TblApplications[Cluster IKS source],$F959,TblApplications[Action],"À décommissionner",TblApplications[Mois lib (calc)],"&lt;="&amp;$E959)))))</f>
        <v/>
      </c>
      <c r="Y959" s="14" t="str">
        <f aca="false">IF($D959&lt;&gt;1,"",IF($G959="ROKS",$S959,IF($AI959=1,0,MAX($O959,$M959-SUMIFS(TblApplications[RAM IKS libérable (Go)],TblApplications[Cluster IKS source],$F959,TblApplications[Action],"À migrer",TblApplications[Mois prov (calc)],"&lt;="&amp;$E959)-SUMIFS(TblApplications[RAM IKS libérable (Go)],TblApplications[Cluster IKS source],$F959,TblApplications[Action],"À décommissionner",TblApplications[Mois lib (calc)],"&lt;="&amp;$E959)))))</f>
        <v/>
      </c>
      <c r="Z959" s="14" t="str">
        <f aca="false">IF($D959&lt;&gt;1,"",IF($AI959=1,0,MAX($J959,ROUNDUP(MAX($X959/$H959,$Y959/$I959),0))))</f>
        <v/>
      </c>
      <c r="AA959" s="84" t="str">
        <f aca="false">IF($D959&lt;&gt;1,"",IF(p_mode="Nœud",$Z959*$K959,$X959*IF($G959="IKS",p_iks_cpu,p_roks_cpu)+$Y959*IF($G959="IKS",p_iks_ram,p_roks_ram))*p_facteur)</f>
        <v/>
      </c>
      <c r="AB959" s="14" t="str">
        <f aca="false">IF($D959&lt;&gt;1,"",MAX($J959,ROUNDUP(MAX($L959/$H959,$M959/$I959),0)))</f>
        <v/>
      </c>
      <c r="AC959" s="84" t="str">
        <f aca="false">IF($D959&lt;&gt;1,"",IF(p_mode="Nœud",$AB959*$K959,$L959*IF($G959="IKS",p_iks_cpu,p_roks_cpu)+$M959*IF($G959="IKS",p_iks_ram,p_roks_ram))*p_facteur)</f>
        <v/>
      </c>
      <c r="AD959" s="14" t="str">
        <f aca="false">IF($D959&lt;&gt;1,"",IF(AND($G959="IKS",$AI959&lt;&gt;1,OR($L959-$P959&lt;$N959,$M959-$Q959&lt;$O959)),1,0))</f>
        <v/>
      </c>
      <c r="AE959" s="14" t="str">
        <f aca="false">IF($D959&lt;&gt;1,"",IF(AND($G959="ROKS",$T959&gt;p_maxworkers),1,0))</f>
        <v/>
      </c>
      <c r="AF959" s="14" t="str">
        <f aca="false">IF($D959&lt;&gt;1,"",IF(INDEX(TblClusters[Environnement],$B959)="","(vide)",INDEX(TblClusters[Environnement],$B959)))</f>
        <v/>
      </c>
      <c r="AG959" s="14" t="str">
        <f aca="false">IF($D959&lt;&gt;1,"",$R959+p_poidsram*$S959)</f>
        <v/>
      </c>
      <c r="AH959" s="14" t="str">
        <f aca="false">IF($D959&lt;&gt;1,"",IFERROR($W959/$AG959,0))</f>
        <v/>
      </c>
      <c r="AI959" s="14" t="str">
        <f aca="false">IF($D959&lt;&gt;1,"",IF(AND($G959="IKS",ISNUMBER(INDEX(TblClusters[Fermeture retenue],$B959))),IF($E959&gt;=INDEX(TblClusters[Fermeture retenue],$B959),1,0),0))</f>
        <v/>
      </c>
    </row>
    <row r="960" customFormat="false" ht="15" hidden="false" customHeight="false" outlineLevel="0" collapsed="false">
      <c r="A960" s="14" t="n">
        <v>955</v>
      </c>
      <c r="B960" s="14" t="n">
        <f aca="false">INT(($A960-1)/36)+1</f>
        <v>27</v>
      </c>
      <c r="C960" s="14" t="n">
        <f aca="false">MOD($A960-1,36)+1</f>
        <v>19</v>
      </c>
      <c r="D960" s="14" t="n">
        <f aca="false">IF($C960&gt;p_horizon,0,IFERROR(IF(AND(INDEX(TblClusters[Cluster],$B960)&lt;&gt;"",ISNUMBER(INDEX(TblClusters[CPU initial (vCPU)],$B960)),ISNUMBER(INDEX(TblClusters[CPU min (vCPU)],$B960)),OR(INDEX(TblClusters[Plateforme],$B960)="IKS",INDEX(TblClusters[Plateforme],$B960)="ROKS")),1,0),0))</f>
        <v>0</v>
      </c>
      <c r="E960" s="83" t="str">
        <f aca="false">IF($D960=1,EDATE(p_debut,$C960-1),"")</f>
        <v/>
      </c>
      <c r="F960" s="14" t="str">
        <f aca="false">IF($D960=1,INDEX(TblClusters[Cluster],$B960),"")</f>
        <v/>
      </c>
      <c r="G960" s="14" t="str">
        <f aca="false">IF($D960=1,INDEX(TblClusters[Plateforme],$B960),"")</f>
        <v/>
      </c>
      <c r="H960" s="14" t="str">
        <f aca="false">IF($D960=1,INDEX(TblClusters[vCPU par nœud],$B960),"")</f>
        <v/>
      </c>
      <c r="I960" s="14" t="str">
        <f aca="false">IF($D960=1,INDEX(TblClusters[RAM par nœud (Go)],$B960),"")</f>
        <v/>
      </c>
      <c r="J960" s="14" t="str">
        <f aca="false">IF($D960=1,INDEX(TblClusters[Workers min],$B960),"")</f>
        <v/>
      </c>
      <c r="K960" s="84" t="str">
        <f aca="false">IF($D960=1,INDEX(TblClusters[Tarif par nœud],$B960),"")</f>
        <v/>
      </c>
      <c r="L960" s="14" t="str">
        <f aca="false">IF($D960=1,INDEX(TblClusters[CPU initial (vCPU)],$B960),"")</f>
        <v/>
      </c>
      <c r="M960" s="14" t="str">
        <f aca="false">IF($D960=1,INDEX(TblClusters[RAM initiale (Go)],$B960),"")</f>
        <v/>
      </c>
      <c r="N960" s="14" t="str">
        <f aca="false">IF($D960=1,INDEX(TblClusters[CPU min (vCPU)],$B960),"")</f>
        <v/>
      </c>
      <c r="O960" s="14" t="str">
        <f aca="false">IF($D960=1,INDEX(TblClusters[RAM min (Go)],$B960),"")</f>
        <v/>
      </c>
      <c r="P960" s="14" t="str">
        <f aca="false">IF($D960&lt;&gt;1,"",IF($G960="ROKS",SUMIFS(TblApplications[Besoin ROKS CPU (vCPU)],TblApplications[Cluster ROKS cible],$F960,TblApplications[Action],"À migrer",TblApplications[Déjà incluse ROKS],"Non",TblApplications[Mois prov (calc)],"&lt;="&amp;$E960),SUMIFS(TblApplications[CPU IKS libérable (vCPU)],TblApplications[Cluster IKS source],$F960,TblApplications[Mois lib (calc)],"&lt;="&amp;$E960)))</f>
        <v/>
      </c>
      <c r="Q960" s="14" t="str">
        <f aca="false">IF($D960&lt;&gt;1,"",IF($G960="ROKS",SUMIFS(TblApplications[Besoin ROKS RAM (Go)],TblApplications[Cluster ROKS cible],$F960,TblApplications[Action],"À migrer",TblApplications[Déjà incluse ROKS],"Non",TblApplications[Mois prov (calc)],"&lt;="&amp;$E960),SUMIFS(TblApplications[RAM IKS libérable (Go)],TblApplications[Cluster IKS source],$F960,TblApplications[Mois lib (calc)],"&lt;="&amp;$E960)))</f>
        <v/>
      </c>
      <c r="R960" s="14" t="str">
        <f aca="false">IF($D960&lt;&gt;1,"",IF($G960="ROKS",$L960+$P960,IF($AI960=1,0,MAX($N960,$L960-$P960))))</f>
        <v/>
      </c>
      <c r="S960" s="14" t="str">
        <f aca="false">IF($D960&lt;&gt;1,"",IF($G960="ROKS",$M960+$Q960,IF($AI960=1,0,MAX($O960,$M960-$Q960))))</f>
        <v/>
      </c>
      <c r="T960" s="14" t="str">
        <f aca="false">IF($D960&lt;&gt;1,"",IF($AI960=1,0,MAX($J960,ROUNDUP(MAX($R960/$H960,$S960/$I960),0))))</f>
        <v/>
      </c>
      <c r="U960" s="14" t="str">
        <f aca="false">IF($D960&lt;&gt;1,"",IF(p_mode="Nœud",$T960*$H960,$R960))</f>
        <v/>
      </c>
      <c r="V960" s="14" t="str">
        <f aca="false">IF($D960&lt;&gt;1,"",IF(p_mode="Nœud",$T960*$I960,$S960))</f>
        <v/>
      </c>
      <c r="W960" s="84" t="str">
        <f aca="false">IF($D960&lt;&gt;1,"",IF(p_mode="Nœud",$T960*$K960,$R960*IF($G960="IKS",p_iks_cpu,p_roks_cpu)+$S960*IF($G960="IKS",p_iks_ram,p_roks_ram))*p_facteur)</f>
        <v/>
      </c>
      <c r="X960" s="14" t="str">
        <f aca="false">IF($D960&lt;&gt;1,"",IF($G960="ROKS",$R960,IF($AI960=1,0,MAX($N960,$L960-SUMIFS(TblApplications[CPU IKS libérable (vCPU)],TblApplications[Cluster IKS source],$F960,TblApplications[Action],"À migrer",TblApplications[Mois prov (calc)],"&lt;="&amp;$E960)-SUMIFS(TblApplications[CPU IKS libérable (vCPU)],TblApplications[Cluster IKS source],$F960,TblApplications[Action],"À décommissionner",TblApplications[Mois lib (calc)],"&lt;="&amp;$E960)))))</f>
        <v/>
      </c>
      <c r="Y960" s="14" t="str">
        <f aca="false">IF($D960&lt;&gt;1,"",IF($G960="ROKS",$S960,IF($AI960=1,0,MAX($O960,$M960-SUMIFS(TblApplications[RAM IKS libérable (Go)],TblApplications[Cluster IKS source],$F960,TblApplications[Action],"À migrer",TblApplications[Mois prov (calc)],"&lt;="&amp;$E960)-SUMIFS(TblApplications[RAM IKS libérable (Go)],TblApplications[Cluster IKS source],$F960,TblApplications[Action],"À décommissionner",TblApplications[Mois lib (calc)],"&lt;="&amp;$E960)))))</f>
        <v/>
      </c>
      <c r="Z960" s="14" t="str">
        <f aca="false">IF($D960&lt;&gt;1,"",IF($AI960=1,0,MAX($J960,ROUNDUP(MAX($X960/$H960,$Y960/$I960),0))))</f>
        <v/>
      </c>
      <c r="AA960" s="84" t="str">
        <f aca="false">IF($D960&lt;&gt;1,"",IF(p_mode="Nœud",$Z960*$K960,$X960*IF($G960="IKS",p_iks_cpu,p_roks_cpu)+$Y960*IF($G960="IKS",p_iks_ram,p_roks_ram))*p_facteur)</f>
        <v/>
      </c>
      <c r="AB960" s="14" t="str">
        <f aca="false">IF($D960&lt;&gt;1,"",MAX($J960,ROUNDUP(MAX($L960/$H960,$M960/$I960),0)))</f>
        <v/>
      </c>
      <c r="AC960" s="84" t="str">
        <f aca="false">IF($D960&lt;&gt;1,"",IF(p_mode="Nœud",$AB960*$K960,$L960*IF($G960="IKS",p_iks_cpu,p_roks_cpu)+$M960*IF($G960="IKS",p_iks_ram,p_roks_ram))*p_facteur)</f>
        <v/>
      </c>
      <c r="AD960" s="14" t="str">
        <f aca="false">IF($D960&lt;&gt;1,"",IF(AND($G960="IKS",$AI960&lt;&gt;1,OR($L960-$P960&lt;$N960,$M960-$Q960&lt;$O960)),1,0))</f>
        <v/>
      </c>
      <c r="AE960" s="14" t="str">
        <f aca="false">IF($D960&lt;&gt;1,"",IF(AND($G960="ROKS",$T960&gt;p_maxworkers),1,0))</f>
        <v/>
      </c>
      <c r="AF960" s="14" t="str">
        <f aca="false">IF($D960&lt;&gt;1,"",IF(INDEX(TblClusters[Environnement],$B960)="","(vide)",INDEX(TblClusters[Environnement],$B960)))</f>
        <v/>
      </c>
      <c r="AG960" s="14" t="str">
        <f aca="false">IF($D960&lt;&gt;1,"",$R960+p_poidsram*$S960)</f>
        <v/>
      </c>
      <c r="AH960" s="14" t="str">
        <f aca="false">IF($D960&lt;&gt;1,"",IFERROR($W960/$AG960,0))</f>
        <v/>
      </c>
      <c r="AI960" s="14" t="str">
        <f aca="false">IF($D960&lt;&gt;1,"",IF(AND($G960="IKS",ISNUMBER(INDEX(TblClusters[Fermeture retenue],$B960))),IF($E960&gt;=INDEX(TblClusters[Fermeture retenue],$B960),1,0),0))</f>
        <v/>
      </c>
    </row>
    <row r="961" customFormat="false" ht="15" hidden="false" customHeight="false" outlineLevel="0" collapsed="false">
      <c r="A961" s="14" t="n">
        <v>956</v>
      </c>
      <c r="B961" s="14" t="n">
        <f aca="false">INT(($A961-1)/36)+1</f>
        <v>27</v>
      </c>
      <c r="C961" s="14" t="n">
        <f aca="false">MOD($A961-1,36)+1</f>
        <v>20</v>
      </c>
      <c r="D961" s="14" t="n">
        <f aca="false">IF($C961&gt;p_horizon,0,IFERROR(IF(AND(INDEX(TblClusters[Cluster],$B961)&lt;&gt;"",ISNUMBER(INDEX(TblClusters[CPU initial (vCPU)],$B961)),ISNUMBER(INDEX(TblClusters[CPU min (vCPU)],$B961)),OR(INDEX(TblClusters[Plateforme],$B961)="IKS",INDEX(TblClusters[Plateforme],$B961)="ROKS")),1,0),0))</f>
        <v>0</v>
      </c>
      <c r="E961" s="83" t="str">
        <f aca="false">IF($D961=1,EDATE(p_debut,$C961-1),"")</f>
        <v/>
      </c>
      <c r="F961" s="14" t="str">
        <f aca="false">IF($D961=1,INDEX(TblClusters[Cluster],$B961),"")</f>
        <v/>
      </c>
      <c r="G961" s="14" t="str">
        <f aca="false">IF($D961=1,INDEX(TblClusters[Plateforme],$B961),"")</f>
        <v/>
      </c>
      <c r="H961" s="14" t="str">
        <f aca="false">IF($D961=1,INDEX(TblClusters[vCPU par nœud],$B961),"")</f>
        <v/>
      </c>
      <c r="I961" s="14" t="str">
        <f aca="false">IF($D961=1,INDEX(TblClusters[RAM par nœud (Go)],$B961),"")</f>
        <v/>
      </c>
      <c r="J961" s="14" t="str">
        <f aca="false">IF($D961=1,INDEX(TblClusters[Workers min],$B961),"")</f>
        <v/>
      </c>
      <c r="K961" s="84" t="str">
        <f aca="false">IF($D961=1,INDEX(TblClusters[Tarif par nœud],$B961),"")</f>
        <v/>
      </c>
      <c r="L961" s="14" t="str">
        <f aca="false">IF($D961=1,INDEX(TblClusters[CPU initial (vCPU)],$B961),"")</f>
        <v/>
      </c>
      <c r="M961" s="14" t="str">
        <f aca="false">IF($D961=1,INDEX(TblClusters[RAM initiale (Go)],$B961),"")</f>
        <v/>
      </c>
      <c r="N961" s="14" t="str">
        <f aca="false">IF($D961=1,INDEX(TblClusters[CPU min (vCPU)],$B961),"")</f>
        <v/>
      </c>
      <c r="O961" s="14" t="str">
        <f aca="false">IF($D961=1,INDEX(TblClusters[RAM min (Go)],$B961),"")</f>
        <v/>
      </c>
      <c r="P961" s="14" t="str">
        <f aca="false">IF($D961&lt;&gt;1,"",IF($G961="ROKS",SUMIFS(TblApplications[Besoin ROKS CPU (vCPU)],TblApplications[Cluster ROKS cible],$F961,TblApplications[Action],"À migrer",TblApplications[Déjà incluse ROKS],"Non",TblApplications[Mois prov (calc)],"&lt;="&amp;$E961),SUMIFS(TblApplications[CPU IKS libérable (vCPU)],TblApplications[Cluster IKS source],$F961,TblApplications[Mois lib (calc)],"&lt;="&amp;$E961)))</f>
        <v/>
      </c>
      <c r="Q961" s="14" t="str">
        <f aca="false">IF($D961&lt;&gt;1,"",IF($G961="ROKS",SUMIFS(TblApplications[Besoin ROKS RAM (Go)],TblApplications[Cluster ROKS cible],$F961,TblApplications[Action],"À migrer",TblApplications[Déjà incluse ROKS],"Non",TblApplications[Mois prov (calc)],"&lt;="&amp;$E961),SUMIFS(TblApplications[RAM IKS libérable (Go)],TblApplications[Cluster IKS source],$F961,TblApplications[Mois lib (calc)],"&lt;="&amp;$E961)))</f>
        <v/>
      </c>
      <c r="R961" s="14" t="str">
        <f aca="false">IF($D961&lt;&gt;1,"",IF($G961="ROKS",$L961+$P961,IF($AI961=1,0,MAX($N961,$L961-$P961))))</f>
        <v/>
      </c>
      <c r="S961" s="14" t="str">
        <f aca="false">IF($D961&lt;&gt;1,"",IF($G961="ROKS",$M961+$Q961,IF($AI961=1,0,MAX($O961,$M961-$Q961))))</f>
        <v/>
      </c>
      <c r="T961" s="14" t="str">
        <f aca="false">IF($D961&lt;&gt;1,"",IF($AI961=1,0,MAX($J961,ROUNDUP(MAX($R961/$H961,$S961/$I961),0))))</f>
        <v/>
      </c>
      <c r="U961" s="14" t="str">
        <f aca="false">IF($D961&lt;&gt;1,"",IF(p_mode="Nœud",$T961*$H961,$R961))</f>
        <v/>
      </c>
      <c r="V961" s="14" t="str">
        <f aca="false">IF($D961&lt;&gt;1,"",IF(p_mode="Nœud",$T961*$I961,$S961))</f>
        <v/>
      </c>
      <c r="W961" s="84" t="str">
        <f aca="false">IF($D961&lt;&gt;1,"",IF(p_mode="Nœud",$T961*$K961,$R961*IF($G961="IKS",p_iks_cpu,p_roks_cpu)+$S961*IF($G961="IKS",p_iks_ram,p_roks_ram))*p_facteur)</f>
        <v/>
      </c>
      <c r="X961" s="14" t="str">
        <f aca="false">IF($D961&lt;&gt;1,"",IF($G961="ROKS",$R961,IF($AI961=1,0,MAX($N961,$L961-SUMIFS(TblApplications[CPU IKS libérable (vCPU)],TblApplications[Cluster IKS source],$F961,TblApplications[Action],"À migrer",TblApplications[Mois prov (calc)],"&lt;="&amp;$E961)-SUMIFS(TblApplications[CPU IKS libérable (vCPU)],TblApplications[Cluster IKS source],$F961,TblApplications[Action],"À décommissionner",TblApplications[Mois lib (calc)],"&lt;="&amp;$E961)))))</f>
        <v/>
      </c>
      <c r="Y961" s="14" t="str">
        <f aca="false">IF($D961&lt;&gt;1,"",IF($G961="ROKS",$S961,IF($AI961=1,0,MAX($O961,$M961-SUMIFS(TblApplications[RAM IKS libérable (Go)],TblApplications[Cluster IKS source],$F961,TblApplications[Action],"À migrer",TblApplications[Mois prov (calc)],"&lt;="&amp;$E961)-SUMIFS(TblApplications[RAM IKS libérable (Go)],TblApplications[Cluster IKS source],$F961,TblApplications[Action],"À décommissionner",TblApplications[Mois lib (calc)],"&lt;="&amp;$E961)))))</f>
        <v/>
      </c>
      <c r="Z961" s="14" t="str">
        <f aca="false">IF($D961&lt;&gt;1,"",IF($AI961=1,0,MAX($J961,ROUNDUP(MAX($X961/$H961,$Y961/$I961),0))))</f>
        <v/>
      </c>
      <c r="AA961" s="84" t="str">
        <f aca="false">IF($D961&lt;&gt;1,"",IF(p_mode="Nœud",$Z961*$K961,$X961*IF($G961="IKS",p_iks_cpu,p_roks_cpu)+$Y961*IF($G961="IKS",p_iks_ram,p_roks_ram))*p_facteur)</f>
        <v/>
      </c>
      <c r="AB961" s="14" t="str">
        <f aca="false">IF($D961&lt;&gt;1,"",MAX($J961,ROUNDUP(MAX($L961/$H961,$M961/$I961),0)))</f>
        <v/>
      </c>
      <c r="AC961" s="84" t="str">
        <f aca="false">IF($D961&lt;&gt;1,"",IF(p_mode="Nœud",$AB961*$K961,$L961*IF($G961="IKS",p_iks_cpu,p_roks_cpu)+$M961*IF($G961="IKS",p_iks_ram,p_roks_ram))*p_facteur)</f>
        <v/>
      </c>
      <c r="AD961" s="14" t="str">
        <f aca="false">IF($D961&lt;&gt;1,"",IF(AND($G961="IKS",$AI961&lt;&gt;1,OR($L961-$P961&lt;$N961,$M961-$Q961&lt;$O961)),1,0))</f>
        <v/>
      </c>
      <c r="AE961" s="14" t="str">
        <f aca="false">IF($D961&lt;&gt;1,"",IF(AND($G961="ROKS",$T961&gt;p_maxworkers),1,0))</f>
        <v/>
      </c>
      <c r="AF961" s="14" t="str">
        <f aca="false">IF($D961&lt;&gt;1,"",IF(INDEX(TblClusters[Environnement],$B961)="","(vide)",INDEX(TblClusters[Environnement],$B961)))</f>
        <v/>
      </c>
      <c r="AG961" s="14" t="str">
        <f aca="false">IF($D961&lt;&gt;1,"",$R961+p_poidsram*$S961)</f>
        <v/>
      </c>
      <c r="AH961" s="14" t="str">
        <f aca="false">IF($D961&lt;&gt;1,"",IFERROR($W961/$AG961,0))</f>
        <v/>
      </c>
      <c r="AI961" s="14" t="str">
        <f aca="false">IF($D961&lt;&gt;1,"",IF(AND($G961="IKS",ISNUMBER(INDEX(TblClusters[Fermeture retenue],$B961))),IF($E961&gt;=INDEX(TblClusters[Fermeture retenue],$B961),1,0),0))</f>
        <v/>
      </c>
    </row>
    <row r="962" customFormat="false" ht="15" hidden="false" customHeight="false" outlineLevel="0" collapsed="false">
      <c r="A962" s="14" t="n">
        <v>957</v>
      </c>
      <c r="B962" s="14" t="n">
        <f aca="false">INT(($A962-1)/36)+1</f>
        <v>27</v>
      </c>
      <c r="C962" s="14" t="n">
        <f aca="false">MOD($A962-1,36)+1</f>
        <v>21</v>
      </c>
      <c r="D962" s="14" t="n">
        <f aca="false">IF($C962&gt;p_horizon,0,IFERROR(IF(AND(INDEX(TblClusters[Cluster],$B962)&lt;&gt;"",ISNUMBER(INDEX(TblClusters[CPU initial (vCPU)],$B962)),ISNUMBER(INDEX(TblClusters[CPU min (vCPU)],$B962)),OR(INDEX(TblClusters[Plateforme],$B962)="IKS",INDEX(TblClusters[Plateforme],$B962)="ROKS")),1,0),0))</f>
        <v>0</v>
      </c>
      <c r="E962" s="83" t="str">
        <f aca="false">IF($D962=1,EDATE(p_debut,$C962-1),"")</f>
        <v/>
      </c>
      <c r="F962" s="14" t="str">
        <f aca="false">IF($D962=1,INDEX(TblClusters[Cluster],$B962),"")</f>
        <v/>
      </c>
      <c r="G962" s="14" t="str">
        <f aca="false">IF($D962=1,INDEX(TblClusters[Plateforme],$B962),"")</f>
        <v/>
      </c>
      <c r="H962" s="14" t="str">
        <f aca="false">IF($D962=1,INDEX(TblClusters[vCPU par nœud],$B962),"")</f>
        <v/>
      </c>
      <c r="I962" s="14" t="str">
        <f aca="false">IF($D962=1,INDEX(TblClusters[RAM par nœud (Go)],$B962),"")</f>
        <v/>
      </c>
      <c r="J962" s="14" t="str">
        <f aca="false">IF($D962=1,INDEX(TblClusters[Workers min],$B962),"")</f>
        <v/>
      </c>
      <c r="K962" s="84" t="str">
        <f aca="false">IF($D962=1,INDEX(TblClusters[Tarif par nœud],$B962),"")</f>
        <v/>
      </c>
      <c r="L962" s="14" t="str">
        <f aca="false">IF($D962=1,INDEX(TblClusters[CPU initial (vCPU)],$B962),"")</f>
        <v/>
      </c>
      <c r="M962" s="14" t="str">
        <f aca="false">IF($D962=1,INDEX(TblClusters[RAM initiale (Go)],$B962),"")</f>
        <v/>
      </c>
      <c r="N962" s="14" t="str">
        <f aca="false">IF($D962=1,INDEX(TblClusters[CPU min (vCPU)],$B962),"")</f>
        <v/>
      </c>
      <c r="O962" s="14" t="str">
        <f aca="false">IF($D962=1,INDEX(TblClusters[RAM min (Go)],$B962),"")</f>
        <v/>
      </c>
      <c r="P962" s="14" t="str">
        <f aca="false">IF($D962&lt;&gt;1,"",IF($G962="ROKS",SUMIFS(TblApplications[Besoin ROKS CPU (vCPU)],TblApplications[Cluster ROKS cible],$F962,TblApplications[Action],"À migrer",TblApplications[Déjà incluse ROKS],"Non",TblApplications[Mois prov (calc)],"&lt;="&amp;$E962),SUMIFS(TblApplications[CPU IKS libérable (vCPU)],TblApplications[Cluster IKS source],$F962,TblApplications[Mois lib (calc)],"&lt;="&amp;$E962)))</f>
        <v/>
      </c>
      <c r="Q962" s="14" t="str">
        <f aca="false">IF($D962&lt;&gt;1,"",IF($G962="ROKS",SUMIFS(TblApplications[Besoin ROKS RAM (Go)],TblApplications[Cluster ROKS cible],$F962,TblApplications[Action],"À migrer",TblApplications[Déjà incluse ROKS],"Non",TblApplications[Mois prov (calc)],"&lt;="&amp;$E962),SUMIFS(TblApplications[RAM IKS libérable (Go)],TblApplications[Cluster IKS source],$F962,TblApplications[Mois lib (calc)],"&lt;="&amp;$E962)))</f>
        <v/>
      </c>
      <c r="R962" s="14" t="str">
        <f aca="false">IF($D962&lt;&gt;1,"",IF($G962="ROKS",$L962+$P962,IF($AI962=1,0,MAX($N962,$L962-$P962))))</f>
        <v/>
      </c>
      <c r="S962" s="14" t="str">
        <f aca="false">IF($D962&lt;&gt;1,"",IF($G962="ROKS",$M962+$Q962,IF($AI962=1,0,MAX($O962,$M962-$Q962))))</f>
        <v/>
      </c>
      <c r="T962" s="14" t="str">
        <f aca="false">IF($D962&lt;&gt;1,"",IF($AI962=1,0,MAX($J962,ROUNDUP(MAX($R962/$H962,$S962/$I962),0))))</f>
        <v/>
      </c>
      <c r="U962" s="14" t="str">
        <f aca="false">IF($D962&lt;&gt;1,"",IF(p_mode="Nœud",$T962*$H962,$R962))</f>
        <v/>
      </c>
      <c r="V962" s="14" t="str">
        <f aca="false">IF($D962&lt;&gt;1,"",IF(p_mode="Nœud",$T962*$I962,$S962))</f>
        <v/>
      </c>
      <c r="W962" s="84" t="str">
        <f aca="false">IF($D962&lt;&gt;1,"",IF(p_mode="Nœud",$T962*$K962,$R962*IF($G962="IKS",p_iks_cpu,p_roks_cpu)+$S962*IF($G962="IKS",p_iks_ram,p_roks_ram))*p_facteur)</f>
        <v/>
      </c>
      <c r="X962" s="14" t="str">
        <f aca="false">IF($D962&lt;&gt;1,"",IF($G962="ROKS",$R962,IF($AI962=1,0,MAX($N962,$L962-SUMIFS(TblApplications[CPU IKS libérable (vCPU)],TblApplications[Cluster IKS source],$F962,TblApplications[Action],"À migrer",TblApplications[Mois prov (calc)],"&lt;="&amp;$E962)-SUMIFS(TblApplications[CPU IKS libérable (vCPU)],TblApplications[Cluster IKS source],$F962,TblApplications[Action],"À décommissionner",TblApplications[Mois lib (calc)],"&lt;="&amp;$E962)))))</f>
        <v/>
      </c>
      <c r="Y962" s="14" t="str">
        <f aca="false">IF($D962&lt;&gt;1,"",IF($G962="ROKS",$S962,IF($AI962=1,0,MAX($O962,$M962-SUMIFS(TblApplications[RAM IKS libérable (Go)],TblApplications[Cluster IKS source],$F962,TblApplications[Action],"À migrer",TblApplications[Mois prov (calc)],"&lt;="&amp;$E962)-SUMIFS(TblApplications[RAM IKS libérable (Go)],TblApplications[Cluster IKS source],$F962,TblApplications[Action],"À décommissionner",TblApplications[Mois lib (calc)],"&lt;="&amp;$E962)))))</f>
        <v/>
      </c>
      <c r="Z962" s="14" t="str">
        <f aca="false">IF($D962&lt;&gt;1,"",IF($AI962=1,0,MAX($J962,ROUNDUP(MAX($X962/$H962,$Y962/$I962),0))))</f>
        <v/>
      </c>
      <c r="AA962" s="84" t="str">
        <f aca="false">IF($D962&lt;&gt;1,"",IF(p_mode="Nœud",$Z962*$K962,$X962*IF($G962="IKS",p_iks_cpu,p_roks_cpu)+$Y962*IF($G962="IKS",p_iks_ram,p_roks_ram))*p_facteur)</f>
        <v/>
      </c>
      <c r="AB962" s="14" t="str">
        <f aca="false">IF($D962&lt;&gt;1,"",MAX($J962,ROUNDUP(MAX($L962/$H962,$M962/$I962),0)))</f>
        <v/>
      </c>
      <c r="AC962" s="84" t="str">
        <f aca="false">IF($D962&lt;&gt;1,"",IF(p_mode="Nœud",$AB962*$K962,$L962*IF($G962="IKS",p_iks_cpu,p_roks_cpu)+$M962*IF($G962="IKS",p_iks_ram,p_roks_ram))*p_facteur)</f>
        <v/>
      </c>
      <c r="AD962" s="14" t="str">
        <f aca="false">IF($D962&lt;&gt;1,"",IF(AND($G962="IKS",$AI962&lt;&gt;1,OR($L962-$P962&lt;$N962,$M962-$Q962&lt;$O962)),1,0))</f>
        <v/>
      </c>
      <c r="AE962" s="14" t="str">
        <f aca="false">IF($D962&lt;&gt;1,"",IF(AND($G962="ROKS",$T962&gt;p_maxworkers),1,0))</f>
        <v/>
      </c>
      <c r="AF962" s="14" t="str">
        <f aca="false">IF($D962&lt;&gt;1,"",IF(INDEX(TblClusters[Environnement],$B962)="","(vide)",INDEX(TblClusters[Environnement],$B962)))</f>
        <v/>
      </c>
      <c r="AG962" s="14" t="str">
        <f aca="false">IF($D962&lt;&gt;1,"",$R962+p_poidsram*$S962)</f>
        <v/>
      </c>
      <c r="AH962" s="14" t="str">
        <f aca="false">IF($D962&lt;&gt;1,"",IFERROR($W962/$AG962,0))</f>
        <v/>
      </c>
      <c r="AI962" s="14" t="str">
        <f aca="false">IF($D962&lt;&gt;1,"",IF(AND($G962="IKS",ISNUMBER(INDEX(TblClusters[Fermeture retenue],$B962))),IF($E962&gt;=INDEX(TblClusters[Fermeture retenue],$B962),1,0),0))</f>
        <v/>
      </c>
    </row>
    <row r="963" customFormat="false" ht="15" hidden="false" customHeight="false" outlineLevel="0" collapsed="false">
      <c r="A963" s="14" t="n">
        <v>958</v>
      </c>
      <c r="B963" s="14" t="n">
        <f aca="false">INT(($A963-1)/36)+1</f>
        <v>27</v>
      </c>
      <c r="C963" s="14" t="n">
        <f aca="false">MOD($A963-1,36)+1</f>
        <v>22</v>
      </c>
      <c r="D963" s="14" t="n">
        <f aca="false">IF($C963&gt;p_horizon,0,IFERROR(IF(AND(INDEX(TblClusters[Cluster],$B963)&lt;&gt;"",ISNUMBER(INDEX(TblClusters[CPU initial (vCPU)],$B963)),ISNUMBER(INDEX(TblClusters[CPU min (vCPU)],$B963)),OR(INDEX(TblClusters[Plateforme],$B963)="IKS",INDEX(TblClusters[Plateforme],$B963)="ROKS")),1,0),0))</f>
        <v>0</v>
      </c>
      <c r="E963" s="83" t="str">
        <f aca="false">IF($D963=1,EDATE(p_debut,$C963-1),"")</f>
        <v/>
      </c>
      <c r="F963" s="14" t="str">
        <f aca="false">IF($D963=1,INDEX(TblClusters[Cluster],$B963),"")</f>
        <v/>
      </c>
      <c r="G963" s="14" t="str">
        <f aca="false">IF($D963=1,INDEX(TblClusters[Plateforme],$B963),"")</f>
        <v/>
      </c>
      <c r="H963" s="14" t="str">
        <f aca="false">IF($D963=1,INDEX(TblClusters[vCPU par nœud],$B963),"")</f>
        <v/>
      </c>
      <c r="I963" s="14" t="str">
        <f aca="false">IF($D963=1,INDEX(TblClusters[RAM par nœud (Go)],$B963),"")</f>
        <v/>
      </c>
      <c r="J963" s="14" t="str">
        <f aca="false">IF($D963=1,INDEX(TblClusters[Workers min],$B963),"")</f>
        <v/>
      </c>
      <c r="K963" s="84" t="str">
        <f aca="false">IF($D963=1,INDEX(TblClusters[Tarif par nœud],$B963),"")</f>
        <v/>
      </c>
      <c r="L963" s="14" t="str">
        <f aca="false">IF($D963=1,INDEX(TblClusters[CPU initial (vCPU)],$B963),"")</f>
        <v/>
      </c>
      <c r="M963" s="14" t="str">
        <f aca="false">IF($D963=1,INDEX(TblClusters[RAM initiale (Go)],$B963),"")</f>
        <v/>
      </c>
      <c r="N963" s="14" t="str">
        <f aca="false">IF($D963=1,INDEX(TblClusters[CPU min (vCPU)],$B963),"")</f>
        <v/>
      </c>
      <c r="O963" s="14" t="str">
        <f aca="false">IF($D963=1,INDEX(TblClusters[RAM min (Go)],$B963),"")</f>
        <v/>
      </c>
      <c r="P963" s="14" t="str">
        <f aca="false">IF($D963&lt;&gt;1,"",IF($G963="ROKS",SUMIFS(TblApplications[Besoin ROKS CPU (vCPU)],TblApplications[Cluster ROKS cible],$F963,TblApplications[Action],"À migrer",TblApplications[Déjà incluse ROKS],"Non",TblApplications[Mois prov (calc)],"&lt;="&amp;$E963),SUMIFS(TblApplications[CPU IKS libérable (vCPU)],TblApplications[Cluster IKS source],$F963,TblApplications[Mois lib (calc)],"&lt;="&amp;$E963)))</f>
        <v/>
      </c>
      <c r="Q963" s="14" t="str">
        <f aca="false">IF($D963&lt;&gt;1,"",IF($G963="ROKS",SUMIFS(TblApplications[Besoin ROKS RAM (Go)],TblApplications[Cluster ROKS cible],$F963,TblApplications[Action],"À migrer",TblApplications[Déjà incluse ROKS],"Non",TblApplications[Mois prov (calc)],"&lt;="&amp;$E963),SUMIFS(TblApplications[RAM IKS libérable (Go)],TblApplications[Cluster IKS source],$F963,TblApplications[Mois lib (calc)],"&lt;="&amp;$E963)))</f>
        <v/>
      </c>
      <c r="R963" s="14" t="str">
        <f aca="false">IF($D963&lt;&gt;1,"",IF($G963="ROKS",$L963+$P963,IF($AI963=1,0,MAX($N963,$L963-$P963))))</f>
        <v/>
      </c>
      <c r="S963" s="14" t="str">
        <f aca="false">IF($D963&lt;&gt;1,"",IF($G963="ROKS",$M963+$Q963,IF($AI963=1,0,MAX($O963,$M963-$Q963))))</f>
        <v/>
      </c>
      <c r="T963" s="14" t="str">
        <f aca="false">IF($D963&lt;&gt;1,"",IF($AI963=1,0,MAX($J963,ROUNDUP(MAX($R963/$H963,$S963/$I963),0))))</f>
        <v/>
      </c>
      <c r="U963" s="14" t="str">
        <f aca="false">IF($D963&lt;&gt;1,"",IF(p_mode="Nœud",$T963*$H963,$R963))</f>
        <v/>
      </c>
      <c r="V963" s="14" t="str">
        <f aca="false">IF($D963&lt;&gt;1,"",IF(p_mode="Nœud",$T963*$I963,$S963))</f>
        <v/>
      </c>
      <c r="W963" s="84" t="str">
        <f aca="false">IF($D963&lt;&gt;1,"",IF(p_mode="Nœud",$T963*$K963,$R963*IF($G963="IKS",p_iks_cpu,p_roks_cpu)+$S963*IF($G963="IKS",p_iks_ram,p_roks_ram))*p_facteur)</f>
        <v/>
      </c>
      <c r="X963" s="14" t="str">
        <f aca="false">IF($D963&lt;&gt;1,"",IF($G963="ROKS",$R963,IF($AI963=1,0,MAX($N963,$L963-SUMIFS(TblApplications[CPU IKS libérable (vCPU)],TblApplications[Cluster IKS source],$F963,TblApplications[Action],"À migrer",TblApplications[Mois prov (calc)],"&lt;="&amp;$E963)-SUMIFS(TblApplications[CPU IKS libérable (vCPU)],TblApplications[Cluster IKS source],$F963,TblApplications[Action],"À décommissionner",TblApplications[Mois lib (calc)],"&lt;="&amp;$E963)))))</f>
        <v/>
      </c>
      <c r="Y963" s="14" t="str">
        <f aca="false">IF($D963&lt;&gt;1,"",IF($G963="ROKS",$S963,IF($AI963=1,0,MAX($O963,$M963-SUMIFS(TblApplications[RAM IKS libérable (Go)],TblApplications[Cluster IKS source],$F963,TblApplications[Action],"À migrer",TblApplications[Mois prov (calc)],"&lt;="&amp;$E963)-SUMIFS(TblApplications[RAM IKS libérable (Go)],TblApplications[Cluster IKS source],$F963,TblApplications[Action],"À décommissionner",TblApplications[Mois lib (calc)],"&lt;="&amp;$E963)))))</f>
        <v/>
      </c>
      <c r="Z963" s="14" t="str">
        <f aca="false">IF($D963&lt;&gt;1,"",IF($AI963=1,0,MAX($J963,ROUNDUP(MAX($X963/$H963,$Y963/$I963),0))))</f>
        <v/>
      </c>
      <c r="AA963" s="84" t="str">
        <f aca="false">IF($D963&lt;&gt;1,"",IF(p_mode="Nœud",$Z963*$K963,$X963*IF($G963="IKS",p_iks_cpu,p_roks_cpu)+$Y963*IF($G963="IKS",p_iks_ram,p_roks_ram))*p_facteur)</f>
        <v/>
      </c>
      <c r="AB963" s="14" t="str">
        <f aca="false">IF($D963&lt;&gt;1,"",MAX($J963,ROUNDUP(MAX($L963/$H963,$M963/$I963),0)))</f>
        <v/>
      </c>
      <c r="AC963" s="84" t="str">
        <f aca="false">IF($D963&lt;&gt;1,"",IF(p_mode="Nœud",$AB963*$K963,$L963*IF($G963="IKS",p_iks_cpu,p_roks_cpu)+$M963*IF($G963="IKS",p_iks_ram,p_roks_ram))*p_facteur)</f>
        <v/>
      </c>
      <c r="AD963" s="14" t="str">
        <f aca="false">IF($D963&lt;&gt;1,"",IF(AND($G963="IKS",$AI963&lt;&gt;1,OR($L963-$P963&lt;$N963,$M963-$Q963&lt;$O963)),1,0))</f>
        <v/>
      </c>
      <c r="AE963" s="14" t="str">
        <f aca="false">IF($D963&lt;&gt;1,"",IF(AND($G963="ROKS",$T963&gt;p_maxworkers),1,0))</f>
        <v/>
      </c>
      <c r="AF963" s="14" t="str">
        <f aca="false">IF($D963&lt;&gt;1,"",IF(INDEX(TblClusters[Environnement],$B963)="","(vide)",INDEX(TblClusters[Environnement],$B963)))</f>
        <v/>
      </c>
      <c r="AG963" s="14" t="str">
        <f aca="false">IF($D963&lt;&gt;1,"",$R963+p_poidsram*$S963)</f>
        <v/>
      </c>
      <c r="AH963" s="14" t="str">
        <f aca="false">IF($D963&lt;&gt;1,"",IFERROR($W963/$AG963,0))</f>
        <v/>
      </c>
      <c r="AI963" s="14" t="str">
        <f aca="false">IF($D963&lt;&gt;1,"",IF(AND($G963="IKS",ISNUMBER(INDEX(TblClusters[Fermeture retenue],$B963))),IF($E963&gt;=INDEX(TblClusters[Fermeture retenue],$B963),1,0),0))</f>
        <v/>
      </c>
    </row>
    <row r="964" customFormat="false" ht="15" hidden="false" customHeight="false" outlineLevel="0" collapsed="false">
      <c r="A964" s="14" t="n">
        <v>959</v>
      </c>
      <c r="B964" s="14" t="n">
        <f aca="false">INT(($A964-1)/36)+1</f>
        <v>27</v>
      </c>
      <c r="C964" s="14" t="n">
        <f aca="false">MOD($A964-1,36)+1</f>
        <v>23</v>
      </c>
      <c r="D964" s="14" t="n">
        <f aca="false">IF($C964&gt;p_horizon,0,IFERROR(IF(AND(INDEX(TblClusters[Cluster],$B964)&lt;&gt;"",ISNUMBER(INDEX(TblClusters[CPU initial (vCPU)],$B964)),ISNUMBER(INDEX(TblClusters[CPU min (vCPU)],$B964)),OR(INDEX(TblClusters[Plateforme],$B964)="IKS",INDEX(TblClusters[Plateforme],$B964)="ROKS")),1,0),0))</f>
        <v>0</v>
      </c>
      <c r="E964" s="83" t="str">
        <f aca="false">IF($D964=1,EDATE(p_debut,$C964-1),"")</f>
        <v/>
      </c>
      <c r="F964" s="14" t="str">
        <f aca="false">IF($D964=1,INDEX(TblClusters[Cluster],$B964),"")</f>
        <v/>
      </c>
      <c r="G964" s="14" t="str">
        <f aca="false">IF($D964=1,INDEX(TblClusters[Plateforme],$B964),"")</f>
        <v/>
      </c>
      <c r="H964" s="14" t="str">
        <f aca="false">IF($D964=1,INDEX(TblClusters[vCPU par nœud],$B964),"")</f>
        <v/>
      </c>
      <c r="I964" s="14" t="str">
        <f aca="false">IF($D964=1,INDEX(TblClusters[RAM par nœud (Go)],$B964),"")</f>
        <v/>
      </c>
      <c r="J964" s="14" t="str">
        <f aca="false">IF($D964=1,INDEX(TblClusters[Workers min],$B964),"")</f>
        <v/>
      </c>
      <c r="K964" s="84" t="str">
        <f aca="false">IF($D964=1,INDEX(TblClusters[Tarif par nœud],$B964),"")</f>
        <v/>
      </c>
      <c r="L964" s="14" t="str">
        <f aca="false">IF($D964=1,INDEX(TblClusters[CPU initial (vCPU)],$B964),"")</f>
        <v/>
      </c>
      <c r="M964" s="14" t="str">
        <f aca="false">IF($D964=1,INDEX(TblClusters[RAM initiale (Go)],$B964),"")</f>
        <v/>
      </c>
      <c r="N964" s="14" t="str">
        <f aca="false">IF($D964=1,INDEX(TblClusters[CPU min (vCPU)],$B964),"")</f>
        <v/>
      </c>
      <c r="O964" s="14" t="str">
        <f aca="false">IF($D964=1,INDEX(TblClusters[RAM min (Go)],$B964),"")</f>
        <v/>
      </c>
      <c r="P964" s="14" t="str">
        <f aca="false">IF($D964&lt;&gt;1,"",IF($G964="ROKS",SUMIFS(TblApplications[Besoin ROKS CPU (vCPU)],TblApplications[Cluster ROKS cible],$F964,TblApplications[Action],"À migrer",TblApplications[Déjà incluse ROKS],"Non",TblApplications[Mois prov (calc)],"&lt;="&amp;$E964),SUMIFS(TblApplications[CPU IKS libérable (vCPU)],TblApplications[Cluster IKS source],$F964,TblApplications[Mois lib (calc)],"&lt;="&amp;$E964)))</f>
        <v/>
      </c>
      <c r="Q964" s="14" t="str">
        <f aca="false">IF($D964&lt;&gt;1,"",IF($G964="ROKS",SUMIFS(TblApplications[Besoin ROKS RAM (Go)],TblApplications[Cluster ROKS cible],$F964,TblApplications[Action],"À migrer",TblApplications[Déjà incluse ROKS],"Non",TblApplications[Mois prov (calc)],"&lt;="&amp;$E964),SUMIFS(TblApplications[RAM IKS libérable (Go)],TblApplications[Cluster IKS source],$F964,TblApplications[Mois lib (calc)],"&lt;="&amp;$E964)))</f>
        <v/>
      </c>
      <c r="R964" s="14" t="str">
        <f aca="false">IF($D964&lt;&gt;1,"",IF($G964="ROKS",$L964+$P964,IF($AI964=1,0,MAX($N964,$L964-$P964))))</f>
        <v/>
      </c>
      <c r="S964" s="14" t="str">
        <f aca="false">IF($D964&lt;&gt;1,"",IF($G964="ROKS",$M964+$Q964,IF($AI964=1,0,MAX($O964,$M964-$Q964))))</f>
        <v/>
      </c>
      <c r="T964" s="14" t="str">
        <f aca="false">IF($D964&lt;&gt;1,"",IF($AI964=1,0,MAX($J964,ROUNDUP(MAX($R964/$H964,$S964/$I964),0))))</f>
        <v/>
      </c>
      <c r="U964" s="14" t="str">
        <f aca="false">IF($D964&lt;&gt;1,"",IF(p_mode="Nœud",$T964*$H964,$R964))</f>
        <v/>
      </c>
      <c r="V964" s="14" t="str">
        <f aca="false">IF($D964&lt;&gt;1,"",IF(p_mode="Nœud",$T964*$I964,$S964))</f>
        <v/>
      </c>
      <c r="W964" s="84" t="str">
        <f aca="false">IF($D964&lt;&gt;1,"",IF(p_mode="Nœud",$T964*$K964,$R964*IF($G964="IKS",p_iks_cpu,p_roks_cpu)+$S964*IF($G964="IKS",p_iks_ram,p_roks_ram))*p_facteur)</f>
        <v/>
      </c>
      <c r="X964" s="14" t="str">
        <f aca="false">IF($D964&lt;&gt;1,"",IF($G964="ROKS",$R964,IF($AI964=1,0,MAX($N964,$L964-SUMIFS(TblApplications[CPU IKS libérable (vCPU)],TblApplications[Cluster IKS source],$F964,TblApplications[Action],"À migrer",TblApplications[Mois prov (calc)],"&lt;="&amp;$E964)-SUMIFS(TblApplications[CPU IKS libérable (vCPU)],TblApplications[Cluster IKS source],$F964,TblApplications[Action],"À décommissionner",TblApplications[Mois lib (calc)],"&lt;="&amp;$E964)))))</f>
        <v/>
      </c>
      <c r="Y964" s="14" t="str">
        <f aca="false">IF($D964&lt;&gt;1,"",IF($G964="ROKS",$S964,IF($AI964=1,0,MAX($O964,$M964-SUMIFS(TblApplications[RAM IKS libérable (Go)],TblApplications[Cluster IKS source],$F964,TblApplications[Action],"À migrer",TblApplications[Mois prov (calc)],"&lt;="&amp;$E964)-SUMIFS(TblApplications[RAM IKS libérable (Go)],TblApplications[Cluster IKS source],$F964,TblApplications[Action],"À décommissionner",TblApplications[Mois lib (calc)],"&lt;="&amp;$E964)))))</f>
        <v/>
      </c>
      <c r="Z964" s="14" t="str">
        <f aca="false">IF($D964&lt;&gt;1,"",IF($AI964=1,0,MAX($J964,ROUNDUP(MAX($X964/$H964,$Y964/$I964),0))))</f>
        <v/>
      </c>
      <c r="AA964" s="84" t="str">
        <f aca="false">IF($D964&lt;&gt;1,"",IF(p_mode="Nœud",$Z964*$K964,$X964*IF($G964="IKS",p_iks_cpu,p_roks_cpu)+$Y964*IF($G964="IKS",p_iks_ram,p_roks_ram))*p_facteur)</f>
        <v/>
      </c>
      <c r="AB964" s="14" t="str">
        <f aca="false">IF($D964&lt;&gt;1,"",MAX($J964,ROUNDUP(MAX($L964/$H964,$M964/$I964),0)))</f>
        <v/>
      </c>
      <c r="AC964" s="84" t="str">
        <f aca="false">IF($D964&lt;&gt;1,"",IF(p_mode="Nœud",$AB964*$K964,$L964*IF($G964="IKS",p_iks_cpu,p_roks_cpu)+$M964*IF($G964="IKS",p_iks_ram,p_roks_ram))*p_facteur)</f>
        <v/>
      </c>
      <c r="AD964" s="14" t="str">
        <f aca="false">IF($D964&lt;&gt;1,"",IF(AND($G964="IKS",$AI964&lt;&gt;1,OR($L964-$P964&lt;$N964,$M964-$Q964&lt;$O964)),1,0))</f>
        <v/>
      </c>
      <c r="AE964" s="14" t="str">
        <f aca="false">IF($D964&lt;&gt;1,"",IF(AND($G964="ROKS",$T964&gt;p_maxworkers),1,0))</f>
        <v/>
      </c>
      <c r="AF964" s="14" t="str">
        <f aca="false">IF($D964&lt;&gt;1,"",IF(INDEX(TblClusters[Environnement],$B964)="","(vide)",INDEX(TblClusters[Environnement],$B964)))</f>
        <v/>
      </c>
      <c r="AG964" s="14" t="str">
        <f aca="false">IF($D964&lt;&gt;1,"",$R964+p_poidsram*$S964)</f>
        <v/>
      </c>
      <c r="AH964" s="14" t="str">
        <f aca="false">IF($D964&lt;&gt;1,"",IFERROR($W964/$AG964,0))</f>
        <v/>
      </c>
      <c r="AI964" s="14" t="str">
        <f aca="false">IF($D964&lt;&gt;1,"",IF(AND($G964="IKS",ISNUMBER(INDEX(TblClusters[Fermeture retenue],$B964))),IF($E964&gt;=INDEX(TblClusters[Fermeture retenue],$B964),1,0),0))</f>
        <v/>
      </c>
    </row>
    <row r="965" customFormat="false" ht="15" hidden="false" customHeight="false" outlineLevel="0" collapsed="false">
      <c r="A965" s="14" t="n">
        <v>960</v>
      </c>
      <c r="B965" s="14" t="n">
        <f aca="false">INT(($A965-1)/36)+1</f>
        <v>27</v>
      </c>
      <c r="C965" s="14" t="n">
        <f aca="false">MOD($A965-1,36)+1</f>
        <v>24</v>
      </c>
      <c r="D965" s="14" t="n">
        <f aca="false">IF($C965&gt;p_horizon,0,IFERROR(IF(AND(INDEX(TblClusters[Cluster],$B965)&lt;&gt;"",ISNUMBER(INDEX(TblClusters[CPU initial (vCPU)],$B965)),ISNUMBER(INDEX(TblClusters[CPU min (vCPU)],$B965)),OR(INDEX(TblClusters[Plateforme],$B965)="IKS",INDEX(TblClusters[Plateforme],$B965)="ROKS")),1,0),0))</f>
        <v>0</v>
      </c>
      <c r="E965" s="83" t="str">
        <f aca="false">IF($D965=1,EDATE(p_debut,$C965-1),"")</f>
        <v/>
      </c>
      <c r="F965" s="14" t="str">
        <f aca="false">IF($D965=1,INDEX(TblClusters[Cluster],$B965),"")</f>
        <v/>
      </c>
      <c r="G965" s="14" t="str">
        <f aca="false">IF($D965=1,INDEX(TblClusters[Plateforme],$B965),"")</f>
        <v/>
      </c>
      <c r="H965" s="14" t="str">
        <f aca="false">IF($D965=1,INDEX(TblClusters[vCPU par nœud],$B965),"")</f>
        <v/>
      </c>
      <c r="I965" s="14" t="str">
        <f aca="false">IF($D965=1,INDEX(TblClusters[RAM par nœud (Go)],$B965),"")</f>
        <v/>
      </c>
      <c r="J965" s="14" t="str">
        <f aca="false">IF($D965=1,INDEX(TblClusters[Workers min],$B965),"")</f>
        <v/>
      </c>
      <c r="K965" s="84" t="str">
        <f aca="false">IF($D965=1,INDEX(TblClusters[Tarif par nœud],$B965),"")</f>
        <v/>
      </c>
      <c r="L965" s="14" t="str">
        <f aca="false">IF($D965=1,INDEX(TblClusters[CPU initial (vCPU)],$B965),"")</f>
        <v/>
      </c>
      <c r="M965" s="14" t="str">
        <f aca="false">IF($D965=1,INDEX(TblClusters[RAM initiale (Go)],$B965),"")</f>
        <v/>
      </c>
      <c r="N965" s="14" t="str">
        <f aca="false">IF($D965=1,INDEX(TblClusters[CPU min (vCPU)],$B965),"")</f>
        <v/>
      </c>
      <c r="O965" s="14" t="str">
        <f aca="false">IF($D965=1,INDEX(TblClusters[RAM min (Go)],$B965),"")</f>
        <v/>
      </c>
      <c r="P965" s="14" t="str">
        <f aca="false">IF($D965&lt;&gt;1,"",IF($G965="ROKS",SUMIFS(TblApplications[Besoin ROKS CPU (vCPU)],TblApplications[Cluster ROKS cible],$F965,TblApplications[Action],"À migrer",TblApplications[Déjà incluse ROKS],"Non",TblApplications[Mois prov (calc)],"&lt;="&amp;$E965),SUMIFS(TblApplications[CPU IKS libérable (vCPU)],TblApplications[Cluster IKS source],$F965,TblApplications[Mois lib (calc)],"&lt;="&amp;$E965)))</f>
        <v/>
      </c>
      <c r="Q965" s="14" t="str">
        <f aca="false">IF($D965&lt;&gt;1,"",IF($G965="ROKS",SUMIFS(TblApplications[Besoin ROKS RAM (Go)],TblApplications[Cluster ROKS cible],$F965,TblApplications[Action],"À migrer",TblApplications[Déjà incluse ROKS],"Non",TblApplications[Mois prov (calc)],"&lt;="&amp;$E965),SUMIFS(TblApplications[RAM IKS libérable (Go)],TblApplications[Cluster IKS source],$F965,TblApplications[Mois lib (calc)],"&lt;="&amp;$E965)))</f>
        <v/>
      </c>
      <c r="R965" s="14" t="str">
        <f aca="false">IF($D965&lt;&gt;1,"",IF($G965="ROKS",$L965+$P965,IF($AI965=1,0,MAX($N965,$L965-$P965))))</f>
        <v/>
      </c>
      <c r="S965" s="14" t="str">
        <f aca="false">IF($D965&lt;&gt;1,"",IF($G965="ROKS",$M965+$Q965,IF($AI965=1,0,MAX($O965,$M965-$Q965))))</f>
        <v/>
      </c>
      <c r="T965" s="14" t="str">
        <f aca="false">IF($D965&lt;&gt;1,"",IF($AI965=1,0,MAX($J965,ROUNDUP(MAX($R965/$H965,$S965/$I965),0))))</f>
        <v/>
      </c>
      <c r="U965" s="14" t="str">
        <f aca="false">IF($D965&lt;&gt;1,"",IF(p_mode="Nœud",$T965*$H965,$R965))</f>
        <v/>
      </c>
      <c r="V965" s="14" t="str">
        <f aca="false">IF($D965&lt;&gt;1,"",IF(p_mode="Nœud",$T965*$I965,$S965))</f>
        <v/>
      </c>
      <c r="W965" s="84" t="str">
        <f aca="false">IF($D965&lt;&gt;1,"",IF(p_mode="Nœud",$T965*$K965,$R965*IF($G965="IKS",p_iks_cpu,p_roks_cpu)+$S965*IF($G965="IKS",p_iks_ram,p_roks_ram))*p_facteur)</f>
        <v/>
      </c>
      <c r="X965" s="14" t="str">
        <f aca="false">IF($D965&lt;&gt;1,"",IF($G965="ROKS",$R965,IF($AI965=1,0,MAX($N965,$L965-SUMIFS(TblApplications[CPU IKS libérable (vCPU)],TblApplications[Cluster IKS source],$F965,TblApplications[Action],"À migrer",TblApplications[Mois prov (calc)],"&lt;="&amp;$E965)-SUMIFS(TblApplications[CPU IKS libérable (vCPU)],TblApplications[Cluster IKS source],$F965,TblApplications[Action],"À décommissionner",TblApplications[Mois lib (calc)],"&lt;="&amp;$E965)))))</f>
        <v/>
      </c>
      <c r="Y965" s="14" t="str">
        <f aca="false">IF($D965&lt;&gt;1,"",IF($G965="ROKS",$S965,IF($AI965=1,0,MAX($O965,$M965-SUMIFS(TblApplications[RAM IKS libérable (Go)],TblApplications[Cluster IKS source],$F965,TblApplications[Action],"À migrer",TblApplications[Mois prov (calc)],"&lt;="&amp;$E965)-SUMIFS(TblApplications[RAM IKS libérable (Go)],TblApplications[Cluster IKS source],$F965,TblApplications[Action],"À décommissionner",TblApplications[Mois lib (calc)],"&lt;="&amp;$E965)))))</f>
        <v/>
      </c>
      <c r="Z965" s="14" t="str">
        <f aca="false">IF($D965&lt;&gt;1,"",IF($AI965=1,0,MAX($J965,ROUNDUP(MAX($X965/$H965,$Y965/$I965),0))))</f>
        <v/>
      </c>
      <c r="AA965" s="84" t="str">
        <f aca="false">IF($D965&lt;&gt;1,"",IF(p_mode="Nœud",$Z965*$K965,$X965*IF($G965="IKS",p_iks_cpu,p_roks_cpu)+$Y965*IF($G965="IKS",p_iks_ram,p_roks_ram))*p_facteur)</f>
        <v/>
      </c>
      <c r="AB965" s="14" t="str">
        <f aca="false">IF($D965&lt;&gt;1,"",MAX($J965,ROUNDUP(MAX($L965/$H965,$M965/$I965),0)))</f>
        <v/>
      </c>
      <c r="AC965" s="84" t="str">
        <f aca="false">IF($D965&lt;&gt;1,"",IF(p_mode="Nœud",$AB965*$K965,$L965*IF($G965="IKS",p_iks_cpu,p_roks_cpu)+$M965*IF($G965="IKS",p_iks_ram,p_roks_ram))*p_facteur)</f>
        <v/>
      </c>
      <c r="AD965" s="14" t="str">
        <f aca="false">IF($D965&lt;&gt;1,"",IF(AND($G965="IKS",$AI965&lt;&gt;1,OR($L965-$P965&lt;$N965,$M965-$Q965&lt;$O965)),1,0))</f>
        <v/>
      </c>
      <c r="AE965" s="14" t="str">
        <f aca="false">IF($D965&lt;&gt;1,"",IF(AND($G965="ROKS",$T965&gt;p_maxworkers),1,0))</f>
        <v/>
      </c>
      <c r="AF965" s="14" t="str">
        <f aca="false">IF($D965&lt;&gt;1,"",IF(INDEX(TblClusters[Environnement],$B965)="","(vide)",INDEX(TblClusters[Environnement],$B965)))</f>
        <v/>
      </c>
      <c r="AG965" s="14" t="str">
        <f aca="false">IF($D965&lt;&gt;1,"",$R965+p_poidsram*$S965)</f>
        <v/>
      </c>
      <c r="AH965" s="14" t="str">
        <f aca="false">IF($D965&lt;&gt;1,"",IFERROR($W965/$AG965,0))</f>
        <v/>
      </c>
      <c r="AI965" s="14" t="str">
        <f aca="false">IF($D965&lt;&gt;1,"",IF(AND($G965="IKS",ISNUMBER(INDEX(TblClusters[Fermeture retenue],$B965))),IF($E965&gt;=INDEX(TblClusters[Fermeture retenue],$B965),1,0),0))</f>
        <v/>
      </c>
    </row>
    <row r="966" customFormat="false" ht="15" hidden="false" customHeight="false" outlineLevel="0" collapsed="false">
      <c r="A966" s="14" t="n">
        <v>961</v>
      </c>
      <c r="B966" s="14" t="n">
        <f aca="false">INT(($A966-1)/36)+1</f>
        <v>27</v>
      </c>
      <c r="C966" s="14" t="n">
        <f aca="false">MOD($A966-1,36)+1</f>
        <v>25</v>
      </c>
      <c r="D966" s="14" t="n">
        <f aca="false">IF($C966&gt;p_horizon,0,IFERROR(IF(AND(INDEX(TblClusters[Cluster],$B966)&lt;&gt;"",ISNUMBER(INDEX(TblClusters[CPU initial (vCPU)],$B966)),ISNUMBER(INDEX(TblClusters[CPU min (vCPU)],$B966)),OR(INDEX(TblClusters[Plateforme],$B966)="IKS",INDEX(TblClusters[Plateforme],$B966)="ROKS")),1,0),0))</f>
        <v>0</v>
      </c>
      <c r="E966" s="83" t="str">
        <f aca="false">IF($D966=1,EDATE(p_debut,$C966-1),"")</f>
        <v/>
      </c>
      <c r="F966" s="14" t="str">
        <f aca="false">IF($D966=1,INDEX(TblClusters[Cluster],$B966),"")</f>
        <v/>
      </c>
      <c r="G966" s="14" t="str">
        <f aca="false">IF($D966=1,INDEX(TblClusters[Plateforme],$B966),"")</f>
        <v/>
      </c>
      <c r="H966" s="14" t="str">
        <f aca="false">IF($D966=1,INDEX(TblClusters[vCPU par nœud],$B966),"")</f>
        <v/>
      </c>
      <c r="I966" s="14" t="str">
        <f aca="false">IF($D966=1,INDEX(TblClusters[RAM par nœud (Go)],$B966),"")</f>
        <v/>
      </c>
      <c r="J966" s="14" t="str">
        <f aca="false">IF($D966=1,INDEX(TblClusters[Workers min],$B966),"")</f>
        <v/>
      </c>
      <c r="K966" s="84" t="str">
        <f aca="false">IF($D966=1,INDEX(TblClusters[Tarif par nœud],$B966),"")</f>
        <v/>
      </c>
      <c r="L966" s="14" t="str">
        <f aca="false">IF($D966=1,INDEX(TblClusters[CPU initial (vCPU)],$B966),"")</f>
        <v/>
      </c>
      <c r="M966" s="14" t="str">
        <f aca="false">IF($D966=1,INDEX(TblClusters[RAM initiale (Go)],$B966),"")</f>
        <v/>
      </c>
      <c r="N966" s="14" t="str">
        <f aca="false">IF($D966=1,INDEX(TblClusters[CPU min (vCPU)],$B966),"")</f>
        <v/>
      </c>
      <c r="O966" s="14" t="str">
        <f aca="false">IF($D966=1,INDEX(TblClusters[RAM min (Go)],$B966),"")</f>
        <v/>
      </c>
      <c r="P966" s="14" t="str">
        <f aca="false">IF($D966&lt;&gt;1,"",IF($G966="ROKS",SUMIFS(TblApplications[Besoin ROKS CPU (vCPU)],TblApplications[Cluster ROKS cible],$F966,TblApplications[Action],"À migrer",TblApplications[Déjà incluse ROKS],"Non",TblApplications[Mois prov (calc)],"&lt;="&amp;$E966),SUMIFS(TblApplications[CPU IKS libérable (vCPU)],TblApplications[Cluster IKS source],$F966,TblApplications[Mois lib (calc)],"&lt;="&amp;$E966)))</f>
        <v/>
      </c>
      <c r="Q966" s="14" t="str">
        <f aca="false">IF($D966&lt;&gt;1,"",IF($G966="ROKS",SUMIFS(TblApplications[Besoin ROKS RAM (Go)],TblApplications[Cluster ROKS cible],$F966,TblApplications[Action],"À migrer",TblApplications[Déjà incluse ROKS],"Non",TblApplications[Mois prov (calc)],"&lt;="&amp;$E966),SUMIFS(TblApplications[RAM IKS libérable (Go)],TblApplications[Cluster IKS source],$F966,TblApplications[Mois lib (calc)],"&lt;="&amp;$E966)))</f>
        <v/>
      </c>
      <c r="R966" s="14" t="str">
        <f aca="false">IF($D966&lt;&gt;1,"",IF($G966="ROKS",$L966+$P966,IF($AI966=1,0,MAX($N966,$L966-$P966))))</f>
        <v/>
      </c>
      <c r="S966" s="14" t="str">
        <f aca="false">IF($D966&lt;&gt;1,"",IF($G966="ROKS",$M966+$Q966,IF($AI966=1,0,MAX($O966,$M966-$Q966))))</f>
        <v/>
      </c>
      <c r="T966" s="14" t="str">
        <f aca="false">IF($D966&lt;&gt;1,"",IF($AI966=1,0,MAX($J966,ROUNDUP(MAX($R966/$H966,$S966/$I966),0))))</f>
        <v/>
      </c>
      <c r="U966" s="14" t="str">
        <f aca="false">IF($D966&lt;&gt;1,"",IF(p_mode="Nœud",$T966*$H966,$R966))</f>
        <v/>
      </c>
      <c r="V966" s="14" t="str">
        <f aca="false">IF($D966&lt;&gt;1,"",IF(p_mode="Nœud",$T966*$I966,$S966))</f>
        <v/>
      </c>
      <c r="W966" s="84" t="str">
        <f aca="false">IF($D966&lt;&gt;1,"",IF(p_mode="Nœud",$T966*$K966,$R966*IF($G966="IKS",p_iks_cpu,p_roks_cpu)+$S966*IF($G966="IKS",p_iks_ram,p_roks_ram))*p_facteur)</f>
        <v/>
      </c>
      <c r="X966" s="14" t="str">
        <f aca="false">IF($D966&lt;&gt;1,"",IF($G966="ROKS",$R966,IF($AI966=1,0,MAX($N966,$L966-SUMIFS(TblApplications[CPU IKS libérable (vCPU)],TblApplications[Cluster IKS source],$F966,TblApplications[Action],"À migrer",TblApplications[Mois prov (calc)],"&lt;="&amp;$E966)-SUMIFS(TblApplications[CPU IKS libérable (vCPU)],TblApplications[Cluster IKS source],$F966,TblApplications[Action],"À décommissionner",TblApplications[Mois lib (calc)],"&lt;="&amp;$E966)))))</f>
        <v/>
      </c>
      <c r="Y966" s="14" t="str">
        <f aca="false">IF($D966&lt;&gt;1,"",IF($G966="ROKS",$S966,IF($AI966=1,0,MAX($O966,$M966-SUMIFS(TblApplications[RAM IKS libérable (Go)],TblApplications[Cluster IKS source],$F966,TblApplications[Action],"À migrer",TblApplications[Mois prov (calc)],"&lt;="&amp;$E966)-SUMIFS(TblApplications[RAM IKS libérable (Go)],TblApplications[Cluster IKS source],$F966,TblApplications[Action],"À décommissionner",TblApplications[Mois lib (calc)],"&lt;="&amp;$E966)))))</f>
        <v/>
      </c>
      <c r="Z966" s="14" t="str">
        <f aca="false">IF($D966&lt;&gt;1,"",IF($AI966=1,0,MAX($J966,ROUNDUP(MAX($X966/$H966,$Y966/$I966),0))))</f>
        <v/>
      </c>
      <c r="AA966" s="84" t="str">
        <f aca="false">IF($D966&lt;&gt;1,"",IF(p_mode="Nœud",$Z966*$K966,$X966*IF($G966="IKS",p_iks_cpu,p_roks_cpu)+$Y966*IF($G966="IKS",p_iks_ram,p_roks_ram))*p_facteur)</f>
        <v/>
      </c>
      <c r="AB966" s="14" t="str">
        <f aca="false">IF($D966&lt;&gt;1,"",MAX($J966,ROUNDUP(MAX($L966/$H966,$M966/$I966),0)))</f>
        <v/>
      </c>
      <c r="AC966" s="84" t="str">
        <f aca="false">IF($D966&lt;&gt;1,"",IF(p_mode="Nœud",$AB966*$K966,$L966*IF($G966="IKS",p_iks_cpu,p_roks_cpu)+$M966*IF($G966="IKS",p_iks_ram,p_roks_ram))*p_facteur)</f>
        <v/>
      </c>
      <c r="AD966" s="14" t="str">
        <f aca="false">IF($D966&lt;&gt;1,"",IF(AND($G966="IKS",$AI966&lt;&gt;1,OR($L966-$P966&lt;$N966,$M966-$Q966&lt;$O966)),1,0))</f>
        <v/>
      </c>
      <c r="AE966" s="14" t="str">
        <f aca="false">IF($D966&lt;&gt;1,"",IF(AND($G966="ROKS",$T966&gt;p_maxworkers),1,0))</f>
        <v/>
      </c>
      <c r="AF966" s="14" t="str">
        <f aca="false">IF($D966&lt;&gt;1,"",IF(INDEX(TblClusters[Environnement],$B966)="","(vide)",INDEX(TblClusters[Environnement],$B966)))</f>
        <v/>
      </c>
      <c r="AG966" s="14" t="str">
        <f aca="false">IF($D966&lt;&gt;1,"",$R966+p_poidsram*$S966)</f>
        <v/>
      </c>
      <c r="AH966" s="14" t="str">
        <f aca="false">IF($D966&lt;&gt;1,"",IFERROR($W966/$AG966,0))</f>
        <v/>
      </c>
      <c r="AI966" s="14" t="str">
        <f aca="false">IF($D966&lt;&gt;1,"",IF(AND($G966="IKS",ISNUMBER(INDEX(TblClusters[Fermeture retenue],$B966))),IF($E966&gt;=INDEX(TblClusters[Fermeture retenue],$B966),1,0),0))</f>
        <v/>
      </c>
    </row>
    <row r="967" customFormat="false" ht="15" hidden="false" customHeight="false" outlineLevel="0" collapsed="false">
      <c r="A967" s="14" t="n">
        <v>962</v>
      </c>
      <c r="B967" s="14" t="n">
        <f aca="false">INT(($A967-1)/36)+1</f>
        <v>27</v>
      </c>
      <c r="C967" s="14" t="n">
        <f aca="false">MOD($A967-1,36)+1</f>
        <v>26</v>
      </c>
      <c r="D967" s="14" t="n">
        <f aca="false">IF($C967&gt;p_horizon,0,IFERROR(IF(AND(INDEX(TblClusters[Cluster],$B967)&lt;&gt;"",ISNUMBER(INDEX(TblClusters[CPU initial (vCPU)],$B967)),ISNUMBER(INDEX(TblClusters[CPU min (vCPU)],$B967)),OR(INDEX(TblClusters[Plateforme],$B967)="IKS",INDEX(TblClusters[Plateforme],$B967)="ROKS")),1,0),0))</f>
        <v>0</v>
      </c>
      <c r="E967" s="83" t="str">
        <f aca="false">IF($D967=1,EDATE(p_debut,$C967-1),"")</f>
        <v/>
      </c>
      <c r="F967" s="14" t="str">
        <f aca="false">IF($D967=1,INDEX(TblClusters[Cluster],$B967),"")</f>
        <v/>
      </c>
      <c r="G967" s="14" t="str">
        <f aca="false">IF($D967=1,INDEX(TblClusters[Plateforme],$B967),"")</f>
        <v/>
      </c>
      <c r="H967" s="14" t="str">
        <f aca="false">IF($D967=1,INDEX(TblClusters[vCPU par nœud],$B967),"")</f>
        <v/>
      </c>
      <c r="I967" s="14" t="str">
        <f aca="false">IF($D967=1,INDEX(TblClusters[RAM par nœud (Go)],$B967),"")</f>
        <v/>
      </c>
      <c r="J967" s="14" t="str">
        <f aca="false">IF($D967=1,INDEX(TblClusters[Workers min],$B967),"")</f>
        <v/>
      </c>
      <c r="K967" s="84" t="str">
        <f aca="false">IF($D967=1,INDEX(TblClusters[Tarif par nœud],$B967),"")</f>
        <v/>
      </c>
      <c r="L967" s="14" t="str">
        <f aca="false">IF($D967=1,INDEX(TblClusters[CPU initial (vCPU)],$B967),"")</f>
        <v/>
      </c>
      <c r="M967" s="14" t="str">
        <f aca="false">IF($D967=1,INDEX(TblClusters[RAM initiale (Go)],$B967),"")</f>
        <v/>
      </c>
      <c r="N967" s="14" t="str">
        <f aca="false">IF($D967=1,INDEX(TblClusters[CPU min (vCPU)],$B967),"")</f>
        <v/>
      </c>
      <c r="O967" s="14" t="str">
        <f aca="false">IF($D967=1,INDEX(TblClusters[RAM min (Go)],$B967),"")</f>
        <v/>
      </c>
      <c r="P967" s="14" t="str">
        <f aca="false">IF($D967&lt;&gt;1,"",IF($G967="ROKS",SUMIFS(TblApplications[Besoin ROKS CPU (vCPU)],TblApplications[Cluster ROKS cible],$F967,TblApplications[Action],"À migrer",TblApplications[Déjà incluse ROKS],"Non",TblApplications[Mois prov (calc)],"&lt;="&amp;$E967),SUMIFS(TblApplications[CPU IKS libérable (vCPU)],TblApplications[Cluster IKS source],$F967,TblApplications[Mois lib (calc)],"&lt;="&amp;$E967)))</f>
        <v/>
      </c>
      <c r="Q967" s="14" t="str">
        <f aca="false">IF($D967&lt;&gt;1,"",IF($G967="ROKS",SUMIFS(TblApplications[Besoin ROKS RAM (Go)],TblApplications[Cluster ROKS cible],$F967,TblApplications[Action],"À migrer",TblApplications[Déjà incluse ROKS],"Non",TblApplications[Mois prov (calc)],"&lt;="&amp;$E967),SUMIFS(TblApplications[RAM IKS libérable (Go)],TblApplications[Cluster IKS source],$F967,TblApplications[Mois lib (calc)],"&lt;="&amp;$E967)))</f>
        <v/>
      </c>
      <c r="R967" s="14" t="str">
        <f aca="false">IF($D967&lt;&gt;1,"",IF($G967="ROKS",$L967+$P967,IF($AI967=1,0,MAX($N967,$L967-$P967))))</f>
        <v/>
      </c>
      <c r="S967" s="14" t="str">
        <f aca="false">IF($D967&lt;&gt;1,"",IF($G967="ROKS",$M967+$Q967,IF($AI967=1,0,MAX($O967,$M967-$Q967))))</f>
        <v/>
      </c>
      <c r="T967" s="14" t="str">
        <f aca="false">IF($D967&lt;&gt;1,"",IF($AI967=1,0,MAX($J967,ROUNDUP(MAX($R967/$H967,$S967/$I967),0))))</f>
        <v/>
      </c>
      <c r="U967" s="14" t="str">
        <f aca="false">IF($D967&lt;&gt;1,"",IF(p_mode="Nœud",$T967*$H967,$R967))</f>
        <v/>
      </c>
      <c r="V967" s="14" t="str">
        <f aca="false">IF($D967&lt;&gt;1,"",IF(p_mode="Nœud",$T967*$I967,$S967))</f>
        <v/>
      </c>
      <c r="W967" s="84" t="str">
        <f aca="false">IF($D967&lt;&gt;1,"",IF(p_mode="Nœud",$T967*$K967,$R967*IF($G967="IKS",p_iks_cpu,p_roks_cpu)+$S967*IF($G967="IKS",p_iks_ram,p_roks_ram))*p_facteur)</f>
        <v/>
      </c>
      <c r="X967" s="14" t="str">
        <f aca="false">IF($D967&lt;&gt;1,"",IF($G967="ROKS",$R967,IF($AI967=1,0,MAX($N967,$L967-SUMIFS(TblApplications[CPU IKS libérable (vCPU)],TblApplications[Cluster IKS source],$F967,TblApplications[Action],"À migrer",TblApplications[Mois prov (calc)],"&lt;="&amp;$E967)-SUMIFS(TblApplications[CPU IKS libérable (vCPU)],TblApplications[Cluster IKS source],$F967,TblApplications[Action],"À décommissionner",TblApplications[Mois lib (calc)],"&lt;="&amp;$E967)))))</f>
        <v/>
      </c>
      <c r="Y967" s="14" t="str">
        <f aca="false">IF($D967&lt;&gt;1,"",IF($G967="ROKS",$S967,IF($AI967=1,0,MAX($O967,$M967-SUMIFS(TblApplications[RAM IKS libérable (Go)],TblApplications[Cluster IKS source],$F967,TblApplications[Action],"À migrer",TblApplications[Mois prov (calc)],"&lt;="&amp;$E967)-SUMIFS(TblApplications[RAM IKS libérable (Go)],TblApplications[Cluster IKS source],$F967,TblApplications[Action],"À décommissionner",TblApplications[Mois lib (calc)],"&lt;="&amp;$E967)))))</f>
        <v/>
      </c>
      <c r="Z967" s="14" t="str">
        <f aca="false">IF($D967&lt;&gt;1,"",IF($AI967=1,0,MAX($J967,ROUNDUP(MAX($X967/$H967,$Y967/$I967),0))))</f>
        <v/>
      </c>
      <c r="AA967" s="84" t="str">
        <f aca="false">IF($D967&lt;&gt;1,"",IF(p_mode="Nœud",$Z967*$K967,$X967*IF($G967="IKS",p_iks_cpu,p_roks_cpu)+$Y967*IF($G967="IKS",p_iks_ram,p_roks_ram))*p_facteur)</f>
        <v/>
      </c>
      <c r="AB967" s="14" t="str">
        <f aca="false">IF($D967&lt;&gt;1,"",MAX($J967,ROUNDUP(MAX($L967/$H967,$M967/$I967),0)))</f>
        <v/>
      </c>
      <c r="AC967" s="84" t="str">
        <f aca="false">IF($D967&lt;&gt;1,"",IF(p_mode="Nœud",$AB967*$K967,$L967*IF($G967="IKS",p_iks_cpu,p_roks_cpu)+$M967*IF($G967="IKS",p_iks_ram,p_roks_ram))*p_facteur)</f>
        <v/>
      </c>
      <c r="AD967" s="14" t="str">
        <f aca="false">IF($D967&lt;&gt;1,"",IF(AND($G967="IKS",$AI967&lt;&gt;1,OR($L967-$P967&lt;$N967,$M967-$Q967&lt;$O967)),1,0))</f>
        <v/>
      </c>
      <c r="AE967" s="14" t="str">
        <f aca="false">IF($D967&lt;&gt;1,"",IF(AND($G967="ROKS",$T967&gt;p_maxworkers),1,0))</f>
        <v/>
      </c>
      <c r="AF967" s="14" t="str">
        <f aca="false">IF($D967&lt;&gt;1,"",IF(INDEX(TblClusters[Environnement],$B967)="","(vide)",INDEX(TblClusters[Environnement],$B967)))</f>
        <v/>
      </c>
      <c r="AG967" s="14" t="str">
        <f aca="false">IF($D967&lt;&gt;1,"",$R967+p_poidsram*$S967)</f>
        <v/>
      </c>
      <c r="AH967" s="14" t="str">
        <f aca="false">IF($D967&lt;&gt;1,"",IFERROR($W967/$AG967,0))</f>
        <v/>
      </c>
      <c r="AI967" s="14" t="str">
        <f aca="false">IF($D967&lt;&gt;1,"",IF(AND($G967="IKS",ISNUMBER(INDEX(TblClusters[Fermeture retenue],$B967))),IF($E967&gt;=INDEX(TblClusters[Fermeture retenue],$B967),1,0),0))</f>
        <v/>
      </c>
    </row>
    <row r="968" customFormat="false" ht="15" hidden="false" customHeight="false" outlineLevel="0" collapsed="false">
      <c r="A968" s="14" t="n">
        <v>963</v>
      </c>
      <c r="B968" s="14" t="n">
        <f aca="false">INT(($A968-1)/36)+1</f>
        <v>27</v>
      </c>
      <c r="C968" s="14" t="n">
        <f aca="false">MOD($A968-1,36)+1</f>
        <v>27</v>
      </c>
      <c r="D968" s="14" t="n">
        <f aca="false">IF($C968&gt;p_horizon,0,IFERROR(IF(AND(INDEX(TblClusters[Cluster],$B968)&lt;&gt;"",ISNUMBER(INDEX(TblClusters[CPU initial (vCPU)],$B968)),ISNUMBER(INDEX(TblClusters[CPU min (vCPU)],$B968)),OR(INDEX(TblClusters[Plateforme],$B968)="IKS",INDEX(TblClusters[Plateforme],$B968)="ROKS")),1,0),0))</f>
        <v>0</v>
      </c>
      <c r="E968" s="83" t="str">
        <f aca="false">IF($D968=1,EDATE(p_debut,$C968-1),"")</f>
        <v/>
      </c>
      <c r="F968" s="14" t="str">
        <f aca="false">IF($D968=1,INDEX(TblClusters[Cluster],$B968),"")</f>
        <v/>
      </c>
      <c r="G968" s="14" t="str">
        <f aca="false">IF($D968=1,INDEX(TblClusters[Plateforme],$B968),"")</f>
        <v/>
      </c>
      <c r="H968" s="14" t="str">
        <f aca="false">IF($D968=1,INDEX(TblClusters[vCPU par nœud],$B968),"")</f>
        <v/>
      </c>
      <c r="I968" s="14" t="str">
        <f aca="false">IF($D968=1,INDEX(TblClusters[RAM par nœud (Go)],$B968),"")</f>
        <v/>
      </c>
      <c r="J968" s="14" t="str">
        <f aca="false">IF($D968=1,INDEX(TblClusters[Workers min],$B968),"")</f>
        <v/>
      </c>
      <c r="K968" s="84" t="str">
        <f aca="false">IF($D968=1,INDEX(TblClusters[Tarif par nœud],$B968),"")</f>
        <v/>
      </c>
      <c r="L968" s="14" t="str">
        <f aca="false">IF($D968=1,INDEX(TblClusters[CPU initial (vCPU)],$B968),"")</f>
        <v/>
      </c>
      <c r="M968" s="14" t="str">
        <f aca="false">IF($D968=1,INDEX(TblClusters[RAM initiale (Go)],$B968),"")</f>
        <v/>
      </c>
      <c r="N968" s="14" t="str">
        <f aca="false">IF($D968=1,INDEX(TblClusters[CPU min (vCPU)],$B968),"")</f>
        <v/>
      </c>
      <c r="O968" s="14" t="str">
        <f aca="false">IF($D968=1,INDEX(TblClusters[RAM min (Go)],$B968),"")</f>
        <v/>
      </c>
      <c r="P968" s="14" t="str">
        <f aca="false">IF($D968&lt;&gt;1,"",IF($G968="ROKS",SUMIFS(TblApplications[Besoin ROKS CPU (vCPU)],TblApplications[Cluster ROKS cible],$F968,TblApplications[Action],"À migrer",TblApplications[Déjà incluse ROKS],"Non",TblApplications[Mois prov (calc)],"&lt;="&amp;$E968),SUMIFS(TblApplications[CPU IKS libérable (vCPU)],TblApplications[Cluster IKS source],$F968,TblApplications[Mois lib (calc)],"&lt;="&amp;$E968)))</f>
        <v/>
      </c>
      <c r="Q968" s="14" t="str">
        <f aca="false">IF($D968&lt;&gt;1,"",IF($G968="ROKS",SUMIFS(TblApplications[Besoin ROKS RAM (Go)],TblApplications[Cluster ROKS cible],$F968,TblApplications[Action],"À migrer",TblApplications[Déjà incluse ROKS],"Non",TblApplications[Mois prov (calc)],"&lt;="&amp;$E968),SUMIFS(TblApplications[RAM IKS libérable (Go)],TblApplications[Cluster IKS source],$F968,TblApplications[Mois lib (calc)],"&lt;="&amp;$E968)))</f>
        <v/>
      </c>
      <c r="R968" s="14" t="str">
        <f aca="false">IF($D968&lt;&gt;1,"",IF($G968="ROKS",$L968+$P968,IF($AI968=1,0,MAX($N968,$L968-$P968))))</f>
        <v/>
      </c>
      <c r="S968" s="14" t="str">
        <f aca="false">IF($D968&lt;&gt;1,"",IF($G968="ROKS",$M968+$Q968,IF($AI968=1,0,MAX($O968,$M968-$Q968))))</f>
        <v/>
      </c>
      <c r="T968" s="14" t="str">
        <f aca="false">IF($D968&lt;&gt;1,"",IF($AI968=1,0,MAX($J968,ROUNDUP(MAX($R968/$H968,$S968/$I968),0))))</f>
        <v/>
      </c>
      <c r="U968" s="14" t="str">
        <f aca="false">IF($D968&lt;&gt;1,"",IF(p_mode="Nœud",$T968*$H968,$R968))</f>
        <v/>
      </c>
      <c r="V968" s="14" t="str">
        <f aca="false">IF($D968&lt;&gt;1,"",IF(p_mode="Nœud",$T968*$I968,$S968))</f>
        <v/>
      </c>
      <c r="W968" s="84" t="str">
        <f aca="false">IF($D968&lt;&gt;1,"",IF(p_mode="Nœud",$T968*$K968,$R968*IF($G968="IKS",p_iks_cpu,p_roks_cpu)+$S968*IF($G968="IKS",p_iks_ram,p_roks_ram))*p_facteur)</f>
        <v/>
      </c>
      <c r="X968" s="14" t="str">
        <f aca="false">IF($D968&lt;&gt;1,"",IF($G968="ROKS",$R968,IF($AI968=1,0,MAX($N968,$L968-SUMIFS(TblApplications[CPU IKS libérable (vCPU)],TblApplications[Cluster IKS source],$F968,TblApplications[Action],"À migrer",TblApplications[Mois prov (calc)],"&lt;="&amp;$E968)-SUMIFS(TblApplications[CPU IKS libérable (vCPU)],TblApplications[Cluster IKS source],$F968,TblApplications[Action],"À décommissionner",TblApplications[Mois lib (calc)],"&lt;="&amp;$E968)))))</f>
        <v/>
      </c>
      <c r="Y968" s="14" t="str">
        <f aca="false">IF($D968&lt;&gt;1,"",IF($G968="ROKS",$S968,IF($AI968=1,0,MAX($O968,$M968-SUMIFS(TblApplications[RAM IKS libérable (Go)],TblApplications[Cluster IKS source],$F968,TblApplications[Action],"À migrer",TblApplications[Mois prov (calc)],"&lt;="&amp;$E968)-SUMIFS(TblApplications[RAM IKS libérable (Go)],TblApplications[Cluster IKS source],$F968,TblApplications[Action],"À décommissionner",TblApplications[Mois lib (calc)],"&lt;="&amp;$E968)))))</f>
        <v/>
      </c>
      <c r="Z968" s="14" t="str">
        <f aca="false">IF($D968&lt;&gt;1,"",IF($AI968=1,0,MAX($J968,ROUNDUP(MAX($X968/$H968,$Y968/$I968),0))))</f>
        <v/>
      </c>
      <c r="AA968" s="84" t="str">
        <f aca="false">IF($D968&lt;&gt;1,"",IF(p_mode="Nœud",$Z968*$K968,$X968*IF($G968="IKS",p_iks_cpu,p_roks_cpu)+$Y968*IF($G968="IKS",p_iks_ram,p_roks_ram))*p_facteur)</f>
        <v/>
      </c>
      <c r="AB968" s="14" t="str">
        <f aca="false">IF($D968&lt;&gt;1,"",MAX($J968,ROUNDUP(MAX($L968/$H968,$M968/$I968),0)))</f>
        <v/>
      </c>
      <c r="AC968" s="84" t="str">
        <f aca="false">IF($D968&lt;&gt;1,"",IF(p_mode="Nœud",$AB968*$K968,$L968*IF($G968="IKS",p_iks_cpu,p_roks_cpu)+$M968*IF($G968="IKS",p_iks_ram,p_roks_ram))*p_facteur)</f>
        <v/>
      </c>
      <c r="AD968" s="14" t="str">
        <f aca="false">IF($D968&lt;&gt;1,"",IF(AND($G968="IKS",$AI968&lt;&gt;1,OR($L968-$P968&lt;$N968,$M968-$Q968&lt;$O968)),1,0))</f>
        <v/>
      </c>
      <c r="AE968" s="14" t="str">
        <f aca="false">IF($D968&lt;&gt;1,"",IF(AND($G968="ROKS",$T968&gt;p_maxworkers),1,0))</f>
        <v/>
      </c>
      <c r="AF968" s="14" t="str">
        <f aca="false">IF($D968&lt;&gt;1,"",IF(INDEX(TblClusters[Environnement],$B968)="","(vide)",INDEX(TblClusters[Environnement],$B968)))</f>
        <v/>
      </c>
      <c r="AG968" s="14" t="str">
        <f aca="false">IF($D968&lt;&gt;1,"",$R968+p_poidsram*$S968)</f>
        <v/>
      </c>
      <c r="AH968" s="14" t="str">
        <f aca="false">IF($D968&lt;&gt;1,"",IFERROR($W968/$AG968,0))</f>
        <v/>
      </c>
      <c r="AI968" s="14" t="str">
        <f aca="false">IF($D968&lt;&gt;1,"",IF(AND($G968="IKS",ISNUMBER(INDEX(TblClusters[Fermeture retenue],$B968))),IF($E968&gt;=INDEX(TblClusters[Fermeture retenue],$B968),1,0),0))</f>
        <v/>
      </c>
    </row>
    <row r="969" customFormat="false" ht="15" hidden="false" customHeight="false" outlineLevel="0" collapsed="false">
      <c r="A969" s="14" t="n">
        <v>964</v>
      </c>
      <c r="B969" s="14" t="n">
        <f aca="false">INT(($A969-1)/36)+1</f>
        <v>27</v>
      </c>
      <c r="C969" s="14" t="n">
        <f aca="false">MOD($A969-1,36)+1</f>
        <v>28</v>
      </c>
      <c r="D969" s="14" t="n">
        <f aca="false">IF($C969&gt;p_horizon,0,IFERROR(IF(AND(INDEX(TblClusters[Cluster],$B969)&lt;&gt;"",ISNUMBER(INDEX(TblClusters[CPU initial (vCPU)],$B969)),ISNUMBER(INDEX(TblClusters[CPU min (vCPU)],$B969)),OR(INDEX(TblClusters[Plateforme],$B969)="IKS",INDEX(TblClusters[Plateforme],$B969)="ROKS")),1,0),0))</f>
        <v>0</v>
      </c>
      <c r="E969" s="83" t="str">
        <f aca="false">IF($D969=1,EDATE(p_debut,$C969-1),"")</f>
        <v/>
      </c>
      <c r="F969" s="14" t="str">
        <f aca="false">IF($D969=1,INDEX(TblClusters[Cluster],$B969),"")</f>
        <v/>
      </c>
      <c r="G969" s="14" t="str">
        <f aca="false">IF($D969=1,INDEX(TblClusters[Plateforme],$B969),"")</f>
        <v/>
      </c>
      <c r="H969" s="14" t="str">
        <f aca="false">IF($D969=1,INDEX(TblClusters[vCPU par nœud],$B969),"")</f>
        <v/>
      </c>
      <c r="I969" s="14" t="str">
        <f aca="false">IF($D969=1,INDEX(TblClusters[RAM par nœud (Go)],$B969),"")</f>
        <v/>
      </c>
      <c r="J969" s="14" t="str">
        <f aca="false">IF($D969=1,INDEX(TblClusters[Workers min],$B969),"")</f>
        <v/>
      </c>
      <c r="K969" s="84" t="str">
        <f aca="false">IF($D969=1,INDEX(TblClusters[Tarif par nœud],$B969),"")</f>
        <v/>
      </c>
      <c r="L969" s="14" t="str">
        <f aca="false">IF($D969=1,INDEX(TblClusters[CPU initial (vCPU)],$B969),"")</f>
        <v/>
      </c>
      <c r="M969" s="14" t="str">
        <f aca="false">IF($D969=1,INDEX(TblClusters[RAM initiale (Go)],$B969),"")</f>
        <v/>
      </c>
      <c r="N969" s="14" t="str">
        <f aca="false">IF($D969=1,INDEX(TblClusters[CPU min (vCPU)],$B969),"")</f>
        <v/>
      </c>
      <c r="O969" s="14" t="str">
        <f aca="false">IF($D969=1,INDEX(TblClusters[RAM min (Go)],$B969),"")</f>
        <v/>
      </c>
      <c r="P969" s="14" t="str">
        <f aca="false">IF($D969&lt;&gt;1,"",IF($G969="ROKS",SUMIFS(TblApplications[Besoin ROKS CPU (vCPU)],TblApplications[Cluster ROKS cible],$F969,TblApplications[Action],"À migrer",TblApplications[Déjà incluse ROKS],"Non",TblApplications[Mois prov (calc)],"&lt;="&amp;$E969),SUMIFS(TblApplications[CPU IKS libérable (vCPU)],TblApplications[Cluster IKS source],$F969,TblApplications[Mois lib (calc)],"&lt;="&amp;$E969)))</f>
        <v/>
      </c>
      <c r="Q969" s="14" t="str">
        <f aca="false">IF($D969&lt;&gt;1,"",IF($G969="ROKS",SUMIFS(TblApplications[Besoin ROKS RAM (Go)],TblApplications[Cluster ROKS cible],$F969,TblApplications[Action],"À migrer",TblApplications[Déjà incluse ROKS],"Non",TblApplications[Mois prov (calc)],"&lt;="&amp;$E969),SUMIFS(TblApplications[RAM IKS libérable (Go)],TblApplications[Cluster IKS source],$F969,TblApplications[Mois lib (calc)],"&lt;="&amp;$E969)))</f>
        <v/>
      </c>
      <c r="R969" s="14" t="str">
        <f aca="false">IF($D969&lt;&gt;1,"",IF($G969="ROKS",$L969+$P969,IF($AI969=1,0,MAX($N969,$L969-$P969))))</f>
        <v/>
      </c>
      <c r="S969" s="14" t="str">
        <f aca="false">IF($D969&lt;&gt;1,"",IF($G969="ROKS",$M969+$Q969,IF($AI969=1,0,MAX($O969,$M969-$Q969))))</f>
        <v/>
      </c>
      <c r="T969" s="14" t="str">
        <f aca="false">IF($D969&lt;&gt;1,"",IF($AI969=1,0,MAX($J969,ROUNDUP(MAX($R969/$H969,$S969/$I969),0))))</f>
        <v/>
      </c>
      <c r="U969" s="14" t="str">
        <f aca="false">IF($D969&lt;&gt;1,"",IF(p_mode="Nœud",$T969*$H969,$R969))</f>
        <v/>
      </c>
      <c r="V969" s="14" t="str">
        <f aca="false">IF($D969&lt;&gt;1,"",IF(p_mode="Nœud",$T969*$I969,$S969))</f>
        <v/>
      </c>
      <c r="W969" s="84" t="str">
        <f aca="false">IF($D969&lt;&gt;1,"",IF(p_mode="Nœud",$T969*$K969,$R969*IF($G969="IKS",p_iks_cpu,p_roks_cpu)+$S969*IF($G969="IKS",p_iks_ram,p_roks_ram))*p_facteur)</f>
        <v/>
      </c>
      <c r="X969" s="14" t="str">
        <f aca="false">IF($D969&lt;&gt;1,"",IF($G969="ROKS",$R969,IF($AI969=1,0,MAX($N969,$L969-SUMIFS(TblApplications[CPU IKS libérable (vCPU)],TblApplications[Cluster IKS source],$F969,TblApplications[Action],"À migrer",TblApplications[Mois prov (calc)],"&lt;="&amp;$E969)-SUMIFS(TblApplications[CPU IKS libérable (vCPU)],TblApplications[Cluster IKS source],$F969,TblApplications[Action],"À décommissionner",TblApplications[Mois lib (calc)],"&lt;="&amp;$E969)))))</f>
        <v/>
      </c>
      <c r="Y969" s="14" t="str">
        <f aca="false">IF($D969&lt;&gt;1,"",IF($G969="ROKS",$S969,IF($AI969=1,0,MAX($O969,$M969-SUMIFS(TblApplications[RAM IKS libérable (Go)],TblApplications[Cluster IKS source],$F969,TblApplications[Action],"À migrer",TblApplications[Mois prov (calc)],"&lt;="&amp;$E969)-SUMIFS(TblApplications[RAM IKS libérable (Go)],TblApplications[Cluster IKS source],$F969,TblApplications[Action],"À décommissionner",TblApplications[Mois lib (calc)],"&lt;="&amp;$E969)))))</f>
        <v/>
      </c>
      <c r="Z969" s="14" t="str">
        <f aca="false">IF($D969&lt;&gt;1,"",IF($AI969=1,0,MAX($J969,ROUNDUP(MAX($X969/$H969,$Y969/$I969),0))))</f>
        <v/>
      </c>
      <c r="AA969" s="84" t="str">
        <f aca="false">IF($D969&lt;&gt;1,"",IF(p_mode="Nœud",$Z969*$K969,$X969*IF($G969="IKS",p_iks_cpu,p_roks_cpu)+$Y969*IF($G969="IKS",p_iks_ram,p_roks_ram))*p_facteur)</f>
        <v/>
      </c>
      <c r="AB969" s="14" t="str">
        <f aca="false">IF($D969&lt;&gt;1,"",MAX($J969,ROUNDUP(MAX($L969/$H969,$M969/$I969),0)))</f>
        <v/>
      </c>
      <c r="AC969" s="84" t="str">
        <f aca="false">IF($D969&lt;&gt;1,"",IF(p_mode="Nœud",$AB969*$K969,$L969*IF($G969="IKS",p_iks_cpu,p_roks_cpu)+$M969*IF($G969="IKS",p_iks_ram,p_roks_ram))*p_facteur)</f>
        <v/>
      </c>
      <c r="AD969" s="14" t="str">
        <f aca="false">IF($D969&lt;&gt;1,"",IF(AND($G969="IKS",$AI969&lt;&gt;1,OR($L969-$P969&lt;$N969,$M969-$Q969&lt;$O969)),1,0))</f>
        <v/>
      </c>
      <c r="AE969" s="14" t="str">
        <f aca="false">IF($D969&lt;&gt;1,"",IF(AND($G969="ROKS",$T969&gt;p_maxworkers),1,0))</f>
        <v/>
      </c>
      <c r="AF969" s="14" t="str">
        <f aca="false">IF($D969&lt;&gt;1,"",IF(INDEX(TblClusters[Environnement],$B969)="","(vide)",INDEX(TblClusters[Environnement],$B969)))</f>
        <v/>
      </c>
      <c r="AG969" s="14" t="str">
        <f aca="false">IF($D969&lt;&gt;1,"",$R969+p_poidsram*$S969)</f>
        <v/>
      </c>
      <c r="AH969" s="14" t="str">
        <f aca="false">IF($D969&lt;&gt;1,"",IFERROR($W969/$AG969,0))</f>
        <v/>
      </c>
      <c r="AI969" s="14" t="str">
        <f aca="false">IF($D969&lt;&gt;1,"",IF(AND($G969="IKS",ISNUMBER(INDEX(TblClusters[Fermeture retenue],$B969))),IF($E969&gt;=INDEX(TblClusters[Fermeture retenue],$B969),1,0),0))</f>
        <v/>
      </c>
    </row>
    <row r="970" customFormat="false" ht="15" hidden="false" customHeight="false" outlineLevel="0" collapsed="false">
      <c r="A970" s="14" t="n">
        <v>965</v>
      </c>
      <c r="B970" s="14" t="n">
        <f aca="false">INT(($A970-1)/36)+1</f>
        <v>27</v>
      </c>
      <c r="C970" s="14" t="n">
        <f aca="false">MOD($A970-1,36)+1</f>
        <v>29</v>
      </c>
      <c r="D970" s="14" t="n">
        <f aca="false">IF($C970&gt;p_horizon,0,IFERROR(IF(AND(INDEX(TblClusters[Cluster],$B970)&lt;&gt;"",ISNUMBER(INDEX(TblClusters[CPU initial (vCPU)],$B970)),ISNUMBER(INDEX(TblClusters[CPU min (vCPU)],$B970)),OR(INDEX(TblClusters[Plateforme],$B970)="IKS",INDEX(TblClusters[Plateforme],$B970)="ROKS")),1,0),0))</f>
        <v>0</v>
      </c>
      <c r="E970" s="83" t="str">
        <f aca="false">IF($D970=1,EDATE(p_debut,$C970-1),"")</f>
        <v/>
      </c>
      <c r="F970" s="14" t="str">
        <f aca="false">IF($D970=1,INDEX(TblClusters[Cluster],$B970),"")</f>
        <v/>
      </c>
      <c r="G970" s="14" t="str">
        <f aca="false">IF($D970=1,INDEX(TblClusters[Plateforme],$B970),"")</f>
        <v/>
      </c>
      <c r="H970" s="14" t="str">
        <f aca="false">IF($D970=1,INDEX(TblClusters[vCPU par nœud],$B970),"")</f>
        <v/>
      </c>
      <c r="I970" s="14" t="str">
        <f aca="false">IF($D970=1,INDEX(TblClusters[RAM par nœud (Go)],$B970),"")</f>
        <v/>
      </c>
      <c r="J970" s="14" t="str">
        <f aca="false">IF($D970=1,INDEX(TblClusters[Workers min],$B970),"")</f>
        <v/>
      </c>
      <c r="K970" s="84" t="str">
        <f aca="false">IF($D970=1,INDEX(TblClusters[Tarif par nœud],$B970),"")</f>
        <v/>
      </c>
      <c r="L970" s="14" t="str">
        <f aca="false">IF($D970=1,INDEX(TblClusters[CPU initial (vCPU)],$B970),"")</f>
        <v/>
      </c>
      <c r="M970" s="14" t="str">
        <f aca="false">IF($D970=1,INDEX(TblClusters[RAM initiale (Go)],$B970),"")</f>
        <v/>
      </c>
      <c r="N970" s="14" t="str">
        <f aca="false">IF($D970=1,INDEX(TblClusters[CPU min (vCPU)],$B970),"")</f>
        <v/>
      </c>
      <c r="O970" s="14" t="str">
        <f aca="false">IF($D970=1,INDEX(TblClusters[RAM min (Go)],$B970),"")</f>
        <v/>
      </c>
      <c r="P970" s="14" t="str">
        <f aca="false">IF($D970&lt;&gt;1,"",IF($G970="ROKS",SUMIFS(TblApplications[Besoin ROKS CPU (vCPU)],TblApplications[Cluster ROKS cible],$F970,TblApplications[Action],"À migrer",TblApplications[Déjà incluse ROKS],"Non",TblApplications[Mois prov (calc)],"&lt;="&amp;$E970),SUMIFS(TblApplications[CPU IKS libérable (vCPU)],TblApplications[Cluster IKS source],$F970,TblApplications[Mois lib (calc)],"&lt;="&amp;$E970)))</f>
        <v/>
      </c>
      <c r="Q970" s="14" t="str">
        <f aca="false">IF($D970&lt;&gt;1,"",IF($G970="ROKS",SUMIFS(TblApplications[Besoin ROKS RAM (Go)],TblApplications[Cluster ROKS cible],$F970,TblApplications[Action],"À migrer",TblApplications[Déjà incluse ROKS],"Non",TblApplications[Mois prov (calc)],"&lt;="&amp;$E970),SUMIFS(TblApplications[RAM IKS libérable (Go)],TblApplications[Cluster IKS source],$F970,TblApplications[Mois lib (calc)],"&lt;="&amp;$E970)))</f>
        <v/>
      </c>
      <c r="R970" s="14" t="str">
        <f aca="false">IF($D970&lt;&gt;1,"",IF($G970="ROKS",$L970+$P970,IF($AI970=1,0,MAX($N970,$L970-$P970))))</f>
        <v/>
      </c>
      <c r="S970" s="14" t="str">
        <f aca="false">IF($D970&lt;&gt;1,"",IF($G970="ROKS",$M970+$Q970,IF($AI970=1,0,MAX($O970,$M970-$Q970))))</f>
        <v/>
      </c>
      <c r="T970" s="14" t="str">
        <f aca="false">IF($D970&lt;&gt;1,"",IF($AI970=1,0,MAX($J970,ROUNDUP(MAX($R970/$H970,$S970/$I970),0))))</f>
        <v/>
      </c>
      <c r="U970" s="14" t="str">
        <f aca="false">IF($D970&lt;&gt;1,"",IF(p_mode="Nœud",$T970*$H970,$R970))</f>
        <v/>
      </c>
      <c r="V970" s="14" t="str">
        <f aca="false">IF($D970&lt;&gt;1,"",IF(p_mode="Nœud",$T970*$I970,$S970))</f>
        <v/>
      </c>
      <c r="W970" s="84" t="str">
        <f aca="false">IF($D970&lt;&gt;1,"",IF(p_mode="Nœud",$T970*$K970,$R970*IF($G970="IKS",p_iks_cpu,p_roks_cpu)+$S970*IF($G970="IKS",p_iks_ram,p_roks_ram))*p_facteur)</f>
        <v/>
      </c>
      <c r="X970" s="14" t="str">
        <f aca="false">IF($D970&lt;&gt;1,"",IF($G970="ROKS",$R970,IF($AI970=1,0,MAX($N970,$L970-SUMIFS(TblApplications[CPU IKS libérable (vCPU)],TblApplications[Cluster IKS source],$F970,TblApplications[Action],"À migrer",TblApplications[Mois prov (calc)],"&lt;="&amp;$E970)-SUMIFS(TblApplications[CPU IKS libérable (vCPU)],TblApplications[Cluster IKS source],$F970,TblApplications[Action],"À décommissionner",TblApplications[Mois lib (calc)],"&lt;="&amp;$E970)))))</f>
        <v/>
      </c>
      <c r="Y970" s="14" t="str">
        <f aca="false">IF($D970&lt;&gt;1,"",IF($G970="ROKS",$S970,IF($AI970=1,0,MAX($O970,$M970-SUMIFS(TblApplications[RAM IKS libérable (Go)],TblApplications[Cluster IKS source],$F970,TblApplications[Action],"À migrer",TblApplications[Mois prov (calc)],"&lt;="&amp;$E970)-SUMIFS(TblApplications[RAM IKS libérable (Go)],TblApplications[Cluster IKS source],$F970,TblApplications[Action],"À décommissionner",TblApplications[Mois lib (calc)],"&lt;="&amp;$E970)))))</f>
        <v/>
      </c>
      <c r="Z970" s="14" t="str">
        <f aca="false">IF($D970&lt;&gt;1,"",IF($AI970=1,0,MAX($J970,ROUNDUP(MAX($X970/$H970,$Y970/$I970),0))))</f>
        <v/>
      </c>
      <c r="AA970" s="84" t="str">
        <f aca="false">IF($D970&lt;&gt;1,"",IF(p_mode="Nœud",$Z970*$K970,$X970*IF($G970="IKS",p_iks_cpu,p_roks_cpu)+$Y970*IF($G970="IKS",p_iks_ram,p_roks_ram))*p_facteur)</f>
        <v/>
      </c>
      <c r="AB970" s="14" t="str">
        <f aca="false">IF($D970&lt;&gt;1,"",MAX($J970,ROUNDUP(MAX($L970/$H970,$M970/$I970),0)))</f>
        <v/>
      </c>
      <c r="AC970" s="84" t="str">
        <f aca="false">IF($D970&lt;&gt;1,"",IF(p_mode="Nœud",$AB970*$K970,$L970*IF($G970="IKS",p_iks_cpu,p_roks_cpu)+$M970*IF($G970="IKS",p_iks_ram,p_roks_ram))*p_facteur)</f>
        <v/>
      </c>
      <c r="AD970" s="14" t="str">
        <f aca="false">IF($D970&lt;&gt;1,"",IF(AND($G970="IKS",$AI970&lt;&gt;1,OR($L970-$P970&lt;$N970,$M970-$Q970&lt;$O970)),1,0))</f>
        <v/>
      </c>
      <c r="AE970" s="14" t="str">
        <f aca="false">IF($D970&lt;&gt;1,"",IF(AND($G970="ROKS",$T970&gt;p_maxworkers),1,0))</f>
        <v/>
      </c>
      <c r="AF970" s="14" t="str">
        <f aca="false">IF($D970&lt;&gt;1,"",IF(INDEX(TblClusters[Environnement],$B970)="","(vide)",INDEX(TblClusters[Environnement],$B970)))</f>
        <v/>
      </c>
      <c r="AG970" s="14" t="str">
        <f aca="false">IF($D970&lt;&gt;1,"",$R970+p_poidsram*$S970)</f>
        <v/>
      </c>
      <c r="AH970" s="14" t="str">
        <f aca="false">IF($D970&lt;&gt;1,"",IFERROR($W970/$AG970,0))</f>
        <v/>
      </c>
      <c r="AI970" s="14" t="str">
        <f aca="false">IF($D970&lt;&gt;1,"",IF(AND($G970="IKS",ISNUMBER(INDEX(TblClusters[Fermeture retenue],$B970))),IF($E970&gt;=INDEX(TblClusters[Fermeture retenue],$B970),1,0),0))</f>
        <v/>
      </c>
    </row>
    <row r="971" customFormat="false" ht="15" hidden="false" customHeight="false" outlineLevel="0" collapsed="false">
      <c r="A971" s="14" t="n">
        <v>966</v>
      </c>
      <c r="B971" s="14" t="n">
        <f aca="false">INT(($A971-1)/36)+1</f>
        <v>27</v>
      </c>
      <c r="C971" s="14" t="n">
        <f aca="false">MOD($A971-1,36)+1</f>
        <v>30</v>
      </c>
      <c r="D971" s="14" t="n">
        <f aca="false">IF($C971&gt;p_horizon,0,IFERROR(IF(AND(INDEX(TblClusters[Cluster],$B971)&lt;&gt;"",ISNUMBER(INDEX(TblClusters[CPU initial (vCPU)],$B971)),ISNUMBER(INDEX(TblClusters[CPU min (vCPU)],$B971)),OR(INDEX(TblClusters[Plateforme],$B971)="IKS",INDEX(TblClusters[Plateforme],$B971)="ROKS")),1,0),0))</f>
        <v>0</v>
      </c>
      <c r="E971" s="83" t="str">
        <f aca="false">IF($D971=1,EDATE(p_debut,$C971-1),"")</f>
        <v/>
      </c>
      <c r="F971" s="14" t="str">
        <f aca="false">IF($D971=1,INDEX(TblClusters[Cluster],$B971),"")</f>
        <v/>
      </c>
      <c r="G971" s="14" t="str">
        <f aca="false">IF($D971=1,INDEX(TblClusters[Plateforme],$B971),"")</f>
        <v/>
      </c>
      <c r="H971" s="14" t="str">
        <f aca="false">IF($D971=1,INDEX(TblClusters[vCPU par nœud],$B971),"")</f>
        <v/>
      </c>
      <c r="I971" s="14" t="str">
        <f aca="false">IF($D971=1,INDEX(TblClusters[RAM par nœud (Go)],$B971),"")</f>
        <v/>
      </c>
      <c r="J971" s="14" t="str">
        <f aca="false">IF($D971=1,INDEX(TblClusters[Workers min],$B971),"")</f>
        <v/>
      </c>
      <c r="K971" s="84" t="str">
        <f aca="false">IF($D971=1,INDEX(TblClusters[Tarif par nœud],$B971),"")</f>
        <v/>
      </c>
      <c r="L971" s="14" t="str">
        <f aca="false">IF($D971=1,INDEX(TblClusters[CPU initial (vCPU)],$B971),"")</f>
        <v/>
      </c>
      <c r="M971" s="14" t="str">
        <f aca="false">IF($D971=1,INDEX(TblClusters[RAM initiale (Go)],$B971),"")</f>
        <v/>
      </c>
      <c r="N971" s="14" t="str">
        <f aca="false">IF($D971=1,INDEX(TblClusters[CPU min (vCPU)],$B971),"")</f>
        <v/>
      </c>
      <c r="O971" s="14" t="str">
        <f aca="false">IF($D971=1,INDEX(TblClusters[RAM min (Go)],$B971),"")</f>
        <v/>
      </c>
      <c r="P971" s="14" t="str">
        <f aca="false">IF($D971&lt;&gt;1,"",IF($G971="ROKS",SUMIFS(TblApplications[Besoin ROKS CPU (vCPU)],TblApplications[Cluster ROKS cible],$F971,TblApplications[Action],"À migrer",TblApplications[Déjà incluse ROKS],"Non",TblApplications[Mois prov (calc)],"&lt;="&amp;$E971),SUMIFS(TblApplications[CPU IKS libérable (vCPU)],TblApplications[Cluster IKS source],$F971,TblApplications[Mois lib (calc)],"&lt;="&amp;$E971)))</f>
        <v/>
      </c>
      <c r="Q971" s="14" t="str">
        <f aca="false">IF($D971&lt;&gt;1,"",IF($G971="ROKS",SUMIFS(TblApplications[Besoin ROKS RAM (Go)],TblApplications[Cluster ROKS cible],$F971,TblApplications[Action],"À migrer",TblApplications[Déjà incluse ROKS],"Non",TblApplications[Mois prov (calc)],"&lt;="&amp;$E971),SUMIFS(TblApplications[RAM IKS libérable (Go)],TblApplications[Cluster IKS source],$F971,TblApplications[Mois lib (calc)],"&lt;="&amp;$E971)))</f>
        <v/>
      </c>
      <c r="R971" s="14" t="str">
        <f aca="false">IF($D971&lt;&gt;1,"",IF($G971="ROKS",$L971+$P971,IF($AI971=1,0,MAX($N971,$L971-$P971))))</f>
        <v/>
      </c>
      <c r="S971" s="14" t="str">
        <f aca="false">IF($D971&lt;&gt;1,"",IF($G971="ROKS",$M971+$Q971,IF($AI971=1,0,MAX($O971,$M971-$Q971))))</f>
        <v/>
      </c>
      <c r="T971" s="14" t="str">
        <f aca="false">IF($D971&lt;&gt;1,"",IF($AI971=1,0,MAX($J971,ROUNDUP(MAX($R971/$H971,$S971/$I971),0))))</f>
        <v/>
      </c>
      <c r="U971" s="14" t="str">
        <f aca="false">IF($D971&lt;&gt;1,"",IF(p_mode="Nœud",$T971*$H971,$R971))</f>
        <v/>
      </c>
      <c r="V971" s="14" t="str">
        <f aca="false">IF($D971&lt;&gt;1,"",IF(p_mode="Nœud",$T971*$I971,$S971))</f>
        <v/>
      </c>
      <c r="W971" s="84" t="str">
        <f aca="false">IF($D971&lt;&gt;1,"",IF(p_mode="Nœud",$T971*$K971,$R971*IF($G971="IKS",p_iks_cpu,p_roks_cpu)+$S971*IF($G971="IKS",p_iks_ram,p_roks_ram))*p_facteur)</f>
        <v/>
      </c>
      <c r="X971" s="14" t="str">
        <f aca="false">IF($D971&lt;&gt;1,"",IF($G971="ROKS",$R971,IF($AI971=1,0,MAX($N971,$L971-SUMIFS(TblApplications[CPU IKS libérable (vCPU)],TblApplications[Cluster IKS source],$F971,TblApplications[Action],"À migrer",TblApplications[Mois prov (calc)],"&lt;="&amp;$E971)-SUMIFS(TblApplications[CPU IKS libérable (vCPU)],TblApplications[Cluster IKS source],$F971,TblApplications[Action],"À décommissionner",TblApplications[Mois lib (calc)],"&lt;="&amp;$E971)))))</f>
        <v/>
      </c>
      <c r="Y971" s="14" t="str">
        <f aca="false">IF($D971&lt;&gt;1,"",IF($G971="ROKS",$S971,IF($AI971=1,0,MAX($O971,$M971-SUMIFS(TblApplications[RAM IKS libérable (Go)],TblApplications[Cluster IKS source],$F971,TblApplications[Action],"À migrer",TblApplications[Mois prov (calc)],"&lt;="&amp;$E971)-SUMIFS(TblApplications[RAM IKS libérable (Go)],TblApplications[Cluster IKS source],$F971,TblApplications[Action],"À décommissionner",TblApplications[Mois lib (calc)],"&lt;="&amp;$E971)))))</f>
        <v/>
      </c>
      <c r="Z971" s="14" t="str">
        <f aca="false">IF($D971&lt;&gt;1,"",IF($AI971=1,0,MAX($J971,ROUNDUP(MAX($X971/$H971,$Y971/$I971),0))))</f>
        <v/>
      </c>
      <c r="AA971" s="84" t="str">
        <f aca="false">IF($D971&lt;&gt;1,"",IF(p_mode="Nœud",$Z971*$K971,$X971*IF($G971="IKS",p_iks_cpu,p_roks_cpu)+$Y971*IF($G971="IKS",p_iks_ram,p_roks_ram))*p_facteur)</f>
        <v/>
      </c>
      <c r="AB971" s="14" t="str">
        <f aca="false">IF($D971&lt;&gt;1,"",MAX($J971,ROUNDUP(MAX($L971/$H971,$M971/$I971),0)))</f>
        <v/>
      </c>
      <c r="AC971" s="84" t="str">
        <f aca="false">IF($D971&lt;&gt;1,"",IF(p_mode="Nœud",$AB971*$K971,$L971*IF($G971="IKS",p_iks_cpu,p_roks_cpu)+$M971*IF($G971="IKS",p_iks_ram,p_roks_ram))*p_facteur)</f>
        <v/>
      </c>
      <c r="AD971" s="14" t="str">
        <f aca="false">IF($D971&lt;&gt;1,"",IF(AND($G971="IKS",$AI971&lt;&gt;1,OR($L971-$P971&lt;$N971,$M971-$Q971&lt;$O971)),1,0))</f>
        <v/>
      </c>
      <c r="AE971" s="14" t="str">
        <f aca="false">IF($D971&lt;&gt;1,"",IF(AND($G971="ROKS",$T971&gt;p_maxworkers),1,0))</f>
        <v/>
      </c>
      <c r="AF971" s="14" t="str">
        <f aca="false">IF($D971&lt;&gt;1,"",IF(INDEX(TblClusters[Environnement],$B971)="","(vide)",INDEX(TblClusters[Environnement],$B971)))</f>
        <v/>
      </c>
      <c r="AG971" s="14" t="str">
        <f aca="false">IF($D971&lt;&gt;1,"",$R971+p_poidsram*$S971)</f>
        <v/>
      </c>
      <c r="AH971" s="14" t="str">
        <f aca="false">IF($D971&lt;&gt;1,"",IFERROR($W971/$AG971,0))</f>
        <v/>
      </c>
      <c r="AI971" s="14" t="str">
        <f aca="false">IF($D971&lt;&gt;1,"",IF(AND($G971="IKS",ISNUMBER(INDEX(TblClusters[Fermeture retenue],$B971))),IF($E971&gt;=INDEX(TblClusters[Fermeture retenue],$B971),1,0),0))</f>
        <v/>
      </c>
    </row>
    <row r="972" customFormat="false" ht="15" hidden="false" customHeight="false" outlineLevel="0" collapsed="false">
      <c r="A972" s="14" t="n">
        <v>967</v>
      </c>
      <c r="B972" s="14" t="n">
        <f aca="false">INT(($A972-1)/36)+1</f>
        <v>27</v>
      </c>
      <c r="C972" s="14" t="n">
        <f aca="false">MOD($A972-1,36)+1</f>
        <v>31</v>
      </c>
      <c r="D972" s="14" t="n">
        <f aca="false">IF($C972&gt;p_horizon,0,IFERROR(IF(AND(INDEX(TblClusters[Cluster],$B972)&lt;&gt;"",ISNUMBER(INDEX(TblClusters[CPU initial (vCPU)],$B972)),ISNUMBER(INDEX(TblClusters[CPU min (vCPU)],$B972)),OR(INDEX(TblClusters[Plateforme],$B972)="IKS",INDEX(TblClusters[Plateforme],$B972)="ROKS")),1,0),0))</f>
        <v>0</v>
      </c>
      <c r="E972" s="83" t="str">
        <f aca="false">IF($D972=1,EDATE(p_debut,$C972-1),"")</f>
        <v/>
      </c>
      <c r="F972" s="14" t="str">
        <f aca="false">IF($D972=1,INDEX(TblClusters[Cluster],$B972),"")</f>
        <v/>
      </c>
      <c r="G972" s="14" t="str">
        <f aca="false">IF($D972=1,INDEX(TblClusters[Plateforme],$B972),"")</f>
        <v/>
      </c>
      <c r="H972" s="14" t="str">
        <f aca="false">IF($D972=1,INDEX(TblClusters[vCPU par nœud],$B972),"")</f>
        <v/>
      </c>
      <c r="I972" s="14" t="str">
        <f aca="false">IF($D972=1,INDEX(TblClusters[RAM par nœud (Go)],$B972),"")</f>
        <v/>
      </c>
      <c r="J972" s="14" t="str">
        <f aca="false">IF($D972=1,INDEX(TblClusters[Workers min],$B972),"")</f>
        <v/>
      </c>
      <c r="K972" s="84" t="str">
        <f aca="false">IF($D972=1,INDEX(TblClusters[Tarif par nœud],$B972),"")</f>
        <v/>
      </c>
      <c r="L972" s="14" t="str">
        <f aca="false">IF($D972=1,INDEX(TblClusters[CPU initial (vCPU)],$B972),"")</f>
        <v/>
      </c>
      <c r="M972" s="14" t="str">
        <f aca="false">IF($D972=1,INDEX(TblClusters[RAM initiale (Go)],$B972),"")</f>
        <v/>
      </c>
      <c r="N972" s="14" t="str">
        <f aca="false">IF($D972=1,INDEX(TblClusters[CPU min (vCPU)],$B972),"")</f>
        <v/>
      </c>
      <c r="O972" s="14" t="str">
        <f aca="false">IF($D972=1,INDEX(TblClusters[RAM min (Go)],$B972),"")</f>
        <v/>
      </c>
      <c r="P972" s="14" t="str">
        <f aca="false">IF($D972&lt;&gt;1,"",IF($G972="ROKS",SUMIFS(TblApplications[Besoin ROKS CPU (vCPU)],TblApplications[Cluster ROKS cible],$F972,TblApplications[Action],"À migrer",TblApplications[Déjà incluse ROKS],"Non",TblApplications[Mois prov (calc)],"&lt;="&amp;$E972),SUMIFS(TblApplications[CPU IKS libérable (vCPU)],TblApplications[Cluster IKS source],$F972,TblApplications[Mois lib (calc)],"&lt;="&amp;$E972)))</f>
        <v/>
      </c>
      <c r="Q972" s="14" t="str">
        <f aca="false">IF($D972&lt;&gt;1,"",IF($G972="ROKS",SUMIFS(TblApplications[Besoin ROKS RAM (Go)],TblApplications[Cluster ROKS cible],$F972,TblApplications[Action],"À migrer",TblApplications[Déjà incluse ROKS],"Non",TblApplications[Mois prov (calc)],"&lt;="&amp;$E972),SUMIFS(TblApplications[RAM IKS libérable (Go)],TblApplications[Cluster IKS source],$F972,TblApplications[Mois lib (calc)],"&lt;="&amp;$E972)))</f>
        <v/>
      </c>
      <c r="R972" s="14" t="str">
        <f aca="false">IF($D972&lt;&gt;1,"",IF($G972="ROKS",$L972+$P972,IF($AI972=1,0,MAX($N972,$L972-$P972))))</f>
        <v/>
      </c>
      <c r="S972" s="14" t="str">
        <f aca="false">IF($D972&lt;&gt;1,"",IF($G972="ROKS",$M972+$Q972,IF($AI972=1,0,MAX($O972,$M972-$Q972))))</f>
        <v/>
      </c>
      <c r="T972" s="14" t="str">
        <f aca="false">IF($D972&lt;&gt;1,"",IF($AI972=1,0,MAX($J972,ROUNDUP(MAX($R972/$H972,$S972/$I972),0))))</f>
        <v/>
      </c>
      <c r="U972" s="14" t="str">
        <f aca="false">IF($D972&lt;&gt;1,"",IF(p_mode="Nœud",$T972*$H972,$R972))</f>
        <v/>
      </c>
      <c r="V972" s="14" t="str">
        <f aca="false">IF($D972&lt;&gt;1,"",IF(p_mode="Nœud",$T972*$I972,$S972))</f>
        <v/>
      </c>
      <c r="W972" s="84" t="str">
        <f aca="false">IF($D972&lt;&gt;1,"",IF(p_mode="Nœud",$T972*$K972,$R972*IF($G972="IKS",p_iks_cpu,p_roks_cpu)+$S972*IF($G972="IKS",p_iks_ram,p_roks_ram))*p_facteur)</f>
        <v/>
      </c>
      <c r="X972" s="14" t="str">
        <f aca="false">IF($D972&lt;&gt;1,"",IF($G972="ROKS",$R972,IF($AI972=1,0,MAX($N972,$L972-SUMIFS(TblApplications[CPU IKS libérable (vCPU)],TblApplications[Cluster IKS source],$F972,TblApplications[Action],"À migrer",TblApplications[Mois prov (calc)],"&lt;="&amp;$E972)-SUMIFS(TblApplications[CPU IKS libérable (vCPU)],TblApplications[Cluster IKS source],$F972,TblApplications[Action],"À décommissionner",TblApplications[Mois lib (calc)],"&lt;="&amp;$E972)))))</f>
        <v/>
      </c>
      <c r="Y972" s="14" t="str">
        <f aca="false">IF($D972&lt;&gt;1,"",IF($G972="ROKS",$S972,IF($AI972=1,0,MAX($O972,$M972-SUMIFS(TblApplications[RAM IKS libérable (Go)],TblApplications[Cluster IKS source],$F972,TblApplications[Action],"À migrer",TblApplications[Mois prov (calc)],"&lt;="&amp;$E972)-SUMIFS(TblApplications[RAM IKS libérable (Go)],TblApplications[Cluster IKS source],$F972,TblApplications[Action],"À décommissionner",TblApplications[Mois lib (calc)],"&lt;="&amp;$E972)))))</f>
        <v/>
      </c>
      <c r="Z972" s="14" t="str">
        <f aca="false">IF($D972&lt;&gt;1,"",IF($AI972=1,0,MAX($J972,ROUNDUP(MAX($X972/$H972,$Y972/$I972),0))))</f>
        <v/>
      </c>
      <c r="AA972" s="84" t="str">
        <f aca="false">IF($D972&lt;&gt;1,"",IF(p_mode="Nœud",$Z972*$K972,$X972*IF($G972="IKS",p_iks_cpu,p_roks_cpu)+$Y972*IF($G972="IKS",p_iks_ram,p_roks_ram))*p_facteur)</f>
        <v/>
      </c>
      <c r="AB972" s="14" t="str">
        <f aca="false">IF($D972&lt;&gt;1,"",MAX($J972,ROUNDUP(MAX($L972/$H972,$M972/$I972),0)))</f>
        <v/>
      </c>
      <c r="AC972" s="84" t="str">
        <f aca="false">IF($D972&lt;&gt;1,"",IF(p_mode="Nœud",$AB972*$K972,$L972*IF($G972="IKS",p_iks_cpu,p_roks_cpu)+$M972*IF($G972="IKS",p_iks_ram,p_roks_ram))*p_facteur)</f>
        <v/>
      </c>
      <c r="AD972" s="14" t="str">
        <f aca="false">IF($D972&lt;&gt;1,"",IF(AND($G972="IKS",$AI972&lt;&gt;1,OR($L972-$P972&lt;$N972,$M972-$Q972&lt;$O972)),1,0))</f>
        <v/>
      </c>
      <c r="AE972" s="14" t="str">
        <f aca="false">IF($D972&lt;&gt;1,"",IF(AND($G972="ROKS",$T972&gt;p_maxworkers),1,0))</f>
        <v/>
      </c>
      <c r="AF972" s="14" t="str">
        <f aca="false">IF($D972&lt;&gt;1,"",IF(INDEX(TblClusters[Environnement],$B972)="","(vide)",INDEX(TblClusters[Environnement],$B972)))</f>
        <v/>
      </c>
      <c r="AG972" s="14" t="str">
        <f aca="false">IF($D972&lt;&gt;1,"",$R972+p_poidsram*$S972)</f>
        <v/>
      </c>
      <c r="AH972" s="14" t="str">
        <f aca="false">IF($D972&lt;&gt;1,"",IFERROR($W972/$AG972,0))</f>
        <v/>
      </c>
      <c r="AI972" s="14" t="str">
        <f aca="false">IF($D972&lt;&gt;1,"",IF(AND($G972="IKS",ISNUMBER(INDEX(TblClusters[Fermeture retenue],$B972))),IF($E972&gt;=INDEX(TblClusters[Fermeture retenue],$B972),1,0),0))</f>
        <v/>
      </c>
    </row>
    <row r="973" customFormat="false" ht="15" hidden="false" customHeight="false" outlineLevel="0" collapsed="false">
      <c r="A973" s="14" t="n">
        <v>968</v>
      </c>
      <c r="B973" s="14" t="n">
        <f aca="false">INT(($A973-1)/36)+1</f>
        <v>27</v>
      </c>
      <c r="C973" s="14" t="n">
        <f aca="false">MOD($A973-1,36)+1</f>
        <v>32</v>
      </c>
      <c r="D973" s="14" t="n">
        <f aca="false">IF($C973&gt;p_horizon,0,IFERROR(IF(AND(INDEX(TblClusters[Cluster],$B973)&lt;&gt;"",ISNUMBER(INDEX(TblClusters[CPU initial (vCPU)],$B973)),ISNUMBER(INDEX(TblClusters[CPU min (vCPU)],$B973)),OR(INDEX(TblClusters[Plateforme],$B973)="IKS",INDEX(TblClusters[Plateforme],$B973)="ROKS")),1,0),0))</f>
        <v>0</v>
      </c>
      <c r="E973" s="83" t="str">
        <f aca="false">IF($D973=1,EDATE(p_debut,$C973-1),"")</f>
        <v/>
      </c>
      <c r="F973" s="14" t="str">
        <f aca="false">IF($D973=1,INDEX(TblClusters[Cluster],$B973),"")</f>
        <v/>
      </c>
      <c r="G973" s="14" t="str">
        <f aca="false">IF($D973=1,INDEX(TblClusters[Plateforme],$B973),"")</f>
        <v/>
      </c>
      <c r="H973" s="14" t="str">
        <f aca="false">IF($D973=1,INDEX(TblClusters[vCPU par nœud],$B973),"")</f>
        <v/>
      </c>
      <c r="I973" s="14" t="str">
        <f aca="false">IF($D973=1,INDEX(TblClusters[RAM par nœud (Go)],$B973),"")</f>
        <v/>
      </c>
      <c r="J973" s="14" t="str">
        <f aca="false">IF($D973=1,INDEX(TblClusters[Workers min],$B973),"")</f>
        <v/>
      </c>
      <c r="K973" s="84" t="str">
        <f aca="false">IF($D973=1,INDEX(TblClusters[Tarif par nœud],$B973),"")</f>
        <v/>
      </c>
      <c r="L973" s="14" t="str">
        <f aca="false">IF($D973=1,INDEX(TblClusters[CPU initial (vCPU)],$B973),"")</f>
        <v/>
      </c>
      <c r="M973" s="14" t="str">
        <f aca="false">IF($D973=1,INDEX(TblClusters[RAM initiale (Go)],$B973),"")</f>
        <v/>
      </c>
      <c r="N973" s="14" t="str">
        <f aca="false">IF($D973=1,INDEX(TblClusters[CPU min (vCPU)],$B973),"")</f>
        <v/>
      </c>
      <c r="O973" s="14" t="str">
        <f aca="false">IF($D973=1,INDEX(TblClusters[RAM min (Go)],$B973),"")</f>
        <v/>
      </c>
      <c r="P973" s="14" t="str">
        <f aca="false">IF($D973&lt;&gt;1,"",IF($G973="ROKS",SUMIFS(TblApplications[Besoin ROKS CPU (vCPU)],TblApplications[Cluster ROKS cible],$F973,TblApplications[Action],"À migrer",TblApplications[Déjà incluse ROKS],"Non",TblApplications[Mois prov (calc)],"&lt;="&amp;$E973),SUMIFS(TblApplications[CPU IKS libérable (vCPU)],TblApplications[Cluster IKS source],$F973,TblApplications[Mois lib (calc)],"&lt;="&amp;$E973)))</f>
        <v/>
      </c>
      <c r="Q973" s="14" t="str">
        <f aca="false">IF($D973&lt;&gt;1,"",IF($G973="ROKS",SUMIFS(TblApplications[Besoin ROKS RAM (Go)],TblApplications[Cluster ROKS cible],$F973,TblApplications[Action],"À migrer",TblApplications[Déjà incluse ROKS],"Non",TblApplications[Mois prov (calc)],"&lt;="&amp;$E973),SUMIFS(TblApplications[RAM IKS libérable (Go)],TblApplications[Cluster IKS source],$F973,TblApplications[Mois lib (calc)],"&lt;="&amp;$E973)))</f>
        <v/>
      </c>
      <c r="R973" s="14" t="str">
        <f aca="false">IF($D973&lt;&gt;1,"",IF($G973="ROKS",$L973+$P973,IF($AI973=1,0,MAX($N973,$L973-$P973))))</f>
        <v/>
      </c>
      <c r="S973" s="14" t="str">
        <f aca="false">IF($D973&lt;&gt;1,"",IF($G973="ROKS",$M973+$Q973,IF($AI973=1,0,MAX($O973,$M973-$Q973))))</f>
        <v/>
      </c>
      <c r="T973" s="14" t="str">
        <f aca="false">IF($D973&lt;&gt;1,"",IF($AI973=1,0,MAX($J973,ROUNDUP(MAX($R973/$H973,$S973/$I973),0))))</f>
        <v/>
      </c>
      <c r="U973" s="14" t="str">
        <f aca="false">IF($D973&lt;&gt;1,"",IF(p_mode="Nœud",$T973*$H973,$R973))</f>
        <v/>
      </c>
      <c r="V973" s="14" t="str">
        <f aca="false">IF($D973&lt;&gt;1,"",IF(p_mode="Nœud",$T973*$I973,$S973))</f>
        <v/>
      </c>
      <c r="W973" s="84" t="str">
        <f aca="false">IF($D973&lt;&gt;1,"",IF(p_mode="Nœud",$T973*$K973,$R973*IF($G973="IKS",p_iks_cpu,p_roks_cpu)+$S973*IF($G973="IKS",p_iks_ram,p_roks_ram))*p_facteur)</f>
        <v/>
      </c>
      <c r="X973" s="14" t="str">
        <f aca="false">IF($D973&lt;&gt;1,"",IF($G973="ROKS",$R973,IF($AI973=1,0,MAX($N973,$L973-SUMIFS(TblApplications[CPU IKS libérable (vCPU)],TblApplications[Cluster IKS source],$F973,TblApplications[Action],"À migrer",TblApplications[Mois prov (calc)],"&lt;="&amp;$E973)-SUMIFS(TblApplications[CPU IKS libérable (vCPU)],TblApplications[Cluster IKS source],$F973,TblApplications[Action],"À décommissionner",TblApplications[Mois lib (calc)],"&lt;="&amp;$E973)))))</f>
        <v/>
      </c>
      <c r="Y973" s="14" t="str">
        <f aca="false">IF($D973&lt;&gt;1,"",IF($G973="ROKS",$S973,IF($AI973=1,0,MAX($O973,$M973-SUMIFS(TblApplications[RAM IKS libérable (Go)],TblApplications[Cluster IKS source],$F973,TblApplications[Action],"À migrer",TblApplications[Mois prov (calc)],"&lt;="&amp;$E973)-SUMIFS(TblApplications[RAM IKS libérable (Go)],TblApplications[Cluster IKS source],$F973,TblApplications[Action],"À décommissionner",TblApplications[Mois lib (calc)],"&lt;="&amp;$E973)))))</f>
        <v/>
      </c>
      <c r="Z973" s="14" t="str">
        <f aca="false">IF($D973&lt;&gt;1,"",IF($AI973=1,0,MAX($J973,ROUNDUP(MAX($X973/$H973,$Y973/$I973),0))))</f>
        <v/>
      </c>
      <c r="AA973" s="84" t="str">
        <f aca="false">IF($D973&lt;&gt;1,"",IF(p_mode="Nœud",$Z973*$K973,$X973*IF($G973="IKS",p_iks_cpu,p_roks_cpu)+$Y973*IF($G973="IKS",p_iks_ram,p_roks_ram))*p_facteur)</f>
        <v/>
      </c>
      <c r="AB973" s="14" t="str">
        <f aca="false">IF($D973&lt;&gt;1,"",MAX($J973,ROUNDUP(MAX($L973/$H973,$M973/$I973),0)))</f>
        <v/>
      </c>
      <c r="AC973" s="84" t="str">
        <f aca="false">IF($D973&lt;&gt;1,"",IF(p_mode="Nœud",$AB973*$K973,$L973*IF($G973="IKS",p_iks_cpu,p_roks_cpu)+$M973*IF($G973="IKS",p_iks_ram,p_roks_ram))*p_facteur)</f>
        <v/>
      </c>
      <c r="AD973" s="14" t="str">
        <f aca="false">IF($D973&lt;&gt;1,"",IF(AND($G973="IKS",$AI973&lt;&gt;1,OR($L973-$P973&lt;$N973,$M973-$Q973&lt;$O973)),1,0))</f>
        <v/>
      </c>
      <c r="AE973" s="14" t="str">
        <f aca="false">IF($D973&lt;&gt;1,"",IF(AND($G973="ROKS",$T973&gt;p_maxworkers),1,0))</f>
        <v/>
      </c>
      <c r="AF973" s="14" t="str">
        <f aca="false">IF($D973&lt;&gt;1,"",IF(INDEX(TblClusters[Environnement],$B973)="","(vide)",INDEX(TblClusters[Environnement],$B973)))</f>
        <v/>
      </c>
      <c r="AG973" s="14" t="str">
        <f aca="false">IF($D973&lt;&gt;1,"",$R973+p_poidsram*$S973)</f>
        <v/>
      </c>
      <c r="AH973" s="14" t="str">
        <f aca="false">IF($D973&lt;&gt;1,"",IFERROR($W973/$AG973,0))</f>
        <v/>
      </c>
      <c r="AI973" s="14" t="str">
        <f aca="false">IF($D973&lt;&gt;1,"",IF(AND($G973="IKS",ISNUMBER(INDEX(TblClusters[Fermeture retenue],$B973))),IF($E973&gt;=INDEX(TblClusters[Fermeture retenue],$B973),1,0),0))</f>
        <v/>
      </c>
    </row>
    <row r="974" customFormat="false" ht="15" hidden="false" customHeight="false" outlineLevel="0" collapsed="false">
      <c r="A974" s="14" t="n">
        <v>969</v>
      </c>
      <c r="B974" s="14" t="n">
        <f aca="false">INT(($A974-1)/36)+1</f>
        <v>27</v>
      </c>
      <c r="C974" s="14" t="n">
        <f aca="false">MOD($A974-1,36)+1</f>
        <v>33</v>
      </c>
      <c r="D974" s="14" t="n">
        <f aca="false">IF($C974&gt;p_horizon,0,IFERROR(IF(AND(INDEX(TblClusters[Cluster],$B974)&lt;&gt;"",ISNUMBER(INDEX(TblClusters[CPU initial (vCPU)],$B974)),ISNUMBER(INDEX(TblClusters[CPU min (vCPU)],$B974)),OR(INDEX(TblClusters[Plateforme],$B974)="IKS",INDEX(TblClusters[Plateforme],$B974)="ROKS")),1,0),0))</f>
        <v>0</v>
      </c>
      <c r="E974" s="83" t="str">
        <f aca="false">IF($D974=1,EDATE(p_debut,$C974-1),"")</f>
        <v/>
      </c>
      <c r="F974" s="14" t="str">
        <f aca="false">IF($D974=1,INDEX(TblClusters[Cluster],$B974),"")</f>
        <v/>
      </c>
      <c r="G974" s="14" t="str">
        <f aca="false">IF($D974=1,INDEX(TblClusters[Plateforme],$B974),"")</f>
        <v/>
      </c>
      <c r="H974" s="14" t="str">
        <f aca="false">IF($D974=1,INDEX(TblClusters[vCPU par nœud],$B974),"")</f>
        <v/>
      </c>
      <c r="I974" s="14" t="str">
        <f aca="false">IF($D974=1,INDEX(TblClusters[RAM par nœud (Go)],$B974),"")</f>
        <v/>
      </c>
      <c r="J974" s="14" t="str">
        <f aca="false">IF($D974=1,INDEX(TblClusters[Workers min],$B974),"")</f>
        <v/>
      </c>
      <c r="K974" s="84" t="str">
        <f aca="false">IF($D974=1,INDEX(TblClusters[Tarif par nœud],$B974),"")</f>
        <v/>
      </c>
      <c r="L974" s="14" t="str">
        <f aca="false">IF($D974=1,INDEX(TblClusters[CPU initial (vCPU)],$B974),"")</f>
        <v/>
      </c>
      <c r="M974" s="14" t="str">
        <f aca="false">IF($D974=1,INDEX(TblClusters[RAM initiale (Go)],$B974),"")</f>
        <v/>
      </c>
      <c r="N974" s="14" t="str">
        <f aca="false">IF($D974=1,INDEX(TblClusters[CPU min (vCPU)],$B974),"")</f>
        <v/>
      </c>
      <c r="O974" s="14" t="str">
        <f aca="false">IF($D974=1,INDEX(TblClusters[RAM min (Go)],$B974),"")</f>
        <v/>
      </c>
      <c r="P974" s="14" t="str">
        <f aca="false">IF($D974&lt;&gt;1,"",IF($G974="ROKS",SUMIFS(TblApplications[Besoin ROKS CPU (vCPU)],TblApplications[Cluster ROKS cible],$F974,TblApplications[Action],"À migrer",TblApplications[Déjà incluse ROKS],"Non",TblApplications[Mois prov (calc)],"&lt;="&amp;$E974),SUMIFS(TblApplications[CPU IKS libérable (vCPU)],TblApplications[Cluster IKS source],$F974,TblApplications[Mois lib (calc)],"&lt;="&amp;$E974)))</f>
        <v/>
      </c>
      <c r="Q974" s="14" t="str">
        <f aca="false">IF($D974&lt;&gt;1,"",IF($G974="ROKS",SUMIFS(TblApplications[Besoin ROKS RAM (Go)],TblApplications[Cluster ROKS cible],$F974,TblApplications[Action],"À migrer",TblApplications[Déjà incluse ROKS],"Non",TblApplications[Mois prov (calc)],"&lt;="&amp;$E974),SUMIFS(TblApplications[RAM IKS libérable (Go)],TblApplications[Cluster IKS source],$F974,TblApplications[Mois lib (calc)],"&lt;="&amp;$E974)))</f>
        <v/>
      </c>
      <c r="R974" s="14" t="str">
        <f aca="false">IF($D974&lt;&gt;1,"",IF($G974="ROKS",$L974+$P974,IF($AI974=1,0,MAX($N974,$L974-$P974))))</f>
        <v/>
      </c>
      <c r="S974" s="14" t="str">
        <f aca="false">IF($D974&lt;&gt;1,"",IF($G974="ROKS",$M974+$Q974,IF($AI974=1,0,MAX($O974,$M974-$Q974))))</f>
        <v/>
      </c>
      <c r="T974" s="14" t="str">
        <f aca="false">IF($D974&lt;&gt;1,"",IF($AI974=1,0,MAX($J974,ROUNDUP(MAX($R974/$H974,$S974/$I974),0))))</f>
        <v/>
      </c>
      <c r="U974" s="14" t="str">
        <f aca="false">IF($D974&lt;&gt;1,"",IF(p_mode="Nœud",$T974*$H974,$R974))</f>
        <v/>
      </c>
      <c r="V974" s="14" t="str">
        <f aca="false">IF($D974&lt;&gt;1,"",IF(p_mode="Nœud",$T974*$I974,$S974))</f>
        <v/>
      </c>
      <c r="W974" s="84" t="str">
        <f aca="false">IF($D974&lt;&gt;1,"",IF(p_mode="Nœud",$T974*$K974,$R974*IF($G974="IKS",p_iks_cpu,p_roks_cpu)+$S974*IF($G974="IKS",p_iks_ram,p_roks_ram))*p_facteur)</f>
        <v/>
      </c>
      <c r="X974" s="14" t="str">
        <f aca="false">IF($D974&lt;&gt;1,"",IF($G974="ROKS",$R974,IF($AI974=1,0,MAX($N974,$L974-SUMIFS(TblApplications[CPU IKS libérable (vCPU)],TblApplications[Cluster IKS source],$F974,TblApplications[Action],"À migrer",TblApplications[Mois prov (calc)],"&lt;="&amp;$E974)-SUMIFS(TblApplications[CPU IKS libérable (vCPU)],TblApplications[Cluster IKS source],$F974,TblApplications[Action],"À décommissionner",TblApplications[Mois lib (calc)],"&lt;="&amp;$E974)))))</f>
        <v/>
      </c>
      <c r="Y974" s="14" t="str">
        <f aca="false">IF($D974&lt;&gt;1,"",IF($G974="ROKS",$S974,IF($AI974=1,0,MAX($O974,$M974-SUMIFS(TblApplications[RAM IKS libérable (Go)],TblApplications[Cluster IKS source],$F974,TblApplications[Action],"À migrer",TblApplications[Mois prov (calc)],"&lt;="&amp;$E974)-SUMIFS(TblApplications[RAM IKS libérable (Go)],TblApplications[Cluster IKS source],$F974,TblApplications[Action],"À décommissionner",TblApplications[Mois lib (calc)],"&lt;="&amp;$E974)))))</f>
        <v/>
      </c>
      <c r="Z974" s="14" t="str">
        <f aca="false">IF($D974&lt;&gt;1,"",IF($AI974=1,0,MAX($J974,ROUNDUP(MAX($X974/$H974,$Y974/$I974),0))))</f>
        <v/>
      </c>
      <c r="AA974" s="84" t="str">
        <f aca="false">IF($D974&lt;&gt;1,"",IF(p_mode="Nœud",$Z974*$K974,$X974*IF($G974="IKS",p_iks_cpu,p_roks_cpu)+$Y974*IF($G974="IKS",p_iks_ram,p_roks_ram))*p_facteur)</f>
        <v/>
      </c>
      <c r="AB974" s="14" t="str">
        <f aca="false">IF($D974&lt;&gt;1,"",MAX($J974,ROUNDUP(MAX($L974/$H974,$M974/$I974),0)))</f>
        <v/>
      </c>
      <c r="AC974" s="84" t="str">
        <f aca="false">IF($D974&lt;&gt;1,"",IF(p_mode="Nœud",$AB974*$K974,$L974*IF($G974="IKS",p_iks_cpu,p_roks_cpu)+$M974*IF($G974="IKS",p_iks_ram,p_roks_ram))*p_facteur)</f>
        <v/>
      </c>
      <c r="AD974" s="14" t="str">
        <f aca="false">IF($D974&lt;&gt;1,"",IF(AND($G974="IKS",$AI974&lt;&gt;1,OR($L974-$P974&lt;$N974,$M974-$Q974&lt;$O974)),1,0))</f>
        <v/>
      </c>
      <c r="AE974" s="14" t="str">
        <f aca="false">IF($D974&lt;&gt;1,"",IF(AND($G974="ROKS",$T974&gt;p_maxworkers),1,0))</f>
        <v/>
      </c>
      <c r="AF974" s="14" t="str">
        <f aca="false">IF($D974&lt;&gt;1,"",IF(INDEX(TblClusters[Environnement],$B974)="","(vide)",INDEX(TblClusters[Environnement],$B974)))</f>
        <v/>
      </c>
      <c r="AG974" s="14" t="str">
        <f aca="false">IF($D974&lt;&gt;1,"",$R974+p_poidsram*$S974)</f>
        <v/>
      </c>
      <c r="AH974" s="14" t="str">
        <f aca="false">IF($D974&lt;&gt;1,"",IFERROR($W974/$AG974,0))</f>
        <v/>
      </c>
      <c r="AI974" s="14" t="str">
        <f aca="false">IF($D974&lt;&gt;1,"",IF(AND($G974="IKS",ISNUMBER(INDEX(TblClusters[Fermeture retenue],$B974))),IF($E974&gt;=INDEX(TblClusters[Fermeture retenue],$B974),1,0),0))</f>
        <v/>
      </c>
    </row>
    <row r="975" customFormat="false" ht="15" hidden="false" customHeight="false" outlineLevel="0" collapsed="false">
      <c r="A975" s="14" t="n">
        <v>970</v>
      </c>
      <c r="B975" s="14" t="n">
        <f aca="false">INT(($A975-1)/36)+1</f>
        <v>27</v>
      </c>
      <c r="C975" s="14" t="n">
        <f aca="false">MOD($A975-1,36)+1</f>
        <v>34</v>
      </c>
      <c r="D975" s="14" t="n">
        <f aca="false">IF($C975&gt;p_horizon,0,IFERROR(IF(AND(INDEX(TblClusters[Cluster],$B975)&lt;&gt;"",ISNUMBER(INDEX(TblClusters[CPU initial (vCPU)],$B975)),ISNUMBER(INDEX(TblClusters[CPU min (vCPU)],$B975)),OR(INDEX(TblClusters[Plateforme],$B975)="IKS",INDEX(TblClusters[Plateforme],$B975)="ROKS")),1,0),0))</f>
        <v>0</v>
      </c>
      <c r="E975" s="83" t="str">
        <f aca="false">IF($D975=1,EDATE(p_debut,$C975-1),"")</f>
        <v/>
      </c>
      <c r="F975" s="14" t="str">
        <f aca="false">IF($D975=1,INDEX(TblClusters[Cluster],$B975),"")</f>
        <v/>
      </c>
      <c r="G975" s="14" t="str">
        <f aca="false">IF($D975=1,INDEX(TblClusters[Plateforme],$B975),"")</f>
        <v/>
      </c>
      <c r="H975" s="14" t="str">
        <f aca="false">IF($D975=1,INDEX(TblClusters[vCPU par nœud],$B975),"")</f>
        <v/>
      </c>
      <c r="I975" s="14" t="str">
        <f aca="false">IF($D975=1,INDEX(TblClusters[RAM par nœud (Go)],$B975),"")</f>
        <v/>
      </c>
      <c r="J975" s="14" t="str">
        <f aca="false">IF($D975=1,INDEX(TblClusters[Workers min],$B975),"")</f>
        <v/>
      </c>
      <c r="K975" s="84" t="str">
        <f aca="false">IF($D975=1,INDEX(TblClusters[Tarif par nœud],$B975),"")</f>
        <v/>
      </c>
      <c r="L975" s="14" t="str">
        <f aca="false">IF($D975=1,INDEX(TblClusters[CPU initial (vCPU)],$B975),"")</f>
        <v/>
      </c>
      <c r="M975" s="14" t="str">
        <f aca="false">IF($D975=1,INDEX(TblClusters[RAM initiale (Go)],$B975),"")</f>
        <v/>
      </c>
      <c r="N975" s="14" t="str">
        <f aca="false">IF($D975=1,INDEX(TblClusters[CPU min (vCPU)],$B975),"")</f>
        <v/>
      </c>
      <c r="O975" s="14" t="str">
        <f aca="false">IF($D975=1,INDEX(TblClusters[RAM min (Go)],$B975),"")</f>
        <v/>
      </c>
      <c r="P975" s="14" t="str">
        <f aca="false">IF($D975&lt;&gt;1,"",IF($G975="ROKS",SUMIFS(TblApplications[Besoin ROKS CPU (vCPU)],TblApplications[Cluster ROKS cible],$F975,TblApplications[Action],"À migrer",TblApplications[Déjà incluse ROKS],"Non",TblApplications[Mois prov (calc)],"&lt;="&amp;$E975),SUMIFS(TblApplications[CPU IKS libérable (vCPU)],TblApplications[Cluster IKS source],$F975,TblApplications[Mois lib (calc)],"&lt;="&amp;$E975)))</f>
        <v/>
      </c>
      <c r="Q975" s="14" t="str">
        <f aca="false">IF($D975&lt;&gt;1,"",IF($G975="ROKS",SUMIFS(TblApplications[Besoin ROKS RAM (Go)],TblApplications[Cluster ROKS cible],$F975,TblApplications[Action],"À migrer",TblApplications[Déjà incluse ROKS],"Non",TblApplications[Mois prov (calc)],"&lt;="&amp;$E975),SUMIFS(TblApplications[RAM IKS libérable (Go)],TblApplications[Cluster IKS source],$F975,TblApplications[Mois lib (calc)],"&lt;="&amp;$E975)))</f>
        <v/>
      </c>
      <c r="R975" s="14" t="str">
        <f aca="false">IF($D975&lt;&gt;1,"",IF($G975="ROKS",$L975+$P975,IF($AI975=1,0,MAX($N975,$L975-$P975))))</f>
        <v/>
      </c>
      <c r="S975" s="14" t="str">
        <f aca="false">IF($D975&lt;&gt;1,"",IF($G975="ROKS",$M975+$Q975,IF($AI975=1,0,MAX($O975,$M975-$Q975))))</f>
        <v/>
      </c>
      <c r="T975" s="14" t="str">
        <f aca="false">IF($D975&lt;&gt;1,"",IF($AI975=1,0,MAX($J975,ROUNDUP(MAX($R975/$H975,$S975/$I975),0))))</f>
        <v/>
      </c>
      <c r="U975" s="14" t="str">
        <f aca="false">IF($D975&lt;&gt;1,"",IF(p_mode="Nœud",$T975*$H975,$R975))</f>
        <v/>
      </c>
      <c r="V975" s="14" t="str">
        <f aca="false">IF($D975&lt;&gt;1,"",IF(p_mode="Nœud",$T975*$I975,$S975))</f>
        <v/>
      </c>
      <c r="W975" s="84" t="str">
        <f aca="false">IF($D975&lt;&gt;1,"",IF(p_mode="Nœud",$T975*$K975,$R975*IF($G975="IKS",p_iks_cpu,p_roks_cpu)+$S975*IF($G975="IKS",p_iks_ram,p_roks_ram))*p_facteur)</f>
        <v/>
      </c>
      <c r="X975" s="14" t="str">
        <f aca="false">IF($D975&lt;&gt;1,"",IF($G975="ROKS",$R975,IF($AI975=1,0,MAX($N975,$L975-SUMIFS(TblApplications[CPU IKS libérable (vCPU)],TblApplications[Cluster IKS source],$F975,TblApplications[Action],"À migrer",TblApplications[Mois prov (calc)],"&lt;="&amp;$E975)-SUMIFS(TblApplications[CPU IKS libérable (vCPU)],TblApplications[Cluster IKS source],$F975,TblApplications[Action],"À décommissionner",TblApplications[Mois lib (calc)],"&lt;="&amp;$E975)))))</f>
        <v/>
      </c>
      <c r="Y975" s="14" t="str">
        <f aca="false">IF($D975&lt;&gt;1,"",IF($G975="ROKS",$S975,IF($AI975=1,0,MAX($O975,$M975-SUMIFS(TblApplications[RAM IKS libérable (Go)],TblApplications[Cluster IKS source],$F975,TblApplications[Action],"À migrer",TblApplications[Mois prov (calc)],"&lt;="&amp;$E975)-SUMIFS(TblApplications[RAM IKS libérable (Go)],TblApplications[Cluster IKS source],$F975,TblApplications[Action],"À décommissionner",TblApplications[Mois lib (calc)],"&lt;="&amp;$E975)))))</f>
        <v/>
      </c>
      <c r="Z975" s="14" t="str">
        <f aca="false">IF($D975&lt;&gt;1,"",IF($AI975=1,0,MAX($J975,ROUNDUP(MAX($X975/$H975,$Y975/$I975),0))))</f>
        <v/>
      </c>
      <c r="AA975" s="84" t="str">
        <f aca="false">IF($D975&lt;&gt;1,"",IF(p_mode="Nœud",$Z975*$K975,$X975*IF($G975="IKS",p_iks_cpu,p_roks_cpu)+$Y975*IF($G975="IKS",p_iks_ram,p_roks_ram))*p_facteur)</f>
        <v/>
      </c>
      <c r="AB975" s="14" t="str">
        <f aca="false">IF($D975&lt;&gt;1,"",MAX($J975,ROUNDUP(MAX($L975/$H975,$M975/$I975),0)))</f>
        <v/>
      </c>
      <c r="AC975" s="84" t="str">
        <f aca="false">IF($D975&lt;&gt;1,"",IF(p_mode="Nœud",$AB975*$K975,$L975*IF($G975="IKS",p_iks_cpu,p_roks_cpu)+$M975*IF($G975="IKS",p_iks_ram,p_roks_ram))*p_facteur)</f>
        <v/>
      </c>
      <c r="AD975" s="14" t="str">
        <f aca="false">IF($D975&lt;&gt;1,"",IF(AND($G975="IKS",$AI975&lt;&gt;1,OR($L975-$P975&lt;$N975,$M975-$Q975&lt;$O975)),1,0))</f>
        <v/>
      </c>
      <c r="AE975" s="14" t="str">
        <f aca="false">IF($D975&lt;&gt;1,"",IF(AND($G975="ROKS",$T975&gt;p_maxworkers),1,0))</f>
        <v/>
      </c>
      <c r="AF975" s="14" t="str">
        <f aca="false">IF($D975&lt;&gt;1,"",IF(INDEX(TblClusters[Environnement],$B975)="","(vide)",INDEX(TblClusters[Environnement],$B975)))</f>
        <v/>
      </c>
      <c r="AG975" s="14" t="str">
        <f aca="false">IF($D975&lt;&gt;1,"",$R975+p_poidsram*$S975)</f>
        <v/>
      </c>
      <c r="AH975" s="14" t="str">
        <f aca="false">IF($D975&lt;&gt;1,"",IFERROR($W975/$AG975,0))</f>
        <v/>
      </c>
      <c r="AI975" s="14" t="str">
        <f aca="false">IF($D975&lt;&gt;1,"",IF(AND($G975="IKS",ISNUMBER(INDEX(TblClusters[Fermeture retenue],$B975))),IF($E975&gt;=INDEX(TblClusters[Fermeture retenue],$B975),1,0),0))</f>
        <v/>
      </c>
    </row>
    <row r="976" customFormat="false" ht="15" hidden="false" customHeight="false" outlineLevel="0" collapsed="false">
      <c r="A976" s="14" t="n">
        <v>971</v>
      </c>
      <c r="B976" s="14" t="n">
        <f aca="false">INT(($A976-1)/36)+1</f>
        <v>27</v>
      </c>
      <c r="C976" s="14" t="n">
        <f aca="false">MOD($A976-1,36)+1</f>
        <v>35</v>
      </c>
      <c r="D976" s="14" t="n">
        <f aca="false">IF($C976&gt;p_horizon,0,IFERROR(IF(AND(INDEX(TblClusters[Cluster],$B976)&lt;&gt;"",ISNUMBER(INDEX(TblClusters[CPU initial (vCPU)],$B976)),ISNUMBER(INDEX(TblClusters[CPU min (vCPU)],$B976)),OR(INDEX(TblClusters[Plateforme],$B976)="IKS",INDEX(TblClusters[Plateforme],$B976)="ROKS")),1,0),0))</f>
        <v>0</v>
      </c>
      <c r="E976" s="83" t="str">
        <f aca="false">IF($D976=1,EDATE(p_debut,$C976-1),"")</f>
        <v/>
      </c>
      <c r="F976" s="14" t="str">
        <f aca="false">IF($D976=1,INDEX(TblClusters[Cluster],$B976),"")</f>
        <v/>
      </c>
      <c r="G976" s="14" t="str">
        <f aca="false">IF($D976=1,INDEX(TblClusters[Plateforme],$B976),"")</f>
        <v/>
      </c>
      <c r="H976" s="14" t="str">
        <f aca="false">IF($D976=1,INDEX(TblClusters[vCPU par nœud],$B976),"")</f>
        <v/>
      </c>
      <c r="I976" s="14" t="str">
        <f aca="false">IF($D976=1,INDEX(TblClusters[RAM par nœud (Go)],$B976),"")</f>
        <v/>
      </c>
      <c r="J976" s="14" t="str">
        <f aca="false">IF($D976=1,INDEX(TblClusters[Workers min],$B976),"")</f>
        <v/>
      </c>
      <c r="K976" s="84" t="str">
        <f aca="false">IF($D976=1,INDEX(TblClusters[Tarif par nœud],$B976),"")</f>
        <v/>
      </c>
      <c r="L976" s="14" t="str">
        <f aca="false">IF($D976=1,INDEX(TblClusters[CPU initial (vCPU)],$B976),"")</f>
        <v/>
      </c>
      <c r="M976" s="14" t="str">
        <f aca="false">IF($D976=1,INDEX(TblClusters[RAM initiale (Go)],$B976),"")</f>
        <v/>
      </c>
      <c r="N976" s="14" t="str">
        <f aca="false">IF($D976=1,INDEX(TblClusters[CPU min (vCPU)],$B976),"")</f>
        <v/>
      </c>
      <c r="O976" s="14" t="str">
        <f aca="false">IF($D976=1,INDEX(TblClusters[RAM min (Go)],$B976),"")</f>
        <v/>
      </c>
      <c r="P976" s="14" t="str">
        <f aca="false">IF($D976&lt;&gt;1,"",IF($G976="ROKS",SUMIFS(TblApplications[Besoin ROKS CPU (vCPU)],TblApplications[Cluster ROKS cible],$F976,TblApplications[Action],"À migrer",TblApplications[Déjà incluse ROKS],"Non",TblApplications[Mois prov (calc)],"&lt;="&amp;$E976),SUMIFS(TblApplications[CPU IKS libérable (vCPU)],TblApplications[Cluster IKS source],$F976,TblApplications[Mois lib (calc)],"&lt;="&amp;$E976)))</f>
        <v/>
      </c>
      <c r="Q976" s="14" t="str">
        <f aca="false">IF($D976&lt;&gt;1,"",IF($G976="ROKS",SUMIFS(TblApplications[Besoin ROKS RAM (Go)],TblApplications[Cluster ROKS cible],$F976,TblApplications[Action],"À migrer",TblApplications[Déjà incluse ROKS],"Non",TblApplications[Mois prov (calc)],"&lt;="&amp;$E976),SUMIFS(TblApplications[RAM IKS libérable (Go)],TblApplications[Cluster IKS source],$F976,TblApplications[Mois lib (calc)],"&lt;="&amp;$E976)))</f>
        <v/>
      </c>
      <c r="R976" s="14" t="str">
        <f aca="false">IF($D976&lt;&gt;1,"",IF($G976="ROKS",$L976+$P976,IF($AI976=1,0,MAX($N976,$L976-$P976))))</f>
        <v/>
      </c>
      <c r="S976" s="14" t="str">
        <f aca="false">IF($D976&lt;&gt;1,"",IF($G976="ROKS",$M976+$Q976,IF($AI976=1,0,MAX($O976,$M976-$Q976))))</f>
        <v/>
      </c>
      <c r="T976" s="14" t="str">
        <f aca="false">IF($D976&lt;&gt;1,"",IF($AI976=1,0,MAX($J976,ROUNDUP(MAX($R976/$H976,$S976/$I976),0))))</f>
        <v/>
      </c>
      <c r="U976" s="14" t="str">
        <f aca="false">IF($D976&lt;&gt;1,"",IF(p_mode="Nœud",$T976*$H976,$R976))</f>
        <v/>
      </c>
      <c r="V976" s="14" t="str">
        <f aca="false">IF($D976&lt;&gt;1,"",IF(p_mode="Nœud",$T976*$I976,$S976))</f>
        <v/>
      </c>
      <c r="W976" s="84" t="str">
        <f aca="false">IF($D976&lt;&gt;1,"",IF(p_mode="Nœud",$T976*$K976,$R976*IF($G976="IKS",p_iks_cpu,p_roks_cpu)+$S976*IF($G976="IKS",p_iks_ram,p_roks_ram))*p_facteur)</f>
        <v/>
      </c>
      <c r="X976" s="14" t="str">
        <f aca="false">IF($D976&lt;&gt;1,"",IF($G976="ROKS",$R976,IF($AI976=1,0,MAX($N976,$L976-SUMIFS(TblApplications[CPU IKS libérable (vCPU)],TblApplications[Cluster IKS source],$F976,TblApplications[Action],"À migrer",TblApplications[Mois prov (calc)],"&lt;="&amp;$E976)-SUMIFS(TblApplications[CPU IKS libérable (vCPU)],TblApplications[Cluster IKS source],$F976,TblApplications[Action],"À décommissionner",TblApplications[Mois lib (calc)],"&lt;="&amp;$E976)))))</f>
        <v/>
      </c>
      <c r="Y976" s="14" t="str">
        <f aca="false">IF($D976&lt;&gt;1,"",IF($G976="ROKS",$S976,IF($AI976=1,0,MAX($O976,$M976-SUMIFS(TblApplications[RAM IKS libérable (Go)],TblApplications[Cluster IKS source],$F976,TblApplications[Action],"À migrer",TblApplications[Mois prov (calc)],"&lt;="&amp;$E976)-SUMIFS(TblApplications[RAM IKS libérable (Go)],TblApplications[Cluster IKS source],$F976,TblApplications[Action],"À décommissionner",TblApplications[Mois lib (calc)],"&lt;="&amp;$E976)))))</f>
        <v/>
      </c>
      <c r="Z976" s="14" t="str">
        <f aca="false">IF($D976&lt;&gt;1,"",IF($AI976=1,0,MAX($J976,ROUNDUP(MAX($X976/$H976,$Y976/$I976),0))))</f>
        <v/>
      </c>
      <c r="AA976" s="84" t="str">
        <f aca="false">IF($D976&lt;&gt;1,"",IF(p_mode="Nœud",$Z976*$K976,$X976*IF($G976="IKS",p_iks_cpu,p_roks_cpu)+$Y976*IF($G976="IKS",p_iks_ram,p_roks_ram))*p_facteur)</f>
        <v/>
      </c>
      <c r="AB976" s="14" t="str">
        <f aca="false">IF($D976&lt;&gt;1,"",MAX($J976,ROUNDUP(MAX($L976/$H976,$M976/$I976),0)))</f>
        <v/>
      </c>
      <c r="AC976" s="84" t="str">
        <f aca="false">IF($D976&lt;&gt;1,"",IF(p_mode="Nœud",$AB976*$K976,$L976*IF($G976="IKS",p_iks_cpu,p_roks_cpu)+$M976*IF($G976="IKS",p_iks_ram,p_roks_ram))*p_facteur)</f>
        <v/>
      </c>
      <c r="AD976" s="14" t="str">
        <f aca="false">IF($D976&lt;&gt;1,"",IF(AND($G976="IKS",$AI976&lt;&gt;1,OR($L976-$P976&lt;$N976,$M976-$Q976&lt;$O976)),1,0))</f>
        <v/>
      </c>
      <c r="AE976" s="14" t="str">
        <f aca="false">IF($D976&lt;&gt;1,"",IF(AND($G976="ROKS",$T976&gt;p_maxworkers),1,0))</f>
        <v/>
      </c>
      <c r="AF976" s="14" t="str">
        <f aca="false">IF($D976&lt;&gt;1,"",IF(INDEX(TblClusters[Environnement],$B976)="","(vide)",INDEX(TblClusters[Environnement],$B976)))</f>
        <v/>
      </c>
      <c r="AG976" s="14" t="str">
        <f aca="false">IF($D976&lt;&gt;1,"",$R976+p_poidsram*$S976)</f>
        <v/>
      </c>
      <c r="AH976" s="14" t="str">
        <f aca="false">IF($D976&lt;&gt;1,"",IFERROR($W976/$AG976,0))</f>
        <v/>
      </c>
      <c r="AI976" s="14" t="str">
        <f aca="false">IF($D976&lt;&gt;1,"",IF(AND($G976="IKS",ISNUMBER(INDEX(TblClusters[Fermeture retenue],$B976))),IF($E976&gt;=INDEX(TblClusters[Fermeture retenue],$B976),1,0),0))</f>
        <v/>
      </c>
    </row>
    <row r="977" customFormat="false" ht="15" hidden="false" customHeight="false" outlineLevel="0" collapsed="false">
      <c r="A977" s="14" t="n">
        <v>972</v>
      </c>
      <c r="B977" s="14" t="n">
        <f aca="false">INT(($A977-1)/36)+1</f>
        <v>27</v>
      </c>
      <c r="C977" s="14" t="n">
        <f aca="false">MOD($A977-1,36)+1</f>
        <v>36</v>
      </c>
      <c r="D977" s="14" t="n">
        <f aca="false">IF($C977&gt;p_horizon,0,IFERROR(IF(AND(INDEX(TblClusters[Cluster],$B977)&lt;&gt;"",ISNUMBER(INDEX(TblClusters[CPU initial (vCPU)],$B977)),ISNUMBER(INDEX(TblClusters[CPU min (vCPU)],$B977)),OR(INDEX(TblClusters[Plateforme],$B977)="IKS",INDEX(TblClusters[Plateforme],$B977)="ROKS")),1,0),0))</f>
        <v>0</v>
      </c>
      <c r="E977" s="83" t="str">
        <f aca="false">IF($D977=1,EDATE(p_debut,$C977-1),"")</f>
        <v/>
      </c>
      <c r="F977" s="14" t="str">
        <f aca="false">IF($D977=1,INDEX(TblClusters[Cluster],$B977),"")</f>
        <v/>
      </c>
      <c r="G977" s="14" t="str">
        <f aca="false">IF($D977=1,INDEX(TblClusters[Plateforme],$B977),"")</f>
        <v/>
      </c>
      <c r="H977" s="14" t="str">
        <f aca="false">IF($D977=1,INDEX(TblClusters[vCPU par nœud],$B977),"")</f>
        <v/>
      </c>
      <c r="I977" s="14" t="str">
        <f aca="false">IF($D977=1,INDEX(TblClusters[RAM par nœud (Go)],$B977),"")</f>
        <v/>
      </c>
      <c r="J977" s="14" t="str">
        <f aca="false">IF($D977=1,INDEX(TblClusters[Workers min],$B977),"")</f>
        <v/>
      </c>
      <c r="K977" s="84" t="str">
        <f aca="false">IF($D977=1,INDEX(TblClusters[Tarif par nœud],$B977),"")</f>
        <v/>
      </c>
      <c r="L977" s="14" t="str">
        <f aca="false">IF($D977=1,INDEX(TblClusters[CPU initial (vCPU)],$B977),"")</f>
        <v/>
      </c>
      <c r="M977" s="14" t="str">
        <f aca="false">IF($D977=1,INDEX(TblClusters[RAM initiale (Go)],$B977),"")</f>
        <v/>
      </c>
      <c r="N977" s="14" t="str">
        <f aca="false">IF($D977=1,INDEX(TblClusters[CPU min (vCPU)],$B977),"")</f>
        <v/>
      </c>
      <c r="O977" s="14" t="str">
        <f aca="false">IF($D977=1,INDEX(TblClusters[RAM min (Go)],$B977),"")</f>
        <v/>
      </c>
      <c r="P977" s="14" t="str">
        <f aca="false">IF($D977&lt;&gt;1,"",IF($G977="ROKS",SUMIFS(TblApplications[Besoin ROKS CPU (vCPU)],TblApplications[Cluster ROKS cible],$F977,TblApplications[Action],"À migrer",TblApplications[Déjà incluse ROKS],"Non",TblApplications[Mois prov (calc)],"&lt;="&amp;$E977),SUMIFS(TblApplications[CPU IKS libérable (vCPU)],TblApplications[Cluster IKS source],$F977,TblApplications[Mois lib (calc)],"&lt;="&amp;$E977)))</f>
        <v/>
      </c>
      <c r="Q977" s="14" t="str">
        <f aca="false">IF($D977&lt;&gt;1,"",IF($G977="ROKS",SUMIFS(TblApplications[Besoin ROKS RAM (Go)],TblApplications[Cluster ROKS cible],$F977,TblApplications[Action],"À migrer",TblApplications[Déjà incluse ROKS],"Non",TblApplications[Mois prov (calc)],"&lt;="&amp;$E977),SUMIFS(TblApplications[RAM IKS libérable (Go)],TblApplications[Cluster IKS source],$F977,TblApplications[Mois lib (calc)],"&lt;="&amp;$E977)))</f>
        <v/>
      </c>
      <c r="R977" s="14" t="str">
        <f aca="false">IF($D977&lt;&gt;1,"",IF($G977="ROKS",$L977+$P977,IF($AI977=1,0,MAX($N977,$L977-$P977))))</f>
        <v/>
      </c>
      <c r="S977" s="14" t="str">
        <f aca="false">IF($D977&lt;&gt;1,"",IF($G977="ROKS",$M977+$Q977,IF($AI977=1,0,MAX($O977,$M977-$Q977))))</f>
        <v/>
      </c>
      <c r="T977" s="14" t="str">
        <f aca="false">IF($D977&lt;&gt;1,"",IF($AI977=1,0,MAX($J977,ROUNDUP(MAX($R977/$H977,$S977/$I977),0))))</f>
        <v/>
      </c>
      <c r="U977" s="14" t="str">
        <f aca="false">IF($D977&lt;&gt;1,"",IF(p_mode="Nœud",$T977*$H977,$R977))</f>
        <v/>
      </c>
      <c r="V977" s="14" t="str">
        <f aca="false">IF($D977&lt;&gt;1,"",IF(p_mode="Nœud",$T977*$I977,$S977))</f>
        <v/>
      </c>
      <c r="W977" s="84" t="str">
        <f aca="false">IF($D977&lt;&gt;1,"",IF(p_mode="Nœud",$T977*$K977,$R977*IF($G977="IKS",p_iks_cpu,p_roks_cpu)+$S977*IF($G977="IKS",p_iks_ram,p_roks_ram))*p_facteur)</f>
        <v/>
      </c>
      <c r="X977" s="14" t="str">
        <f aca="false">IF($D977&lt;&gt;1,"",IF($G977="ROKS",$R977,IF($AI977=1,0,MAX($N977,$L977-SUMIFS(TblApplications[CPU IKS libérable (vCPU)],TblApplications[Cluster IKS source],$F977,TblApplications[Action],"À migrer",TblApplications[Mois prov (calc)],"&lt;="&amp;$E977)-SUMIFS(TblApplications[CPU IKS libérable (vCPU)],TblApplications[Cluster IKS source],$F977,TblApplications[Action],"À décommissionner",TblApplications[Mois lib (calc)],"&lt;="&amp;$E977)))))</f>
        <v/>
      </c>
      <c r="Y977" s="14" t="str">
        <f aca="false">IF($D977&lt;&gt;1,"",IF($G977="ROKS",$S977,IF($AI977=1,0,MAX($O977,$M977-SUMIFS(TblApplications[RAM IKS libérable (Go)],TblApplications[Cluster IKS source],$F977,TblApplications[Action],"À migrer",TblApplications[Mois prov (calc)],"&lt;="&amp;$E977)-SUMIFS(TblApplications[RAM IKS libérable (Go)],TblApplications[Cluster IKS source],$F977,TblApplications[Action],"À décommissionner",TblApplications[Mois lib (calc)],"&lt;="&amp;$E977)))))</f>
        <v/>
      </c>
      <c r="Z977" s="14" t="str">
        <f aca="false">IF($D977&lt;&gt;1,"",IF($AI977=1,0,MAX($J977,ROUNDUP(MAX($X977/$H977,$Y977/$I977),0))))</f>
        <v/>
      </c>
      <c r="AA977" s="84" t="str">
        <f aca="false">IF($D977&lt;&gt;1,"",IF(p_mode="Nœud",$Z977*$K977,$X977*IF($G977="IKS",p_iks_cpu,p_roks_cpu)+$Y977*IF($G977="IKS",p_iks_ram,p_roks_ram))*p_facteur)</f>
        <v/>
      </c>
      <c r="AB977" s="14" t="str">
        <f aca="false">IF($D977&lt;&gt;1,"",MAX($J977,ROUNDUP(MAX($L977/$H977,$M977/$I977),0)))</f>
        <v/>
      </c>
      <c r="AC977" s="84" t="str">
        <f aca="false">IF($D977&lt;&gt;1,"",IF(p_mode="Nœud",$AB977*$K977,$L977*IF($G977="IKS",p_iks_cpu,p_roks_cpu)+$M977*IF($G977="IKS",p_iks_ram,p_roks_ram))*p_facteur)</f>
        <v/>
      </c>
      <c r="AD977" s="14" t="str">
        <f aca="false">IF($D977&lt;&gt;1,"",IF(AND($G977="IKS",$AI977&lt;&gt;1,OR($L977-$P977&lt;$N977,$M977-$Q977&lt;$O977)),1,0))</f>
        <v/>
      </c>
      <c r="AE977" s="14" t="str">
        <f aca="false">IF($D977&lt;&gt;1,"",IF(AND($G977="ROKS",$T977&gt;p_maxworkers),1,0))</f>
        <v/>
      </c>
      <c r="AF977" s="14" t="str">
        <f aca="false">IF($D977&lt;&gt;1,"",IF(INDEX(TblClusters[Environnement],$B977)="","(vide)",INDEX(TblClusters[Environnement],$B977)))</f>
        <v/>
      </c>
      <c r="AG977" s="14" t="str">
        <f aca="false">IF($D977&lt;&gt;1,"",$R977+p_poidsram*$S977)</f>
        <v/>
      </c>
      <c r="AH977" s="14" t="str">
        <f aca="false">IF($D977&lt;&gt;1,"",IFERROR($W977/$AG977,0))</f>
        <v/>
      </c>
      <c r="AI977" s="14" t="str">
        <f aca="false">IF($D977&lt;&gt;1,"",IF(AND($G977="IKS",ISNUMBER(INDEX(TblClusters[Fermeture retenue],$B977))),IF($E977&gt;=INDEX(TblClusters[Fermeture retenue],$B977),1,0),0))</f>
        <v/>
      </c>
    </row>
    <row r="978" customFormat="false" ht="15" hidden="false" customHeight="false" outlineLevel="0" collapsed="false">
      <c r="A978" s="14" t="n">
        <v>973</v>
      </c>
      <c r="B978" s="14" t="n">
        <f aca="false">INT(($A978-1)/36)+1</f>
        <v>28</v>
      </c>
      <c r="C978" s="14" t="n">
        <f aca="false">MOD($A978-1,36)+1</f>
        <v>1</v>
      </c>
      <c r="D978" s="14" t="n">
        <f aca="false">IF($C978&gt;p_horizon,0,IFERROR(IF(AND(INDEX(TblClusters[Cluster],$B978)&lt;&gt;"",ISNUMBER(INDEX(TblClusters[CPU initial (vCPU)],$B978)),ISNUMBER(INDEX(TblClusters[CPU min (vCPU)],$B978)),OR(INDEX(TblClusters[Plateforme],$B978)="IKS",INDEX(TblClusters[Plateforme],$B978)="ROKS")),1,0),0))</f>
        <v>0</v>
      </c>
      <c r="E978" s="83" t="str">
        <f aca="false">IF($D978=1,EDATE(p_debut,$C978-1),"")</f>
        <v/>
      </c>
      <c r="F978" s="14" t="str">
        <f aca="false">IF($D978=1,INDEX(TblClusters[Cluster],$B978),"")</f>
        <v/>
      </c>
      <c r="G978" s="14" t="str">
        <f aca="false">IF($D978=1,INDEX(TblClusters[Plateforme],$B978),"")</f>
        <v/>
      </c>
      <c r="H978" s="14" t="str">
        <f aca="false">IF($D978=1,INDEX(TblClusters[vCPU par nœud],$B978),"")</f>
        <v/>
      </c>
      <c r="I978" s="14" t="str">
        <f aca="false">IF($D978=1,INDEX(TblClusters[RAM par nœud (Go)],$B978),"")</f>
        <v/>
      </c>
      <c r="J978" s="14" t="str">
        <f aca="false">IF($D978=1,INDEX(TblClusters[Workers min],$B978),"")</f>
        <v/>
      </c>
      <c r="K978" s="84" t="str">
        <f aca="false">IF($D978=1,INDEX(TblClusters[Tarif par nœud],$B978),"")</f>
        <v/>
      </c>
      <c r="L978" s="14" t="str">
        <f aca="false">IF($D978=1,INDEX(TblClusters[CPU initial (vCPU)],$B978),"")</f>
        <v/>
      </c>
      <c r="M978" s="14" t="str">
        <f aca="false">IF($D978=1,INDEX(TblClusters[RAM initiale (Go)],$B978),"")</f>
        <v/>
      </c>
      <c r="N978" s="14" t="str">
        <f aca="false">IF($D978=1,INDEX(TblClusters[CPU min (vCPU)],$B978),"")</f>
        <v/>
      </c>
      <c r="O978" s="14" t="str">
        <f aca="false">IF($D978=1,INDEX(TblClusters[RAM min (Go)],$B978),"")</f>
        <v/>
      </c>
      <c r="P978" s="14" t="str">
        <f aca="false">IF($D978&lt;&gt;1,"",IF($G978="ROKS",SUMIFS(TblApplications[Besoin ROKS CPU (vCPU)],TblApplications[Cluster ROKS cible],$F978,TblApplications[Action],"À migrer",TblApplications[Déjà incluse ROKS],"Non",TblApplications[Mois prov (calc)],"&lt;="&amp;$E978),SUMIFS(TblApplications[CPU IKS libérable (vCPU)],TblApplications[Cluster IKS source],$F978,TblApplications[Mois lib (calc)],"&lt;="&amp;$E978)))</f>
        <v/>
      </c>
      <c r="Q978" s="14" t="str">
        <f aca="false">IF($D978&lt;&gt;1,"",IF($G978="ROKS",SUMIFS(TblApplications[Besoin ROKS RAM (Go)],TblApplications[Cluster ROKS cible],$F978,TblApplications[Action],"À migrer",TblApplications[Déjà incluse ROKS],"Non",TblApplications[Mois prov (calc)],"&lt;="&amp;$E978),SUMIFS(TblApplications[RAM IKS libérable (Go)],TblApplications[Cluster IKS source],$F978,TblApplications[Mois lib (calc)],"&lt;="&amp;$E978)))</f>
        <v/>
      </c>
      <c r="R978" s="14" t="str">
        <f aca="false">IF($D978&lt;&gt;1,"",IF($G978="ROKS",$L978+$P978,IF($AI978=1,0,MAX($N978,$L978-$P978))))</f>
        <v/>
      </c>
      <c r="S978" s="14" t="str">
        <f aca="false">IF($D978&lt;&gt;1,"",IF($G978="ROKS",$M978+$Q978,IF($AI978=1,0,MAX($O978,$M978-$Q978))))</f>
        <v/>
      </c>
      <c r="T978" s="14" t="str">
        <f aca="false">IF($D978&lt;&gt;1,"",IF($AI978=1,0,MAX($J978,ROUNDUP(MAX($R978/$H978,$S978/$I978),0))))</f>
        <v/>
      </c>
      <c r="U978" s="14" t="str">
        <f aca="false">IF($D978&lt;&gt;1,"",IF(p_mode="Nœud",$T978*$H978,$R978))</f>
        <v/>
      </c>
      <c r="V978" s="14" t="str">
        <f aca="false">IF($D978&lt;&gt;1,"",IF(p_mode="Nœud",$T978*$I978,$S978))</f>
        <v/>
      </c>
      <c r="W978" s="84" t="str">
        <f aca="false">IF($D978&lt;&gt;1,"",IF(p_mode="Nœud",$T978*$K978,$R978*IF($G978="IKS",p_iks_cpu,p_roks_cpu)+$S978*IF($G978="IKS",p_iks_ram,p_roks_ram))*p_facteur)</f>
        <v/>
      </c>
      <c r="X978" s="14" t="str">
        <f aca="false">IF($D978&lt;&gt;1,"",IF($G978="ROKS",$R978,IF($AI978=1,0,MAX($N978,$L978-SUMIFS(TblApplications[CPU IKS libérable (vCPU)],TblApplications[Cluster IKS source],$F978,TblApplications[Action],"À migrer",TblApplications[Mois prov (calc)],"&lt;="&amp;$E978)-SUMIFS(TblApplications[CPU IKS libérable (vCPU)],TblApplications[Cluster IKS source],$F978,TblApplications[Action],"À décommissionner",TblApplications[Mois lib (calc)],"&lt;="&amp;$E978)))))</f>
        <v/>
      </c>
      <c r="Y978" s="14" t="str">
        <f aca="false">IF($D978&lt;&gt;1,"",IF($G978="ROKS",$S978,IF($AI978=1,0,MAX($O978,$M978-SUMIFS(TblApplications[RAM IKS libérable (Go)],TblApplications[Cluster IKS source],$F978,TblApplications[Action],"À migrer",TblApplications[Mois prov (calc)],"&lt;="&amp;$E978)-SUMIFS(TblApplications[RAM IKS libérable (Go)],TblApplications[Cluster IKS source],$F978,TblApplications[Action],"À décommissionner",TblApplications[Mois lib (calc)],"&lt;="&amp;$E978)))))</f>
        <v/>
      </c>
      <c r="Z978" s="14" t="str">
        <f aca="false">IF($D978&lt;&gt;1,"",IF($AI978=1,0,MAX($J978,ROUNDUP(MAX($X978/$H978,$Y978/$I978),0))))</f>
        <v/>
      </c>
      <c r="AA978" s="84" t="str">
        <f aca="false">IF($D978&lt;&gt;1,"",IF(p_mode="Nœud",$Z978*$K978,$X978*IF($G978="IKS",p_iks_cpu,p_roks_cpu)+$Y978*IF($G978="IKS",p_iks_ram,p_roks_ram))*p_facteur)</f>
        <v/>
      </c>
      <c r="AB978" s="14" t="str">
        <f aca="false">IF($D978&lt;&gt;1,"",MAX($J978,ROUNDUP(MAX($L978/$H978,$M978/$I978),0)))</f>
        <v/>
      </c>
      <c r="AC978" s="84" t="str">
        <f aca="false">IF($D978&lt;&gt;1,"",IF(p_mode="Nœud",$AB978*$K978,$L978*IF($G978="IKS",p_iks_cpu,p_roks_cpu)+$M978*IF($G978="IKS",p_iks_ram,p_roks_ram))*p_facteur)</f>
        <v/>
      </c>
      <c r="AD978" s="14" t="str">
        <f aca="false">IF($D978&lt;&gt;1,"",IF(AND($G978="IKS",$AI978&lt;&gt;1,OR($L978-$P978&lt;$N978,$M978-$Q978&lt;$O978)),1,0))</f>
        <v/>
      </c>
      <c r="AE978" s="14" t="str">
        <f aca="false">IF($D978&lt;&gt;1,"",IF(AND($G978="ROKS",$T978&gt;p_maxworkers),1,0))</f>
        <v/>
      </c>
      <c r="AF978" s="14" t="str">
        <f aca="false">IF($D978&lt;&gt;1,"",IF(INDEX(TblClusters[Environnement],$B978)="","(vide)",INDEX(TblClusters[Environnement],$B978)))</f>
        <v/>
      </c>
      <c r="AG978" s="14" t="str">
        <f aca="false">IF($D978&lt;&gt;1,"",$R978+p_poidsram*$S978)</f>
        <v/>
      </c>
      <c r="AH978" s="14" t="str">
        <f aca="false">IF($D978&lt;&gt;1,"",IFERROR($W978/$AG978,0))</f>
        <v/>
      </c>
      <c r="AI978" s="14" t="str">
        <f aca="false">IF($D978&lt;&gt;1,"",IF(AND($G978="IKS",ISNUMBER(INDEX(TblClusters[Fermeture retenue],$B978))),IF($E978&gt;=INDEX(TblClusters[Fermeture retenue],$B978),1,0),0))</f>
        <v/>
      </c>
    </row>
    <row r="979" customFormat="false" ht="15" hidden="false" customHeight="false" outlineLevel="0" collapsed="false">
      <c r="A979" s="14" t="n">
        <v>974</v>
      </c>
      <c r="B979" s="14" t="n">
        <f aca="false">INT(($A979-1)/36)+1</f>
        <v>28</v>
      </c>
      <c r="C979" s="14" t="n">
        <f aca="false">MOD($A979-1,36)+1</f>
        <v>2</v>
      </c>
      <c r="D979" s="14" t="n">
        <f aca="false">IF($C979&gt;p_horizon,0,IFERROR(IF(AND(INDEX(TblClusters[Cluster],$B979)&lt;&gt;"",ISNUMBER(INDEX(TblClusters[CPU initial (vCPU)],$B979)),ISNUMBER(INDEX(TblClusters[CPU min (vCPU)],$B979)),OR(INDEX(TblClusters[Plateforme],$B979)="IKS",INDEX(TblClusters[Plateforme],$B979)="ROKS")),1,0),0))</f>
        <v>0</v>
      </c>
      <c r="E979" s="83" t="str">
        <f aca="false">IF($D979=1,EDATE(p_debut,$C979-1),"")</f>
        <v/>
      </c>
      <c r="F979" s="14" t="str">
        <f aca="false">IF($D979=1,INDEX(TblClusters[Cluster],$B979),"")</f>
        <v/>
      </c>
      <c r="G979" s="14" t="str">
        <f aca="false">IF($D979=1,INDEX(TblClusters[Plateforme],$B979),"")</f>
        <v/>
      </c>
      <c r="H979" s="14" t="str">
        <f aca="false">IF($D979=1,INDEX(TblClusters[vCPU par nœud],$B979),"")</f>
        <v/>
      </c>
      <c r="I979" s="14" t="str">
        <f aca="false">IF($D979=1,INDEX(TblClusters[RAM par nœud (Go)],$B979),"")</f>
        <v/>
      </c>
      <c r="J979" s="14" t="str">
        <f aca="false">IF($D979=1,INDEX(TblClusters[Workers min],$B979),"")</f>
        <v/>
      </c>
      <c r="K979" s="84" t="str">
        <f aca="false">IF($D979=1,INDEX(TblClusters[Tarif par nœud],$B979),"")</f>
        <v/>
      </c>
      <c r="L979" s="14" t="str">
        <f aca="false">IF($D979=1,INDEX(TblClusters[CPU initial (vCPU)],$B979),"")</f>
        <v/>
      </c>
      <c r="M979" s="14" t="str">
        <f aca="false">IF($D979=1,INDEX(TblClusters[RAM initiale (Go)],$B979),"")</f>
        <v/>
      </c>
      <c r="N979" s="14" t="str">
        <f aca="false">IF($D979=1,INDEX(TblClusters[CPU min (vCPU)],$B979),"")</f>
        <v/>
      </c>
      <c r="O979" s="14" t="str">
        <f aca="false">IF($D979=1,INDEX(TblClusters[RAM min (Go)],$B979),"")</f>
        <v/>
      </c>
      <c r="P979" s="14" t="str">
        <f aca="false">IF($D979&lt;&gt;1,"",IF($G979="ROKS",SUMIFS(TblApplications[Besoin ROKS CPU (vCPU)],TblApplications[Cluster ROKS cible],$F979,TblApplications[Action],"À migrer",TblApplications[Déjà incluse ROKS],"Non",TblApplications[Mois prov (calc)],"&lt;="&amp;$E979),SUMIFS(TblApplications[CPU IKS libérable (vCPU)],TblApplications[Cluster IKS source],$F979,TblApplications[Mois lib (calc)],"&lt;="&amp;$E979)))</f>
        <v/>
      </c>
      <c r="Q979" s="14" t="str">
        <f aca="false">IF($D979&lt;&gt;1,"",IF($G979="ROKS",SUMIFS(TblApplications[Besoin ROKS RAM (Go)],TblApplications[Cluster ROKS cible],$F979,TblApplications[Action],"À migrer",TblApplications[Déjà incluse ROKS],"Non",TblApplications[Mois prov (calc)],"&lt;="&amp;$E979),SUMIFS(TblApplications[RAM IKS libérable (Go)],TblApplications[Cluster IKS source],$F979,TblApplications[Mois lib (calc)],"&lt;="&amp;$E979)))</f>
        <v/>
      </c>
      <c r="R979" s="14" t="str">
        <f aca="false">IF($D979&lt;&gt;1,"",IF($G979="ROKS",$L979+$P979,IF($AI979=1,0,MAX($N979,$L979-$P979))))</f>
        <v/>
      </c>
      <c r="S979" s="14" t="str">
        <f aca="false">IF($D979&lt;&gt;1,"",IF($G979="ROKS",$M979+$Q979,IF($AI979=1,0,MAX($O979,$M979-$Q979))))</f>
        <v/>
      </c>
      <c r="T979" s="14" t="str">
        <f aca="false">IF($D979&lt;&gt;1,"",IF($AI979=1,0,MAX($J979,ROUNDUP(MAX($R979/$H979,$S979/$I979),0))))</f>
        <v/>
      </c>
      <c r="U979" s="14" t="str">
        <f aca="false">IF($D979&lt;&gt;1,"",IF(p_mode="Nœud",$T979*$H979,$R979))</f>
        <v/>
      </c>
      <c r="V979" s="14" t="str">
        <f aca="false">IF($D979&lt;&gt;1,"",IF(p_mode="Nœud",$T979*$I979,$S979))</f>
        <v/>
      </c>
      <c r="W979" s="84" t="str">
        <f aca="false">IF($D979&lt;&gt;1,"",IF(p_mode="Nœud",$T979*$K979,$R979*IF($G979="IKS",p_iks_cpu,p_roks_cpu)+$S979*IF($G979="IKS",p_iks_ram,p_roks_ram))*p_facteur)</f>
        <v/>
      </c>
      <c r="X979" s="14" t="str">
        <f aca="false">IF($D979&lt;&gt;1,"",IF($G979="ROKS",$R979,IF($AI979=1,0,MAX($N979,$L979-SUMIFS(TblApplications[CPU IKS libérable (vCPU)],TblApplications[Cluster IKS source],$F979,TblApplications[Action],"À migrer",TblApplications[Mois prov (calc)],"&lt;="&amp;$E979)-SUMIFS(TblApplications[CPU IKS libérable (vCPU)],TblApplications[Cluster IKS source],$F979,TblApplications[Action],"À décommissionner",TblApplications[Mois lib (calc)],"&lt;="&amp;$E979)))))</f>
        <v/>
      </c>
      <c r="Y979" s="14" t="str">
        <f aca="false">IF($D979&lt;&gt;1,"",IF($G979="ROKS",$S979,IF($AI979=1,0,MAX($O979,$M979-SUMIFS(TblApplications[RAM IKS libérable (Go)],TblApplications[Cluster IKS source],$F979,TblApplications[Action],"À migrer",TblApplications[Mois prov (calc)],"&lt;="&amp;$E979)-SUMIFS(TblApplications[RAM IKS libérable (Go)],TblApplications[Cluster IKS source],$F979,TblApplications[Action],"À décommissionner",TblApplications[Mois lib (calc)],"&lt;="&amp;$E979)))))</f>
        <v/>
      </c>
      <c r="Z979" s="14" t="str">
        <f aca="false">IF($D979&lt;&gt;1,"",IF($AI979=1,0,MAX($J979,ROUNDUP(MAX($X979/$H979,$Y979/$I979),0))))</f>
        <v/>
      </c>
      <c r="AA979" s="84" t="str">
        <f aca="false">IF($D979&lt;&gt;1,"",IF(p_mode="Nœud",$Z979*$K979,$X979*IF($G979="IKS",p_iks_cpu,p_roks_cpu)+$Y979*IF($G979="IKS",p_iks_ram,p_roks_ram))*p_facteur)</f>
        <v/>
      </c>
      <c r="AB979" s="14" t="str">
        <f aca="false">IF($D979&lt;&gt;1,"",MAX($J979,ROUNDUP(MAX($L979/$H979,$M979/$I979),0)))</f>
        <v/>
      </c>
      <c r="AC979" s="84" t="str">
        <f aca="false">IF($D979&lt;&gt;1,"",IF(p_mode="Nœud",$AB979*$K979,$L979*IF($G979="IKS",p_iks_cpu,p_roks_cpu)+$M979*IF($G979="IKS",p_iks_ram,p_roks_ram))*p_facteur)</f>
        <v/>
      </c>
      <c r="AD979" s="14" t="str">
        <f aca="false">IF($D979&lt;&gt;1,"",IF(AND($G979="IKS",$AI979&lt;&gt;1,OR($L979-$P979&lt;$N979,$M979-$Q979&lt;$O979)),1,0))</f>
        <v/>
      </c>
      <c r="AE979" s="14" t="str">
        <f aca="false">IF($D979&lt;&gt;1,"",IF(AND($G979="ROKS",$T979&gt;p_maxworkers),1,0))</f>
        <v/>
      </c>
      <c r="AF979" s="14" t="str">
        <f aca="false">IF($D979&lt;&gt;1,"",IF(INDEX(TblClusters[Environnement],$B979)="","(vide)",INDEX(TblClusters[Environnement],$B979)))</f>
        <v/>
      </c>
      <c r="AG979" s="14" t="str">
        <f aca="false">IF($D979&lt;&gt;1,"",$R979+p_poidsram*$S979)</f>
        <v/>
      </c>
      <c r="AH979" s="14" t="str">
        <f aca="false">IF($D979&lt;&gt;1,"",IFERROR($W979/$AG979,0))</f>
        <v/>
      </c>
      <c r="AI979" s="14" t="str">
        <f aca="false">IF($D979&lt;&gt;1,"",IF(AND($G979="IKS",ISNUMBER(INDEX(TblClusters[Fermeture retenue],$B979))),IF($E979&gt;=INDEX(TblClusters[Fermeture retenue],$B979),1,0),0))</f>
        <v/>
      </c>
    </row>
    <row r="980" customFormat="false" ht="15" hidden="false" customHeight="false" outlineLevel="0" collapsed="false">
      <c r="A980" s="14" t="n">
        <v>975</v>
      </c>
      <c r="B980" s="14" t="n">
        <f aca="false">INT(($A980-1)/36)+1</f>
        <v>28</v>
      </c>
      <c r="C980" s="14" t="n">
        <f aca="false">MOD($A980-1,36)+1</f>
        <v>3</v>
      </c>
      <c r="D980" s="14" t="n">
        <f aca="false">IF($C980&gt;p_horizon,0,IFERROR(IF(AND(INDEX(TblClusters[Cluster],$B980)&lt;&gt;"",ISNUMBER(INDEX(TblClusters[CPU initial (vCPU)],$B980)),ISNUMBER(INDEX(TblClusters[CPU min (vCPU)],$B980)),OR(INDEX(TblClusters[Plateforme],$B980)="IKS",INDEX(TblClusters[Plateforme],$B980)="ROKS")),1,0),0))</f>
        <v>0</v>
      </c>
      <c r="E980" s="83" t="str">
        <f aca="false">IF($D980=1,EDATE(p_debut,$C980-1),"")</f>
        <v/>
      </c>
      <c r="F980" s="14" t="str">
        <f aca="false">IF($D980=1,INDEX(TblClusters[Cluster],$B980),"")</f>
        <v/>
      </c>
      <c r="G980" s="14" t="str">
        <f aca="false">IF($D980=1,INDEX(TblClusters[Plateforme],$B980),"")</f>
        <v/>
      </c>
      <c r="H980" s="14" t="str">
        <f aca="false">IF($D980=1,INDEX(TblClusters[vCPU par nœud],$B980),"")</f>
        <v/>
      </c>
      <c r="I980" s="14" t="str">
        <f aca="false">IF($D980=1,INDEX(TblClusters[RAM par nœud (Go)],$B980),"")</f>
        <v/>
      </c>
      <c r="J980" s="14" t="str">
        <f aca="false">IF($D980=1,INDEX(TblClusters[Workers min],$B980),"")</f>
        <v/>
      </c>
      <c r="K980" s="84" t="str">
        <f aca="false">IF($D980=1,INDEX(TblClusters[Tarif par nœud],$B980),"")</f>
        <v/>
      </c>
      <c r="L980" s="14" t="str">
        <f aca="false">IF($D980=1,INDEX(TblClusters[CPU initial (vCPU)],$B980),"")</f>
        <v/>
      </c>
      <c r="M980" s="14" t="str">
        <f aca="false">IF($D980=1,INDEX(TblClusters[RAM initiale (Go)],$B980),"")</f>
        <v/>
      </c>
      <c r="N980" s="14" t="str">
        <f aca="false">IF($D980=1,INDEX(TblClusters[CPU min (vCPU)],$B980),"")</f>
        <v/>
      </c>
      <c r="O980" s="14" t="str">
        <f aca="false">IF($D980=1,INDEX(TblClusters[RAM min (Go)],$B980),"")</f>
        <v/>
      </c>
      <c r="P980" s="14" t="str">
        <f aca="false">IF($D980&lt;&gt;1,"",IF($G980="ROKS",SUMIFS(TblApplications[Besoin ROKS CPU (vCPU)],TblApplications[Cluster ROKS cible],$F980,TblApplications[Action],"À migrer",TblApplications[Déjà incluse ROKS],"Non",TblApplications[Mois prov (calc)],"&lt;="&amp;$E980),SUMIFS(TblApplications[CPU IKS libérable (vCPU)],TblApplications[Cluster IKS source],$F980,TblApplications[Mois lib (calc)],"&lt;="&amp;$E980)))</f>
        <v/>
      </c>
      <c r="Q980" s="14" t="str">
        <f aca="false">IF($D980&lt;&gt;1,"",IF($G980="ROKS",SUMIFS(TblApplications[Besoin ROKS RAM (Go)],TblApplications[Cluster ROKS cible],$F980,TblApplications[Action],"À migrer",TblApplications[Déjà incluse ROKS],"Non",TblApplications[Mois prov (calc)],"&lt;="&amp;$E980),SUMIFS(TblApplications[RAM IKS libérable (Go)],TblApplications[Cluster IKS source],$F980,TblApplications[Mois lib (calc)],"&lt;="&amp;$E980)))</f>
        <v/>
      </c>
      <c r="R980" s="14" t="str">
        <f aca="false">IF($D980&lt;&gt;1,"",IF($G980="ROKS",$L980+$P980,IF($AI980=1,0,MAX($N980,$L980-$P980))))</f>
        <v/>
      </c>
      <c r="S980" s="14" t="str">
        <f aca="false">IF($D980&lt;&gt;1,"",IF($G980="ROKS",$M980+$Q980,IF($AI980=1,0,MAX($O980,$M980-$Q980))))</f>
        <v/>
      </c>
      <c r="T980" s="14" t="str">
        <f aca="false">IF($D980&lt;&gt;1,"",IF($AI980=1,0,MAX($J980,ROUNDUP(MAX($R980/$H980,$S980/$I980),0))))</f>
        <v/>
      </c>
      <c r="U980" s="14" t="str">
        <f aca="false">IF($D980&lt;&gt;1,"",IF(p_mode="Nœud",$T980*$H980,$R980))</f>
        <v/>
      </c>
      <c r="V980" s="14" t="str">
        <f aca="false">IF($D980&lt;&gt;1,"",IF(p_mode="Nœud",$T980*$I980,$S980))</f>
        <v/>
      </c>
      <c r="W980" s="84" t="str">
        <f aca="false">IF($D980&lt;&gt;1,"",IF(p_mode="Nœud",$T980*$K980,$R980*IF($G980="IKS",p_iks_cpu,p_roks_cpu)+$S980*IF($G980="IKS",p_iks_ram,p_roks_ram))*p_facteur)</f>
        <v/>
      </c>
      <c r="X980" s="14" t="str">
        <f aca="false">IF($D980&lt;&gt;1,"",IF($G980="ROKS",$R980,IF($AI980=1,0,MAX($N980,$L980-SUMIFS(TblApplications[CPU IKS libérable (vCPU)],TblApplications[Cluster IKS source],$F980,TblApplications[Action],"À migrer",TblApplications[Mois prov (calc)],"&lt;="&amp;$E980)-SUMIFS(TblApplications[CPU IKS libérable (vCPU)],TblApplications[Cluster IKS source],$F980,TblApplications[Action],"À décommissionner",TblApplications[Mois lib (calc)],"&lt;="&amp;$E980)))))</f>
        <v/>
      </c>
      <c r="Y980" s="14" t="str">
        <f aca="false">IF($D980&lt;&gt;1,"",IF($G980="ROKS",$S980,IF($AI980=1,0,MAX($O980,$M980-SUMIFS(TblApplications[RAM IKS libérable (Go)],TblApplications[Cluster IKS source],$F980,TblApplications[Action],"À migrer",TblApplications[Mois prov (calc)],"&lt;="&amp;$E980)-SUMIFS(TblApplications[RAM IKS libérable (Go)],TblApplications[Cluster IKS source],$F980,TblApplications[Action],"À décommissionner",TblApplications[Mois lib (calc)],"&lt;="&amp;$E980)))))</f>
        <v/>
      </c>
      <c r="Z980" s="14" t="str">
        <f aca="false">IF($D980&lt;&gt;1,"",IF($AI980=1,0,MAX($J980,ROUNDUP(MAX($X980/$H980,$Y980/$I980),0))))</f>
        <v/>
      </c>
      <c r="AA980" s="84" t="str">
        <f aca="false">IF($D980&lt;&gt;1,"",IF(p_mode="Nœud",$Z980*$K980,$X980*IF($G980="IKS",p_iks_cpu,p_roks_cpu)+$Y980*IF($G980="IKS",p_iks_ram,p_roks_ram))*p_facteur)</f>
        <v/>
      </c>
      <c r="AB980" s="14" t="str">
        <f aca="false">IF($D980&lt;&gt;1,"",MAX($J980,ROUNDUP(MAX($L980/$H980,$M980/$I980),0)))</f>
        <v/>
      </c>
      <c r="AC980" s="84" t="str">
        <f aca="false">IF($D980&lt;&gt;1,"",IF(p_mode="Nœud",$AB980*$K980,$L980*IF($G980="IKS",p_iks_cpu,p_roks_cpu)+$M980*IF($G980="IKS",p_iks_ram,p_roks_ram))*p_facteur)</f>
        <v/>
      </c>
      <c r="AD980" s="14" t="str">
        <f aca="false">IF($D980&lt;&gt;1,"",IF(AND($G980="IKS",$AI980&lt;&gt;1,OR($L980-$P980&lt;$N980,$M980-$Q980&lt;$O980)),1,0))</f>
        <v/>
      </c>
      <c r="AE980" s="14" t="str">
        <f aca="false">IF($D980&lt;&gt;1,"",IF(AND($G980="ROKS",$T980&gt;p_maxworkers),1,0))</f>
        <v/>
      </c>
      <c r="AF980" s="14" t="str">
        <f aca="false">IF($D980&lt;&gt;1,"",IF(INDEX(TblClusters[Environnement],$B980)="","(vide)",INDEX(TblClusters[Environnement],$B980)))</f>
        <v/>
      </c>
      <c r="AG980" s="14" t="str">
        <f aca="false">IF($D980&lt;&gt;1,"",$R980+p_poidsram*$S980)</f>
        <v/>
      </c>
      <c r="AH980" s="14" t="str">
        <f aca="false">IF($D980&lt;&gt;1,"",IFERROR($W980/$AG980,0))</f>
        <v/>
      </c>
      <c r="AI980" s="14" t="str">
        <f aca="false">IF($D980&lt;&gt;1,"",IF(AND($G980="IKS",ISNUMBER(INDEX(TblClusters[Fermeture retenue],$B980))),IF($E980&gt;=INDEX(TblClusters[Fermeture retenue],$B980),1,0),0))</f>
        <v/>
      </c>
    </row>
    <row r="981" customFormat="false" ht="15" hidden="false" customHeight="false" outlineLevel="0" collapsed="false">
      <c r="A981" s="14" t="n">
        <v>976</v>
      </c>
      <c r="B981" s="14" t="n">
        <f aca="false">INT(($A981-1)/36)+1</f>
        <v>28</v>
      </c>
      <c r="C981" s="14" t="n">
        <f aca="false">MOD($A981-1,36)+1</f>
        <v>4</v>
      </c>
      <c r="D981" s="14" t="n">
        <f aca="false">IF($C981&gt;p_horizon,0,IFERROR(IF(AND(INDEX(TblClusters[Cluster],$B981)&lt;&gt;"",ISNUMBER(INDEX(TblClusters[CPU initial (vCPU)],$B981)),ISNUMBER(INDEX(TblClusters[CPU min (vCPU)],$B981)),OR(INDEX(TblClusters[Plateforme],$B981)="IKS",INDEX(TblClusters[Plateforme],$B981)="ROKS")),1,0),0))</f>
        <v>0</v>
      </c>
      <c r="E981" s="83" t="str">
        <f aca="false">IF($D981=1,EDATE(p_debut,$C981-1),"")</f>
        <v/>
      </c>
      <c r="F981" s="14" t="str">
        <f aca="false">IF($D981=1,INDEX(TblClusters[Cluster],$B981),"")</f>
        <v/>
      </c>
      <c r="G981" s="14" t="str">
        <f aca="false">IF($D981=1,INDEX(TblClusters[Plateforme],$B981),"")</f>
        <v/>
      </c>
      <c r="H981" s="14" t="str">
        <f aca="false">IF($D981=1,INDEX(TblClusters[vCPU par nœud],$B981),"")</f>
        <v/>
      </c>
      <c r="I981" s="14" t="str">
        <f aca="false">IF($D981=1,INDEX(TblClusters[RAM par nœud (Go)],$B981),"")</f>
        <v/>
      </c>
      <c r="J981" s="14" t="str">
        <f aca="false">IF($D981=1,INDEX(TblClusters[Workers min],$B981),"")</f>
        <v/>
      </c>
      <c r="K981" s="84" t="str">
        <f aca="false">IF($D981=1,INDEX(TblClusters[Tarif par nœud],$B981),"")</f>
        <v/>
      </c>
      <c r="L981" s="14" t="str">
        <f aca="false">IF($D981=1,INDEX(TblClusters[CPU initial (vCPU)],$B981),"")</f>
        <v/>
      </c>
      <c r="M981" s="14" t="str">
        <f aca="false">IF($D981=1,INDEX(TblClusters[RAM initiale (Go)],$B981),"")</f>
        <v/>
      </c>
      <c r="N981" s="14" t="str">
        <f aca="false">IF($D981=1,INDEX(TblClusters[CPU min (vCPU)],$B981),"")</f>
        <v/>
      </c>
      <c r="O981" s="14" t="str">
        <f aca="false">IF($D981=1,INDEX(TblClusters[RAM min (Go)],$B981),"")</f>
        <v/>
      </c>
      <c r="P981" s="14" t="str">
        <f aca="false">IF($D981&lt;&gt;1,"",IF($G981="ROKS",SUMIFS(TblApplications[Besoin ROKS CPU (vCPU)],TblApplications[Cluster ROKS cible],$F981,TblApplications[Action],"À migrer",TblApplications[Déjà incluse ROKS],"Non",TblApplications[Mois prov (calc)],"&lt;="&amp;$E981),SUMIFS(TblApplications[CPU IKS libérable (vCPU)],TblApplications[Cluster IKS source],$F981,TblApplications[Mois lib (calc)],"&lt;="&amp;$E981)))</f>
        <v/>
      </c>
      <c r="Q981" s="14" t="str">
        <f aca="false">IF($D981&lt;&gt;1,"",IF($G981="ROKS",SUMIFS(TblApplications[Besoin ROKS RAM (Go)],TblApplications[Cluster ROKS cible],$F981,TblApplications[Action],"À migrer",TblApplications[Déjà incluse ROKS],"Non",TblApplications[Mois prov (calc)],"&lt;="&amp;$E981),SUMIFS(TblApplications[RAM IKS libérable (Go)],TblApplications[Cluster IKS source],$F981,TblApplications[Mois lib (calc)],"&lt;="&amp;$E981)))</f>
        <v/>
      </c>
      <c r="R981" s="14" t="str">
        <f aca="false">IF($D981&lt;&gt;1,"",IF($G981="ROKS",$L981+$P981,IF($AI981=1,0,MAX($N981,$L981-$P981))))</f>
        <v/>
      </c>
      <c r="S981" s="14" t="str">
        <f aca="false">IF($D981&lt;&gt;1,"",IF($G981="ROKS",$M981+$Q981,IF($AI981=1,0,MAX($O981,$M981-$Q981))))</f>
        <v/>
      </c>
      <c r="T981" s="14" t="str">
        <f aca="false">IF($D981&lt;&gt;1,"",IF($AI981=1,0,MAX($J981,ROUNDUP(MAX($R981/$H981,$S981/$I981),0))))</f>
        <v/>
      </c>
      <c r="U981" s="14" t="str">
        <f aca="false">IF($D981&lt;&gt;1,"",IF(p_mode="Nœud",$T981*$H981,$R981))</f>
        <v/>
      </c>
      <c r="V981" s="14" t="str">
        <f aca="false">IF($D981&lt;&gt;1,"",IF(p_mode="Nœud",$T981*$I981,$S981))</f>
        <v/>
      </c>
      <c r="W981" s="84" t="str">
        <f aca="false">IF($D981&lt;&gt;1,"",IF(p_mode="Nœud",$T981*$K981,$R981*IF($G981="IKS",p_iks_cpu,p_roks_cpu)+$S981*IF($G981="IKS",p_iks_ram,p_roks_ram))*p_facteur)</f>
        <v/>
      </c>
      <c r="X981" s="14" t="str">
        <f aca="false">IF($D981&lt;&gt;1,"",IF($G981="ROKS",$R981,IF($AI981=1,0,MAX($N981,$L981-SUMIFS(TblApplications[CPU IKS libérable (vCPU)],TblApplications[Cluster IKS source],$F981,TblApplications[Action],"À migrer",TblApplications[Mois prov (calc)],"&lt;="&amp;$E981)-SUMIFS(TblApplications[CPU IKS libérable (vCPU)],TblApplications[Cluster IKS source],$F981,TblApplications[Action],"À décommissionner",TblApplications[Mois lib (calc)],"&lt;="&amp;$E981)))))</f>
        <v/>
      </c>
      <c r="Y981" s="14" t="str">
        <f aca="false">IF($D981&lt;&gt;1,"",IF($G981="ROKS",$S981,IF($AI981=1,0,MAX($O981,$M981-SUMIFS(TblApplications[RAM IKS libérable (Go)],TblApplications[Cluster IKS source],$F981,TblApplications[Action],"À migrer",TblApplications[Mois prov (calc)],"&lt;="&amp;$E981)-SUMIFS(TblApplications[RAM IKS libérable (Go)],TblApplications[Cluster IKS source],$F981,TblApplications[Action],"À décommissionner",TblApplications[Mois lib (calc)],"&lt;="&amp;$E981)))))</f>
        <v/>
      </c>
      <c r="Z981" s="14" t="str">
        <f aca="false">IF($D981&lt;&gt;1,"",IF($AI981=1,0,MAX($J981,ROUNDUP(MAX($X981/$H981,$Y981/$I981),0))))</f>
        <v/>
      </c>
      <c r="AA981" s="84" t="str">
        <f aca="false">IF($D981&lt;&gt;1,"",IF(p_mode="Nœud",$Z981*$K981,$X981*IF($G981="IKS",p_iks_cpu,p_roks_cpu)+$Y981*IF($G981="IKS",p_iks_ram,p_roks_ram))*p_facteur)</f>
        <v/>
      </c>
      <c r="AB981" s="14" t="str">
        <f aca="false">IF($D981&lt;&gt;1,"",MAX($J981,ROUNDUP(MAX($L981/$H981,$M981/$I981),0)))</f>
        <v/>
      </c>
      <c r="AC981" s="84" t="str">
        <f aca="false">IF($D981&lt;&gt;1,"",IF(p_mode="Nœud",$AB981*$K981,$L981*IF($G981="IKS",p_iks_cpu,p_roks_cpu)+$M981*IF($G981="IKS",p_iks_ram,p_roks_ram))*p_facteur)</f>
        <v/>
      </c>
      <c r="AD981" s="14" t="str">
        <f aca="false">IF($D981&lt;&gt;1,"",IF(AND($G981="IKS",$AI981&lt;&gt;1,OR($L981-$P981&lt;$N981,$M981-$Q981&lt;$O981)),1,0))</f>
        <v/>
      </c>
      <c r="AE981" s="14" t="str">
        <f aca="false">IF($D981&lt;&gt;1,"",IF(AND($G981="ROKS",$T981&gt;p_maxworkers),1,0))</f>
        <v/>
      </c>
      <c r="AF981" s="14" t="str">
        <f aca="false">IF($D981&lt;&gt;1,"",IF(INDEX(TblClusters[Environnement],$B981)="","(vide)",INDEX(TblClusters[Environnement],$B981)))</f>
        <v/>
      </c>
      <c r="AG981" s="14" t="str">
        <f aca="false">IF($D981&lt;&gt;1,"",$R981+p_poidsram*$S981)</f>
        <v/>
      </c>
      <c r="AH981" s="14" t="str">
        <f aca="false">IF($D981&lt;&gt;1,"",IFERROR($W981/$AG981,0))</f>
        <v/>
      </c>
      <c r="AI981" s="14" t="str">
        <f aca="false">IF($D981&lt;&gt;1,"",IF(AND($G981="IKS",ISNUMBER(INDEX(TblClusters[Fermeture retenue],$B981))),IF($E981&gt;=INDEX(TblClusters[Fermeture retenue],$B981),1,0),0))</f>
        <v/>
      </c>
    </row>
    <row r="982" customFormat="false" ht="15" hidden="false" customHeight="false" outlineLevel="0" collapsed="false">
      <c r="A982" s="14" t="n">
        <v>977</v>
      </c>
      <c r="B982" s="14" t="n">
        <f aca="false">INT(($A982-1)/36)+1</f>
        <v>28</v>
      </c>
      <c r="C982" s="14" t="n">
        <f aca="false">MOD($A982-1,36)+1</f>
        <v>5</v>
      </c>
      <c r="D982" s="14" t="n">
        <f aca="false">IF($C982&gt;p_horizon,0,IFERROR(IF(AND(INDEX(TblClusters[Cluster],$B982)&lt;&gt;"",ISNUMBER(INDEX(TblClusters[CPU initial (vCPU)],$B982)),ISNUMBER(INDEX(TblClusters[CPU min (vCPU)],$B982)),OR(INDEX(TblClusters[Plateforme],$B982)="IKS",INDEX(TblClusters[Plateforme],$B982)="ROKS")),1,0),0))</f>
        <v>0</v>
      </c>
      <c r="E982" s="83" t="str">
        <f aca="false">IF($D982=1,EDATE(p_debut,$C982-1),"")</f>
        <v/>
      </c>
      <c r="F982" s="14" t="str">
        <f aca="false">IF($D982=1,INDEX(TblClusters[Cluster],$B982),"")</f>
        <v/>
      </c>
      <c r="G982" s="14" t="str">
        <f aca="false">IF($D982=1,INDEX(TblClusters[Plateforme],$B982),"")</f>
        <v/>
      </c>
      <c r="H982" s="14" t="str">
        <f aca="false">IF($D982=1,INDEX(TblClusters[vCPU par nœud],$B982),"")</f>
        <v/>
      </c>
      <c r="I982" s="14" t="str">
        <f aca="false">IF($D982=1,INDEX(TblClusters[RAM par nœud (Go)],$B982),"")</f>
        <v/>
      </c>
      <c r="J982" s="14" t="str">
        <f aca="false">IF($D982=1,INDEX(TblClusters[Workers min],$B982),"")</f>
        <v/>
      </c>
      <c r="K982" s="84" t="str">
        <f aca="false">IF($D982=1,INDEX(TblClusters[Tarif par nœud],$B982),"")</f>
        <v/>
      </c>
      <c r="L982" s="14" t="str">
        <f aca="false">IF($D982=1,INDEX(TblClusters[CPU initial (vCPU)],$B982),"")</f>
        <v/>
      </c>
      <c r="M982" s="14" t="str">
        <f aca="false">IF($D982=1,INDEX(TblClusters[RAM initiale (Go)],$B982),"")</f>
        <v/>
      </c>
      <c r="N982" s="14" t="str">
        <f aca="false">IF($D982=1,INDEX(TblClusters[CPU min (vCPU)],$B982),"")</f>
        <v/>
      </c>
      <c r="O982" s="14" t="str">
        <f aca="false">IF($D982=1,INDEX(TblClusters[RAM min (Go)],$B982),"")</f>
        <v/>
      </c>
      <c r="P982" s="14" t="str">
        <f aca="false">IF($D982&lt;&gt;1,"",IF($G982="ROKS",SUMIFS(TblApplications[Besoin ROKS CPU (vCPU)],TblApplications[Cluster ROKS cible],$F982,TblApplications[Action],"À migrer",TblApplications[Déjà incluse ROKS],"Non",TblApplications[Mois prov (calc)],"&lt;="&amp;$E982),SUMIFS(TblApplications[CPU IKS libérable (vCPU)],TblApplications[Cluster IKS source],$F982,TblApplications[Mois lib (calc)],"&lt;="&amp;$E982)))</f>
        <v/>
      </c>
      <c r="Q982" s="14" t="str">
        <f aca="false">IF($D982&lt;&gt;1,"",IF($G982="ROKS",SUMIFS(TblApplications[Besoin ROKS RAM (Go)],TblApplications[Cluster ROKS cible],$F982,TblApplications[Action],"À migrer",TblApplications[Déjà incluse ROKS],"Non",TblApplications[Mois prov (calc)],"&lt;="&amp;$E982),SUMIFS(TblApplications[RAM IKS libérable (Go)],TblApplications[Cluster IKS source],$F982,TblApplications[Mois lib (calc)],"&lt;="&amp;$E982)))</f>
        <v/>
      </c>
      <c r="R982" s="14" t="str">
        <f aca="false">IF($D982&lt;&gt;1,"",IF($G982="ROKS",$L982+$P982,IF($AI982=1,0,MAX($N982,$L982-$P982))))</f>
        <v/>
      </c>
      <c r="S982" s="14" t="str">
        <f aca="false">IF($D982&lt;&gt;1,"",IF($G982="ROKS",$M982+$Q982,IF($AI982=1,0,MAX($O982,$M982-$Q982))))</f>
        <v/>
      </c>
      <c r="T982" s="14" t="str">
        <f aca="false">IF($D982&lt;&gt;1,"",IF($AI982=1,0,MAX($J982,ROUNDUP(MAX($R982/$H982,$S982/$I982),0))))</f>
        <v/>
      </c>
      <c r="U982" s="14" t="str">
        <f aca="false">IF($D982&lt;&gt;1,"",IF(p_mode="Nœud",$T982*$H982,$R982))</f>
        <v/>
      </c>
      <c r="V982" s="14" t="str">
        <f aca="false">IF($D982&lt;&gt;1,"",IF(p_mode="Nœud",$T982*$I982,$S982))</f>
        <v/>
      </c>
      <c r="W982" s="84" t="str">
        <f aca="false">IF($D982&lt;&gt;1,"",IF(p_mode="Nœud",$T982*$K982,$R982*IF($G982="IKS",p_iks_cpu,p_roks_cpu)+$S982*IF($G982="IKS",p_iks_ram,p_roks_ram))*p_facteur)</f>
        <v/>
      </c>
      <c r="X982" s="14" t="str">
        <f aca="false">IF($D982&lt;&gt;1,"",IF($G982="ROKS",$R982,IF($AI982=1,0,MAX($N982,$L982-SUMIFS(TblApplications[CPU IKS libérable (vCPU)],TblApplications[Cluster IKS source],$F982,TblApplications[Action],"À migrer",TblApplications[Mois prov (calc)],"&lt;="&amp;$E982)-SUMIFS(TblApplications[CPU IKS libérable (vCPU)],TblApplications[Cluster IKS source],$F982,TblApplications[Action],"À décommissionner",TblApplications[Mois lib (calc)],"&lt;="&amp;$E982)))))</f>
        <v/>
      </c>
      <c r="Y982" s="14" t="str">
        <f aca="false">IF($D982&lt;&gt;1,"",IF($G982="ROKS",$S982,IF($AI982=1,0,MAX($O982,$M982-SUMIFS(TblApplications[RAM IKS libérable (Go)],TblApplications[Cluster IKS source],$F982,TblApplications[Action],"À migrer",TblApplications[Mois prov (calc)],"&lt;="&amp;$E982)-SUMIFS(TblApplications[RAM IKS libérable (Go)],TblApplications[Cluster IKS source],$F982,TblApplications[Action],"À décommissionner",TblApplications[Mois lib (calc)],"&lt;="&amp;$E982)))))</f>
        <v/>
      </c>
      <c r="Z982" s="14" t="str">
        <f aca="false">IF($D982&lt;&gt;1,"",IF($AI982=1,0,MAX($J982,ROUNDUP(MAX($X982/$H982,$Y982/$I982),0))))</f>
        <v/>
      </c>
      <c r="AA982" s="84" t="str">
        <f aca="false">IF($D982&lt;&gt;1,"",IF(p_mode="Nœud",$Z982*$K982,$X982*IF($G982="IKS",p_iks_cpu,p_roks_cpu)+$Y982*IF($G982="IKS",p_iks_ram,p_roks_ram))*p_facteur)</f>
        <v/>
      </c>
      <c r="AB982" s="14" t="str">
        <f aca="false">IF($D982&lt;&gt;1,"",MAX($J982,ROUNDUP(MAX($L982/$H982,$M982/$I982),0)))</f>
        <v/>
      </c>
      <c r="AC982" s="84" t="str">
        <f aca="false">IF($D982&lt;&gt;1,"",IF(p_mode="Nœud",$AB982*$K982,$L982*IF($G982="IKS",p_iks_cpu,p_roks_cpu)+$M982*IF($G982="IKS",p_iks_ram,p_roks_ram))*p_facteur)</f>
        <v/>
      </c>
      <c r="AD982" s="14" t="str">
        <f aca="false">IF($D982&lt;&gt;1,"",IF(AND($G982="IKS",$AI982&lt;&gt;1,OR($L982-$P982&lt;$N982,$M982-$Q982&lt;$O982)),1,0))</f>
        <v/>
      </c>
      <c r="AE982" s="14" t="str">
        <f aca="false">IF($D982&lt;&gt;1,"",IF(AND($G982="ROKS",$T982&gt;p_maxworkers),1,0))</f>
        <v/>
      </c>
      <c r="AF982" s="14" t="str">
        <f aca="false">IF($D982&lt;&gt;1,"",IF(INDEX(TblClusters[Environnement],$B982)="","(vide)",INDEX(TblClusters[Environnement],$B982)))</f>
        <v/>
      </c>
      <c r="AG982" s="14" t="str">
        <f aca="false">IF($D982&lt;&gt;1,"",$R982+p_poidsram*$S982)</f>
        <v/>
      </c>
      <c r="AH982" s="14" t="str">
        <f aca="false">IF($D982&lt;&gt;1,"",IFERROR($W982/$AG982,0))</f>
        <v/>
      </c>
      <c r="AI982" s="14" t="str">
        <f aca="false">IF($D982&lt;&gt;1,"",IF(AND($G982="IKS",ISNUMBER(INDEX(TblClusters[Fermeture retenue],$B982))),IF($E982&gt;=INDEX(TblClusters[Fermeture retenue],$B982),1,0),0))</f>
        <v/>
      </c>
    </row>
    <row r="983" customFormat="false" ht="15" hidden="false" customHeight="false" outlineLevel="0" collapsed="false">
      <c r="A983" s="14" t="n">
        <v>978</v>
      </c>
      <c r="B983" s="14" t="n">
        <f aca="false">INT(($A983-1)/36)+1</f>
        <v>28</v>
      </c>
      <c r="C983" s="14" t="n">
        <f aca="false">MOD($A983-1,36)+1</f>
        <v>6</v>
      </c>
      <c r="D983" s="14" t="n">
        <f aca="false">IF($C983&gt;p_horizon,0,IFERROR(IF(AND(INDEX(TblClusters[Cluster],$B983)&lt;&gt;"",ISNUMBER(INDEX(TblClusters[CPU initial (vCPU)],$B983)),ISNUMBER(INDEX(TblClusters[CPU min (vCPU)],$B983)),OR(INDEX(TblClusters[Plateforme],$B983)="IKS",INDEX(TblClusters[Plateforme],$B983)="ROKS")),1,0),0))</f>
        <v>0</v>
      </c>
      <c r="E983" s="83" t="str">
        <f aca="false">IF($D983=1,EDATE(p_debut,$C983-1),"")</f>
        <v/>
      </c>
      <c r="F983" s="14" t="str">
        <f aca="false">IF($D983=1,INDEX(TblClusters[Cluster],$B983),"")</f>
        <v/>
      </c>
      <c r="G983" s="14" t="str">
        <f aca="false">IF($D983=1,INDEX(TblClusters[Plateforme],$B983),"")</f>
        <v/>
      </c>
      <c r="H983" s="14" t="str">
        <f aca="false">IF($D983=1,INDEX(TblClusters[vCPU par nœud],$B983),"")</f>
        <v/>
      </c>
      <c r="I983" s="14" t="str">
        <f aca="false">IF($D983=1,INDEX(TblClusters[RAM par nœud (Go)],$B983),"")</f>
        <v/>
      </c>
      <c r="J983" s="14" t="str">
        <f aca="false">IF($D983=1,INDEX(TblClusters[Workers min],$B983),"")</f>
        <v/>
      </c>
      <c r="K983" s="84" t="str">
        <f aca="false">IF($D983=1,INDEX(TblClusters[Tarif par nœud],$B983),"")</f>
        <v/>
      </c>
      <c r="L983" s="14" t="str">
        <f aca="false">IF($D983=1,INDEX(TblClusters[CPU initial (vCPU)],$B983),"")</f>
        <v/>
      </c>
      <c r="M983" s="14" t="str">
        <f aca="false">IF($D983=1,INDEX(TblClusters[RAM initiale (Go)],$B983),"")</f>
        <v/>
      </c>
      <c r="N983" s="14" t="str">
        <f aca="false">IF($D983=1,INDEX(TblClusters[CPU min (vCPU)],$B983),"")</f>
        <v/>
      </c>
      <c r="O983" s="14" t="str">
        <f aca="false">IF($D983=1,INDEX(TblClusters[RAM min (Go)],$B983),"")</f>
        <v/>
      </c>
      <c r="P983" s="14" t="str">
        <f aca="false">IF($D983&lt;&gt;1,"",IF($G983="ROKS",SUMIFS(TblApplications[Besoin ROKS CPU (vCPU)],TblApplications[Cluster ROKS cible],$F983,TblApplications[Action],"À migrer",TblApplications[Déjà incluse ROKS],"Non",TblApplications[Mois prov (calc)],"&lt;="&amp;$E983),SUMIFS(TblApplications[CPU IKS libérable (vCPU)],TblApplications[Cluster IKS source],$F983,TblApplications[Mois lib (calc)],"&lt;="&amp;$E983)))</f>
        <v/>
      </c>
      <c r="Q983" s="14" t="str">
        <f aca="false">IF($D983&lt;&gt;1,"",IF($G983="ROKS",SUMIFS(TblApplications[Besoin ROKS RAM (Go)],TblApplications[Cluster ROKS cible],$F983,TblApplications[Action],"À migrer",TblApplications[Déjà incluse ROKS],"Non",TblApplications[Mois prov (calc)],"&lt;="&amp;$E983),SUMIFS(TblApplications[RAM IKS libérable (Go)],TblApplications[Cluster IKS source],$F983,TblApplications[Mois lib (calc)],"&lt;="&amp;$E983)))</f>
        <v/>
      </c>
      <c r="R983" s="14" t="str">
        <f aca="false">IF($D983&lt;&gt;1,"",IF($G983="ROKS",$L983+$P983,IF($AI983=1,0,MAX($N983,$L983-$P983))))</f>
        <v/>
      </c>
      <c r="S983" s="14" t="str">
        <f aca="false">IF($D983&lt;&gt;1,"",IF($G983="ROKS",$M983+$Q983,IF($AI983=1,0,MAX($O983,$M983-$Q983))))</f>
        <v/>
      </c>
      <c r="T983" s="14" t="str">
        <f aca="false">IF($D983&lt;&gt;1,"",IF($AI983=1,0,MAX($J983,ROUNDUP(MAX($R983/$H983,$S983/$I983),0))))</f>
        <v/>
      </c>
      <c r="U983" s="14" t="str">
        <f aca="false">IF($D983&lt;&gt;1,"",IF(p_mode="Nœud",$T983*$H983,$R983))</f>
        <v/>
      </c>
      <c r="V983" s="14" t="str">
        <f aca="false">IF($D983&lt;&gt;1,"",IF(p_mode="Nœud",$T983*$I983,$S983))</f>
        <v/>
      </c>
      <c r="W983" s="84" t="str">
        <f aca="false">IF($D983&lt;&gt;1,"",IF(p_mode="Nœud",$T983*$K983,$R983*IF($G983="IKS",p_iks_cpu,p_roks_cpu)+$S983*IF($G983="IKS",p_iks_ram,p_roks_ram))*p_facteur)</f>
        <v/>
      </c>
      <c r="X983" s="14" t="str">
        <f aca="false">IF($D983&lt;&gt;1,"",IF($G983="ROKS",$R983,IF($AI983=1,0,MAX($N983,$L983-SUMIFS(TblApplications[CPU IKS libérable (vCPU)],TblApplications[Cluster IKS source],$F983,TblApplications[Action],"À migrer",TblApplications[Mois prov (calc)],"&lt;="&amp;$E983)-SUMIFS(TblApplications[CPU IKS libérable (vCPU)],TblApplications[Cluster IKS source],$F983,TblApplications[Action],"À décommissionner",TblApplications[Mois lib (calc)],"&lt;="&amp;$E983)))))</f>
        <v/>
      </c>
      <c r="Y983" s="14" t="str">
        <f aca="false">IF($D983&lt;&gt;1,"",IF($G983="ROKS",$S983,IF($AI983=1,0,MAX($O983,$M983-SUMIFS(TblApplications[RAM IKS libérable (Go)],TblApplications[Cluster IKS source],$F983,TblApplications[Action],"À migrer",TblApplications[Mois prov (calc)],"&lt;="&amp;$E983)-SUMIFS(TblApplications[RAM IKS libérable (Go)],TblApplications[Cluster IKS source],$F983,TblApplications[Action],"À décommissionner",TblApplications[Mois lib (calc)],"&lt;="&amp;$E983)))))</f>
        <v/>
      </c>
      <c r="Z983" s="14" t="str">
        <f aca="false">IF($D983&lt;&gt;1,"",IF($AI983=1,0,MAX($J983,ROUNDUP(MAX($X983/$H983,$Y983/$I983),0))))</f>
        <v/>
      </c>
      <c r="AA983" s="84" t="str">
        <f aca="false">IF($D983&lt;&gt;1,"",IF(p_mode="Nœud",$Z983*$K983,$X983*IF($G983="IKS",p_iks_cpu,p_roks_cpu)+$Y983*IF($G983="IKS",p_iks_ram,p_roks_ram))*p_facteur)</f>
        <v/>
      </c>
      <c r="AB983" s="14" t="str">
        <f aca="false">IF($D983&lt;&gt;1,"",MAX($J983,ROUNDUP(MAX($L983/$H983,$M983/$I983),0)))</f>
        <v/>
      </c>
      <c r="AC983" s="84" t="str">
        <f aca="false">IF($D983&lt;&gt;1,"",IF(p_mode="Nœud",$AB983*$K983,$L983*IF($G983="IKS",p_iks_cpu,p_roks_cpu)+$M983*IF($G983="IKS",p_iks_ram,p_roks_ram))*p_facteur)</f>
        <v/>
      </c>
      <c r="AD983" s="14" t="str">
        <f aca="false">IF($D983&lt;&gt;1,"",IF(AND($G983="IKS",$AI983&lt;&gt;1,OR($L983-$P983&lt;$N983,$M983-$Q983&lt;$O983)),1,0))</f>
        <v/>
      </c>
      <c r="AE983" s="14" t="str">
        <f aca="false">IF($D983&lt;&gt;1,"",IF(AND($G983="ROKS",$T983&gt;p_maxworkers),1,0))</f>
        <v/>
      </c>
      <c r="AF983" s="14" t="str">
        <f aca="false">IF($D983&lt;&gt;1,"",IF(INDEX(TblClusters[Environnement],$B983)="","(vide)",INDEX(TblClusters[Environnement],$B983)))</f>
        <v/>
      </c>
      <c r="AG983" s="14" t="str">
        <f aca="false">IF($D983&lt;&gt;1,"",$R983+p_poidsram*$S983)</f>
        <v/>
      </c>
      <c r="AH983" s="14" t="str">
        <f aca="false">IF($D983&lt;&gt;1,"",IFERROR($W983/$AG983,0))</f>
        <v/>
      </c>
      <c r="AI983" s="14" t="str">
        <f aca="false">IF($D983&lt;&gt;1,"",IF(AND($G983="IKS",ISNUMBER(INDEX(TblClusters[Fermeture retenue],$B983))),IF($E983&gt;=INDEX(TblClusters[Fermeture retenue],$B983),1,0),0))</f>
        <v/>
      </c>
    </row>
    <row r="984" customFormat="false" ht="15" hidden="false" customHeight="false" outlineLevel="0" collapsed="false">
      <c r="A984" s="14" t="n">
        <v>979</v>
      </c>
      <c r="B984" s="14" t="n">
        <f aca="false">INT(($A984-1)/36)+1</f>
        <v>28</v>
      </c>
      <c r="C984" s="14" t="n">
        <f aca="false">MOD($A984-1,36)+1</f>
        <v>7</v>
      </c>
      <c r="D984" s="14" t="n">
        <f aca="false">IF($C984&gt;p_horizon,0,IFERROR(IF(AND(INDEX(TblClusters[Cluster],$B984)&lt;&gt;"",ISNUMBER(INDEX(TblClusters[CPU initial (vCPU)],$B984)),ISNUMBER(INDEX(TblClusters[CPU min (vCPU)],$B984)),OR(INDEX(TblClusters[Plateforme],$B984)="IKS",INDEX(TblClusters[Plateforme],$B984)="ROKS")),1,0),0))</f>
        <v>0</v>
      </c>
      <c r="E984" s="83" t="str">
        <f aca="false">IF($D984=1,EDATE(p_debut,$C984-1),"")</f>
        <v/>
      </c>
      <c r="F984" s="14" t="str">
        <f aca="false">IF($D984=1,INDEX(TblClusters[Cluster],$B984),"")</f>
        <v/>
      </c>
      <c r="G984" s="14" t="str">
        <f aca="false">IF($D984=1,INDEX(TblClusters[Plateforme],$B984),"")</f>
        <v/>
      </c>
      <c r="H984" s="14" t="str">
        <f aca="false">IF($D984=1,INDEX(TblClusters[vCPU par nœud],$B984),"")</f>
        <v/>
      </c>
      <c r="I984" s="14" t="str">
        <f aca="false">IF($D984=1,INDEX(TblClusters[RAM par nœud (Go)],$B984),"")</f>
        <v/>
      </c>
      <c r="J984" s="14" t="str">
        <f aca="false">IF($D984=1,INDEX(TblClusters[Workers min],$B984),"")</f>
        <v/>
      </c>
      <c r="K984" s="84" t="str">
        <f aca="false">IF($D984=1,INDEX(TblClusters[Tarif par nœud],$B984),"")</f>
        <v/>
      </c>
      <c r="L984" s="14" t="str">
        <f aca="false">IF($D984=1,INDEX(TblClusters[CPU initial (vCPU)],$B984),"")</f>
        <v/>
      </c>
      <c r="M984" s="14" t="str">
        <f aca="false">IF($D984=1,INDEX(TblClusters[RAM initiale (Go)],$B984),"")</f>
        <v/>
      </c>
      <c r="N984" s="14" t="str">
        <f aca="false">IF($D984=1,INDEX(TblClusters[CPU min (vCPU)],$B984),"")</f>
        <v/>
      </c>
      <c r="O984" s="14" t="str">
        <f aca="false">IF($D984=1,INDEX(TblClusters[RAM min (Go)],$B984),"")</f>
        <v/>
      </c>
      <c r="P984" s="14" t="str">
        <f aca="false">IF($D984&lt;&gt;1,"",IF($G984="ROKS",SUMIFS(TblApplications[Besoin ROKS CPU (vCPU)],TblApplications[Cluster ROKS cible],$F984,TblApplications[Action],"À migrer",TblApplications[Déjà incluse ROKS],"Non",TblApplications[Mois prov (calc)],"&lt;="&amp;$E984),SUMIFS(TblApplications[CPU IKS libérable (vCPU)],TblApplications[Cluster IKS source],$F984,TblApplications[Mois lib (calc)],"&lt;="&amp;$E984)))</f>
        <v/>
      </c>
      <c r="Q984" s="14" t="str">
        <f aca="false">IF($D984&lt;&gt;1,"",IF($G984="ROKS",SUMIFS(TblApplications[Besoin ROKS RAM (Go)],TblApplications[Cluster ROKS cible],$F984,TblApplications[Action],"À migrer",TblApplications[Déjà incluse ROKS],"Non",TblApplications[Mois prov (calc)],"&lt;="&amp;$E984),SUMIFS(TblApplications[RAM IKS libérable (Go)],TblApplications[Cluster IKS source],$F984,TblApplications[Mois lib (calc)],"&lt;="&amp;$E984)))</f>
        <v/>
      </c>
      <c r="R984" s="14" t="str">
        <f aca="false">IF($D984&lt;&gt;1,"",IF($G984="ROKS",$L984+$P984,IF($AI984=1,0,MAX($N984,$L984-$P984))))</f>
        <v/>
      </c>
      <c r="S984" s="14" t="str">
        <f aca="false">IF($D984&lt;&gt;1,"",IF($G984="ROKS",$M984+$Q984,IF($AI984=1,0,MAX($O984,$M984-$Q984))))</f>
        <v/>
      </c>
      <c r="T984" s="14" t="str">
        <f aca="false">IF($D984&lt;&gt;1,"",IF($AI984=1,0,MAX($J984,ROUNDUP(MAX($R984/$H984,$S984/$I984),0))))</f>
        <v/>
      </c>
      <c r="U984" s="14" t="str">
        <f aca="false">IF($D984&lt;&gt;1,"",IF(p_mode="Nœud",$T984*$H984,$R984))</f>
        <v/>
      </c>
      <c r="V984" s="14" t="str">
        <f aca="false">IF($D984&lt;&gt;1,"",IF(p_mode="Nœud",$T984*$I984,$S984))</f>
        <v/>
      </c>
      <c r="W984" s="84" t="str">
        <f aca="false">IF($D984&lt;&gt;1,"",IF(p_mode="Nœud",$T984*$K984,$R984*IF($G984="IKS",p_iks_cpu,p_roks_cpu)+$S984*IF($G984="IKS",p_iks_ram,p_roks_ram))*p_facteur)</f>
        <v/>
      </c>
      <c r="X984" s="14" t="str">
        <f aca="false">IF($D984&lt;&gt;1,"",IF($G984="ROKS",$R984,IF($AI984=1,0,MAX($N984,$L984-SUMIFS(TblApplications[CPU IKS libérable (vCPU)],TblApplications[Cluster IKS source],$F984,TblApplications[Action],"À migrer",TblApplications[Mois prov (calc)],"&lt;="&amp;$E984)-SUMIFS(TblApplications[CPU IKS libérable (vCPU)],TblApplications[Cluster IKS source],$F984,TblApplications[Action],"À décommissionner",TblApplications[Mois lib (calc)],"&lt;="&amp;$E984)))))</f>
        <v/>
      </c>
      <c r="Y984" s="14" t="str">
        <f aca="false">IF($D984&lt;&gt;1,"",IF($G984="ROKS",$S984,IF($AI984=1,0,MAX($O984,$M984-SUMIFS(TblApplications[RAM IKS libérable (Go)],TblApplications[Cluster IKS source],$F984,TblApplications[Action],"À migrer",TblApplications[Mois prov (calc)],"&lt;="&amp;$E984)-SUMIFS(TblApplications[RAM IKS libérable (Go)],TblApplications[Cluster IKS source],$F984,TblApplications[Action],"À décommissionner",TblApplications[Mois lib (calc)],"&lt;="&amp;$E984)))))</f>
        <v/>
      </c>
      <c r="Z984" s="14" t="str">
        <f aca="false">IF($D984&lt;&gt;1,"",IF($AI984=1,0,MAX($J984,ROUNDUP(MAX($X984/$H984,$Y984/$I984),0))))</f>
        <v/>
      </c>
      <c r="AA984" s="84" t="str">
        <f aca="false">IF($D984&lt;&gt;1,"",IF(p_mode="Nœud",$Z984*$K984,$X984*IF($G984="IKS",p_iks_cpu,p_roks_cpu)+$Y984*IF($G984="IKS",p_iks_ram,p_roks_ram))*p_facteur)</f>
        <v/>
      </c>
      <c r="AB984" s="14" t="str">
        <f aca="false">IF($D984&lt;&gt;1,"",MAX($J984,ROUNDUP(MAX($L984/$H984,$M984/$I984),0)))</f>
        <v/>
      </c>
      <c r="AC984" s="84" t="str">
        <f aca="false">IF($D984&lt;&gt;1,"",IF(p_mode="Nœud",$AB984*$K984,$L984*IF($G984="IKS",p_iks_cpu,p_roks_cpu)+$M984*IF($G984="IKS",p_iks_ram,p_roks_ram))*p_facteur)</f>
        <v/>
      </c>
      <c r="AD984" s="14" t="str">
        <f aca="false">IF($D984&lt;&gt;1,"",IF(AND($G984="IKS",$AI984&lt;&gt;1,OR($L984-$P984&lt;$N984,$M984-$Q984&lt;$O984)),1,0))</f>
        <v/>
      </c>
      <c r="AE984" s="14" t="str">
        <f aca="false">IF($D984&lt;&gt;1,"",IF(AND($G984="ROKS",$T984&gt;p_maxworkers),1,0))</f>
        <v/>
      </c>
      <c r="AF984" s="14" t="str">
        <f aca="false">IF($D984&lt;&gt;1,"",IF(INDEX(TblClusters[Environnement],$B984)="","(vide)",INDEX(TblClusters[Environnement],$B984)))</f>
        <v/>
      </c>
      <c r="AG984" s="14" t="str">
        <f aca="false">IF($D984&lt;&gt;1,"",$R984+p_poidsram*$S984)</f>
        <v/>
      </c>
      <c r="AH984" s="14" t="str">
        <f aca="false">IF($D984&lt;&gt;1,"",IFERROR($W984/$AG984,0))</f>
        <v/>
      </c>
      <c r="AI984" s="14" t="str">
        <f aca="false">IF($D984&lt;&gt;1,"",IF(AND($G984="IKS",ISNUMBER(INDEX(TblClusters[Fermeture retenue],$B984))),IF($E984&gt;=INDEX(TblClusters[Fermeture retenue],$B984),1,0),0))</f>
        <v/>
      </c>
    </row>
    <row r="985" customFormat="false" ht="15" hidden="false" customHeight="false" outlineLevel="0" collapsed="false">
      <c r="A985" s="14" t="n">
        <v>980</v>
      </c>
      <c r="B985" s="14" t="n">
        <f aca="false">INT(($A985-1)/36)+1</f>
        <v>28</v>
      </c>
      <c r="C985" s="14" t="n">
        <f aca="false">MOD($A985-1,36)+1</f>
        <v>8</v>
      </c>
      <c r="D985" s="14" t="n">
        <f aca="false">IF($C985&gt;p_horizon,0,IFERROR(IF(AND(INDEX(TblClusters[Cluster],$B985)&lt;&gt;"",ISNUMBER(INDEX(TblClusters[CPU initial (vCPU)],$B985)),ISNUMBER(INDEX(TblClusters[CPU min (vCPU)],$B985)),OR(INDEX(TblClusters[Plateforme],$B985)="IKS",INDEX(TblClusters[Plateforme],$B985)="ROKS")),1,0),0))</f>
        <v>0</v>
      </c>
      <c r="E985" s="83" t="str">
        <f aca="false">IF($D985=1,EDATE(p_debut,$C985-1),"")</f>
        <v/>
      </c>
      <c r="F985" s="14" t="str">
        <f aca="false">IF($D985=1,INDEX(TblClusters[Cluster],$B985),"")</f>
        <v/>
      </c>
      <c r="G985" s="14" t="str">
        <f aca="false">IF($D985=1,INDEX(TblClusters[Plateforme],$B985),"")</f>
        <v/>
      </c>
      <c r="H985" s="14" t="str">
        <f aca="false">IF($D985=1,INDEX(TblClusters[vCPU par nœud],$B985),"")</f>
        <v/>
      </c>
      <c r="I985" s="14" t="str">
        <f aca="false">IF($D985=1,INDEX(TblClusters[RAM par nœud (Go)],$B985),"")</f>
        <v/>
      </c>
      <c r="J985" s="14" t="str">
        <f aca="false">IF($D985=1,INDEX(TblClusters[Workers min],$B985),"")</f>
        <v/>
      </c>
      <c r="K985" s="84" t="str">
        <f aca="false">IF($D985=1,INDEX(TblClusters[Tarif par nœud],$B985),"")</f>
        <v/>
      </c>
      <c r="L985" s="14" t="str">
        <f aca="false">IF($D985=1,INDEX(TblClusters[CPU initial (vCPU)],$B985),"")</f>
        <v/>
      </c>
      <c r="M985" s="14" t="str">
        <f aca="false">IF($D985=1,INDEX(TblClusters[RAM initiale (Go)],$B985),"")</f>
        <v/>
      </c>
      <c r="N985" s="14" t="str">
        <f aca="false">IF($D985=1,INDEX(TblClusters[CPU min (vCPU)],$B985),"")</f>
        <v/>
      </c>
      <c r="O985" s="14" t="str">
        <f aca="false">IF($D985=1,INDEX(TblClusters[RAM min (Go)],$B985),"")</f>
        <v/>
      </c>
      <c r="P985" s="14" t="str">
        <f aca="false">IF($D985&lt;&gt;1,"",IF($G985="ROKS",SUMIFS(TblApplications[Besoin ROKS CPU (vCPU)],TblApplications[Cluster ROKS cible],$F985,TblApplications[Action],"À migrer",TblApplications[Déjà incluse ROKS],"Non",TblApplications[Mois prov (calc)],"&lt;="&amp;$E985),SUMIFS(TblApplications[CPU IKS libérable (vCPU)],TblApplications[Cluster IKS source],$F985,TblApplications[Mois lib (calc)],"&lt;="&amp;$E985)))</f>
        <v/>
      </c>
      <c r="Q985" s="14" t="str">
        <f aca="false">IF($D985&lt;&gt;1,"",IF($G985="ROKS",SUMIFS(TblApplications[Besoin ROKS RAM (Go)],TblApplications[Cluster ROKS cible],$F985,TblApplications[Action],"À migrer",TblApplications[Déjà incluse ROKS],"Non",TblApplications[Mois prov (calc)],"&lt;="&amp;$E985),SUMIFS(TblApplications[RAM IKS libérable (Go)],TblApplications[Cluster IKS source],$F985,TblApplications[Mois lib (calc)],"&lt;="&amp;$E985)))</f>
        <v/>
      </c>
      <c r="R985" s="14" t="str">
        <f aca="false">IF($D985&lt;&gt;1,"",IF($G985="ROKS",$L985+$P985,IF($AI985=1,0,MAX($N985,$L985-$P985))))</f>
        <v/>
      </c>
      <c r="S985" s="14" t="str">
        <f aca="false">IF($D985&lt;&gt;1,"",IF($G985="ROKS",$M985+$Q985,IF($AI985=1,0,MAX($O985,$M985-$Q985))))</f>
        <v/>
      </c>
      <c r="T985" s="14" t="str">
        <f aca="false">IF($D985&lt;&gt;1,"",IF($AI985=1,0,MAX($J985,ROUNDUP(MAX($R985/$H985,$S985/$I985),0))))</f>
        <v/>
      </c>
      <c r="U985" s="14" t="str">
        <f aca="false">IF($D985&lt;&gt;1,"",IF(p_mode="Nœud",$T985*$H985,$R985))</f>
        <v/>
      </c>
      <c r="V985" s="14" t="str">
        <f aca="false">IF($D985&lt;&gt;1,"",IF(p_mode="Nœud",$T985*$I985,$S985))</f>
        <v/>
      </c>
      <c r="W985" s="84" t="str">
        <f aca="false">IF($D985&lt;&gt;1,"",IF(p_mode="Nœud",$T985*$K985,$R985*IF($G985="IKS",p_iks_cpu,p_roks_cpu)+$S985*IF($G985="IKS",p_iks_ram,p_roks_ram))*p_facteur)</f>
        <v/>
      </c>
      <c r="X985" s="14" t="str">
        <f aca="false">IF($D985&lt;&gt;1,"",IF($G985="ROKS",$R985,IF($AI985=1,0,MAX($N985,$L985-SUMIFS(TblApplications[CPU IKS libérable (vCPU)],TblApplications[Cluster IKS source],$F985,TblApplications[Action],"À migrer",TblApplications[Mois prov (calc)],"&lt;="&amp;$E985)-SUMIFS(TblApplications[CPU IKS libérable (vCPU)],TblApplications[Cluster IKS source],$F985,TblApplications[Action],"À décommissionner",TblApplications[Mois lib (calc)],"&lt;="&amp;$E985)))))</f>
        <v/>
      </c>
      <c r="Y985" s="14" t="str">
        <f aca="false">IF($D985&lt;&gt;1,"",IF($G985="ROKS",$S985,IF($AI985=1,0,MAX($O985,$M985-SUMIFS(TblApplications[RAM IKS libérable (Go)],TblApplications[Cluster IKS source],$F985,TblApplications[Action],"À migrer",TblApplications[Mois prov (calc)],"&lt;="&amp;$E985)-SUMIFS(TblApplications[RAM IKS libérable (Go)],TblApplications[Cluster IKS source],$F985,TblApplications[Action],"À décommissionner",TblApplications[Mois lib (calc)],"&lt;="&amp;$E985)))))</f>
        <v/>
      </c>
      <c r="Z985" s="14" t="str">
        <f aca="false">IF($D985&lt;&gt;1,"",IF($AI985=1,0,MAX($J985,ROUNDUP(MAX($X985/$H985,$Y985/$I985),0))))</f>
        <v/>
      </c>
      <c r="AA985" s="84" t="str">
        <f aca="false">IF($D985&lt;&gt;1,"",IF(p_mode="Nœud",$Z985*$K985,$X985*IF($G985="IKS",p_iks_cpu,p_roks_cpu)+$Y985*IF($G985="IKS",p_iks_ram,p_roks_ram))*p_facteur)</f>
        <v/>
      </c>
      <c r="AB985" s="14" t="str">
        <f aca="false">IF($D985&lt;&gt;1,"",MAX($J985,ROUNDUP(MAX($L985/$H985,$M985/$I985),0)))</f>
        <v/>
      </c>
      <c r="AC985" s="84" t="str">
        <f aca="false">IF($D985&lt;&gt;1,"",IF(p_mode="Nœud",$AB985*$K985,$L985*IF($G985="IKS",p_iks_cpu,p_roks_cpu)+$M985*IF($G985="IKS",p_iks_ram,p_roks_ram))*p_facteur)</f>
        <v/>
      </c>
      <c r="AD985" s="14" t="str">
        <f aca="false">IF($D985&lt;&gt;1,"",IF(AND($G985="IKS",$AI985&lt;&gt;1,OR($L985-$P985&lt;$N985,$M985-$Q985&lt;$O985)),1,0))</f>
        <v/>
      </c>
      <c r="AE985" s="14" t="str">
        <f aca="false">IF($D985&lt;&gt;1,"",IF(AND($G985="ROKS",$T985&gt;p_maxworkers),1,0))</f>
        <v/>
      </c>
      <c r="AF985" s="14" t="str">
        <f aca="false">IF($D985&lt;&gt;1,"",IF(INDEX(TblClusters[Environnement],$B985)="","(vide)",INDEX(TblClusters[Environnement],$B985)))</f>
        <v/>
      </c>
      <c r="AG985" s="14" t="str">
        <f aca="false">IF($D985&lt;&gt;1,"",$R985+p_poidsram*$S985)</f>
        <v/>
      </c>
      <c r="AH985" s="14" t="str">
        <f aca="false">IF($D985&lt;&gt;1,"",IFERROR($W985/$AG985,0))</f>
        <v/>
      </c>
      <c r="AI985" s="14" t="str">
        <f aca="false">IF($D985&lt;&gt;1,"",IF(AND($G985="IKS",ISNUMBER(INDEX(TblClusters[Fermeture retenue],$B985))),IF($E985&gt;=INDEX(TblClusters[Fermeture retenue],$B985),1,0),0))</f>
        <v/>
      </c>
    </row>
    <row r="986" customFormat="false" ht="15" hidden="false" customHeight="false" outlineLevel="0" collapsed="false">
      <c r="A986" s="14" t="n">
        <v>981</v>
      </c>
      <c r="B986" s="14" t="n">
        <f aca="false">INT(($A986-1)/36)+1</f>
        <v>28</v>
      </c>
      <c r="C986" s="14" t="n">
        <f aca="false">MOD($A986-1,36)+1</f>
        <v>9</v>
      </c>
      <c r="D986" s="14" t="n">
        <f aca="false">IF($C986&gt;p_horizon,0,IFERROR(IF(AND(INDEX(TblClusters[Cluster],$B986)&lt;&gt;"",ISNUMBER(INDEX(TblClusters[CPU initial (vCPU)],$B986)),ISNUMBER(INDEX(TblClusters[CPU min (vCPU)],$B986)),OR(INDEX(TblClusters[Plateforme],$B986)="IKS",INDEX(TblClusters[Plateforme],$B986)="ROKS")),1,0),0))</f>
        <v>0</v>
      </c>
      <c r="E986" s="83" t="str">
        <f aca="false">IF($D986=1,EDATE(p_debut,$C986-1),"")</f>
        <v/>
      </c>
      <c r="F986" s="14" t="str">
        <f aca="false">IF($D986=1,INDEX(TblClusters[Cluster],$B986),"")</f>
        <v/>
      </c>
      <c r="G986" s="14" t="str">
        <f aca="false">IF($D986=1,INDEX(TblClusters[Plateforme],$B986),"")</f>
        <v/>
      </c>
      <c r="H986" s="14" t="str">
        <f aca="false">IF($D986=1,INDEX(TblClusters[vCPU par nœud],$B986),"")</f>
        <v/>
      </c>
      <c r="I986" s="14" t="str">
        <f aca="false">IF($D986=1,INDEX(TblClusters[RAM par nœud (Go)],$B986),"")</f>
        <v/>
      </c>
      <c r="J986" s="14" t="str">
        <f aca="false">IF($D986=1,INDEX(TblClusters[Workers min],$B986),"")</f>
        <v/>
      </c>
      <c r="K986" s="84" t="str">
        <f aca="false">IF($D986=1,INDEX(TblClusters[Tarif par nœud],$B986),"")</f>
        <v/>
      </c>
      <c r="L986" s="14" t="str">
        <f aca="false">IF($D986=1,INDEX(TblClusters[CPU initial (vCPU)],$B986),"")</f>
        <v/>
      </c>
      <c r="M986" s="14" t="str">
        <f aca="false">IF($D986=1,INDEX(TblClusters[RAM initiale (Go)],$B986),"")</f>
        <v/>
      </c>
      <c r="N986" s="14" t="str">
        <f aca="false">IF($D986=1,INDEX(TblClusters[CPU min (vCPU)],$B986),"")</f>
        <v/>
      </c>
      <c r="O986" s="14" t="str">
        <f aca="false">IF($D986=1,INDEX(TblClusters[RAM min (Go)],$B986),"")</f>
        <v/>
      </c>
      <c r="P986" s="14" t="str">
        <f aca="false">IF($D986&lt;&gt;1,"",IF($G986="ROKS",SUMIFS(TblApplications[Besoin ROKS CPU (vCPU)],TblApplications[Cluster ROKS cible],$F986,TblApplications[Action],"À migrer",TblApplications[Déjà incluse ROKS],"Non",TblApplications[Mois prov (calc)],"&lt;="&amp;$E986),SUMIFS(TblApplications[CPU IKS libérable (vCPU)],TblApplications[Cluster IKS source],$F986,TblApplications[Mois lib (calc)],"&lt;="&amp;$E986)))</f>
        <v/>
      </c>
      <c r="Q986" s="14" t="str">
        <f aca="false">IF($D986&lt;&gt;1,"",IF($G986="ROKS",SUMIFS(TblApplications[Besoin ROKS RAM (Go)],TblApplications[Cluster ROKS cible],$F986,TblApplications[Action],"À migrer",TblApplications[Déjà incluse ROKS],"Non",TblApplications[Mois prov (calc)],"&lt;="&amp;$E986),SUMIFS(TblApplications[RAM IKS libérable (Go)],TblApplications[Cluster IKS source],$F986,TblApplications[Mois lib (calc)],"&lt;="&amp;$E986)))</f>
        <v/>
      </c>
      <c r="R986" s="14" t="str">
        <f aca="false">IF($D986&lt;&gt;1,"",IF($G986="ROKS",$L986+$P986,IF($AI986=1,0,MAX($N986,$L986-$P986))))</f>
        <v/>
      </c>
      <c r="S986" s="14" t="str">
        <f aca="false">IF($D986&lt;&gt;1,"",IF($G986="ROKS",$M986+$Q986,IF($AI986=1,0,MAX($O986,$M986-$Q986))))</f>
        <v/>
      </c>
      <c r="T986" s="14" t="str">
        <f aca="false">IF($D986&lt;&gt;1,"",IF($AI986=1,0,MAX($J986,ROUNDUP(MAX($R986/$H986,$S986/$I986),0))))</f>
        <v/>
      </c>
      <c r="U986" s="14" t="str">
        <f aca="false">IF($D986&lt;&gt;1,"",IF(p_mode="Nœud",$T986*$H986,$R986))</f>
        <v/>
      </c>
      <c r="V986" s="14" t="str">
        <f aca="false">IF($D986&lt;&gt;1,"",IF(p_mode="Nœud",$T986*$I986,$S986))</f>
        <v/>
      </c>
      <c r="W986" s="84" t="str">
        <f aca="false">IF($D986&lt;&gt;1,"",IF(p_mode="Nœud",$T986*$K986,$R986*IF($G986="IKS",p_iks_cpu,p_roks_cpu)+$S986*IF($G986="IKS",p_iks_ram,p_roks_ram))*p_facteur)</f>
        <v/>
      </c>
      <c r="X986" s="14" t="str">
        <f aca="false">IF($D986&lt;&gt;1,"",IF($G986="ROKS",$R986,IF($AI986=1,0,MAX($N986,$L986-SUMIFS(TblApplications[CPU IKS libérable (vCPU)],TblApplications[Cluster IKS source],$F986,TblApplications[Action],"À migrer",TblApplications[Mois prov (calc)],"&lt;="&amp;$E986)-SUMIFS(TblApplications[CPU IKS libérable (vCPU)],TblApplications[Cluster IKS source],$F986,TblApplications[Action],"À décommissionner",TblApplications[Mois lib (calc)],"&lt;="&amp;$E986)))))</f>
        <v/>
      </c>
      <c r="Y986" s="14" t="str">
        <f aca="false">IF($D986&lt;&gt;1,"",IF($G986="ROKS",$S986,IF($AI986=1,0,MAX($O986,$M986-SUMIFS(TblApplications[RAM IKS libérable (Go)],TblApplications[Cluster IKS source],$F986,TblApplications[Action],"À migrer",TblApplications[Mois prov (calc)],"&lt;="&amp;$E986)-SUMIFS(TblApplications[RAM IKS libérable (Go)],TblApplications[Cluster IKS source],$F986,TblApplications[Action],"À décommissionner",TblApplications[Mois lib (calc)],"&lt;="&amp;$E986)))))</f>
        <v/>
      </c>
      <c r="Z986" s="14" t="str">
        <f aca="false">IF($D986&lt;&gt;1,"",IF($AI986=1,0,MAX($J986,ROUNDUP(MAX($X986/$H986,$Y986/$I986),0))))</f>
        <v/>
      </c>
      <c r="AA986" s="84" t="str">
        <f aca="false">IF($D986&lt;&gt;1,"",IF(p_mode="Nœud",$Z986*$K986,$X986*IF($G986="IKS",p_iks_cpu,p_roks_cpu)+$Y986*IF($G986="IKS",p_iks_ram,p_roks_ram))*p_facteur)</f>
        <v/>
      </c>
      <c r="AB986" s="14" t="str">
        <f aca="false">IF($D986&lt;&gt;1,"",MAX($J986,ROUNDUP(MAX($L986/$H986,$M986/$I986),0)))</f>
        <v/>
      </c>
      <c r="AC986" s="84" t="str">
        <f aca="false">IF($D986&lt;&gt;1,"",IF(p_mode="Nœud",$AB986*$K986,$L986*IF($G986="IKS",p_iks_cpu,p_roks_cpu)+$M986*IF($G986="IKS",p_iks_ram,p_roks_ram))*p_facteur)</f>
        <v/>
      </c>
      <c r="AD986" s="14" t="str">
        <f aca="false">IF($D986&lt;&gt;1,"",IF(AND($G986="IKS",$AI986&lt;&gt;1,OR($L986-$P986&lt;$N986,$M986-$Q986&lt;$O986)),1,0))</f>
        <v/>
      </c>
      <c r="AE986" s="14" t="str">
        <f aca="false">IF($D986&lt;&gt;1,"",IF(AND($G986="ROKS",$T986&gt;p_maxworkers),1,0))</f>
        <v/>
      </c>
      <c r="AF986" s="14" t="str">
        <f aca="false">IF($D986&lt;&gt;1,"",IF(INDEX(TblClusters[Environnement],$B986)="","(vide)",INDEX(TblClusters[Environnement],$B986)))</f>
        <v/>
      </c>
      <c r="AG986" s="14" t="str">
        <f aca="false">IF($D986&lt;&gt;1,"",$R986+p_poidsram*$S986)</f>
        <v/>
      </c>
      <c r="AH986" s="14" t="str">
        <f aca="false">IF($D986&lt;&gt;1,"",IFERROR($W986/$AG986,0))</f>
        <v/>
      </c>
      <c r="AI986" s="14" t="str">
        <f aca="false">IF($D986&lt;&gt;1,"",IF(AND($G986="IKS",ISNUMBER(INDEX(TblClusters[Fermeture retenue],$B986))),IF($E986&gt;=INDEX(TblClusters[Fermeture retenue],$B986),1,0),0))</f>
        <v/>
      </c>
    </row>
    <row r="987" customFormat="false" ht="15" hidden="false" customHeight="false" outlineLevel="0" collapsed="false">
      <c r="A987" s="14" t="n">
        <v>982</v>
      </c>
      <c r="B987" s="14" t="n">
        <f aca="false">INT(($A987-1)/36)+1</f>
        <v>28</v>
      </c>
      <c r="C987" s="14" t="n">
        <f aca="false">MOD($A987-1,36)+1</f>
        <v>10</v>
      </c>
      <c r="D987" s="14" t="n">
        <f aca="false">IF($C987&gt;p_horizon,0,IFERROR(IF(AND(INDEX(TblClusters[Cluster],$B987)&lt;&gt;"",ISNUMBER(INDEX(TblClusters[CPU initial (vCPU)],$B987)),ISNUMBER(INDEX(TblClusters[CPU min (vCPU)],$B987)),OR(INDEX(TblClusters[Plateforme],$B987)="IKS",INDEX(TblClusters[Plateforme],$B987)="ROKS")),1,0),0))</f>
        <v>0</v>
      </c>
      <c r="E987" s="83" t="str">
        <f aca="false">IF($D987=1,EDATE(p_debut,$C987-1),"")</f>
        <v/>
      </c>
      <c r="F987" s="14" t="str">
        <f aca="false">IF($D987=1,INDEX(TblClusters[Cluster],$B987),"")</f>
        <v/>
      </c>
      <c r="G987" s="14" t="str">
        <f aca="false">IF($D987=1,INDEX(TblClusters[Plateforme],$B987),"")</f>
        <v/>
      </c>
      <c r="H987" s="14" t="str">
        <f aca="false">IF($D987=1,INDEX(TblClusters[vCPU par nœud],$B987),"")</f>
        <v/>
      </c>
      <c r="I987" s="14" t="str">
        <f aca="false">IF($D987=1,INDEX(TblClusters[RAM par nœud (Go)],$B987),"")</f>
        <v/>
      </c>
      <c r="J987" s="14" t="str">
        <f aca="false">IF($D987=1,INDEX(TblClusters[Workers min],$B987),"")</f>
        <v/>
      </c>
      <c r="K987" s="84" t="str">
        <f aca="false">IF($D987=1,INDEX(TblClusters[Tarif par nœud],$B987),"")</f>
        <v/>
      </c>
      <c r="L987" s="14" t="str">
        <f aca="false">IF($D987=1,INDEX(TblClusters[CPU initial (vCPU)],$B987),"")</f>
        <v/>
      </c>
      <c r="M987" s="14" t="str">
        <f aca="false">IF($D987=1,INDEX(TblClusters[RAM initiale (Go)],$B987),"")</f>
        <v/>
      </c>
      <c r="N987" s="14" t="str">
        <f aca="false">IF($D987=1,INDEX(TblClusters[CPU min (vCPU)],$B987),"")</f>
        <v/>
      </c>
      <c r="O987" s="14" t="str">
        <f aca="false">IF($D987=1,INDEX(TblClusters[RAM min (Go)],$B987),"")</f>
        <v/>
      </c>
      <c r="P987" s="14" t="str">
        <f aca="false">IF($D987&lt;&gt;1,"",IF($G987="ROKS",SUMIFS(TblApplications[Besoin ROKS CPU (vCPU)],TblApplications[Cluster ROKS cible],$F987,TblApplications[Action],"À migrer",TblApplications[Déjà incluse ROKS],"Non",TblApplications[Mois prov (calc)],"&lt;="&amp;$E987),SUMIFS(TblApplications[CPU IKS libérable (vCPU)],TblApplications[Cluster IKS source],$F987,TblApplications[Mois lib (calc)],"&lt;="&amp;$E987)))</f>
        <v/>
      </c>
      <c r="Q987" s="14" t="str">
        <f aca="false">IF($D987&lt;&gt;1,"",IF($G987="ROKS",SUMIFS(TblApplications[Besoin ROKS RAM (Go)],TblApplications[Cluster ROKS cible],$F987,TblApplications[Action],"À migrer",TblApplications[Déjà incluse ROKS],"Non",TblApplications[Mois prov (calc)],"&lt;="&amp;$E987),SUMIFS(TblApplications[RAM IKS libérable (Go)],TblApplications[Cluster IKS source],$F987,TblApplications[Mois lib (calc)],"&lt;="&amp;$E987)))</f>
        <v/>
      </c>
      <c r="R987" s="14" t="str">
        <f aca="false">IF($D987&lt;&gt;1,"",IF($G987="ROKS",$L987+$P987,IF($AI987=1,0,MAX($N987,$L987-$P987))))</f>
        <v/>
      </c>
      <c r="S987" s="14" t="str">
        <f aca="false">IF($D987&lt;&gt;1,"",IF($G987="ROKS",$M987+$Q987,IF($AI987=1,0,MAX($O987,$M987-$Q987))))</f>
        <v/>
      </c>
      <c r="T987" s="14" t="str">
        <f aca="false">IF($D987&lt;&gt;1,"",IF($AI987=1,0,MAX($J987,ROUNDUP(MAX($R987/$H987,$S987/$I987),0))))</f>
        <v/>
      </c>
      <c r="U987" s="14" t="str">
        <f aca="false">IF($D987&lt;&gt;1,"",IF(p_mode="Nœud",$T987*$H987,$R987))</f>
        <v/>
      </c>
      <c r="V987" s="14" t="str">
        <f aca="false">IF($D987&lt;&gt;1,"",IF(p_mode="Nœud",$T987*$I987,$S987))</f>
        <v/>
      </c>
      <c r="W987" s="84" t="str">
        <f aca="false">IF($D987&lt;&gt;1,"",IF(p_mode="Nœud",$T987*$K987,$R987*IF($G987="IKS",p_iks_cpu,p_roks_cpu)+$S987*IF($G987="IKS",p_iks_ram,p_roks_ram))*p_facteur)</f>
        <v/>
      </c>
      <c r="X987" s="14" t="str">
        <f aca="false">IF($D987&lt;&gt;1,"",IF($G987="ROKS",$R987,IF($AI987=1,0,MAX($N987,$L987-SUMIFS(TblApplications[CPU IKS libérable (vCPU)],TblApplications[Cluster IKS source],$F987,TblApplications[Action],"À migrer",TblApplications[Mois prov (calc)],"&lt;="&amp;$E987)-SUMIFS(TblApplications[CPU IKS libérable (vCPU)],TblApplications[Cluster IKS source],$F987,TblApplications[Action],"À décommissionner",TblApplications[Mois lib (calc)],"&lt;="&amp;$E987)))))</f>
        <v/>
      </c>
      <c r="Y987" s="14" t="str">
        <f aca="false">IF($D987&lt;&gt;1,"",IF($G987="ROKS",$S987,IF($AI987=1,0,MAX($O987,$M987-SUMIFS(TblApplications[RAM IKS libérable (Go)],TblApplications[Cluster IKS source],$F987,TblApplications[Action],"À migrer",TblApplications[Mois prov (calc)],"&lt;="&amp;$E987)-SUMIFS(TblApplications[RAM IKS libérable (Go)],TblApplications[Cluster IKS source],$F987,TblApplications[Action],"À décommissionner",TblApplications[Mois lib (calc)],"&lt;="&amp;$E987)))))</f>
        <v/>
      </c>
      <c r="Z987" s="14" t="str">
        <f aca="false">IF($D987&lt;&gt;1,"",IF($AI987=1,0,MAX($J987,ROUNDUP(MAX($X987/$H987,$Y987/$I987),0))))</f>
        <v/>
      </c>
      <c r="AA987" s="84" t="str">
        <f aca="false">IF($D987&lt;&gt;1,"",IF(p_mode="Nœud",$Z987*$K987,$X987*IF($G987="IKS",p_iks_cpu,p_roks_cpu)+$Y987*IF($G987="IKS",p_iks_ram,p_roks_ram))*p_facteur)</f>
        <v/>
      </c>
      <c r="AB987" s="14" t="str">
        <f aca="false">IF($D987&lt;&gt;1,"",MAX($J987,ROUNDUP(MAX($L987/$H987,$M987/$I987),0)))</f>
        <v/>
      </c>
      <c r="AC987" s="84" t="str">
        <f aca="false">IF($D987&lt;&gt;1,"",IF(p_mode="Nœud",$AB987*$K987,$L987*IF($G987="IKS",p_iks_cpu,p_roks_cpu)+$M987*IF($G987="IKS",p_iks_ram,p_roks_ram))*p_facteur)</f>
        <v/>
      </c>
      <c r="AD987" s="14" t="str">
        <f aca="false">IF($D987&lt;&gt;1,"",IF(AND($G987="IKS",$AI987&lt;&gt;1,OR($L987-$P987&lt;$N987,$M987-$Q987&lt;$O987)),1,0))</f>
        <v/>
      </c>
      <c r="AE987" s="14" t="str">
        <f aca="false">IF($D987&lt;&gt;1,"",IF(AND($G987="ROKS",$T987&gt;p_maxworkers),1,0))</f>
        <v/>
      </c>
      <c r="AF987" s="14" t="str">
        <f aca="false">IF($D987&lt;&gt;1,"",IF(INDEX(TblClusters[Environnement],$B987)="","(vide)",INDEX(TblClusters[Environnement],$B987)))</f>
        <v/>
      </c>
      <c r="AG987" s="14" t="str">
        <f aca="false">IF($D987&lt;&gt;1,"",$R987+p_poidsram*$S987)</f>
        <v/>
      </c>
      <c r="AH987" s="14" t="str">
        <f aca="false">IF($D987&lt;&gt;1,"",IFERROR($W987/$AG987,0))</f>
        <v/>
      </c>
      <c r="AI987" s="14" t="str">
        <f aca="false">IF($D987&lt;&gt;1,"",IF(AND($G987="IKS",ISNUMBER(INDEX(TblClusters[Fermeture retenue],$B987))),IF($E987&gt;=INDEX(TblClusters[Fermeture retenue],$B987),1,0),0))</f>
        <v/>
      </c>
    </row>
    <row r="988" customFormat="false" ht="15" hidden="false" customHeight="false" outlineLevel="0" collapsed="false">
      <c r="A988" s="14" t="n">
        <v>983</v>
      </c>
      <c r="B988" s="14" t="n">
        <f aca="false">INT(($A988-1)/36)+1</f>
        <v>28</v>
      </c>
      <c r="C988" s="14" t="n">
        <f aca="false">MOD($A988-1,36)+1</f>
        <v>11</v>
      </c>
      <c r="D988" s="14" t="n">
        <f aca="false">IF($C988&gt;p_horizon,0,IFERROR(IF(AND(INDEX(TblClusters[Cluster],$B988)&lt;&gt;"",ISNUMBER(INDEX(TblClusters[CPU initial (vCPU)],$B988)),ISNUMBER(INDEX(TblClusters[CPU min (vCPU)],$B988)),OR(INDEX(TblClusters[Plateforme],$B988)="IKS",INDEX(TblClusters[Plateforme],$B988)="ROKS")),1,0),0))</f>
        <v>0</v>
      </c>
      <c r="E988" s="83" t="str">
        <f aca="false">IF($D988=1,EDATE(p_debut,$C988-1),"")</f>
        <v/>
      </c>
      <c r="F988" s="14" t="str">
        <f aca="false">IF($D988=1,INDEX(TblClusters[Cluster],$B988),"")</f>
        <v/>
      </c>
      <c r="G988" s="14" t="str">
        <f aca="false">IF($D988=1,INDEX(TblClusters[Plateforme],$B988),"")</f>
        <v/>
      </c>
      <c r="H988" s="14" t="str">
        <f aca="false">IF($D988=1,INDEX(TblClusters[vCPU par nœud],$B988),"")</f>
        <v/>
      </c>
      <c r="I988" s="14" t="str">
        <f aca="false">IF($D988=1,INDEX(TblClusters[RAM par nœud (Go)],$B988),"")</f>
        <v/>
      </c>
      <c r="J988" s="14" t="str">
        <f aca="false">IF($D988=1,INDEX(TblClusters[Workers min],$B988),"")</f>
        <v/>
      </c>
      <c r="K988" s="84" t="str">
        <f aca="false">IF($D988=1,INDEX(TblClusters[Tarif par nœud],$B988),"")</f>
        <v/>
      </c>
      <c r="L988" s="14" t="str">
        <f aca="false">IF($D988=1,INDEX(TblClusters[CPU initial (vCPU)],$B988),"")</f>
        <v/>
      </c>
      <c r="M988" s="14" t="str">
        <f aca="false">IF($D988=1,INDEX(TblClusters[RAM initiale (Go)],$B988),"")</f>
        <v/>
      </c>
      <c r="N988" s="14" t="str">
        <f aca="false">IF($D988=1,INDEX(TblClusters[CPU min (vCPU)],$B988),"")</f>
        <v/>
      </c>
      <c r="O988" s="14" t="str">
        <f aca="false">IF($D988=1,INDEX(TblClusters[RAM min (Go)],$B988),"")</f>
        <v/>
      </c>
      <c r="P988" s="14" t="str">
        <f aca="false">IF($D988&lt;&gt;1,"",IF($G988="ROKS",SUMIFS(TblApplications[Besoin ROKS CPU (vCPU)],TblApplications[Cluster ROKS cible],$F988,TblApplications[Action],"À migrer",TblApplications[Déjà incluse ROKS],"Non",TblApplications[Mois prov (calc)],"&lt;="&amp;$E988),SUMIFS(TblApplications[CPU IKS libérable (vCPU)],TblApplications[Cluster IKS source],$F988,TblApplications[Mois lib (calc)],"&lt;="&amp;$E988)))</f>
        <v/>
      </c>
      <c r="Q988" s="14" t="str">
        <f aca="false">IF($D988&lt;&gt;1,"",IF($G988="ROKS",SUMIFS(TblApplications[Besoin ROKS RAM (Go)],TblApplications[Cluster ROKS cible],$F988,TblApplications[Action],"À migrer",TblApplications[Déjà incluse ROKS],"Non",TblApplications[Mois prov (calc)],"&lt;="&amp;$E988),SUMIFS(TblApplications[RAM IKS libérable (Go)],TblApplications[Cluster IKS source],$F988,TblApplications[Mois lib (calc)],"&lt;="&amp;$E988)))</f>
        <v/>
      </c>
      <c r="R988" s="14" t="str">
        <f aca="false">IF($D988&lt;&gt;1,"",IF($G988="ROKS",$L988+$P988,IF($AI988=1,0,MAX($N988,$L988-$P988))))</f>
        <v/>
      </c>
      <c r="S988" s="14" t="str">
        <f aca="false">IF($D988&lt;&gt;1,"",IF($G988="ROKS",$M988+$Q988,IF($AI988=1,0,MAX($O988,$M988-$Q988))))</f>
        <v/>
      </c>
      <c r="T988" s="14" t="str">
        <f aca="false">IF($D988&lt;&gt;1,"",IF($AI988=1,0,MAX($J988,ROUNDUP(MAX($R988/$H988,$S988/$I988),0))))</f>
        <v/>
      </c>
      <c r="U988" s="14" t="str">
        <f aca="false">IF($D988&lt;&gt;1,"",IF(p_mode="Nœud",$T988*$H988,$R988))</f>
        <v/>
      </c>
      <c r="V988" s="14" t="str">
        <f aca="false">IF($D988&lt;&gt;1,"",IF(p_mode="Nœud",$T988*$I988,$S988))</f>
        <v/>
      </c>
      <c r="W988" s="84" t="str">
        <f aca="false">IF($D988&lt;&gt;1,"",IF(p_mode="Nœud",$T988*$K988,$R988*IF($G988="IKS",p_iks_cpu,p_roks_cpu)+$S988*IF($G988="IKS",p_iks_ram,p_roks_ram))*p_facteur)</f>
        <v/>
      </c>
      <c r="X988" s="14" t="str">
        <f aca="false">IF($D988&lt;&gt;1,"",IF($G988="ROKS",$R988,IF($AI988=1,0,MAX($N988,$L988-SUMIFS(TblApplications[CPU IKS libérable (vCPU)],TblApplications[Cluster IKS source],$F988,TblApplications[Action],"À migrer",TblApplications[Mois prov (calc)],"&lt;="&amp;$E988)-SUMIFS(TblApplications[CPU IKS libérable (vCPU)],TblApplications[Cluster IKS source],$F988,TblApplications[Action],"À décommissionner",TblApplications[Mois lib (calc)],"&lt;="&amp;$E988)))))</f>
        <v/>
      </c>
      <c r="Y988" s="14" t="str">
        <f aca="false">IF($D988&lt;&gt;1,"",IF($G988="ROKS",$S988,IF($AI988=1,0,MAX($O988,$M988-SUMIFS(TblApplications[RAM IKS libérable (Go)],TblApplications[Cluster IKS source],$F988,TblApplications[Action],"À migrer",TblApplications[Mois prov (calc)],"&lt;="&amp;$E988)-SUMIFS(TblApplications[RAM IKS libérable (Go)],TblApplications[Cluster IKS source],$F988,TblApplications[Action],"À décommissionner",TblApplications[Mois lib (calc)],"&lt;="&amp;$E988)))))</f>
        <v/>
      </c>
      <c r="Z988" s="14" t="str">
        <f aca="false">IF($D988&lt;&gt;1,"",IF($AI988=1,0,MAX($J988,ROUNDUP(MAX($X988/$H988,$Y988/$I988),0))))</f>
        <v/>
      </c>
      <c r="AA988" s="84" t="str">
        <f aca="false">IF($D988&lt;&gt;1,"",IF(p_mode="Nœud",$Z988*$K988,$X988*IF($G988="IKS",p_iks_cpu,p_roks_cpu)+$Y988*IF($G988="IKS",p_iks_ram,p_roks_ram))*p_facteur)</f>
        <v/>
      </c>
      <c r="AB988" s="14" t="str">
        <f aca="false">IF($D988&lt;&gt;1,"",MAX($J988,ROUNDUP(MAX($L988/$H988,$M988/$I988),0)))</f>
        <v/>
      </c>
      <c r="AC988" s="84" t="str">
        <f aca="false">IF($D988&lt;&gt;1,"",IF(p_mode="Nœud",$AB988*$K988,$L988*IF($G988="IKS",p_iks_cpu,p_roks_cpu)+$M988*IF($G988="IKS",p_iks_ram,p_roks_ram))*p_facteur)</f>
        <v/>
      </c>
      <c r="AD988" s="14" t="str">
        <f aca="false">IF($D988&lt;&gt;1,"",IF(AND($G988="IKS",$AI988&lt;&gt;1,OR($L988-$P988&lt;$N988,$M988-$Q988&lt;$O988)),1,0))</f>
        <v/>
      </c>
      <c r="AE988" s="14" t="str">
        <f aca="false">IF($D988&lt;&gt;1,"",IF(AND($G988="ROKS",$T988&gt;p_maxworkers),1,0))</f>
        <v/>
      </c>
      <c r="AF988" s="14" t="str">
        <f aca="false">IF($D988&lt;&gt;1,"",IF(INDEX(TblClusters[Environnement],$B988)="","(vide)",INDEX(TblClusters[Environnement],$B988)))</f>
        <v/>
      </c>
      <c r="AG988" s="14" t="str">
        <f aca="false">IF($D988&lt;&gt;1,"",$R988+p_poidsram*$S988)</f>
        <v/>
      </c>
      <c r="AH988" s="14" t="str">
        <f aca="false">IF($D988&lt;&gt;1,"",IFERROR($W988/$AG988,0))</f>
        <v/>
      </c>
      <c r="AI988" s="14" t="str">
        <f aca="false">IF($D988&lt;&gt;1,"",IF(AND($G988="IKS",ISNUMBER(INDEX(TblClusters[Fermeture retenue],$B988))),IF($E988&gt;=INDEX(TblClusters[Fermeture retenue],$B988),1,0),0))</f>
        <v/>
      </c>
    </row>
    <row r="989" customFormat="false" ht="15" hidden="false" customHeight="false" outlineLevel="0" collapsed="false">
      <c r="A989" s="14" t="n">
        <v>984</v>
      </c>
      <c r="B989" s="14" t="n">
        <f aca="false">INT(($A989-1)/36)+1</f>
        <v>28</v>
      </c>
      <c r="C989" s="14" t="n">
        <f aca="false">MOD($A989-1,36)+1</f>
        <v>12</v>
      </c>
      <c r="D989" s="14" t="n">
        <f aca="false">IF($C989&gt;p_horizon,0,IFERROR(IF(AND(INDEX(TblClusters[Cluster],$B989)&lt;&gt;"",ISNUMBER(INDEX(TblClusters[CPU initial (vCPU)],$B989)),ISNUMBER(INDEX(TblClusters[CPU min (vCPU)],$B989)),OR(INDEX(TblClusters[Plateforme],$B989)="IKS",INDEX(TblClusters[Plateforme],$B989)="ROKS")),1,0),0))</f>
        <v>0</v>
      </c>
      <c r="E989" s="83" t="str">
        <f aca="false">IF($D989=1,EDATE(p_debut,$C989-1),"")</f>
        <v/>
      </c>
      <c r="F989" s="14" t="str">
        <f aca="false">IF($D989=1,INDEX(TblClusters[Cluster],$B989),"")</f>
        <v/>
      </c>
      <c r="G989" s="14" t="str">
        <f aca="false">IF($D989=1,INDEX(TblClusters[Plateforme],$B989),"")</f>
        <v/>
      </c>
      <c r="H989" s="14" t="str">
        <f aca="false">IF($D989=1,INDEX(TblClusters[vCPU par nœud],$B989),"")</f>
        <v/>
      </c>
      <c r="I989" s="14" t="str">
        <f aca="false">IF($D989=1,INDEX(TblClusters[RAM par nœud (Go)],$B989),"")</f>
        <v/>
      </c>
      <c r="J989" s="14" t="str">
        <f aca="false">IF($D989=1,INDEX(TblClusters[Workers min],$B989),"")</f>
        <v/>
      </c>
      <c r="K989" s="84" t="str">
        <f aca="false">IF($D989=1,INDEX(TblClusters[Tarif par nœud],$B989),"")</f>
        <v/>
      </c>
      <c r="L989" s="14" t="str">
        <f aca="false">IF($D989=1,INDEX(TblClusters[CPU initial (vCPU)],$B989),"")</f>
        <v/>
      </c>
      <c r="M989" s="14" t="str">
        <f aca="false">IF($D989=1,INDEX(TblClusters[RAM initiale (Go)],$B989),"")</f>
        <v/>
      </c>
      <c r="N989" s="14" t="str">
        <f aca="false">IF($D989=1,INDEX(TblClusters[CPU min (vCPU)],$B989),"")</f>
        <v/>
      </c>
      <c r="O989" s="14" t="str">
        <f aca="false">IF($D989=1,INDEX(TblClusters[RAM min (Go)],$B989),"")</f>
        <v/>
      </c>
      <c r="P989" s="14" t="str">
        <f aca="false">IF($D989&lt;&gt;1,"",IF($G989="ROKS",SUMIFS(TblApplications[Besoin ROKS CPU (vCPU)],TblApplications[Cluster ROKS cible],$F989,TblApplications[Action],"À migrer",TblApplications[Déjà incluse ROKS],"Non",TblApplications[Mois prov (calc)],"&lt;="&amp;$E989),SUMIFS(TblApplications[CPU IKS libérable (vCPU)],TblApplications[Cluster IKS source],$F989,TblApplications[Mois lib (calc)],"&lt;="&amp;$E989)))</f>
        <v/>
      </c>
      <c r="Q989" s="14" t="str">
        <f aca="false">IF($D989&lt;&gt;1,"",IF($G989="ROKS",SUMIFS(TblApplications[Besoin ROKS RAM (Go)],TblApplications[Cluster ROKS cible],$F989,TblApplications[Action],"À migrer",TblApplications[Déjà incluse ROKS],"Non",TblApplications[Mois prov (calc)],"&lt;="&amp;$E989),SUMIFS(TblApplications[RAM IKS libérable (Go)],TblApplications[Cluster IKS source],$F989,TblApplications[Mois lib (calc)],"&lt;="&amp;$E989)))</f>
        <v/>
      </c>
      <c r="R989" s="14" t="str">
        <f aca="false">IF($D989&lt;&gt;1,"",IF($G989="ROKS",$L989+$P989,IF($AI989=1,0,MAX($N989,$L989-$P989))))</f>
        <v/>
      </c>
      <c r="S989" s="14" t="str">
        <f aca="false">IF($D989&lt;&gt;1,"",IF($G989="ROKS",$M989+$Q989,IF($AI989=1,0,MAX($O989,$M989-$Q989))))</f>
        <v/>
      </c>
      <c r="T989" s="14" t="str">
        <f aca="false">IF($D989&lt;&gt;1,"",IF($AI989=1,0,MAX($J989,ROUNDUP(MAX($R989/$H989,$S989/$I989),0))))</f>
        <v/>
      </c>
      <c r="U989" s="14" t="str">
        <f aca="false">IF($D989&lt;&gt;1,"",IF(p_mode="Nœud",$T989*$H989,$R989))</f>
        <v/>
      </c>
      <c r="V989" s="14" t="str">
        <f aca="false">IF($D989&lt;&gt;1,"",IF(p_mode="Nœud",$T989*$I989,$S989))</f>
        <v/>
      </c>
      <c r="W989" s="84" t="str">
        <f aca="false">IF($D989&lt;&gt;1,"",IF(p_mode="Nœud",$T989*$K989,$R989*IF($G989="IKS",p_iks_cpu,p_roks_cpu)+$S989*IF($G989="IKS",p_iks_ram,p_roks_ram))*p_facteur)</f>
        <v/>
      </c>
      <c r="X989" s="14" t="str">
        <f aca="false">IF($D989&lt;&gt;1,"",IF($G989="ROKS",$R989,IF($AI989=1,0,MAX($N989,$L989-SUMIFS(TblApplications[CPU IKS libérable (vCPU)],TblApplications[Cluster IKS source],$F989,TblApplications[Action],"À migrer",TblApplications[Mois prov (calc)],"&lt;="&amp;$E989)-SUMIFS(TblApplications[CPU IKS libérable (vCPU)],TblApplications[Cluster IKS source],$F989,TblApplications[Action],"À décommissionner",TblApplications[Mois lib (calc)],"&lt;="&amp;$E989)))))</f>
        <v/>
      </c>
      <c r="Y989" s="14" t="str">
        <f aca="false">IF($D989&lt;&gt;1,"",IF($G989="ROKS",$S989,IF($AI989=1,0,MAX($O989,$M989-SUMIFS(TblApplications[RAM IKS libérable (Go)],TblApplications[Cluster IKS source],$F989,TblApplications[Action],"À migrer",TblApplications[Mois prov (calc)],"&lt;="&amp;$E989)-SUMIFS(TblApplications[RAM IKS libérable (Go)],TblApplications[Cluster IKS source],$F989,TblApplications[Action],"À décommissionner",TblApplications[Mois lib (calc)],"&lt;="&amp;$E989)))))</f>
        <v/>
      </c>
      <c r="Z989" s="14" t="str">
        <f aca="false">IF($D989&lt;&gt;1,"",IF($AI989=1,0,MAX($J989,ROUNDUP(MAX($X989/$H989,$Y989/$I989),0))))</f>
        <v/>
      </c>
      <c r="AA989" s="84" t="str">
        <f aca="false">IF($D989&lt;&gt;1,"",IF(p_mode="Nœud",$Z989*$K989,$X989*IF($G989="IKS",p_iks_cpu,p_roks_cpu)+$Y989*IF($G989="IKS",p_iks_ram,p_roks_ram))*p_facteur)</f>
        <v/>
      </c>
      <c r="AB989" s="14" t="str">
        <f aca="false">IF($D989&lt;&gt;1,"",MAX($J989,ROUNDUP(MAX($L989/$H989,$M989/$I989),0)))</f>
        <v/>
      </c>
      <c r="AC989" s="84" t="str">
        <f aca="false">IF($D989&lt;&gt;1,"",IF(p_mode="Nœud",$AB989*$K989,$L989*IF($G989="IKS",p_iks_cpu,p_roks_cpu)+$M989*IF($G989="IKS",p_iks_ram,p_roks_ram))*p_facteur)</f>
        <v/>
      </c>
      <c r="AD989" s="14" t="str">
        <f aca="false">IF($D989&lt;&gt;1,"",IF(AND($G989="IKS",$AI989&lt;&gt;1,OR($L989-$P989&lt;$N989,$M989-$Q989&lt;$O989)),1,0))</f>
        <v/>
      </c>
      <c r="AE989" s="14" t="str">
        <f aca="false">IF($D989&lt;&gt;1,"",IF(AND($G989="ROKS",$T989&gt;p_maxworkers),1,0))</f>
        <v/>
      </c>
      <c r="AF989" s="14" t="str">
        <f aca="false">IF($D989&lt;&gt;1,"",IF(INDEX(TblClusters[Environnement],$B989)="","(vide)",INDEX(TblClusters[Environnement],$B989)))</f>
        <v/>
      </c>
      <c r="AG989" s="14" t="str">
        <f aca="false">IF($D989&lt;&gt;1,"",$R989+p_poidsram*$S989)</f>
        <v/>
      </c>
      <c r="AH989" s="14" t="str">
        <f aca="false">IF($D989&lt;&gt;1,"",IFERROR($W989/$AG989,0))</f>
        <v/>
      </c>
      <c r="AI989" s="14" t="str">
        <f aca="false">IF($D989&lt;&gt;1,"",IF(AND($G989="IKS",ISNUMBER(INDEX(TblClusters[Fermeture retenue],$B989))),IF($E989&gt;=INDEX(TblClusters[Fermeture retenue],$B989),1,0),0))</f>
        <v/>
      </c>
    </row>
    <row r="990" customFormat="false" ht="15" hidden="false" customHeight="false" outlineLevel="0" collapsed="false">
      <c r="A990" s="14" t="n">
        <v>985</v>
      </c>
      <c r="B990" s="14" t="n">
        <f aca="false">INT(($A990-1)/36)+1</f>
        <v>28</v>
      </c>
      <c r="C990" s="14" t="n">
        <f aca="false">MOD($A990-1,36)+1</f>
        <v>13</v>
      </c>
      <c r="D990" s="14" t="n">
        <f aca="false">IF($C990&gt;p_horizon,0,IFERROR(IF(AND(INDEX(TblClusters[Cluster],$B990)&lt;&gt;"",ISNUMBER(INDEX(TblClusters[CPU initial (vCPU)],$B990)),ISNUMBER(INDEX(TblClusters[CPU min (vCPU)],$B990)),OR(INDEX(TblClusters[Plateforme],$B990)="IKS",INDEX(TblClusters[Plateforme],$B990)="ROKS")),1,0),0))</f>
        <v>0</v>
      </c>
      <c r="E990" s="83" t="str">
        <f aca="false">IF($D990=1,EDATE(p_debut,$C990-1),"")</f>
        <v/>
      </c>
      <c r="F990" s="14" t="str">
        <f aca="false">IF($D990=1,INDEX(TblClusters[Cluster],$B990),"")</f>
        <v/>
      </c>
      <c r="G990" s="14" t="str">
        <f aca="false">IF($D990=1,INDEX(TblClusters[Plateforme],$B990),"")</f>
        <v/>
      </c>
      <c r="H990" s="14" t="str">
        <f aca="false">IF($D990=1,INDEX(TblClusters[vCPU par nœud],$B990),"")</f>
        <v/>
      </c>
      <c r="I990" s="14" t="str">
        <f aca="false">IF($D990=1,INDEX(TblClusters[RAM par nœud (Go)],$B990),"")</f>
        <v/>
      </c>
      <c r="J990" s="14" t="str">
        <f aca="false">IF($D990=1,INDEX(TblClusters[Workers min],$B990),"")</f>
        <v/>
      </c>
      <c r="K990" s="84" t="str">
        <f aca="false">IF($D990=1,INDEX(TblClusters[Tarif par nœud],$B990),"")</f>
        <v/>
      </c>
      <c r="L990" s="14" t="str">
        <f aca="false">IF($D990=1,INDEX(TblClusters[CPU initial (vCPU)],$B990),"")</f>
        <v/>
      </c>
      <c r="M990" s="14" t="str">
        <f aca="false">IF($D990=1,INDEX(TblClusters[RAM initiale (Go)],$B990),"")</f>
        <v/>
      </c>
      <c r="N990" s="14" t="str">
        <f aca="false">IF($D990=1,INDEX(TblClusters[CPU min (vCPU)],$B990),"")</f>
        <v/>
      </c>
      <c r="O990" s="14" t="str">
        <f aca="false">IF($D990=1,INDEX(TblClusters[RAM min (Go)],$B990),"")</f>
        <v/>
      </c>
      <c r="P990" s="14" t="str">
        <f aca="false">IF($D990&lt;&gt;1,"",IF($G990="ROKS",SUMIFS(TblApplications[Besoin ROKS CPU (vCPU)],TblApplications[Cluster ROKS cible],$F990,TblApplications[Action],"À migrer",TblApplications[Déjà incluse ROKS],"Non",TblApplications[Mois prov (calc)],"&lt;="&amp;$E990),SUMIFS(TblApplications[CPU IKS libérable (vCPU)],TblApplications[Cluster IKS source],$F990,TblApplications[Mois lib (calc)],"&lt;="&amp;$E990)))</f>
        <v/>
      </c>
      <c r="Q990" s="14" t="str">
        <f aca="false">IF($D990&lt;&gt;1,"",IF($G990="ROKS",SUMIFS(TblApplications[Besoin ROKS RAM (Go)],TblApplications[Cluster ROKS cible],$F990,TblApplications[Action],"À migrer",TblApplications[Déjà incluse ROKS],"Non",TblApplications[Mois prov (calc)],"&lt;="&amp;$E990),SUMIFS(TblApplications[RAM IKS libérable (Go)],TblApplications[Cluster IKS source],$F990,TblApplications[Mois lib (calc)],"&lt;="&amp;$E990)))</f>
        <v/>
      </c>
      <c r="R990" s="14" t="str">
        <f aca="false">IF($D990&lt;&gt;1,"",IF($G990="ROKS",$L990+$P990,IF($AI990=1,0,MAX($N990,$L990-$P990))))</f>
        <v/>
      </c>
      <c r="S990" s="14" t="str">
        <f aca="false">IF($D990&lt;&gt;1,"",IF($G990="ROKS",$M990+$Q990,IF($AI990=1,0,MAX($O990,$M990-$Q990))))</f>
        <v/>
      </c>
      <c r="T990" s="14" t="str">
        <f aca="false">IF($D990&lt;&gt;1,"",IF($AI990=1,0,MAX($J990,ROUNDUP(MAX($R990/$H990,$S990/$I990),0))))</f>
        <v/>
      </c>
      <c r="U990" s="14" t="str">
        <f aca="false">IF($D990&lt;&gt;1,"",IF(p_mode="Nœud",$T990*$H990,$R990))</f>
        <v/>
      </c>
      <c r="V990" s="14" t="str">
        <f aca="false">IF($D990&lt;&gt;1,"",IF(p_mode="Nœud",$T990*$I990,$S990))</f>
        <v/>
      </c>
      <c r="W990" s="84" t="str">
        <f aca="false">IF($D990&lt;&gt;1,"",IF(p_mode="Nœud",$T990*$K990,$R990*IF($G990="IKS",p_iks_cpu,p_roks_cpu)+$S990*IF($G990="IKS",p_iks_ram,p_roks_ram))*p_facteur)</f>
        <v/>
      </c>
      <c r="X990" s="14" t="str">
        <f aca="false">IF($D990&lt;&gt;1,"",IF($G990="ROKS",$R990,IF($AI990=1,0,MAX($N990,$L990-SUMIFS(TblApplications[CPU IKS libérable (vCPU)],TblApplications[Cluster IKS source],$F990,TblApplications[Action],"À migrer",TblApplications[Mois prov (calc)],"&lt;="&amp;$E990)-SUMIFS(TblApplications[CPU IKS libérable (vCPU)],TblApplications[Cluster IKS source],$F990,TblApplications[Action],"À décommissionner",TblApplications[Mois lib (calc)],"&lt;="&amp;$E990)))))</f>
        <v/>
      </c>
      <c r="Y990" s="14" t="str">
        <f aca="false">IF($D990&lt;&gt;1,"",IF($G990="ROKS",$S990,IF($AI990=1,0,MAX($O990,$M990-SUMIFS(TblApplications[RAM IKS libérable (Go)],TblApplications[Cluster IKS source],$F990,TblApplications[Action],"À migrer",TblApplications[Mois prov (calc)],"&lt;="&amp;$E990)-SUMIFS(TblApplications[RAM IKS libérable (Go)],TblApplications[Cluster IKS source],$F990,TblApplications[Action],"À décommissionner",TblApplications[Mois lib (calc)],"&lt;="&amp;$E990)))))</f>
        <v/>
      </c>
      <c r="Z990" s="14" t="str">
        <f aca="false">IF($D990&lt;&gt;1,"",IF($AI990=1,0,MAX($J990,ROUNDUP(MAX($X990/$H990,$Y990/$I990),0))))</f>
        <v/>
      </c>
      <c r="AA990" s="84" t="str">
        <f aca="false">IF($D990&lt;&gt;1,"",IF(p_mode="Nœud",$Z990*$K990,$X990*IF($G990="IKS",p_iks_cpu,p_roks_cpu)+$Y990*IF($G990="IKS",p_iks_ram,p_roks_ram))*p_facteur)</f>
        <v/>
      </c>
      <c r="AB990" s="14" t="str">
        <f aca="false">IF($D990&lt;&gt;1,"",MAX($J990,ROUNDUP(MAX($L990/$H990,$M990/$I990),0)))</f>
        <v/>
      </c>
      <c r="AC990" s="84" t="str">
        <f aca="false">IF($D990&lt;&gt;1,"",IF(p_mode="Nœud",$AB990*$K990,$L990*IF($G990="IKS",p_iks_cpu,p_roks_cpu)+$M990*IF($G990="IKS",p_iks_ram,p_roks_ram))*p_facteur)</f>
        <v/>
      </c>
      <c r="AD990" s="14" t="str">
        <f aca="false">IF($D990&lt;&gt;1,"",IF(AND($G990="IKS",$AI990&lt;&gt;1,OR($L990-$P990&lt;$N990,$M990-$Q990&lt;$O990)),1,0))</f>
        <v/>
      </c>
      <c r="AE990" s="14" t="str">
        <f aca="false">IF($D990&lt;&gt;1,"",IF(AND($G990="ROKS",$T990&gt;p_maxworkers),1,0))</f>
        <v/>
      </c>
      <c r="AF990" s="14" t="str">
        <f aca="false">IF($D990&lt;&gt;1,"",IF(INDEX(TblClusters[Environnement],$B990)="","(vide)",INDEX(TblClusters[Environnement],$B990)))</f>
        <v/>
      </c>
      <c r="AG990" s="14" t="str">
        <f aca="false">IF($D990&lt;&gt;1,"",$R990+p_poidsram*$S990)</f>
        <v/>
      </c>
      <c r="AH990" s="14" t="str">
        <f aca="false">IF($D990&lt;&gt;1,"",IFERROR($W990/$AG990,0))</f>
        <v/>
      </c>
      <c r="AI990" s="14" t="str">
        <f aca="false">IF($D990&lt;&gt;1,"",IF(AND($G990="IKS",ISNUMBER(INDEX(TblClusters[Fermeture retenue],$B990))),IF($E990&gt;=INDEX(TblClusters[Fermeture retenue],$B990),1,0),0))</f>
        <v/>
      </c>
    </row>
    <row r="991" customFormat="false" ht="15" hidden="false" customHeight="false" outlineLevel="0" collapsed="false">
      <c r="A991" s="14" t="n">
        <v>986</v>
      </c>
      <c r="B991" s="14" t="n">
        <f aca="false">INT(($A991-1)/36)+1</f>
        <v>28</v>
      </c>
      <c r="C991" s="14" t="n">
        <f aca="false">MOD($A991-1,36)+1</f>
        <v>14</v>
      </c>
      <c r="D991" s="14" t="n">
        <f aca="false">IF($C991&gt;p_horizon,0,IFERROR(IF(AND(INDEX(TblClusters[Cluster],$B991)&lt;&gt;"",ISNUMBER(INDEX(TblClusters[CPU initial (vCPU)],$B991)),ISNUMBER(INDEX(TblClusters[CPU min (vCPU)],$B991)),OR(INDEX(TblClusters[Plateforme],$B991)="IKS",INDEX(TblClusters[Plateforme],$B991)="ROKS")),1,0),0))</f>
        <v>0</v>
      </c>
      <c r="E991" s="83" t="str">
        <f aca="false">IF($D991=1,EDATE(p_debut,$C991-1),"")</f>
        <v/>
      </c>
      <c r="F991" s="14" t="str">
        <f aca="false">IF($D991=1,INDEX(TblClusters[Cluster],$B991),"")</f>
        <v/>
      </c>
      <c r="G991" s="14" t="str">
        <f aca="false">IF($D991=1,INDEX(TblClusters[Plateforme],$B991),"")</f>
        <v/>
      </c>
      <c r="H991" s="14" t="str">
        <f aca="false">IF($D991=1,INDEX(TblClusters[vCPU par nœud],$B991),"")</f>
        <v/>
      </c>
      <c r="I991" s="14" t="str">
        <f aca="false">IF($D991=1,INDEX(TblClusters[RAM par nœud (Go)],$B991),"")</f>
        <v/>
      </c>
      <c r="J991" s="14" t="str">
        <f aca="false">IF($D991=1,INDEX(TblClusters[Workers min],$B991),"")</f>
        <v/>
      </c>
      <c r="K991" s="84" t="str">
        <f aca="false">IF($D991=1,INDEX(TblClusters[Tarif par nœud],$B991),"")</f>
        <v/>
      </c>
      <c r="L991" s="14" t="str">
        <f aca="false">IF($D991=1,INDEX(TblClusters[CPU initial (vCPU)],$B991),"")</f>
        <v/>
      </c>
      <c r="M991" s="14" t="str">
        <f aca="false">IF($D991=1,INDEX(TblClusters[RAM initiale (Go)],$B991),"")</f>
        <v/>
      </c>
      <c r="N991" s="14" t="str">
        <f aca="false">IF($D991=1,INDEX(TblClusters[CPU min (vCPU)],$B991),"")</f>
        <v/>
      </c>
      <c r="O991" s="14" t="str">
        <f aca="false">IF($D991=1,INDEX(TblClusters[RAM min (Go)],$B991),"")</f>
        <v/>
      </c>
      <c r="P991" s="14" t="str">
        <f aca="false">IF($D991&lt;&gt;1,"",IF($G991="ROKS",SUMIFS(TblApplications[Besoin ROKS CPU (vCPU)],TblApplications[Cluster ROKS cible],$F991,TblApplications[Action],"À migrer",TblApplications[Déjà incluse ROKS],"Non",TblApplications[Mois prov (calc)],"&lt;="&amp;$E991),SUMIFS(TblApplications[CPU IKS libérable (vCPU)],TblApplications[Cluster IKS source],$F991,TblApplications[Mois lib (calc)],"&lt;="&amp;$E991)))</f>
        <v/>
      </c>
      <c r="Q991" s="14" t="str">
        <f aca="false">IF($D991&lt;&gt;1,"",IF($G991="ROKS",SUMIFS(TblApplications[Besoin ROKS RAM (Go)],TblApplications[Cluster ROKS cible],$F991,TblApplications[Action],"À migrer",TblApplications[Déjà incluse ROKS],"Non",TblApplications[Mois prov (calc)],"&lt;="&amp;$E991),SUMIFS(TblApplications[RAM IKS libérable (Go)],TblApplications[Cluster IKS source],$F991,TblApplications[Mois lib (calc)],"&lt;="&amp;$E991)))</f>
        <v/>
      </c>
      <c r="R991" s="14" t="str">
        <f aca="false">IF($D991&lt;&gt;1,"",IF($G991="ROKS",$L991+$P991,IF($AI991=1,0,MAX($N991,$L991-$P991))))</f>
        <v/>
      </c>
      <c r="S991" s="14" t="str">
        <f aca="false">IF($D991&lt;&gt;1,"",IF($G991="ROKS",$M991+$Q991,IF($AI991=1,0,MAX($O991,$M991-$Q991))))</f>
        <v/>
      </c>
      <c r="T991" s="14" t="str">
        <f aca="false">IF($D991&lt;&gt;1,"",IF($AI991=1,0,MAX($J991,ROUNDUP(MAX($R991/$H991,$S991/$I991),0))))</f>
        <v/>
      </c>
      <c r="U991" s="14" t="str">
        <f aca="false">IF($D991&lt;&gt;1,"",IF(p_mode="Nœud",$T991*$H991,$R991))</f>
        <v/>
      </c>
      <c r="V991" s="14" t="str">
        <f aca="false">IF($D991&lt;&gt;1,"",IF(p_mode="Nœud",$T991*$I991,$S991))</f>
        <v/>
      </c>
      <c r="W991" s="84" t="str">
        <f aca="false">IF($D991&lt;&gt;1,"",IF(p_mode="Nœud",$T991*$K991,$R991*IF($G991="IKS",p_iks_cpu,p_roks_cpu)+$S991*IF($G991="IKS",p_iks_ram,p_roks_ram))*p_facteur)</f>
        <v/>
      </c>
      <c r="X991" s="14" t="str">
        <f aca="false">IF($D991&lt;&gt;1,"",IF($G991="ROKS",$R991,IF($AI991=1,0,MAX($N991,$L991-SUMIFS(TblApplications[CPU IKS libérable (vCPU)],TblApplications[Cluster IKS source],$F991,TblApplications[Action],"À migrer",TblApplications[Mois prov (calc)],"&lt;="&amp;$E991)-SUMIFS(TblApplications[CPU IKS libérable (vCPU)],TblApplications[Cluster IKS source],$F991,TblApplications[Action],"À décommissionner",TblApplications[Mois lib (calc)],"&lt;="&amp;$E991)))))</f>
        <v/>
      </c>
      <c r="Y991" s="14" t="str">
        <f aca="false">IF($D991&lt;&gt;1,"",IF($G991="ROKS",$S991,IF($AI991=1,0,MAX($O991,$M991-SUMIFS(TblApplications[RAM IKS libérable (Go)],TblApplications[Cluster IKS source],$F991,TblApplications[Action],"À migrer",TblApplications[Mois prov (calc)],"&lt;="&amp;$E991)-SUMIFS(TblApplications[RAM IKS libérable (Go)],TblApplications[Cluster IKS source],$F991,TblApplications[Action],"À décommissionner",TblApplications[Mois lib (calc)],"&lt;="&amp;$E991)))))</f>
        <v/>
      </c>
      <c r="Z991" s="14" t="str">
        <f aca="false">IF($D991&lt;&gt;1,"",IF($AI991=1,0,MAX($J991,ROUNDUP(MAX($X991/$H991,$Y991/$I991),0))))</f>
        <v/>
      </c>
      <c r="AA991" s="84" t="str">
        <f aca="false">IF($D991&lt;&gt;1,"",IF(p_mode="Nœud",$Z991*$K991,$X991*IF($G991="IKS",p_iks_cpu,p_roks_cpu)+$Y991*IF($G991="IKS",p_iks_ram,p_roks_ram))*p_facteur)</f>
        <v/>
      </c>
      <c r="AB991" s="14" t="str">
        <f aca="false">IF($D991&lt;&gt;1,"",MAX($J991,ROUNDUP(MAX($L991/$H991,$M991/$I991),0)))</f>
        <v/>
      </c>
      <c r="AC991" s="84" t="str">
        <f aca="false">IF($D991&lt;&gt;1,"",IF(p_mode="Nœud",$AB991*$K991,$L991*IF($G991="IKS",p_iks_cpu,p_roks_cpu)+$M991*IF($G991="IKS",p_iks_ram,p_roks_ram))*p_facteur)</f>
        <v/>
      </c>
      <c r="AD991" s="14" t="str">
        <f aca="false">IF($D991&lt;&gt;1,"",IF(AND($G991="IKS",$AI991&lt;&gt;1,OR($L991-$P991&lt;$N991,$M991-$Q991&lt;$O991)),1,0))</f>
        <v/>
      </c>
      <c r="AE991" s="14" t="str">
        <f aca="false">IF($D991&lt;&gt;1,"",IF(AND($G991="ROKS",$T991&gt;p_maxworkers),1,0))</f>
        <v/>
      </c>
      <c r="AF991" s="14" t="str">
        <f aca="false">IF($D991&lt;&gt;1,"",IF(INDEX(TblClusters[Environnement],$B991)="","(vide)",INDEX(TblClusters[Environnement],$B991)))</f>
        <v/>
      </c>
      <c r="AG991" s="14" t="str">
        <f aca="false">IF($D991&lt;&gt;1,"",$R991+p_poidsram*$S991)</f>
        <v/>
      </c>
      <c r="AH991" s="14" t="str">
        <f aca="false">IF($D991&lt;&gt;1,"",IFERROR($W991/$AG991,0))</f>
        <v/>
      </c>
      <c r="AI991" s="14" t="str">
        <f aca="false">IF($D991&lt;&gt;1,"",IF(AND($G991="IKS",ISNUMBER(INDEX(TblClusters[Fermeture retenue],$B991))),IF($E991&gt;=INDEX(TblClusters[Fermeture retenue],$B991),1,0),0))</f>
        <v/>
      </c>
    </row>
    <row r="992" customFormat="false" ht="15" hidden="false" customHeight="false" outlineLevel="0" collapsed="false">
      <c r="A992" s="14" t="n">
        <v>987</v>
      </c>
      <c r="B992" s="14" t="n">
        <f aca="false">INT(($A992-1)/36)+1</f>
        <v>28</v>
      </c>
      <c r="C992" s="14" t="n">
        <f aca="false">MOD($A992-1,36)+1</f>
        <v>15</v>
      </c>
      <c r="D992" s="14" t="n">
        <f aca="false">IF($C992&gt;p_horizon,0,IFERROR(IF(AND(INDEX(TblClusters[Cluster],$B992)&lt;&gt;"",ISNUMBER(INDEX(TblClusters[CPU initial (vCPU)],$B992)),ISNUMBER(INDEX(TblClusters[CPU min (vCPU)],$B992)),OR(INDEX(TblClusters[Plateforme],$B992)="IKS",INDEX(TblClusters[Plateforme],$B992)="ROKS")),1,0),0))</f>
        <v>0</v>
      </c>
      <c r="E992" s="83" t="str">
        <f aca="false">IF($D992=1,EDATE(p_debut,$C992-1),"")</f>
        <v/>
      </c>
      <c r="F992" s="14" t="str">
        <f aca="false">IF($D992=1,INDEX(TblClusters[Cluster],$B992),"")</f>
        <v/>
      </c>
      <c r="G992" s="14" t="str">
        <f aca="false">IF($D992=1,INDEX(TblClusters[Plateforme],$B992),"")</f>
        <v/>
      </c>
      <c r="H992" s="14" t="str">
        <f aca="false">IF($D992=1,INDEX(TblClusters[vCPU par nœud],$B992),"")</f>
        <v/>
      </c>
      <c r="I992" s="14" t="str">
        <f aca="false">IF($D992=1,INDEX(TblClusters[RAM par nœud (Go)],$B992),"")</f>
        <v/>
      </c>
      <c r="J992" s="14" t="str">
        <f aca="false">IF($D992=1,INDEX(TblClusters[Workers min],$B992),"")</f>
        <v/>
      </c>
      <c r="K992" s="84" t="str">
        <f aca="false">IF($D992=1,INDEX(TblClusters[Tarif par nœud],$B992),"")</f>
        <v/>
      </c>
      <c r="L992" s="14" t="str">
        <f aca="false">IF($D992=1,INDEX(TblClusters[CPU initial (vCPU)],$B992),"")</f>
        <v/>
      </c>
      <c r="M992" s="14" t="str">
        <f aca="false">IF($D992=1,INDEX(TblClusters[RAM initiale (Go)],$B992),"")</f>
        <v/>
      </c>
      <c r="N992" s="14" t="str">
        <f aca="false">IF($D992=1,INDEX(TblClusters[CPU min (vCPU)],$B992),"")</f>
        <v/>
      </c>
      <c r="O992" s="14" t="str">
        <f aca="false">IF($D992=1,INDEX(TblClusters[RAM min (Go)],$B992),"")</f>
        <v/>
      </c>
      <c r="P992" s="14" t="str">
        <f aca="false">IF($D992&lt;&gt;1,"",IF($G992="ROKS",SUMIFS(TblApplications[Besoin ROKS CPU (vCPU)],TblApplications[Cluster ROKS cible],$F992,TblApplications[Action],"À migrer",TblApplications[Déjà incluse ROKS],"Non",TblApplications[Mois prov (calc)],"&lt;="&amp;$E992),SUMIFS(TblApplications[CPU IKS libérable (vCPU)],TblApplications[Cluster IKS source],$F992,TblApplications[Mois lib (calc)],"&lt;="&amp;$E992)))</f>
        <v/>
      </c>
      <c r="Q992" s="14" t="str">
        <f aca="false">IF($D992&lt;&gt;1,"",IF($G992="ROKS",SUMIFS(TblApplications[Besoin ROKS RAM (Go)],TblApplications[Cluster ROKS cible],$F992,TblApplications[Action],"À migrer",TblApplications[Déjà incluse ROKS],"Non",TblApplications[Mois prov (calc)],"&lt;="&amp;$E992),SUMIFS(TblApplications[RAM IKS libérable (Go)],TblApplications[Cluster IKS source],$F992,TblApplications[Mois lib (calc)],"&lt;="&amp;$E992)))</f>
        <v/>
      </c>
      <c r="R992" s="14" t="str">
        <f aca="false">IF($D992&lt;&gt;1,"",IF($G992="ROKS",$L992+$P992,IF($AI992=1,0,MAX($N992,$L992-$P992))))</f>
        <v/>
      </c>
      <c r="S992" s="14" t="str">
        <f aca="false">IF($D992&lt;&gt;1,"",IF($G992="ROKS",$M992+$Q992,IF($AI992=1,0,MAX($O992,$M992-$Q992))))</f>
        <v/>
      </c>
      <c r="T992" s="14" t="str">
        <f aca="false">IF($D992&lt;&gt;1,"",IF($AI992=1,0,MAX($J992,ROUNDUP(MAX($R992/$H992,$S992/$I992),0))))</f>
        <v/>
      </c>
      <c r="U992" s="14" t="str">
        <f aca="false">IF($D992&lt;&gt;1,"",IF(p_mode="Nœud",$T992*$H992,$R992))</f>
        <v/>
      </c>
      <c r="V992" s="14" t="str">
        <f aca="false">IF($D992&lt;&gt;1,"",IF(p_mode="Nœud",$T992*$I992,$S992))</f>
        <v/>
      </c>
      <c r="W992" s="84" t="str">
        <f aca="false">IF($D992&lt;&gt;1,"",IF(p_mode="Nœud",$T992*$K992,$R992*IF($G992="IKS",p_iks_cpu,p_roks_cpu)+$S992*IF($G992="IKS",p_iks_ram,p_roks_ram))*p_facteur)</f>
        <v/>
      </c>
      <c r="X992" s="14" t="str">
        <f aca="false">IF($D992&lt;&gt;1,"",IF($G992="ROKS",$R992,IF($AI992=1,0,MAX($N992,$L992-SUMIFS(TblApplications[CPU IKS libérable (vCPU)],TblApplications[Cluster IKS source],$F992,TblApplications[Action],"À migrer",TblApplications[Mois prov (calc)],"&lt;="&amp;$E992)-SUMIFS(TblApplications[CPU IKS libérable (vCPU)],TblApplications[Cluster IKS source],$F992,TblApplications[Action],"À décommissionner",TblApplications[Mois lib (calc)],"&lt;="&amp;$E992)))))</f>
        <v/>
      </c>
      <c r="Y992" s="14" t="str">
        <f aca="false">IF($D992&lt;&gt;1,"",IF($G992="ROKS",$S992,IF($AI992=1,0,MAX($O992,$M992-SUMIFS(TblApplications[RAM IKS libérable (Go)],TblApplications[Cluster IKS source],$F992,TblApplications[Action],"À migrer",TblApplications[Mois prov (calc)],"&lt;="&amp;$E992)-SUMIFS(TblApplications[RAM IKS libérable (Go)],TblApplications[Cluster IKS source],$F992,TblApplications[Action],"À décommissionner",TblApplications[Mois lib (calc)],"&lt;="&amp;$E992)))))</f>
        <v/>
      </c>
      <c r="Z992" s="14" t="str">
        <f aca="false">IF($D992&lt;&gt;1,"",IF($AI992=1,0,MAX($J992,ROUNDUP(MAX($X992/$H992,$Y992/$I992),0))))</f>
        <v/>
      </c>
      <c r="AA992" s="84" t="str">
        <f aca="false">IF($D992&lt;&gt;1,"",IF(p_mode="Nœud",$Z992*$K992,$X992*IF($G992="IKS",p_iks_cpu,p_roks_cpu)+$Y992*IF($G992="IKS",p_iks_ram,p_roks_ram))*p_facteur)</f>
        <v/>
      </c>
      <c r="AB992" s="14" t="str">
        <f aca="false">IF($D992&lt;&gt;1,"",MAX($J992,ROUNDUP(MAX($L992/$H992,$M992/$I992),0)))</f>
        <v/>
      </c>
      <c r="AC992" s="84" t="str">
        <f aca="false">IF($D992&lt;&gt;1,"",IF(p_mode="Nœud",$AB992*$K992,$L992*IF($G992="IKS",p_iks_cpu,p_roks_cpu)+$M992*IF($G992="IKS",p_iks_ram,p_roks_ram))*p_facteur)</f>
        <v/>
      </c>
      <c r="AD992" s="14" t="str">
        <f aca="false">IF($D992&lt;&gt;1,"",IF(AND($G992="IKS",$AI992&lt;&gt;1,OR($L992-$P992&lt;$N992,$M992-$Q992&lt;$O992)),1,0))</f>
        <v/>
      </c>
      <c r="AE992" s="14" t="str">
        <f aca="false">IF($D992&lt;&gt;1,"",IF(AND($G992="ROKS",$T992&gt;p_maxworkers),1,0))</f>
        <v/>
      </c>
      <c r="AF992" s="14" t="str">
        <f aca="false">IF($D992&lt;&gt;1,"",IF(INDEX(TblClusters[Environnement],$B992)="","(vide)",INDEX(TblClusters[Environnement],$B992)))</f>
        <v/>
      </c>
      <c r="AG992" s="14" t="str">
        <f aca="false">IF($D992&lt;&gt;1,"",$R992+p_poidsram*$S992)</f>
        <v/>
      </c>
      <c r="AH992" s="14" t="str">
        <f aca="false">IF($D992&lt;&gt;1,"",IFERROR($W992/$AG992,0))</f>
        <v/>
      </c>
      <c r="AI992" s="14" t="str">
        <f aca="false">IF($D992&lt;&gt;1,"",IF(AND($G992="IKS",ISNUMBER(INDEX(TblClusters[Fermeture retenue],$B992))),IF($E992&gt;=INDEX(TblClusters[Fermeture retenue],$B992),1,0),0))</f>
        <v/>
      </c>
    </row>
    <row r="993" customFormat="false" ht="15" hidden="false" customHeight="false" outlineLevel="0" collapsed="false">
      <c r="A993" s="14" t="n">
        <v>988</v>
      </c>
      <c r="B993" s="14" t="n">
        <f aca="false">INT(($A993-1)/36)+1</f>
        <v>28</v>
      </c>
      <c r="C993" s="14" t="n">
        <f aca="false">MOD($A993-1,36)+1</f>
        <v>16</v>
      </c>
      <c r="D993" s="14" t="n">
        <f aca="false">IF($C993&gt;p_horizon,0,IFERROR(IF(AND(INDEX(TblClusters[Cluster],$B993)&lt;&gt;"",ISNUMBER(INDEX(TblClusters[CPU initial (vCPU)],$B993)),ISNUMBER(INDEX(TblClusters[CPU min (vCPU)],$B993)),OR(INDEX(TblClusters[Plateforme],$B993)="IKS",INDEX(TblClusters[Plateforme],$B993)="ROKS")),1,0),0))</f>
        <v>0</v>
      </c>
      <c r="E993" s="83" t="str">
        <f aca="false">IF($D993=1,EDATE(p_debut,$C993-1),"")</f>
        <v/>
      </c>
      <c r="F993" s="14" t="str">
        <f aca="false">IF($D993=1,INDEX(TblClusters[Cluster],$B993),"")</f>
        <v/>
      </c>
      <c r="G993" s="14" t="str">
        <f aca="false">IF($D993=1,INDEX(TblClusters[Plateforme],$B993),"")</f>
        <v/>
      </c>
      <c r="H993" s="14" t="str">
        <f aca="false">IF($D993=1,INDEX(TblClusters[vCPU par nœud],$B993),"")</f>
        <v/>
      </c>
      <c r="I993" s="14" t="str">
        <f aca="false">IF($D993=1,INDEX(TblClusters[RAM par nœud (Go)],$B993),"")</f>
        <v/>
      </c>
      <c r="J993" s="14" t="str">
        <f aca="false">IF($D993=1,INDEX(TblClusters[Workers min],$B993),"")</f>
        <v/>
      </c>
      <c r="K993" s="84" t="str">
        <f aca="false">IF($D993=1,INDEX(TblClusters[Tarif par nœud],$B993),"")</f>
        <v/>
      </c>
      <c r="L993" s="14" t="str">
        <f aca="false">IF($D993=1,INDEX(TblClusters[CPU initial (vCPU)],$B993),"")</f>
        <v/>
      </c>
      <c r="M993" s="14" t="str">
        <f aca="false">IF($D993=1,INDEX(TblClusters[RAM initiale (Go)],$B993),"")</f>
        <v/>
      </c>
      <c r="N993" s="14" t="str">
        <f aca="false">IF($D993=1,INDEX(TblClusters[CPU min (vCPU)],$B993),"")</f>
        <v/>
      </c>
      <c r="O993" s="14" t="str">
        <f aca="false">IF($D993=1,INDEX(TblClusters[RAM min (Go)],$B993),"")</f>
        <v/>
      </c>
      <c r="P993" s="14" t="str">
        <f aca="false">IF($D993&lt;&gt;1,"",IF($G993="ROKS",SUMIFS(TblApplications[Besoin ROKS CPU (vCPU)],TblApplications[Cluster ROKS cible],$F993,TblApplications[Action],"À migrer",TblApplications[Déjà incluse ROKS],"Non",TblApplications[Mois prov (calc)],"&lt;="&amp;$E993),SUMIFS(TblApplications[CPU IKS libérable (vCPU)],TblApplications[Cluster IKS source],$F993,TblApplications[Mois lib (calc)],"&lt;="&amp;$E993)))</f>
        <v/>
      </c>
      <c r="Q993" s="14" t="str">
        <f aca="false">IF($D993&lt;&gt;1,"",IF($G993="ROKS",SUMIFS(TblApplications[Besoin ROKS RAM (Go)],TblApplications[Cluster ROKS cible],$F993,TblApplications[Action],"À migrer",TblApplications[Déjà incluse ROKS],"Non",TblApplications[Mois prov (calc)],"&lt;="&amp;$E993),SUMIFS(TblApplications[RAM IKS libérable (Go)],TblApplications[Cluster IKS source],$F993,TblApplications[Mois lib (calc)],"&lt;="&amp;$E993)))</f>
        <v/>
      </c>
      <c r="R993" s="14" t="str">
        <f aca="false">IF($D993&lt;&gt;1,"",IF($G993="ROKS",$L993+$P993,IF($AI993=1,0,MAX($N993,$L993-$P993))))</f>
        <v/>
      </c>
      <c r="S993" s="14" t="str">
        <f aca="false">IF($D993&lt;&gt;1,"",IF($G993="ROKS",$M993+$Q993,IF($AI993=1,0,MAX($O993,$M993-$Q993))))</f>
        <v/>
      </c>
      <c r="T993" s="14" t="str">
        <f aca="false">IF($D993&lt;&gt;1,"",IF($AI993=1,0,MAX($J993,ROUNDUP(MAX($R993/$H993,$S993/$I993),0))))</f>
        <v/>
      </c>
      <c r="U993" s="14" t="str">
        <f aca="false">IF($D993&lt;&gt;1,"",IF(p_mode="Nœud",$T993*$H993,$R993))</f>
        <v/>
      </c>
      <c r="V993" s="14" t="str">
        <f aca="false">IF($D993&lt;&gt;1,"",IF(p_mode="Nœud",$T993*$I993,$S993))</f>
        <v/>
      </c>
      <c r="W993" s="84" t="str">
        <f aca="false">IF($D993&lt;&gt;1,"",IF(p_mode="Nœud",$T993*$K993,$R993*IF($G993="IKS",p_iks_cpu,p_roks_cpu)+$S993*IF($G993="IKS",p_iks_ram,p_roks_ram))*p_facteur)</f>
        <v/>
      </c>
      <c r="X993" s="14" t="str">
        <f aca="false">IF($D993&lt;&gt;1,"",IF($G993="ROKS",$R993,IF($AI993=1,0,MAX($N993,$L993-SUMIFS(TblApplications[CPU IKS libérable (vCPU)],TblApplications[Cluster IKS source],$F993,TblApplications[Action],"À migrer",TblApplications[Mois prov (calc)],"&lt;="&amp;$E993)-SUMIFS(TblApplications[CPU IKS libérable (vCPU)],TblApplications[Cluster IKS source],$F993,TblApplications[Action],"À décommissionner",TblApplications[Mois lib (calc)],"&lt;="&amp;$E993)))))</f>
        <v/>
      </c>
      <c r="Y993" s="14" t="str">
        <f aca="false">IF($D993&lt;&gt;1,"",IF($G993="ROKS",$S993,IF($AI993=1,0,MAX($O993,$M993-SUMIFS(TblApplications[RAM IKS libérable (Go)],TblApplications[Cluster IKS source],$F993,TblApplications[Action],"À migrer",TblApplications[Mois prov (calc)],"&lt;="&amp;$E993)-SUMIFS(TblApplications[RAM IKS libérable (Go)],TblApplications[Cluster IKS source],$F993,TblApplications[Action],"À décommissionner",TblApplications[Mois lib (calc)],"&lt;="&amp;$E993)))))</f>
        <v/>
      </c>
      <c r="Z993" s="14" t="str">
        <f aca="false">IF($D993&lt;&gt;1,"",IF($AI993=1,0,MAX($J993,ROUNDUP(MAX($X993/$H993,$Y993/$I993),0))))</f>
        <v/>
      </c>
      <c r="AA993" s="84" t="str">
        <f aca="false">IF($D993&lt;&gt;1,"",IF(p_mode="Nœud",$Z993*$K993,$X993*IF($G993="IKS",p_iks_cpu,p_roks_cpu)+$Y993*IF($G993="IKS",p_iks_ram,p_roks_ram))*p_facteur)</f>
        <v/>
      </c>
      <c r="AB993" s="14" t="str">
        <f aca="false">IF($D993&lt;&gt;1,"",MAX($J993,ROUNDUP(MAX($L993/$H993,$M993/$I993),0)))</f>
        <v/>
      </c>
      <c r="AC993" s="84" t="str">
        <f aca="false">IF($D993&lt;&gt;1,"",IF(p_mode="Nœud",$AB993*$K993,$L993*IF($G993="IKS",p_iks_cpu,p_roks_cpu)+$M993*IF($G993="IKS",p_iks_ram,p_roks_ram))*p_facteur)</f>
        <v/>
      </c>
      <c r="AD993" s="14" t="str">
        <f aca="false">IF($D993&lt;&gt;1,"",IF(AND($G993="IKS",$AI993&lt;&gt;1,OR($L993-$P993&lt;$N993,$M993-$Q993&lt;$O993)),1,0))</f>
        <v/>
      </c>
      <c r="AE993" s="14" t="str">
        <f aca="false">IF($D993&lt;&gt;1,"",IF(AND($G993="ROKS",$T993&gt;p_maxworkers),1,0))</f>
        <v/>
      </c>
      <c r="AF993" s="14" t="str">
        <f aca="false">IF($D993&lt;&gt;1,"",IF(INDEX(TblClusters[Environnement],$B993)="","(vide)",INDEX(TblClusters[Environnement],$B993)))</f>
        <v/>
      </c>
      <c r="AG993" s="14" t="str">
        <f aca="false">IF($D993&lt;&gt;1,"",$R993+p_poidsram*$S993)</f>
        <v/>
      </c>
      <c r="AH993" s="14" t="str">
        <f aca="false">IF($D993&lt;&gt;1,"",IFERROR($W993/$AG993,0))</f>
        <v/>
      </c>
      <c r="AI993" s="14" t="str">
        <f aca="false">IF($D993&lt;&gt;1,"",IF(AND($G993="IKS",ISNUMBER(INDEX(TblClusters[Fermeture retenue],$B993))),IF($E993&gt;=INDEX(TblClusters[Fermeture retenue],$B993),1,0),0))</f>
        <v/>
      </c>
    </row>
    <row r="994" customFormat="false" ht="15" hidden="false" customHeight="false" outlineLevel="0" collapsed="false">
      <c r="A994" s="14" t="n">
        <v>989</v>
      </c>
      <c r="B994" s="14" t="n">
        <f aca="false">INT(($A994-1)/36)+1</f>
        <v>28</v>
      </c>
      <c r="C994" s="14" t="n">
        <f aca="false">MOD($A994-1,36)+1</f>
        <v>17</v>
      </c>
      <c r="D994" s="14" t="n">
        <f aca="false">IF($C994&gt;p_horizon,0,IFERROR(IF(AND(INDEX(TblClusters[Cluster],$B994)&lt;&gt;"",ISNUMBER(INDEX(TblClusters[CPU initial (vCPU)],$B994)),ISNUMBER(INDEX(TblClusters[CPU min (vCPU)],$B994)),OR(INDEX(TblClusters[Plateforme],$B994)="IKS",INDEX(TblClusters[Plateforme],$B994)="ROKS")),1,0),0))</f>
        <v>0</v>
      </c>
      <c r="E994" s="83" t="str">
        <f aca="false">IF($D994=1,EDATE(p_debut,$C994-1),"")</f>
        <v/>
      </c>
      <c r="F994" s="14" t="str">
        <f aca="false">IF($D994=1,INDEX(TblClusters[Cluster],$B994),"")</f>
        <v/>
      </c>
      <c r="G994" s="14" t="str">
        <f aca="false">IF($D994=1,INDEX(TblClusters[Plateforme],$B994),"")</f>
        <v/>
      </c>
      <c r="H994" s="14" t="str">
        <f aca="false">IF($D994=1,INDEX(TblClusters[vCPU par nœud],$B994),"")</f>
        <v/>
      </c>
      <c r="I994" s="14" t="str">
        <f aca="false">IF($D994=1,INDEX(TblClusters[RAM par nœud (Go)],$B994),"")</f>
        <v/>
      </c>
      <c r="J994" s="14" t="str">
        <f aca="false">IF($D994=1,INDEX(TblClusters[Workers min],$B994),"")</f>
        <v/>
      </c>
      <c r="K994" s="84" t="str">
        <f aca="false">IF($D994=1,INDEX(TblClusters[Tarif par nœud],$B994),"")</f>
        <v/>
      </c>
      <c r="L994" s="14" t="str">
        <f aca="false">IF($D994=1,INDEX(TblClusters[CPU initial (vCPU)],$B994),"")</f>
        <v/>
      </c>
      <c r="M994" s="14" t="str">
        <f aca="false">IF($D994=1,INDEX(TblClusters[RAM initiale (Go)],$B994),"")</f>
        <v/>
      </c>
      <c r="N994" s="14" t="str">
        <f aca="false">IF($D994=1,INDEX(TblClusters[CPU min (vCPU)],$B994),"")</f>
        <v/>
      </c>
      <c r="O994" s="14" t="str">
        <f aca="false">IF($D994=1,INDEX(TblClusters[RAM min (Go)],$B994),"")</f>
        <v/>
      </c>
      <c r="P994" s="14" t="str">
        <f aca="false">IF($D994&lt;&gt;1,"",IF($G994="ROKS",SUMIFS(TblApplications[Besoin ROKS CPU (vCPU)],TblApplications[Cluster ROKS cible],$F994,TblApplications[Action],"À migrer",TblApplications[Déjà incluse ROKS],"Non",TblApplications[Mois prov (calc)],"&lt;="&amp;$E994),SUMIFS(TblApplications[CPU IKS libérable (vCPU)],TblApplications[Cluster IKS source],$F994,TblApplications[Mois lib (calc)],"&lt;="&amp;$E994)))</f>
        <v/>
      </c>
      <c r="Q994" s="14" t="str">
        <f aca="false">IF($D994&lt;&gt;1,"",IF($G994="ROKS",SUMIFS(TblApplications[Besoin ROKS RAM (Go)],TblApplications[Cluster ROKS cible],$F994,TblApplications[Action],"À migrer",TblApplications[Déjà incluse ROKS],"Non",TblApplications[Mois prov (calc)],"&lt;="&amp;$E994),SUMIFS(TblApplications[RAM IKS libérable (Go)],TblApplications[Cluster IKS source],$F994,TblApplications[Mois lib (calc)],"&lt;="&amp;$E994)))</f>
        <v/>
      </c>
      <c r="R994" s="14" t="str">
        <f aca="false">IF($D994&lt;&gt;1,"",IF($G994="ROKS",$L994+$P994,IF($AI994=1,0,MAX($N994,$L994-$P994))))</f>
        <v/>
      </c>
      <c r="S994" s="14" t="str">
        <f aca="false">IF($D994&lt;&gt;1,"",IF($G994="ROKS",$M994+$Q994,IF($AI994=1,0,MAX($O994,$M994-$Q994))))</f>
        <v/>
      </c>
      <c r="T994" s="14" t="str">
        <f aca="false">IF($D994&lt;&gt;1,"",IF($AI994=1,0,MAX($J994,ROUNDUP(MAX($R994/$H994,$S994/$I994),0))))</f>
        <v/>
      </c>
      <c r="U994" s="14" t="str">
        <f aca="false">IF($D994&lt;&gt;1,"",IF(p_mode="Nœud",$T994*$H994,$R994))</f>
        <v/>
      </c>
      <c r="V994" s="14" t="str">
        <f aca="false">IF($D994&lt;&gt;1,"",IF(p_mode="Nœud",$T994*$I994,$S994))</f>
        <v/>
      </c>
      <c r="W994" s="84" t="str">
        <f aca="false">IF($D994&lt;&gt;1,"",IF(p_mode="Nœud",$T994*$K994,$R994*IF($G994="IKS",p_iks_cpu,p_roks_cpu)+$S994*IF($G994="IKS",p_iks_ram,p_roks_ram))*p_facteur)</f>
        <v/>
      </c>
      <c r="X994" s="14" t="str">
        <f aca="false">IF($D994&lt;&gt;1,"",IF($G994="ROKS",$R994,IF($AI994=1,0,MAX($N994,$L994-SUMIFS(TblApplications[CPU IKS libérable (vCPU)],TblApplications[Cluster IKS source],$F994,TblApplications[Action],"À migrer",TblApplications[Mois prov (calc)],"&lt;="&amp;$E994)-SUMIFS(TblApplications[CPU IKS libérable (vCPU)],TblApplications[Cluster IKS source],$F994,TblApplications[Action],"À décommissionner",TblApplications[Mois lib (calc)],"&lt;="&amp;$E994)))))</f>
        <v/>
      </c>
      <c r="Y994" s="14" t="str">
        <f aca="false">IF($D994&lt;&gt;1,"",IF($G994="ROKS",$S994,IF($AI994=1,0,MAX($O994,$M994-SUMIFS(TblApplications[RAM IKS libérable (Go)],TblApplications[Cluster IKS source],$F994,TblApplications[Action],"À migrer",TblApplications[Mois prov (calc)],"&lt;="&amp;$E994)-SUMIFS(TblApplications[RAM IKS libérable (Go)],TblApplications[Cluster IKS source],$F994,TblApplications[Action],"À décommissionner",TblApplications[Mois lib (calc)],"&lt;="&amp;$E994)))))</f>
        <v/>
      </c>
      <c r="Z994" s="14" t="str">
        <f aca="false">IF($D994&lt;&gt;1,"",IF($AI994=1,0,MAX($J994,ROUNDUP(MAX($X994/$H994,$Y994/$I994),0))))</f>
        <v/>
      </c>
      <c r="AA994" s="84" t="str">
        <f aca="false">IF($D994&lt;&gt;1,"",IF(p_mode="Nœud",$Z994*$K994,$X994*IF($G994="IKS",p_iks_cpu,p_roks_cpu)+$Y994*IF($G994="IKS",p_iks_ram,p_roks_ram))*p_facteur)</f>
        <v/>
      </c>
      <c r="AB994" s="14" t="str">
        <f aca="false">IF($D994&lt;&gt;1,"",MAX($J994,ROUNDUP(MAX($L994/$H994,$M994/$I994),0)))</f>
        <v/>
      </c>
      <c r="AC994" s="84" t="str">
        <f aca="false">IF($D994&lt;&gt;1,"",IF(p_mode="Nœud",$AB994*$K994,$L994*IF($G994="IKS",p_iks_cpu,p_roks_cpu)+$M994*IF($G994="IKS",p_iks_ram,p_roks_ram))*p_facteur)</f>
        <v/>
      </c>
      <c r="AD994" s="14" t="str">
        <f aca="false">IF($D994&lt;&gt;1,"",IF(AND($G994="IKS",$AI994&lt;&gt;1,OR($L994-$P994&lt;$N994,$M994-$Q994&lt;$O994)),1,0))</f>
        <v/>
      </c>
      <c r="AE994" s="14" t="str">
        <f aca="false">IF($D994&lt;&gt;1,"",IF(AND($G994="ROKS",$T994&gt;p_maxworkers),1,0))</f>
        <v/>
      </c>
      <c r="AF994" s="14" t="str">
        <f aca="false">IF($D994&lt;&gt;1,"",IF(INDEX(TblClusters[Environnement],$B994)="","(vide)",INDEX(TblClusters[Environnement],$B994)))</f>
        <v/>
      </c>
      <c r="AG994" s="14" t="str">
        <f aca="false">IF($D994&lt;&gt;1,"",$R994+p_poidsram*$S994)</f>
        <v/>
      </c>
      <c r="AH994" s="14" t="str">
        <f aca="false">IF($D994&lt;&gt;1,"",IFERROR($W994/$AG994,0))</f>
        <v/>
      </c>
      <c r="AI994" s="14" t="str">
        <f aca="false">IF($D994&lt;&gt;1,"",IF(AND($G994="IKS",ISNUMBER(INDEX(TblClusters[Fermeture retenue],$B994))),IF($E994&gt;=INDEX(TblClusters[Fermeture retenue],$B994),1,0),0))</f>
        <v/>
      </c>
    </row>
    <row r="995" customFormat="false" ht="15" hidden="false" customHeight="false" outlineLevel="0" collapsed="false">
      <c r="A995" s="14" t="n">
        <v>990</v>
      </c>
      <c r="B995" s="14" t="n">
        <f aca="false">INT(($A995-1)/36)+1</f>
        <v>28</v>
      </c>
      <c r="C995" s="14" t="n">
        <f aca="false">MOD($A995-1,36)+1</f>
        <v>18</v>
      </c>
      <c r="D995" s="14" t="n">
        <f aca="false">IF($C995&gt;p_horizon,0,IFERROR(IF(AND(INDEX(TblClusters[Cluster],$B995)&lt;&gt;"",ISNUMBER(INDEX(TblClusters[CPU initial (vCPU)],$B995)),ISNUMBER(INDEX(TblClusters[CPU min (vCPU)],$B995)),OR(INDEX(TblClusters[Plateforme],$B995)="IKS",INDEX(TblClusters[Plateforme],$B995)="ROKS")),1,0),0))</f>
        <v>0</v>
      </c>
      <c r="E995" s="83" t="str">
        <f aca="false">IF($D995=1,EDATE(p_debut,$C995-1),"")</f>
        <v/>
      </c>
      <c r="F995" s="14" t="str">
        <f aca="false">IF($D995=1,INDEX(TblClusters[Cluster],$B995),"")</f>
        <v/>
      </c>
      <c r="G995" s="14" t="str">
        <f aca="false">IF($D995=1,INDEX(TblClusters[Plateforme],$B995),"")</f>
        <v/>
      </c>
      <c r="H995" s="14" t="str">
        <f aca="false">IF($D995=1,INDEX(TblClusters[vCPU par nœud],$B995),"")</f>
        <v/>
      </c>
      <c r="I995" s="14" t="str">
        <f aca="false">IF($D995=1,INDEX(TblClusters[RAM par nœud (Go)],$B995),"")</f>
        <v/>
      </c>
      <c r="J995" s="14" t="str">
        <f aca="false">IF($D995=1,INDEX(TblClusters[Workers min],$B995),"")</f>
        <v/>
      </c>
      <c r="K995" s="84" t="str">
        <f aca="false">IF($D995=1,INDEX(TblClusters[Tarif par nœud],$B995),"")</f>
        <v/>
      </c>
      <c r="L995" s="14" t="str">
        <f aca="false">IF($D995=1,INDEX(TblClusters[CPU initial (vCPU)],$B995),"")</f>
        <v/>
      </c>
      <c r="M995" s="14" t="str">
        <f aca="false">IF($D995=1,INDEX(TblClusters[RAM initiale (Go)],$B995),"")</f>
        <v/>
      </c>
      <c r="N995" s="14" t="str">
        <f aca="false">IF($D995=1,INDEX(TblClusters[CPU min (vCPU)],$B995),"")</f>
        <v/>
      </c>
      <c r="O995" s="14" t="str">
        <f aca="false">IF($D995=1,INDEX(TblClusters[RAM min (Go)],$B995),"")</f>
        <v/>
      </c>
      <c r="P995" s="14" t="str">
        <f aca="false">IF($D995&lt;&gt;1,"",IF($G995="ROKS",SUMIFS(TblApplications[Besoin ROKS CPU (vCPU)],TblApplications[Cluster ROKS cible],$F995,TblApplications[Action],"À migrer",TblApplications[Déjà incluse ROKS],"Non",TblApplications[Mois prov (calc)],"&lt;="&amp;$E995),SUMIFS(TblApplications[CPU IKS libérable (vCPU)],TblApplications[Cluster IKS source],$F995,TblApplications[Mois lib (calc)],"&lt;="&amp;$E995)))</f>
        <v/>
      </c>
      <c r="Q995" s="14" t="str">
        <f aca="false">IF($D995&lt;&gt;1,"",IF($G995="ROKS",SUMIFS(TblApplications[Besoin ROKS RAM (Go)],TblApplications[Cluster ROKS cible],$F995,TblApplications[Action],"À migrer",TblApplications[Déjà incluse ROKS],"Non",TblApplications[Mois prov (calc)],"&lt;="&amp;$E995),SUMIFS(TblApplications[RAM IKS libérable (Go)],TblApplications[Cluster IKS source],$F995,TblApplications[Mois lib (calc)],"&lt;="&amp;$E995)))</f>
        <v/>
      </c>
      <c r="R995" s="14" t="str">
        <f aca="false">IF($D995&lt;&gt;1,"",IF($G995="ROKS",$L995+$P995,IF($AI995=1,0,MAX($N995,$L995-$P995))))</f>
        <v/>
      </c>
      <c r="S995" s="14" t="str">
        <f aca="false">IF($D995&lt;&gt;1,"",IF($G995="ROKS",$M995+$Q995,IF($AI995=1,0,MAX($O995,$M995-$Q995))))</f>
        <v/>
      </c>
      <c r="T995" s="14" t="str">
        <f aca="false">IF($D995&lt;&gt;1,"",IF($AI995=1,0,MAX($J995,ROUNDUP(MAX($R995/$H995,$S995/$I995),0))))</f>
        <v/>
      </c>
      <c r="U995" s="14" t="str">
        <f aca="false">IF($D995&lt;&gt;1,"",IF(p_mode="Nœud",$T995*$H995,$R995))</f>
        <v/>
      </c>
      <c r="V995" s="14" t="str">
        <f aca="false">IF($D995&lt;&gt;1,"",IF(p_mode="Nœud",$T995*$I995,$S995))</f>
        <v/>
      </c>
      <c r="W995" s="84" t="str">
        <f aca="false">IF($D995&lt;&gt;1,"",IF(p_mode="Nœud",$T995*$K995,$R995*IF($G995="IKS",p_iks_cpu,p_roks_cpu)+$S995*IF($G995="IKS",p_iks_ram,p_roks_ram))*p_facteur)</f>
        <v/>
      </c>
      <c r="X995" s="14" t="str">
        <f aca="false">IF($D995&lt;&gt;1,"",IF($G995="ROKS",$R995,IF($AI995=1,0,MAX($N995,$L995-SUMIFS(TblApplications[CPU IKS libérable (vCPU)],TblApplications[Cluster IKS source],$F995,TblApplications[Action],"À migrer",TblApplications[Mois prov (calc)],"&lt;="&amp;$E995)-SUMIFS(TblApplications[CPU IKS libérable (vCPU)],TblApplications[Cluster IKS source],$F995,TblApplications[Action],"À décommissionner",TblApplications[Mois lib (calc)],"&lt;="&amp;$E995)))))</f>
        <v/>
      </c>
      <c r="Y995" s="14" t="str">
        <f aca="false">IF($D995&lt;&gt;1,"",IF($G995="ROKS",$S995,IF($AI995=1,0,MAX($O995,$M995-SUMIFS(TblApplications[RAM IKS libérable (Go)],TblApplications[Cluster IKS source],$F995,TblApplications[Action],"À migrer",TblApplications[Mois prov (calc)],"&lt;="&amp;$E995)-SUMIFS(TblApplications[RAM IKS libérable (Go)],TblApplications[Cluster IKS source],$F995,TblApplications[Action],"À décommissionner",TblApplications[Mois lib (calc)],"&lt;="&amp;$E995)))))</f>
        <v/>
      </c>
      <c r="Z995" s="14" t="str">
        <f aca="false">IF($D995&lt;&gt;1,"",IF($AI995=1,0,MAX($J995,ROUNDUP(MAX($X995/$H995,$Y995/$I995),0))))</f>
        <v/>
      </c>
      <c r="AA995" s="84" t="str">
        <f aca="false">IF($D995&lt;&gt;1,"",IF(p_mode="Nœud",$Z995*$K995,$X995*IF($G995="IKS",p_iks_cpu,p_roks_cpu)+$Y995*IF($G995="IKS",p_iks_ram,p_roks_ram))*p_facteur)</f>
        <v/>
      </c>
      <c r="AB995" s="14" t="str">
        <f aca="false">IF($D995&lt;&gt;1,"",MAX($J995,ROUNDUP(MAX($L995/$H995,$M995/$I995),0)))</f>
        <v/>
      </c>
      <c r="AC995" s="84" t="str">
        <f aca="false">IF($D995&lt;&gt;1,"",IF(p_mode="Nœud",$AB995*$K995,$L995*IF($G995="IKS",p_iks_cpu,p_roks_cpu)+$M995*IF($G995="IKS",p_iks_ram,p_roks_ram))*p_facteur)</f>
        <v/>
      </c>
      <c r="AD995" s="14" t="str">
        <f aca="false">IF($D995&lt;&gt;1,"",IF(AND($G995="IKS",$AI995&lt;&gt;1,OR($L995-$P995&lt;$N995,$M995-$Q995&lt;$O995)),1,0))</f>
        <v/>
      </c>
      <c r="AE995" s="14" t="str">
        <f aca="false">IF($D995&lt;&gt;1,"",IF(AND($G995="ROKS",$T995&gt;p_maxworkers),1,0))</f>
        <v/>
      </c>
      <c r="AF995" s="14" t="str">
        <f aca="false">IF($D995&lt;&gt;1,"",IF(INDEX(TblClusters[Environnement],$B995)="","(vide)",INDEX(TblClusters[Environnement],$B995)))</f>
        <v/>
      </c>
      <c r="AG995" s="14" t="str">
        <f aca="false">IF($D995&lt;&gt;1,"",$R995+p_poidsram*$S995)</f>
        <v/>
      </c>
      <c r="AH995" s="14" t="str">
        <f aca="false">IF($D995&lt;&gt;1,"",IFERROR($W995/$AG995,0))</f>
        <v/>
      </c>
      <c r="AI995" s="14" t="str">
        <f aca="false">IF($D995&lt;&gt;1,"",IF(AND($G995="IKS",ISNUMBER(INDEX(TblClusters[Fermeture retenue],$B995))),IF($E995&gt;=INDEX(TblClusters[Fermeture retenue],$B995),1,0),0))</f>
        <v/>
      </c>
    </row>
    <row r="996" customFormat="false" ht="15" hidden="false" customHeight="false" outlineLevel="0" collapsed="false">
      <c r="A996" s="14" t="n">
        <v>991</v>
      </c>
      <c r="B996" s="14" t="n">
        <f aca="false">INT(($A996-1)/36)+1</f>
        <v>28</v>
      </c>
      <c r="C996" s="14" t="n">
        <f aca="false">MOD($A996-1,36)+1</f>
        <v>19</v>
      </c>
      <c r="D996" s="14" t="n">
        <f aca="false">IF($C996&gt;p_horizon,0,IFERROR(IF(AND(INDEX(TblClusters[Cluster],$B996)&lt;&gt;"",ISNUMBER(INDEX(TblClusters[CPU initial (vCPU)],$B996)),ISNUMBER(INDEX(TblClusters[CPU min (vCPU)],$B996)),OR(INDEX(TblClusters[Plateforme],$B996)="IKS",INDEX(TblClusters[Plateforme],$B996)="ROKS")),1,0),0))</f>
        <v>0</v>
      </c>
      <c r="E996" s="83" t="str">
        <f aca="false">IF($D996=1,EDATE(p_debut,$C996-1),"")</f>
        <v/>
      </c>
      <c r="F996" s="14" t="str">
        <f aca="false">IF($D996=1,INDEX(TblClusters[Cluster],$B996),"")</f>
        <v/>
      </c>
      <c r="G996" s="14" t="str">
        <f aca="false">IF($D996=1,INDEX(TblClusters[Plateforme],$B996),"")</f>
        <v/>
      </c>
      <c r="H996" s="14" t="str">
        <f aca="false">IF($D996=1,INDEX(TblClusters[vCPU par nœud],$B996),"")</f>
        <v/>
      </c>
      <c r="I996" s="14" t="str">
        <f aca="false">IF($D996=1,INDEX(TblClusters[RAM par nœud (Go)],$B996),"")</f>
        <v/>
      </c>
      <c r="J996" s="14" t="str">
        <f aca="false">IF($D996=1,INDEX(TblClusters[Workers min],$B996),"")</f>
        <v/>
      </c>
      <c r="K996" s="84" t="str">
        <f aca="false">IF($D996=1,INDEX(TblClusters[Tarif par nœud],$B996),"")</f>
        <v/>
      </c>
      <c r="L996" s="14" t="str">
        <f aca="false">IF($D996=1,INDEX(TblClusters[CPU initial (vCPU)],$B996),"")</f>
        <v/>
      </c>
      <c r="M996" s="14" t="str">
        <f aca="false">IF($D996=1,INDEX(TblClusters[RAM initiale (Go)],$B996),"")</f>
        <v/>
      </c>
      <c r="N996" s="14" t="str">
        <f aca="false">IF($D996=1,INDEX(TblClusters[CPU min (vCPU)],$B996),"")</f>
        <v/>
      </c>
      <c r="O996" s="14" t="str">
        <f aca="false">IF($D996=1,INDEX(TblClusters[RAM min (Go)],$B996),"")</f>
        <v/>
      </c>
      <c r="P996" s="14" t="str">
        <f aca="false">IF($D996&lt;&gt;1,"",IF($G996="ROKS",SUMIFS(TblApplications[Besoin ROKS CPU (vCPU)],TblApplications[Cluster ROKS cible],$F996,TblApplications[Action],"À migrer",TblApplications[Déjà incluse ROKS],"Non",TblApplications[Mois prov (calc)],"&lt;="&amp;$E996),SUMIFS(TblApplications[CPU IKS libérable (vCPU)],TblApplications[Cluster IKS source],$F996,TblApplications[Mois lib (calc)],"&lt;="&amp;$E996)))</f>
        <v/>
      </c>
      <c r="Q996" s="14" t="str">
        <f aca="false">IF($D996&lt;&gt;1,"",IF($G996="ROKS",SUMIFS(TblApplications[Besoin ROKS RAM (Go)],TblApplications[Cluster ROKS cible],$F996,TblApplications[Action],"À migrer",TblApplications[Déjà incluse ROKS],"Non",TblApplications[Mois prov (calc)],"&lt;="&amp;$E996),SUMIFS(TblApplications[RAM IKS libérable (Go)],TblApplications[Cluster IKS source],$F996,TblApplications[Mois lib (calc)],"&lt;="&amp;$E996)))</f>
        <v/>
      </c>
      <c r="R996" s="14" t="str">
        <f aca="false">IF($D996&lt;&gt;1,"",IF($G996="ROKS",$L996+$P996,IF($AI996=1,0,MAX($N996,$L996-$P996))))</f>
        <v/>
      </c>
      <c r="S996" s="14" t="str">
        <f aca="false">IF($D996&lt;&gt;1,"",IF($G996="ROKS",$M996+$Q996,IF($AI996=1,0,MAX($O996,$M996-$Q996))))</f>
        <v/>
      </c>
      <c r="T996" s="14" t="str">
        <f aca="false">IF($D996&lt;&gt;1,"",IF($AI996=1,0,MAX($J996,ROUNDUP(MAX($R996/$H996,$S996/$I996),0))))</f>
        <v/>
      </c>
      <c r="U996" s="14" t="str">
        <f aca="false">IF($D996&lt;&gt;1,"",IF(p_mode="Nœud",$T996*$H996,$R996))</f>
        <v/>
      </c>
      <c r="V996" s="14" t="str">
        <f aca="false">IF($D996&lt;&gt;1,"",IF(p_mode="Nœud",$T996*$I996,$S996))</f>
        <v/>
      </c>
      <c r="W996" s="84" t="str">
        <f aca="false">IF($D996&lt;&gt;1,"",IF(p_mode="Nœud",$T996*$K996,$R996*IF($G996="IKS",p_iks_cpu,p_roks_cpu)+$S996*IF($G996="IKS",p_iks_ram,p_roks_ram))*p_facteur)</f>
        <v/>
      </c>
      <c r="X996" s="14" t="str">
        <f aca="false">IF($D996&lt;&gt;1,"",IF($G996="ROKS",$R996,IF($AI996=1,0,MAX($N996,$L996-SUMIFS(TblApplications[CPU IKS libérable (vCPU)],TblApplications[Cluster IKS source],$F996,TblApplications[Action],"À migrer",TblApplications[Mois prov (calc)],"&lt;="&amp;$E996)-SUMIFS(TblApplications[CPU IKS libérable (vCPU)],TblApplications[Cluster IKS source],$F996,TblApplications[Action],"À décommissionner",TblApplications[Mois lib (calc)],"&lt;="&amp;$E996)))))</f>
        <v/>
      </c>
      <c r="Y996" s="14" t="str">
        <f aca="false">IF($D996&lt;&gt;1,"",IF($G996="ROKS",$S996,IF($AI996=1,0,MAX($O996,$M996-SUMIFS(TblApplications[RAM IKS libérable (Go)],TblApplications[Cluster IKS source],$F996,TblApplications[Action],"À migrer",TblApplications[Mois prov (calc)],"&lt;="&amp;$E996)-SUMIFS(TblApplications[RAM IKS libérable (Go)],TblApplications[Cluster IKS source],$F996,TblApplications[Action],"À décommissionner",TblApplications[Mois lib (calc)],"&lt;="&amp;$E996)))))</f>
        <v/>
      </c>
      <c r="Z996" s="14" t="str">
        <f aca="false">IF($D996&lt;&gt;1,"",IF($AI996=1,0,MAX($J996,ROUNDUP(MAX($X996/$H996,$Y996/$I996),0))))</f>
        <v/>
      </c>
      <c r="AA996" s="84" t="str">
        <f aca="false">IF($D996&lt;&gt;1,"",IF(p_mode="Nœud",$Z996*$K996,$X996*IF($G996="IKS",p_iks_cpu,p_roks_cpu)+$Y996*IF($G996="IKS",p_iks_ram,p_roks_ram))*p_facteur)</f>
        <v/>
      </c>
      <c r="AB996" s="14" t="str">
        <f aca="false">IF($D996&lt;&gt;1,"",MAX($J996,ROUNDUP(MAX($L996/$H996,$M996/$I996),0)))</f>
        <v/>
      </c>
      <c r="AC996" s="84" t="str">
        <f aca="false">IF($D996&lt;&gt;1,"",IF(p_mode="Nœud",$AB996*$K996,$L996*IF($G996="IKS",p_iks_cpu,p_roks_cpu)+$M996*IF($G996="IKS",p_iks_ram,p_roks_ram))*p_facteur)</f>
        <v/>
      </c>
      <c r="AD996" s="14" t="str">
        <f aca="false">IF($D996&lt;&gt;1,"",IF(AND($G996="IKS",$AI996&lt;&gt;1,OR($L996-$P996&lt;$N996,$M996-$Q996&lt;$O996)),1,0))</f>
        <v/>
      </c>
      <c r="AE996" s="14" t="str">
        <f aca="false">IF($D996&lt;&gt;1,"",IF(AND($G996="ROKS",$T996&gt;p_maxworkers),1,0))</f>
        <v/>
      </c>
      <c r="AF996" s="14" t="str">
        <f aca="false">IF($D996&lt;&gt;1,"",IF(INDEX(TblClusters[Environnement],$B996)="","(vide)",INDEX(TblClusters[Environnement],$B996)))</f>
        <v/>
      </c>
      <c r="AG996" s="14" t="str">
        <f aca="false">IF($D996&lt;&gt;1,"",$R996+p_poidsram*$S996)</f>
        <v/>
      </c>
      <c r="AH996" s="14" t="str">
        <f aca="false">IF($D996&lt;&gt;1,"",IFERROR($W996/$AG996,0))</f>
        <v/>
      </c>
      <c r="AI996" s="14" t="str">
        <f aca="false">IF($D996&lt;&gt;1,"",IF(AND($G996="IKS",ISNUMBER(INDEX(TblClusters[Fermeture retenue],$B996))),IF($E996&gt;=INDEX(TblClusters[Fermeture retenue],$B996),1,0),0))</f>
        <v/>
      </c>
    </row>
    <row r="997" customFormat="false" ht="15" hidden="false" customHeight="false" outlineLevel="0" collapsed="false">
      <c r="A997" s="14" t="n">
        <v>992</v>
      </c>
      <c r="B997" s="14" t="n">
        <f aca="false">INT(($A997-1)/36)+1</f>
        <v>28</v>
      </c>
      <c r="C997" s="14" t="n">
        <f aca="false">MOD($A997-1,36)+1</f>
        <v>20</v>
      </c>
      <c r="D997" s="14" t="n">
        <f aca="false">IF($C997&gt;p_horizon,0,IFERROR(IF(AND(INDEX(TblClusters[Cluster],$B997)&lt;&gt;"",ISNUMBER(INDEX(TblClusters[CPU initial (vCPU)],$B997)),ISNUMBER(INDEX(TblClusters[CPU min (vCPU)],$B997)),OR(INDEX(TblClusters[Plateforme],$B997)="IKS",INDEX(TblClusters[Plateforme],$B997)="ROKS")),1,0),0))</f>
        <v>0</v>
      </c>
      <c r="E997" s="83" t="str">
        <f aca="false">IF($D997=1,EDATE(p_debut,$C997-1),"")</f>
        <v/>
      </c>
      <c r="F997" s="14" t="str">
        <f aca="false">IF($D997=1,INDEX(TblClusters[Cluster],$B997),"")</f>
        <v/>
      </c>
      <c r="G997" s="14" t="str">
        <f aca="false">IF($D997=1,INDEX(TblClusters[Plateforme],$B997),"")</f>
        <v/>
      </c>
      <c r="H997" s="14" t="str">
        <f aca="false">IF($D997=1,INDEX(TblClusters[vCPU par nœud],$B997),"")</f>
        <v/>
      </c>
      <c r="I997" s="14" t="str">
        <f aca="false">IF($D997=1,INDEX(TblClusters[RAM par nœud (Go)],$B997),"")</f>
        <v/>
      </c>
      <c r="J997" s="14" t="str">
        <f aca="false">IF($D997=1,INDEX(TblClusters[Workers min],$B997),"")</f>
        <v/>
      </c>
      <c r="K997" s="84" t="str">
        <f aca="false">IF($D997=1,INDEX(TblClusters[Tarif par nœud],$B997),"")</f>
        <v/>
      </c>
      <c r="L997" s="14" t="str">
        <f aca="false">IF($D997=1,INDEX(TblClusters[CPU initial (vCPU)],$B997),"")</f>
        <v/>
      </c>
      <c r="M997" s="14" t="str">
        <f aca="false">IF($D997=1,INDEX(TblClusters[RAM initiale (Go)],$B997),"")</f>
        <v/>
      </c>
      <c r="N997" s="14" t="str">
        <f aca="false">IF($D997=1,INDEX(TblClusters[CPU min (vCPU)],$B997),"")</f>
        <v/>
      </c>
      <c r="O997" s="14" t="str">
        <f aca="false">IF($D997=1,INDEX(TblClusters[RAM min (Go)],$B997),"")</f>
        <v/>
      </c>
      <c r="P997" s="14" t="str">
        <f aca="false">IF($D997&lt;&gt;1,"",IF($G997="ROKS",SUMIFS(TblApplications[Besoin ROKS CPU (vCPU)],TblApplications[Cluster ROKS cible],$F997,TblApplications[Action],"À migrer",TblApplications[Déjà incluse ROKS],"Non",TblApplications[Mois prov (calc)],"&lt;="&amp;$E997),SUMIFS(TblApplications[CPU IKS libérable (vCPU)],TblApplications[Cluster IKS source],$F997,TblApplications[Mois lib (calc)],"&lt;="&amp;$E997)))</f>
        <v/>
      </c>
      <c r="Q997" s="14" t="str">
        <f aca="false">IF($D997&lt;&gt;1,"",IF($G997="ROKS",SUMIFS(TblApplications[Besoin ROKS RAM (Go)],TblApplications[Cluster ROKS cible],$F997,TblApplications[Action],"À migrer",TblApplications[Déjà incluse ROKS],"Non",TblApplications[Mois prov (calc)],"&lt;="&amp;$E997),SUMIFS(TblApplications[RAM IKS libérable (Go)],TblApplications[Cluster IKS source],$F997,TblApplications[Mois lib (calc)],"&lt;="&amp;$E997)))</f>
        <v/>
      </c>
      <c r="R997" s="14" t="str">
        <f aca="false">IF($D997&lt;&gt;1,"",IF($G997="ROKS",$L997+$P997,IF($AI997=1,0,MAX($N997,$L997-$P997))))</f>
        <v/>
      </c>
      <c r="S997" s="14" t="str">
        <f aca="false">IF($D997&lt;&gt;1,"",IF($G997="ROKS",$M997+$Q997,IF($AI997=1,0,MAX($O997,$M997-$Q997))))</f>
        <v/>
      </c>
      <c r="T997" s="14" t="str">
        <f aca="false">IF($D997&lt;&gt;1,"",IF($AI997=1,0,MAX($J997,ROUNDUP(MAX($R997/$H997,$S997/$I997),0))))</f>
        <v/>
      </c>
      <c r="U997" s="14" t="str">
        <f aca="false">IF($D997&lt;&gt;1,"",IF(p_mode="Nœud",$T997*$H997,$R997))</f>
        <v/>
      </c>
      <c r="V997" s="14" t="str">
        <f aca="false">IF($D997&lt;&gt;1,"",IF(p_mode="Nœud",$T997*$I997,$S997))</f>
        <v/>
      </c>
      <c r="W997" s="84" t="str">
        <f aca="false">IF($D997&lt;&gt;1,"",IF(p_mode="Nœud",$T997*$K997,$R997*IF($G997="IKS",p_iks_cpu,p_roks_cpu)+$S997*IF($G997="IKS",p_iks_ram,p_roks_ram))*p_facteur)</f>
        <v/>
      </c>
      <c r="X997" s="14" t="str">
        <f aca="false">IF($D997&lt;&gt;1,"",IF($G997="ROKS",$R997,IF($AI997=1,0,MAX($N997,$L997-SUMIFS(TblApplications[CPU IKS libérable (vCPU)],TblApplications[Cluster IKS source],$F997,TblApplications[Action],"À migrer",TblApplications[Mois prov (calc)],"&lt;="&amp;$E997)-SUMIFS(TblApplications[CPU IKS libérable (vCPU)],TblApplications[Cluster IKS source],$F997,TblApplications[Action],"À décommissionner",TblApplications[Mois lib (calc)],"&lt;="&amp;$E997)))))</f>
        <v/>
      </c>
      <c r="Y997" s="14" t="str">
        <f aca="false">IF($D997&lt;&gt;1,"",IF($G997="ROKS",$S997,IF($AI997=1,0,MAX($O997,$M997-SUMIFS(TblApplications[RAM IKS libérable (Go)],TblApplications[Cluster IKS source],$F997,TblApplications[Action],"À migrer",TblApplications[Mois prov (calc)],"&lt;="&amp;$E997)-SUMIFS(TblApplications[RAM IKS libérable (Go)],TblApplications[Cluster IKS source],$F997,TblApplications[Action],"À décommissionner",TblApplications[Mois lib (calc)],"&lt;="&amp;$E997)))))</f>
        <v/>
      </c>
      <c r="Z997" s="14" t="str">
        <f aca="false">IF($D997&lt;&gt;1,"",IF($AI997=1,0,MAX($J997,ROUNDUP(MAX($X997/$H997,$Y997/$I997),0))))</f>
        <v/>
      </c>
      <c r="AA997" s="84" t="str">
        <f aca="false">IF($D997&lt;&gt;1,"",IF(p_mode="Nœud",$Z997*$K997,$X997*IF($G997="IKS",p_iks_cpu,p_roks_cpu)+$Y997*IF($G997="IKS",p_iks_ram,p_roks_ram))*p_facteur)</f>
        <v/>
      </c>
      <c r="AB997" s="14" t="str">
        <f aca="false">IF($D997&lt;&gt;1,"",MAX($J997,ROUNDUP(MAX($L997/$H997,$M997/$I997),0)))</f>
        <v/>
      </c>
      <c r="AC997" s="84" t="str">
        <f aca="false">IF($D997&lt;&gt;1,"",IF(p_mode="Nœud",$AB997*$K997,$L997*IF($G997="IKS",p_iks_cpu,p_roks_cpu)+$M997*IF($G997="IKS",p_iks_ram,p_roks_ram))*p_facteur)</f>
        <v/>
      </c>
      <c r="AD997" s="14" t="str">
        <f aca="false">IF($D997&lt;&gt;1,"",IF(AND($G997="IKS",$AI997&lt;&gt;1,OR($L997-$P997&lt;$N997,$M997-$Q997&lt;$O997)),1,0))</f>
        <v/>
      </c>
      <c r="AE997" s="14" t="str">
        <f aca="false">IF($D997&lt;&gt;1,"",IF(AND($G997="ROKS",$T997&gt;p_maxworkers),1,0))</f>
        <v/>
      </c>
      <c r="AF997" s="14" t="str">
        <f aca="false">IF($D997&lt;&gt;1,"",IF(INDEX(TblClusters[Environnement],$B997)="","(vide)",INDEX(TblClusters[Environnement],$B997)))</f>
        <v/>
      </c>
      <c r="AG997" s="14" t="str">
        <f aca="false">IF($D997&lt;&gt;1,"",$R997+p_poidsram*$S997)</f>
        <v/>
      </c>
      <c r="AH997" s="14" t="str">
        <f aca="false">IF($D997&lt;&gt;1,"",IFERROR($W997/$AG997,0))</f>
        <v/>
      </c>
      <c r="AI997" s="14" t="str">
        <f aca="false">IF($D997&lt;&gt;1,"",IF(AND($G997="IKS",ISNUMBER(INDEX(TblClusters[Fermeture retenue],$B997))),IF($E997&gt;=INDEX(TblClusters[Fermeture retenue],$B997),1,0),0))</f>
        <v/>
      </c>
    </row>
    <row r="998" customFormat="false" ht="15" hidden="false" customHeight="false" outlineLevel="0" collapsed="false">
      <c r="A998" s="14" t="n">
        <v>993</v>
      </c>
      <c r="B998" s="14" t="n">
        <f aca="false">INT(($A998-1)/36)+1</f>
        <v>28</v>
      </c>
      <c r="C998" s="14" t="n">
        <f aca="false">MOD($A998-1,36)+1</f>
        <v>21</v>
      </c>
      <c r="D998" s="14" t="n">
        <f aca="false">IF($C998&gt;p_horizon,0,IFERROR(IF(AND(INDEX(TblClusters[Cluster],$B998)&lt;&gt;"",ISNUMBER(INDEX(TblClusters[CPU initial (vCPU)],$B998)),ISNUMBER(INDEX(TblClusters[CPU min (vCPU)],$B998)),OR(INDEX(TblClusters[Plateforme],$B998)="IKS",INDEX(TblClusters[Plateforme],$B998)="ROKS")),1,0),0))</f>
        <v>0</v>
      </c>
      <c r="E998" s="83" t="str">
        <f aca="false">IF($D998=1,EDATE(p_debut,$C998-1),"")</f>
        <v/>
      </c>
      <c r="F998" s="14" t="str">
        <f aca="false">IF($D998=1,INDEX(TblClusters[Cluster],$B998),"")</f>
        <v/>
      </c>
      <c r="G998" s="14" t="str">
        <f aca="false">IF($D998=1,INDEX(TblClusters[Plateforme],$B998),"")</f>
        <v/>
      </c>
      <c r="H998" s="14" t="str">
        <f aca="false">IF($D998=1,INDEX(TblClusters[vCPU par nœud],$B998),"")</f>
        <v/>
      </c>
      <c r="I998" s="14" t="str">
        <f aca="false">IF($D998=1,INDEX(TblClusters[RAM par nœud (Go)],$B998),"")</f>
        <v/>
      </c>
      <c r="J998" s="14" t="str">
        <f aca="false">IF($D998=1,INDEX(TblClusters[Workers min],$B998),"")</f>
        <v/>
      </c>
      <c r="K998" s="84" t="str">
        <f aca="false">IF($D998=1,INDEX(TblClusters[Tarif par nœud],$B998),"")</f>
        <v/>
      </c>
      <c r="L998" s="14" t="str">
        <f aca="false">IF($D998=1,INDEX(TblClusters[CPU initial (vCPU)],$B998),"")</f>
        <v/>
      </c>
      <c r="M998" s="14" t="str">
        <f aca="false">IF($D998=1,INDEX(TblClusters[RAM initiale (Go)],$B998),"")</f>
        <v/>
      </c>
      <c r="N998" s="14" t="str">
        <f aca="false">IF($D998=1,INDEX(TblClusters[CPU min (vCPU)],$B998),"")</f>
        <v/>
      </c>
      <c r="O998" s="14" t="str">
        <f aca="false">IF($D998=1,INDEX(TblClusters[RAM min (Go)],$B998),"")</f>
        <v/>
      </c>
      <c r="P998" s="14" t="str">
        <f aca="false">IF($D998&lt;&gt;1,"",IF($G998="ROKS",SUMIFS(TblApplications[Besoin ROKS CPU (vCPU)],TblApplications[Cluster ROKS cible],$F998,TblApplications[Action],"À migrer",TblApplications[Déjà incluse ROKS],"Non",TblApplications[Mois prov (calc)],"&lt;="&amp;$E998),SUMIFS(TblApplications[CPU IKS libérable (vCPU)],TblApplications[Cluster IKS source],$F998,TblApplications[Mois lib (calc)],"&lt;="&amp;$E998)))</f>
        <v/>
      </c>
      <c r="Q998" s="14" t="str">
        <f aca="false">IF($D998&lt;&gt;1,"",IF($G998="ROKS",SUMIFS(TblApplications[Besoin ROKS RAM (Go)],TblApplications[Cluster ROKS cible],$F998,TblApplications[Action],"À migrer",TblApplications[Déjà incluse ROKS],"Non",TblApplications[Mois prov (calc)],"&lt;="&amp;$E998),SUMIFS(TblApplications[RAM IKS libérable (Go)],TblApplications[Cluster IKS source],$F998,TblApplications[Mois lib (calc)],"&lt;="&amp;$E998)))</f>
        <v/>
      </c>
      <c r="R998" s="14" t="str">
        <f aca="false">IF($D998&lt;&gt;1,"",IF($G998="ROKS",$L998+$P998,IF($AI998=1,0,MAX($N998,$L998-$P998))))</f>
        <v/>
      </c>
      <c r="S998" s="14" t="str">
        <f aca="false">IF($D998&lt;&gt;1,"",IF($G998="ROKS",$M998+$Q998,IF($AI998=1,0,MAX($O998,$M998-$Q998))))</f>
        <v/>
      </c>
      <c r="T998" s="14" t="str">
        <f aca="false">IF($D998&lt;&gt;1,"",IF($AI998=1,0,MAX($J998,ROUNDUP(MAX($R998/$H998,$S998/$I998),0))))</f>
        <v/>
      </c>
      <c r="U998" s="14" t="str">
        <f aca="false">IF($D998&lt;&gt;1,"",IF(p_mode="Nœud",$T998*$H998,$R998))</f>
        <v/>
      </c>
      <c r="V998" s="14" t="str">
        <f aca="false">IF($D998&lt;&gt;1,"",IF(p_mode="Nœud",$T998*$I998,$S998))</f>
        <v/>
      </c>
      <c r="W998" s="84" t="str">
        <f aca="false">IF($D998&lt;&gt;1,"",IF(p_mode="Nœud",$T998*$K998,$R998*IF($G998="IKS",p_iks_cpu,p_roks_cpu)+$S998*IF($G998="IKS",p_iks_ram,p_roks_ram))*p_facteur)</f>
        <v/>
      </c>
      <c r="X998" s="14" t="str">
        <f aca="false">IF($D998&lt;&gt;1,"",IF($G998="ROKS",$R998,IF($AI998=1,0,MAX($N998,$L998-SUMIFS(TblApplications[CPU IKS libérable (vCPU)],TblApplications[Cluster IKS source],$F998,TblApplications[Action],"À migrer",TblApplications[Mois prov (calc)],"&lt;="&amp;$E998)-SUMIFS(TblApplications[CPU IKS libérable (vCPU)],TblApplications[Cluster IKS source],$F998,TblApplications[Action],"À décommissionner",TblApplications[Mois lib (calc)],"&lt;="&amp;$E998)))))</f>
        <v/>
      </c>
      <c r="Y998" s="14" t="str">
        <f aca="false">IF($D998&lt;&gt;1,"",IF($G998="ROKS",$S998,IF($AI998=1,0,MAX($O998,$M998-SUMIFS(TblApplications[RAM IKS libérable (Go)],TblApplications[Cluster IKS source],$F998,TblApplications[Action],"À migrer",TblApplications[Mois prov (calc)],"&lt;="&amp;$E998)-SUMIFS(TblApplications[RAM IKS libérable (Go)],TblApplications[Cluster IKS source],$F998,TblApplications[Action],"À décommissionner",TblApplications[Mois lib (calc)],"&lt;="&amp;$E998)))))</f>
        <v/>
      </c>
      <c r="Z998" s="14" t="str">
        <f aca="false">IF($D998&lt;&gt;1,"",IF($AI998=1,0,MAX($J998,ROUNDUP(MAX($X998/$H998,$Y998/$I998),0))))</f>
        <v/>
      </c>
      <c r="AA998" s="84" t="str">
        <f aca="false">IF($D998&lt;&gt;1,"",IF(p_mode="Nœud",$Z998*$K998,$X998*IF($G998="IKS",p_iks_cpu,p_roks_cpu)+$Y998*IF($G998="IKS",p_iks_ram,p_roks_ram))*p_facteur)</f>
        <v/>
      </c>
      <c r="AB998" s="14" t="str">
        <f aca="false">IF($D998&lt;&gt;1,"",MAX($J998,ROUNDUP(MAX($L998/$H998,$M998/$I998),0)))</f>
        <v/>
      </c>
      <c r="AC998" s="84" t="str">
        <f aca="false">IF($D998&lt;&gt;1,"",IF(p_mode="Nœud",$AB998*$K998,$L998*IF($G998="IKS",p_iks_cpu,p_roks_cpu)+$M998*IF($G998="IKS",p_iks_ram,p_roks_ram))*p_facteur)</f>
        <v/>
      </c>
      <c r="AD998" s="14" t="str">
        <f aca="false">IF($D998&lt;&gt;1,"",IF(AND($G998="IKS",$AI998&lt;&gt;1,OR($L998-$P998&lt;$N998,$M998-$Q998&lt;$O998)),1,0))</f>
        <v/>
      </c>
      <c r="AE998" s="14" t="str">
        <f aca="false">IF($D998&lt;&gt;1,"",IF(AND($G998="ROKS",$T998&gt;p_maxworkers),1,0))</f>
        <v/>
      </c>
      <c r="AF998" s="14" t="str">
        <f aca="false">IF($D998&lt;&gt;1,"",IF(INDEX(TblClusters[Environnement],$B998)="","(vide)",INDEX(TblClusters[Environnement],$B998)))</f>
        <v/>
      </c>
      <c r="AG998" s="14" t="str">
        <f aca="false">IF($D998&lt;&gt;1,"",$R998+p_poidsram*$S998)</f>
        <v/>
      </c>
      <c r="AH998" s="14" t="str">
        <f aca="false">IF($D998&lt;&gt;1,"",IFERROR($W998/$AG998,0))</f>
        <v/>
      </c>
      <c r="AI998" s="14" t="str">
        <f aca="false">IF($D998&lt;&gt;1,"",IF(AND($G998="IKS",ISNUMBER(INDEX(TblClusters[Fermeture retenue],$B998))),IF($E998&gt;=INDEX(TblClusters[Fermeture retenue],$B998),1,0),0))</f>
        <v/>
      </c>
    </row>
    <row r="999" customFormat="false" ht="15" hidden="false" customHeight="false" outlineLevel="0" collapsed="false">
      <c r="A999" s="14" t="n">
        <v>994</v>
      </c>
      <c r="B999" s="14" t="n">
        <f aca="false">INT(($A999-1)/36)+1</f>
        <v>28</v>
      </c>
      <c r="C999" s="14" t="n">
        <f aca="false">MOD($A999-1,36)+1</f>
        <v>22</v>
      </c>
      <c r="D999" s="14" t="n">
        <f aca="false">IF($C999&gt;p_horizon,0,IFERROR(IF(AND(INDEX(TblClusters[Cluster],$B999)&lt;&gt;"",ISNUMBER(INDEX(TblClusters[CPU initial (vCPU)],$B999)),ISNUMBER(INDEX(TblClusters[CPU min (vCPU)],$B999)),OR(INDEX(TblClusters[Plateforme],$B999)="IKS",INDEX(TblClusters[Plateforme],$B999)="ROKS")),1,0),0))</f>
        <v>0</v>
      </c>
      <c r="E999" s="83" t="str">
        <f aca="false">IF($D999=1,EDATE(p_debut,$C999-1),"")</f>
        <v/>
      </c>
      <c r="F999" s="14" t="str">
        <f aca="false">IF($D999=1,INDEX(TblClusters[Cluster],$B999),"")</f>
        <v/>
      </c>
      <c r="G999" s="14" t="str">
        <f aca="false">IF($D999=1,INDEX(TblClusters[Plateforme],$B999),"")</f>
        <v/>
      </c>
      <c r="H999" s="14" t="str">
        <f aca="false">IF($D999=1,INDEX(TblClusters[vCPU par nœud],$B999),"")</f>
        <v/>
      </c>
      <c r="I999" s="14" t="str">
        <f aca="false">IF($D999=1,INDEX(TblClusters[RAM par nœud (Go)],$B999),"")</f>
        <v/>
      </c>
      <c r="J999" s="14" t="str">
        <f aca="false">IF($D999=1,INDEX(TblClusters[Workers min],$B999),"")</f>
        <v/>
      </c>
      <c r="K999" s="84" t="str">
        <f aca="false">IF($D999=1,INDEX(TblClusters[Tarif par nœud],$B999),"")</f>
        <v/>
      </c>
      <c r="L999" s="14" t="str">
        <f aca="false">IF($D999=1,INDEX(TblClusters[CPU initial (vCPU)],$B999),"")</f>
        <v/>
      </c>
      <c r="M999" s="14" t="str">
        <f aca="false">IF($D999=1,INDEX(TblClusters[RAM initiale (Go)],$B999),"")</f>
        <v/>
      </c>
      <c r="N999" s="14" t="str">
        <f aca="false">IF($D999=1,INDEX(TblClusters[CPU min (vCPU)],$B999),"")</f>
        <v/>
      </c>
      <c r="O999" s="14" t="str">
        <f aca="false">IF($D999=1,INDEX(TblClusters[RAM min (Go)],$B999),"")</f>
        <v/>
      </c>
      <c r="P999" s="14" t="str">
        <f aca="false">IF($D999&lt;&gt;1,"",IF($G999="ROKS",SUMIFS(TblApplications[Besoin ROKS CPU (vCPU)],TblApplications[Cluster ROKS cible],$F999,TblApplications[Action],"À migrer",TblApplications[Déjà incluse ROKS],"Non",TblApplications[Mois prov (calc)],"&lt;="&amp;$E999),SUMIFS(TblApplications[CPU IKS libérable (vCPU)],TblApplications[Cluster IKS source],$F999,TblApplications[Mois lib (calc)],"&lt;="&amp;$E999)))</f>
        <v/>
      </c>
      <c r="Q999" s="14" t="str">
        <f aca="false">IF($D999&lt;&gt;1,"",IF($G999="ROKS",SUMIFS(TblApplications[Besoin ROKS RAM (Go)],TblApplications[Cluster ROKS cible],$F999,TblApplications[Action],"À migrer",TblApplications[Déjà incluse ROKS],"Non",TblApplications[Mois prov (calc)],"&lt;="&amp;$E999),SUMIFS(TblApplications[RAM IKS libérable (Go)],TblApplications[Cluster IKS source],$F999,TblApplications[Mois lib (calc)],"&lt;="&amp;$E999)))</f>
        <v/>
      </c>
      <c r="R999" s="14" t="str">
        <f aca="false">IF($D999&lt;&gt;1,"",IF($G999="ROKS",$L999+$P999,IF($AI999=1,0,MAX($N999,$L999-$P999))))</f>
        <v/>
      </c>
      <c r="S999" s="14" t="str">
        <f aca="false">IF($D999&lt;&gt;1,"",IF($G999="ROKS",$M999+$Q999,IF($AI999=1,0,MAX($O999,$M999-$Q999))))</f>
        <v/>
      </c>
      <c r="T999" s="14" t="str">
        <f aca="false">IF($D999&lt;&gt;1,"",IF($AI999=1,0,MAX($J999,ROUNDUP(MAX($R999/$H999,$S999/$I999),0))))</f>
        <v/>
      </c>
      <c r="U999" s="14" t="str">
        <f aca="false">IF($D999&lt;&gt;1,"",IF(p_mode="Nœud",$T999*$H999,$R999))</f>
        <v/>
      </c>
      <c r="V999" s="14" t="str">
        <f aca="false">IF($D999&lt;&gt;1,"",IF(p_mode="Nœud",$T999*$I999,$S999))</f>
        <v/>
      </c>
      <c r="W999" s="84" t="str">
        <f aca="false">IF($D999&lt;&gt;1,"",IF(p_mode="Nœud",$T999*$K999,$R999*IF($G999="IKS",p_iks_cpu,p_roks_cpu)+$S999*IF($G999="IKS",p_iks_ram,p_roks_ram))*p_facteur)</f>
        <v/>
      </c>
      <c r="X999" s="14" t="str">
        <f aca="false">IF($D999&lt;&gt;1,"",IF($G999="ROKS",$R999,IF($AI999=1,0,MAX($N999,$L999-SUMIFS(TblApplications[CPU IKS libérable (vCPU)],TblApplications[Cluster IKS source],$F999,TblApplications[Action],"À migrer",TblApplications[Mois prov (calc)],"&lt;="&amp;$E999)-SUMIFS(TblApplications[CPU IKS libérable (vCPU)],TblApplications[Cluster IKS source],$F999,TblApplications[Action],"À décommissionner",TblApplications[Mois lib (calc)],"&lt;="&amp;$E999)))))</f>
        <v/>
      </c>
      <c r="Y999" s="14" t="str">
        <f aca="false">IF($D999&lt;&gt;1,"",IF($G999="ROKS",$S999,IF($AI999=1,0,MAX($O999,$M999-SUMIFS(TblApplications[RAM IKS libérable (Go)],TblApplications[Cluster IKS source],$F999,TblApplications[Action],"À migrer",TblApplications[Mois prov (calc)],"&lt;="&amp;$E999)-SUMIFS(TblApplications[RAM IKS libérable (Go)],TblApplications[Cluster IKS source],$F999,TblApplications[Action],"À décommissionner",TblApplications[Mois lib (calc)],"&lt;="&amp;$E999)))))</f>
        <v/>
      </c>
      <c r="Z999" s="14" t="str">
        <f aca="false">IF($D999&lt;&gt;1,"",IF($AI999=1,0,MAX($J999,ROUNDUP(MAX($X999/$H999,$Y999/$I999),0))))</f>
        <v/>
      </c>
      <c r="AA999" s="84" t="str">
        <f aca="false">IF($D999&lt;&gt;1,"",IF(p_mode="Nœud",$Z999*$K999,$X999*IF($G999="IKS",p_iks_cpu,p_roks_cpu)+$Y999*IF($G999="IKS",p_iks_ram,p_roks_ram))*p_facteur)</f>
        <v/>
      </c>
      <c r="AB999" s="14" t="str">
        <f aca="false">IF($D999&lt;&gt;1,"",MAX($J999,ROUNDUP(MAX($L999/$H999,$M999/$I999),0)))</f>
        <v/>
      </c>
      <c r="AC999" s="84" t="str">
        <f aca="false">IF($D999&lt;&gt;1,"",IF(p_mode="Nœud",$AB999*$K999,$L999*IF($G999="IKS",p_iks_cpu,p_roks_cpu)+$M999*IF($G999="IKS",p_iks_ram,p_roks_ram))*p_facteur)</f>
        <v/>
      </c>
      <c r="AD999" s="14" t="str">
        <f aca="false">IF($D999&lt;&gt;1,"",IF(AND($G999="IKS",$AI999&lt;&gt;1,OR($L999-$P999&lt;$N999,$M999-$Q999&lt;$O999)),1,0))</f>
        <v/>
      </c>
      <c r="AE999" s="14" t="str">
        <f aca="false">IF($D999&lt;&gt;1,"",IF(AND($G999="ROKS",$T999&gt;p_maxworkers),1,0))</f>
        <v/>
      </c>
      <c r="AF999" s="14" t="str">
        <f aca="false">IF($D999&lt;&gt;1,"",IF(INDEX(TblClusters[Environnement],$B999)="","(vide)",INDEX(TblClusters[Environnement],$B999)))</f>
        <v/>
      </c>
      <c r="AG999" s="14" t="str">
        <f aca="false">IF($D999&lt;&gt;1,"",$R999+p_poidsram*$S999)</f>
        <v/>
      </c>
      <c r="AH999" s="14" t="str">
        <f aca="false">IF($D999&lt;&gt;1,"",IFERROR($W999/$AG999,0))</f>
        <v/>
      </c>
      <c r="AI999" s="14" t="str">
        <f aca="false">IF($D999&lt;&gt;1,"",IF(AND($G999="IKS",ISNUMBER(INDEX(TblClusters[Fermeture retenue],$B999))),IF($E999&gt;=INDEX(TblClusters[Fermeture retenue],$B999),1,0),0))</f>
        <v/>
      </c>
    </row>
    <row r="1000" customFormat="false" ht="15" hidden="false" customHeight="false" outlineLevel="0" collapsed="false">
      <c r="A1000" s="14" t="n">
        <v>995</v>
      </c>
      <c r="B1000" s="14" t="n">
        <f aca="false">INT(($A1000-1)/36)+1</f>
        <v>28</v>
      </c>
      <c r="C1000" s="14" t="n">
        <f aca="false">MOD($A1000-1,36)+1</f>
        <v>23</v>
      </c>
      <c r="D1000" s="14" t="n">
        <f aca="false">IF($C1000&gt;p_horizon,0,IFERROR(IF(AND(INDEX(TblClusters[Cluster],$B1000)&lt;&gt;"",ISNUMBER(INDEX(TblClusters[CPU initial (vCPU)],$B1000)),ISNUMBER(INDEX(TblClusters[CPU min (vCPU)],$B1000)),OR(INDEX(TblClusters[Plateforme],$B1000)="IKS",INDEX(TblClusters[Plateforme],$B1000)="ROKS")),1,0),0))</f>
        <v>0</v>
      </c>
      <c r="E1000" s="83" t="str">
        <f aca="false">IF($D1000=1,EDATE(p_debut,$C1000-1),"")</f>
        <v/>
      </c>
      <c r="F1000" s="14" t="str">
        <f aca="false">IF($D1000=1,INDEX(TblClusters[Cluster],$B1000),"")</f>
        <v/>
      </c>
      <c r="G1000" s="14" t="str">
        <f aca="false">IF($D1000=1,INDEX(TblClusters[Plateforme],$B1000),"")</f>
        <v/>
      </c>
      <c r="H1000" s="14" t="str">
        <f aca="false">IF($D1000=1,INDEX(TblClusters[vCPU par nœud],$B1000),"")</f>
        <v/>
      </c>
      <c r="I1000" s="14" t="str">
        <f aca="false">IF($D1000=1,INDEX(TblClusters[RAM par nœud (Go)],$B1000),"")</f>
        <v/>
      </c>
      <c r="J1000" s="14" t="str">
        <f aca="false">IF($D1000=1,INDEX(TblClusters[Workers min],$B1000),"")</f>
        <v/>
      </c>
      <c r="K1000" s="84" t="str">
        <f aca="false">IF($D1000=1,INDEX(TblClusters[Tarif par nœud],$B1000),"")</f>
        <v/>
      </c>
      <c r="L1000" s="14" t="str">
        <f aca="false">IF($D1000=1,INDEX(TblClusters[CPU initial (vCPU)],$B1000),"")</f>
        <v/>
      </c>
      <c r="M1000" s="14" t="str">
        <f aca="false">IF($D1000=1,INDEX(TblClusters[RAM initiale (Go)],$B1000),"")</f>
        <v/>
      </c>
      <c r="N1000" s="14" t="str">
        <f aca="false">IF($D1000=1,INDEX(TblClusters[CPU min (vCPU)],$B1000),"")</f>
        <v/>
      </c>
      <c r="O1000" s="14" t="str">
        <f aca="false">IF($D1000=1,INDEX(TblClusters[RAM min (Go)],$B1000),"")</f>
        <v/>
      </c>
      <c r="P1000" s="14" t="str">
        <f aca="false">IF($D1000&lt;&gt;1,"",IF($G1000="ROKS",SUMIFS(TblApplications[Besoin ROKS CPU (vCPU)],TblApplications[Cluster ROKS cible],$F1000,TblApplications[Action],"À migrer",TblApplications[Déjà incluse ROKS],"Non",TblApplications[Mois prov (calc)],"&lt;="&amp;$E1000),SUMIFS(TblApplications[CPU IKS libérable (vCPU)],TblApplications[Cluster IKS source],$F1000,TblApplications[Mois lib (calc)],"&lt;="&amp;$E1000)))</f>
        <v/>
      </c>
      <c r="Q1000" s="14" t="str">
        <f aca="false">IF($D1000&lt;&gt;1,"",IF($G1000="ROKS",SUMIFS(TblApplications[Besoin ROKS RAM (Go)],TblApplications[Cluster ROKS cible],$F1000,TblApplications[Action],"À migrer",TblApplications[Déjà incluse ROKS],"Non",TblApplications[Mois prov (calc)],"&lt;="&amp;$E1000),SUMIFS(TblApplications[RAM IKS libérable (Go)],TblApplications[Cluster IKS source],$F1000,TblApplications[Mois lib (calc)],"&lt;="&amp;$E1000)))</f>
        <v/>
      </c>
      <c r="R1000" s="14" t="str">
        <f aca="false">IF($D1000&lt;&gt;1,"",IF($G1000="ROKS",$L1000+$P1000,IF($AI1000=1,0,MAX($N1000,$L1000-$P1000))))</f>
        <v/>
      </c>
      <c r="S1000" s="14" t="str">
        <f aca="false">IF($D1000&lt;&gt;1,"",IF($G1000="ROKS",$M1000+$Q1000,IF($AI1000=1,0,MAX($O1000,$M1000-$Q1000))))</f>
        <v/>
      </c>
      <c r="T1000" s="14" t="str">
        <f aca="false">IF($D1000&lt;&gt;1,"",IF($AI1000=1,0,MAX($J1000,ROUNDUP(MAX($R1000/$H1000,$S1000/$I1000),0))))</f>
        <v/>
      </c>
      <c r="U1000" s="14" t="str">
        <f aca="false">IF($D1000&lt;&gt;1,"",IF(p_mode="Nœud",$T1000*$H1000,$R1000))</f>
        <v/>
      </c>
      <c r="V1000" s="14" t="str">
        <f aca="false">IF($D1000&lt;&gt;1,"",IF(p_mode="Nœud",$T1000*$I1000,$S1000))</f>
        <v/>
      </c>
      <c r="W1000" s="84" t="str">
        <f aca="false">IF($D1000&lt;&gt;1,"",IF(p_mode="Nœud",$T1000*$K1000,$R1000*IF($G1000="IKS",p_iks_cpu,p_roks_cpu)+$S1000*IF($G1000="IKS",p_iks_ram,p_roks_ram))*p_facteur)</f>
        <v/>
      </c>
      <c r="X1000" s="14" t="str">
        <f aca="false">IF($D1000&lt;&gt;1,"",IF($G1000="ROKS",$R1000,IF($AI1000=1,0,MAX($N1000,$L1000-SUMIFS(TblApplications[CPU IKS libérable (vCPU)],TblApplications[Cluster IKS source],$F1000,TblApplications[Action],"À migrer",TblApplications[Mois prov (calc)],"&lt;="&amp;$E1000)-SUMIFS(TblApplications[CPU IKS libérable (vCPU)],TblApplications[Cluster IKS source],$F1000,TblApplications[Action],"À décommissionner",TblApplications[Mois lib (calc)],"&lt;="&amp;$E1000)))))</f>
        <v/>
      </c>
      <c r="Y1000" s="14" t="str">
        <f aca="false">IF($D1000&lt;&gt;1,"",IF($G1000="ROKS",$S1000,IF($AI1000=1,0,MAX($O1000,$M1000-SUMIFS(TblApplications[RAM IKS libérable (Go)],TblApplications[Cluster IKS source],$F1000,TblApplications[Action],"À migrer",TblApplications[Mois prov (calc)],"&lt;="&amp;$E1000)-SUMIFS(TblApplications[RAM IKS libérable (Go)],TblApplications[Cluster IKS source],$F1000,TblApplications[Action],"À décommissionner",TblApplications[Mois lib (calc)],"&lt;="&amp;$E1000)))))</f>
        <v/>
      </c>
      <c r="Z1000" s="14" t="str">
        <f aca="false">IF($D1000&lt;&gt;1,"",IF($AI1000=1,0,MAX($J1000,ROUNDUP(MAX($X1000/$H1000,$Y1000/$I1000),0))))</f>
        <v/>
      </c>
      <c r="AA1000" s="84" t="str">
        <f aca="false">IF($D1000&lt;&gt;1,"",IF(p_mode="Nœud",$Z1000*$K1000,$X1000*IF($G1000="IKS",p_iks_cpu,p_roks_cpu)+$Y1000*IF($G1000="IKS",p_iks_ram,p_roks_ram))*p_facteur)</f>
        <v/>
      </c>
      <c r="AB1000" s="14" t="str">
        <f aca="false">IF($D1000&lt;&gt;1,"",MAX($J1000,ROUNDUP(MAX($L1000/$H1000,$M1000/$I1000),0)))</f>
        <v/>
      </c>
      <c r="AC1000" s="84" t="str">
        <f aca="false">IF($D1000&lt;&gt;1,"",IF(p_mode="Nœud",$AB1000*$K1000,$L1000*IF($G1000="IKS",p_iks_cpu,p_roks_cpu)+$M1000*IF($G1000="IKS",p_iks_ram,p_roks_ram))*p_facteur)</f>
        <v/>
      </c>
      <c r="AD1000" s="14" t="str">
        <f aca="false">IF($D1000&lt;&gt;1,"",IF(AND($G1000="IKS",$AI1000&lt;&gt;1,OR($L1000-$P1000&lt;$N1000,$M1000-$Q1000&lt;$O1000)),1,0))</f>
        <v/>
      </c>
      <c r="AE1000" s="14" t="str">
        <f aca="false">IF($D1000&lt;&gt;1,"",IF(AND($G1000="ROKS",$T1000&gt;p_maxworkers),1,0))</f>
        <v/>
      </c>
      <c r="AF1000" s="14" t="str">
        <f aca="false">IF($D1000&lt;&gt;1,"",IF(INDEX(TblClusters[Environnement],$B1000)="","(vide)",INDEX(TblClusters[Environnement],$B1000)))</f>
        <v/>
      </c>
      <c r="AG1000" s="14" t="str">
        <f aca="false">IF($D1000&lt;&gt;1,"",$R1000+p_poidsram*$S1000)</f>
        <v/>
      </c>
      <c r="AH1000" s="14" t="str">
        <f aca="false">IF($D1000&lt;&gt;1,"",IFERROR($W1000/$AG1000,0))</f>
        <v/>
      </c>
      <c r="AI1000" s="14" t="str">
        <f aca="false">IF($D1000&lt;&gt;1,"",IF(AND($G1000="IKS",ISNUMBER(INDEX(TblClusters[Fermeture retenue],$B1000))),IF($E1000&gt;=INDEX(TblClusters[Fermeture retenue],$B1000),1,0),0))</f>
        <v/>
      </c>
    </row>
    <row r="1001" customFormat="false" ht="15" hidden="false" customHeight="false" outlineLevel="0" collapsed="false">
      <c r="A1001" s="14" t="n">
        <v>996</v>
      </c>
      <c r="B1001" s="14" t="n">
        <f aca="false">INT(($A1001-1)/36)+1</f>
        <v>28</v>
      </c>
      <c r="C1001" s="14" t="n">
        <f aca="false">MOD($A1001-1,36)+1</f>
        <v>24</v>
      </c>
      <c r="D1001" s="14" t="n">
        <f aca="false">IF($C1001&gt;p_horizon,0,IFERROR(IF(AND(INDEX(TblClusters[Cluster],$B1001)&lt;&gt;"",ISNUMBER(INDEX(TblClusters[CPU initial (vCPU)],$B1001)),ISNUMBER(INDEX(TblClusters[CPU min (vCPU)],$B1001)),OR(INDEX(TblClusters[Plateforme],$B1001)="IKS",INDEX(TblClusters[Plateforme],$B1001)="ROKS")),1,0),0))</f>
        <v>0</v>
      </c>
      <c r="E1001" s="83" t="str">
        <f aca="false">IF($D1001=1,EDATE(p_debut,$C1001-1),"")</f>
        <v/>
      </c>
      <c r="F1001" s="14" t="str">
        <f aca="false">IF($D1001=1,INDEX(TblClusters[Cluster],$B1001),"")</f>
        <v/>
      </c>
      <c r="G1001" s="14" t="str">
        <f aca="false">IF($D1001=1,INDEX(TblClusters[Plateforme],$B1001),"")</f>
        <v/>
      </c>
      <c r="H1001" s="14" t="str">
        <f aca="false">IF($D1001=1,INDEX(TblClusters[vCPU par nœud],$B1001),"")</f>
        <v/>
      </c>
      <c r="I1001" s="14" t="str">
        <f aca="false">IF($D1001=1,INDEX(TblClusters[RAM par nœud (Go)],$B1001),"")</f>
        <v/>
      </c>
      <c r="J1001" s="14" t="str">
        <f aca="false">IF($D1001=1,INDEX(TblClusters[Workers min],$B1001),"")</f>
        <v/>
      </c>
      <c r="K1001" s="84" t="str">
        <f aca="false">IF($D1001=1,INDEX(TblClusters[Tarif par nœud],$B1001),"")</f>
        <v/>
      </c>
      <c r="L1001" s="14" t="str">
        <f aca="false">IF($D1001=1,INDEX(TblClusters[CPU initial (vCPU)],$B1001),"")</f>
        <v/>
      </c>
      <c r="M1001" s="14" t="str">
        <f aca="false">IF($D1001=1,INDEX(TblClusters[RAM initiale (Go)],$B1001),"")</f>
        <v/>
      </c>
      <c r="N1001" s="14" t="str">
        <f aca="false">IF($D1001=1,INDEX(TblClusters[CPU min (vCPU)],$B1001),"")</f>
        <v/>
      </c>
      <c r="O1001" s="14" t="str">
        <f aca="false">IF($D1001=1,INDEX(TblClusters[RAM min (Go)],$B1001),"")</f>
        <v/>
      </c>
      <c r="P1001" s="14" t="str">
        <f aca="false">IF($D1001&lt;&gt;1,"",IF($G1001="ROKS",SUMIFS(TblApplications[Besoin ROKS CPU (vCPU)],TblApplications[Cluster ROKS cible],$F1001,TblApplications[Action],"À migrer",TblApplications[Déjà incluse ROKS],"Non",TblApplications[Mois prov (calc)],"&lt;="&amp;$E1001),SUMIFS(TblApplications[CPU IKS libérable (vCPU)],TblApplications[Cluster IKS source],$F1001,TblApplications[Mois lib (calc)],"&lt;="&amp;$E1001)))</f>
        <v/>
      </c>
      <c r="Q1001" s="14" t="str">
        <f aca="false">IF($D1001&lt;&gt;1,"",IF($G1001="ROKS",SUMIFS(TblApplications[Besoin ROKS RAM (Go)],TblApplications[Cluster ROKS cible],$F1001,TblApplications[Action],"À migrer",TblApplications[Déjà incluse ROKS],"Non",TblApplications[Mois prov (calc)],"&lt;="&amp;$E1001),SUMIFS(TblApplications[RAM IKS libérable (Go)],TblApplications[Cluster IKS source],$F1001,TblApplications[Mois lib (calc)],"&lt;="&amp;$E1001)))</f>
        <v/>
      </c>
      <c r="R1001" s="14" t="str">
        <f aca="false">IF($D1001&lt;&gt;1,"",IF($G1001="ROKS",$L1001+$P1001,IF($AI1001=1,0,MAX($N1001,$L1001-$P1001))))</f>
        <v/>
      </c>
      <c r="S1001" s="14" t="str">
        <f aca="false">IF($D1001&lt;&gt;1,"",IF($G1001="ROKS",$M1001+$Q1001,IF($AI1001=1,0,MAX($O1001,$M1001-$Q1001))))</f>
        <v/>
      </c>
      <c r="T1001" s="14" t="str">
        <f aca="false">IF($D1001&lt;&gt;1,"",IF($AI1001=1,0,MAX($J1001,ROUNDUP(MAX($R1001/$H1001,$S1001/$I1001),0))))</f>
        <v/>
      </c>
      <c r="U1001" s="14" t="str">
        <f aca="false">IF($D1001&lt;&gt;1,"",IF(p_mode="Nœud",$T1001*$H1001,$R1001))</f>
        <v/>
      </c>
      <c r="V1001" s="14" t="str">
        <f aca="false">IF($D1001&lt;&gt;1,"",IF(p_mode="Nœud",$T1001*$I1001,$S1001))</f>
        <v/>
      </c>
      <c r="W1001" s="84" t="str">
        <f aca="false">IF($D1001&lt;&gt;1,"",IF(p_mode="Nœud",$T1001*$K1001,$R1001*IF($G1001="IKS",p_iks_cpu,p_roks_cpu)+$S1001*IF($G1001="IKS",p_iks_ram,p_roks_ram))*p_facteur)</f>
        <v/>
      </c>
      <c r="X1001" s="14" t="str">
        <f aca="false">IF($D1001&lt;&gt;1,"",IF($G1001="ROKS",$R1001,IF($AI1001=1,0,MAX($N1001,$L1001-SUMIFS(TblApplications[CPU IKS libérable (vCPU)],TblApplications[Cluster IKS source],$F1001,TblApplications[Action],"À migrer",TblApplications[Mois prov (calc)],"&lt;="&amp;$E1001)-SUMIFS(TblApplications[CPU IKS libérable (vCPU)],TblApplications[Cluster IKS source],$F1001,TblApplications[Action],"À décommissionner",TblApplications[Mois lib (calc)],"&lt;="&amp;$E1001)))))</f>
        <v/>
      </c>
      <c r="Y1001" s="14" t="str">
        <f aca="false">IF($D1001&lt;&gt;1,"",IF($G1001="ROKS",$S1001,IF($AI1001=1,0,MAX($O1001,$M1001-SUMIFS(TblApplications[RAM IKS libérable (Go)],TblApplications[Cluster IKS source],$F1001,TblApplications[Action],"À migrer",TblApplications[Mois prov (calc)],"&lt;="&amp;$E1001)-SUMIFS(TblApplications[RAM IKS libérable (Go)],TblApplications[Cluster IKS source],$F1001,TblApplications[Action],"À décommissionner",TblApplications[Mois lib (calc)],"&lt;="&amp;$E1001)))))</f>
        <v/>
      </c>
      <c r="Z1001" s="14" t="str">
        <f aca="false">IF($D1001&lt;&gt;1,"",IF($AI1001=1,0,MAX($J1001,ROUNDUP(MAX($X1001/$H1001,$Y1001/$I1001),0))))</f>
        <v/>
      </c>
      <c r="AA1001" s="84" t="str">
        <f aca="false">IF($D1001&lt;&gt;1,"",IF(p_mode="Nœud",$Z1001*$K1001,$X1001*IF($G1001="IKS",p_iks_cpu,p_roks_cpu)+$Y1001*IF($G1001="IKS",p_iks_ram,p_roks_ram))*p_facteur)</f>
        <v/>
      </c>
      <c r="AB1001" s="14" t="str">
        <f aca="false">IF($D1001&lt;&gt;1,"",MAX($J1001,ROUNDUP(MAX($L1001/$H1001,$M1001/$I1001),0)))</f>
        <v/>
      </c>
      <c r="AC1001" s="84" t="str">
        <f aca="false">IF($D1001&lt;&gt;1,"",IF(p_mode="Nœud",$AB1001*$K1001,$L1001*IF($G1001="IKS",p_iks_cpu,p_roks_cpu)+$M1001*IF($G1001="IKS",p_iks_ram,p_roks_ram))*p_facteur)</f>
        <v/>
      </c>
      <c r="AD1001" s="14" t="str">
        <f aca="false">IF($D1001&lt;&gt;1,"",IF(AND($G1001="IKS",$AI1001&lt;&gt;1,OR($L1001-$P1001&lt;$N1001,$M1001-$Q1001&lt;$O1001)),1,0))</f>
        <v/>
      </c>
      <c r="AE1001" s="14" t="str">
        <f aca="false">IF($D1001&lt;&gt;1,"",IF(AND($G1001="ROKS",$T1001&gt;p_maxworkers),1,0))</f>
        <v/>
      </c>
      <c r="AF1001" s="14" t="str">
        <f aca="false">IF($D1001&lt;&gt;1,"",IF(INDEX(TblClusters[Environnement],$B1001)="","(vide)",INDEX(TblClusters[Environnement],$B1001)))</f>
        <v/>
      </c>
      <c r="AG1001" s="14" t="str">
        <f aca="false">IF($D1001&lt;&gt;1,"",$R1001+p_poidsram*$S1001)</f>
        <v/>
      </c>
      <c r="AH1001" s="14" t="str">
        <f aca="false">IF($D1001&lt;&gt;1,"",IFERROR($W1001/$AG1001,0))</f>
        <v/>
      </c>
      <c r="AI1001" s="14" t="str">
        <f aca="false">IF($D1001&lt;&gt;1,"",IF(AND($G1001="IKS",ISNUMBER(INDEX(TblClusters[Fermeture retenue],$B1001))),IF($E1001&gt;=INDEX(TblClusters[Fermeture retenue],$B1001),1,0),0))</f>
        <v/>
      </c>
    </row>
    <row r="1002" customFormat="false" ht="15" hidden="false" customHeight="false" outlineLevel="0" collapsed="false">
      <c r="A1002" s="14" t="n">
        <v>997</v>
      </c>
      <c r="B1002" s="14" t="n">
        <f aca="false">INT(($A1002-1)/36)+1</f>
        <v>28</v>
      </c>
      <c r="C1002" s="14" t="n">
        <f aca="false">MOD($A1002-1,36)+1</f>
        <v>25</v>
      </c>
      <c r="D1002" s="14" t="n">
        <f aca="false">IF($C1002&gt;p_horizon,0,IFERROR(IF(AND(INDEX(TblClusters[Cluster],$B1002)&lt;&gt;"",ISNUMBER(INDEX(TblClusters[CPU initial (vCPU)],$B1002)),ISNUMBER(INDEX(TblClusters[CPU min (vCPU)],$B1002)),OR(INDEX(TblClusters[Plateforme],$B1002)="IKS",INDEX(TblClusters[Plateforme],$B1002)="ROKS")),1,0),0))</f>
        <v>0</v>
      </c>
      <c r="E1002" s="83" t="str">
        <f aca="false">IF($D1002=1,EDATE(p_debut,$C1002-1),"")</f>
        <v/>
      </c>
      <c r="F1002" s="14" t="str">
        <f aca="false">IF($D1002=1,INDEX(TblClusters[Cluster],$B1002),"")</f>
        <v/>
      </c>
      <c r="G1002" s="14" t="str">
        <f aca="false">IF($D1002=1,INDEX(TblClusters[Plateforme],$B1002),"")</f>
        <v/>
      </c>
      <c r="H1002" s="14" t="str">
        <f aca="false">IF($D1002=1,INDEX(TblClusters[vCPU par nœud],$B1002),"")</f>
        <v/>
      </c>
      <c r="I1002" s="14" t="str">
        <f aca="false">IF($D1002=1,INDEX(TblClusters[RAM par nœud (Go)],$B1002),"")</f>
        <v/>
      </c>
      <c r="J1002" s="14" t="str">
        <f aca="false">IF($D1002=1,INDEX(TblClusters[Workers min],$B1002),"")</f>
        <v/>
      </c>
      <c r="K1002" s="84" t="str">
        <f aca="false">IF($D1002=1,INDEX(TblClusters[Tarif par nœud],$B1002),"")</f>
        <v/>
      </c>
      <c r="L1002" s="14" t="str">
        <f aca="false">IF($D1002=1,INDEX(TblClusters[CPU initial (vCPU)],$B1002),"")</f>
        <v/>
      </c>
      <c r="M1002" s="14" t="str">
        <f aca="false">IF($D1002=1,INDEX(TblClusters[RAM initiale (Go)],$B1002),"")</f>
        <v/>
      </c>
      <c r="N1002" s="14" t="str">
        <f aca="false">IF($D1002=1,INDEX(TblClusters[CPU min (vCPU)],$B1002),"")</f>
        <v/>
      </c>
      <c r="O1002" s="14" t="str">
        <f aca="false">IF($D1002=1,INDEX(TblClusters[RAM min (Go)],$B1002),"")</f>
        <v/>
      </c>
      <c r="P1002" s="14" t="str">
        <f aca="false">IF($D1002&lt;&gt;1,"",IF($G1002="ROKS",SUMIFS(TblApplications[Besoin ROKS CPU (vCPU)],TblApplications[Cluster ROKS cible],$F1002,TblApplications[Action],"À migrer",TblApplications[Déjà incluse ROKS],"Non",TblApplications[Mois prov (calc)],"&lt;="&amp;$E1002),SUMIFS(TblApplications[CPU IKS libérable (vCPU)],TblApplications[Cluster IKS source],$F1002,TblApplications[Mois lib (calc)],"&lt;="&amp;$E1002)))</f>
        <v/>
      </c>
      <c r="Q1002" s="14" t="str">
        <f aca="false">IF($D1002&lt;&gt;1,"",IF($G1002="ROKS",SUMIFS(TblApplications[Besoin ROKS RAM (Go)],TblApplications[Cluster ROKS cible],$F1002,TblApplications[Action],"À migrer",TblApplications[Déjà incluse ROKS],"Non",TblApplications[Mois prov (calc)],"&lt;="&amp;$E1002),SUMIFS(TblApplications[RAM IKS libérable (Go)],TblApplications[Cluster IKS source],$F1002,TblApplications[Mois lib (calc)],"&lt;="&amp;$E1002)))</f>
        <v/>
      </c>
      <c r="R1002" s="14" t="str">
        <f aca="false">IF($D1002&lt;&gt;1,"",IF($G1002="ROKS",$L1002+$P1002,IF($AI1002=1,0,MAX($N1002,$L1002-$P1002))))</f>
        <v/>
      </c>
      <c r="S1002" s="14" t="str">
        <f aca="false">IF($D1002&lt;&gt;1,"",IF($G1002="ROKS",$M1002+$Q1002,IF($AI1002=1,0,MAX($O1002,$M1002-$Q1002))))</f>
        <v/>
      </c>
      <c r="T1002" s="14" t="str">
        <f aca="false">IF($D1002&lt;&gt;1,"",IF($AI1002=1,0,MAX($J1002,ROUNDUP(MAX($R1002/$H1002,$S1002/$I1002),0))))</f>
        <v/>
      </c>
      <c r="U1002" s="14" t="str">
        <f aca="false">IF($D1002&lt;&gt;1,"",IF(p_mode="Nœud",$T1002*$H1002,$R1002))</f>
        <v/>
      </c>
      <c r="V1002" s="14" t="str">
        <f aca="false">IF($D1002&lt;&gt;1,"",IF(p_mode="Nœud",$T1002*$I1002,$S1002))</f>
        <v/>
      </c>
      <c r="W1002" s="84" t="str">
        <f aca="false">IF($D1002&lt;&gt;1,"",IF(p_mode="Nœud",$T1002*$K1002,$R1002*IF($G1002="IKS",p_iks_cpu,p_roks_cpu)+$S1002*IF($G1002="IKS",p_iks_ram,p_roks_ram))*p_facteur)</f>
        <v/>
      </c>
      <c r="X1002" s="14" t="str">
        <f aca="false">IF($D1002&lt;&gt;1,"",IF($G1002="ROKS",$R1002,IF($AI1002=1,0,MAX($N1002,$L1002-SUMIFS(TblApplications[CPU IKS libérable (vCPU)],TblApplications[Cluster IKS source],$F1002,TblApplications[Action],"À migrer",TblApplications[Mois prov (calc)],"&lt;="&amp;$E1002)-SUMIFS(TblApplications[CPU IKS libérable (vCPU)],TblApplications[Cluster IKS source],$F1002,TblApplications[Action],"À décommissionner",TblApplications[Mois lib (calc)],"&lt;="&amp;$E1002)))))</f>
        <v/>
      </c>
      <c r="Y1002" s="14" t="str">
        <f aca="false">IF($D1002&lt;&gt;1,"",IF($G1002="ROKS",$S1002,IF($AI1002=1,0,MAX($O1002,$M1002-SUMIFS(TblApplications[RAM IKS libérable (Go)],TblApplications[Cluster IKS source],$F1002,TblApplications[Action],"À migrer",TblApplications[Mois prov (calc)],"&lt;="&amp;$E1002)-SUMIFS(TblApplications[RAM IKS libérable (Go)],TblApplications[Cluster IKS source],$F1002,TblApplications[Action],"À décommissionner",TblApplications[Mois lib (calc)],"&lt;="&amp;$E1002)))))</f>
        <v/>
      </c>
      <c r="Z1002" s="14" t="str">
        <f aca="false">IF($D1002&lt;&gt;1,"",IF($AI1002=1,0,MAX($J1002,ROUNDUP(MAX($X1002/$H1002,$Y1002/$I1002),0))))</f>
        <v/>
      </c>
      <c r="AA1002" s="84" t="str">
        <f aca="false">IF($D1002&lt;&gt;1,"",IF(p_mode="Nœud",$Z1002*$K1002,$X1002*IF($G1002="IKS",p_iks_cpu,p_roks_cpu)+$Y1002*IF($G1002="IKS",p_iks_ram,p_roks_ram))*p_facteur)</f>
        <v/>
      </c>
      <c r="AB1002" s="14" t="str">
        <f aca="false">IF($D1002&lt;&gt;1,"",MAX($J1002,ROUNDUP(MAX($L1002/$H1002,$M1002/$I1002),0)))</f>
        <v/>
      </c>
      <c r="AC1002" s="84" t="str">
        <f aca="false">IF($D1002&lt;&gt;1,"",IF(p_mode="Nœud",$AB1002*$K1002,$L1002*IF($G1002="IKS",p_iks_cpu,p_roks_cpu)+$M1002*IF($G1002="IKS",p_iks_ram,p_roks_ram))*p_facteur)</f>
        <v/>
      </c>
      <c r="AD1002" s="14" t="str">
        <f aca="false">IF($D1002&lt;&gt;1,"",IF(AND($G1002="IKS",$AI1002&lt;&gt;1,OR($L1002-$P1002&lt;$N1002,$M1002-$Q1002&lt;$O1002)),1,0))</f>
        <v/>
      </c>
      <c r="AE1002" s="14" t="str">
        <f aca="false">IF($D1002&lt;&gt;1,"",IF(AND($G1002="ROKS",$T1002&gt;p_maxworkers),1,0))</f>
        <v/>
      </c>
      <c r="AF1002" s="14" t="str">
        <f aca="false">IF($D1002&lt;&gt;1,"",IF(INDEX(TblClusters[Environnement],$B1002)="","(vide)",INDEX(TblClusters[Environnement],$B1002)))</f>
        <v/>
      </c>
      <c r="AG1002" s="14" t="str">
        <f aca="false">IF($D1002&lt;&gt;1,"",$R1002+p_poidsram*$S1002)</f>
        <v/>
      </c>
      <c r="AH1002" s="14" t="str">
        <f aca="false">IF($D1002&lt;&gt;1,"",IFERROR($W1002/$AG1002,0))</f>
        <v/>
      </c>
      <c r="AI1002" s="14" t="str">
        <f aca="false">IF($D1002&lt;&gt;1,"",IF(AND($G1002="IKS",ISNUMBER(INDEX(TblClusters[Fermeture retenue],$B1002))),IF($E1002&gt;=INDEX(TblClusters[Fermeture retenue],$B1002),1,0),0))</f>
        <v/>
      </c>
    </row>
    <row r="1003" customFormat="false" ht="15" hidden="false" customHeight="false" outlineLevel="0" collapsed="false">
      <c r="A1003" s="14" t="n">
        <v>998</v>
      </c>
      <c r="B1003" s="14" t="n">
        <f aca="false">INT(($A1003-1)/36)+1</f>
        <v>28</v>
      </c>
      <c r="C1003" s="14" t="n">
        <f aca="false">MOD($A1003-1,36)+1</f>
        <v>26</v>
      </c>
      <c r="D1003" s="14" t="n">
        <f aca="false">IF($C1003&gt;p_horizon,0,IFERROR(IF(AND(INDEX(TblClusters[Cluster],$B1003)&lt;&gt;"",ISNUMBER(INDEX(TblClusters[CPU initial (vCPU)],$B1003)),ISNUMBER(INDEX(TblClusters[CPU min (vCPU)],$B1003)),OR(INDEX(TblClusters[Plateforme],$B1003)="IKS",INDEX(TblClusters[Plateforme],$B1003)="ROKS")),1,0),0))</f>
        <v>0</v>
      </c>
      <c r="E1003" s="83" t="str">
        <f aca="false">IF($D1003=1,EDATE(p_debut,$C1003-1),"")</f>
        <v/>
      </c>
      <c r="F1003" s="14" t="str">
        <f aca="false">IF($D1003=1,INDEX(TblClusters[Cluster],$B1003),"")</f>
        <v/>
      </c>
      <c r="G1003" s="14" t="str">
        <f aca="false">IF($D1003=1,INDEX(TblClusters[Plateforme],$B1003),"")</f>
        <v/>
      </c>
      <c r="H1003" s="14" t="str">
        <f aca="false">IF($D1003=1,INDEX(TblClusters[vCPU par nœud],$B1003),"")</f>
        <v/>
      </c>
      <c r="I1003" s="14" t="str">
        <f aca="false">IF($D1003=1,INDEX(TblClusters[RAM par nœud (Go)],$B1003),"")</f>
        <v/>
      </c>
      <c r="J1003" s="14" t="str">
        <f aca="false">IF($D1003=1,INDEX(TblClusters[Workers min],$B1003),"")</f>
        <v/>
      </c>
      <c r="K1003" s="84" t="str">
        <f aca="false">IF($D1003=1,INDEX(TblClusters[Tarif par nœud],$B1003),"")</f>
        <v/>
      </c>
      <c r="L1003" s="14" t="str">
        <f aca="false">IF($D1003=1,INDEX(TblClusters[CPU initial (vCPU)],$B1003),"")</f>
        <v/>
      </c>
      <c r="M1003" s="14" t="str">
        <f aca="false">IF($D1003=1,INDEX(TblClusters[RAM initiale (Go)],$B1003),"")</f>
        <v/>
      </c>
      <c r="N1003" s="14" t="str">
        <f aca="false">IF($D1003=1,INDEX(TblClusters[CPU min (vCPU)],$B1003),"")</f>
        <v/>
      </c>
      <c r="O1003" s="14" t="str">
        <f aca="false">IF($D1003=1,INDEX(TblClusters[RAM min (Go)],$B1003),"")</f>
        <v/>
      </c>
      <c r="P1003" s="14" t="str">
        <f aca="false">IF($D1003&lt;&gt;1,"",IF($G1003="ROKS",SUMIFS(TblApplications[Besoin ROKS CPU (vCPU)],TblApplications[Cluster ROKS cible],$F1003,TblApplications[Action],"À migrer",TblApplications[Déjà incluse ROKS],"Non",TblApplications[Mois prov (calc)],"&lt;="&amp;$E1003),SUMIFS(TblApplications[CPU IKS libérable (vCPU)],TblApplications[Cluster IKS source],$F1003,TblApplications[Mois lib (calc)],"&lt;="&amp;$E1003)))</f>
        <v/>
      </c>
      <c r="Q1003" s="14" t="str">
        <f aca="false">IF($D1003&lt;&gt;1,"",IF($G1003="ROKS",SUMIFS(TblApplications[Besoin ROKS RAM (Go)],TblApplications[Cluster ROKS cible],$F1003,TblApplications[Action],"À migrer",TblApplications[Déjà incluse ROKS],"Non",TblApplications[Mois prov (calc)],"&lt;="&amp;$E1003),SUMIFS(TblApplications[RAM IKS libérable (Go)],TblApplications[Cluster IKS source],$F1003,TblApplications[Mois lib (calc)],"&lt;="&amp;$E1003)))</f>
        <v/>
      </c>
      <c r="R1003" s="14" t="str">
        <f aca="false">IF($D1003&lt;&gt;1,"",IF($G1003="ROKS",$L1003+$P1003,IF($AI1003=1,0,MAX($N1003,$L1003-$P1003))))</f>
        <v/>
      </c>
      <c r="S1003" s="14" t="str">
        <f aca="false">IF($D1003&lt;&gt;1,"",IF($G1003="ROKS",$M1003+$Q1003,IF($AI1003=1,0,MAX($O1003,$M1003-$Q1003))))</f>
        <v/>
      </c>
      <c r="T1003" s="14" t="str">
        <f aca="false">IF($D1003&lt;&gt;1,"",IF($AI1003=1,0,MAX($J1003,ROUNDUP(MAX($R1003/$H1003,$S1003/$I1003),0))))</f>
        <v/>
      </c>
      <c r="U1003" s="14" t="str">
        <f aca="false">IF($D1003&lt;&gt;1,"",IF(p_mode="Nœud",$T1003*$H1003,$R1003))</f>
        <v/>
      </c>
      <c r="V1003" s="14" t="str">
        <f aca="false">IF($D1003&lt;&gt;1,"",IF(p_mode="Nœud",$T1003*$I1003,$S1003))</f>
        <v/>
      </c>
      <c r="W1003" s="84" t="str">
        <f aca="false">IF($D1003&lt;&gt;1,"",IF(p_mode="Nœud",$T1003*$K1003,$R1003*IF($G1003="IKS",p_iks_cpu,p_roks_cpu)+$S1003*IF($G1003="IKS",p_iks_ram,p_roks_ram))*p_facteur)</f>
        <v/>
      </c>
      <c r="X1003" s="14" t="str">
        <f aca="false">IF($D1003&lt;&gt;1,"",IF($G1003="ROKS",$R1003,IF($AI1003=1,0,MAX($N1003,$L1003-SUMIFS(TblApplications[CPU IKS libérable (vCPU)],TblApplications[Cluster IKS source],$F1003,TblApplications[Action],"À migrer",TblApplications[Mois prov (calc)],"&lt;="&amp;$E1003)-SUMIFS(TblApplications[CPU IKS libérable (vCPU)],TblApplications[Cluster IKS source],$F1003,TblApplications[Action],"À décommissionner",TblApplications[Mois lib (calc)],"&lt;="&amp;$E1003)))))</f>
        <v/>
      </c>
      <c r="Y1003" s="14" t="str">
        <f aca="false">IF($D1003&lt;&gt;1,"",IF($G1003="ROKS",$S1003,IF($AI1003=1,0,MAX($O1003,$M1003-SUMIFS(TblApplications[RAM IKS libérable (Go)],TblApplications[Cluster IKS source],$F1003,TblApplications[Action],"À migrer",TblApplications[Mois prov (calc)],"&lt;="&amp;$E1003)-SUMIFS(TblApplications[RAM IKS libérable (Go)],TblApplications[Cluster IKS source],$F1003,TblApplications[Action],"À décommissionner",TblApplications[Mois lib (calc)],"&lt;="&amp;$E1003)))))</f>
        <v/>
      </c>
      <c r="Z1003" s="14" t="str">
        <f aca="false">IF($D1003&lt;&gt;1,"",IF($AI1003=1,0,MAX($J1003,ROUNDUP(MAX($X1003/$H1003,$Y1003/$I1003),0))))</f>
        <v/>
      </c>
      <c r="AA1003" s="84" t="str">
        <f aca="false">IF($D1003&lt;&gt;1,"",IF(p_mode="Nœud",$Z1003*$K1003,$X1003*IF($G1003="IKS",p_iks_cpu,p_roks_cpu)+$Y1003*IF($G1003="IKS",p_iks_ram,p_roks_ram))*p_facteur)</f>
        <v/>
      </c>
      <c r="AB1003" s="14" t="str">
        <f aca="false">IF($D1003&lt;&gt;1,"",MAX($J1003,ROUNDUP(MAX($L1003/$H1003,$M1003/$I1003),0)))</f>
        <v/>
      </c>
      <c r="AC1003" s="84" t="str">
        <f aca="false">IF($D1003&lt;&gt;1,"",IF(p_mode="Nœud",$AB1003*$K1003,$L1003*IF($G1003="IKS",p_iks_cpu,p_roks_cpu)+$M1003*IF($G1003="IKS",p_iks_ram,p_roks_ram))*p_facteur)</f>
        <v/>
      </c>
      <c r="AD1003" s="14" t="str">
        <f aca="false">IF($D1003&lt;&gt;1,"",IF(AND($G1003="IKS",$AI1003&lt;&gt;1,OR($L1003-$P1003&lt;$N1003,$M1003-$Q1003&lt;$O1003)),1,0))</f>
        <v/>
      </c>
      <c r="AE1003" s="14" t="str">
        <f aca="false">IF($D1003&lt;&gt;1,"",IF(AND($G1003="ROKS",$T1003&gt;p_maxworkers),1,0))</f>
        <v/>
      </c>
      <c r="AF1003" s="14" t="str">
        <f aca="false">IF($D1003&lt;&gt;1,"",IF(INDEX(TblClusters[Environnement],$B1003)="","(vide)",INDEX(TblClusters[Environnement],$B1003)))</f>
        <v/>
      </c>
      <c r="AG1003" s="14" t="str">
        <f aca="false">IF($D1003&lt;&gt;1,"",$R1003+p_poidsram*$S1003)</f>
        <v/>
      </c>
      <c r="AH1003" s="14" t="str">
        <f aca="false">IF($D1003&lt;&gt;1,"",IFERROR($W1003/$AG1003,0))</f>
        <v/>
      </c>
      <c r="AI1003" s="14" t="str">
        <f aca="false">IF($D1003&lt;&gt;1,"",IF(AND($G1003="IKS",ISNUMBER(INDEX(TblClusters[Fermeture retenue],$B1003))),IF($E1003&gt;=INDEX(TblClusters[Fermeture retenue],$B1003),1,0),0))</f>
        <v/>
      </c>
    </row>
    <row r="1004" customFormat="false" ht="15" hidden="false" customHeight="false" outlineLevel="0" collapsed="false">
      <c r="A1004" s="14" t="n">
        <v>999</v>
      </c>
      <c r="B1004" s="14" t="n">
        <f aca="false">INT(($A1004-1)/36)+1</f>
        <v>28</v>
      </c>
      <c r="C1004" s="14" t="n">
        <f aca="false">MOD($A1004-1,36)+1</f>
        <v>27</v>
      </c>
      <c r="D1004" s="14" t="n">
        <f aca="false">IF($C1004&gt;p_horizon,0,IFERROR(IF(AND(INDEX(TblClusters[Cluster],$B1004)&lt;&gt;"",ISNUMBER(INDEX(TblClusters[CPU initial (vCPU)],$B1004)),ISNUMBER(INDEX(TblClusters[CPU min (vCPU)],$B1004)),OR(INDEX(TblClusters[Plateforme],$B1004)="IKS",INDEX(TblClusters[Plateforme],$B1004)="ROKS")),1,0),0))</f>
        <v>0</v>
      </c>
      <c r="E1004" s="83" t="str">
        <f aca="false">IF($D1004=1,EDATE(p_debut,$C1004-1),"")</f>
        <v/>
      </c>
      <c r="F1004" s="14" t="str">
        <f aca="false">IF($D1004=1,INDEX(TblClusters[Cluster],$B1004),"")</f>
        <v/>
      </c>
      <c r="G1004" s="14" t="str">
        <f aca="false">IF($D1004=1,INDEX(TblClusters[Plateforme],$B1004),"")</f>
        <v/>
      </c>
      <c r="H1004" s="14" t="str">
        <f aca="false">IF($D1004=1,INDEX(TblClusters[vCPU par nœud],$B1004),"")</f>
        <v/>
      </c>
      <c r="I1004" s="14" t="str">
        <f aca="false">IF($D1004=1,INDEX(TblClusters[RAM par nœud (Go)],$B1004),"")</f>
        <v/>
      </c>
      <c r="J1004" s="14" t="str">
        <f aca="false">IF($D1004=1,INDEX(TblClusters[Workers min],$B1004),"")</f>
        <v/>
      </c>
      <c r="K1004" s="84" t="str">
        <f aca="false">IF($D1004=1,INDEX(TblClusters[Tarif par nœud],$B1004),"")</f>
        <v/>
      </c>
      <c r="L1004" s="14" t="str">
        <f aca="false">IF($D1004=1,INDEX(TblClusters[CPU initial (vCPU)],$B1004),"")</f>
        <v/>
      </c>
      <c r="M1004" s="14" t="str">
        <f aca="false">IF($D1004=1,INDEX(TblClusters[RAM initiale (Go)],$B1004),"")</f>
        <v/>
      </c>
      <c r="N1004" s="14" t="str">
        <f aca="false">IF($D1004=1,INDEX(TblClusters[CPU min (vCPU)],$B1004),"")</f>
        <v/>
      </c>
      <c r="O1004" s="14" t="str">
        <f aca="false">IF($D1004=1,INDEX(TblClusters[RAM min (Go)],$B1004),"")</f>
        <v/>
      </c>
      <c r="P1004" s="14" t="str">
        <f aca="false">IF($D1004&lt;&gt;1,"",IF($G1004="ROKS",SUMIFS(TblApplications[Besoin ROKS CPU (vCPU)],TblApplications[Cluster ROKS cible],$F1004,TblApplications[Action],"À migrer",TblApplications[Déjà incluse ROKS],"Non",TblApplications[Mois prov (calc)],"&lt;="&amp;$E1004),SUMIFS(TblApplications[CPU IKS libérable (vCPU)],TblApplications[Cluster IKS source],$F1004,TblApplications[Mois lib (calc)],"&lt;="&amp;$E1004)))</f>
        <v/>
      </c>
      <c r="Q1004" s="14" t="str">
        <f aca="false">IF($D1004&lt;&gt;1,"",IF($G1004="ROKS",SUMIFS(TblApplications[Besoin ROKS RAM (Go)],TblApplications[Cluster ROKS cible],$F1004,TblApplications[Action],"À migrer",TblApplications[Déjà incluse ROKS],"Non",TblApplications[Mois prov (calc)],"&lt;="&amp;$E1004),SUMIFS(TblApplications[RAM IKS libérable (Go)],TblApplications[Cluster IKS source],$F1004,TblApplications[Mois lib (calc)],"&lt;="&amp;$E1004)))</f>
        <v/>
      </c>
      <c r="R1004" s="14" t="str">
        <f aca="false">IF($D1004&lt;&gt;1,"",IF($G1004="ROKS",$L1004+$P1004,IF($AI1004=1,0,MAX($N1004,$L1004-$P1004))))</f>
        <v/>
      </c>
      <c r="S1004" s="14" t="str">
        <f aca="false">IF($D1004&lt;&gt;1,"",IF($G1004="ROKS",$M1004+$Q1004,IF($AI1004=1,0,MAX($O1004,$M1004-$Q1004))))</f>
        <v/>
      </c>
      <c r="T1004" s="14" t="str">
        <f aca="false">IF($D1004&lt;&gt;1,"",IF($AI1004=1,0,MAX($J1004,ROUNDUP(MAX($R1004/$H1004,$S1004/$I1004),0))))</f>
        <v/>
      </c>
      <c r="U1004" s="14" t="str">
        <f aca="false">IF($D1004&lt;&gt;1,"",IF(p_mode="Nœud",$T1004*$H1004,$R1004))</f>
        <v/>
      </c>
      <c r="V1004" s="14" t="str">
        <f aca="false">IF($D1004&lt;&gt;1,"",IF(p_mode="Nœud",$T1004*$I1004,$S1004))</f>
        <v/>
      </c>
      <c r="W1004" s="84" t="str">
        <f aca="false">IF($D1004&lt;&gt;1,"",IF(p_mode="Nœud",$T1004*$K1004,$R1004*IF($G1004="IKS",p_iks_cpu,p_roks_cpu)+$S1004*IF($G1004="IKS",p_iks_ram,p_roks_ram))*p_facteur)</f>
        <v/>
      </c>
      <c r="X1004" s="14" t="str">
        <f aca="false">IF($D1004&lt;&gt;1,"",IF($G1004="ROKS",$R1004,IF($AI1004=1,0,MAX($N1004,$L1004-SUMIFS(TblApplications[CPU IKS libérable (vCPU)],TblApplications[Cluster IKS source],$F1004,TblApplications[Action],"À migrer",TblApplications[Mois prov (calc)],"&lt;="&amp;$E1004)-SUMIFS(TblApplications[CPU IKS libérable (vCPU)],TblApplications[Cluster IKS source],$F1004,TblApplications[Action],"À décommissionner",TblApplications[Mois lib (calc)],"&lt;="&amp;$E1004)))))</f>
        <v/>
      </c>
      <c r="Y1004" s="14" t="str">
        <f aca="false">IF($D1004&lt;&gt;1,"",IF($G1004="ROKS",$S1004,IF($AI1004=1,0,MAX($O1004,$M1004-SUMIFS(TblApplications[RAM IKS libérable (Go)],TblApplications[Cluster IKS source],$F1004,TblApplications[Action],"À migrer",TblApplications[Mois prov (calc)],"&lt;="&amp;$E1004)-SUMIFS(TblApplications[RAM IKS libérable (Go)],TblApplications[Cluster IKS source],$F1004,TblApplications[Action],"À décommissionner",TblApplications[Mois lib (calc)],"&lt;="&amp;$E1004)))))</f>
        <v/>
      </c>
      <c r="Z1004" s="14" t="str">
        <f aca="false">IF($D1004&lt;&gt;1,"",IF($AI1004=1,0,MAX($J1004,ROUNDUP(MAX($X1004/$H1004,$Y1004/$I1004),0))))</f>
        <v/>
      </c>
      <c r="AA1004" s="84" t="str">
        <f aca="false">IF($D1004&lt;&gt;1,"",IF(p_mode="Nœud",$Z1004*$K1004,$X1004*IF($G1004="IKS",p_iks_cpu,p_roks_cpu)+$Y1004*IF($G1004="IKS",p_iks_ram,p_roks_ram))*p_facteur)</f>
        <v/>
      </c>
      <c r="AB1004" s="14" t="str">
        <f aca="false">IF($D1004&lt;&gt;1,"",MAX($J1004,ROUNDUP(MAX($L1004/$H1004,$M1004/$I1004),0)))</f>
        <v/>
      </c>
      <c r="AC1004" s="84" t="str">
        <f aca="false">IF($D1004&lt;&gt;1,"",IF(p_mode="Nœud",$AB1004*$K1004,$L1004*IF($G1004="IKS",p_iks_cpu,p_roks_cpu)+$M1004*IF($G1004="IKS",p_iks_ram,p_roks_ram))*p_facteur)</f>
        <v/>
      </c>
      <c r="AD1004" s="14" t="str">
        <f aca="false">IF($D1004&lt;&gt;1,"",IF(AND($G1004="IKS",$AI1004&lt;&gt;1,OR($L1004-$P1004&lt;$N1004,$M1004-$Q1004&lt;$O1004)),1,0))</f>
        <v/>
      </c>
      <c r="AE1004" s="14" t="str">
        <f aca="false">IF($D1004&lt;&gt;1,"",IF(AND($G1004="ROKS",$T1004&gt;p_maxworkers),1,0))</f>
        <v/>
      </c>
      <c r="AF1004" s="14" t="str">
        <f aca="false">IF($D1004&lt;&gt;1,"",IF(INDEX(TblClusters[Environnement],$B1004)="","(vide)",INDEX(TblClusters[Environnement],$B1004)))</f>
        <v/>
      </c>
      <c r="AG1004" s="14" t="str">
        <f aca="false">IF($D1004&lt;&gt;1,"",$R1004+p_poidsram*$S1004)</f>
        <v/>
      </c>
      <c r="AH1004" s="14" t="str">
        <f aca="false">IF($D1004&lt;&gt;1,"",IFERROR($W1004/$AG1004,0))</f>
        <v/>
      </c>
      <c r="AI1004" s="14" t="str">
        <f aca="false">IF($D1004&lt;&gt;1,"",IF(AND($G1004="IKS",ISNUMBER(INDEX(TblClusters[Fermeture retenue],$B1004))),IF($E1004&gt;=INDEX(TblClusters[Fermeture retenue],$B1004),1,0),0))</f>
        <v/>
      </c>
    </row>
    <row r="1005" customFormat="false" ht="15" hidden="false" customHeight="false" outlineLevel="0" collapsed="false">
      <c r="A1005" s="14" t="n">
        <v>1000</v>
      </c>
      <c r="B1005" s="14" t="n">
        <f aca="false">INT(($A1005-1)/36)+1</f>
        <v>28</v>
      </c>
      <c r="C1005" s="14" t="n">
        <f aca="false">MOD($A1005-1,36)+1</f>
        <v>28</v>
      </c>
      <c r="D1005" s="14" t="n">
        <f aca="false">IF($C1005&gt;p_horizon,0,IFERROR(IF(AND(INDEX(TblClusters[Cluster],$B1005)&lt;&gt;"",ISNUMBER(INDEX(TblClusters[CPU initial (vCPU)],$B1005)),ISNUMBER(INDEX(TblClusters[CPU min (vCPU)],$B1005)),OR(INDEX(TblClusters[Plateforme],$B1005)="IKS",INDEX(TblClusters[Plateforme],$B1005)="ROKS")),1,0),0))</f>
        <v>0</v>
      </c>
      <c r="E1005" s="83" t="str">
        <f aca="false">IF($D1005=1,EDATE(p_debut,$C1005-1),"")</f>
        <v/>
      </c>
      <c r="F1005" s="14" t="str">
        <f aca="false">IF($D1005=1,INDEX(TblClusters[Cluster],$B1005),"")</f>
        <v/>
      </c>
      <c r="G1005" s="14" t="str">
        <f aca="false">IF($D1005=1,INDEX(TblClusters[Plateforme],$B1005),"")</f>
        <v/>
      </c>
      <c r="H1005" s="14" t="str">
        <f aca="false">IF($D1005=1,INDEX(TblClusters[vCPU par nœud],$B1005),"")</f>
        <v/>
      </c>
      <c r="I1005" s="14" t="str">
        <f aca="false">IF($D1005=1,INDEX(TblClusters[RAM par nœud (Go)],$B1005),"")</f>
        <v/>
      </c>
      <c r="J1005" s="14" t="str">
        <f aca="false">IF($D1005=1,INDEX(TblClusters[Workers min],$B1005),"")</f>
        <v/>
      </c>
      <c r="K1005" s="84" t="str">
        <f aca="false">IF($D1005=1,INDEX(TblClusters[Tarif par nœud],$B1005),"")</f>
        <v/>
      </c>
      <c r="L1005" s="14" t="str">
        <f aca="false">IF($D1005=1,INDEX(TblClusters[CPU initial (vCPU)],$B1005),"")</f>
        <v/>
      </c>
      <c r="M1005" s="14" t="str">
        <f aca="false">IF($D1005=1,INDEX(TblClusters[RAM initiale (Go)],$B1005),"")</f>
        <v/>
      </c>
      <c r="N1005" s="14" t="str">
        <f aca="false">IF($D1005=1,INDEX(TblClusters[CPU min (vCPU)],$B1005),"")</f>
        <v/>
      </c>
      <c r="O1005" s="14" t="str">
        <f aca="false">IF($D1005=1,INDEX(TblClusters[RAM min (Go)],$B1005),"")</f>
        <v/>
      </c>
      <c r="P1005" s="14" t="str">
        <f aca="false">IF($D1005&lt;&gt;1,"",IF($G1005="ROKS",SUMIFS(TblApplications[Besoin ROKS CPU (vCPU)],TblApplications[Cluster ROKS cible],$F1005,TblApplications[Action],"À migrer",TblApplications[Déjà incluse ROKS],"Non",TblApplications[Mois prov (calc)],"&lt;="&amp;$E1005),SUMIFS(TblApplications[CPU IKS libérable (vCPU)],TblApplications[Cluster IKS source],$F1005,TblApplications[Mois lib (calc)],"&lt;="&amp;$E1005)))</f>
        <v/>
      </c>
      <c r="Q1005" s="14" t="str">
        <f aca="false">IF($D1005&lt;&gt;1,"",IF($G1005="ROKS",SUMIFS(TblApplications[Besoin ROKS RAM (Go)],TblApplications[Cluster ROKS cible],$F1005,TblApplications[Action],"À migrer",TblApplications[Déjà incluse ROKS],"Non",TblApplications[Mois prov (calc)],"&lt;="&amp;$E1005),SUMIFS(TblApplications[RAM IKS libérable (Go)],TblApplications[Cluster IKS source],$F1005,TblApplications[Mois lib (calc)],"&lt;="&amp;$E1005)))</f>
        <v/>
      </c>
      <c r="R1005" s="14" t="str">
        <f aca="false">IF($D1005&lt;&gt;1,"",IF($G1005="ROKS",$L1005+$P1005,IF($AI1005=1,0,MAX($N1005,$L1005-$P1005))))</f>
        <v/>
      </c>
      <c r="S1005" s="14" t="str">
        <f aca="false">IF($D1005&lt;&gt;1,"",IF($G1005="ROKS",$M1005+$Q1005,IF($AI1005=1,0,MAX($O1005,$M1005-$Q1005))))</f>
        <v/>
      </c>
      <c r="T1005" s="14" t="str">
        <f aca="false">IF($D1005&lt;&gt;1,"",IF($AI1005=1,0,MAX($J1005,ROUNDUP(MAX($R1005/$H1005,$S1005/$I1005),0))))</f>
        <v/>
      </c>
      <c r="U1005" s="14" t="str">
        <f aca="false">IF($D1005&lt;&gt;1,"",IF(p_mode="Nœud",$T1005*$H1005,$R1005))</f>
        <v/>
      </c>
      <c r="V1005" s="14" t="str">
        <f aca="false">IF($D1005&lt;&gt;1,"",IF(p_mode="Nœud",$T1005*$I1005,$S1005))</f>
        <v/>
      </c>
      <c r="W1005" s="84" t="str">
        <f aca="false">IF($D1005&lt;&gt;1,"",IF(p_mode="Nœud",$T1005*$K1005,$R1005*IF($G1005="IKS",p_iks_cpu,p_roks_cpu)+$S1005*IF($G1005="IKS",p_iks_ram,p_roks_ram))*p_facteur)</f>
        <v/>
      </c>
      <c r="X1005" s="14" t="str">
        <f aca="false">IF($D1005&lt;&gt;1,"",IF($G1005="ROKS",$R1005,IF($AI1005=1,0,MAX($N1005,$L1005-SUMIFS(TblApplications[CPU IKS libérable (vCPU)],TblApplications[Cluster IKS source],$F1005,TblApplications[Action],"À migrer",TblApplications[Mois prov (calc)],"&lt;="&amp;$E1005)-SUMIFS(TblApplications[CPU IKS libérable (vCPU)],TblApplications[Cluster IKS source],$F1005,TblApplications[Action],"À décommissionner",TblApplications[Mois lib (calc)],"&lt;="&amp;$E1005)))))</f>
        <v/>
      </c>
      <c r="Y1005" s="14" t="str">
        <f aca="false">IF($D1005&lt;&gt;1,"",IF($G1005="ROKS",$S1005,IF($AI1005=1,0,MAX($O1005,$M1005-SUMIFS(TblApplications[RAM IKS libérable (Go)],TblApplications[Cluster IKS source],$F1005,TblApplications[Action],"À migrer",TblApplications[Mois prov (calc)],"&lt;="&amp;$E1005)-SUMIFS(TblApplications[RAM IKS libérable (Go)],TblApplications[Cluster IKS source],$F1005,TblApplications[Action],"À décommissionner",TblApplications[Mois lib (calc)],"&lt;="&amp;$E1005)))))</f>
        <v/>
      </c>
      <c r="Z1005" s="14" t="str">
        <f aca="false">IF($D1005&lt;&gt;1,"",IF($AI1005=1,0,MAX($J1005,ROUNDUP(MAX($X1005/$H1005,$Y1005/$I1005),0))))</f>
        <v/>
      </c>
      <c r="AA1005" s="84" t="str">
        <f aca="false">IF($D1005&lt;&gt;1,"",IF(p_mode="Nœud",$Z1005*$K1005,$X1005*IF($G1005="IKS",p_iks_cpu,p_roks_cpu)+$Y1005*IF($G1005="IKS",p_iks_ram,p_roks_ram))*p_facteur)</f>
        <v/>
      </c>
      <c r="AB1005" s="14" t="str">
        <f aca="false">IF($D1005&lt;&gt;1,"",MAX($J1005,ROUNDUP(MAX($L1005/$H1005,$M1005/$I1005),0)))</f>
        <v/>
      </c>
      <c r="AC1005" s="84" t="str">
        <f aca="false">IF($D1005&lt;&gt;1,"",IF(p_mode="Nœud",$AB1005*$K1005,$L1005*IF($G1005="IKS",p_iks_cpu,p_roks_cpu)+$M1005*IF($G1005="IKS",p_iks_ram,p_roks_ram))*p_facteur)</f>
        <v/>
      </c>
      <c r="AD1005" s="14" t="str">
        <f aca="false">IF($D1005&lt;&gt;1,"",IF(AND($G1005="IKS",$AI1005&lt;&gt;1,OR($L1005-$P1005&lt;$N1005,$M1005-$Q1005&lt;$O1005)),1,0))</f>
        <v/>
      </c>
      <c r="AE1005" s="14" t="str">
        <f aca="false">IF($D1005&lt;&gt;1,"",IF(AND($G1005="ROKS",$T1005&gt;p_maxworkers),1,0))</f>
        <v/>
      </c>
      <c r="AF1005" s="14" t="str">
        <f aca="false">IF($D1005&lt;&gt;1,"",IF(INDEX(TblClusters[Environnement],$B1005)="","(vide)",INDEX(TblClusters[Environnement],$B1005)))</f>
        <v/>
      </c>
      <c r="AG1005" s="14" t="str">
        <f aca="false">IF($D1005&lt;&gt;1,"",$R1005+p_poidsram*$S1005)</f>
        <v/>
      </c>
      <c r="AH1005" s="14" t="str">
        <f aca="false">IF($D1005&lt;&gt;1,"",IFERROR($W1005/$AG1005,0))</f>
        <v/>
      </c>
      <c r="AI1005" s="14" t="str">
        <f aca="false">IF($D1005&lt;&gt;1,"",IF(AND($G1005="IKS",ISNUMBER(INDEX(TblClusters[Fermeture retenue],$B1005))),IF($E1005&gt;=INDEX(TblClusters[Fermeture retenue],$B1005),1,0),0))</f>
        <v/>
      </c>
    </row>
    <row r="1006" customFormat="false" ht="15" hidden="false" customHeight="false" outlineLevel="0" collapsed="false">
      <c r="A1006" s="14" t="n">
        <v>1001</v>
      </c>
      <c r="B1006" s="14" t="n">
        <f aca="false">INT(($A1006-1)/36)+1</f>
        <v>28</v>
      </c>
      <c r="C1006" s="14" t="n">
        <f aca="false">MOD($A1006-1,36)+1</f>
        <v>29</v>
      </c>
      <c r="D1006" s="14" t="n">
        <f aca="false">IF($C1006&gt;p_horizon,0,IFERROR(IF(AND(INDEX(TblClusters[Cluster],$B1006)&lt;&gt;"",ISNUMBER(INDEX(TblClusters[CPU initial (vCPU)],$B1006)),ISNUMBER(INDEX(TblClusters[CPU min (vCPU)],$B1006)),OR(INDEX(TblClusters[Plateforme],$B1006)="IKS",INDEX(TblClusters[Plateforme],$B1006)="ROKS")),1,0),0))</f>
        <v>0</v>
      </c>
      <c r="E1006" s="83" t="str">
        <f aca="false">IF($D1006=1,EDATE(p_debut,$C1006-1),"")</f>
        <v/>
      </c>
      <c r="F1006" s="14" t="str">
        <f aca="false">IF($D1006=1,INDEX(TblClusters[Cluster],$B1006),"")</f>
        <v/>
      </c>
      <c r="G1006" s="14" t="str">
        <f aca="false">IF($D1006=1,INDEX(TblClusters[Plateforme],$B1006),"")</f>
        <v/>
      </c>
      <c r="H1006" s="14" t="str">
        <f aca="false">IF($D1006=1,INDEX(TblClusters[vCPU par nœud],$B1006),"")</f>
        <v/>
      </c>
      <c r="I1006" s="14" t="str">
        <f aca="false">IF($D1006=1,INDEX(TblClusters[RAM par nœud (Go)],$B1006),"")</f>
        <v/>
      </c>
      <c r="J1006" s="14" t="str">
        <f aca="false">IF($D1006=1,INDEX(TblClusters[Workers min],$B1006),"")</f>
        <v/>
      </c>
      <c r="K1006" s="84" t="str">
        <f aca="false">IF($D1006=1,INDEX(TblClusters[Tarif par nœud],$B1006),"")</f>
        <v/>
      </c>
      <c r="L1006" s="14" t="str">
        <f aca="false">IF($D1006=1,INDEX(TblClusters[CPU initial (vCPU)],$B1006),"")</f>
        <v/>
      </c>
      <c r="M1006" s="14" t="str">
        <f aca="false">IF($D1006=1,INDEX(TblClusters[RAM initiale (Go)],$B1006),"")</f>
        <v/>
      </c>
      <c r="N1006" s="14" t="str">
        <f aca="false">IF($D1006=1,INDEX(TblClusters[CPU min (vCPU)],$B1006),"")</f>
        <v/>
      </c>
      <c r="O1006" s="14" t="str">
        <f aca="false">IF($D1006=1,INDEX(TblClusters[RAM min (Go)],$B1006),"")</f>
        <v/>
      </c>
      <c r="P1006" s="14" t="str">
        <f aca="false">IF($D1006&lt;&gt;1,"",IF($G1006="ROKS",SUMIFS(TblApplications[Besoin ROKS CPU (vCPU)],TblApplications[Cluster ROKS cible],$F1006,TblApplications[Action],"À migrer",TblApplications[Déjà incluse ROKS],"Non",TblApplications[Mois prov (calc)],"&lt;="&amp;$E1006),SUMIFS(TblApplications[CPU IKS libérable (vCPU)],TblApplications[Cluster IKS source],$F1006,TblApplications[Mois lib (calc)],"&lt;="&amp;$E1006)))</f>
        <v/>
      </c>
      <c r="Q1006" s="14" t="str">
        <f aca="false">IF($D1006&lt;&gt;1,"",IF($G1006="ROKS",SUMIFS(TblApplications[Besoin ROKS RAM (Go)],TblApplications[Cluster ROKS cible],$F1006,TblApplications[Action],"À migrer",TblApplications[Déjà incluse ROKS],"Non",TblApplications[Mois prov (calc)],"&lt;="&amp;$E1006),SUMIFS(TblApplications[RAM IKS libérable (Go)],TblApplications[Cluster IKS source],$F1006,TblApplications[Mois lib (calc)],"&lt;="&amp;$E1006)))</f>
        <v/>
      </c>
      <c r="R1006" s="14" t="str">
        <f aca="false">IF($D1006&lt;&gt;1,"",IF($G1006="ROKS",$L1006+$P1006,IF($AI1006=1,0,MAX($N1006,$L1006-$P1006))))</f>
        <v/>
      </c>
      <c r="S1006" s="14" t="str">
        <f aca="false">IF($D1006&lt;&gt;1,"",IF($G1006="ROKS",$M1006+$Q1006,IF($AI1006=1,0,MAX($O1006,$M1006-$Q1006))))</f>
        <v/>
      </c>
      <c r="T1006" s="14" t="str">
        <f aca="false">IF($D1006&lt;&gt;1,"",IF($AI1006=1,0,MAX($J1006,ROUNDUP(MAX($R1006/$H1006,$S1006/$I1006),0))))</f>
        <v/>
      </c>
      <c r="U1006" s="14" t="str">
        <f aca="false">IF($D1006&lt;&gt;1,"",IF(p_mode="Nœud",$T1006*$H1006,$R1006))</f>
        <v/>
      </c>
      <c r="V1006" s="14" t="str">
        <f aca="false">IF($D1006&lt;&gt;1,"",IF(p_mode="Nœud",$T1006*$I1006,$S1006))</f>
        <v/>
      </c>
      <c r="W1006" s="84" t="str">
        <f aca="false">IF($D1006&lt;&gt;1,"",IF(p_mode="Nœud",$T1006*$K1006,$R1006*IF($G1006="IKS",p_iks_cpu,p_roks_cpu)+$S1006*IF($G1006="IKS",p_iks_ram,p_roks_ram))*p_facteur)</f>
        <v/>
      </c>
      <c r="X1006" s="14" t="str">
        <f aca="false">IF($D1006&lt;&gt;1,"",IF($G1006="ROKS",$R1006,IF($AI1006=1,0,MAX($N1006,$L1006-SUMIFS(TblApplications[CPU IKS libérable (vCPU)],TblApplications[Cluster IKS source],$F1006,TblApplications[Action],"À migrer",TblApplications[Mois prov (calc)],"&lt;="&amp;$E1006)-SUMIFS(TblApplications[CPU IKS libérable (vCPU)],TblApplications[Cluster IKS source],$F1006,TblApplications[Action],"À décommissionner",TblApplications[Mois lib (calc)],"&lt;="&amp;$E1006)))))</f>
        <v/>
      </c>
      <c r="Y1006" s="14" t="str">
        <f aca="false">IF($D1006&lt;&gt;1,"",IF($G1006="ROKS",$S1006,IF($AI1006=1,0,MAX($O1006,$M1006-SUMIFS(TblApplications[RAM IKS libérable (Go)],TblApplications[Cluster IKS source],$F1006,TblApplications[Action],"À migrer",TblApplications[Mois prov (calc)],"&lt;="&amp;$E1006)-SUMIFS(TblApplications[RAM IKS libérable (Go)],TblApplications[Cluster IKS source],$F1006,TblApplications[Action],"À décommissionner",TblApplications[Mois lib (calc)],"&lt;="&amp;$E1006)))))</f>
        <v/>
      </c>
      <c r="Z1006" s="14" t="str">
        <f aca="false">IF($D1006&lt;&gt;1,"",IF($AI1006=1,0,MAX($J1006,ROUNDUP(MAX($X1006/$H1006,$Y1006/$I1006),0))))</f>
        <v/>
      </c>
      <c r="AA1006" s="84" t="str">
        <f aca="false">IF($D1006&lt;&gt;1,"",IF(p_mode="Nœud",$Z1006*$K1006,$X1006*IF($G1006="IKS",p_iks_cpu,p_roks_cpu)+$Y1006*IF($G1006="IKS",p_iks_ram,p_roks_ram))*p_facteur)</f>
        <v/>
      </c>
      <c r="AB1006" s="14" t="str">
        <f aca="false">IF($D1006&lt;&gt;1,"",MAX($J1006,ROUNDUP(MAX($L1006/$H1006,$M1006/$I1006),0)))</f>
        <v/>
      </c>
      <c r="AC1006" s="84" t="str">
        <f aca="false">IF($D1006&lt;&gt;1,"",IF(p_mode="Nœud",$AB1006*$K1006,$L1006*IF($G1006="IKS",p_iks_cpu,p_roks_cpu)+$M1006*IF($G1006="IKS",p_iks_ram,p_roks_ram))*p_facteur)</f>
        <v/>
      </c>
      <c r="AD1006" s="14" t="str">
        <f aca="false">IF($D1006&lt;&gt;1,"",IF(AND($G1006="IKS",$AI1006&lt;&gt;1,OR($L1006-$P1006&lt;$N1006,$M1006-$Q1006&lt;$O1006)),1,0))</f>
        <v/>
      </c>
      <c r="AE1006" s="14" t="str">
        <f aca="false">IF($D1006&lt;&gt;1,"",IF(AND($G1006="ROKS",$T1006&gt;p_maxworkers),1,0))</f>
        <v/>
      </c>
      <c r="AF1006" s="14" t="str">
        <f aca="false">IF($D1006&lt;&gt;1,"",IF(INDEX(TblClusters[Environnement],$B1006)="","(vide)",INDEX(TblClusters[Environnement],$B1006)))</f>
        <v/>
      </c>
      <c r="AG1006" s="14" t="str">
        <f aca="false">IF($D1006&lt;&gt;1,"",$R1006+p_poidsram*$S1006)</f>
        <v/>
      </c>
      <c r="AH1006" s="14" t="str">
        <f aca="false">IF($D1006&lt;&gt;1,"",IFERROR($W1006/$AG1006,0))</f>
        <v/>
      </c>
      <c r="AI1006" s="14" t="str">
        <f aca="false">IF($D1006&lt;&gt;1,"",IF(AND($G1006="IKS",ISNUMBER(INDEX(TblClusters[Fermeture retenue],$B1006))),IF($E1006&gt;=INDEX(TblClusters[Fermeture retenue],$B1006),1,0),0))</f>
        <v/>
      </c>
    </row>
    <row r="1007" customFormat="false" ht="15" hidden="false" customHeight="false" outlineLevel="0" collapsed="false">
      <c r="A1007" s="14" t="n">
        <v>1002</v>
      </c>
      <c r="B1007" s="14" t="n">
        <f aca="false">INT(($A1007-1)/36)+1</f>
        <v>28</v>
      </c>
      <c r="C1007" s="14" t="n">
        <f aca="false">MOD($A1007-1,36)+1</f>
        <v>30</v>
      </c>
      <c r="D1007" s="14" t="n">
        <f aca="false">IF($C1007&gt;p_horizon,0,IFERROR(IF(AND(INDEX(TblClusters[Cluster],$B1007)&lt;&gt;"",ISNUMBER(INDEX(TblClusters[CPU initial (vCPU)],$B1007)),ISNUMBER(INDEX(TblClusters[CPU min (vCPU)],$B1007)),OR(INDEX(TblClusters[Plateforme],$B1007)="IKS",INDEX(TblClusters[Plateforme],$B1007)="ROKS")),1,0),0))</f>
        <v>0</v>
      </c>
      <c r="E1007" s="83" t="str">
        <f aca="false">IF($D1007=1,EDATE(p_debut,$C1007-1),"")</f>
        <v/>
      </c>
      <c r="F1007" s="14" t="str">
        <f aca="false">IF($D1007=1,INDEX(TblClusters[Cluster],$B1007),"")</f>
        <v/>
      </c>
      <c r="G1007" s="14" t="str">
        <f aca="false">IF($D1007=1,INDEX(TblClusters[Plateforme],$B1007),"")</f>
        <v/>
      </c>
      <c r="H1007" s="14" t="str">
        <f aca="false">IF($D1007=1,INDEX(TblClusters[vCPU par nœud],$B1007),"")</f>
        <v/>
      </c>
      <c r="I1007" s="14" t="str">
        <f aca="false">IF($D1007=1,INDEX(TblClusters[RAM par nœud (Go)],$B1007),"")</f>
        <v/>
      </c>
      <c r="J1007" s="14" t="str">
        <f aca="false">IF($D1007=1,INDEX(TblClusters[Workers min],$B1007),"")</f>
        <v/>
      </c>
      <c r="K1007" s="84" t="str">
        <f aca="false">IF($D1007=1,INDEX(TblClusters[Tarif par nœud],$B1007),"")</f>
        <v/>
      </c>
      <c r="L1007" s="14" t="str">
        <f aca="false">IF($D1007=1,INDEX(TblClusters[CPU initial (vCPU)],$B1007),"")</f>
        <v/>
      </c>
      <c r="M1007" s="14" t="str">
        <f aca="false">IF($D1007=1,INDEX(TblClusters[RAM initiale (Go)],$B1007),"")</f>
        <v/>
      </c>
      <c r="N1007" s="14" t="str">
        <f aca="false">IF($D1007=1,INDEX(TblClusters[CPU min (vCPU)],$B1007),"")</f>
        <v/>
      </c>
      <c r="O1007" s="14" t="str">
        <f aca="false">IF($D1007=1,INDEX(TblClusters[RAM min (Go)],$B1007),"")</f>
        <v/>
      </c>
      <c r="P1007" s="14" t="str">
        <f aca="false">IF($D1007&lt;&gt;1,"",IF($G1007="ROKS",SUMIFS(TblApplications[Besoin ROKS CPU (vCPU)],TblApplications[Cluster ROKS cible],$F1007,TblApplications[Action],"À migrer",TblApplications[Déjà incluse ROKS],"Non",TblApplications[Mois prov (calc)],"&lt;="&amp;$E1007),SUMIFS(TblApplications[CPU IKS libérable (vCPU)],TblApplications[Cluster IKS source],$F1007,TblApplications[Mois lib (calc)],"&lt;="&amp;$E1007)))</f>
        <v/>
      </c>
      <c r="Q1007" s="14" t="str">
        <f aca="false">IF($D1007&lt;&gt;1,"",IF($G1007="ROKS",SUMIFS(TblApplications[Besoin ROKS RAM (Go)],TblApplications[Cluster ROKS cible],$F1007,TblApplications[Action],"À migrer",TblApplications[Déjà incluse ROKS],"Non",TblApplications[Mois prov (calc)],"&lt;="&amp;$E1007),SUMIFS(TblApplications[RAM IKS libérable (Go)],TblApplications[Cluster IKS source],$F1007,TblApplications[Mois lib (calc)],"&lt;="&amp;$E1007)))</f>
        <v/>
      </c>
      <c r="R1007" s="14" t="str">
        <f aca="false">IF($D1007&lt;&gt;1,"",IF($G1007="ROKS",$L1007+$P1007,IF($AI1007=1,0,MAX($N1007,$L1007-$P1007))))</f>
        <v/>
      </c>
      <c r="S1007" s="14" t="str">
        <f aca="false">IF($D1007&lt;&gt;1,"",IF($G1007="ROKS",$M1007+$Q1007,IF($AI1007=1,0,MAX($O1007,$M1007-$Q1007))))</f>
        <v/>
      </c>
      <c r="T1007" s="14" t="str">
        <f aca="false">IF($D1007&lt;&gt;1,"",IF($AI1007=1,0,MAX($J1007,ROUNDUP(MAX($R1007/$H1007,$S1007/$I1007),0))))</f>
        <v/>
      </c>
      <c r="U1007" s="14" t="str">
        <f aca="false">IF($D1007&lt;&gt;1,"",IF(p_mode="Nœud",$T1007*$H1007,$R1007))</f>
        <v/>
      </c>
      <c r="V1007" s="14" t="str">
        <f aca="false">IF($D1007&lt;&gt;1,"",IF(p_mode="Nœud",$T1007*$I1007,$S1007))</f>
        <v/>
      </c>
      <c r="W1007" s="84" t="str">
        <f aca="false">IF($D1007&lt;&gt;1,"",IF(p_mode="Nœud",$T1007*$K1007,$R1007*IF($G1007="IKS",p_iks_cpu,p_roks_cpu)+$S1007*IF($G1007="IKS",p_iks_ram,p_roks_ram))*p_facteur)</f>
        <v/>
      </c>
      <c r="X1007" s="14" t="str">
        <f aca="false">IF($D1007&lt;&gt;1,"",IF($G1007="ROKS",$R1007,IF($AI1007=1,0,MAX($N1007,$L1007-SUMIFS(TblApplications[CPU IKS libérable (vCPU)],TblApplications[Cluster IKS source],$F1007,TblApplications[Action],"À migrer",TblApplications[Mois prov (calc)],"&lt;="&amp;$E1007)-SUMIFS(TblApplications[CPU IKS libérable (vCPU)],TblApplications[Cluster IKS source],$F1007,TblApplications[Action],"À décommissionner",TblApplications[Mois lib (calc)],"&lt;="&amp;$E1007)))))</f>
        <v/>
      </c>
      <c r="Y1007" s="14" t="str">
        <f aca="false">IF($D1007&lt;&gt;1,"",IF($G1007="ROKS",$S1007,IF($AI1007=1,0,MAX($O1007,$M1007-SUMIFS(TblApplications[RAM IKS libérable (Go)],TblApplications[Cluster IKS source],$F1007,TblApplications[Action],"À migrer",TblApplications[Mois prov (calc)],"&lt;="&amp;$E1007)-SUMIFS(TblApplications[RAM IKS libérable (Go)],TblApplications[Cluster IKS source],$F1007,TblApplications[Action],"À décommissionner",TblApplications[Mois lib (calc)],"&lt;="&amp;$E1007)))))</f>
        <v/>
      </c>
      <c r="Z1007" s="14" t="str">
        <f aca="false">IF($D1007&lt;&gt;1,"",IF($AI1007=1,0,MAX($J1007,ROUNDUP(MAX($X1007/$H1007,$Y1007/$I1007),0))))</f>
        <v/>
      </c>
      <c r="AA1007" s="84" t="str">
        <f aca="false">IF($D1007&lt;&gt;1,"",IF(p_mode="Nœud",$Z1007*$K1007,$X1007*IF($G1007="IKS",p_iks_cpu,p_roks_cpu)+$Y1007*IF($G1007="IKS",p_iks_ram,p_roks_ram))*p_facteur)</f>
        <v/>
      </c>
      <c r="AB1007" s="14" t="str">
        <f aca="false">IF($D1007&lt;&gt;1,"",MAX($J1007,ROUNDUP(MAX($L1007/$H1007,$M1007/$I1007),0)))</f>
        <v/>
      </c>
      <c r="AC1007" s="84" t="str">
        <f aca="false">IF($D1007&lt;&gt;1,"",IF(p_mode="Nœud",$AB1007*$K1007,$L1007*IF($G1007="IKS",p_iks_cpu,p_roks_cpu)+$M1007*IF($G1007="IKS",p_iks_ram,p_roks_ram))*p_facteur)</f>
        <v/>
      </c>
      <c r="AD1007" s="14" t="str">
        <f aca="false">IF($D1007&lt;&gt;1,"",IF(AND($G1007="IKS",$AI1007&lt;&gt;1,OR($L1007-$P1007&lt;$N1007,$M1007-$Q1007&lt;$O1007)),1,0))</f>
        <v/>
      </c>
      <c r="AE1007" s="14" t="str">
        <f aca="false">IF($D1007&lt;&gt;1,"",IF(AND($G1007="ROKS",$T1007&gt;p_maxworkers),1,0))</f>
        <v/>
      </c>
      <c r="AF1007" s="14" t="str">
        <f aca="false">IF($D1007&lt;&gt;1,"",IF(INDEX(TblClusters[Environnement],$B1007)="","(vide)",INDEX(TblClusters[Environnement],$B1007)))</f>
        <v/>
      </c>
      <c r="AG1007" s="14" t="str">
        <f aca="false">IF($D1007&lt;&gt;1,"",$R1007+p_poidsram*$S1007)</f>
        <v/>
      </c>
      <c r="AH1007" s="14" t="str">
        <f aca="false">IF($D1007&lt;&gt;1,"",IFERROR($W1007/$AG1007,0))</f>
        <v/>
      </c>
      <c r="AI1007" s="14" t="str">
        <f aca="false">IF($D1007&lt;&gt;1,"",IF(AND($G1007="IKS",ISNUMBER(INDEX(TblClusters[Fermeture retenue],$B1007))),IF($E1007&gt;=INDEX(TblClusters[Fermeture retenue],$B1007),1,0),0))</f>
        <v/>
      </c>
    </row>
    <row r="1008" customFormat="false" ht="15" hidden="false" customHeight="false" outlineLevel="0" collapsed="false">
      <c r="A1008" s="14" t="n">
        <v>1003</v>
      </c>
      <c r="B1008" s="14" t="n">
        <f aca="false">INT(($A1008-1)/36)+1</f>
        <v>28</v>
      </c>
      <c r="C1008" s="14" t="n">
        <f aca="false">MOD($A1008-1,36)+1</f>
        <v>31</v>
      </c>
      <c r="D1008" s="14" t="n">
        <f aca="false">IF($C1008&gt;p_horizon,0,IFERROR(IF(AND(INDEX(TblClusters[Cluster],$B1008)&lt;&gt;"",ISNUMBER(INDEX(TblClusters[CPU initial (vCPU)],$B1008)),ISNUMBER(INDEX(TblClusters[CPU min (vCPU)],$B1008)),OR(INDEX(TblClusters[Plateforme],$B1008)="IKS",INDEX(TblClusters[Plateforme],$B1008)="ROKS")),1,0),0))</f>
        <v>0</v>
      </c>
      <c r="E1008" s="83" t="str">
        <f aca="false">IF($D1008=1,EDATE(p_debut,$C1008-1),"")</f>
        <v/>
      </c>
      <c r="F1008" s="14" t="str">
        <f aca="false">IF($D1008=1,INDEX(TblClusters[Cluster],$B1008),"")</f>
        <v/>
      </c>
      <c r="G1008" s="14" t="str">
        <f aca="false">IF($D1008=1,INDEX(TblClusters[Plateforme],$B1008),"")</f>
        <v/>
      </c>
      <c r="H1008" s="14" t="str">
        <f aca="false">IF($D1008=1,INDEX(TblClusters[vCPU par nœud],$B1008),"")</f>
        <v/>
      </c>
      <c r="I1008" s="14" t="str">
        <f aca="false">IF($D1008=1,INDEX(TblClusters[RAM par nœud (Go)],$B1008),"")</f>
        <v/>
      </c>
      <c r="J1008" s="14" t="str">
        <f aca="false">IF($D1008=1,INDEX(TblClusters[Workers min],$B1008),"")</f>
        <v/>
      </c>
      <c r="K1008" s="84" t="str">
        <f aca="false">IF($D1008=1,INDEX(TblClusters[Tarif par nœud],$B1008),"")</f>
        <v/>
      </c>
      <c r="L1008" s="14" t="str">
        <f aca="false">IF($D1008=1,INDEX(TblClusters[CPU initial (vCPU)],$B1008),"")</f>
        <v/>
      </c>
      <c r="M1008" s="14" t="str">
        <f aca="false">IF($D1008=1,INDEX(TblClusters[RAM initiale (Go)],$B1008),"")</f>
        <v/>
      </c>
      <c r="N1008" s="14" t="str">
        <f aca="false">IF($D1008=1,INDEX(TblClusters[CPU min (vCPU)],$B1008),"")</f>
        <v/>
      </c>
      <c r="O1008" s="14" t="str">
        <f aca="false">IF($D1008=1,INDEX(TblClusters[RAM min (Go)],$B1008),"")</f>
        <v/>
      </c>
      <c r="P1008" s="14" t="str">
        <f aca="false">IF($D1008&lt;&gt;1,"",IF($G1008="ROKS",SUMIFS(TblApplications[Besoin ROKS CPU (vCPU)],TblApplications[Cluster ROKS cible],$F1008,TblApplications[Action],"À migrer",TblApplications[Déjà incluse ROKS],"Non",TblApplications[Mois prov (calc)],"&lt;="&amp;$E1008),SUMIFS(TblApplications[CPU IKS libérable (vCPU)],TblApplications[Cluster IKS source],$F1008,TblApplications[Mois lib (calc)],"&lt;="&amp;$E1008)))</f>
        <v/>
      </c>
      <c r="Q1008" s="14" t="str">
        <f aca="false">IF($D1008&lt;&gt;1,"",IF($G1008="ROKS",SUMIFS(TblApplications[Besoin ROKS RAM (Go)],TblApplications[Cluster ROKS cible],$F1008,TblApplications[Action],"À migrer",TblApplications[Déjà incluse ROKS],"Non",TblApplications[Mois prov (calc)],"&lt;="&amp;$E1008),SUMIFS(TblApplications[RAM IKS libérable (Go)],TblApplications[Cluster IKS source],$F1008,TblApplications[Mois lib (calc)],"&lt;="&amp;$E1008)))</f>
        <v/>
      </c>
      <c r="R1008" s="14" t="str">
        <f aca="false">IF($D1008&lt;&gt;1,"",IF($G1008="ROKS",$L1008+$P1008,IF($AI1008=1,0,MAX($N1008,$L1008-$P1008))))</f>
        <v/>
      </c>
      <c r="S1008" s="14" t="str">
        <f aca="false">IF($D1008&lt;&gt;1,"",IF($G1008="ROKS",$M1008+$Q1008,IF($AI1008=1,0,MAX($O1008,$M1008-$Q1008))))</f>
        <v/>
      </c>
      <c r="T1008" s="14" t="str">
        <f aca="false">IF($D1008&lt;&gt;1,"",IF($AI1008=1,0,MAX($J1008,ROUNDUP(MAX($R1008/$H1008,$S1008/$I1008),0))))</f>
        <v/>
      </c>
      <c r="U1008" s="14" t="str">
        <f aca="false">IF($D1008&lt;&gt;1,"",IF(p_mode="Nœud",$T1008*$H1008,$R1008))</f>
        <v/>
      </c>
      <c r="V1008" s="14" t="str">
        <f aca="false">IF($D1008&lt;&gt;1,"",IF(p_mode="Nœud",$T1008*$I1008,$S1008))</f>
        <v/>
      </c>
      <c r="W1008" s="84" t="str">
        <f aca="false">IF($D1008&lt;&gt;1,"",IF(p_mode="Nœud",$T1008*$K1008,$R1008*IF($G1008="IKS",p_iks_cpu,p_roks_cpu)+$S1008*IF($G1008="IKS",p_iks_ram,p_roks_ram))*p_facteur)</f>
        <v/>
      </c>
      <c r="X1008" s="14" t="str">
        <f aca="false">IF($D1008&lt;&gt;1,"",IF($G1008="ROKS",$R1008,IF($AI1008=1,0,MAX($N1008,$L1008-SUMIFS(TblApplications[CPU IKS libérable (vCPU)],TblApplications[Cluster IKS source],$F1008,TblApplications[Action],"À migrer",TblApplications[Mois prov (calc)],"&lt;="&amp;$E1008)-SUMIFS(TblApplications[CPU IKS libérable (vCPU)],TblApplications[Cluster IKS source],$F1008,TblApplications[Action],"À décommissionner",TblApplications[Mois lib (calc)],"&lt;="&amp;$E1008)))))</f>
        <v/>
      </c>
      <c r="Y1008" s="14" t="str">
        <f aca="false">IF($D1008&lt;&gt;1,"",IF($G1008="ROKS",$S1008,IF($AI1008=1,0,MAX($O1008,$M1008-SUMIFS(TblApplications[RAM IKS libérable (Go)],TblApplications[Cluster IKS source],$F1008,TblApplications[Action],"À migrer",TblApplications[Mois prov (calc)],"&lt;="&amp;$E1008)-SUMIFS(TblApplications[RAM IKS libérable (Go)],TblApplications[Cluster IKS source],$F1008,TblApplications[Action],"À décommissionner",TblApplications[Mois lib (calc)],"&lt;="&amp;$E1008)))))</f>
        <v/>
      </c>
      <c r="Z1008" s="14" t="str">
        <f aca="false">IF($D1008&lt;&gt;1,"",IF($AI1008=1,0,MAX($J1008,ROUNDUP(MAX($X1008/$H1008,$Y1008/$I1008),0))))</f>
        <v/>
      </c>
      <c r="AA1008" s="84" t="str">
        <f aca="false">IF($D1008&lt;&gt;1,"",IF(p_mode="Nœud",$Z1008*$K1008,$X1008*IF($G1008="IKS",p_iks_cpu,p_roks_cpu)+$Y1008*IF($G1008="IKS",p_iks_ram,p_roks_ram))*p_facteur)</f>
        <v/>
      </c>
      <c r="AB1008" s="14" t="str">
        <f aca="false">IF($D1008&lt;&gt;1,"",MAX($J1008,ROUNDUP(MAX($L1008/$H1008,$M1008/$I1008),0)))</f>
        <v/>
      </c>
      <c r="AC1008" s="84" t="str">
        <f aca="false">IF($D1008&lt;&gt;1,"",IF(p_mode="Nœud",$AB1008*$K1008,$L1008*IF($G1008="IKS",p_iks_cpu,p_roks_cpu)+$M1008*IF($G1008="IKS",p_iks_ram,p_roks_ram))*p_facteur)</f>
        <v/>
      </c>
      <c r="AD1008" s="14" t="str">
        <f aca="false">IF($D1008&lt;&gt;1,"",IF(AND($G1008="IKS",$AI1008&lt;&gt;1,OR($L1008-$P1008&lt;$N1008,$M1008-$Q1008&lt;$O1008)),1,0))</f>
        <v/>
      </c>
      <c r="AE1008" s="14" t="str">
        <f aca="false">IF($D1008&lt;&gt;1,"",IF(AND($G1008="ROKS",$T1008&gt;p_maxworkers),1,0))</f>
        <v/>
      </c>
      <c r="AF1008" s="14" t="str">
        <f aca="false">IF($D1008&lt;&gt;1,"",IF(INDEX(TblClusters[Environnement],$B1008)="","(vide)",INDEX(TblClusters[Environnement],$B1008)))</f>
        <v/>
      </c>
      <c r="AG1008" s="14" t="str">
        <f aca="false">IF($D1008&lt;&gt;1,"",$R1008+p_poidsram*$S1008)</f>
        <v/>
      </c>
      <c r="AH1008" s="14" t="str">
        <f aca="false">IF($D1008&lt;&gt;1,"",IFERROR($W1008/$AG1008,0))</f>
        <v/>
      </c>
      <c r="AI1008" s="14" t="str">
        <f aca="false">IF($D1008&lt;&gt;1,"",IF(AND($G1008="IKS",ISNUMBER(INDEX(TblClusters[Fermeture retenue],$B1008))),IF($E1008&gt;=INDEX(TblClusters[Fermeture retenue],$B1008),1,0),0))</f>
        <v/>
      </c>
    </row>
    <row r="1009" customFormat="false" ht="15" hidden="false" customHeight="false" outlineLevel="0" collapsed="false">
      <c r="A1009" s="14" t="n">
        <v>1004</v>
      </c>
      <c r="B1009" s="14" t="n">
        <f aca="false">INT(($A1009-1)/36)+1</f>
        <v>28</v>
      </c>
      <c r="C1009" s="14" t="n">
        <f aca="false">MOD($A1009-1,36)+1</f>
        <v>32</v>
      </c>
      <c r="D1009" s="14" t="n">
        <f aca="false">IF($C1009&gt;p_horizon,0,IFERROR(IF(AND(INDEX(TblClusters[Cluster],$B1009)&lt;&gt;"",ISNUMBER(INDEX(TblClusters[CPU initial (vCPU)],$B1009)),ISNUMBER(INDEX(TblClusters[CPU min (vCPU)],$B1009)),OR(INDEX(TblClusters[Plateforme],$B1009)="IKS",INDEX(TblClusters[Plateforme],$B1009)="ROKS")),1,0),0))</f>
        <v>0</v>
      </c>
      <c r="E1009" s="83" t="str">
        <f aca="false">IF($D1009=1,EDATE(p_debut,$C1009-1),"")</f>
        <v/>
      </c>
      <c r="F1009" s="14" t="str">
        <f aca="false">IF($D1009=1,INDEX(TblClusters[Cluster],$B1009),"")</f>
        <v/>
      </c>
      <c r="G1009" s="14" t="str">
        <f aca="false">IF($D1009=1,INDEX(TblClusters[Plateforme],$B1009),"")</f>
        <v/>
      </c>
      <c r="H1009" s="14" t="str">
        <f aca="false">IF($D1009=1,INDEX(TblClusters[vCPU par nœud],$B1009),"")</f>
        <v/>
      </c>
      <c r="I1009" s="14" t="str">
        <f aca="false">IF($D1009=1,INDEX(TblClusters[RAM par nœud (Go)],$B1009),"")</f>
        <v/>
      </c>
      <c r="J1009" s="14" t="str">
        <f aca="false">IF($D1009=1,INDEX(TblClusters[Workers min],$B1009),"")</f>
        <v/>
      </c>
      <c r="K1009" s="84" t="str">
        <f aca="false">IF($D1009=1,INDEX(TblClusters[Tarif par nœud],$B1009),"")</f>
        <v/>
      </c>
      <c r="L1009" s="14" t="str">
        <f aca="false">IF($D1009=1,INDEX(TblClusters[CPU initial (vCPU)],$B1009),"")</f>
        <v/>
      </c>
      <c r="M1009" s="14" t="str">
        <f aca="false">IF($D1009=1,INDEX(TblClusters[RAM initiale (Go)],$B1009),"")</f>
        <v/>
      </c>
      <c r="N1009" s="14" t="str">
        <f aca="false">IF($D1009=1,INDEX(TblClusters[CPU min (vCPU)],$B1009),"")</f>
        <v/>
      </c>
      <c r="O1009" s="14" t="str">
        <f aca="false">IF($D1009=1,INDEX(TblClusters[RAM min (Go)],$B1009),"")</f>
        <v/>
      </c>
      <c r="P1009" s="14" t="str">
        <f aca="false">IF($D1009&lt;&gt;1,"",IF($G1009="ROKS",SUMIFS(TblApplications[Besoin ROKS CPU (vCPU)],TblApplications[Cluster ROKS cible],$F1009,TblApplications[Action],"À migrer",TblApplications[Déjà incluse ROKS],"Non",TblApplications[Mois prov (calc)],"&lt;="&amp;$E1009),SUMIFS(TblApplications[CPU IKS libérable (vCPU)],TblApplications[Cluster IKS source],$F1009,TblApplications[Mois lib (calc)],"&lt;="&amp;$E1009)))</f>
        <v/>
      </c>
      <c r="Q1009" s="14" t="str">
        <f aca="false">IF($D1009&lt;&gt;1,"",IF($G1009="ROKS",SUMIFS(TblApplications[Besoin ROKS RAM (Go)],TblApplications[Cluster ROKS cible],$F1009,TblApplications[Action],"À migrer",TblApplications[Déjà incluse ROKS],"Non",TblApplications[Mois prov (calc)],"&lt;="&amp;$E1009),SUMIFS(TblApplications[RAM IKS libérable (Go)],TblApplications[Cluster IKS source],$F1009,TblApplications[Mois lib (calc)],"&lt;="&amp;$E1009)))</f>
        <v/>
      </c>
      <c r="R1009" s="14" t="str">
        <f aca="false">IF($D1009&lt;&gt;1,"",IF($G1009="ROKS",$L1009+$P1009,IF($AI1009=1,0,MAX($N1009,$L1009-$P1009))))</f>
        <v/>
      </c>
      <c r="S1009" s="14" t="str">
        <f aca="false">IF($D1009&lt;&gt;1,"",IF($G1009="ROKS",$M1009+$Q1009,IF($AI1009=1,0,MAX($O1009,$M1009-$Q1009))))</f>
        <v/>
      </c>
      <c r="T1009" s="14" t="str">
        <f aca="false">IF($D1009&lt;&gt;1,"",IF($AI1009=1,0,MAX($J1009,ROUNDUP(MAX($R1009/$H1009,$S1009/$I1009),0))))</f>
        <v/>
      </c>
      <c r="U1009" s="14" t="str">
        <f aca="false">IF($D1009&lt;&gt;1,"",IF(p_mode="Nœud",$T1009*$H1009,$R1009))</f>
        <v/>
      </c>
      <c r="V1009" s="14" t="str">
        <f aca="false">IF($D1009&lt;&gt;1,"",IF(p_mode="Nœud",$T1009*$I1009,$S1009))</f>
        <v/>
      </c>
      <c r="W1009" s="84" t="str">
        <f aca="false">IF($D1009&lt;&gt;1,"",IF(p_mode="Nœud",$T1009*$K1009,$R1009*IF($G1009="IKS",p_iks_cpu,p_roks_cpu)+$S1009*IF($G1009="IKS",p_iks_ram,p_roks_ram))*p_facteur)</f>
        <v/>
      </c>
      <c r="X1009" s="14" t="str">
        <f aca="false">IF($D1009&lt;&gt;1,"",IF($G1009="ROKS",$R1009,IF($AI1009=1,0,MAX($N1009,$L1009-SUMIFS(TblApplications[CPU IKS libérable (vCPU)],TblApplications[Cluster IKS source],$F1009,TblApplications[Action],"À migrer",TblApplications[Mois prov (calc)],"&lt;="&amp;$E1009)-SUMIFS(TblApplications[CPU IKS libérable (vCPU)],TblApplications[Cluster IKS source],$F1009,TblApplications[Action],"À décommissionner",TblApplications[Mois lib (calc)],"&lt;="&amp;$E1009)))))</f>
        <v/>
      </c>
      <c r="Y1009" s="14" t="str">
        <f aca="false">IF($D1009&lt;&gt;1,"",IF($G1009="ROKS",$S1009,IF($AI1009=1,0,MAX($O1009,$M1009-SUMIFS(TblApplications[RAM IKS libérable (Go)],TblApplications[Cluster IKS source],$F1009,TblApplications[Action],"À migrer",TblApplications[Mois prov (calc)],"&lt;="&amp;$E1009)-SUMIFS(TblApplications[RAM IKS libérable (Go)],TblApplications[Cluster IKS source],$F1009,TblApplications[Action],"À décommissionner",TblApplications[Mois lib (calc)],"&lt;="&amp;$E1009)))))</f>
        <v/>
      </c>
      <c r="Z1009" s="14" t="str">
        <f aca="false">IF($D1009&lt;&gt;1,"",IF($AI1009=1,0,MAX($J1009,ROUNDUP(MAX($X1009/$H1009,$Y1009/$I1009),0))))</f>
        <v/>
      </c>
      <c r="AA1009" s="84" t="str">
        <f aca="false">IF($D1009&lt;&gt;1,"",IF(p_mode="Nœud",$Z1009*$K1009,$X1009*IF($G1009="IKS",p_iks_cpu,p_roks_cpu)+$Y1009*IF($G1009="IKS",p_iks_ram,p_roks_ram))*p_facteur)</f>
        <v/>
      </c>
      <c r="AB1009" s="14" t="str">
        <f aca="false">IF($D1009&lt;&gt;1,"",MAX($J1009,ROUNDUP(MAX($L1009/$H1009,$M1009/$I1009),0)))</f>
        <v/>
      </c>
      <c r="AC1009" s="84" t="str">
        <f aca="false">IF($D1009&lt;&gt;1,"",IF(p_mode="Nœud",$AB1009*$K1009,$L1009*IF($G1009="IKS",p_iks_cpu,p_roks_cpu)+$M1009*IF($G1009="IKS",p_iks_ram,p_roks_ram))*p_facteur)</f>
        <v/>
      </c>
      <c r="AD1009" s="14" t="str">
        <f aca="false">IF($D1009&lt;&gt;1,"",IF(AND($G1009="IKS",$AI1009&lt;&gt;1,OR($L1009-$P1009&lt;$N1009,$M1009-$Q1009&lt;$O1009)),1,0))</f>
        <v/>
      </c>
      <c r="AE1009" s="14" t="str">
        <f aca="false">IF($D1009&lt;&gt;1,"",IF(AND($G1009="ROKS",$T1009&gt;p_maxworkers),1,0))</f>
        <v/>
      </c>
      <c r="AF1009" s="14" t="str">
        <f aca="false">IF($D1009&lt;&gt;1,"",IF(INDEX(TblClusters[Environnement],$B1009)="","(vide)",INDEX(TblClusters[Environnement],$B1009)))</f>
        <v/>
      </c>
      <c r="AG1009" s="14" t="str">
        <f aca="false">IF($D1009&lt;&gt;1,"",$R1009+p_poidsram*$S1009)</f>
        <v/>
      </c>
      <c r="AH1009" s="14" t="str">
        <f aca="false">IF($D1009&lt;&gt;1,"",IFERROR($W1009/$AG1009,0))</f>
        <v/>
      </c>
      <c r="AI1009" s="14" t="str">
        <f aca="false">IF($D1009&lt;&gt;1,"",IF(AND($G1009="IKS",ISNUMBER(INDEX(TblClusters[Fermeture retenue],$B1009))),IF($E1009&gt;=INDEX(TblClusters[Fermeture retenue],$B1009),1,0),0))</f>
        <v/>
      </c>
    </row>
    <row r="1010" customFormat="false" ht="15" hidden="false" customHeight="false" outlineLevel="0" collapsed="false">
      <c r="A1010" s="14" t="n">
        <v>1005</v>
      </c>
      <c r="B1010" s="14" t="n">
        <f aca="false">INT(($A1010-1)/36)+1</f>
        <v>28</v>
      </c>
      <c r="C1010" s="14" t="n">
        <f aca="false">MOD($A1010-1,36)+1</f>
        <v>33</v>
      </c>
      <c r="D1010" s="14" t="n">
        <f aca="false">IF($C1010&gt;p_horizon,0,IFERROR(IF(AND(INDEX(TblClusters[Cluster],$B1010)&lt;&gt;"",ISNUMBER(INDEX(TblClusters[CPU initial (vCPU)],$B1010)),ISNUMBER(INDEX(TblClusters[CPU min (vCPU)],$B1010)),OR(INDEX(TblClusters[Plateforme],$B1010)="IKS",INDEX(TblClusters[Plateforme],$B1010)="ROKS")),1,0),0))</f>
        <v>0</v>
      </c>
      <c r="E1010" s="83" t="str">
        <f aca="false">IF($D1010=1,EDATE(p_debut,$C1010-1),"")</f>
        <v/>
      </c>
      <c r="F1010" s="14" t="str">
        <f aca="false">IF($D1010=1,INDEX(TblClusters[Cluster],$B1010),"")</f>
        <v/>
      </c>
      <c r="G1010" s="14" t="str">
        <f aca="false">IF($D1010=1,INDEX(TblClusters[Plateforme],$B1010),"")</f>
        <v/>
      </c>
      <c r="H1010" s="14" t="str">
        <f aca="false">IF($D1010=1,INDEX(TblClusters[vCPU par nœud],$B1010),"")</f>
        <v/>
      </c>
      <c r="I1010" s="14" t="str">
        <f aca="false">IF($D1010=1,INDEX(TblClusters[RAM par nœud (Go)],$B1010),"")</f>
        <v/>
      </c>
      <c r="J1010" s="14" t="str">
        <f aca="false">IF($D1010=1,INDEX(TblClusters[Workers min],$B1010),"")</f>
        <v/>
      </c>
      <c r="K1010" s="84" t="str">
        <f aca="false">IF($D1010=1,INDEX(TblClusters[Tarif par nœud],$B1010),"")</f>
        <v/>
      </c>
      <c r="L1010" s="14" t="str">
        <f aca="false">IF($D1010=1,INDEX(TblClusters[CPU initial (vCPU)],$B1010),"")</f>
        <v/>
      </c>
      <c r="M1010" s="14" t="str">
        <f aca="false">IF($D1010=1,INDEX(TblClusters[RAM initiale (Go)],$B1010),"")</f>
        <v/>
      </c>
      <c r="N1010" s="14" t="str">
        <f aca="false">IF($D1010=1,INDEX(TblClusters[CPU min (vCPU)],$B1010),"")</f>
        <v/>
      </c>
      <c r="O1010" s="14" t="str">
        <f aca="false">IF($D1010=1,INDEX(TblClusters[RAM min (Go)],$B1010),"")</f>
        <v/>
      </c>
      <c r="P1010" s="14" t="str">
        <f aca="false">IF($D1010&lt;&gt;1,"",IF($G1010="ROKS",SUMIFS(TblApplications[Besoin ROKS CPU (vCPU)],TblApplications[Cluster ROKS cible],$F1010,TblApplications[Action],"À migrer",TblApplications[Déjà incluse ROKS],"Non",TblApplications[Mois prov (calc)],"&lt;="&amp;$E1010),SUMIFS(TblApplications[CPU IKS libérable (vCPU)],TblApplications[Cluster IKS source],$F1010,TblApplications[Mois lib (calc)],"&lt;="&amp;$E1010)))</f>
        <v/>
      </c>
      <c r="Q1010" s="14" t="str">
        <f aca="false">IF($D1010&lt;&gt;1,"",IF($G1010="ROKS",SUMIFS(TblApplications[Besoin ROKS RAM (Go)],TblApplications[Cluster ROKS cible],$F1010,TblApplications[Action],"À migrer",TblApplications[Déjà incluse ROKS],"Non",TblApplications[Mois prov (calc)],"&lt;="&amp;$E1010),SUMIFS(TblApplications[RAM IKS libérable (Go)],TblApplications[Cluster IKS source],$F1010,TblApplications[Mois lib (calc)],"&lt;="&amp;$E1010)))</f>
        <v/>
      </c>
      <c r="R1010" s="14" t="str">
        <f aca="false">IF($D1010&lt;&gt;1,"",IF($G1010="ROKS",$L1010+$P1010,IF($AI1010=1,0,MAX($N1010,$L1010-$P1010))))</f>
        <v/>
      </c>
      <c r="S1010" s="14" t="str">
        <f aca="false">IF($D1010&lt;&gt;1,"",IF($G1010="ROKS",$M1010+$Q1010,IF($AI1010=1,0,MAX($O1010,$M1010-$Q1010))))</f>
        <v/>
      </c>
      <c r="T1010" s="14" t="str">
        <f aca="false">IF($D1010&lt;&gt;1,"",IF($AI1010=1,0,MAX($J1010,ROUNDUP(MAX($R1010/$H1010,$S1010/$I1010),0))))</f>
        <v/>
      </c>
      <c r="U1010" s="14" t="str">
        <f aca="false">IF($D1010&lt;&gt;1,"",IF(p_mode="Nœud",$T1010*$H1010,$R1010))</f>
        <v/>
      </c>
      <c r="V1010" s="14" t="str">
        <f aca="false">IF($D1010&lt;&gt;1,"",IF(p_mode="Nœud",$T1010*$I1010,$S1010))</f>
        <v/>
      </c>
      <c r="W1010" s="84" t="str">
        <f aca="false">IF($D1010&lt;&gt;1,"",IF(p_mode="Nœud",$T1010*$K1010,$R1010*IF($G1010="IKS",p_iks_cpu,p_roks_cpu)+$S1010*IF($G1010="IKS",p_iks_ram,p_roks_ram))*p_facteur)</f>
        <v/>
      </c>
      <c r="X1010" s="14" t="str">
        <f aca="false">IF($D1010&lt;&gt;1,"",IF($G1010="ROKS",$R1010,IF($AI1010=1,0,MAX($N1010,$L1010-SUMIFS(TblApplications[CPU IKS libérable (vCPU)],TblApplications[Cluster IKS source],$F1010,TblApplications[Action],"À migrer",TblApplications[Mois prov (calc)],"&lt;="&amp;$E1010)-SUMIFS(TblApplications[CPU IKS libérable (vCPU)],TblApplications[Cluster IKS source],$F1010,TblApplications[Action],"À décommissionner",TblApplications[Mois lib (calc)],"&lt;="&amp;$E1010)))))</f>
        <v/>
      </c>
      <c r="Y1010" s="14" t="str">
        <f aca="false">IF($D1010&lt;&gt;1,"",IF($G1010="ROKS",$S1010,IF($AI1010=1,0,MAX($O1010,$M1010-SUMIFS(TblApplications[RAM IKS libérable (Go)],TblApplications[Cluster IKS source],$F1010,TblApplications[Action],"À migrer",TblApplications[Mois prov (calc)],"&lt;="&amp;$E1010)-SUMIFS(TblApplications[RAM IKS libérable (Go)],TblApplications[Cluster IKS source],$F1010,TblApplications[Action],"À décommissionner",TblApplications[Mois lib (calc)],"&lt;="&amp;$E1010)))))</f>
        <v/>
      </c>
      <c r="Z1010" s="14" t="str">
        <f aca="false">IF($D1010&lt;&gt;1,"",IF($AI1010=1,0,MAX($J1010,ROUNDUP(MAX($X1010/$H1010,$Y1010/$I1010),0))))</f>
        <v/>
      </c>
      <c r="AA1010" s="84" t="str">
        <f aca="false">IF($D1010&lt;&gt;1,"",IF(p_mode="Nœud",$Z1010*$K1010,$X1010*IF($G1010="IKS",p_iks_cpu,p_roks_cpu)+$Y1010*IF($G1010="IKS",p_iks_ram,p_roks_ram))*p_facteur)</f>
        <v/>
      </c>
      <c r="AB1010" s="14" t="str">
        <f aca="false">IF($D1010&lt;&gt;1,"",MAX($J1010,ROUNDUP(MAX($L1010/$H1010,$M1010/$I1010),0)))</f>
        <v/>
      </c>
      <c r="AC1010" s="84" t="str">
        <f aca="false">IF($D1010&lt;&gt;1,"",IF(p_mode="Nœud",$AB1010*$K1010,$L1010*IF($G1010="IKS",p_iks_cpu,p_roks_cpu)+$M1010*IF($G1010="IKS",p_iks_ram,p_roks_ram))*p_facteur)</f>
        <v/>
      </c>
      <c r="AD1010" s="14" t="str">
        <f aca="false">IF($D1010&lt;&gt;1,"",IF(AND($G1010="IKS",$AI1010&lt;&gt;1,OR($L1010-$P1010&lt;$N1010,$M1010-$Q1010&lt;$O1010)),1,0))</f>
        <v/>
      </c>
      <c r="AE1010" s="14" t="str">
        <f aca="false">IF($D1010&lt;&gt;1,"",IF(AND($G1010="ROKS",$T1010&gt;p_maxworkers),1,0))</f>
        <v/>
      </c>
      <c r="AF1010" s="14" t="str">
        <f aca="false">IF($D1010&lt;&gt;1,"",IF(INDEX(TblClusters[Environnement],$B1010)="","(vide)",INDEX(TblClusters[Environnement],$B1010)))</f>
        <v/>
      </c>
      <c r="AG1010" s="14" t="str">
        <f aca="false">IF($D1010&lt;&gt;1,"",$R1010+p_poidsram*$S1010)</f>
        <v/>
      </c>
      <c r="AH1010" s="14" t="str">
        <f aca="false">IF($D1010&lt;&gt;1,"",IFERROR($W1010/$AG1010,0))</f>
        <v/>
      </c>
      <c r="AI1010" s="14" t="str">
        <f aca="false">IF($D1010&lt;&gt;1,"",IF(AND($G1010="IKS",ISNUMBER(INDEX(TblClusters[Fermeture retenue],$B1010))),IF($E1010&gt;=INDEX(TblClusters[Fermeture retenue],$B1010),1,0),0))</f>
        <v/>
      </c>
    </row>
    <row r="1011" customFormat="false" ht="15" hidden="false" customHeight="false" outlineLevel="0" collapsed="false">
      <c r="A1011" s="14" t="n">
        <v>1006</v>
      </c>
      <c r="B1011" s="14" t="n">
        <f aca="false">INT(($A1011-1)/36)+1</f>
        <v>28</v>
      </c>
      <c r="C1011" s="14" t="n">
        <f aca="false">MOD($A1011-1,36)+1</f>
        <v>34</v>
      </c>
      <c r="D1011" s="14" t="n">
        <f aca="false">IF($C1011&gt;p_horizon,0,IFERROR(IF(AND(INDEX(TblClusters[Cluster],$B1011)&lt;&gt;"",ISNUMBER(INDEX(TblClusters[CPU initial (vCPU)],$B1011)),ISNUMBER(INDEX(TblClusters[CPU min (vCPU)],$B1011)),OR(INDEX(TblClusters[Plateforme],$B1011)="IKS",INDEX(TblClusters[Plateforme],$B1011)="ROKS")),1,0),0))</f>
        <v>0</v>
      </c>
      <c r="E1011" s="83" t="str">
        <f aca="false">IF($D1011=1,EDATE(p_debut,$C1011-1),"")</f>
        <v/>
      </c>
      <c r="F1011" s="14" t="str">
        <f aca="false">IF($D1011=1,INDEX(TblClusters[Cluster],$B1011),"")</f>
        <v/>
      </c>
      <c r="G1011" s="14" t="str">
        <f aca="false">IF($D1011=1,INDEX(TblClusters[Plateforme],$B1011),"")</f>
        <v/>
      </c>
      <c r="H1011" s="14" t="str">
        <f aca="false">IF($D1011=1,INDEX(TblClusters[vCPU par nœud],$B1011),"")</f>
        <v/>
      </c>
      <c r="I1011" s="14" t="str">
        <f aca="false">IF($D1011=1,INDEX(TblClusters[RAM par nœud (Go)],$B1011),"")</f>
        <v/>
      </c>
      <c r="J1011" s="14" t="str">
        <f aca="false">IF($D1011=1,INDEX(TblClusters[Workers min],$B1011),"")</f>
        <v/>
      </c>
      <c r="K1011" s="84" t="str">
        <f aca="false">IF($D1011=1,INDEX(TblClusters[Tarif par nœud],$B1011),"")</f>
        <v/>
      </c>
      <c r="L1011" s="14" t="str">
        <f aca="false">IF($D1011=1,INDEX(TblClusters[CPU initial (vCPU)],$B1011),"")</f>
        <v/>
      </c>
      <c r="M1011" s="14" t="str">
        <f aca="false">IF($D1011=1,INDEX(TblClusters[RAM initiale (Go)],$B1011),"")</f>
        <v/>
      </c>
      <c r="N1011" s="14" t="str">
        <f aca="false">IF($D1011=1,INDEX(TblClusters[CPU min (vCPU)],$B1011),"")</f>
        <v/>
      </c>
      <c r="O1011" s="14" t="str">
        <f aca="false">IF($D1011=1,INDEX(TblClusters[RAM min (Go)],$B1011),"")</f>
        <v/>
      </c>
      <c r="P1011" s="14" t="str">
        <f aca="false">IF($D1011&lt;&gt;1,"",IF($G1011="ROKS",SUMIFS(TblApplications[Besoin ROKS CPU (vCPU)],TblApplications[Cluster ROKS cible],$F1011,TblApplications[Action],"À migrer",TblApplications[Déjà incluse ROKS],"Non",TblApplications[Mois prov (calc)],"&lt;="&amp;$E1011),SUMIFS(TblApplications[CPU IKS libérable (vCPU)],TblApplications[Cluster IKS source],$F1011,TblApplications[Mois lib (calc)],"&lt;="&amp;$E1011)))</f>
        <v/>
      </c>
      <c r="Q1011" s="14" t="str">
        <f aca="false">IF($D1011&lt;&gt;1,"",IF($G1011="ROKS",SUMIFS(TblApplications[Besoin ROKS RAM (Go)],TblApplications[Cluster ROKS cible],$F1011,TblApplications[Action],"À migrer",TblApplications[Déjà incluse ROKS],"Non",TblApplications[Mois prov (calc)],"&lt;="&amp;$E1011),SUMIFS(TblApplications[RAM IKS libérable (Go)],TblApplications[Cluster IKS source],$F1011,TblApplications[Mois lib (calc)],"&lt;="&amp;$E1011)))</f>
        <v/>
      </c>
      <c r="R1011" s="14" t="str">
        <f aca="false">IF($D1011&lt;&gt;1,"",IF($G1011="ROKS",$L1011+$P1011,IF($AI1011=1,0,MAX($N1011,$L1011-$P1011))))</f>
        <v/>
      </c>
      <c r="S1011" s="14" t="str">
        <f aca="false">IF($D1011&lt;&gt;1,"",IF($G1011="ROKS",$M1011+$Q1011,IF($AI1011=1,0,MAX($O1011,$M1011-$Q1011))))</f>
        <v/>
      </c>
      <c r="T1011" s="14" t="str">
        <f aca="false">IF($D1011&lt;&gt;1,"",IF($AI1011=1,0,MAX($J1011,ROUNDUP(MAX($R1011/$H1011,$S1011/$I1011),0))))</f>
        <v/>
      </c>
      <c r="U1011" s="14" t="str">
        <f aca="false">IF($D1011&lt;&gt;1,"",IF(p_mode="Nœud",$T1011*$H1011,$R1011))</f>
        <v/>
      </c>
      <c r="V1011" s="14" t="str">
        <f aca="false">IF($D1011&lt;&gt;1,"",IF(p_mode="Nœud",$T1011*$I1011,$S1011))</f>
        <v/>
      </c>
      <c r="W1011" s="84" t="str">
        <f aca="false">IF($D1011&lt;&gt;1,"",IF(p_mode="Nœud",$T1011*$K1011,$R1011*IF($G1011="IKS",p_iks_cpu,p_roks_cpu)+$S1011*IF($G1011="IKS",p_iks_ram,p_roks_ram))*p_facteur)</f>
        <v/>
      </c>
      <c r="X1011" s="14" t="str">
        <f aca="false">IF($D1011&lt;&gt;1,"",IF($G1011="ROKS",$R1011,IF($AI1011=1,0,MAX($N1011,$L1011-SUMIFS(TblApplications[CPU IKS libérable (vCPU)],TblApplications[Cluster IKS source],$F1011,TblApplications[Action],"À migrer",TblApplications[Mois prov (calc)],"&lt;="&amp;$E1011)-SUMIFS(TblApplications[CPU IKS libérable (vCPU)],TblApplications[Cluster IKS source],$F1011,TblApplications[Action],"À décommissionner",TblApplications[Mois lib (calc)],"&lt;="&amp;$E1011)))))</f>
        <v/>
      </c>
      <c r="Y1011" s="14" t="str">
        <f aca="false">IF($D1011&lt;&gt;1,"",IF($G1011="ROKS",$S1011,IF($AI1011=1,0,MAX($O1011,$M1011-SUMIFS(TblApplications[RAM IKS libérable (Go)],TblApplications[Cluster IKS source],$F1011,TblApplications[Action],"À migrer",TblApplications[Mois prov (calc)],"&lt;="&amp;$E1011)-SUMIFS(TblApplications[RAM IKS libérable (Go)],TblApplications[Cluster IKS source],$F1011,TblApplications[Action],"À décommissionner",TblApplications[Mois lib (calc)],"&lt;="&amp;$E1011)))))</f>
        <v/>
      </c>
      <c r="Z1011" s="14" t="str">
        <f aca="false">IF($D1011&lt;&gt;1,"",IF($AI1011=1,0,MAX($J1011,ROUNDUP(MAX($X1011/$H1011,$Y1011/$I1011),0))))</f>
        <v/>
      </c>
      <c r="AA1011" s="84" t="str">
        <f aca="false">IF($D1011&lt;&gt;1,"",IF(p_mode="Nœud",$Z1011*$K1011,$X1011*IF($G1011="IKS",p_iks_cpu,p_roks_cpu)+$Y1011*IF($G1011="IKS",p_iks_ram,p_roks_ram))*p_facteur)</f>
        <v/>
      </c>
      <c r="AB1011" s="14" t="str">
        <f aca="false">IF($D1011&lt;&gt;1,"",MAX($J1011,ROUNDUP(MAX($L1011/$H1011,$M1011/$I1011),0)))</f>
        <v/>
      </c>
      <c r="AC1011" s="84" t="str">
        <f aca="false">IF($D1011&lt;&gt;1,"",IF(p_mode="Nœud",$AB1011*$K1011,$L1011*IF($G1011="IKS",p_iks_cpu,p_roks_cpu)+$M1011*IF($G1011="IKS",p_iks_ram,p_roks_ram))*p_facteur)</f>
        <v/>
      </c>
      <c r="AD1011" s="14" t="str">
        <f aca="false">IF($D1011&lt;&gt;1,"",IF(AND($G1011="IKS",$AI1011&lt;&gt;1,OR($L1011-$P1011&lt;$N1011,$M1011-$Q1011&lt;$O1011)),1,0))</f>
        <v/>
      </c>
      <c r="AE1011" s="14" t="str">
        <f aca="false">IF($D1011&lt;&gt;1,"",IF(AND($G1011="ROKS",$T1011&gt;p_maxworkers),1,0))</f>
        <v/>
      </c>
      <c r="AF1011" s="14" t="str">
        <f aca="false">IF($D1011&lt;&gt;1,"",IF(INDEX(TblClusters[Environnement],$B1011)="","(vide)",INDEX(TblClusters[Environnement],$B1011)))</f>
        <v/>
      </c>
      <c r="AG1011" s="14" t="str">
        <f aca="false">IF($D1011&lt;&gt;1,"",$R1011+p_poidsram*$S1011)</f>
        <v/>
      </c>
      <c r="AH1011" s="14" t="str">
        <f aca="false">IF($D1011&lt;&gt;1,"",IFERROR($W1011/$AG1011,0))</f>
        <v/>
      </c>
      <c r="AI1011" s="14" t="str">
        <f aca="false">IF($D1011&lt;&gt;1,"",IF(AND($G1011="IKS",ISNUMBER(INDEX(TblClusters[Fermeture retenue],$B1011))),IF($E1011&gt;=INDEX(TblClusters[Fermeture retenue],$B1011),1,0),0))</f>
        <v/>
      </c>
    </row>
    <row r="1012" customFormat="false" ht="15" hidden="false" customHeight="false" outlineLevel="0" collapsed="false">
      <c r="A1012" s="14" t="n">
        <v>1007</v>
      </c>
      <c r="B1012" s="14" t="n">
        <f aca="false">INT(($A1012-1)/36)+1</f>
        <v>28</v>
      </c>
      <c r="C1012" s="14" t="n">
        <f aca="false">MOD($A1012-1,36)+1</f>
        <v>35</v>
      </c>
      <c r="D1012" s="14" t="n">
        <f aca="false">IF($C1012&gt;p_horizon,0,IFERROR(IF(AND(INDEX(TblClusters[Cluster],$B1012)&lt;&gt;"",ISNUMBER(INDEX(TblClusters[CPU initial (vCPU)],$B1012)),ISNUMBER(INDEX(TblClusters[CPU min (vCPU)],$B1012)),OR(INDEX(TblClusters[Plateforme],$B1012)="IKS",INDEX(TblClusters[Plateforme],$B1012)="ROKS")),1,0),0))</f>
        <v>0</v>
      </c>
      <c r="E1012" s="83" t="str">
        <f aca="false">IF($D1012=1,EDATE(p_debut,$C1012-1),"")</f>
        <v/>
      </c>
      <c r="F1012" s="14" t="str">
        <f aca="false">IF($D1012=1,INDEX(TblClusters[Cluster],$B1012),"")</f>
        <v/>
      </c>
      <c r="G1012" s="14" t="str">
        <f aca="false">IF($D1012=1,INDEX(TblClusters[Plateforme],$B1012),"")</f>
        <v/>
      </c>
      <c r="H1012" s="14" t="str">
        <f aca="false">IF($D1012=1,INDEX(TblClusters[vCPU par nœud],$B1012),"")</f>
        <v/>
      </c>
      <c r="I1012" s="14" t="str">
        <f aca="false">IF($D1012=1,INDEX(TblClusters[RAM par nœud (Go)],$B1012),"")</f>
        <v/>
      </c>
      <c r="J1012" s="14" t="str">
        <f aca="false">IF($D1012=1,INDEX(TblClusters[Workers min],$B1012),"")</f>
        <v/>
      </c>
      <c r="K1012" s="84" t="str">
        <f aca="false">IF($D1012=1,INDEX(TblClusters[Tarif par nœud],$B1012),"")</f>
        <v/>
      </c>
      <c r="L1012" s="14" t="str">
        <f aca="false">IF($D1012=1,INDEX(TblClusters[CPU initial (vCPU)],$B1012),"")</f>
        <v/>
      </c>
      <c r="M1012" s="14" t="str">
        <f aca="false">IF($D1012=1,INDEX(TblClusters[RAM initiale (Go)],$B1012),"")</f>
        <v/>
      </c>
      <c r="N1012" s="14" t="str">
        <f aca="false">IF($D1012=1,INDEX(TblClusters[CPU min (vCPU)],$B1012),"")</f>
        <v/>
      </c>
      <c r="O1012" s="14" t="str">
        <f aca="false">IF($D1012=1,INDEX(TblClusters[RAM min (Go)],$B1012),"")</f>
        <v/>
      </c>
      <c r="P1012" s="14" t="str">
        <f aca="false">IF($D1012&lt;&gt;1,"",IF($G1012="ROKS",SUMIFS(TblApplications[Besoin ROKS CPU (vCPU)],TblApplications[Cluster ROKS cible],$F1012,TblApplications[Action],"À migrer",TblApplications[Déjà incluse ROKS],"Non",TblApplications[Mois prov (calc)],"&lt;="&amp;$E1012),SUMIFS(TblApplications[CPU IKS libérable (vCPU)],TblApplications[Cluster IKS source],$F1012,TblApplications[Mois lib (calc)],"&lt;="&amp;$E1012)))</f>
        <v/>
      </c>
      <c r="Q1012" s="14" t="str">
        <f aca="false">IF($D1012&lt;&gt;1,"",IF($G1012="ROKS",SUMIFS(TblApplications[Besoin ROKS RAM (Go)],TblApplications[Cluster ROKS cible],$F1012,TblApplications[Action],"À migrer",TblApplications[Déjà incluse ROKS],"Non",TblApplications[Mois prov (calc)],"&lt;="&amp;$E1012),SUMIFS(TblApplications[RAM IKS libérable (Go)],TblApplications[Cluster IKS source],$F1012,TblApplications[Mois lib (calc)],"&lt;="&amp;$E1012)))</f>
        <v/>
      </c>
      <c r="R1012" s="14" t="str">
        <f aca="false">IF($D1012&lt;&gt;1,"",IF($G1012="ROKS",$L1012+$P1012,IF($AI1012=1,0,MAX($N1012,$L1012-$P1012))))</f>
        <v/>
      </c>
      <c r="S1012" s="14" t="str">
        <f aca="false">IF($D1012&lt;&gt;1,"",IF($G1012="ROKS",$M1012+$Q1012,IF($AI1012=1,0,MAX($O1012,$M1012-$Q1012))))</f>
        <v/>
      </c>
      <c r="T1012" s="14" t="str">
        <f aca="false">IF($D1012&lt;&gt;1,"",IF($AI1012=1,0,MAX($J1012,ROUNDUP(MAX($R1012/$H1012,$S1012/$I1012),0))))</f>
        <v/>
      </c>
      <c r="U1012" s="14" t="str">
        <f aca="false">IF($D1012&lt;&gt;1,"",IF(p_mode="Nœud",$T1012*$H1012,$R1012))</f>
        <v/>
      </c>
      <c r="V1012" s="14" t="str">
        <f aca="false">IF($D1012&lt;&gt;1,"",IF(p_mode="Nœud",$T1012*$I1012,$S1012))</f>
        <v/>
      </c>
      <c r="W1012" s="84" t="str">
        <f aca="false">IF($D1012&lt;&gt;1,"",IF(p_mode="Nœud",$T1012*$K1012,$R1012*IF($G1012="IKS",p_iks_cpu,p_roks_cpu)+$S1012*IF($G1012="IKS",p_iks_ram,p_roks_ram))*p_facteur)</f>
        <v/>
      </c>
      <c r="X1012" s="14" t="str">
        <f aca="false">IF($D1012&lt;&gt;1,"",IF($G1012="ROKS",$R1012,IF($AI1012=1,0,MAX($N1012,$L1012-SUMIFS(TblApplications[CPU IKS libérable (vCPU)],TblApplications[Cluster IKS source],$F1012,TblApplications[Action],"À migrer",TblApplications[Mois prov (calc)],"&lt;="&amp;$E1012)-SUMIFS(TblApplications[CPU IKS libérable (vCPU)],TblApplications[Cluster IKS source],$F1012,TblApplications[Action],"À décommissionner",TblApplications[Mois lib (calc)],"&lt;="&amp;$E1012)))))</f>
        <v/>
      </c>
      <c r="Y1012" s="14" t="str">
        <f aca="false">IF($D1012&lt;&gt;1,"",IF($G1012="ROKS",$S1012,IF($AI1012=1,0,MAX($O1012,$M1012-SUMIFS(TblApplications[RAM IKS libérable (Go)],TblApplications[Cluster IKS source],$F1012,TblApplications[Action],"À migrer",TblApplications[Mois prov (calc)],"&lt;="&amp;$E1012)-SUMIFS(TblApplications[RAM IKS libérable (Go)],TblApplications[Cluster IKS source],$F1012,TblApplications[Action],"À décommissionner",TblApplications[Mois lib (calc)],"&lt;="&amp;$E1012)))))</f>
        <v/>
      </c>
      <c r="Z1012" s="14" t="str">
        <f aca="false">IF($D1012&lt;&gt;1,"",IF($AI1012=1,0,MAX($J1012,ROUNDUP(MAX($X1012/$H1012,$Y1012/$I1012),0))))</f>
        <v/>
      </c>
      <c r="AA1012" s="84" t="str">
        <f aca="false">IF($D1012&lt;&gt;1,"",IF(p_mode="Nœud",$Z1012*$K1012,$X1012*IF($G1012="IKS",p_iks_cpu,p_roks_cpu)+$Y1012*IF($G1012="IKS",p_iks_ram,p_roks_ram))*p_facteur)</f>
        <v/>
      </c>
      <c r="AB1012" s="14" t="str">
        <f aca="false">IF($D1012&lt;&gt;1,"",MAX($J1012,ROUNDUP(MAX($L1012/$H1012,$M1012/$I1012),0)))</f>
        <v/>
      </c>
      <c r="AC1012" s="84" t="str">
        <f aca="false">IF($D1012&lt;&gt;1,"",IF(p_mode="Nœud",$AB1012*$K1012,$L1012*IF($G1012="IKS",p_iks_cpu,p_roks_cpu)+$M1012*IF($G1012="IKS",p_iks_ram,p_roks_ram))*p_facteur)</f>
        <v/>
      </c>
      <c r="AD1012" s="14" t="str">
        <f aca="false">IF($D1012&lt;&gt;1,"",IF(AND($G1012="IKS",$AI1012&lt;&gt;1,OR($L1012-$P1012&lt;$N1012,$M1012-$Q1012&lt;$O1012)),1,0))</f>
        <v/>
      </c>
      <c r="AE1012" s="14" t="str">
        <f aca="false">IF($D1012&lt;&gt;1,"",IF(AND($G1012="ROKS",$T1012&gt;p_maxworkers),1,0))</f>
        <v/>
      </c>
      <c r="AF1012" s="14" t="str">
        <f aca="false">IF($D1012&lt;&gt;1,"",IF(INDEX(TblClusters[Environnement],$B1012)="","(vide)",INDEX(TblClusters[Environnement],$B1012)))</f>
        <v/>
      </c>
      <c r="AG1012" s="14" t="str">
        <f aca="false">IF($D1012&lt;&gt;1,"",$R1012+p_poidsram*$S1012)</f>
        <v/>
      </c>
      <c r="AH1012" s="14" t="str">
        <f aca="false">IF($D1012&lt;&gt;1,"",IFERROR($W1012/$AG1012,0))</f>
        <v/>
      </c>
      <c r="AI1012" s="14" t="str">
        <f aca="false">IF($D1012&lt;&gt;1,"",IF(AND($G1012="IKS",ISNUMBER(INDEX(TblClusters[Fermeture retenue],$B1012))),IF($E1012&gt;=INDEX(TblClusters[Fermeture retenue],$B1012),1,0),0))</f>
        <v/>
      </c>
    </row>
    <row r="1013" customFormat="false" ht="15" hidden="false" customHeight="false" outlineLevel="0" collapsed="false">
      <c r="A1013" s="14" t="n">
        <v>1008</v>
      </c>
      <c r="B1013" s="14" t="n">
        <f aca="false">INT(($A1013-1)/36)+1</f>
        <v>28</v>
      </c>
      <c r="C1013" s="14" t="n">
        <f aca="false">MOD($A1013-1,36)+1</f>
        <v>36</v>
      </c>
      <c r="D1013" s="14" t="n">
        <f aca="false">IF($C1013&gt;p_horizon,0,IFERROR(IF(AND(INDEX(TblClusters[Cluster],$B1013)&lt;&gt;"",ISNUMBER(INDEX(TblClusters[CPU initial (vCPU)],$B1013)),ISNUMBER(INDEX(TblClusters[CPU min (vCPU)],$B1013)),OR(INDEX(TblClusters[Plateforme],$B1013)="IKS",INDEX(TblClusters[Plateforme],$B1013)="ROKS")),1,0),0))</f>
        <v>0</v>
      </c>
      <c r="E1013" s="83" t="str">
        <f aca="false">IF($D1013=1,EDATE(p_debut,$C1013-1),"")</f>
        <v/>
      </c>
      <c r="F1013" s="14" t="str">
        <f aca="false">IF($D1013=1,INDEX(TblClusters[Cluster],$B1013),"")</f>
        <v/>
      </c>
      <c r="G1013" s="14" t="str">
        <f aca="false">IF($D1013=1,INDEX(TblClusters[Plateforme],$B1013),"")</f>
        <v/>
      </c>
      <c r="H1013" s="14" t="str">
        <f aca="false">IF($D1013=1,INDEX(TblClusters[vCPU par nœud],$B1013),"")</f>
        <v/>
      </c>
      <c r="I1013" s="14" t="str">
        <f aca="false">IF($D1013=1,INDEX(TblClusters[RAM par nœud (Go)],$B1013),"")</f>
        <v/>
      </c>
      <c r="J1013" s="14" t="str">
        <f aca="false">IF($D1013=1,INDEX(TblClusters[Workers min],$B1013),"")</f>
        <v/>
      </c>
      <c r="K1013" s="84" t="str">
        <f aca="false">IF($D1013=1,INDEX(TblClusters[Tarif par nœud],$B1013),"")</f>
        <v/>
      </c>
      <c r="L1013" s="14" t="str">
        <f aca="false">IF($D1013=1,INDEX(TblClusters[CPU initial (vCPU)],$B1013),"")</f>
        <v/>
      </c>
      <c r="M1013" s="14" t="str">
        <f aca="false">IF($D1013=1,INDEX(TblClusters[RAM initiale (Go)],$B1013),"")</f>
        <v/>
      </c>
      <c r="N1013" s="14" t="str">
        <f aca="false">IF($D1013=1,INDEX(TblClusters[CPU min (vCPU)],$B1013),"")</f>
        <v/>
      </c>
      <c r="O1013" s="14" t="str">
        <f aca="false">IF($D1013=1,INDEX(TblClusters[RAM min (Go)],$B1013),"")</f>
        <v/>
      </c>
      <c r="P1013" s="14" t="str">
        <f aca="false">IF($D1013&lt;&gt;1,"",IF($G1013="ROKS",SUMIFS(TblApplications[Besoin ROKS CPU (vCPU)],TblApplications[Cluster ROKS cible],$F1013,TblApplications[Action],"À migrer",TblApplications[Déjà incluse ROKS],"Non",TblApplications[Mois prov (calc)],"&lt;="&amp;$E1013),SUMIFS(TblApplications[CPU IKS libérable (vCPU)],TblApplications[Cluster IKS source],$F1013,TblApplications[Mois lib (calc)],"&lt;="&amp;$E1013)))</f>
        <v/>
      </c>
      <c r="Q1013" s="14" t="str">
        <f aca="false">IF($D1013&lt;&gt;1,"",IF($G1013="ROKS",SUMIFS(TblApplications[Besoin ROKS RAM (Go)],TblApplications[Cluster ROKS cible],$F1013,TblApplications[Action],"À migrer",TblApplications[Déjà incluse ROKS],"Non",TblApplications[Mois prov (calc)],"&lt;="&amp;$E1013),SUMIFS(TblApplications[RAM IKS libérable (Go)],TblApplications[Cluster IKS source],$F1013,TblApplications[Mois lib (calc)],"&lt;="&amp;$E1013)))</f>
        <v/>
      </c>
      <c r="R1013" s="14" t="str">
        <f aca="false">IF($D1013&lt;&gt;1,"",IF($G1013="ROKS",$L1013+$P1013,IF($AI1013=1,0,MAX($N1013,$L1013-$P1013))))</f>
        <v/>
      </c>
      <c r="S1013" s="14" t="str">
        <f aca="false">IF($D1013&lt;&gt;1,"",IF($G1013="ROKS",$M1013+$Q1013,IF($AI1013=1,0,MAX($O1013,$M1013-$Q1013))))</f>
        <v/>
      </c>
      <c r="T1013" s="14" t="str">
        <f aca="false">IF($D1013&lt;&gt;1,"",IF($AI1013=1,0,MAX($J1013,ROUNDUP(MAX($R1013/$H1013,$S1013/$I1013),0))))</f>
        <v/>
      </c>
      <c r="U1013" s="14" t="str">
        <f aca="false">IF($D1013&lt;&gt;1,"",IF(p_mode="Nœud",$T1013*$H1013,$R1013))</f>
        <v/>
      </c>
      <c r="V1013" s="14" t="str">
        <f aca="false">IF($D1013&lt;&gt;1,"",IF(p_mode="Nœud",$T1013*$I1013,$S1013))</f>
        <v/>
      </c>
      <c r="W1013" s="84" t="str">
        <f aca="false">IF($D1013&lt;&gt;1,"",IF(p_mode="Nœud",$T1013*$K1013,$R1013*IF($G1013="IKS",p_iks_cpu,p_roks_cpu)+$S1013*IF($G1013="IKS",p_iks_ram,p_roks_ram))*p_facteur)</f>
        <v/>
      </c>
      <c r="X1013" s="14" t="str">
        <f aca="false">IF($D1013&lt;&gt;1,"",IF($G1013="ROKS",$R1013,IF($AI1013=1,0,MAX($N1013,$L1013-SUMIFS(TblApplications[CPU IKS libérable (vCPU)],TblApplications[Cluster IKS source],$F1013,TblApplications[Action],"À migrer",TblApplications[Mois prov (calc)],"&lt;="&amp;$E1013)-SUMIFS(TblApplications[CPU IKS libérable (vCPU)],TblApplications[Cluster IKS source],$F1013,TblApplications[Action],"À décommissionner",TblApplications[Mois lib (calc)],"&lt;="&amp;$E1013)))))</f>
        <v/>
      </c>
      <c r="Y1013" s="14" t="str">
        <f aca="false">IF($D1013&lt;&gt;1,"",IF($G1013="ROKS",$S1013,IF($AI1013=1,0,MAX($O1013,$M1013-SUMIFS(TblApplications[RAM IKS libérable (Go)],TblApplications[Cluster IKS source],$F1013,TblApplications[Action],"À migrer",TblApplications[Mois prov (calc)],"&lt;="&amp;$E1013)-SUMIFS(TblApplications[RAM IKS libérable (Go)],TblApplications[Cluster IKS source],$F1013,TblApplications[Action],"À décommissionner",TblApplications[Mois lib (calc)],"&lt;="&amp;$E1013)))))</f>
        <v/>
      </c>
      <c r="Z1013" s="14" t="str">
        <f aca="false">IF($D1013&lt;&gt;1,"",IF($AI1013=1,0,MAX($J1013,ROUNDUP(MAX($X1013/$H1013,$Y1013/$I1013),0))))</f>
        <v/>
      </c>
      <c r="AA1013" s="84" t="str">
        <f aca="false">IF($D1013&lt;&gt;1,"",IF(p_mode="Nœud",$Z1013*$K1013,$X1013*IF($G1013="IKS",p_iks_cpu,p_roks_cpu)+$Y1013*IF($G1013="IKS",p_iks_ram,p_roks_ram))*p_facteur)</f>
        <v/>
      </c>
      <c r="AB1013" s="14" t="str">
        <f aca="false">IF($D1013&lt;&gt;1,"",MAX($J1013,ROUNDUP(MAX($L1013/$H1013,$M1013/$I1013),0)))</f>
        <v/>
      </c>
      <c r="AC1013" s="84" t="str">
        <f aca="false">IF($D1013&lt;&gt;1,"",IF(p_mode="Nœud",$AB1013*$K1013,$L1013*IF($G1013="IKS",p_iks_cpu,p_roks_cpu)+$M1013*IF($G1013="IKS",p_iks_ram,p_roks_ram))*p_facteur)</f>
        <v/>
      </c>
      <c r="AD1013" s="14" t="str">
        <f aca="false">IF($D1013&lt;&gt;1,"",IF(AND($G1013="IKS",$AI1013&lt;&gt;1,OR($L1013-$P1013&lt;$N1013,$M1013-$Q1013&lt;$O1013)),1,0))</f>
        <v/>
      </c>
      <c r="AE1013" s="14" t="str">
        <f aca="false">IF($D1013&lt;&gt;1,"",IF(AND($G1013="ROKS",$T1013&gt;p_maxworkers),1,0))</f>
        <v/>
      </c>
      <c r="AF1013" s="14" t="str">
        <f aca="false">IF($D1013&lt;&gt;1,"",IF(INDEX(TblClusters[Environnement],$B1013)="","(vide)",INDEX(TblClusters[Environnement],$B1013)))</f>
        <v/>
      </c>
      <c r="AG1013" s="14" t="str">
        <f aca="false">IF($D1013&lt;&gt;1,"",$R1013+p_poidsram*$S1013)</f>
        <v/>
      </c>
      <c r="AH1013" s="14" t="str">
        <f aca="false">IF($D1013&lt;&gt;1,"",IFERROR($W1013/$AG1013,0))</f>
        <v/>
      </c>
      <c r="AI1013" s="14" t="str">
        <f aca="false">IF($D1013&lt;&gt;1,"",IF(AND($G1013="IKS",ISNUMBER(INDEX(TblClusters[Fermeture retenue],$B1013))),IF($E1013&gt;=INDEX(TblClusters[Fermeture retenue],$B1013),1,0),0))</f>
        <v/>
      </c>
    </row>
    <row r="1014" customFormat="false" ht="15" hidden="false" customHeight="false" outlineLevel="0" collapsed="false">
      <c r="A1014" s="14" t="n">
        <v>1009</v>
      </c>
      <c r="B1014" s="14" t="n">
        <f aca="false">INT(($A1014-1)/36)+1</f>
        <v>29</v>
      </c>
      <c r="C1014" s="14" t="n">
        <f aca="false">MOD($A1014-1,36)+1</f>
        <v>1</v>
      </c>
      <c r="D1014" s="14" t="n">
        <f aca="false">IF($C1014&gt;p_horizon,0,IFERROR(IF(AND(INDEX(TblClusters[Cluster],$B1014)&lt;&gt;"",ISNUMBER(INDEX(TblClusters[CPU initial (vCPU)],$B1014)),ISNUMBER(INDEX(TblClusters[CPU min (vCPU)],$B1014)),OR(INDEX(TblClusters[Plateforme],$B1014)="IKS",INDEX(TblClusters[Plateforme],$B1014)="ROKS")),1,0),0))</f>
        <v>0</v>
      </c>
      <c r="E1014" s="83" t="str">
        <f aca="false">IF($D1014=1,EDATE(p_debut,$C1014-1),"")</f>
        <v/>
      </c>
      <c r="F1014" s="14" t="str">
        <f aca="false">IF($D1014=1,INDEX(TblClusters[Cluster],$B1014),"")</f>
        <v/>
      </c>
      <c r="G1014" s="14" t="str">
        <f aca="false">IF($D1014=1,INDEX(TblClusters[Plateforme],$B1014),"")</f>
        <v/>
      </c>
      <c r="H1014" s="14" t="str">
        <f aca="false">IF($D1014=1,INDEX(TblClusters[vCPU par nœud],$B1014),"")</f>
        <v/>
      </c>
      <c r="I1014" s="14" t="str">
        <f aca="false">IF($D1014=1,INDEX(TblClusters[RAM par nœud (Go)],$B1014),"")</f>
        <v/>
      </c>
      <c r="J1014" s="14" t="str">
        <f aca="false">IF($D1014=1,INDEX(TblClusters[Workers min],$B1014),"")</f>
        <v/>
      </c>
      <c r="K1014" s="84" t="str">
        <f aca="false">IF($D1014=1,INDEX(TblClusters[Tarif par nœud],$B1014),"")</f>
        <v/>
      </c>
      <c r="L1014" s="14" t="str">
        <f aca="false">IF($D1014=1,INDEX(TblClusters[CPU initial (vCPU)],$B1014),"")</f>
        <v/>
      </c>
      <c r="M1014" s="14" t="str">
        <f aca="false">IF($D1014=1,INDEX(TblClusters[RAM initiale (Go)],$B1014),"")</f>
        <v/>
      </c>
      <c r="N1014" s="14" t="str">
        <f aca="false">IF($D1014=1,INDEX(TblClusters[CPU min (vCPU)],$B1014),"")</f>
        <v/>
      </c>
      <c r="O1014" s="14" t="str">
        <f aca="false">IF($D1014=1,INDEX(TblClusters[RAM min (Go)],$B1014),"")</f>
        <v/>
      </c>
      <c r="P1014" s="14" t="str">
        <f aca="false">IF($D1014&lt;&gt;1,"",IF($G1014="ROKS",SUMIFS(TblApplications[Besoin ROKS CPU (vCPU)],TblApplications[Cluster ROKS cible],$F1014,TblApplications[Action],"À migrer",TblApplications[Déjà incluse ROKS],"Non",TblApplications[Mois prov (calc)],"&lt;="&amp;$E1014),SUMIFS(TblApplications[CPU IKS libérable (vCPU)],TblApplications[Cluster IKS source],$F1014,TblApplications[Mois lib (calc)],"&lt;="&amp;$E1014)))</f>
        <v/>
      </c>
      <c r="Q1014" s="14" t="str">
        <f aca="false">IF($D1014&lt;&gt;1,"",IF($G1014="ROKS",SUMIFS(TblApplications[Besoin ROKS RAM (Go)],TblApplications[Cluster ROKS cible],$F1014,TblApplications[Action],"À migrer",TblApplications[Déjà incluse ROKS],"Non",TblApplications[Mois prov (calc)],"&lt;="&amp;$E1014),SUMIFS(TblApplications[RAM IKS libérable (Go)],TblApplications[Cluster IKS source],$F1014,TblApplications[Mois lib (calc)],"&lt;="&amp;$E1014)))</f>
        <v/>
      </c>
      <c r="R1014" s="14" t="str">
        <f aca="false">IF($D1014&lt;&gt;1,"",IF($G1014="ROKS",$L1014+$P1014,IF($AI1014=1,0,MAX($N1014,$L1014-$P1014))))</f>
        <v/>
      </c>
      <c r="S1014" s="14" t="str">
        <f aca="false">IF($D1014&lt;&gt;1,"",IF($G1014="ROKS",$M1014+$Q1014,IF($AI1014=1,0,MAX($O1014,$M1014-$Q1014))))</f>
        <v/>
      </c>
      <c r="T1014" s="14" t="str">
        <f aca="false">IF($D1014&lt;&gt;1,"",IF($AI1014=1,0,MAX($J1014,ROUNDUP(MAX($R1014/$H1014,$S1014/$I1014),0))))</f>
        <v/>
      </c>
      <c r="U1014" s="14" t="str">
        <f aca="false">IF($D1014&lt;&gt;1,"",IF(p_mode="Nœud",$T1014*$H1014,$R1014))</f>
        <v/>
      </c>
      <c r="V1014" s="14" t="str">
        <f aca="false">IF($D1014&lt;&gt;1,"",IF(p_mode="Nœud",$T1014*$I1014,$S1014))</f>
        <v/>
      </c>
      <c r="W1014" s="84" t="str">
        <f aca="false">IF($D1014&lt;&gt;1,"",IF(p_mode="Nœud",$T1014*$K1014,$R1014*IF($G1014="IKS",p_iks_cpu,p_roks_cpu)+$S1014*IF($G1014="IKS",p_iks_ram,p_roks_ram))*p_facteur)</f>
        <v/>
      </c>
      <c r="X1014" s="14" t="str">
        <f aca="false">IF($D1014&lt;&gt;1,"",IF($G1014="ROKS",$R1014,IF($AI1014=1,0,MAX($N1014,$L1014-SUMIFS(TblApplications[CPU IKS libérable (vCPU)],TblApplications[Cluster IKS source],$F1014,TblApplications[Action],"À migrer",TblApplications[Mois prov (calc)],"&lt;="&amp;$E1014)-SUMIFS(TblApplications[CPU IKS libérable (vCPU)],TblApplications[Cluster IKS source],$F1014,TblApplications[Action],"À décommissionner",TblApplications[Mois lib (calc)],"&lt;="&amp;$E1014)))))</f>
        <v/>
      </c>
      <c r="Y1014" s="14" t="str">
        <f aca="false">IF($D1014&lt;&gt;1,"",IF($G1014="ROKS",$S1014,IF($AI1014=1,0,MAX($O1014,$M1014-SUMIFS(TblApplications[RAM IKS libérable (Go)],TblApplications[Cluster IKS source],$F1014,TblApplications[Action],"À migrer",TblApplications[Mois prov (calc)],"&lt;="&amp;$E1014)-SUMIFS(TblApplications[RAM IKS libérable (Go)],TblApplications[Cluster IKS source],$F1014,TblApplications[Action],"À décommissionner",TblApplications[Mois lib (calc)],"&lt;="&amp;$E1014)))))</f>
        <v/>
      </c>
      <c r="Z1014" s="14" t="str">
        <f aca="false">IF($D1014&lt;&gt;1,"",IF($AI1014=1,0,MAX($J1014,ROUNDUP(MAX($X1014/$H1014,$Y1014/$I1014),0))))</f>
        <v/>
      </c>
      <c r="AA1014" s="84" t="str">
        <f aca="false">IF($D1014&lt;&gt;1,"",IF(p_mode="Nœud",$Z1014*$K1014,$X1014*IF($G1014="IKS",p_iks_cpu,p_roks_cpu)+$Y1014*IF($G1014="IKS",p_iks_ram,p_roks_ram))*p_facteur)</f>
        <v/>
      </c>
      <c r="AB1014" s="14" t="str">
        <f aca="false">IF($D1014&lt;&gt;1,"",MAX($J1014,ROUNDUP(MAX($L1014/$H1014,$M1014/$I1014),0)))</f>
        <v/>
      </c>
      <c r="AC1014" s="84" t="str">
        <f aca="false">IF($D1014&lt;&gt;1,"",IF(p_mode="Nœud",$AB1014*$K1014,$L1014*IF($G1014="IKS",p_iks_cpu,p_roks_cpu)+$M1014*IF($G1014="IKS",p_iks_ram,p_roks_ram))*p_facteur)</f>
        <v/>
      </c>
      <c r="AD1014" s="14" t="str">
        <f aca="false">IF($D1014&lt;&gt;1,"",IF(AND($G1014="IKS",$AI1014&lt;&gt;1,OR($L1014-$P1014&lt;$N1014,$M1014-$Q1014&lt;$O1014)),1,0))</f>
        <v/>
      </c>
      <c r="AE1014" s="14" t="str">
        <f aca="false">IF($D1014&lt;&gt;1,"",IF(AND($G1014="ROKS",$T1014&gt;p_maxworkers),1,0))</f>
        <v/>
      </c>
      <c r="AF1014" s="14" t="str">
        <f aca="false">IF($D1014&lt;&gt;1,"",IF(INDEX(TblClusters[Environnement],$B1014)="","(vide)",INDEX(TblClusters[Environnement],$B1014)))</f>
        <v/>
      </c>
      <c r="AG1014" s="14" t="str">
        <f aca="false">IF($D1014&lt;&gt;1,"",$R1014+p_poidsram*$S1014)</f>
        <v/>
      </c>
      <c r="AH1014" s="14" t="str">
        <f aca="false">IF($D1014&lt;&gt;1,"",IFERROR($W1014/$AG1014,0))</f>
        <v/>
      </c>
      <c r="AI1014" s="14" t="str">
        <f aca="false">IF($D1014&lt;&gt;1,"",IF(AND($G1014="IKS",ISNUMBER(INDEX(TblClusters[Fermeture retenue],$B1014))),IF($E1014&gt;=INDEX(TblClusters[Fermeture retenue],$B1014),1,0),0))</f>
        <v/>
      </c>
    </row>
    <row r="1015" customFormat="false" ht="15" hidden="false" customHeight="false" outlineLevel="0" collapsed="false">
      <c r="A1015" s="14" t="n">
        <v>1010</v>
      </c>
      <c r="B1015" s="14" t="n">
        <f aca="false">INT(($A1015-1)/36)+1</f>
        <v>29</v>
      </c>
      <c r="C1015" s="14" t="n">
        <f aca="false">MOD($A1015-1,36)+1</f>
        <v>2</v>
      </c>
      <c r="D1015" s="14" t="n">
        <f aca="false">IF($C1015&gt;p_horizon,0,IFERROR(IF(AND(INDEX(TblClusters[Cluster],$B1015)&lt;&gt;"",ISNUMBER(INDEX(TblClusters[CPU initial (vCPU)],$B1015)),ISNUMBER(INDEX(TblClusters[CPU min (vCPU)],$B1015)),OR(INDEX(TblClusters[Plateforme],$B1015)="IKS",INDEX(TblClusters[Plateforme],$B1015)="ROKS")),1,0),0))</f>
        <v>0</v>
      </c>
      <c r="E1015" s="83" t="str">
        <f aca="false">IF($D1015=1,EDATE(p_debut,$C1015-1),"")</f>
        <v/>
      </c>
      <c r="F1015" s="14" t="str">
        <f aca="false">IF($D1015=1,INDEX(TblClusters[Cluster],$B1015),"")</f>
        <v/>
      </c>
      <c r="G1015" s="14" t="str">
        <f aca="false">IF($D1015=1,INDEX(TblClusters[Plateforme],$B1015),"")</f>
        <v/>
      </c>
      <c r="H1015" s="14" t="str">
        <f aca="false">IF($D1015=1,INDEX(TblClusters[vCPU par nœud],$B1015),"")</f>
        <v/>
      </c>
      <c r="I1015" s="14" t="str">
        <f aca="false">IF($D1015=1,INDEX(TblClusters[RAM par nœud (Go)],$B1015),"")</f>
        <v/>
      </c>
      <c r="J1015" s="14" t="str">
        <f aca="false">IF($D1015=1,INDEX(TblClusters[Workers min],$B1015),"")</f>
        <v/>
      </c>
      <c r="K1015" s="84" t="str">
        <f aca="false">IF($D1015=1,INDEX(TblClusters[Tarif par nœud],$B1015),"")</f>
        <v/>
      </c>
      <c r="L1015" s="14" t="str">
        <f aca="false">IF($D1015=1,INDEX(TblClusters[CPU initial (vCPU)],$B1015),"")</f>
        <v/>
      </c>
      <c r="M1015" s="14" t="str">
        <f aca="false">IF($D1015=1,INDEX(TblClusters[RAM initiale (Go)],$B1015),"")</f>
        <v/>
      </c>
      <c r="N1015" s="14" t="str">
        <f aca="false">IF($D1015=1,INDEX(TblClusters[CPU min (vCPU)],$B1015),"")</f>
        <v/>
      </c>
      <c r="O1015" s="14" t="str">
        <f aca="false">IF($D1015=1,INDEX(TblClusters[RAM min (Go)],$B1015),"")</f>
        <v/>
      </c>
      <c r="P1015" s="14" t="str">
        <f aca="false">IF($D1015&lt;&gt;1,"",IF($G1015="ROKS",SUMIFS(TblApplications[Besoin ROKS CPU (vCPU)],TblApplications[Cluster ROKS cible],$F1015,TblApplications[Action],"À migrer",TblApplications[Déjà incluse ROKS],"Non",TblApplications[Mois prov (calc)],"&lt;="&amp;$E1015),SUMIFS(TblApplications[CPU IKS libérable (vCPU)],TblApplications[Cluster IKS source],$F1015,TblApplications[Mois lib (calc)],"&lt;="&amp;$E1015)))</f>
        <v/>
      </c>
      <c r="Q1015" s="14" t="str">
        <f aca="false">IF($D1015&lt;&gt;1,"",IF($G1015="ROKS",SUMIFS(TblApplications[Besoin ROKS RAM (Go)],TblApplications[Cluster ROKS cible],$F1015,TblApplications[Action],"À migrer",TblApplications[Déjà incluse ROKS],"Non",TblApplications[Mois prov (calc)],"&lt;="&amp;$E1015),SUMIFS(TblApplications[RAM IKS libérable (Go)],TblApplications[Cluster IKS source],$F1015,TblApplications[Mois lib (calc)],"&lt;="&amp;$E1015)))</f>
        <v/>
      </c>
      <c r="R1015" s="14" t="str">
        <f aca="false">IF($D1015&lt;&gt;1,"",IF($G1015="ROKS",$L1015+$P1015,IF($AI1015=1,0,MAX($N1015,$L1015-$P1015))))</f>
        <v/>
      </c>
      <c r="S1015" s="14" t="str">
        <f aca="false">IF($D1015&lt;&gt;1,"",IF($G1015="ROKS",$M1015+$Q1015,IF($AI1015=1,0,MAX($O1015,$M1015-$Q1015))))</f>
        <v/>
      </c>
      <c r="T1015" s="14" t="str">
        <f aca="false">IF($D1015&lt;&gt;1,"",IF($AI1015=1,0,MAX($J1015,ROUNDUP(MAX($R1015/$H1015,$S1015/$I1015),0))))</f>
        <v/>
      </c>
      <c r="U1015" s="14" t="str">
        <f aca="false">IF($D1015&lt;&gt;1,"",IF(p_mode="Nœud",$T1015*$H1015,$R1015))</f>
        <v/>
      </c>
      <c r="V1015" s="14" t="str">
        <f aca="false">IF($D1015&lt;&gt;1,"",IF(p_mode="Nœud",$T1015*$I1015,$S1015))</f>
        <v/>
      </c>
      <c r="W1015" s="84" t="str">
        <f aca="false">IF($D1015&lt;&gt;1,"",IF(p_mode="Nœud",$T1015*$K1015,$R1015*IF($G1015="IKS",p_iks_cpu,p_roks_cpu)+$S1015*IF($G1015="IKS",p_iks_ram,p_roks_ram))*p_facteur)</f>
        <v/>
      </c>
      <c r="X1015" s="14" t="str">
        <f aca="false">IF($D1015&lt;&gt;1,"",IF($G1015="ROKS",$R1015,IF($AI1015=1,0,MAX($N1015,$L1015-SUMIFS(TblApplications[CPU IKS libérable (vCPU)],TblApplications[Cluster IKS source],$F1015,TblApplications[Action],"À migrer",TblApplications[Mois prov (calc)],"&lt;="&amp;$E1015)-SUMIFS(TblApplications[CPU IKS libérable (vCPU)],TblApplications[Cluster IKS source],$F1015,TblApplications[Action],"À décommissionner",TblApplications[Mois lib (calc)],"&lt;="&amp;$E1015)))))</f>
        <v/>
      </c>
      <c r="Y1015" s="14" t="str">
        <f aca="false">IF($D1015&lt;&gt;1,"",IF($G1015="ROKS",$S1015,IF($AI1015=1,0,MAX($O1015,$M1015-SUMIFS(TblApplications[RAM IKS libérable (Go)],TblApplications[Cluster IKS source],$F1015,TblApplications[Action],"À migrer",TblApplications[Mois prov (calc)],"&lt;="&amp;$E1015)-SUMIFS(TblApplications[RAM IKS libérable (Go)],TblApplications[Cluster IKS source],$F1015,TblApplications[Action],"À décommissionner",TblApplications[Mois lib (calc)],"&lt;="&amp;$E1015)))))</f>
        <v/>
      </c>
      <c r="Z1015" s="14" t="str">
        <f aca="false">IF($D1015&lt;&gt;1,"",IF($AI1015=1,0,MAX($J1015,ROUNDUP(MAX($X1015/$H1015,$Y1015/$I1015),0))))</f>
        <v/>
      </c>
      <c r="AA1015" s="84" t="str">
        <f aca="false">IF($D1015&lt;&gt;1,"",IF(p_mode="Nœud",$Z1015*$K1015,$X1015*IF($G1015="IKS",p_iks_cpu,p_roks_cpu)+$Y1015*IF($G1015="IKS",p_iks_ram,p_roks_ram))*p_facteur)</f>
        <v/>
      </c>
      <c r="AB1015" s="14" t="str">
        <f aca="false">IF($D1015&lt;&gt;1,"",MAX($J1015,ROUNDUP(MAX($L1015/$H1015,$M1015/$I1015),0)))</f>
        <v/>
      </c>
      <c r="AC1015" s="84" t="str">
        <f aca="false">IF($D1015&lt;&gt;1,"",IF(p_mode="Nœud",$AB1015*$K1015,$L1015*IF($G1015="IKS",p_iks_cpu,p_roks_cpu)+$M1015*IF($G1015="IKS",p_iks_ram,p_roks_ram))*p_facteur)</f>
        <v/>
      </c>
      <c r="AD1015" s="14" t="str">
        <f aca="false">IF($D1015&lt;&gt;1,"",IF(AND($G1015="IKS",$AI1015&lt;&gt;1,OR($L1015-$P1015&lt;$N1015,$M1015-$Q1015&lt;$O1015)),1,0))</f>
        <v/>
      </c>
      <c r="AE1015" s="14" t="str">
        <f aca="false">IF($D1015&lt;&gt;1,"",IF(AND($G1015="ROKS",$T1015&gt;p_maxworkers),1,0))</f>
        <v/>
      </c>
      <c r="AF1015" s="14" t="str">
        <f aca="false">IF($D1015&lt;&gt;1,"",IF(INDEX(TblClusters[Environnement],$B1015)="","(vide)",INDEX(TblClusters[Environnement],$B1015)))</f>
        <v/>
      </c>
      <c r="AG1015" s="14" t="str">
        <f aca="false">IF($D1015&lt;&gt;1,"",$R1015+p_poidsram*$S1015)</f>
        <v/>
      </c>
      <c r="AH1015" s="14" t="str">
        <f aca="false">IF($D1015&lt;&gt;1,"",IFERROR($W1015/$AG1015,0))</f>
        <v/>
      </c>
      <c r="AI1015" s="14" t="str">
        <f aca="false">IF($D1015&lt;&gt;1,"",IF(AND($G1015="IKS",ISNUMBER(INDEX(TblClusters[Fermeture retenue],$B1015))),IF($E1015&gt;=INDEX(TblClusters[Fermeture retenue],$B1015),1,0),0))</f>
        <v/>
      </c>
    </row>
    <row r="1016" customFormat="false" ht="15" hidden="false" customHeight="false" outlineLevel="0" collapsed="false">
      <c r="A1016" s="14" t="n">
        <v>1011</v>
      </c>
      <c r="B1016" s="14" t="n">
        <f aca="false">INT(($A1016-1)/36)+1</f>
        <v>29</v>
      </c>
      <c r="C1016" s="14" t="n">
        <f aca="false">MOD($A1016-1,36)+1</f>
        <v>3</v>
      </c>
      <c r="D1016" s="14" t="n">
        <f aca="false">IF($C1016&gt;p_horizon,0,IFERROR(IF(AND(INDEX(TblClusters[Cluster],$B1016)&lt;&gt;"",ISNUMBER(INDEX(TblClusters[CPU initial (vCPU)],$B1016)),ISNUMBER(INDEX(TblClusters[CPU min (vCPU)],$B1016)),OR(INDEX(TblClusters[Plateforme],$B1016)="IKS",INDEX(TblClusters[Plateforme],$B1016)="ROKS")),1,0),0))</f>
        <v>0</v>
      </c>
      <c r="E1016" s="83" t="str">
        <f aca="false">IF($D1016=1,EDATE(p_debut,$C1016-1),"")</f>
        <v/>
      </c>
      <c r="F1016" s="14" t="str">
        <f aca="false">IF($D1016=1,INDEX(TblClusters[Cluster],$B1016),"")</f>
        <v/>
      </c>
      <c r="G1016" s="14" t="str">
        <f aca="false">IF($D1016=1,INDEX(TblClusters[Plateforme],$B1016),"")</f>
        <v/>
      </c>
      <c r="H1016" s="14" t="str">
        <f aca="false">IF($D1016=1,INDEX(TblClusters[vCPU par nœud],$B1016),"")</f>
        <v/>
      </c>
      <c r="I1016" s="14" t="str">
        <f aca="false">IF($D1016=1,INDEX(TblClusters[RAM par nœud (Go)],$B1016),"")</f>
        <v/>
      </c>
      <c r="J1016" s="14" t="str">
        <f aca="false">IF($D1016=1,INDEX(TblClusters[Workers min],$B1016),"")</f>
        <v/>
      </c>
      <c r="K1016" s="84" t="str">
        <f aca="false">IF($D1016=1,INDEX(TblClusters[Tarif par nœud],$B1016),"")</f>
        <v/>
      </c>
      <c r="L1016" s="14" t="str">
        <f aca="false">IF($D1016=1,INDEX(TblClusters[CPU initial (vCPU)],$B1016),"")</f>
        <v/>
      </c>
      <c r="M1016" s="14" t="str">
        <f aca="false">IF($D1016=1,INDEX(TblClusters[RAM initiale (Go)],$B1016),"")</f>
        <v/>
      </c>
      <c r="N1016" s="14" t="str">
        <f aca="false">IF($D1016=1,INDEX(TblClusters[CPU min (vCPU)],$B1016),"")</f>
        <v/>
      </c>
      <c r="O1016" s="14" t="str">
        <f aca="false">IF($D1016=1,INDEX(TblClusters[RAM min (Go)],$B1016),"")</f>
        <v/>
      </c>
      <c r="P1016" s="14" t="str">
        <f aca="false">IF($D1016&lt;&gt;1,"",IF($G1016="ROKS",SUMIFS(TblApplications[Besoin ROKS CPU (vCPU)],TblApplications[Cluster ROKS cible],$F1016,TblApplications[Action],"À migrer",TblApplications[Déjà incluse ROKS],"Non",TblApplications[Mois prov (calc)],"&lt;="&amp;$E1016),SUMIFS(TblApplications[CPU IKS libérable (vCPU)],TblApplications[Cluster IKS source],$F1016,TblApplications[Mois lib (calc)],"&lt;="&amp;$E1016)))</f>
        <v/>
      </c>
      <c r="Q1016" s="14" t="str">
        <f aca="false">IF($D1016&lt;&gt;1,"",IF($G1016="ROKS",SUMIFS(TblApplications[Besoin ROKS RAM (Go)],TblApplications[Cluster ROKS cible],$F1016,TblApplications[Action],"À migrer",TblApplications[Déjà incluse ROKS],"Non",TblApplications[Mois prov (calc)],"&lt;="&amp;$E1016),SUMIFS(TblApplications[RAM IKS libérable (Go)],TblApplications[Cluster IKS source],$F1016,TblApplications[Mois lib (calc)],"&lt;="&amp;$E1016)))</f>
        <v/>
      </c>
      <c r="R1016" s="14" t="str">
        <f aca="false">IF($D1016&lt;&gt;1,"",IF($G1016="ROKS",$L1016+$P1016,IF($AI1016=1,0,MAX($N1016,$L1016-$P1016))))</f>
        <v/>
      </c>
      <c r="S1016" s="14" t="str">
        <f aca="false">IF($D1016&lt;&gt;1,"",IF($G1016="ROKS",$M1016+$Q1016,IF($AI1016=1,0,MAX($O1016,$M1016-$Q1016))))</f>
        <v/>
      </c>
      <c r="T1016" s="14" t="str">
        <f aca="false">IF($D1016&lt;&gt;1,"",IF($AI1016=1,0,MAX($J1016,ROUNDUP(MAX($R1016/$H1016,$S1016/$I1016),0))))</f>
        <v/>
      </c>
      <c r="U1016" s="14" t="str">
        <f aca="false">IF($D1016&lt;&gt;1,"",IF(p_mode="Nœud",$T1016*$H1016,$R1016))</f>
        <v/>
      </c>
      <c r="V1016" s="14" t="str">
        <f aca="false">IF($D1016&lt;&gt;1,"",IF(p_mode="Nœud",$T1016*$I1016,$S1016))</f>
        <v/>
      </c>
      <c r="W1016" s="84" t="str">
        <f aca="false">IF($D1016&lt;&gt;1,"",IF(p_mode="Nœud",$T1016*$K1016,$R1016*IF($G1016="IKS",p_iks_cpu,p_roks_cpu)+$S1016*IF($G1016="IKS",p_iks_ram,p_roks_ram))*p_facteur)</f>
        <v/>
      </c>
      <c r="X1016" s="14" t="str">
        <f aca="false">IF($D1016&lt;&gt;1,"",IF($G1016="ROKS",$R1016,IF($AI1016=1,0,MAX($N1016,$L1016-SUMIFS(TblApplications[CPU IKS libérable (vCPU)],TblApplications[Cluster IKS source],$F1016,TblApplications[Action],"À migrer",TblApplications[Mois prov (calc)],"&lt;="&amp;$E1016)-SUMIFS(TblApplications[CPU IKS libérable (vCPU)],TblApplications[Cluster IKS source],$F1016,TblApplications[Action],"À décommissionner",TblApplications[Mois lib (calc)],"&lt;="&amp;$E1016)))))</f>
        <v/>
      </c>
      <c r="Y1016" s="14" t="str">
        <f aca="false">IF($D1016&lt;&gt;1,"",IF($G1016="ROKS",$S1016,IF($AI1016=1,0,MAX($O1016,$M1016-SUMIFS(TblApplications[RAM IKS libérable (Go)],TblApplications[Cluster IKS source],$F1016,TblApplications[Action],"À migrer",TblApplications[Mois prov (calc)],"&lt;="&amp;$E1016)-SUMIFS(TblApplications[RAM IKS libérable (Go)],TblApplications[Cluster IKS source],$F1016,TblApplications[Action],"À décommissionner",TblApplications[Mois lib (calc)],"&lt;="&amp;$E1016)))))</f>
        <v/>
      </c>
      <c r="Z1016" s="14" t="str">
        <f aca="false">IF($D1016&lt;&gt;1,"",IF($AI1016=1,0,MAX($J1016,ROUNDUP(MAX($X1016/$H1016,$Y1016/$I1016),0))))</f>
        <v/>
      </c>
      <c r="AA1016" s="84" t="str">
        <f aca="false">IF($D1016&lt;&gt;1,"",IF(p_mode="Nœud",$Z1016*$K1016,$X1016*IF($G1016="IKS",p_iks_cpu,p_roks_cpu)+$Y1016*IF($G1016="IKS",p_iks_ram,p_roks_ram))*p_facteur)</f>
        <v/>
      </c>
      <c r="AB1016" s="14" t="str">
        <f aca="false">IF($D1016&lt;&gt;1,"",MAX($J1016,ROUNDUP(MAX($L1016/$H1016,$M1016/$I1016),0)))</f>
        <v/>
      </c>
      <c r="AC1016" s="84" t="str">
        <f aca="false">IF($D1016&lt;&gt;1,"",IF(p_mode="Nœud",$AB1016*$K1016,$L1016*IF($G1016="IKS",p_iks_cpu,p_roks_cpu)+$M1016*IF($G1016="IKS",p_iks_ram,p_roks_ram))*p_facteur)</f>
        <v/>
      </c>
      <c r="AD1016" s="14" t="str">
        <f aca="false">IF($D1016&lt;&gt;1,"",IF(AND($G1016="IKS",$AI1016&lt;&gt;1,OR($L1016-$P1016&lt;$N1016,$M1016-$Q1016&lt;$O1016)),1,0))</f>
        <v/>
      </c>
      <c r="AE1016" s="14" t="str">
        <f aca="false">IF($D1016&lt;&gt;1,"",IF(AND($G1016="ROKS",$T1016&gt;p_maxworkers),1,0))</f>
        <v/>
      </c>
      <c r="AF1016" s="14" t="str">
        <f aca="false">IF($D1016&lt;&gt;1,"",IF(INDEX(TblClusters[Environnement],$B1016)="","(vide)",INDEX(TblClusters[Environnement],$B1016)))</f>
        <v/>
      </c>
      <c r="AG1016" s="14" t="str">
        <f aca="false">IF($D1016&lt;&gt;1,"",$R1016+p_poidsram*$S1016)</f>
        <v/>
      </c>
      <c r="AH1016" s="14" t="str">
        <f aca="false">IF($D1016&lt;&gt;1,"",IFERROR($W1016/$AG1016,0))</f>
        <v/>
      </c>
      <c r="AI1016" s="14" t="str">
        <f aca="false">IF($D1016&lt;&gt;1,"",IF(AND($G1016="IKS",ISNUMBER(INDEX(TblClusters[Fermeture retenue],$B1016))),IF($E1016&gt;=INDEX(TblClusters[Fermeture retenue],$B1016),1,0),0))</f>
        <v/>
      </c>
    </row>
    <row r="1017" customFormat="false" ht="15" hidden="false" customHeight="false" outlineLevel="0" collapsed="false">
      <c r="A1017" s="14" t="n">
        <v>1012</v>
      </c>
      <c r="B1017" s="14" t="n">
        <f aca="false">INT(($A1017-1)/36)+1</f>
        <v>29</v>
      </c>
      <c r="C1017" s="14" t="n">
        <f aca="false">MOD($A1017-1,36)+1</f>
        <v>4</v>
      </c>
      <c r="D1017" s="14" t="n">
        <f aca="false">IF($C1017&gt;p_horizon,0,IFERROR(IF(AND(INDEX(TblClusters[Cluster],$B1017)&lt;&gt;"",ISNUMBER(INDEX(TblClusters[CPU initial (vCPU)],$B1017)),ISNUMBER(INDEX(TblClusters[CPU min (vCPU)],$B1017)),OR(INDEX(TblClusters[Plateforme],$B1017)="IKS",INDEX(TblClusters[Plateforme],$B1017)="ROKS")),1,0),0))</f>
        <v>0</v>
      </c>
      <c r="E1017" s="83" t="str">
        <f aca="false">IF($D1017=1,EDATE(p_debut,$C1017-1),"")</f>
        <v/>
      </c>
      <c r="F1017" s="14" t="str">
        <f aca="false">IF($D1017=1,INDEX(TblClusters[Cluster],$B1017),"")</f>
        <v/>
      </c>
      <c r="G1017" s="14" t="str">
        <f aca="false">IF($D1017=1,INDEX(TblClusters[Plateforme],$B1017),"")</f>
        <v/>
      </c>
      <c r="H1017" s="14" t="str">
        <f aca="false">IF($D1017=1,INDEX(TblClusters[vCPU par nœud],$B1017),"")</f>
        <v/>
      </c>
      <c r="I1017" s="14" t="str">
        <f aca="false">IF($D1017=1,INDEX(TblClusters[RAM par nœud (Go)],$B1017),"")</f>
        <v/>
      </c>
      <c r="J1017" s="14" t="str">
        <f aca="false">IF($D1017=1,INDEX(TblClusters[Workers min],$B1017),"")</f>
        <v/>
      </c>
      <c r="K1017" s="84" t="str">
        <f aca="false">IF($D1017=1,INDEX(TblClusters[Tarif par nœud],$B1017),"")</f>
        <v/>
      </c>
      <c r="L1017" s="14" t="str">
        <f aca="false">IF($D1017=1,INDEX(TblClusters[CPU initial (vCPU)],$B1017),"")</f>
        <v/>
      </c>
      <c r="M1017" s="14" t="str">
        <f aca="false">IF($D1017=1,INDEX(TblClusters[RAM initiale (Go)],$B1017),"")</f>
        <v/>
      </c>
      <c r="N1017" s="14" t="str">
        <f aca="false">IF($D1017=1,INDEX(TblClusters[CPU min (vCPU)],$B1017),"")</f>
        <v/>
      </c>
      <c r="O1017" s="14" t="str">
        <f aca="false">IF($D1017=1,INDEX(TblClusters[RAM min (Go)],$B1017),"")</f>
        <v/>
      </c>
      <c r="P1017" s="14" t="str">
        <f aca="false">IF($D1017&lt;&gt;1,"",IF($G1017="ROKS",SUMIFS(TblApplications[Besoin ROKS CPU (vCPU)],TblApplications[Cluster ROKS cible],$F1017,TblApplications[Action],"À migrer",TblApplications[Déjà incluse ROKS],"Non",TblApplications[Mois prov (calc)],"&lt;="&amp;$E1017),SUMIFS(TblApplications[CPU IKS libérable (vCPU)],TblApplications[Cluster IKS source],$F1017,TblApplications[Mois lib (calc)],"&lt;="&amp;$E1017)))</f>
        <v/>
      </c>
      <c r="Q1017" s="14" t="str">
        <f aca="false">IF($D1017&lt;&gt;1,"",IF($G1017="ROKS",SUMIFS(TblApplications[Besoin ROKS RAM (Go)],TblApplications[Cluster ROKS cible],$F1017,TblApplications[Action],"À migrer",TblApplications[Déjà incluse ROKS],"Non",TblApplications[Mois prov (calc)],"&lt;="&amp;$E1017),SUMIFS(TblApplications[RAM IKS libérable (Go)],TblApplications[Cluster IKS source],$F1017,TblApplications[Mois lib (calc)],"&lt;="&amp;$E1017)))</f>
        <v/>
      </c>
      <c r="R1017" s="14" t="str">
        <f aca="false">IF($D1017&lt;&gt;1,"",IF($G1017="ROKS",$L1017+$P1017,IF($AI1017=1,0,MAX($N1017,$L1017-$P1017))))</f>
        <v/>
      </c>
      <c r="S1017" s="14" t="str">
        <f aca="false">IF($D1017&lt;&gt;1,"",IF($G1017="ROKS",$M1017+$Q1017,IF($AI1017=1,0,MAX($O1017,$M1017-$Q1017))))</f>
        <v/>
      </c>
      <c r="T1017" s="14" t="str">
        <f aca="false">IF($D1017&lt;&gt;1,"",IF($AI1017=1,0,MAX($J1017,ROUNDUP(MAX($R1017/$H1017,$S1017/$I1017),0))))</f>
        <v/>
      </c>
      <c r="U1017" s="14" t="str">
        <f aca="false">IF($D1017&lt;&gt;1,"",IF(p_mode="Nœud",$T1017*$H1017,$R1017))</f>
        <v/>
      </c>
      <c r="V1017" s="14" t="str">
        <f aca="false">IF($D1017&lt;&gt;1,"",IF(p_mode="Nœud",$T1017*$I1017,$S1017))</f>
        <v/>
      </c>
      <c r="W1017" s="84" t="str">
        <f aca="false">IF($D1017&lt;&gt;1,"",IF(p_mode="Nœud",$T1017*$K1017,$R1017*IF($G1017="IKS",p_iks_cpu,p_roks_cpu)+$S1017*IF($G1017="IKS",p_iks_ram,p_roks_ram))*p_facteur)</f>
        <v/>
      </c>
      <c r="X1017" s="14" t="str">
        <f aca="false">IF($D1017&lt;&gt;1,"",IF($G1017="ROKS",$R1017,IF($AI1017=1,0,MAX($N1017,$L1017-SUMIFS(TblApplications[CPU IKS libérable (vCPU)],TblApplications[Cluster IKS source],$F1017,TblApplications[Action],"À migrer",TblApplications[Mois prov (calc)],"&lt;="&amp;$E1017)-SUMIFS(TblApplications[CPU IKS libérable (vCPU)],TblApplications[Cluster IKS source],$F1017,TblApplications[Action],"À décommissionner",TblApplications[Mois lib (calc)],"&lt;="&amp;$E1017)))))</f>
        <v/>
      </c>
      <c r="Y1017" s="14" t="str">
        <f aca="false">IF($D1017&lt;&gt;1,"",IF($G1017="ROKS",$S1017,IF($AI1017=1,0,MAX($O1017,$M1017-SUMIFS(TblApplications[RAM IKS libérable (Go)],TblApplications[Cluster IKS source],$F1017,TblApplications[Action],"À migrer",TblApplications[Mois prov (calc)],"&lt;="&amp;$E1017)-SUMIFS(TblApplications[RAM IKS libérable (Go)],TblApplications[Cluster IKS source],$F1017,TblApplications[Action],"À décommissionner",TblApplications[Mois lib (calc)],"&lt;="&amp;$E1017)))))</f>
        <v/>
      </c>
      <c r="Z1017" s="14" t="str">
        <f aca="false">IF($D1017&lt;&gt;1,"",IF($AI1017=1,0,MAX($J1017,ROUNDUP(MAX($X1017/$H1017,$Y1017/$I1017),0))))</f>
        <v/>
      </c>
      <c r="AA1017" s="84" t="str">
        <f aca="false">IF($D1017&lt;&gt;1,"",IF(p_mode="Nœud",$Z1017*$K1017,$X1017*IF($G1017="IKS",p_iks_cpu,p_roks_cpu)+$Y1017*IF($G1017="IKS",p_iks_ram,p_roks_ram))*p_facteur)</f>
        <v/>
      </c>
      <c r="AB1017" s="14" t="str">
        <f aca="false">IF($D1017&lt;&gt;1,"",MAX($J1017,ROUNDUP(MAX($L1017/$H1017,$M1017/$I1017),0)))</f>
        <v/>
      </c>
      <c r="AC1017" s="84" t="str">
        <f aca="false">IF($D1017&lt;&gt;1,"",IF(p_mode="Nœud",$AB1017*$K1017,$L1017*IF($G1017="IKS",p_iks_cpu,p_roks_cpu)+$M1017*IF($G1017="IKS",p_iks_ram,p_roks_ram))*p_facteur)</f>
        <v/>
      </c>
      <c r="AD1017" s="14" t="str">
        <f aca="false">IF($D1017&lt;&gt;1,"",IF(AND($G1017="IKS",$AI1017&lt;&gt;1,OR($L1017-$P1017&lt;$N1017,$M1017-$Q1017&lt;$O1017)),1,0))</f>
        <v/>
      </c>
      <c r="AE1017" s="14" t="str">
        <f aca="false">IF($D1017&lt;&gt;1,"",IF(AND($G1017="ROKS",$T1017&gt;p_maxworkers),1,0))</f>
        <v/>
      </c>
      <c r="AF1017" s="14" t="str">
        <f aca="false">IF($D1017&lt;&gt;1,"",IF(INDEX(TblClusters[Environnement],$B1017)="","(vide)",INDEX(TblClusters[Environnement],$B1017)))</f>
        <v/>
      </c>
      <c r="AG1017" s="14" t="str">
        <f aca="false">IF($D1017&lt;&gt;1,"",$R1017+p_poidsram*$S1017)</f>
        <v/>
      </c>
      <c r="AH1017" s="14" t="str">
        <f aca="false">IF($D1017&lt;&gt;1,"",IFERROR($W1017/$AG1017,0))</f>
        <v/>
      </c>
      <c r="AI1017" s="14" t="str">
        <f aca="false">IF($D1017&lt;&gt;1,"",IF(AND($G1017="IKS",ISNUMBER(INDEX(TblClusters[Fermeture retenue],$B1017))),IF($E1017&gt;=INDEX(TblClusters[Fermeture retenue],$B1017),1,0),0))</f>
        <v/>
      </c>
    </row>
    <row r="1018" customFormat="false" ht="15" hidden="false" customHeight="false" outlineLevel="0" collapsed="false">
      <c r="A1018" s="14" t="n">
        <v>1013</v>
      </c>
      <c r="B1018" s="14" t="n">
        <f aca="false">INT(($A1018-1)/36)+1</f>
        <v>29</v>
      </c>
      <c r="C1018" s="14" t="n">
        <f aca="false">MOD($A1018-1,36)+1</f>
        <v>5</v>
      </c>
      <c r="D1018" s="14" t="n">
        <f aca="false">IF($C1018&gt;p_horizon,0,IFERROR(IF(AND(INDEX(TblClusters[Cluster],$B1018)&lt;&gt;"",ISNUMBER(INDEX(TblClusters[CPU initial (vCPU)],$B1018)),ISNUMBER(INDEX(TblClusters[CPU min (vCPU)],$B1018)),OR(INDEX(TblClusters[Plateforme],$B1018)="IKS",INDEX(TblClusters[Plateforme],$B1018)="ROKS")),1,0),0))</f>
        <v>0</v>
      </c>
      <c r="E1018" s="83" t="str">
        <f aca="false">IF($D1018=1,EDATE(p_debut,$C1018-1),"")</f>
        <v/>
      </c>
      <c r="F1018" s="14" t="str">
        <f aca="false">IF($D1018=1,INDEX(TblClusters[Cluster],$B1018),"")</f>
        <v/>
      </c>
      <c r="G1018" s="14" t="str">
        <f aca="false">IF($D1018=1,INDEX(TblClusters[Plateforme],$B1018),"")</f>
        <v/>
      </c>
      <c r="H1018" s="14" t="str">
        <f aca="false">IF($D1018=1,INDEX(TblClusters[vCPU par nœud],$B1018),"")</f>
        <v/>
      </c>
      <c r="I1018" s="14" t="str">
        <f aca="false">IF($D1018=1,INDEX(TblClusters[RAM par nœud (Go)],$B1018),"")</f>
        <v/>
      </c>
      <c r="J1018" s="14" t="str">
        <f aca="false">IF($D1018=1,INDEX(TblClusters[Workers min],$B1018),"")</f>
        <v/>
      </c>
      <c r="K1018" s="84" t="str">
        <f aca="false">IF($D1018=1,INDEX(TblClusters[Tarif par nœud],$B1018),"")</f>
        <v/>
      </c>
      <c r="L1018" s="14" t="str">
        <f aca="false">IF($D1018=1,INDEX(TblClusters[CPU initial (vCPU)],$B1018),"")</f>
        <v/>
      </c>
      <c r="M1018" s="14" t="str">
        <f aca="false">IF($D1018=1,INDEX(TblClusters[RAM initiale (Go)],$B1018),"")</f>
        <v/>
      </c>
      <c r="N1018" s="14" t="str">
        <f aca="false">IF($D1018=1,INDEX(TblClusters[CPU min (vCPU)],$B1018),"")</f>
        <v/>
      </c>
      <c r="O1018" s="14" t="str">
        <f aca="false">IF($D1018=1,INDEX(TblClusters[RAM min (Go)],$B1018),"")</f>
        <v/>
      </c>
      <c r="P1018" s="14" t="str">
        <f aca="false">IF($D1018&lt;&gt;1,"",IF($G1018="ROKS",SUMIFS(TblApplications[Besoin ROKS CPU (vCPU)],TblApplications[Cluster ROKS cible],$F1018,TblApplications[Action],"À migrer",TblApplications[Déjà incluse ROKS],"Non",TblApplications[Mois prov (calc)],"&lt;="&amp;$E1018),SUMIFS(TblApplications[CPU IKS libérable (vCPU)],TblApplications[Cluster IKS source],$F1018,TblApplications[Mois lib (calc)],"&lt;="&amp;$E1018)))</f>
        <v/>
      </c>
      <c r="Q1018" s="14" t="str">
        <f aca="false">IF($D1018&lt;&gt;1,"",IF($G1018="ROKS",SUMIFS(TblApplications[Besoin ROKS RAM (Go)],TblApplications[Cluster ROKS cible],$F1018,TblApplications[Action],"À migrer",TblApplications[Déjà incluse ROKS],"Non",TblApplications[Mois prov (calc)],"&lt;="&amp;$E1018),SUMIFS(TblApplications[RAM IKS libérable (Go)],TblApplications[Cluster IKS source],$F1018,TblApplications[Mois lib (calc)],"&lt;="&amp;$E1018)))</f>
        <v/>
      </c>
      <c r="R1018" s="14" t="str">
        <f aca="false">IF($D1018&lt;&gt;1,"",IF($G1018="ROKS",$L1018+$P1018,IF($AI1018=1,0,MAX($N1018,$L1018-$P1018))))</f>
        <v/>
      </c>
      <c r="S1018" s="14" t="str">
        <f aca="false">IF($D1018&lt;&gt;1,"",IF($G1018="ROKS",$M1018+$Q1018,IF($AI1018=1,0,MAX($O1018,$M1018-$Q1018))))</f>
        <v/>
      </c>
      <c r="T1018" s="14" t="str">
        <f aca="false">IF($D1018&lt;&gt;1,"",IF($AI1018=1,0,MAX($J1018,ROUNDUP(MAX($R1018/$H1018,$S1018/$I1018),0))))</f>
        <v/>
      </c>
      <c r="U1018" s="14" t="str">
        <f aca="false">IF($D1018&lt;&gt;1,"",IF(p_mode="Nœud",$T1018*$H1018,$R1018))</f>
        <v/>
      </c>
      <c r="V1018" s="14" t="str">
        <f aca="false">IF($D1018&lt;&gt;1,"",IF(p_mode="Nœud",$T1018*$I1018,$S1018))</f>
        <v/>
      </c>
      <c r="W1018" s="84" t="str">
        <f aca="false">IF($D1018&lt;&gt;1,"",IF(p_mode="Nœud",$T1018*$K1018,$R1018*IF($G1018="IKS",p_iks_cpu,p_roks_cpu)+$S1018*IF($G1018="IKS",p_iks_ram,p_roks_ram))*p_facteur)</f>
        <v/>
      </c>
      <c r="X1018" s="14" t="str">
        <f aca="false">IF($D1018&lt;&gt;1,"",IF($G1018="ROKS",$R1018,IF($AI1018=1,0,MAX($N1018,$L1018-SUMIFS(TblApplications[CPU IKS libérable (vCPU)],TblApplications[Cluster IKS source],$F1018,TblApplications[Action],"À migrer",TblApplications[Mois prov (calc)],"&lt;="&amp;$E1018)-SUMIFS(TblApplications[CPU IKS libérable (vCPU)],TblApplications[Cluster IKS source],$F1018,TblApplications[Action],"À décommissionner",TblApplications[Mois lib (calc)],"&lt;="&amp;$E1018)))))</f>
        <v/>
      </c>
      <c r="Y1018" s="14" t="str">
        <f aca="false">IF($D1018&lt;&gt;1,"",IF($G1018="ROKS",$S1018,IF($AI1018=1,0,MAX($O1018,$M1018-SUMIFS(TblApplications[RAM IKS libérable (Go)],TblApplications[Cluster IKS source],$F1018,TblApplications[Action],"À migrer",TblApplications[Mois prov (calc)],"&lt;="&amp;$E1018)-SUMIFS(TblApplications[RAM IKS libérable (Go)],TblApplications[Cluster IKS source],$F1018,TblApplications[Action],"À décommissionner",TblApplications[Mois lib (calc)],"&lt;="&amp;$E1018)))))</f>
        <v/>
      </c>
      <c r="Z1018" s="14" t="str">
        <f aca="false">IF($D1018&lt;&gt;1,"",IF($AI1018=1,0,MAX($J1018,ROUNDUP(MAX($X1018/$H1018,$Y1018/$I1018),0))))</f>
        <v/>
      </c>
      <c r="AA1018" s="84" t="str">
        <f aca="false">IF($D1018&lt;&gt;1,"",IF(p_mode="Nœud",$Z1018*$K1018,$X1018*IF($G1018="IKS",p_iks_cpu,p_roks_cpu)+$Y1018*IF($G1018="IKS",p_iks_ram,p_roks_ram))*p_facteur)</f>
        <v/>
      </c>
      <c r="AB1018" s="14" t="str">
        <f aca="false">IF($D1018&lt;&gt;1,"",MAX($J1018,ROUNDUP(MAX($L1018/$H1018,$M1018/$I1018),0)))</f>
        <v/>
      </c>
      <c r="AC1018" s="84" t="str">
        <f aca="false">IF($D1018&lt;&gt;1,"",IF(p_mode="Nœud",$AB1018*$K1018,$L1018*IF($G1018="IKS",p_iks_cpu,p_roks_cpu)+$M1018*IF($G1018="IKS",p_iks_ram,p_roks_ram))*p_facteur)</f>
        <v/>
      </c>
      <c r="AD1018" s="14" t="str">
        <f aca="false">IF($D1018&lt;&gt;1,"",IF(AND($G1018="IKS",$AI1018&lt;&gt;1,OR($L1018-$P1018&lt;$N1018,$M1018-$Q1018&lt;$O1018)),1,0))</f>
        <v/>
      </c>
      <c r="AE1018" s="14" t="str">
        <f aca="false">IF($D1018&lt;&gt;1,"",IF(AND($G1018="ROKS",$T1018&gt;p_maxworkers),1,0))</f>
        <v/>
      </c>
      <c r="AF1018" s="14" t="str">
        <f aca="false">IF($D1018&lt;&gt;1,"",IF(INDEX(TblClusters[Environnement],$B1018)="","(vide)",INDEX(TblClusters[Environnement],$B1018)))</f>
        <v/>
      </c>
      <c r="AG1018" s="14" t="str">
        <f aca="false">IF($D1018&lt;&gt;1,"",$R1018+p_poidsram*$S1018)</f>
        <v/>
      </c>
      <c r="AH1018" s="14" t="str">
        <f aca="false">IF($D1018&lt;&gt;1,"",IFERROR($W1018/$AG1018,0))</f>
        <v/>
      </c>
      <c r="AI1018" s="14" t="str">
        <f aca="false">IF($D1018&lt;&gt;1,"",IF(AND($G1018="IKS",ISNUMBER(INDEX(TblClusters[Fermeture retenue],$B1018))),IF($E1018&gt;=INDEX(TblClusters[Fermeture retenue],$B1018),1,0),0))</f>
        <v/>
      </c>
    </row>
    <row r="1019" customFormat="false" ht="15" hidden="false" customHeight="false" outlineLevel="0" collapsed="false">
      <c r="A1019" s="14" t="n">
        <v>1014</v>
      </c>
      <c r="B1019" s="14" t="n">
        <f aca="false">INT(($A1019-1)/36)+1</f>
        <v>29</v>
      </c>
      <c r="C1019" s="14" t="n">
        <f aca="false">MOD($A1019-1,36)+1</f>
        <v>6</v>
      </c>
      <c r="D1019" s="14" t="n">
        <f aca="false">IF($C1019&gt;p_horizon,0,IFERROR(IF(AND(INDEX(TblClusters[Cluster],$B1019)&lt;&gt;"",ISNUMBER(INDEX(TblClusters[CPU initial (vCPU)],$B1019)),ISNUMBER(INDEX(TblClusters[CPU min (vCPU)],$B1019)),OR(INDEX(TblClusters[Plateforme],$B1019)="IKS",INDEX(TblClusters[Plateforme],$B1019)="ROKS")),1,0),0))</f>
        <v>0</v>
      </c>
      <c r="E1019" s="83" t="str">
        <f aca="false">IF($D1019=1,EDATE(p_debut,$C1019-1),"")</f>
        <v/>
      </c>
      <c r="F1019" s="14" t="str">
        <f aca="false">IF($D1019=1,INDEX(TblClusters[Cluster],$B1019),"")</f>
        <v/>
      </c>
      <c r="G1019" s="14" t="str">
        <f aca="false">IF($D1019=1,INDEX(TblClusters[Plateforme],$B1019),"")</f>
        <v/>
      </c>
      <c r="H1019" s="14" t="str">
        <f aca="false">IF($D1019=1,INDEX(TblClusters[vCPU par nœud],$B1019),"")</f>
        <v/>
      </c>
      <c r="I1019" s="14" t="str">
        <f aca="false">IF($D1019=1,INDEX(TblClusters[RAM par nœud (Go)],$B1019),"")</f>
        <v/>
      </c>
      <c r="J1019" s="14" t="str">
        <f aca="false">IF($D1019=1,INDEX(TblClusters[Workers min],$B1019),"")</f>
        <v/>
      </c>
      <c r="K1019" s="84" t="str">
        <f aca="false">IF($D1019=1,INDEX(TblClusters[Tarif par nœud],$B1019),"")</f>
        <v/>
      </c>
      <c r="L1019" s="14" t="str">
        <f aca="false">IF($D1019=1,INDEX(TblClusters[CPU initial (vCPU)],$B1019),"")</f>
        <v/>
      </c>
      <c r="M1019" s="14" t="str">
        <f aca="false">IF($D1019=1,INDEX(TblClusters[RAM initiale (Go)],$B1019),"")</f>
        <v/>
      </c>
      <c r="N1019" s="14" t="str">
        <f aca="false">IF($D1019=1,INDEX(TblClusters[CPU min (vCPU)],$B1019),"")</f>
        <v/>
      </c>
      <c r="O1019" s="14" t="str">
        <f aca="false">IF($D1019=1,INDEX(TblClusters[RAM min (Go)],$B1019),"")</f>
        <v/>
      </c>
      <c r="P1019" s="14" t="str">
        <f aca="false">IF($D1019&lt;&gt;1,"",IF($G1019="ROKS",SUMIFS(TblApplications[Besoin ROKS CPU (vCPU)],TblApplications[Cluster ROKS cible],$F1019,TblApplications[Action],"À migrer",TblApplications[Déjà incluse ROKS],"Non",TblApplications[Mois prov (calc)],"&lt;="&amp;$E1019),SUMIFS(TblApplications[CPU IKS libérable (vCPU)],TblApplications[Cluster IKS source],$F1019,TblApplications[Mois lib (calc)],"&lt;="&amp;$E1019)))</f>
        <v/>
      </c>
      <c r="Q1019" s="14" t="str">
        <f aca="false">IF($D1019&lt;&gt;1,"",IF($G1019="ROKS",SUMIFS(TblApplications[Besoin ROKS RAM (Go)],TblApplications[Cluster ROKS cible],$F1019,TblApplications[Action],"À migrer",TblApplications[Déjà incluse ROKS],"Non",TblApplications[Mois prov (calc)],"&lt;="&amp;$E1019),SUMIFS(TblApplications[RAM IKS libérable (Go)],TblApplications[Cluster IKS source],$F1019,TblApplications[Mois lib (calc)],"&lt;="&amp;$E1019)))</f>
        <v/>
      </c>
      <c r="R1019" s="14" t="str">
        <f aca="false">IF($D1019&lt;&gt;1,"",IF($G1019="ROKS",$L1019+$P1019,IF($AI1019=1,0,MAX($N1019,$L1019-$P1019))))</f>
        <v/>
      </c>
      <c r="S1019" s="14" t="str">
        <f aca="false">IF($D1019&lt;&gt;1,"",IF($G1019="ROKS",$M1019+$Q1019,IF($AI1019=1,0,MAX($O1019,$M1019-$Q1019))))</f>
        <v/>
      </c>
      <c r="T1019" s="14" t="str">
        <f aca="false">IF($D1019&lt;&gt;1,"",IF($AI1019=1,0,MAX($J1019,ROUNDUP(MAX($R1019/$H1019,$S1019/$I1019),0))))</f>
        <v/>
      </c>
      <c r="U1019" s="14" t="str">
        <f aca="false">IF($D1019&lt;&gt;1,"",IF(p_mode="Nœud",$T1019*$H1019,$R1019))</f>
        <v/>
      </c>
      <c r="V1019" s="14" t="str">
        <f aca="false">IF($D1019&lt;&gt;1,"",IF(p_mode="Nœud",$T1019*$I1019,$S1019))</f>
        <v/>
      </c>
      <c r="W1019" s="84" t="str">
        <f aca="false">IF($D1019&lt;&gt;1,"",IF(p_mode="Nœud",$T1019*$K1019,$R1019*IF($G1019="IKS",p_iks_cpu,p_roks_cpu)+$S1019*IF($G1019="IKS",p_iks_ram,p_roks_ram))*p_facteur)</f>
        <v/>
      </c>
      <c r="X1019" s="14" t="str">
        <f aca="false">IF($D1019&lt;&gt;1,"",IF($G1019="ROKS",$R1019,IF($AI1019=1,0,MAX($N1019,$L1019-SUMIFS(TblApplications[CPU IKS libérable (vCPU)],TblApplications[Cluster IKS source],$F1019,TblApplications[Action],"À migrer",TblApplications[Mois prov (calc)],"&lt;="&amp;$E1019)-SUMIFS(TblApplications[CPU IKS libérable (vCPU)],TblApplications[Cluster IKS source],$F1019,TblApplications[Action],"À décommissionner",TblApplications[Mois lib (calc)],"&lt;="&amp;$E1019)))))</f>
        <v/>
      </c>
      <c r="Y1019" s="14" t="str">
        <f aca="false">IF($D1019&lt;&gt;1,"",IF($G1019="ROKS",$S1019,IF($AI1019=1,0,MAX($O1019,$M1019-SUMIFS(TblApplications[RAM IKS libérable (Go)],TblApplications[Cluster IKS source],$F1019,TblApplications[Action],"À migrer",TblApplications[Mois prov (calc)],"&lt;="&amp;$E1019)-SUMIFS(TblApplications[RAM IKS libérable (Go)],TblApplications[Cluster IKS source],$F1019,TblApplications[Action],"À décommissionner",TblApplications[Mois lib (calc)],"&lt;="&amp;$E1019)))))</f>
        <v/>
      </c>
      <c r="Z1019" s="14" t="str">
        <f aca="false">IF($D1019&lt;&gt;1,"",IF($AI1019=1,0,MAX($J1019,ROUNDUP(MAX($X1019/$H1019,$Y1019/$I1019),0))))</f>
        <v/>
      </c>
      <c r="AA1019" s="84" t="str">
        <f aca="false">IF($D1019&lt;&gt;1,"",IF(p_mode="Nœud",$Z1019*$K1019,$X1019*IF($G1019="IKS",p_iks_cpu,p_roks_cpu)+$Y1019*IF($G1019="IKS",p_iks_ram,p_roks_ram))*p_facteur)</f>
        <v/>
      </c>
      <c r="AB1019" s="14" t="str">
        <f aca="false">IF($D1019&lt;&gt;1,"",MAX($J1019,ROUNDUP(MAX($L1019/$H1019,$M1019/$I1019),0)))</f>
        <v/>
      </c>
      <c r="AC1019" s="84" t="str">
        <f aca="false">IF($D1019&lt;&gt;1,"",IF(p_mode="Nœud",$AB1019*$K1019,$L1019*IF($G1019="IKS",p_iks_cpu,p_roks_cpu)+$M1019*IF($G1019="IKS",p_iks_ram,p_roks_ram))*p_facteur)</f>
        <v/>
      </c>
      <c r="AD1019" s="14" t="str">
        <f aca="false">IF($D1019&lt;&gt;1,"",IF(AND($G1019="IKS",$AI1019&lt;&gt;1,OR($L1019-$P1019&lt;$N1019,$M1019-$Q1019&lt;$O1019)),1,0))</f>
        <v/>
      </c>
      <c r="AE1019" s="14" t="str">
        <f aca="false">IF($D1019&lt;&gt;1,"",IF(AND($G1019="ROKS",$T1019&gt;p_maxworkers),1,0))</f>
        <v/>
      </c>
      <c r="AF1019" s="14" t="str">
        <f aca="false">IF($D1019&lt;&gt;1,"",IF(INDEX(TblClusters[Environnement],$B1019)="","(vide)",INDEX(TblClusters[Environnement],$B1019)))</f>
        <v/>
      </c>
      <c r="AG1019" s="14" t="str">
        <f aca="false">IF($D1019&lt;&gt;1,"",$R1019+p_poidsram*$S1019)</f>
        <v/>
      </c>
      <c r="AH1019" s="14" t="str">
        <f aca="false">IF($D1019&lt;&gt;1,"",IFERROR($W1019/$AG1019,0))</f>
        <v/>
      </c>
      <c r="AI1019" s="14" t="str">
        <f aca="false">IF($D1019&lt;&gt;1,"",IF(AND($G1019="IKS",ISNUMBER(INDEX(TblClusters[Fermeture retenue],$B1019))),IF($E1019&gt;=INDEX(TblClusters[Fermeture retenue],$B1019),1,0),0))</f>
        <v/>
      </c>
    </row>
    <row r="1020" customFormat="false" ht="15" hidden="false" customHeight="false" outlineLevel="0" collapsed="false">
      <c r="A1020" s="14" t="n">
        <v>1015</v>
      </c>
      <c r="B1020" s="14" t="n">
        <f aca="false">INT(($A1020-1)/36)+1</f>
        <v>29</v>
      </c>
      <c r="C1020" s="14" t="n">
        <f aca="false">MOD($A1020-1,36)+1</f>
        <v>7</v>
      </c>
      <c r="D1020" s="14" t="n">
        <f aca="false">IF($C1020&gt;p_horizon,0,IFERROR(IF(AND(INDEX(TblClusters[Cluster],$B1020)&lt;&gt;"",ISNUMBER(INDEX(TblClusters[CPU initial (vCPU)],$B1020)),ISNUMBER(INDEX(TblClusters[CPU min (vCPU)],$B1020)),OR(INDEX(TblClusters[Plateforme],$B1020)="IKS",INDEX(TblClusters[Plateforme],$B1020)="ROKS")),1,0),0))</f>
        <v>0</v>
      </c>
      <c r="E1020" s="83" t="str">
        <f aca="false">IF($D1020=1,EDATE(p_debut,$C1020-1),"")</f>
        <v/>
      </c>
      <c r="F1020" s="14" t="str">
        <f aca="false">IF($D1020=1,INDEX(TblClusters[Cluster],$B1020),"")</f>
        <v/>
      </c>
      <c r="G1020" s="14" t="str">
        <f aca="false">IF($D1020=1,INDEX(TblClusters[Plateforme],$B1020),"")</f>
        <v/>
      </c>
      <c r="H1020" s="14" t="str">
        <f aca="false">IF($D1020=1,INDEX(TblClusters[vCPU par nœud],$B1020),"")</f>
        <v/>
      </c>
      <c r="I1020" s="14" t="str">
        <f aca="false">IF($D1020=1,INDEX(TblClusters[RAM par nœud (Go)],$B1020),"")</f>
        <v/>
      </c>
      <c r="J1020" s="14" t="str">
        <f aca="false">IF($D1020=1,INDEX(TblClusters[Workers min],$B1020),"")</f>
        <v/>
      </c>
      <c r="K1020" s="84" t="str">
        <f aca="false">IF($D1020=1,INDEX(TblClusters[Tarif par nœud],$B1020),"")</f>
        <v/>
      </c>
      <c r="L1020" s="14" t="str">
        <f aca="false">IF($D1020=1,INDEX(TblClusters[CPU initial (vCPU)],$B1020),"")</f>
        <v/>
      </c>
      <c r="M1020" s="14" t="str">
        <f aca="false">IF($D1020=1,INDEX(TblClusters[RAM initiale (Go)],$B1020),"")</f>
        <v/>
      </c>
      <c r="N1020" s="14" t="str">
        <f aca="false">IF($D1020=1,INDEX(TblClusters[CPU min (vCPU)],$B1020),"")</f>
        <v/>
      </c>
      <c r="O1020" s="14" t="str">
        <f aca="false">IF($D1020=1,INDEX(TblClusters[RAM min (Go)],$B1020),"")</f>
        <v/>
      </c>
      <c r="P1020" s="14" t="str">
        <f aca="false">IF($D1020&lt;&gt;1,"",IF($G1020="ROKS",SUMIFS(TblApplications[Besoin ROKS CPU (vCPU)],TblApplications[Cluster ROKS cible],$F1020,TblApplications[Action],"À migrer",TblApplications[Déjà incluse ROKS],"Non",TblApplications[Mois prov (calc)],"&lt;="&amp;$E1020),SUMIFS(TblApplications[CPU IKS libérable (vCPU)],TblApplications[Cluster IKS source],$F1020,TblApplications[Mois lib (calc)],"&lt;="&amp;$E1020)))</f>
        <v/>
      </c>
      <c r="Q1020" s="14" t="str">
        <f aca="false">IF($D1020&lt;&gt;1,"",IF($G1020="ROKS",SUMIFS(TblApplications[Besoin ROKS RAM (Go)],TblApplications[Cluster ROKS cible],$F1020,TblApplications[Action],"À migrer",TblApplications[Déjà incluse ROKS],"Non",TblApplications[Mois prov (calc)],"&lt;="&amp;$E1020),SUMIFS(TblApplications[RAM IKS libérable (Go)],TblApplications[Cluster IKS source],$F1020,TblApplications[Mois lib (calc)],"&lt;="&amp;$E1020)))</f>
        <v/>
      </c>
      <c r="R1020" s="14" t="str">
        <f aca="false">IF($D1020&lt;&gt;1,"",IF($G1020="ROKS",$L1020+$P1020,IF($AI1020=1,0,MAX($N1020,$L1020-$P1020))))</f>
        <v/>
      </c>
      <c r="S1020" s="14" t="str">
        <f aca="false">IF($D1020&lt;&gt;1,"",IF($G1020="ROKS",$M1020+$Q1020,IF($AI1020=1,0,MAX($O1020,$M1020-$Q1020))))</f>
        <v/>
      </c>
      <c r="T1020" s="14" t="str">
        <f aca="false">IF($D1020&lt;&gt;1,"",IF($AI1020=1,0,MAX($J1020,ROUNDUP(MAX($R1020/$H1020,$S1020/$I1020),0))))</f>
        <v/>
      </c>
      <c r="U1020" s="14" t="str">
        <f aca="false">IF($D1020&lt;&gt;1,"",IF(p_mode="Nœud",$T1020*$H1020,$R1020))</f>
        <v/>
      </c>
      <c r="V1020" s="14" t="str">
        <f aca="false">IF($D1020&lt;&gt;1,"",IF(p_mode="Nœud",$T1020*$I1020,$S1020))</f>
        <v/>
      </c>
      <c r="W1020" s="84" t="str">
        <f aca="false">IF($D1020&lt;&gt;1,"",IF(p_mode="Nœud",$T1020*$K1020,$R1020*IF($G1020="IKS",p_iks_cpu,p_roks_cpu)+$S1020*IF($G1020="IKS",p_iks_ram,p_roks_ram))*p_facteur)</f>
        <v/>
      </c>
      <c r="X1020" s="14" t="str">
        <f aca="false">IF($D1020&lt;&gt;1,"",IF($G1020="ROKS",$R1020,IF($AI1020=1,0,MAX($N1020,$L1020-SUMIFS(TblApplications[CPU IKS libérable (vCPU)],TblApplications[Cluster IKS source],$F1020,TblApplications[Action],"À migrer",TblApplications[Mois prov (calc)],"&lt;="&amp;$E1020)-SUMIFS(TblApplications[CPU IKS libérable (vCPU)],TblApplications[Cluster IKS source],$F1020,TblApplications[Action],"À décommissionner",TblApplications[Mois lib (calc)],"&lt;="&amp;$E1020)))))</f>
        <v/>
      </c>
      <c r="Y1020" s="14" t="str">
        <f aca="false">IF($D1020&lt;&gt;1,"",IF($G1020="ROKS",$S1020,IF($AI1020=1,0,MAX($O1020,$M1020-SUMIFS(TblApplications[RAM IKS libérable (Go)],TblApplications[Cluster IKS source],$F1020,TblApplications[Action],"À migrer",TblApplications[Mois prov (calc)],"&lt;="&amp;$E1020)-SUMIFS(TblApplications[RAM IKS libérable (Go)],TblApplications[Cluster IKS source],$F1020,TblApplications[Action],"À décommissionner",TblApplications[Mois lib (calc)],"&lt;="&amp;$E1020)))))</f>
        <v/>
      </c>
      <c r="Z1020" s="14" t="str">
        <f aca="false">IF($D1020&lt;&gt;1,"",IF($AI1020=1,0,MAX($J1020,ROUNDUP(MAX($X1020/$H1020,$Y1020/$I1020),0))))</f>
        <v/>
      </c>
      <c r="AA1020" s="84" t="str">
        <f aca="false">IF($D1020&lt;&gt;1,"",IF(p_mode="Nœud",$Z1020*$K1020,$X1020*IF($G1020="IKS",p_iks_cpu,p_roks_cpu)+$Y1020*IF($G1020="IKS",p_iks_ram,p_roks_ram))*p_facteur)</f>
        <v/>
      </c>
      <c r="AB1020" s="14" t="str">
        <f aca="false">IF($D1020&lt;&gt;1,"",MAX($J1020,ROUNDUP(MAX($L1020/$H1020,$M1020/$I1020),0)))</f>
        <v/>
      </c>
      <c r="AC1020" s="84" t="str">
        <f aca="false">IF($D1020&lt;&gt;1,"",IF(p_mode="Nœud",$AB1020*$K1020,$L1020*IF($G1020="IKS",p_iks_cpu,p_roks_cpu)+$M1020*IF($G1020="IKS",p_iks_ram,p_roks_ram))*p_facteur)</f>
        <v/>
      </c>
      <c r="AD1020" s="14" t="str">
        <f aca="false">IF($D1020&lt;&gt;1,"",IF(AND($G1020="IKS",$AI1020&lt;&gt;1,OR($L1020-$P1020&lt;$N1020,$M1020-$Q1020&lt;$O1020)),1,0))</f>
        <v/>
      </c>
      <c r="AE1020" s="14" t="str">
        <f aca="false">IF($D1020&lt;&gt;1,"",IF(AND($G1020="ROKS",$T1020&gt;p_maxworkers),1,0))</f>
        <v/>
      </c>
      <c r="AF1020" s="14" t="str">
        <f aca="false">IF($D1020&lt;&gt;1,"",IF(INDEX(TblClusters[Environnement],$B1020)="","(vide)",INDEX(TblClusters[Environnement],$B1020)))</f>
        <v/>
      </c>
      <c r="AG1020" s="14" t="str">
        <f aca="false">IF($D1020&lt;&gt;1,"",$R1020+p_poidsram*$S1020)</f>
        <v/>
      </c>
      <c r="AH1020" s="14" t="str">
        <f aca="false">IF($D1020&lt;&gt;1,"",IFERROR($W1020/$AG1020,0))</f>
        <v/>
      </c>
      <c r="AI1020" s="14" t="str">
        <f aca="false">IF($D1020&lt;&gt;1,"",IF(AND($G1020="IKS",ISNUMBER(INDEX(TblClusters[Fermeture retenue],$B1020))),IF($E1020&gt;=INDEX(TblClusters[Fermeture retenue],$B1020),1,0),0))</f>
        <v/>
      </c>
    </row>
    <row r="1021" customFormat="false" ht="15" hidden="false" customHeight="false" outlineLevel="0" collapsed="false">
      <c r="A1021" s="14" t="n">
        <v>1016</v>
      </c>
      <c r="B1021" s="14" t="n">
        <f aca="false">INT(($A1021-1)/36)+1</f>
        <v>29</v>
      </c>
      <c r="C1021" s="14" t="n">
        <f aca="false">MOD($A1021-1,36)+1</f>
        <v>8</v>
      </c>
      <c r="D1021" s="14" t="n">
        <f aca="false">IF($C1021&gt;p_horizon,0,IFERROR(IF(AND(INDEX(TblClusters[Cluster],$B1021)&lt;&gt;"",ISNUMBER(INDEX(TblClusters[CPU initial (vCPU)],$B1021)),ISNUMBER(INDEX(TblClusters[CPU min (vCPU)],$B1021)),OR(INDEX(TblClusters[Plateforme],$B1021)="IKS",INDEX(TblClusters[Plateforme],$B1021)="ROKS")),1,0),0))</f>
        <v>0</v>
      </c>
      <c r="E1021" s="83" t="str">
        <f aca="false">IF($D1021=1,EDATE(p_debut,$C1021-1),"")</f>
        <v/>
      </c>
      <c r="F1021" s="14" t="str">
        <f aca="false">IF($D1021=1,INDEX(TblClusters[Cluster],$B1021),"")</f>
        <v/>
      </c>
      <c r="G1021" s="14" t="str">
        <f aca="false">IF($D1021=1,INDEX(TblClusters[Plateforme],$B1021),"")</f>
        <v/>
      </c>
      <c r="H1021" s="14" t="str">
        <f aca="false">IF($D1021=1,INDEX(TblClusters[vCPU par nœud],$B1021),"")</f>
        <v/>
      </c>
      <c r="I1021" s="14" t="str">
        <f aca="false">IF($D1021=1,INDEX(TblClusters[RAM par nœud (Go)],$B1021),"")</f>
        <v/>
      </c>
      <c r="J1021" s="14" t="str">
        <f aca="false">IF($D1021=1,INDEX(TblClusters[Workers min],$B1021),"")</f>
        <v/>
      </c>
      <c r="K1021" s="84" t="str">
        <f aca="false">IF($D1021=1,INDEX(TblClusters[Tarif par nœud],$B1021),"")</f>
        <v/>
      </c>
      <c r="L1021" s="14" t="str">
        <f aca="false">IF($D1021=1,INDEX(TblClusters[CPU initial (vCPU)],$B1021),"")</f>
        <v/>
      </c>
      <c r="M1021" s="14" t="str">
        <f aca="false">IF($D1021=1,INDEX(TblClusters[RAM initiale (Go)],$B1021),"")</f>
        <v/>
      </c>
      <c r="N1021" s="14" t="str">
        <f aca="false">IF($D1021=1,INDEX(TblClusters[CPU min (vCPU)],$B1021),"")</f>
        <v/>
      </c>
      <c r="O1021" s="14" t="str">
        <f aca="false">IF($D1021=1,INDEX(TblClusters[RAM min (Go)],$B1021),"")</f>
        <v/>
      </c>
      <c r="P1021" s="14" t="str">
        <f aca="false">IF($D1021&lt;&gt;1,"",IF($G1021="ROKS",SUMIFS(TblApplications[Besoin ROKS CPU (vCPU)],TblApplications[Cluster ROKS cible],$F1021,TblApplications[Action],"À migrer",TblApplications[Déjà incluse ROKS],"Non",TblApplications[Mois prov (calc)],"&lt;="&amp;$E1021),SUMIFS(TblApplications[CPU IKS libérable (vCPU)],TblApplications[Cluster IKS source],$F1021,TblApplications[Mois lib (calc)],"&lt;="&amp;$E1021)))</f>
        <v/>
      </c>
      <c r="Q1021" s="14" t="str">
        <f aca="false">IF($D1021&lt;&gt;1,"",IF($G1021="ROKS",SUMIFS(TblApplications[Besoin ROKS RAM (Go)],TblApplications[Cluster ROKS cible],$F1021,TblApplications[Action],"À migrer",TblApplications[Déjà incluse ROKS],"Non",TblApplications[Mois prov (calc)],"&lt;="&amp;$E1021),SUMIFS(TblApplications[RAM IKS libérable (Go)],TblApplications[Cluster IKS source],$F1021,TblApplications[Mois lib (calc)],"&lt;="&amp;$E1021)))</f>
        <v/>
      </c>
      <c r="R1021" s="14" t="str">
        <f aca="false">IF($D1021&lt;&gt;1,"",IF($G1021="ROKS",$L1021+$P1021,IF($AI1021=1,0,MAX($N1021,$L1021-$P1021))))</f>
        <v/>
      </c>
      <c r="S1021" s="14" t="str">
        <f aca="false">IF($D1021&lt;&gt;1,"",IF($G1021="ROKS",$M1021+$Q1021,IF($AI1021=1,0,MAX($O1021,$M1021-$Q1021))))</f>
        <v/>
      </c>
      <c r="T1021" s="14" t="str">
        <f aca="false">IF($D1021&lt;&gt;1,"",IF($AI1021=1,0,MAX($J1021,ROUNDUP(MAX($R1021/$H1021,$S1021/$I1021),0))))</f>
        <v/>
      </c>
      <c r="U1021" s="14" t="str">
        <f aca="false">IF($D1021&lt;&gt;1,"",IF(p_mode="Nœud",$T1021*$H1021,$R1021))</f>
        <v/>
      </c>
      <c r="V1021" s="14" t="str">
        <f aca="false">IF($D1021&lt;&gt;1,"",IF(p_mode="Nœud",$T1021*$I1021,$S1021))</f>
        <v/>
      </c>
      <c r="W1021" s="84" t="str">
        <f aca="false">IF($D1021&lt;&gt;1,"",IF(p_mode="Nœud",$T1021*$K1021,$R1021*IF($G1021="IKS",p_iks_cpu,p_roks_cpu)+$S1021*IF($G1021="IKS",p_iks_ram,p_roks_ram))*p_facteur)</f>
        <v/>
      </c>
      <c r="X1021" s="14" t="str">
        <f aca="false">IF($D1021&lt;&gt;1,"",IF($G1021="ROKS",$R1021,IF($AI1021=1,0,MAX($N1021,$L1021-SUMIFS(TblApplications[CPU IKS libérable (vCPU)],TblApplications[Cluster IKS source],$F1021,TblApplications[Action],"À migrer",TblApplications[Mois prov (calc)],"&lt;="&amp;$E1021)-SUMIFS(TblApplications[CPU IKS libérable (vCPU)],TblApplications[Cluster IKS source],$F1021,TblApplications[Action],"À décommissionner",TblApplications[Mois lib (calc)],"&lt;="&amp;$E1021)))))</f>
        <v/>
      </c>
      <c r="Y1021" s="14" t="str">
        <f aca="false">IF($D1021&lt;&gt;1,"",IF($G1021="ROKS",$S1021,IF($AI1021=1,0,MAX($O1021,$M1021-SUMIFS(TblApplications[RAM IKS libérable (Go)],TblApplications[Cluster IKS source],$F1021,TblApplications[Action],"À migrer",TblApplications[Mois prov (calc)],"&lt;="&amp;$E1021)-SUMIFS(TblApplications[RAM IKS libérable (Go)],TblApplications[Cluster IKS source],$F1021,TblApplications[Action],"À décommissionner",TblApplications[Mois lib (calc)],"&lt;="&amp;$E1021)))))</f>
        <v/>
      </c>
      <c r="Z1021" s="14" t="str">
        <f aca="false">IF($D1021&lt;&gt;1,"",IF($AI1021=1,0,MAX($J1021,ROUNDUP(MAX($X1021/$H1021,$Y1021/$I1021),0))))</f>
        <v/>
      </c>
      <c r="AA1021" s="84" t="str">
        <f aca="false">IF($D1021&lt;&gt;1,"",IF(p_mode="Nœud",$Z1021*$K1021,$X1021*IF($G1021="IKS",p_iks_cpu,p_roks_cpu)+$Y1021*IF($G1021="IKS",p_iks_ram,p_roks_ram))*p_facteur)</f>
        <v/>
      </c>
      <c r="AB1021" s="14" t="str">
        <f aca="false">IF($D1021&lt;&gt;1,"",MAX($J1021,ROUNDUP(MAX($L1021/$H1021,$M1021/$I1021),0)))</f>
        <v/>
      </c>
      <c r="AC1021" s="84" t="str">
        <f aca="false">IF($D1021&lt;&gt;1,"",IF(p_mode="Nœud",$AB1021*$K1021,$L1021*IF($G1021="IKS",p_iks_cpu,p_roks_cpu)+$M1021*IF($G1021="IKS",p_iks_ram,p_roks_ram))*p_facteur)</f>
        <v/>
      </c>
      <c r="AD1021" s="14" t="str">
        <f aca="false">IF($D1021&lt;&gt;1,"",IF(AND($G1021="IKS",$AI1021&lt;&gt;1,OR($L1021-$P1021&lt;$N1021,$M1021-$Q1021&lt;$O1021)),1,0))</f>
        <v/>
      </c>
      <c r="AE1021" s="14" t="str">
        <f aca="false">IF($D1021&lt;&gt;1,"",IF(AND($G1021="ROKS",$T1021&gt;p_maxworkers),1,0))</f>
        <v/>
      </c>
      <c r="AF1021" s="14" t="str">
        <f aca="false">IF($D1021&lt;&gt;1,"",IF(INDEX(TblClusters[Environnement],$B1021)="","(vide)",INDEX(TblClusters[Environnement],$B1021)))</f>
        <v/>
      </c>
      <c r="AG1021" s="14" t="str">
        <f aca="false">IF($D1021&lt;&gt;1,"",$R1021+p_poidsram*$S1021)</f>
        <v/>
      </c>
      <c r="AH1021" s="14" t="str">
        <f aca="false">IF($D1021&lt;&gt;1,"",IFERROR($W1021/$AG1021,0))</f>
        <v/>
      </c>
      <c r="AI1021" s="14" t="str">
        <f aca="false">IF($D1021&lt;&gt;1,"",IF(AND($G1021="IKS",ISNUMBER(INDEX(TblClusters[Fermeture retenue],$B1021))),IF($E1021&gt;=INDEX(TblClusters[Fermeture retenue],$B1021),1,0),0))</f>
        <v/>
      </c>
    </row>
    <row r="1022" customFormat="false" ht="15" hidden="false" customHeight="false" outlineLevel="0" collapsed="false">
      <c r="A1022" s="14" t="n">
        <v>1017</v>
      </c>
      <c r="B1022" s="14" t="n">
        <f aca="false">INT(($A1022-1)/36)+1</f>
        <v>29</v>
      </c>
      <c r="C1022" s="14" t="n">
        <f aca="false">MOD($A1022-1,36)+1</f>
        <v>9</v>
      </c>
      <c r="D1022" s="14" t="n">
        <f aca="false">IF($C1022&gt;p_horizon,0,IFERROR(IF(AND(INDEX(TblClusters[Cluster],$B1022)&lt;&gt;"",ISNUMBER(INDEX(TblClusters[CPU initial (vCPU)],$B1022)),ISNUMBER(INDEX(TblClusters[CPU min (vCPU)],$B1022)),OR(INDEX(TblClusters[Plateforme],$B1022)="IKS",INDEX(TblClusters[Plateforme],$B1022)="ROKS")),1,0),0))</f>
        <v>0</v>
      </c>
      <c r="E1022" s="83" t="str">
        <f aca="false">IF($D1022=1,EDATE(p_debut,$C1022-1),"")</f>
        <v/>
      </c>
      <c r="F1022" s="14" t="str">
        <f aca="false">IF($D1022=1,INDEX(TblClusters[Cluster],$B1022),"")</f>
        <v/>
      </c>
      <c r="G1022" s="14" t="str">
        <f aca="false">IF($D1022=1,INDEX(TblClusters[Plateforme],$B1022),"")</f>
        <v/>
      </c>
      <c r="H1022" s="14" t="str">
        <f aca="false">IF($D1022=1,INDEX(TblClusters[vCPU par nœud],$B1022),"")</f>
        <v/>
      </c>
      <c r="I1022" s="14" t="str">
        <f aca="false">IF($D1022=1,INDEX(TblClusters[RAM par nœud (Go)],$B1022),"")</f>
        <v/>
      </c>
      <c r="J1022" s="14" t="str">
        <f aca="false">IF($D1022=1,INDEX(TblClusters[Workers min],$B1022),"")</f>
        <v/>
      </c>
      <c r="K1022" s="84" t="str">
        <f aca="false">IF($D1022=1,INDEX(TblClusters[Tarif par nœud],$B1022),"")</f>
        <v/>
      </c>
      <c r="L1022" s="14" t="str">
        <f aca="false">IF($D1022=1,INDEX(TblClusters[CPU initial (vCPU)],$B1022),"")</f>
        <v/>
      </c>
      <c r="M1022" s="14" t="str">
        <f aca="false">IF($D1022=1,INDEX(TblClusters[RAM initiale (Go)],$B1022),"")</f>
        <v/>
      </c>
      <c r="N1022" s="14" t="str">
        <f aca="false">IF($D1022=1,INDEX(TblClusters[CPU min (vCPU)],$B1022),"")</f>
        <v/>
      </c>
      <c r="O1022" s="14" t="str">
        <f aca="false">IF($D1022=1,INDEX(TblClusters[RAM min (Go)],$B1022),"")</f>
        <v/>
      </c>
      <c r="P1022" s="14" t="str">
        <f aca="false">IF($D1022&lt;&gt;1,"",IF($G1022="ROKS",SUMIFS(TblApplications[Besoin ROKS CPU (vCPU)],TblApplications[Cluster ROKS cible],$F1022,TblApplications[Action],"À migrer",TblApplications[Déjà incluse ROKS],"Non",TblApplications[Mois prov (calc)],"&lt;="&amp;$E1022),SUMIFS(TblApplications[CPU IKS libérable (vCPU)],TblApplications[Cluster IKS source],$F1022,TblApplications[Mois lib (calc)],"&lt;="&amp;$E1022)))</f>
        <v/>
      </c>
      <c r="Q1022" s="14" t="str">
        <f aca="false">IF($D1022&lt;&gt;1,"",IF($G1022="ROKS",SUMIFS(TblApplications[Besoin ROKS RAM (Go)],TblApplications[Cluster ROKS cible],$F1022,TblApplications[Action],"À migrer",TblApplications[Déjà incluse ROKS],"Non",TblApplications[Mois prov (calc)],"&lt;="&amp;$E1022),SUMIFS(TblApplications[RAM IKS libérable (Go)],TblApplications[Cluster IKS source],$F1022,TblApplications[Mois lib (calc)],"&lt;="&amp;$E1022)))</f>
        <v/>
      </c>
      <c r="R1022" s="14" t="str">
        <f aca="false">IF($D1022&lt;&gt;1,"",IF($G1022="ROKS",$L1022+$P1022,IF($AI1022=1,0,MAX($N1022,$L1022-$P1022))))</f>
        <v/>
      </c>
      <c r="S1022" s="14" t="str">
        <f aca="false">IF($D1022&lt;&gt;1,"",IF($G1022="ROKS",$M1022+$Q1022,IF($AI1022=1,0,MAX($O1022,$M1022-$Q1022))))</f>
        <v/>
      </c>
      <c r="T1022" s="14" t="str">
        <f aca="false">IF($D1022&lt;&gt;1,"",IF($AI1022=1,0,MAX($J1022,ROUNDUP(MAX($R1022/$H1022,$S1022/$I1022),0))))</f>
        <v/>
      </c>
      <c r="U1022" s="14" t="str">
        <f aca="false">IF($D1022&lt;&gt;1,"",IF(p_mode="Nœud",$T1022*$H1022,$R1022))</f>
        <v/>
      </c>
      <c r="V1022" s="14" t="str">
        <f aca="false">IF($D1022&lt;&gt;1,"",IF(p_mode="Nœud",$T1022*$I1022,$S1022))</f>
        <v/>
      </c>
      <c r="W1022" s="84" t="str">
        <f aca="false">IF($D1022&lt;&gt;1,"",IF(p_mode="Nœud",$T1022*$K1022,$R1022*IF($G1022="IKS",p_iks_cpu,p_roks_cpu)+$S1022*IF($G1022="IKS",p_iks_ram,p_roks_ram))*p_facteur)</f>
        <v/>
      </c>
      <c r="X1022" s="14" t="str">
        <f aca="false">IF($D1022&lt;&gt;1,"",IF($G1022="ROKS",$R1022,IF($AI1022=1,0,MAX($N1022,$L1022-SUMIFS(TblApplications[CPU IKS libérable (vCPU)],TblApplications[Cluster IKS source],$F1022,TblApplications[Action],"À migrer",TblApplications[Mois prov (calc)],"&lt;="&amp;$E1022)-SUMIFS(TblApplications[CPU IKS libérable (vCPU)],TblApplications[Cluster IKS source],$F1022,TblApplications[Action],"À décommissionner",TblApplications[Mois lib (calc)],"&lt;="&amp;$E1022)))))</f>
        <v/>
      </c>
      <c r="Y1022" s="14" t="str">
        <f aca="false">IF($D1022&lt;&gt;1,"",IF($G1022="ROKS",$S1022,IF($AI1022=1,0,MAX($O1022,$M1022-SUMIFS(TblApplications[RAM IKS libérable (Go)],TblApplications[Cluster IKS source],$F1022,TblApplications[Action],"À migrer",TblApplications[Mois prov (calc)],"&lt;="&amp;$E1022)-SUMIFS(TblApplications[RAM IKS libérable (Go)],TblApplications[Cluster IKS source],$F1022,TblApplications[Action],"À décommissionner",TblApplications[Mois lib (calc)],"&lt;="&amp;$E1022)))))</f>
        <v/>
      </c>
      <c r="Z1022" s="14" t="str">
        <f aca="false">IF($D1022&lt;&gt;1,"",IF($AI1022=1,0,MAX($J1022,ROUNDUP(MAX($X1022/$H1022,$Y1022/$I1022),0))))</f>
        <v/>
      </c>
      <c r="AA1022" s="84" t="str">
        <f aca="false">IF($D1022&lt;&gt;1,"",IF(p_mode="Nœud",$Z1022*$K1022,$X1022*IF($G1022="IKS",p_iks_cpu,p_roks_cpu)+$Y1022*IF($G1022="IKS",p_iks_ram,p_roks_ram))*p_facteur)</f>
        <v/>
      </c>
      <c r="AB1022" s="14" t="str">
        <f aca="false">IF($D1022&lt;&gt;1,"",MAX($J1022,ROUNDUP(MAX($L1022/$H1022,$M1022/$I1022),0)))</f>
        <v/>
      </c>
      <c r="AC1022" s="84" t="str">
        <f aca="false">IF($D1022&lt;&gt;1,"",IF(p_mode="Nœud",$AB1022*$K1022,$L1022*IF($G1022="IKS",p_iks_cpu,p_roks_cpu)+$M1022*IF($G1022="IKS",p_iks_ram,p_roks_ram))*p_facteur)</f>
        <v/>
      </c>
      <c r="AD1022" s="14" t="str">
        <f aca="false">IF($D1022&lt;&gt;1,"",IF(AND($G1022="IKS",$AI1022&lt;&gt;1,OR($L1022-$P1022&lt;$N1022,$M1022-$Q1022&lt;$O1022)),1,0))</f>
        <v/>
      </c>
      <c r="AE1022" s="14" t="str">
        <f aca="false">IF($D1022&lt;&gt;1,"",IF(AND($G1022="ROKS",$T1022&gt;p_maxworkers),1,0))</f>
        <v/>
      </c>
      <c r="AF1022" s="14" t="str">
        <f aca="false">IF($D1022&lt;&gt;1,"",IF(INDEX(TblClusters[Environnement],$B1022)="","(vide)",INDEX(TblClusters[Environnement],$B1022)))</f>
        <v/>
      </c>
      <c r="AG1022" s="14" t="str">
        <f aca="false">IF($D1022&lt;&gt;1,"",$R1022+p_poidsram*$S1022)</f>
        <v/>
      </c>
      <c r="AH1022" s="14" t="str">
        <f aca="false">IF($D1022&lt;&gt;1,"",IFERROR($W1022/$AG1022,0))</f>
        <v/>
      </c>
      <c r="AI1022" s="14" t="str">
        <f aca="false">IF($D1022&lt;&gt;1,"",IF(AND($G1022="IKS",ISNUMBER(INDEX(TblClusters[Fermeture retenue],$B1022))),IF($E1022&gt;=INDEX(TblClusters[Fermeture retenue],$B1022),1,0),0))</f>
        <v/>
      </c>
    </row>
    <row r="1023" customFormat="false" ht="15" hidden="false" customHeight="false" outlineLevel="0" collapsed="false">
      <c r="A1023" s="14" t="n">
        <v>1018</v>
      </c>
      <c r="B1023" s="14" t="n">
        <f aca="false">INT(($A1023-1)/36)+1</f>
        <v>29</v>
      </c>
      <c r="C1023" s="14" t="n">
        <f aca="false">MOD($A1023-1,36)+1</f>
        <v>10</v>
      </c>
      <c r="D1023" s="14" t="n">
        <f aca="false">IF($C1023&gt;p_horizon,0,IFERROR(IF(AND(INDEX(TblClusters[Cluster],$B1023)&lt;&gt;"",ISNUMBER(INDEX(TblClusters[CPU initial (vCPU)],$B1023)),ISNUMBER(INDEX(TblClusters[CPU min (vCPU)],$B1023)),OR(INDEX(TblClusters[Plateforme],$B1023)="IKS",INDEX(TblClusters[Plateforme],$B1023)="ROKS")),1,0),0))</f>
        <v>0</v>
      </c>
      <c r="E1023" s="83" t="str">
        <f aca="false">IF($D1023=1,EDATE(p_debut,$C1023-1),"")</f>
        <v/>
      </c>
      <c r="F1023" s="14" t="str">
        <f aca="false">IF($D1023=1,INDEX(TblClusters[Cluster],$B1023),"")</f>
        <v/>
      </c>
      <c r="G1023" s="14" t="str">
        <f aca="false">IF($D1023=1,INDEX(TblClusters[Plateforme],$B1023),"")</f>
        <v/>
      </c>
      <c r="H1023" s="14" t="str">
        <f aca="false">IF($D1023=1,INDEX(TblClusters[vCPU par nœud],$B1023),"")</f>
        <v/>
      </c>
      <c r="I1023" s="14" t="str">
        <f aca="false">IF($D1023=1,INDEX(TblClusters[RAM par nœud (Go)],$B1023),"")</f>
        <v/>
      </c>
      <c r="J1023" s="14" t="str">
        <f aca="false">IF($D1023=1,INDEX(TblClusters[Workers min],$B1023),"")</f>
        <v/>
      </c>
      <c r="K1023" s="84" t="str">
        <f aca="false">IF($D1023=1,INDEX(TblClusters[Tarif par nœud],$B1023),"")</f>
        <v/>
      </c>
      <c r="L1023" s="14" t="str">
        <f aca="false">IF($D1023=1,INDEX(TblClusters[CPU initial (vCPU)],$B1023),"")</f>
        <v/>
      </c>
      <c r="M1023" s="14" t="str">
        <f aca="false">IF($D1023=1,INDEX(TblClusters[RAM initiale (Go)],$B1023),"")</f>
        <v/>
      </c>
      <c r="N1023" s="14" t="str">
        <f aca="false">IF($D1023=1,INDEX(TblClusters[CPU min (vCPU)],$B1023),"")</f>
        <v/>
      </c>
      <c r="O1023" s="14" t="str">
        <f aca="false">IF($D1023=1,INDEX(TblClusters[RAM min (Go)],$B1023),"")</f>
        <v/>
      </c>
      <c r="P1023" s="14" t="str">
        <f aca="false">IF($D1023&lt;&gt;1,"",IF($G1023="ROKS",SUMIFS(TblApplications[Besoin ROKS CPU (vCPU)],TblApplications[Cluster ROKS cible],$F1023,TblApplications[Action],"À migrer",TblApplications[Déjà incluse ROKS],"Non",TblApplications[Mois prov (calc)],"&lt;="&amp;$E1023),SUMIFS(TblApplications[CPU IKS libérable (vCPU)],TblApplications[Cluster IKS source],$F1023,TblApplications[Mois lib (calc)],"&lt;="&amp;$E1023)))</f>
        <v/>
      </c>
      <c r="Q1023" s="14" t="str">
        <f aca="false">IF($D1023&lt;&gt;1,"",IF($G1023="ROKS",SUMIFS(TblApplications[Besoin ROKS RAM (Go)],TblApplications[Cluster ROKS cible],$F1023,TblApplications[Action],"À migrer",TblApplications[Déjà incluse ROKS],"Non",TblApplications[Mois prov (calc)],"&lt;="&amp;$E1023),SUMIFS(TblApplications[RAM IKS libérable (Go)],TblApplications[Cluster IKS source],$F1023,TblApplications[Mois lib (calc)],"&lt;="&amp;$E1023)))</f>
        <v/>
      </c>
      <c r="R1023" s="14" t="str">
        <f aca="false">IF($D1023&lt;&gt;1,"",IF($G1023="ROKS",$L1023+$P1023,IF($AI1023=1,0,MAX($N1023,$L1023-$P1023))))</f>
        <v/>
      </c>
      <c r="S1023" s="14" t="str">
        <f aca="false">IF($D1023&lt;&gt;1,"",IF($G1023="ROKS",$M1023+$Q1023,IF($AI1023=1,0,MAX($O1023,$M1023-$Q1023))))</f>
        <v/>
      </c>
      <c r="T1023" s="14" t="str">
        <f aca="false">IF($D1023&lt;&gt;1,"",IF($AI1023=1,0,MAX($J1023,ROUNDUP(MAX($R1023/$H1023,$S1023/$I1023),0))))</f>
        <v/>
      </c>
      <c r="U1023" s="14" t="str">
        <f aca="false">IF($D1023&lt;&gt;1,"",IF(p_mode="Nœud",$T1023*$H1023,$R1023))</f>
        <v/>
      </c>
      <c r="V1023" s="14" t="str">
        <f aca="false">IF($D1023&lt;&gt;1,"",IF(p_mode="Nœud",$T1023*$I1023,$S1023))</f>
        <v/>
      </c>
      <c r="W1023" s="84" t="str">
        <f aca="false">IF($D1023&lt;&gt;1,"",IF(p_mode="Nœud",$T1023*$K1023,$R1023*IF($G1023="IKS",p_iks_cpu,p_roks_cpu)+$S1023*IF($G1023="IKS",p_iks_ram,p_roks_ram))*p_facteur)</f>
        <v/>
      </c>
      <c r="X1023" s="14" t="str">
        <f aca="false">IF($D1023&lt;&gt;1,"",IF($G1023="ROKS",$R1023,IF($AI1023=1,0,MAX($N1023,$L1023-SUMIFS(TblApplications[CPU IKS libérable (vCPU)],TblApplications[Cluster IKS source],$F1023,TblApplications[Action],"À migrer",TblApplications[Mois prov (calc)],"&lt;="&amp;$E1023)-SUMIFS(TblApplications[CPU IKS libérable (vCPU)],TblApplications[Cluster IKS source],$F1023,TblApplications[Action],"À décommissionner",TblApplications[Mois lib (calc)],"&lt;="&amp;$E1023)))))</f>
        <v/>
      </c>
      <c r="Y1023" s="14" t="str">
        <f aca="false">IF($D1023&lt;&gt;1,"",IF($G1023="ROKS",$S1023,IF($AI1023=1,0,MAX($O1023,$M1023-SUMIFS(TblApplications[RAM IKS libérable (Go)],TblApplications[Cluster IKS source],$F1023,TblApplications[Action],"À migrer",TblApplications[Mois prov (calc)],"&lt;="&amp;$E1023)-SUMIFS(TblApplications[RAM IKS libérable (Go)],TblApplications[Cluster IKS source],$F1023,TblApplications[Action],"À décommissionner",TblApplications[Mois lib (calc)],"&lt;="&amp;$E1023)))))</f>
        <v/>
      </c>
      <c r="Z1023" s="14" t="str">
        <f aca="false">IF($D1023&lt;&gt;1,"",IF($AI1023=1,0,MAX($J1023,ROUNDUP(MAX($X1023/$H1023,$Y1023/$I1023),0))))</f>
        <v/>
      </c>
      <c r="AA1023" s="84" t="str">
        <f aca="false">IF($D1023&lt;&gt;1,"",IF(p_mode="Nœud",$Z1023*$K1023,$X1023*IF($G1023="IKS",p_iks_cpu,p_roks_cpu)+$Y1023*IF($G1023="IKS",p_iks_ram,p_roks_ram))*p_facteur)</f>
        <v/>
      </c>
      <c r="AB1023" s="14" t="str">
        <f aca="false">IF($D1023&lt;&gt;1,"",MAX($J1023,ROUNDUP(MAX($L1023/$H1023,$M1023/$I1023),0)))</f>
        <v/>
      </c>
      <c r="AC1023" s="84" t="str">
        <f aca="false">IF($D1023&lt;&gt;1,"",IF(p_mode="Nœud",$AB1023*$K1023,$L1023*IF($G1023="IKS",p_iks_cpu,p_roks_cpu)+$M1023*IF($G1023="IKS",p_iks_ram,p_roks_ram))*p_facteur)</f>
        <v/>
      </c>
      <c r="AD1023" s="14" t="str">
        <f aca="false">IF($D1023&lt;&gt;1,"",IF(AND($G1023="IKS",$AI1023&lt;&gt;1,OR($L1023-$P1023&lt;$N1023,$M1023-$Q1023&lt;$O1023)),1,0))</f>
        <v/>
      </c>
      <c r="AE1023" s="14" t="str">
        <f aca="false">IF($D1023&lt;&gt;1,"",IF(AND($G1023="ROKS",$T1023&gt;p_maxworkers),1,0))</f>
        <v/>
      </c>
      <c r="AF1023" s="14" t="str">
        <f aca="false">IF($D1023&lt;&gt;1,"",IF(INDEX(TblClusters[Environnement],$B1023)="","(vide)",INDEX(TblClusters[Environnement],$B1023)))</f>
        <v/>
      </c>
      <c r="AG1023" s="14" t="str">
        <f aca="false">IF($D1023&lt;&gt;1,"",$R1023+p_poidsram*$S1023)</f>
        <v/>
      </c>
      <c r="AH1023" s="14" t="str">
        <f aca="false">IF($D1023&lt;&gt;1,"",IFERROR($W1023/$AG1023,0))</f>
        <v/>
      </c>
      <c r="AI1023" s="14" t="str">
        <f aca="false">IF($D1023&lt;&gt;1,"",IF(AND($G1023="IKS",ISNUMBER(INDEX(TblClusters[Fermeture retenue],$B1023))),IF($E1023&gt;=INDEX(TblClusters[Fermeture retenue],$B1023),1,0),0))</f>
        <v/>
      </c>
    </row>
    <row r="1024" customFormat="false" ht="15" hidden="false" customHeight="false" outlineLevel="0" collapsed="false">
      <c r="A1024" s="14" t="n">
        <v>1019</v>
      </c>
      <c r="B1024" s="14" t="n">
        <f aca="false">INT(($A1024-1)/36)+1</f>
        <v>29</v>
      </c>
      <c r="C1024" s="14" t="n">
        <f aca="false">MOD($A1024-1,36)+1</f>
        <v>11</v>
      </c>
      <c r="D1024" s="14" t="n">
        <f aca="false">IF($C1024&gt;p_horizon,0,IFERROR(IF(AND(INDEX(TblClusters[Cluster],$B1024)&lt;&gt;"",ISNUMBER(INDEX(TblClusters[CPU initial (vCPU)],$B1024)),ISNUMBER(INDEX(TblClusters[CPU min (vCPU)],$B1024)),OR(INDEX(TblClusters[Plateforme],$B1024)="IKS",INDEX(TblClusters[Plateforme],$B1024)="ROKS")),1,0),0))</f>
        <v>0</v>
      </c>
      <c r="E1024" s="83" t="str">
        <f aca="false">IF($D1024=1,EDATE(p_debut,$C1024-1),"")</f>
        <v/>
      </c>
      <c r="F1024" s="14" t="str">
        <f aca="false">IF($D1024=1,INDEX(TblClusters[Cluster],$B1024),"")</f>
        <v/>
      </c>
      <c r="G1024" s="14" t="str">
        <f aca="false">IF($D1024=1,INDEX(TblClusters[Plateforme],$B1024),"")</f>
        <v/>
      </c>
      <c r="H1024" s="14" t="str">
        <f aca="false">IF($D1024=1,INDEX(TblClusters[vCPU par nœud],$B1024),"")</f>
        <v/>
      </c>
      <c r="I1024" s="14" t="str">
        <f aca="false">IF($D1024=1,INDEX(TblClusters[RAM par nœud (Go)],$B1024),"")</f>
        <v/>
      </c>
      <c r="J1024" s="14" t="str">
        <f aca="false">IF($D1024=1,INDEX(TblClusters[Workers min],$B1024),"")</f>
        <v/>
      </c>
      <c r="K1024" s="84" t="str">
        <f aca="false">IF($D1024=1,INDEX(TblClusters[Tarif par nœud],$B1024),"")</f>
        <v/>
      </c>
      <c r="L1024" s="14" t="str">
        <f aca="false">IF($D1024=1,INDEX(TblClusters[CPU initial (vCPU)],$B1024),"")</f>
        <v/>
      </c>
      <c r="M1024" s="14" t="str">
        <f aca="false">IF($D1024=1,INDEX(TblClusters[RAM initiale (Go)],$B1024),"")</f>
        <v/>
      </c>
      <c r="N1024" s="14" t="str">
        <f aca="false">IF($D1024=1,INDEX(TblClusters[CPU min (vCPU)],$B1024),"")</f>
        <v/>
      </c>
      <c r="O1024" s="14" t="str">
        <f aca="false">IF($D1024=1,INDEX(TblClusters[RAM min (Go)],$B1024),"")</f>
        <v/>
      </c>
      <c r="P1024" s="14" t="str">
        <f aca="false">IF($D1024&lt;&gt;1,"",IF($G1024="ROKS",SUMIFS(TblApplications[Besoin ROKS CPU (vCPU)],TblApplications[Cluster ROKS cible],$F1024,TblApplications[Action],"À migrer",TblApplications[Déjà incluse ROKS],"Non",TblApplications[Mois prov (calc)],"&lt;="&amp;$E1024),SUMIFS(TblApplications[CPU IKS libérable (vCPU)],TblApplications[Cluster IKS source],$F1024,TblApplications[Mois lib (calc)],"&lt;="&amp;$E1024)))</f>
        <v/>
      </c>
      <c r="Q1024" s="14" t="str">
        <f aca="false">IF($D1024&lt;&gt;1,"",IF($G1024="ROKS",SUMIFS(TblApplications[Besoin ROKS RAM (Go)],TblApplications[Cluster ROKS cible],$F1024,TblApplications[Action],"À migrer",TblApplications[Déjà incluse ROKS],"Non",TblApplications[Mois prov (calc)],"&lt;="&amp;$E1024),SUMIFS(TblApplications[RAM IKS libérable (Go)],TblApplications[Cluster IKS source],$F1024,TblApplications[Mois lib (calc)],"&lt;="&amp;$E1024)))</f>
        <v/>
      </c>
      <c r="R1024" s="14" t="str">
        <f aca="false">IF($D1024&lt;&gt;1,"",IF($G1024="ROKS",$L1024+$P1024,IF($AI1024=1,0,MAX($N1024,$L1024-$P1024))))</f>
        <v/>
      </c>
      <c r="S1024" s="14" t="str">
        <f aca="false">IF($D1024&lt;&gt;1,"",IF($G1024="ROKS",$M1024+$Q1024,IF($AI1024=1,0,MAX($O1024,$M1024-$Q1024))))</f>
        <v/>
      </c>
      <c r="T1024" s="14" t="str">
        <f aca="false">IF($D1024&lt;&gt;1,"",IF($AI1024=1,0,MAX($J1024,ROUNDUP(MAX($R1024/$H1024,$S1024/$I1024),0))))</f>
        <v/>
      </c>
      <c r="U1024" s="14" t="str">
        <f aca="false">IF($D1024&lt;&gt;1,"",IF(p_mode="Nœud",$T1024*$H1024,$R1024))</f>
        <v/>
      </c>
      <c r="V1024" s="14" t="str">
        <f aca="false">IF($D1024&lt;&gt;1,"",IF(p_mode="Nœud",$T1024*$I1024,$S1024))</f>
        <v/>
      </c>
      <c r="W1024" s="84" t="str">
        <f aca="false">IF($D1024&lt;&gt;1,"",IF(p_mode="Nœud",$T1024*$K1024,$R1024*IF($G1024="IKS",p_iks_cpu,p_roks_cpu)+$S1024*IF($G1024="IKS",p_iks_ram,p_roks_ram))*p_facteur)</f>
        <v/>
      </c>
      <c r="X1024" s="14" t="str">
        <f aca="false">IF($D1024&lt;&gt;1,"",IF($G1024="ROKS",$R1024,IF($AI1024=1,0,MAX($N1024,$L1024-SUMIFS(TblApplications[CPU IKS libérable (vCPU)],TblApplications[Cluster IKS source],$F1024,TblApplications[Action],"À migrer",TblApplications[Mois prov (calc)],"&lt;="&amp;$E1024)-SUMIFS(TblApplications[CPU IKS libérable (vCPU)],TblApplications[Cluster IKS source],$F1024,TblApplications[Action],"À décommissionner",TblApplications[Mois lib (calc)],"&lt;="&amp;$E1024)))))</f>
        <v/>
      </c>
      <c r="Y1024" s="14" t="str">
        <f aca="false">IF($D1024&lt;&gt;1,"",IF($G1024="ROKS",$S1024,IF($AI1024=1,0,MAX($O1024,$M1024-SUMIFS(TblApplications[RAM IKS libérable (Go)],TblApplications[Cluster IKS source],$F1024,TblApplications[Action],"À migrer",TblApplications[Mois prov (calc)],"&lt;="&amp;$E1024)-SUMIFS(TblApplications[RAM IKS libérable (Go)],TblApplications[Cluster IKS source],$F1024,TblApplications[Action],"À décommissionner",TblApplications[Mois lib (calc)],"&lt;="&amp;$E1024)))))</f>
        <v/>
      </c>
      <c r="Z1024" s="14" t="str">
        <f aca="false">IF($D1024&lt;&gt;1,"",IF($AI1024=1,0,MAX($J1024,ROUNDUP(MAX($X1024/$H1024,$Y1024/$I1024),0))))</f>
        <v/>
      </c>
      <c r="AA1024" s="84" t="str">
        <f aca="false">IF($D1024&lt;&gt;1,"",IF(p_mode="Nœud",$Z1024*$K1024,$X1024*IF($G1024="IKS",p_iks_cpu,p_roks_cpu)+$Y1024*IF($G1024="IKS",p_iks_ram,p_roks_ram))*p_facteur)</f>
        <v/>
      </c>
      <c r="AB1024" s="14" t="str">
        <f aca="false">IF($D1024&lt;&gt;1,"",MAX($J1024,ROUNDUP(MAX($L1024/$H1024,$M1024/$I1024),0)))</f>
        <v/>
      </c>
      <c r="AC1024" s="84" t="str">
        <f aca="false">IF($D1024&lt;&gt;1,"",IF(p_mode="Nœud",$AB1024*$K1024,$L1024*IF($G1024="IKS",p_iks_cpu,p_roks_cpu)+$M1024*IF($G1024="IKS",p_iks_ram,p_roks_ram))*p_facteur)</f>
        <v/>
      </c>
      <c r="AD1024" s="14" t="str">
        <f aca="false">IF($D1024&lt;&gt;1,"",IF(AND($G1024="IKS",$AI1024&lt;&gt;1,OR($L1024-$P1024&lt;$N1024,$M1024-$Q1024&lt;$O1024)),1,0))</f>
        <v/>
      </c>
      <c r="AE1024" s="14" t="str">
        <f aca="false">IF($D1024&lt;&gt;1,"",IF(AND($G1024="ROKS",$T1024&gt;p_maxworkers),1,0))</f>
        <v/>
      </c>
      <c r="AF1024" s="14" t="str">
        <f aca="false">IF($D1024&lt;&gt;1,"",IF(INDEX(TblClusters[Environnement],$B1024)="","(vide)",INDEX(TblClusters[Environnement],$B1024)))</f>
        <v/>
      </c>
      <c r="AG1024" s="14" t="str">
        <f aca="false">IF($D1024&lt;&gt;1,"",$R1024+p_poidsram*$S1024)</f>
        <v/>
      </c>
      <c r="AH1024" s="14" t="str">
        <f aca="false">IF($D1024&lt;&gt;1,"",IFERROR($W1024/$AG1024,0))</f>
        <v/>
      </c>
      <c r="AI1024" s="14" t="str">
        <f aca="false">IF($D1024&lt;&gt;1,"",IF(AND($G1024="IKS",ISNUMBER(INDEX(TblClusters[Fermeture retenue],$B1024))),IF($E1024&gt;=INDEX(TblClusters[Fermeture retenue],$B1024),1,0),0))</f>
        <v/>
      </c>
    </row>
    <row r="1025" customFormat="false" ht="15" hidden="false" customHeight="false" outlineLevel="0" collapsed="false">
      <c r="A1025" s="14" t="n">
        <v>1020</v>
      </c>
      <c r="B1025" s="14" t="n">
        <f aca="false">INT(($A1025-1)/36)+1</f>
        <v>29</v>
      </c>
      <c r="C1025" s="14" t="n">
        <f aca="false">MOD($A1025-1,36)+1</f>
        <v>12</v>
      </c>
      <c r="D1025" s="14" t="n">
        <f aca="false">IF($C1025&gt;p_horizon,0,IFERROR(IF(AND(INDEX(TblClusters[Cluster],$B1025)&lt;&gt;"",ISNUMBER(INDEX(TblClusters[CPU initial (vCPU)],$B1025)),ISNUMBER(INDEX(TblClusters[CPU min (vCPU)],$B1025)),OR(INDEX(TblClusters[Plateforme],$B1025)="IKS",INDEX(TblClusters[Plateforme],$B1025)="ROKS")),1,0),0))</f>
        <v>0</v>
      </c>
      <c r="E1025" s="83" t="str">
        <f aca="false">IF($D1025=1,EDATE(p_debut,$C1025-1),"")</f>
        <v/>
      </c>
      <c r="F1025" s="14" t="str">
        <f aca="false">IF($D1025=1,INDEX(TblClusters[Cluster],$B1025),"")</f>
        <v/>
      </c>
      <c r="G1025" s="14" t="str">
        <f aca="false">IF($D1025=1,INDEX(TblClusters[Plateforme],$B1025),"")</f>
        <v/>
      </c>
      <c r="H1025" s="14" t="str">
        <f aca="false">IF($D1025=1,INDEX(TblClusters[vCPU par nœud],$B1025),"")</f>
        <v/>
      </c>
      <c r="I1025" s="14" t="str">
        <f aca="false">IF($D1025=1,INDEX(TblClusters[RAM par nœud (Go)],$B1025),"")</f>
        <v/>
      </c>
      <c r="J1025" s="14" t="str">
        <f aca="false">IF($D1025=1,INDEX(TblClusters[Workers min],$B1025),"")</f>
        <v/>
      </c>
      <c r="K1025" s="84" t="str">
        <f aca="false">IF($D1025=1,INDEX(TblClusters[Tarif par nœud],$B1025),"")</f>
        <v/>
      </c>
      <c r="L1025" s="14" t="str">
        <f aca="false">IF($D1025=1,INDEX(TblClusters[CPU initial (vCPU)],$B1025),"")</f>
        <v/>
      </c>
      <c r="M1025" s="14" t="str">
        <f aca="false">IF($D1025=1,INDEX(TblClusters[RAM initiale (Go)],$B1025),"")</f>
        <v/>
      </c>
      <c r="N1025" s="14" t="str">
        <f aca="false">IF($D1025=1,INDEX(TblClusters[CPU min (vCPU)],$B1025),"")</f>
        <v/>
      </c>
      <c r="O1025" s="14" t="str">
        <f aca="false">IF($D1025=1,INDEX(TblClusters[RAM min (Go)],$B1025),"")</f>
        <v/>
      </c>
      <c r="P1025" s="14" t="str">
        <f aca="false">IF($D1025&lt;&gt;1,"",IF($G1025="ROKS",SUMIFS(TblApplications[Besoin ROKS CPU (vCPU)],TblApplications[Cluster ROKS cible],$F1025,TblApplications[Action],"À migrer",TblApplications[Déjà incluse ROKS],"Non",TblApplications[Mois prov (calc)],"&lt;="&amp;$E1025),SUMIFS(TblApplications[CPU IKS libérable (vCPU)],TblApplications[Cluster IKS source],$F1025,TblApplications[Mois lib (calc)],"&lt;="&amp;$E1025)))</f>
        <v/>
      </c>
      <c r="Q1025" s="14" t="str">
        <f aca="false">IF($D1025&lt;&gt;1,"",IF($G1025="ROKS",SUMIFS(TblApplications[Besoin ROKS RAM (Go)],TblApplications[Cluster ROKS cible],$F1025,TblApplications[Action],"À migrer",TblApplications[Déjà incluse ROKS],"Non",TblApplications[Mois prov (calc)],"&lt;="&amp;$E1025),SUMIFS(TblApplications[RAM IKS libérable (Go)],TblApplications[Cluster IKS source],$F1025,TblApplications[Mois lib (calc)],"&lt;="&amp;$E1025)))</f>
        <v/>
      </c>
      <c r="R1025" s="14" t="str">
        <f aca="false">IF($D1025&lt;&gt;1,"",IF($G1025="ROKS",$L1025+$P1025,IF($AI1025=1,0,MAX($N1025,$L1025-$P1025))))</f>
        <v/>
      </c>
      <c r="S1025" s="14" t="str">
        <f aca="false">IF($D1025&lt;&gt;1,"",IF($G1025="ROKS",$M1025+$Q1025,IF($AI1025=1,0,MAX($O1025,$M1025-$Q1025))))</f>
        <v/>
      </c>
      <c r="T1025" s="14" t="str">
        <f aca="false">IF($D1025&lt;&gt;1,"",IF($AI1025=1,0,MAX($J1025,ROUNDUP(MAX($R1025/$H1025,$S1025/$I1025),0))))</f>
        <v/>
      </c>
      <c r="U1025" s="14" t="str">
        <f aca="false">IF($D1025&lt;&gt;1,"",IF(p_mode="Nœud",$T1025*$H1025,$R1025))</f>
        <v/>
      </c>
      <c r="V1025" s="14" t="str">
        <f aca="false">IF($D1025&lt;&gt;1,"",IF(p_mode="Nœud",$T1025*$I1025,$S1025))</f>
        <v/>
      </c>
      <c r="W1025" s="84" t="str">
        <f aca="false">IF($D1025&lt;&gt;1,"",IF(p_mode="Nœud",$T1025*$K1025,$R1025*IF($G1025="IKS",p_iks_cpu,p_roks_cpu)+$S1025*IF($G1025="IKS",p_iks_ram,p_roks_ram))*p_facteur)</f>
        <v/>
      </c>
      <c r="X1025" s="14" t="str">
        <f aca="false">IF($D1025&lt;&gt;1,"",IF($G1025="ROKS",$R1025,IF($AI1025=1,0,MAX($N1025,$L1025-SUMIFS(TblApplications[CPU IKS libérable (vCPU)],TblApplications[Cluster IKS source],$F1025,TblApplications[Action],"À migrer",TblApplications[Mois prov (calc)],"&lt;="&amp;$E1025)-SUMIFS(TblApplications[CPU IKS libérable (vCPU)],TblApplications[Cluster IKS source],$F1025,TblApplications[Action],"À décommissionner",TblApplications[Mois lib (calc)],"&lt;="&amp;$E1025)))))</f>
        <v/>
      </c>
      <c r="Y1025" s="14" t="str">
        <f aca="false">IF($D1025&lt;&gt;1,"",IF($G1025="ROKS",$S1025,IF($AI1025=1,0,MAX($O1025,$M1025-SUMIFS(TblApplications[RAM IKS libérable (Go)],TblApplications[Cluster IKS source],$F1025,TblApplications[Action],"À migrer",TblApplications[Mois prov (calc)],"&lt;="&amp;$E1025)-SUMIFS(TblApplications[RAM IKS libérable (Go)],TblApplications[Cluster IKS source],$F1025,TblApplications[Action],"À décommissionner",TblApplications[Mois lib (calc)],"&lt;="&amp;$E1025)))))</f>
        <v/>
      </c>
      <c r="Z1025" s="14" t="str">
        <f aca="false">IF($D1025&lt;&gt;1,"",IF($AI1025=1,0,MAX($J1025,ROUNDUP(MAX($X1025/$H1025,$Y1025/$I1025),0))))</f>
        <v/>
      </c>
      <c r="AA1025" s="84" t="str">
        <f aca="false">IF($D1025&lt;&gt;1,"",IF(p_mode="Nœud",$Z1025*$K1025,$X1025*IF($G1025="IKS",p_iks_cpu,p_roks_cpu)+$Y1025*IF($G1025="IKS",p_iks_ram,p_roks_ram))*p_facteur)</f>
        <v/>
      </c>
      <c r="AB1025" s="14" t="str">
        <f aca="false">IF($D1025&lt;&gt;1,"",MAX($J1025,ROUNDUP(MAX($L1025/$H1025,$M1025/$I1025),0)))</f>
        <v/>
      </c>
      <c r="AC1025" s="84" t="str">
        <f aca="false">IF($D1025&lt;&gt;1,"",IF(p_mode="Nœud",$AB1025*$K1025,$L1025*IF($G1025="IKS",p_iks_cpu,p_roks_cpu)+$M1025*IF($G1025="IKS",p_iks_ram,p_roks_ram))*p_facteur)</f>
        <v/>
      </c>
      <c r="AD1025" s="14" t="str">
        <f aca="false">IF($D1025&lt;&gt;1,"",IF(AND($G1025="IKS",$AI1025&lt;&gt;1,OR($L1025-$P1025&lt;$N1025,$M1025-$Q1025&lt;$O1025)),1,0))</f>
        <v/>
      </c>
      <c r="AE1025" s="14" t="str">
        <f aca="false">IF($D1025&lt;&gt;1,"",IF(AND($G1025="ROKS",$T1025&gt;p_maxworkers),1,0))</f>
        <v/>
      </c>
      <c r="AF1025" s="14" t="str">
        <f aca="false">IF($D1025&lt;&gt;1,"",IF(INDEX(TblClusters[Environnement],$B1025)="","(vide)",INDEX(TblClusters[Environnement],$B1025)))</f>
        <v/>
      </c>
      <c r="AG1025" s="14" t="str">
        <f aca="false">IF($D1025&lt;&gt;1,"",$R1025+p_poidsram*$S1025)</f>
        <v/>
      </c>
      <c r="AH1025" s="14" t="str">
        <f aca="false">IF($D1025&lt;&gt;1,"",IFERROR($W1025/$AG1025,0))</f>
        <v/>
      </c>
      <c r="AI1025" s="14" t="str">
        <f aca="false">IF($D1025&lt;&gt;1,"",IF(AND($G1025="IKS",ISNUMBER(INDEX(TblClusters[Fermeture retenue],$B1025))),IF($E1025&gt;=INDEX(TblClusters[Fermeture retenue],$B1025),1,0),0))</f>
        <v/>
      </c>
    </row>
    <row r="1026" customFormat="false" ht="15" hidden="false" customHeight="false" outlineLevel="0" collapsed="false">
      <c r="A1026" s="14" t="n">
        <v>1021</v>
      </c>
      <c r="B1026" s="14" t="n">
        <f aca="false">INT(($A1026-1)/36)+1</f>
        <v>29</v>
      </c>
      <c r="C1026" s="14" t="n">
        <f aca="false">MOD($A1026-1,36)+1</f>
        <v>13</v>
      </c>
      <c r="D1026" s="14" t="n">
        <f aca="false">IF($C1026&gt;p_horizon,0,IFERROR(IF(AND(INDEX(TblClusters[Cluster],$B1026)&lt;&gt;"",ISNUMBER(INDEX(TblClusters[CPU initial (vCPU)],$B1026)),ISNUMBER(INDEX(TblClusters[CPU min (vCPU)],$B1026)),OR(INDEX(TblClusters[Plateforme],$B1026)="IKS",INDEX(TblClusters[Plateforme],$B1026)="ROKS")),1,0),0))</f>
        <v>0</v>
      </c>
      <c r="E1026" s="83" t="str">
        <f aca="false">IF($D1026=1,EDATE(p_debut,$C1026-1),"")</f>
        <v/>
      </c>
      <c r="F1026" s="14" t="str">
        <f aca="false">IF($D1026=1,INDEX(TblClusters[Cluster],$B1026),"")</f>
        <v/>
      </c>
      <c r="G1026" s="14" t="str">
        <f aca="false">IF($D1026=1,INDEX(TblClusters[Plateforme],$B1026),"")</f>
        <v/>
      </c>
      <c r="H1026" s="14" t="str">
        <f aca="false">IF($D1026=1,INDEX(TblClusters[vCPU par nœud],$B1026),"")</f>
        <v/>
      </c>
      <c r="I1026" s="14" t="str">
        <f aca="false">IF($D1026=1,INDEX(TblClusters[RAM par nœud (Go)],$B1026),"")</f>
        <v/>
      </c>
      <c r="J1026" s="14" t="str">
        <f aca="false">IF($D1026=1,INDEX(TblClusters[Workers min],$B1026),"")</f>
        <v/>
      </c>
      <c r="K1026" s="84" t="str">
        <f aca="false">IF($D1026=1,INDEX(TblClusters[Tarif par nœud],$B1026),"")</f>
        <v/>
      </c>
      <c r="L1026" s="14" t="str">
        <f aca="false">IF($D1026=1,INDEX(TblClusters[CPU initial (vCPU)],$B1026),"")</f>
        <v/>
      </c>
      <c r="M1026" s="14" t="str">
        <f aca="false">IF($D1026=1,INDEX(TblClusters[RAM initiale (Go)],$B1026),"")</f>
        <v/>
      </c>
      <c r="N1026" s="14" t="str">
        <f aca="false">IF($D1026=1,INDEX(TblClusters[CPU min (vCPU)],$B1026),"")</f>
        <v/>
      </c>
      <c r="O1026" s="14" t="str">
        <f aca="false">IF($D1026=1,INDEX(TblClusters[RAM min (Go)],$B1026),"")</f>
        <v/>
      </c>
      <c r="P1026" s="14" t="str">
        <f aca="false">IF($D1026&lt;&gt;1,"",IF($G1026="ROKS",SUMIFS(TblApplications[Besoin ROKS CPU (vCPU)],TblApplications[Cluster ROKS cible],$F1026,TblApplications[Action],"À migrer",TblApplications[Déjà incluse ROKS],"Non",TblApplications[Mois prov (calc)],"&lt;="&amp;$E1026),SUMIFS(TblApplications[CPU IKS libérable (vCPU)],TblApplications[Cluster IKS source],$F1026,TblApplications[Mois lib (calc)],"&lt;="&amp;$E1026)))</f>
        <v/>
      </c>
      <c r="Q1026" s="14" t="str">
        <f aca="false">IF($D1026&lt;&gt;1,"",IF($G1026="ROKS",SUMIFS(TblApplications[Besoin ROKS RAM (Go)],TblApplications[Cluster ROKS cible],$F1026,TblApplications[Action],"À migrer",TblApplications[Déjà incluse ROKS],"Non",TblApplications[Mois prov (calc)],"&lt;="&amp;$E1026),SUMIFS(TblApplications[RAM IKS libérable (Go)],TblApplications[Cluster IKS source],$F1026,TblApplications[Mois lib (calc)],"&lt;="&amp;$E1026)))</f>
        <v/>
      </c>
      <c r="R1026" s="14" t="str">
        <f aca="false">IF($D1026&lt;&gt;1,"",IF($G1026="ROKS",$L1026+$P1026,IF($AI1026=1,0,MAX($N1026,$L1026-$P1026))))</f>
        <v/>
      </c>
      <c r="S1026" s="14" t="str">
        <f aca="false">IF($D1026&lt;&gt;1,"",IF($G1026="ROKS",$M1026+$Q1026,IF($AI1026=1,0,MAX($O1026,$M1026-$Q1026))))</f>
        <v/>
      </c>
      <c r="T1026" s="14" t="str">
        <f aca="false">IF($D1026&lt;&gt;1,"",IF($AI1026=1,0,MAX($J1026,ROUNDUP(MAX($R1026/$H1026,$S1026/$I1026),0))))</f>
        <v/>
      </c>
      <c r="U1026" s="14" t="str">
        <f aca="false">IF($D1026&lt;&gt;1,"",IF(p_mode="Nœud",$T1026*$H1026,$R1026))</f>
        <v/>
      </c>
      <c r="V1026" s="14" t="str">
        <f aca="false">IF($D1026&lt;&gt;1,"",IF(p_mode="Nœud",$T1026*$I1026,$S1026))</f>
        <v/>
      </c>
      <c r="W1026" s="84" t="str">
        <f aca="false">IF($D1026&lt;&gt;1,"",IF(p_mode="Nœud",$T1026*$K1026,$R1026*IF($G1026="IKS",p_iks_cpu,p_roks_cpu)+$S1026*IF($G1026="IKS",p_iks_ram,p_roks_ram))*p_facteur)</f>
        <v/>
      </c>
      <c r="X1026" s="14" t="str">
        <f aca="false">IF($D1026&lt;&gt;1,"",IF($G1026="ROKS",$R1026,IF($AI1026=1,0,MAX($N1026,$L1026-SUMIFS(TblApplications[CPU IKS libérable (vCPU)],TblApplications[Cluster IKS source],$F1026,TblApplications[Action],"À migrer",TblApplications[Mois prov (calc)],"&lt;="&amp;$E1026)-SUMIFS(TblApplications[CPU IKS libérable (vCPU)],TblApplications[Cluster IKS source],$F1026,TblApplications[Action],"À décommissionner",TblApplications[Mois lib (calc)],"&lt;="&amp;$E1026)))))</f>
        <v/>
      </c>
      <c r="Y1026" s="14" t="str">
        <f aca="false">IF($D1026&lt;&gt;1,"",IF($G1026="ROKS",$S1026,IF($AI1026=1,0,MAX($O1026,$M1026-SUMIFS(TblApplications[RAM IKS libérable (Go)],TblApplications[Cluster IKS source],$F1026,TblApplications[Action],"À migrer",TblApplications[Mois prov (calc)],"&lt;="&amp;$E1026)-SUMIFS(TblApplications[RAM IKS libérable (Go)],TblApplications[Cluster IKS source],$F1026,TblApplications[Action],"À décommissionner",TblApplications[Mois lib (calc)],"&lt;="&amp;$E1026)))))</f>
        <v/>
      </c>
      <c r="Z1026" s="14" t="str">
        <f aca="false">IF($D1026&lt;&gt;1,"",IF($AI1026=1,0,MAX($J1026,ROUNDUP(MAX($X1026/$H1026,$Y1026/$I1026),0))))</f>
        <v/>
      </c>
      <c r="AA1026" s="84" t="str">
        <f aca="false">IF($D1026&lt;&gt;1,"",IF(p_mode="Nœud",$Z1026*$K1026,$X1026*IF($G1026="IKS",p_iks_cpu,p_roks_cpu)+$Y1026*IF($G1026="IKS",p_iks_ram,p_roks_ram))*p_facteur)</f>
        <v/>
      </c>
      <c r="AB1026" s="14" t="str">
        <f aca="false">IF($D1026&lt;&gt;1,"",MAX($J1026,ROUNDUP(MAX($L1026/$H1026,$M1026/$I1026),0)))</f>
        <v/>
      </c>
      <c r="AC1026" s="84" t="str">
        <f aca="false">IF($D1026&lt;&gt;1,"",IF(p_mode="Nœud",$AB1026*$K1026,$L1026*IF($G1026="IKS",p_iks_cpu,p_roks_cpu)+$M1026*IF($G1026="IKS",p_iks_ram,p_roks_ram))*p_facteur)</f>
        <v/>
      </c>
      <c r="AD1026" s="14" t="str">
        <f aca="false">IF($D1026&lt;&gt;1,"",IF(AND($G1026="IKS",$AI1026&lt;&gt;1,OR($L1026-$P1026&lt;$N1026,$M1026-$Q1026&lt;$O1026)),1,0))</f>
        <v/>
      </c>
      <c r="AE1026" s="14" t="str">
        <f aca="false">IF($D1026&lt;&gt;1,"",IF(AND($G1026="ROKS",$T1026&gt;p_maxworkers),1,0))</f>
        <v/>
      </c>
      <c r="AF1026" s="14" t="str">
        <f aca="false">IF($D1026&lt;&gt;1,"",IF(INDEX(TblClusters[Environnement],$B1026)="","(vide)",INDEX(TblClusters[Environnement],$B1026)))</f>
        <v/>
      </c>
      <c r="AG1026" s="14" t="str">
        <f aca="false">IF($D1026&lt;&gt;1,"",$R1026+p_poidsram*$S1026)</f>
        <v/>
      </c>
      <c r="AH1026" s="14" t="str">
        <f aca="false">IF($D1026&lt;&gt;1,"",IFERROR($W1026/$AG1026,0))</f>
        <v/>
      </c>
      <c r="AI1026" s="14" t="str">
        <f aca="false">IF($D1026&lt;&gt;1,"",IF(AND($G1026="IKS",ISNUMBER(INDEX(TblClusters[Fermeture retenue],$B1026))),IF($E1026&gt;=INDEX(TblClusters[Fermeture retenue],$B1026),1,0),0))</f>
        <v/>
      </c>
    </row>
    <row r="1027" customFormat="false" ht="15" hidden="false" customHeight="false" outlineLevel="0" collapsed="false">
      <c r="A1027" s="14" t="n">
        <v>1022</v>
      </c>
      <c r="B1027" s="14" t="n">
        <f aca="false">INT(($A1027-1)/36)+1</f>
        <v>29</v>
      </c>
      <c r="C1027" s="14" t="n">
        <f aca="false">MOD($A1027-1,36)+1</f>
        <v>14</v>
      </c>
      <c r="D1027" s="14" t="n">
        <f aca="false">IF($C1027&gt;p_horizon,0,IFERROR(IF(AND(INDEX(TblClusters[Cluster],$B1027)&lt;&gt;"",ISNUMBER(INDEX(TblClusters[CPU initial (vCPU)],$B1027)),ISNUMBER(INDEX(TblClusters[CPU min (vCPU)],$B1027)),OR(INDEX(TblClusters[Plateforme],$B1027)="IKS",INDEX(TblClusters[Plateforme],$B1027)="ROKS")),1,0),0))</f>
        <v>0</v>
      </c>
      <c r="E1027" s="83" t="str">
        <f aca="false">IF($D1027=1,EDATE(p_debut,$C1027-1),"")</f>
        <v/>
      </c>
      <c r="F1027" s="14" t="str">
        <f aca="false">IF($D1027=1,INDEX(TblClusters[Cluster],$B1027),"")</f>
        <v/>
      </c>
      <c r="G1027" s="14" t="str">
        <f aca="false">IF($D1027=1,INDEX(TblClusters[Plateforme],$B1027),"")</f>
        <v/>
      </c>
      <c r="H1027" s="14" t="str">
        <f aca="false">IF($D1027=1,INDEX(TblClusters[vCPU par nœud],$B1027),"")</f>
        <v/>
      </c>
      <c r="I1027" s="14" t="str">
        <f aca="false">IF($D1027=1,INDEX(TblClusters[RAM par nœud (Go)],$B1027),"")</f>
        <v/>
      </c>
      <c r="J1027" s="14" t="str">
        <f aca="false">IF($D1027=1,INDEX(TblClusters[Workers min],$B1027),"")</f>
        <v/>
      </c>
      <c r="K1027" s="84" t="str">
        <f aca="false">IF($D1027=1,INDEX(TblClusters[Tarif par nœud],$B1027),"")</f>
        <v/>
      </c>
      <c r="L1027" s="14" t="str">
        <f aca="false">IF($D1027=1,INDEX(TblClusters[CPU initial (vCPU)],$B1027),"")</f>
        <v/>
      </c>
      <c r="M1027" s="14" t="str">
        <f aca="false">IF($D1027=1,INDEX(TblClusters[RAM initiale (Go)],$B1027),"")</f>
        <v/>
      </c>
      <c r="N1027" s="14" t="str">
        <f aca="false">IF($D1027=1,INDEX(TblClusters[CPU min (vCPU)],$B1027),"")</f>
        <v/>
      </c>
      <c r="O1027" s="14" t="str">
        <f aca="false">IF($D1027=1,INDEX(TblClusters[RAM min (Go)],$B1027),"")</f>
        <v/>
      </c>
      <c r="P1027" s="14" t="str">
        <f aca="false">IF($D1027&lt;&gt;1,"",IF($G1027="ROKS",SUMIFS(TblApplications[Besoin ROKS CPU (vCPU)],TblApplications[Cluster ROKS cible],$F1027,TblApplications[Action],"À migrer",TblApplications[Déjà incluse ROKS],"Non",TblApplications[Mois prov (calc)],"&lt;="&amp;$E1027),SUMIFS(TblApplications[CPU IKS libérable (vCPU)],TblApplications[Cluster IKS source],$F1027,TblApplications[Mois lib (calc)],"&lt;="&amp;$E1027)))</f>
        <v/>
      </c>
      <c r="Q1027" s="14" t="str">
        <f aca="false">IF($D1027&lt;&gt;1,"",IF($G1027="ROKS",SUMIFS(TblApplications[Besoin ROKS RAM (Go)],TblApplications[Cluster ROKS cible],$F1027,TblApplications[Action],"À migrer",TblApplications[Déjà incluse ROKS],"Non",TblApplications[Mois prov (calc)],"&lt;="&amp;$E1027),SUMIFS(TblApplications[RAM IKS libérable (Go)],TblApplications[Cluster IKS source],$F1027,TblApplications[Mois lib (calc)],"&lt;="&amp;$E1027)))</f>
        <v/>
      </c>
      <c r="R1027" s="14" t="str">
        <f aca="false">IF($D1027&lt;&gt;1,"",IF($G1027="ROKS",$L1027+$P1027,IF($AI1027=1,0,MAX($N1027,$L1027-$P1027))))</f>
        <v/>
      </c>
      <c r="S1027" s="14" t="str">
        <f aca="false">IF($D1027&lt;&gt;1,"",IF($G1027="ROKS",$M1027+$Q1027,IF($AI1027=1,0,MAX($O1027,$M1027-$Q1027))))</f>
        <v/>
      </c>
      <c r="T1027" s="14" t="str">
        <f aca="false">IF($D1027&lt;&gt;1,"",IF($AI1027=1,0,MAX($J1027,ROUNDUP(MAX($R1027/$H1027,$S1027/$I1027),0))))</f>
        <v/>
      </c>
      <c r="U1027" s="14" t="str">
        <f aca="false">IF($D1027&lt;&gt;1,"",IF(p_mode="Nœud",$T1027*$H1027,$R1027))</f>
        <v/>
      </c>
      <c r="V1027" s="14" t="str">
        <f aca="false">IF($D1027&lt;&gt;1,"",IF(p_mode="Nœud",$T1027*$I1027,$S1027))</f>
        <v/>
      </c>
      <c r="W1027" s="84" t="str">
        <f aca="false">IF($D1027&lt;&gt;1,"",IF(p_mode="Nœud",$T1027*$K1027,$R1027*IF($G1027="IKS",p_iks_cpu,p_roks_cpu)+$S1027*IF($G1027="IKS",p_iks_ram,p_roks_ram))*p_facteur)</f>
        <v/>
      </c>
      <c r="X1027" s="14" t="str">
        <f aca="false">IF($D1027&lt;&gt;1,"",IF($G1027="ROKS",$R1027,IF($AI1027=1,0,MAX($N1027,$L1027-SUMIFS(TblApplications[CPU IKS libérable (vCPU)],TblApplications[Cluster IKS source],$F1027,TblApplications[Action],"À migrer",TblApplications[Mois prov (calc)],"&lt;="&amp;$E1027)-SUMIFS(TblApplications[CPU IKS libérable (vCPU)],TblApplications[Cluster IKS source],$F1027,TblApplications[Action],"À décommissionner",TblApplications[Mois lib (calc)],"&lt;="&amp;$E1027)))))</f>
        <v/>
      </c>
      <c r="Y1027" s="14" t="str">
        <f aca="false">IF($D1027&lt;&gt;1,"",IF($G1027="ROKS",$S1027,IF($AI1027=1,0,MAX($O1027,$M1027-SUMIFS(TblApplications[RAM IKS libérable (Go)],TblApplications[Cluster IKS source],$F1027,TblApplications[Action],"À migrer",TblApplications[Mois prov (calc)],"&lt;="&amp;$E1027)-SUMIFS(TblApplications[RAM IKS libérable (Go)],TblApplications[Cluster IKS source],$F1027,TblApplications[Action],"À décommissionner",TblApplications[Mois lib (calc)],"&lt;="&amp;$E1027)))))</f>
        <v/>
      </c>
      <c r="Z1027" s="14" t="str">
        <f aca="false">IF($D1027&lt;&gt;1,"",IF($AI1027=1,0,MAX($J1027,ROUNDUP(MAX($X1027/$H1027,$Y1027/$I1027),0))))</f>
        <v/>
      </c>
      <c r="AA1027" s="84" t="str">
        <f aca="false">IF($D1027&lt;&gt;1,"",IF(p_mode="Nœud",$Z1027*$K1027,$X1027*IF($G1027="IKS",p_iks_cpu,p_roks_cpu)+$Y1027*IF($G1027="IKS",p_iks_ram,p_roks_ram))*p_facteur)</f>
        <v/>
      </c>
      <c r="AB1027" s="14" t="str">
        <f aca="false">IF($D1027&lt;&gt;1,"",MAX($J1027,ROUNDUP(MAX($L1027/$H1027,$M1027/$I1027),0)))</f>
        <v/>
      </c>
      <c r="AC1027" s="84" t="str">
        <f aca="false">IF($D1027&lt;&gt;1,"",IF(p_mode="Nœud",$AB1027*$K1027,$L1027*IF($G1027="IKS",p_iks_cpu,p_roks_cpu)+$M1027*IF($G1027="IKS",p_iks_ram,p_roks_ram))*p_facteur)</f>
        <v/>
      </c>
      <c r="AD1027" s="14" t="str">
        <f aca="false">IF($D1027&lt;&gt;1,"",IF(AND($G1027="IKS",$AI1027&lt;&gt;1,OR($L1027-$P1027&lt;$N1027,$M1027-$Q1027&lt;$O1027)),1,0))</f>
        <v/>
      </c>
      <c r="AE1027" s="14" t="str">
        <f aca="false">IF($D1027&lt;&gt;1,"",IF(AND($G1027="ROKS",$T1027&gt;p_maxworkers),1,0))</f>
        <v/>
      </c>
      <c r="AF1027" s="14" t="str">
        <f aca="false">IF($D1027&lt;&gt;1,"",IF(INDEX(TblClusters[Environnement],$B1027)="","(vide)",INDEX(TblClusters[Environnement],$B1027)))</f>
        <v/>
      </c>
      <c r="AG1027" s="14" t="str">
        <f aca="false">IF($D1027&lt;&gt;1,"",$R1027+p_poidsram*$S1027)</f>
        <v/>
      </c>
      <c r="AH1027" s="14" t="str">
        <f aca="false">IF($D1027&lt;&gt;1,"",IFERROR($W1027/$AG1027,0))</f>
        <v/>
      </c>
      <c r="AI1027" s="14" t="str">
        <f aca="false">IF($D1027&lt;&gt;1,"",IF(AND($G1027="IKS",ISNUMBER(INDEX(TblClusters[Fermeture retenue],$B1027))),IF($E1027&gt;=INDEX(TblClusters[Fermeture retenue],$B1027),1,0),0))</f>
        <v/>
      </c>
    </row>
    <row r="1028" customFormat="false" ht="15" hidden="false" customHeight="false" outlineLevel="0" collapsed="false">
      <c r="A1028" s="14" t="n">
        <v>1023</v>
      </c>
      <c r="B1028" s="14" t="n">
        <f aca="false">INT(($A1028-1)/36)+1</f>
        <v>29</v>
      </c>
      <c r="C1028" s="14" t="n">
        <f aca="false">MOD($A1028-1,36)+1</f>
        <v>15</v>
      </c>
      <c r="D1028" s="14" t="n">
        <f aca="false">IF($C1028&gt;p_horizon,0,IFERROR(IF(AND(INDEX(TblClusters[Cluster],$B1028)&lt;&gt;"",ISNUMBER(INDEX(TblClusters[CPU initial (vCPU)],$B1028)),ISNUMBER(INDEX(TblClusters[CPU min (vCPU)],$B1028)),OR(INDEX(TblClusters[Plateforme],$B1028)="IKS",INDEX(TblClusters[Plateforme],$B1028)="ROKS")),1,0),0))</f>
        <v>0</v>
      </c>
      <c r="E1028" s="83" t="str">
        <f aca="false">IF($D1028=1,EDATE(p_debut,$C1028-1),"")</f>
        <v/>
      </c>
      <c r="F1028" s="14" t="str">
        <f aca="false">IF($D1028=1,INDEX(TblClusters[Cluster],$B1028),"")</f>
        <v/>
      </c>
      <c r="G1028" s="14" t="str">
        <f aca="false">IF($D1028=1,INDEX(TblClusters[Plateforme],$B1028),"")</f>
        <v/>
      </c>
      <c r="H1028" s="14" t="str">
        <f aca="false">IF($D1028=1,INDEX(TblClusters[vCPU par nœud],$B1028),"")</f>
        <v/>
      </c>
      <c r="I1028" s="14" t="str">
        <f aca="false">IF($D1028=1,INDEX(TblClusters[RAM par nœud (Go)],$B1028),"")</f>
        <v/>
      </c>
      <c r="J1028" s="14" t="str">
        <f aca="false">IF($D1028=1,INDEX(TblClusters[Workers min],$B1028),"")</f>
        <v/>
      </c>
      <c r="K1028" s="84" t="str">
        <f aca="false">IF($D1028=1,INDEX(TblClusters[Tarif par nœud],$B1028),"")</f>
        <v/>
      </c>
      <c r="L1028" s="14" t="str">
        <f aca="false">IF($D1028=1,INDEX(TblClusters[CPU initial (vCPU)],$B1028),"")</f>
        <v/>
      </c>
      <c r="M1028" s="14" t="str">
        <f aca="false">IF($D1028=1,INDEX(TblClusters[RAM initiale (Go)],$B1028),"")</f>
        <v/>
      </c>
      <c r="N1028" s="14" t="str">
        <f aca="false">IF($D1028=1,INDEX(TblClusters[CPU min (vCPU)],$B1028),"")</f>
        <v/>
      </c>
      <c r="O1028" s="14" t="str">
        <f aca="false">IF($D1028=1,INDEX(TblClusters[RAM min (Go)],$B1028),"")</f>
        <v/>
      </c>
      <c r="P1028" s="14" t="str">
        <f aca="false">IF($D1028&lt;&gt;1,"",IF($G1028="ROKS",SUMIFS(TblApplications[Besoin ROKS CPU (vCPU)],TblApplications[Cluster ROKS cible],$F1028,TblApplications[Action],"À migrer",TblApplications[Déjà incluse ROKS],"Non",TblApplications[Mois prov (calc)],"&lt;="&amp;$E1028),SUMIFS(TblApplications[CPU IKS libérable (vCPU)],TblApplications[Cluster IKS source],$F1028,TblApplications[Mois lib (calc)],"&lt;="&amp;$E1028)))</f>
        <v/>
      </c>
      <c r="Q1028" s="14" t="str">
        <f aca="false">IF($D1028&lt;&gt;1,"",IF($G1028="ROKS",SUMIFS(TblApplications[Besoin ROKS RAM (Go)],TblApplications[Cluster ROKS cible],$F1028,TblApplications[Action],"À migrer",TblApplications[Déjà incluse ROKS],"Non",TblApplications[Mois prov (calc)],"&lt;="&amp;$E1028),SUMIFS(TblApplications[RAM IKS libérable (Go)],TblApplications[Cluster IKS source],$F1028,TblApplications[Mois lib (calc)],"&lt;="&amp;$E1028)))</f>
        <v/>
      </c>
      <c r="R1028" s="14" t="str">
        <f aca="false">IF($D1028&lt;&gt;1,"",IF($G1028="ROKS",$L1028+$P1028,IF($AI1028=1,0,MAX($N1028,$L1028-$P1028))))</f>
        <v/>
      </c>
      <c r="S1028" s="14" t="str">
        <f aca="false">IF($D1028&lt;&gt;1,"",IF($G1028="ROKS",$M1028+$Q1028,IF($AI1028=1,0,MAX($O1028,$M1028-$Q1028))))</f>
        <v/>
      </c>
      <c r="T1028" s="14" t="str">
        <f aca="false">IF($D1028&lt;&gt;1,"",IF($AI1028=1,0,MAX($J1028,ROUNDUP(MAX($R1028/$H1028,$S1028/$I1028),0))))</f>
        <v/>
      </c>
      <c r="U1028" s="14" t="str">
        <f aca="false">IF($D1028&lt;&gt;1,"",IF(p_mode="Nœud",$T1028*$H1028,$R1028))</f>
        <v/>
      </c>
      <c r="V1028" s="14" t="str">
        <f aca="false">IF($D1028&lt;&gt;1,"",IF(p_mode="Nœud",$T1028*$I1028,$S1028))</f>
        <v/>
      </c>
      <c r="W1028" s="84" t="str">
        <f aca="false">IF($D1028&lt;&gt;1,"",IF(p_mode="Nœud",$T1028*$K1028,$R1028*IF($G1028="IKS",p_iks_cpu,p_roks_cpu)+$S1028*IF($G1028="IKS",p_iks_ram,p_roks_ram))*p_facteur)</f>
        <v/>
      </c>
      <c r="X1028" s="14" t="str">
        <f aca="false">IF($D1028&lt;&gt;1,"",IF($G1028="ROKS",$R1028,IF($AI1028=1,0,MAX($N1028,$L1028-SUMIFS(TblApplications[CPU IKS libérable (vCPU)],TblApplications[Cluster IKS source],$F1028,TblApplications[Action],"À migrer",TblApplications[Mois prov (calc)],"&lt;="&amp;$E1028)-SUMIFS(TblApplications[CPU IKS libérable (vCPU)],TblApplications[Cluster IKS source],$F1028,TblApplications[Action],"À décommissionner",TblApplications[Mois lib (calc)],"&lt;="&amp;$E1028)))))</f>
        <v/>
      </c>
      <c r="Y1028" s="14" t="str">
        <f aca="false">IF($D1028&lt;&gt;1,"",IF($G1028="ROKS",$S1028,IF($AI1028=1,0,MAX($O1028,$M1028-SUMIFS(TblApplications[RAM IKS libérable (Go)],TblApplications[Cluster IKS source],$F1028,TblApplications[Action],"À migrer",TblApplications[Mois prov (calc)],"&lt;="&amp;$E1028)-SUMIFS(TblApplications[RAM IKS libérable (Go)],TblApplications[Cluster IKS source],$F1028,TblApplications[Action],"À décommissionner",TblApplications[Mois lib (calc)],"&lt;="&amp;$E1028)))))</f>
        <v/>
      </c>
      <c r="Z1028" s="14" t="str">
        <f aca="false">IF($D1028&lt;&gt;1,"",IF($AI1028=1,0,MAX($J1028,ROUNDUP(MAX($X1028/$H1028,$Y1028/$I1028),0))))</f>
        <v/>
      </c>
      <c r="AA1028" s="84" t="str">
        <f aca="false">IF($D1028&lt;&gt;1,"",IF(p_mode="Nœud",$Z1028*$K1028,$X1028*IF($G1028="IKS",p_iks_cpu,p_roks_cpu)+$Y1028*IF($G1028="IKS",p_iks_ram,p_roks_ram))*p_facteur)</f>
        <v/>
      </c>
      <c r="AB1028" s="14" t="str">
        <f aca="false">IF($D1028&lt;&gt;1,"",MAX($J1028,ROUNDUP(MAX($L1028/$H1028,$M1028/$I1028),0)))</f>
        <v/>
      </c>
      <c r="AC1028" s="84" t="str">
        <f aca="false">IF($D1028&lt;&gt;1,"",IF(p_mode="Nœud",$AB1028*$K1028,$L1028*IF($G1028="IKS",p_iks_cpu,p_roks_cpu)+$M1028*IF($G1028="IKS",p_iks_ram,p_roks_ram))*p_facteur)</f>
        <v/>
      </c>
      <c r="AD1028" s="14" t="str">
        <f aca="false">IF($D1028&lt;&gt;1,"",IF(AND($G1028="IKS",$AI1028&lt;&gt;1,OR($L1028-$P1028&lt;$N1028,$M1028-$Q1028&lt;$O1028)),1,0))</f>
        <v/>
      </c>
      <c r="AE1028" s="14" t="str">
        <f aca="false">IF($D1028&lt;&gt;1,"",IF(AND($G1028="ROKS",$T1028&gt;p_maxworkers),1,0))</f>
        <v/>
      </c>
      <c r="AF1028" s="14" t="str">
        <f aca="false">IF($D1028&lt;&gt;1,"",IF(INDEX(TblClusters[Environnement],$B1028)="","(vide)",INDEX(TblClusters[Environnement],$B1028)))</f>
        <v/>
      </c>
      <c r="AG1028" s="14" t="str">
        <f aca="false">IF($D1028&lt;&gt;1,"",$R1028+p_poidsram*$S1028)</f>
        <v/>
      </c>
      <c r="AH1028" s="14" t="str">
        <f aca="false">IF($D1028&lt;&gt;1,"",IFERROR($W1028/$AG1028,0))</f>
        <v/>
      </c>
      <c r="AI1028" s="14" t="str">
        <f aca="false">IF($D1028&lt;&gt;1,"",IF(AND($G1028="IKS",ISNUMBER(INDEX(TblClusters[Fermeture retenue],$B1028))),IF($E1028&gt;=INDEX(TblClusters[Fermeture retenue],$B1028),1,0),0))</f>
        <v/>
      </c>
    </row>
    <row r="1029" customFormat="false" ht="15" hidden="false" customHeight="false" outlineLevel="0" collapsed="false">
      <c r="A1029" s="14" t="n">
        <v>1024</v>
      </c>
      <c r="B1029" s="14" t="n">
        <f aca="false">INT(($A1029-1)/36)+1</f>
        <v>29</v>
      </c>
      <c r="C1029" s="14" t="n">
        <f aca="false">MOD($A1029-1,36)+1</f>
        <v>16</v>
      </c>
      <c r="D1029" s="14" t="n">
        <f aca="false">IF($C1029&gt;p_horizon,0,IFERROR(IF(AND(INDEX(TblClusters[Cluster],$B1029)&lt;&gt;"",ISNUMBER(INDEX(TblClusters[CPU initial (vCPU)],$B1029)),ISNUMBER(INDEX(TblClusters[CPU min (vCPU)],$B1029)),OR(INDEX(TblClusters[Plateforme],$B1029)="IKS",INDEX(TblClusters[Plateforme],$B1029)="ROKS")),1,0),0))</f>
        <v>0</v>
      </c>
      <c r="E1029" s="83" t="str">
        <f aca="false">IF($D1029=1,EDATE(p_debut,$C1029-1),"")</f>
        <v/>
      </c>
      <c r="F1029" s="14" t="str">
        <f aca="false">IF($D1029=1,INDEX(TblClusters[Cluster],$B1029),"")</f>
        <v/>
      </c>
      <c r="G1029" s="14" t="str">
        <f aca="false">IF($D1029=1,INDEX(TblClusters[Plateforme],$B1029),"")</f>
        <v/>
      </c>
      <c r="H1029" s="14" t="str">
        <f aca="false">IF($D1029=1,INDEX(TblClusters[vCPU par nœud],$B1029),"")</f>
        <v/>
      </c>
      <c r="I1029" s="14" t="str">
        <f aca="false">IF($D1029=1,INDEX(TblClusters[RAM par nœud (Go)],$B1029),"")</f>
        <v/>
      </c>
      <c r="J1029" s="14" t="str">
        <f aca="false">IF($D1029=1,INDEX(TblClusters[Workers min],$B1029),"")</f>
        <v/>
      </c>
      <c r="K1029" s="84" t="str">
        <f aca="false">IF($D1029=1,INDEX(TblClusters[Tarif par nœud],$B1029),"")</f>
        <v/>
      </c>
      <c r="L1029" s="14" t="str">
        <f aca="false">IF($D1029=1,INDEX(TblClusters[CPU initial (vCPU)],$B1029),"")</f>
        <v/>
      </c>
      <c r="M1029" s="14" t="str">
        <f aca="false">IF($D1029=1,INDEX(TblClusters[RAM initiale (Go)],$B1029),"")</f>
        <v/>
      </c>
      <c r="N1029" s="14" t="str">
        <f aca="false">IF($D1029=1,INDEX(TblClusters[CPU min (vCPU)],$B1029),"")</f>
        <v/>
      </c>
      <c r="O1029" s="14" t="str">
        <f aca="false">IF($D1029=1,INDEX(TblClusters[RAM min (Go)],$B1029),"")</f>
        <v/>
      </c>
      <c r="P1029" s="14" t="str">
        <f aca="false">IF($D1029&lt;&gt;1,"",IF($G1029="ROKS",SUMIFS(TblApplications[Besoin ROKS CPU (vCPU)],TblApplications[Cluster ROKS cible],$F1029,TblApplications[Action],"À migrer",TblApplications[Déjà incluse ROKS],"Non",TblApplications[Mois prov (calc)],"&lt;="&amp;$E1029),SUMIFS(TblApplications[CPU IKS libérable (vCPU)],TblApplications[Cluster IKS source],$F1029,TblApplications[Mois lib (calc)],"&lt;="&amp;$E1029)))</f>
        <v/>
      </c>
      <c r="Q1029" s="14" t="str">
        <f aca="false">IF($D1029&lt;&gt;1,"",IF($G1029="ROKS",SUMIFS(TblApplications[Besoin ROKS RAM (Go)],TblApplications[Cluster ROKS cible],$F1029,TblApplications[Action],"À migrer",TblApplications[Déjà incluse ROKS],"Non",TblApplications[Mois prov (calc)],"&lt;="&amp;$E1029),SUMIFS(TblApplications[RAM IKS libérable (Go)],TblApplications[Cluster IKS source],$F1029,TblApplications[Mois lib (calc)],"&lt;="&amp;$E1029)))</f>
        <v/>
      </c>
      <c r="R1029" s="14" t="str">
        <f aca="false">IF($D1029&lt;&gt;1,"",IF($G1029="ROKS",$L1029+$P1029,IF($AI1029=1,0,MAX($N1029,$L1029-$P1029))))</f>
        <v/>
      </c>
      <c r="S1029" s="14" t="str">
        <f aca="false">IF($D1029&lt;&gt;1,"",IF($G1029="ROKS",$M1029+$Q1029,IF($AI1029=1,0,MAX($O1029,$M1029-$Q1029))))</f>
        <v/>
      </c>
      <c r="T1029" s="14" t="str">
        <f aca="false">IF($D1029&lt;&gt;1,"",IF($AI1029=1,0,MAX($J1029,ROUNDUP(MAX($R1029/$H1029,$S1029/$I1029),0))))</f>
        <v/>
      </c>
      <c r="U1029" s="14" t="str">
        <f aca="false">IF($D1029&lt;&gt;1,"",IF(p_mode="Nœud",$T1029*$H1029,$R1029))</f>
        <v/>
      </c>
      <c r="V1029" s="14" t="str">
        <f aca="false">IF($D1029&lt;&gt;1,"",IF(p_mode="Nœud",$T1029*$I1029,$S1029))</f>
        <v/>
      </c>
      <c r="W1029" s="84" t="str">
        <f aca="false">IF($D1029&lt;&gt;1,"",IF(p_mode="Nœud",$T1029*$K1029,$R1029*IF($G1029="IKS",p_iks_cpu,p_roks_cpu)+$S1029*IF($G1029="IKS",p_iks_ram,p_roks_ram))*p_facteur)</f>
        <v/>
      </c>
      <c r="X1029" s="14" t="str">
        <f aca="false">IF($D1029&lt;&gt;1,"",IF($G1029="ROKS",$R1029,IF($AI1029=1,0,MAX($N1029,$L1029-SUMIFS(TblApplications[CPU IKS libérable (vCPU)],TblApplications[Cluster IKS source],$F1029,TblApplications[Action],"À migrer",TblApplications[Mois prov (calc)],"&lt;="&amp;$E1029)-SUMIFS(TblApplications[CPU IKS libérable (vCPU)],TblApplications[Cluster IKS source],$F1029,TblApplications[Action],"À décommissionner",TblApplications[Mois lib (calc)],"&lt;="&amp;$E1029)))))</f>
        <v/>
      </c>
      <c r="Y1029" s="14" t="str">
        <f aca="false">IF($D1029&lt;&gt;1,"",IF($G1029="ROKS",$S1029,IF($AI1029=1,0,MAX($O1029,$M1029-SUMIFS(TblApplications[RAM IKS libérable (Go)],TblApplications[Cluster IKS source],$F1029,TblApplications[Action],"À migrer",TblApplications[Mois prov (calc)],"&lt;="&amp;$E1029)-SUMIFS(TblApplications[RAM IKS libérable (Go)],TblApplications[Cluster IKS source],$F1029,TblApplications[Action],"À décommissionner",TblApplications[Mois lib (calc)],"&lt;="&amp;$E1029)))))</f>
        <v/>
      </c>
      <c r="Z1029" s="14" t="str">
        <f aca="false">IF($D1029&lt;&gt;1,"",IF($AI1029=1,0,MAX($J1029,ROUNDUP(MAX($X1029/$H1029,$Y1029/$I1029),0))))</f>
        <v/>
      </c>
      <c r="AA1029" s="84" t="str">
        <f aca="false">IF($D1029&lt;&gt;1,"",IF(p_mode="Nœud",$Z1029*$K1029,$X1029*IF($G1029="IKS",p_iks_cpu,p_roks_cpu)+$Y1029*IF($G1029="IKS",p_iks_ram,p_roks_ram))*p_facteur)</f>
        <v/>
      </c>
      <c r="AB1029" s="14" t="str">
        <f aca="false">IF($D1029&lt;&gt;1,"",MAX($J1029,ROUNDUP(MAX($L1029/$H1029,$M1029/$I1029),0)))</f>
        <v/>
      </c>
      <c r="AC1029" s="84" t="str">
        <f aca="false">IF($D1029&lt;&gt;1,"",IF(p_mode="Nœud",$AB1029*$K1029,$L1029*IF($G1029="IKS",p_iks_cpu,p_roks_cpu)+$M1029*IF($G1029="IKS",p_iks_ram,p_roks_ram))*p_facteur)</f>
        <v/>
      </c>
      <c r="AD1029" s="14" t="str">
        <f aca="false">IF($D1029&lt;&gt;1,"",IF(AND($G1029="IKS",$AI1029&lt;&gt;1,OR($L1029-$P1029&lt;$N1029,$M1029-$Q1029&lt;$O1029)),1,0))</f>
        <v/>
      </c>
      <c r="AE1029" s="14" t="str">
        <f aca="false">IF($D1029&lt;&gt;1,"",IF(AND($G1029="ROKS",$T1029&gt;p_maxworkers),1,0))</f>
        <v/>
      </c>
      <c r="AF1029" s="14" t="str">
        <f aca="false">IF($D1029&lt;&gt;1,"",IF(INDEX(TblClusters[Environnement],$B1029)="","(vide)",INDEX(TblClusters[Environnement],$B1029)))</f>
        <v/>
      </c>
      <c r="AG1029" s="14" t="str">
        <f aca="false">IF($D1029&lt;&gt;1,"",$R1029+p_poidsram*$S1029)</f>
        <v/>
      </c>
      <c r="AH1029" s="14" t="str">
        <f aca="false">IF($D1029&lt;&gt;1,"",IFERROR($W1029/$AG1029,0))</f>
        <v/>
      </c>
      <c r="AI1029" s="14" t="str">
        <f aca="false">IF($D1029&lt;&gt;1,"",IF(AND($G1029="IKS",ISNUMBER(INDEX(TblClusters[Fermeture retenue],$B1029))),IF($E1029&gt;=INDEX(TblClusters[Fermeture retenue],$B1029),1,0),0))</f>
        <v/>
      </c>
    </row>
    <row r="1030" customFormat="false" ht="15" hidden="false" customHeight="false" outlineLevel="0" collapsed="false">
      <c r="A1030" s="14" t="n">
        <v>1025</v>
      </c>
      <c r="B1030" s="14" t="n">
        <f aca="false">INT(($A1030-1)/36)+1</f>
        <v>29</v>
      </c>
      <c r="C1030" s="14" t="n">
        <f aca="false">MOD($A1030-1,36)+1</f>
        <v>17</v>
      </c>
      <c r="D1030" s="14" t="n">
        <f aca="false">IF($C1030&gt;p_horizon,0,IFERROR(IF(AND(INDEX(TblClusters[Cluster],$B1030)&lt;&gt;"",ISNUMBER(INDEX(TblClusters[CPU initial (vCPU)],$B1030)),ISNUMBER(INDEX(TblClusters[CPU min (vCPU)],$B1030)),OR(INDEX(TblClusters[Plateforme],$B1030)="IKS",INDEX(TblClusters[Plateforme],$B1030)="ROKS")),1,0),0))</f>
        <v>0</v>
      </c>
      <c r="E1030" s="83" t="str">
        <f aca="false">IF($D1030=1,EDATE(p_debut,$C1030-1),"")</f>
        <v/>
      </c>
      <c r="F1030" s="14" t="str">
        <f aca="false">IF($D1030=1,INDEX(TblClusters[Cluster],$B1030),"")</f>
        <v/>
      </c>
      <c r="G1030" s="14" t="str">
        <f aca="false">IF($D1030=1,INDEX(TblClusters[Plateforme],$B1030),"")</f>
        <v/>
      </c>
      <c r="H1030" s="14" t="str">
        <f aca="false">IF($D1030=1,INDEX(TblClusters[vCPU par nœud],$B1030),"")</f>
        <v/>
      </c>
      <c r="I1030" s="14" t="str">
        <f aca="false">IF($D1030=1,INDEX(TblClusters[RAM par nœud (Go)],$B1030),"")</f>
        <v/>
      </c>
      <c r="J1030" s="14" t="str">
        <f aca="false">IF($D1030=1,INDEX(TblClusters[Workers min],$B1030),"")</f>
        <v/>
      </c>
      <c r="K1030" s="84" t="str">
        <f aca="false">IF($D1030=1,INDEX(TblClusters[Tarif par nœud],$B1030),"")</f>
        <v/>
      </c>
      <c r="L1030" s="14" t="str">
        <f aca="false">IF($D1030=1,INDEX(TblClusters[CPU initial (vCPU)],$B1030),"")</f>
        <v/>
      </c>
      <c r="M1030" s="14" t="str">
        <f aca="false">IF($D1030=1,INDEX(TblClusters[RAM initiale (Go)],$B1030),"")</f>
        <v/>
      </c>
      <c r="N1030" s="14" t="str">
        <f aca="false">IF($D1030=1,INDEX(TblClusters[CPU min (vCPU)],$B1030),"")</f>
        <v/>
      </c>
      <c r="O1030" s="14" t="str">
        <f aca="false">IF($D1030=1,INDEX(TblClusters[RAM min (Go)],$B1030),"")</f>
        <v/>
      </c>
      <c r="P1030" s="14" t="str">
        <f aca="false">IF($D1030&lt;&gt;1,"",IF($G1030="ROKS",SUMIFS(TblApplications[Besoin ROKS CPU (vCPU)],TblApplications[Cluster ROKS cible],$F1030,TblApplications[Action],"À migrer",TblApplications[Déjà incluse ROKS],"Non",TblApplications[Mois prov (calc)],"&lt;="&amp;$E1030),SUMIFS(TblApplications[CPU IKS libérable (vCPU)],TblApplications[Cluster IKS source],$F1030,TblApplications[Mois lib (calc)],"&lt;="&amp;$E1030)))</f>
        <v/>
      </c>
      <c r="Q1030" s="14" t="str">
        <f aca="false">IF($D1030&lt;&gt;1,"",IF($G1030="ROKS",SUMIFS(TblApplications[Besoin ROKS RAM (Go)],TblApplications[Cluster ROKS cible],$F1030,TblApplications[Action],"À migrer",TblApplications[Déjà incluse ROKS],"Non",TblApplications[Mois prov (calc)],"&lt;="&amp;$E1030),SUMIFS(TblApplications[RAM IKS libérable (Go)],TblApplications[Cluster IKS source],$F1030,TblApplications[Mois lib (calc)],"&lt;="&amp;$E1030)))</f>
        <v/>
      </c>
      <c r="R1030" s="14" t="str">
        <f aca="false">IF($D1030&lt;&gt;1,"",IF($G1030="ROKS",$L1030+$P1030,IF($AI1030=1,0,MAX($N1030,$L1030-$P1030))))</f>
        <v/>
      </c>
      <c r="S1030" s="14" t="str">
        <f aca="false">IF($D1030&lt;&gt;1,"",IF($G1030="ROKS",$M1030+$Q1030,IF($AI1030=1,0,MAX($O1030,$M1030-$Q1030))))</f>
        <v/>
      </c>
      <c r="T1030" s="14" t="str">
        <f aca="false">IF($D1030&lt;&gt;1,"",IF($AI1030=1,0,MAX($J1030,ROUNDUP(MAX($R1030/$H1030,$S1030/$I1030),0))))</f>
        <v/>
      </c>
      <c r="U1030" s="14" t="str">
        <f aca="false">IF($D1030&lt;&gt;1,"",IF(p_mode="Nœud",$T1030*$H1030,$R1030))</f>
        <v/>
      </c>
      <c r="V1030" s="14" t="str">
        <f aca="false">IF($D1030&lt;&gt;1,"",IF(p_mode="Nœud",$T1030*$I1030,$S1030))</f>
        <v/>
      </c>
      <c r="W1030" s="84" t="str">
        <f aca="false">IF($D1030&lt;&gt;1,"",IF(p_mode="Nœud",$T1030*$K1030,$R1030*IF($G1030="IKS",p_iks_cpu,p_roks_cpu)+$S1030*IF($G1030="IKS",p_iks_ram,p_roks_ram))*p_facteur)</f>
        <v/>
      </c>
      <c r="X1030" s="14" t="str">
        <f aca="false">IF($D1030&lt;&gt;1,"",IF($G1030="ROKS",$R1030,IF($AI1030=1,0,MAX($N1030,$L1030-SUMIFS(TblApplications[CPU IKS libérable (vCPU)],TblApplications[Cluster IKS source],$F1030,TblApplications[Action],"À migrer",TblApplications[Mois prov (calc)],"&lt;="&amp;$E1030)-SUMIFS(TblApplications[CPU IKS libérable (vCPU)],TblApplications[Cluster IKS source],$F1030,TblApplications[Action],"À décommissionner",TblApplications[Mois lib (calc)],"&lt;="&amp;$E1030)))))</f>
        <v/>
      </c>
      <c r="Y1030" s="14" t="str">
        <f aca="false">IF($D1030&lt;&gt;1,"",IF($G1030="ROKS",$S1030,IF($AI1030=1,0,MAX($O1030,$M1030-SUMIFS(TblApplications[RAM IKS libérable (Go)],TblApplications[Cluster IKS source],$F1030,TblApplications[Action],"À migrer",TblApplications[Mois prov (calc)],"&lt;="&amp;$E1030)-SUMIFS(TblApplications[RAM IKS libérable (Go)],TblApplications[Cluster IKS source],$F1030,TblApplications[Action],"À décommissionner",TblApplications[Mois lib (calc)],"&lt;="&amp;$E1030)))))</f>
        <v/>
      </c>
      <c r="Z1030" s="14" t="str">
        <f aca="false">IF($D1030&lt;&gt;1,"",IF($AI1030=1,0,MAX($J1030,ROUNDUP(MAX($X1030/$H1030,$Y1030/$I1030),0))))</f>
        <v/>
      </c>
      <c r="AA1030" s="84" t="str">
        <f aca="false">IF($D1030&lt;&gt;1,"",IF(p_mode="Nœud",$Z1030*$K1030,$X1030*IF($G1030="IKS",p_iks_cpu,p_roks_cpu)+$Y1030*IF($G1030="IKS",p_iks_ram,p_roks_ram))*p_facteur)</f>
        <v/>
      </c>
      <c r="AB1030" s="14" t="str">
        <f aca="false">IF($D1030&lt;&gt;1,"",MAX($J1030,ROUNDUP(MAX($L1030/$H1030,$M1030/$I1030),0)))</f>
        <v/>
      </c>
      <c r="AC1030" s="84" t="str">
        <f aca="false">IF($D1030&lt;&gt;1,"",IF(p_mode="Nœud",$AB1030*$K1030,$L1030*IF($G1030="IKS",p_iks_cpu,p_roks_cpu)+$M1030*IF($G1030="IKS",p_iks_ram,p_roks_ram))*p_facteur)</f>
        <v/>
      </c>
      <c r="AD1030" s="14" t="str">
        <f aca="false">IF($D1030&lt;&gt;1,"",IF(AND($G1030="IKS",$AI1030&lt;&gt;1,OR($L1030-$P1030&lt;$N1030,$M1030-$Q1030&lt;$O1030)),1,0))</f>
        <v/>
      </c>
      <c r="AE1030" s="14" t="str">
        <f aca="false">IF($D1030&lt;&gt;1,"",IF(AND($G1030="ROKS",$T1030&gt;p_maxworkers),1,0))</f>
        <v/>
      </c>
      <c r="AF1030" s="14" t="str">
        <f aca="false">IF($D1030&lt;&gt;1,"",IF(INDEX(TblClusters[Environnement],$B1030)="","(vide)",INDEX(TblClusters[Environnement],$B1030)))</f>
        <v/>
      </c>
      <c r="AG1030" s="14" t="str">
        <f aca="false">IF($D1030&lt;&gt;1,"",$R1030+p_poidsram*$S1030)</f>
        <v/>
      </c>
      <c r="AH1030" s="14" t="str">
        <f aca="false">IF($D1030&lt;&gt;1,"",IFERROR($W1030/$AG1030,0))</f>
        <v/>
      </c>
      <c r="AI1030" s="14" t="str">
        <f aca="false">IF($D1030&lt;&gt;1,"",IF(AND($G1030="IKS",ISNUMBER(INDEX(TblClusters[Fermeture retenue],$B1030))),IF($E1030&gt;=INDEX(TblClusters[Fermeture retenue],$B1030),1,0),0))</f>
        <v/>
      </c>
    </row>
    <row r="1031" customFormat="false" ht="15" hidden="false" customHeight="false" outlineLevel="0" collapsed="false">
      <c r="A1031" s="14" t="n">
        <v>1026</v>
      </c>
      <c r="B1031" s="14" t="n">
        <f aca="false">INT(($A1031-1)/36)+1</f>
        <v>29</v>
      </c>
      <c r="C1031" s="14" t="n">
        <f aca="false">MOD($A1031-1,36)+1</f>
        <v>18</v>
      </c>
      <c r="D1031" s="14" t="n">
        <f aca="false">IF($C1031&gt;p_horizon,0,IFERROR(IF(AND(INDEX(TblClusters[Cluster],$B1031)&lt;&gt;"",ISNUMBER(INDEX(TblClusters[CPU initial (vCPU)],$B1031)),ISNUMBER(INDEX(TblClusters[CPU min (vCPU)],$B1031)),OR(INDEX(TblClusters[Plateforme],$B1031)="IKS",INDEX(TblClusters[Plateforme],$B1031)="ROKS")),1,0),0))</f>
        <v>0</v>
      </c>
      <c r="E1031" s="83" t="str">
        <f aca="false">IF($D1031=1,EDATE(p_debut,$C1031-1),"")</f>
        <v/>
      </c>
      <c r="F1031" s="14" t="str">
        <f aca="false">IF($D1031=1,INDEX(TblClusters[Cluster],$B1031),"")</f>
        <v/>
      </c>
      <c r="G1031" s="14" t="str">
        <f aca="false">IF($D1031=1,INDEX(TblClusters[Plateforme],$B1031),"")</f>
        <v/>
      </c>
      <c r="H1031" s="14" t="str">
        <f aca="false">IF($D1031=1,INDEX(TblClusters[vCPU par nœud],$B1031),"")</f>
        <v/>
      </c>
      <c r="I1031" s="14" t="str">
        <f aca="false">IF($D1031=1,INDEX(TblClusters[RAM par nœud (Go)],$B1031),"")</f>
        <v/>
      </c>
      <c r="J1031" s="14" t="str">
        <f aca="false">IF($D1031=1,INDEX(TblClusters[Workers min],$B1031),"")</f>
        <v/>
      </c>
      <c r="K1031" s="84" t="str">
        <f aca="false">IF($D1031=1,INDEX(TblClusters[Tarif par nœud],$B1031),"")</f>
        <v/>
      </c>
      <c r="L1031" s="14" t="str">
        <f aca="false">IF($D1031=1,INDEX(TblClusters[CPU initial (vCPU)],$B1031),"")</f>
        <v/>
      </c>
      <c r="M1031" s="14" t="str">
        <f aca="false">IF($D1031=1,INDEX(TblClusters[RAM initiale (Go)],$B1031),"")</f>
        <v/>
      </c>
      <c r="N1031" s="14" t="str">
        <f aca="false">IF($D1031=1,INDEX(TblClusters[CPU min (vCPU)],$B1031),"")</f>
        <v/>
      </c>
      <c r="O1031" s="14" t="str">
        <f aca="false">IF($D1031=1,INDEX(TblClusters[RAM min (Go)],$B1031),"")</f>
        <v/>
      </c>
      <c r="P1031" s="14" t="str">
        <f aca="false">IF($D1031&lt;&gt;1,"",IF($G1031="ROKS",SUMIFS(TblApplications[Besoin ROKS CPU (vCPU)],TblApplications[Cluster ROKS cible],$F1031,TblApplications[Action],"À migrer",TblApplications[Déjà incluse ROKS],"Non",TblApplications[Mois prov (calc)],"&lt;="&amp;$E1031),SUMIFS(TblApplications[CPU IKS libérable (vCPU)],TblApplications[Cluster IKS source],$F1031,TblApplications[Mois lib (calc)],"&lt;="&amp;$E1031)))</f>
        <v/>
      </c>
      <c r="Q1031" s="14" t="str">
        <f aca="false">IF($D1031&lt;&gt;1,"",IF($G1031="ROKS",SUMIFS(TblApplications[Besoin ROKS RAM (Go)],TblApplications[Cluster ROKS cible],$F1031,TblApplications[Action],"À migrer",TblApplications[Déjà incluse ROKS],"Non",TblApplications[Mois prov (calc)],"&lt;="&amp;$E1031),SUMIFS(TblApplications[RAM IKS libérable (Go)],TblApplications[Cluster IKS source],$F1031,TblApplications[Mois lib (calc)],"&lt;="&amp;$E1031)))</f>
        <v/>
      </c>
      <c r="R1031" s="14" t="str">
        <f aca="false">IF($D1031&lt;&gt;1,"",IF($G1031="ROKS",$L1031+$P1031,IF($AI1031=1,0,MAX($N1031,$L1031-$P1031))))</f>
        <v/>
      </c>
      <c r="S1031" s="14" t="str">
        <f aca="false">IF($D1031&lt;&gt;1,"",IF($G1031="ROKS",$M1031+$Q1031,IF($AI1031=1,0,MAX($O1031,$M1031-$Q1031))))</f>
        <v/>
      </c>
      <c r="T1031" s="14" t="str">
        <f aca="false">IF($D1031&lt;&gt;1,"",IF($AI1031=1,0,MAX($J1031,ROUNDUP(MAX($R1031/$H1031,$S1031/$I1031),0))))</f>
        <v/>
      </c>
      <c r="U1031" s="14" t="str">
        <f aca="false">IF($D1031&lt;&gt;1,"",IF(p_mode="Nœud",$T1031*$H1031,$R1031))</f>
        <v/>
      </c>
      <c r="V1031" s="14" t="str">
        <f aca="false">IF($D1031&lt;&gt;1,"",IF(p_mode="Nœud",$T1031*$I1031,$S1031))</f>
        <v/>
      </c>
      <c r="W1031" s="84" t="str">
        <f aca="false">IF($D1031&lt;&gt;1,"",IF(p_mode="Nœud",$T1031*$K1031,$R1031*IF($G1031="IKS",p_iks_cpu,p_roks_cpu)+$S1031*IF($G1031="IKS",p_iks_ram,p_roks_ram))*p_facteur)</f>
        <v/>
      </c>
      <c r="X1031" s="14" t="str">
        <f aca="false">IF($D1031&lt;&gt;1,"",IF($G1031="ROKS",$R1031,IF($AI1031=1,0,MAX($N1031,$L1031-SUMIFS(TblApplications[CPU IKS libérable (vCPU)],TblApplications[Cluster IKS source],$F1031,TblApplications[Action],"À migrer",TblApplications[Mois prov (calc)],"&lt;="&amp;$E1031)-SUMIFS(TblApplications[CPU IKS libérable (vCPU)],TblApplications[Cluster IKS source],$F1031,TblApplications[Action],"À décommissionner",TblApplications[Mois lib (calc)],"&lt;="&amp;$E1031)))))</f>
        <v/>
      </c>
      <c r="Y1031" s="14" t="str">
        <f aca="false">IF($D1031&lt;&gt;1,"",IF($G1031="ROKS",$S1031,IF($AI1031=1,0,MAX($O1031,$M1031-SUMIFS(TblApplications[RAM IKS libérable (Go)],TblApplications[Cluster IKS source],$F1031,TblApplications[Action],"À migrer",TblApplications[Mois prov (calc)],"&lt;="&amp;$E1031)-SUMIFS(TblApplications[RAM IKS libérable (Go)],TblApplications[Cluster IKS source],$F1031,TblApplications[Action],"À décommissionner",TblApplications[Mois lib (calc)],"&lt;="&amp;$E1031)))))</f>
        <v/>
      </c>
      <c r="Z1031" s="14" t="str">
        <f aca="false">IF($D1031&lt;&gt;1,"",IF($AI1031=1,0,MAX($J1031,ROUNDUP(MAX($X1031/$H1031,$Y1031/$I1031),0))))</f>
        <v/>
      </c>
      <c r="AA1031" s="84" t="str">
        <f aca="false">IF($D1031&lt;&gt;1,"",IF(p_mode="Nœud",$Z1031*$K1031,$X1031*IF($G1031="IKS",p_iks_cpu,p_roks_cpu)+$Y1031*IF($G1031="IKS",p_iks_ram,p_roks_ram))*p_facteur)</f>
        <v/>
      </c>
      <c r="AB1031" s="14" t="str">
        <f aca="false">IF($D1031&lt;&gt;1,"",MAX($J1031,ROUNDUP(MAX($L1031/$H1031,$M1031/$I1031),0)))</f>
        <v/>
      </c>
      <c r="AC1031" s="84" t="str">
        <f aca="false">IF($D1031&lt;&gt;1,"",IF(p_mode="Nœud",$AB1031*$K1031,$L1031*IF($G1031="IKS",p_iks_cpu,p_roks_cpu)+$M1031*IF($G1031="IKS",p_iks_ram,p_roks_ram))*p_facteur)</f>
        <v/>
      </c>
      <c r="AD1031" s="14" t="str">
        <f aca="false">IF($D1031&lt;&gt;1,"",IF(AND($G1031="IKS",$AI1031&lt;&gt;1,OR($L1031-$P1031&lt;$N1031,$M1031-$Q1031&lt;$O1031)),1,0))</f>
        <v/>
      </c>
      <c r="AE1031" s="14" t="str">
        <f aca="false">IF($D1031&lt;&gt;1,"",IF(AND($G1031="ROKS",$T1031&gt;p_maxworkers),1,0))</f>
        <v/>
      </c>
      <c r="AF1031" s="14" t="str">
        <f aca="false">IF($D1031&lt;&gt;1,"",IF(INDEX(TblClusters[Environnement],$B1031)="","(vide)",INDEX(TblClusters[Environnement],$B1031)))</f>
        <v/>
      </c>
      <c r="AG1031" s="14" t="str">
        <f aca="false">IF($D1031&lt;&gt;1,"",$R1031+p_poidsram*$S1031)</f>
        <v/>
      </c>
      <c r="AH1031" s="14" t="str">
        <f aca="false">IF($D1031&lt;&gt;1,"",IFERROR($W1031/$AG1031,0))</f>
        <v/>
      </c>
      <c r="AI1031" s="14" t="str">
        <f aca="false">IF($D1031&lt;&gt;1,"",IF(AND($G1031="IKS",ISNUMBER(INDEX(TblClusters[Fermeture retenue],$B1031))),IF($E1031&gt;=INDEX(TblClusters[Fermeture retenue],$B1031),1,0),0))</f>
        <v/>
      </c>
    </row>
    <row r="1032" customFormat="false" ht="15" hidden="false" customHeight="false" outlineLevel="0" collapsed="false">
      <c r="A1032" s="14" t="n">
        <v>1027</v>
      </c>
      <c r="B1032" s="14" t="n">
        <f aca="false">INT(($A1032-1)/36)+1</f>
        <v>29</v>
      </c>
      <c r="C1032" s="14" t="n">
        <f aca="false">MOD($A1032-1,36)+1</f>
        <v>19</v>
      </c>
      <c r="D1032" s="14" t="n">
        <f aca="false">IF($C1032&gt;p_horizon,0,IFERROR(IF(AND(INDEX(TblClusters[Cluster],$B1032)&lt;&gt;"",ISNUMBER(INDEX(TblClusters[CPU initial (vCPU)],$B1032)),ISNUMBER(INDEX(TblClusters[CPU min (vCPU)],$B1032)),OR(INDEX(TblClusters[Plateforme],$B1032)="IKS",INDEX(TblClusters[Plateforme],$B1032)="ROKS")),1,0),0))</f>
        <v>0</v>
      </c>
      <c r="E1032" s="83" t="str">
        <f aca="false">IF($D1032=1,EDATE(p_debut,$C1032-1),"")</f>
        <v/>
      </c>
      <c r="F1032" s="14" t="str">
        <f aca="false">IF($D1032=1,INDEX(TblClusters[Cluster],$B1032),"")</f>
        <v/>
      </c>
      <c r="G1032" s="14" t="str">
        <f aca="false">IF($D1032=1,INDEX(TblClusters[Plateforme],$B1032),"")</f>
        <v/>
      </c>
      <c r="H1032" s="14" t="str">
        <f aca="false">IF($D1032=1,INDEX(TblClusters[vCPU par nœud],$B1032),"")</f>
        <v/>
      </c>
      <c r="I1032" s="14" t="str">
        <f aca="false">IF($D1032=1,INDEX(TblClusters[RAM par nœud (Go)],$B1032),"")</f>
        <v/>
      </c>
      <c r="J1032" s="14" t="str">
        <f aca="false">IF($D1032=1,INDEX(TblClusters[Workers min],$B1032),"")</f>
        <v/>
      </c>
      <c r="K1032" s="84" t="str">
        <f aca="false">IF($D1032=1,INDEX(TblClusters[Tarif par nœud],$B1032),"")</f>
        <v/>
      </c>
      <c r="L1032" s="14" t="str">
        <f aca="false">IF($D1032=1,INDEX(TblClusters[CPU initial (vCPU)],$B1032),"")</f>
        <v/>
      </c>
      <c r="M1032" s="14" t="str">
        <f aca="false">IF($D1032=1,INDEX(TblClusters[RAM initiale (Go)],$B1032),"")</f>
        <v/>
      </c>
      <c r="N1032" s="14" t="str">
        <f aca="false">IF($D1032=1,INDEX(TblClusters[CPU min (vCPU)],$B1032),"")</f>
        <v/>
      </c>
      <c r="O1032" s="14" t="str">
        <f aca="false">IF($D1032=1,INDEX(TblClusters[RAM min (Go)],$B1032),"")</f>
        <v/>
      </c>
      <c r="P1032" s="14" t="str">
        <f aca="false">IF($D1032&lt;&gt;1,"",IF($G1032="ROKS",SUMIFS(TblApplications[Besoin ROKS CPU (vCPU)],TblApplications[Cluster ROKS cible],$F1032,TblApplications[Action],"À migrer",TblApplications[Déjà incluse ROKS],"Non",TblApplications[Mois prov (calc)],"&lt;="&amp;$E1032),SUMIFS(TblApplications[CPU IKS libérable (vCPU)],TblApplications[Cluster IKS source],$F1032,TblApplications[Mois lib (calc)],"&lt;="&amp;$E1032)))</f>
        <v/>
      </c>
      <c r="Q1032" s="14" t="str">
        <f aca="false">IF($D1032&lt;&gt;1,"",IF($G1032="ROKS",SUMIFS(TblApplications[Besoin ROKS RAM (Go)],TblApplications[Cluster ROKS cible],$F1032,TblApplications[Action],"À migrer",TblApplications[Déjà incluse ROKS],"Non",TblApplications[Mois prov (calc)],"&lt;="&amp;$E1032),SUMIFS(TblApplications[RAM IKS libérable (Go)],TblApplications[Cluster IKS source],$F1032,TblApplications[Mois lib (calc)],"&lt;="&amp;$E1032)))</f>
        <v/>
      </c>
      <c r="R1032" s="14" t="str">
        <f aca="false">IF($D1032&lt;&gt;1,"",IF($G1032="ROKS",$L1032+$P1032,IF($AI1032=1,0,MAX($N1032,$L1032-$P1032))))</f>
        <v/>
      </c>
      <c r="S1032" s="14" t="str">
        <f aca="false">IF($D1032&lt;&gt;1,"",IF($G1032="ROKS",$M1032+$Q1032,IF($AI1032=1,0,MAX($O1032,$M1032-$Q1032))))</f>
        <v/>
      </c>
      <c r="T1032" s="14" t="str">
        <f aca="false">IF($D1032&lt;&gt;1,"",IF($AI1032=1,0,MAX($J1032,ROUNDUP(MAX($R1032/$H1032,$S1032/$I1032),0))))</f>
        <v/>
      </c>
      <c r="U1032" s="14" t="str">
        <f aca="false">IF($D1032&lt;&gt;1,"",IF(p_mode="Nœud",$T1032*$H1032,$R1032))</f>
        <v/>
      </c>
      <c r="V1032" s="14" t="str">
        <f aca="false">IF($D1032&lt;&gt;1,"",IF(p_mode="Nœud",$T1032*$I1032,$S1032))</f>
        <v/>
      </c>
      <c r="W1032" s="84" t="str">
        <f aca="false">IF($D1032&lt;&gt;1,"",IF(p_mode="Nœud",$T1032*$K1032,$R1032*IF($G1032="IKS",p_iks_cpu,p_roks_cpu)+$S1032*IF($G1032="IKS",p_iks_ram,p_roks_ram))*p_facteur)</f>
        <v/>
      </c>
      <c r="X1032" s="14" t="str">
        <f aca="false">IF($D1032&lt;&gt;1,"",IF($G1032="ROKS",$R1032,IF($AI1032=1,0,MAX($N1032,$L1032-SUMIFS(TblApplications[CPU IKS libérable (vCPU)],TblApplications[Cluster IKS source],$F1032,TblApplications[Action],"À migrer",TblApplications[Mois prov (calc)],"&lt;="&amp;$E1032)-SUMIFS(TblApplications[CPU IKS libérable (vCPU)],TblApplications[Cluster IKS source],$F1032,TblApplications[Action],"À décommissionner",TblApplications[Mois lib (calc)],"&lt;="&amp;$E1032)))))</f>
        <v/>
      </c>
      <c r="Y1032" s="14" t="str">
        <f aca="false">IF($D1032&lt;&gt;1,"",IF($G1032="ROKS",$S1032,IF($AI1032=1,0,MAX($O1032,$M1032-SUMIFS(TblApplications[RAM IKS libérable (Go)],TblApplications[Cluster IKS source],$F1032,TblApplications[Action],"À migrer",TblApplications[Mois prov (calc)],"&lt;="&amp;$E1032)-SUMIFS(TblApplications[RAM IKS libérable (Go)],TblApplications[Cluster IKS source],$F1032,TblApplications[Action],"À décommissionner",TblApplications[Mois lib (calc)],"&lt;="&amp;$E1032)))))</f>
        <v/>
      </c>
      <c r="Z1032" s="14" t="str">
        <f aca="false">IF($D1032&lt;&gt;1,"",IF($AI1032=1,0,MAX($J1032,ROUNDUP(MAX($X1032/$H1032,$Y1032/$I1032),0))))</f>
        <v/>
      </c>
      <c r="AA1032" s="84" t="str">
        <f aca="false">IF($D1032&lt;&gt;1,"",IF(p_mode="Nœud",$Z1032*$K1032,$X1032*IF($G1032="IKS",p_iks_cpu,p_roks_cpu)+$Y1032*IF($G1032="IKS",p_iks_ram,p_roks_ram))*p_facteur)</f>
        <v/>
      </c>
      <c r="AB1032" s="14" t="str">
        <f aca="false">IF($D1032&lt;&gt;1,"",MAX($J1032,ROUNDUP(MAX($L1032/$H1032,$M1032/$I1032),0)))</f>
        <v/>
      </c>
      <c r="AC1032" s="84" t="str">
        <f aca="false">IF($D1032&lt;&gt;1,"",IF(p_mode="Nœud",$AB1032*$K1032,$L1032*IF($G1032="IKS",p_iks_cpu,p_roks_cpu)+$M1032*IF($G1032="IKS",p_iks_ram,p_roks_ram))*p_facteur)</f>
        <v/>
      </c>
      <c r="AD1032" s="14" t="str">
        <f aca="false">IF($D1032&lt;&gt;1,"",IF(AND($G1032="IKS",$AI1032&lt;&gt;1,OR($L1032-$P1032&lt;$N1032,$M1032-$Q1032&lt;$O1032)),1,0))</f>
        <v/>
      </c>
      <c r="AE1032" s="14" t="str">
        <f aca="false">IF($D1032&lt;&gt;1,"",IF(AND($G1032="ROKS",$T1032&gt;p_maxworkers),1,0))</f>
        <v/>
      </c>
      <c r="AF1032" s="14" t="str">
        <f aca="false">IF($D1032&lt;&gt;1,"",IF(INDEX(TblClusters[Environnement],$B1032)="","(vide)",INDEX(TblClusters[Environnement],$B1032)))</f>
        <v/>
      </c>
      <c r="AG1032" s="14" t="str">
        <f aca="false">IF($D1032&lt;&gt;1,"",$R1032+p_poidsram*$S1032)</f>
        <v/>
      </c>
      <c r="AH1032" s="14" t="str">
        <f aca="false">IF($D1032&lt;&gt;1,"",IFERROR($W1032/$AG1032,0))</f>
        <v/>
      </c>
      <c r="AI1032" s="14" t="str">
        <f aca="false">IF($D1032&lt;&gt;1,"",IF(AND($G1032="IKS",ISNUMBER(INDEX(TblClusters[Fermeture retenue],$B1032))),IF($E1032&gt;=INDEX(TblClusters[Fermeture retenue],$B1032),1,0),0))</f>
        <v/>
      </c>
    </row>
    <row r="1033" customFormat="false" ht="15" hidden="false" customHeight="false" outlineLevel="0" collapsed="false">
      <c r="A1033" s="14" t="n">
        <v>1028</v>
      </c>
      <c r="B1033" s="14" t="n">
        <f aca="false">INT(($A1033-1)/36)+1</f>
        <v>29</v>
      </c>
      <c r="C1033" s="14" t="n">
        <f aca="false">MOD($A1033-1,36)+1</f>
        <v>20</v>
      </c>
      <c r="D1033" s="14" t="n">
        <f aca="false">IF($C1033&gt;p_horizon,0,IFERROR(IF(AND(INDEX(TblClusters[Cluster],$B1033)&lt;&gt;"",ISNUMBER(INDEX(TblClusters[CPU initial (vCPU)],$B1033)),ISNUMBER(INDEX(TblClusters[CPU min (vCPU)],$B1033)),OR(INDEX(TblClusters[Plateforme],$B1033)="IKS",INDEX(TblClusters[Plateforme],$B1033)="ROKS")),1,0),0))</f>
        <v>0</v>
      </c>
      <c r="E1033" s="83" t="str">
        <f aca="false">IF($D1033=1,EDATE(p_debut,$C1033-1),"")</f>
        <v/>
      </c>
      <c r="F1033" s="14" t="str">
        <f aca="false">IF($D1033=1,INDEX(TblClusters[Cluster],$B1033),"")</f>
        <v/>
      </c>
      <c r="G1033" s="14" t="str">
        <f aca="false">IF($D1033=1,INDEX(TblClusters[Plateforme],$B1033),"")</f>
        <v/>
      </c>
      <c r="H1033" s="14" t="str">
        <f aca="false">IF($D1033=1,INDEX(TblClusters[vCPU par nœud],$B1033),"")</f>
        <v/>
      </c>
      <c r="I1033" s="14" t="str">
        <f aca="false">IF($D1033=1,INDEX(TblClusters[RAM par nœud (Go)],$B1033),"")</f>
        <v/>
      </c>
      <c r="J1033" s="14" t="str">
        <f aca="false">IF($D1033=1,INDEX(TblClusters[Workers min],$B1033),"")</f>
        <v/>
      </c>
      <c r="K1033" s="84" t="str">
        <f aca="false">IF($D1033=1,INDEX(TblClusters[Tarif par nœud],$B1033),"")</f>
        <v/>
      </c>
      <c r="L1033" s="14" t="str">
        <f aca="false">IF($D1033=1,INDEX(TblClusters[CPU initial (vCPU)],$B1033),"")</f>
        <v/>
      </c>
      <c r="M1033" s="14" t="str">
        <f aca="false">IF($D1033=1,INDEX(TblClusters[RAM initiale (Go)],$B1033),"")</f>
        <v/>
      </c>
      <c r="N1033" s="14" t="str">
        <f aca="false">IF($D1033=1,INDEX(TblClusters[CPU min (vCPU)],$B1033),"")</f>
        <v/>
      </c>
      <c r="O1033" s="14" t="str">
        <f aca="false">IF($D1033=1,INDEX(TblClusters[RAM min (Go)],$B1033),"")</f>
        <v/>
      </c>
      <c r="P1033" s="14" t="str">
        <f aca="false">IF($D1033&lt;&gt;1,"",IF($G1033="ROKS",SUMIFS(TblApplications[Besoin ROKS CPU (vCPU)],TblApplications[Cluster ROKS cible],$F1033,TblApplications[Action],"À migrer",TblApplications[Déjà incluse ROKS],"Non",TblApplications[Mois prov (calc)],"&lt;="&amp;$E1033),SUMIFS(TblApplications[CPU IKS libérable (vCPU)],TblApplications[Cluster IKS source],$F1033,TblApplications[Mois lib (calc)],"&lt;="&amp;$E1033)))</f>
        <v/>
      </c>
      <c r="Q1033" s="14" t="str">
        <f aca="false">IF($D1033&lt;&gt;1,"",IF($G1033="ROKS",SUMIFS(TblApplications[Besoin ROKS RAM (Go)],TblApplications[Cluster ROKS cible],$F1033,TblApplications[Action],"À migrer",TblApplications[Déjà incluse ROKS],"Non",TblApplications[Mois prov (calc)],"&lt;="&amp;$E1033),SUMIFS(TblApplications[RAM IKS libérable (Go)],TblApplications[Cluster IKS source],$F1033,TblApplications[Mois lib (calc)],"&lt;="&amp;$E1033)))</f>
        <v/>
      </c>
      <c r="R1033" s="14" t="str">
        <f aca="false">IF($D1033&lt;&gt;1,"",IF($G1033="ROKS",$L1033+$P1033,IF($AI1033=1,0,MAX($N1033,$L1033-$P1033))))</f>
        <v/>
      </c>
      <c r="S1033" s="14" t="str">
        <f aca="false">IF($D1033&lt;&gt;1,"",IF($G1033="ROKS",$M1033+$Q1033,IF($AI1033=1,0,MAX($O1033,$M1033-$Q1033))))</f>
        <v/>
      </c>
      <c r="T1033" s="14" t="str">
        <f aca="false">IF($D1033&lt;&gt;1,"",IF($AI1033=1,0,MAX($J1033,ROUNDUP(MAX($R1033/$H1033,$S1033/$I1033),0))))</f>
        <v/>
      </c>
      <c r="U1033" s="14" t="str">
        <f aca="false">IF($D1033&lt;&gt;1,"",IF(p_mode="Nœud",$T1033*$H1033,$R1033))</f>
        <v/>
      </c>
      <c r="V1033" s="14" t="str">
        <f aca="false">IF($D1033&lt;&gt;1,"",IF(p_mode="Nœud",$T1033*$I1033,$S1033))</f>
        <v/>
      </c>
      <c r="W1033" s="84" t="str">
        <f aca="false">IF($D1033&lt;&gt;1,"",IF(p_mode="Nœud",$T1033*$K1033,$R1033*IF($G1033="IKS",p_iks_cpu,p_roks_cpu)+$S1033*IF($G1033="IKS",p_iks_ram,p_roks_ram))*p_facteur)</f>
        <v/>
      </c>
      <c r="X1033" s="14" t="str">
        <f aca="false">IF($D1033&lt;&gt;1,"",IF($G1033="ROKS",$R1033,IF($AI1033=1,0,MAX($N1033,$L1033-SUMIFS(TblApplications[CPU IKS libérable (vCPU)],TblApplications[Cluster IKS source],$F1033,TblApplications[Action],"À migrer",TblApplications[Mois prov (calc)],"&lt;="&amp;$E1033)-SUMIFS(TblApplications[CPU IKS libérable (vCPU)],TblApplications[Cluster IKS source],$F1033,TblApplications[Action],"À décommissionner",TblApplications[Mois lib (calc)],"&lt;="&amp;$E1033)))))</f>
        <v/>
      </c>
      <c r="Y1033" s="14" t="str">
        <f aca="false">IF($D1033&lt;&gt;1,"",IF($G1033="ROKS",$S1033,IF($AI1033=1,0,MAX($O1033,$M1033-SUMIFS(TblApplications[RAM IKS libérable (Go)],TblApplications[Cluster IKS source],$F1033,TblApplications[Action],"À migrer",TblApplications[Mois prov (calc)],"&lt;="&amp;$E1033)-SUMIFS(TblApplications[RAM IKS libérable (Go)],TblApplications[Cluster IKS source],$F1033,TblApplications[Action],"À décommissionner",TblApplications[Mois lib (calc)],"&lt;="&amp;$E1033)))))</f>
        <v/>
      </c>
      <c r="Z1033" s="14" t="str">
        <f aca="false">IF($D1033&lt;&gt;1,"",IF($AI1033=1,0,MAX($J1033,ROUNDUP(MAX($X1033/$H1033,$Y1033/$I1033),0))))</f>
        <v/>
      </c>
      <c r="AA1033" s="84" t="str">
        <f aca="false">IF($D1033&lt;&gt;1,"",IF(p_mode="Nœud",$Z1033*$K1033,$X1033*IF($G1033="IKS",p_iks_cpu,p_roks_cpu)+$Y1033*IF($G1033="IKS",p_iks_ram,p_roks_ram))*p_facteur)</f>
        <v/>
      </c>
      <c r="AB1033" s="14" t="str">
        <f aca="false">IF($D1033&lt;&gt;1,"",MAX($J1033,ROUNDUP(MAX($L1033/$H1033,$M1033/$I1033),0)))</f>
        <v/>
      </c>
      <c r="AC1033" s="84" t="str">
        <f aca="false">IF($D1033&lt;&gt;1,"",IF(p_mode="Nœud",$AB1033*$K1033,$L1033*IF($G1033="IKS",p_iks_cpu,p_roks_cpu)+$M1033*IF($G1033="IKS",p_iks_ram,p_roks_ram))*p_facteur)</f>
        <v/>
      </c>
      <c r="AD1033" s="14" t="str">
        <f aca="false">IF($D1033&lt;&gt;1,"",IF(AND($G1033="IKS",$AI1033&lt;&gt;1,OR($L1033-$P1033&lt;$N1033,$M1033-$Q1033&lt;$O1033)),1,0))</f>
        <v/>
      </c>
      <c r="AE1033" s="14" t="str">
        <f aca="false">IF($D1033&lt;&gt;1,"",IF(AND($G1033="ROKS",$T1033&gt;p_maxworkers),1,0))</f>
        <v/>
      </c>
      <c r="AF1033" s="14" t="str">
        <f aca="false">IF($D1033&lt;&gt;1,"",IF(INDEX(TblClusters[Environnement],$B1033)="","(vide)",INDEX(TblClusters[Environnement],$B1033)))</f>
        <v/>
      </c>
      <c r="AG1033" s="14" t="str">
        <f aca="false">IF($D1033&lt;&gt;1,"",$R1033+p_poidsram*$S1033)</f>
        <v/>
      </c>
      <c r="AH1033" s="14" t="str">
        <f aca="false">IF($D1033&lt;&gt;1,"",IFERROR($W1033/$AG1033,0))</f>
        <v/>
      </c>
      <c r="AI1033" s="14" t="str">
        <f aca="false">IF($D1033&lt;&gt;1,"",IF(AND($G1033="IKS",ISNUMBER(INDEX(TblClusters[Fermeture retenue],$B1033))),IF($E1033&gt;=INDEX(TblClusters[Fermeture retenue],$B1033),1,0),0))</f>
        <v/>
      </c>
    </row>
    <row r="1034" customFormat="false" ht="15" hidden="false" customHeight="false" outlineLevel="0" collapsed="false">
      <c r="A1034" s="14" t="n">
        <v>1029</v>
      </c>
      <c r="B1034" s="14" t="n">
        <f aca="false">INT(($A1034-1)/36)+1</f>
        <v>29</v>
      </c>
      <c r="C1034" s="14" t="n">
        <f aca="false">MOD($A1034-1,36)+1</f>
        <v>21</v>
      </c>
      <c r="D1034" s="14" t="n">
        <f aca="false">IF($C1034&gt;p_horizon,0,IFERROR(IF(AND(INDEX(TblClusters[Cluster],$B1034)&lt;&gt;"",ISNUMBER(INDEX(TblClusters[CPU initial (vCPU)],$B1034)),ISNUMBER(INDEX(TblClusters[CPU min (vCPU)],$B1034)),OR(INDEX(TblClusters[Plateforme],$B1034)="IKS",INDEX(TblClusters[Plateforme],$B1034)="ROKS")),1,0),0))</f>
        <v>0</v>
      </c>
      <c r="E1034" s="83" t="str">
        <f aca="false">IF($D1034=1,EDATE(p_debut,$C1034-1),"")</f>
        <v/>
      </c>
      <c r="F1034" s="14" t="str">
        <f aca="false">IF($D1034=1,INDEX(TblClusters[Cluster],$B1034),"")</f>
        <v/>
      </c>
      <c r="G1034" s="14" t="str">
        <f aca="false">IF($D1034=1,INDEX(TblClusters[Plateforme],$B1034),"")</f>
        <v/>
      </c>
      <c r="H1034" s="14" t="str">
        <f aca="false">IF($D1034=1,INDEX(TblClusters[vCPU par nœud],$B1034),"")</f>
        <v/>
      </c>
      <c r="I1034" s="14" t="str">
        <f aca="false">IF($D1034=1,INDEX(TblClusters[RAM par nœud (Go)],$B1034),"")</f>
        <v/>
      </c>
      <c r="J1034" s="14" t="str">
        <f aca="false">IF($D1034=1,INDEX(TblClusters[Workers min],$B1034),"")</f>
        <v/>
      </c>
      <c r="K1034" s="84" t="str">
        <f aca="false">IF($D1034=1,INDEX(TblClusters[Tarif par nœud],$B1034),"")</f>
        <v/>
      </c>
      <c r="L1034" s="14" t="str">
        <f aca="false">IF($D1034=1,INDEX(TblClusters[CPU initial (vCPU)],$B1034),"")</f>
        <v/>
      </c>
      <c r="M1034" s="14" t="str">
        <f aca="false">IF($D1034=1,INDEX(TblClusters[RAM initiale (Go)],$B1034),"")</f>
        <v/>
      </c>
      <c r="N1034" s="14" t="str">
        <f aca="false">IF($D1034=1,INDEX(TblClusters[CPU min (vCPU)],$B1034),"")</f>
        <v/>
      </c>
      <c r="O1034" s="14" t="str">
        <f aca="false">IF($D1034=1,INDEX(TblClusters[RAM min (Go)],$B1034),"")</f>
        <v/>
      </c>
      <c r="P1034" s="14" t="str">
        <f aca="false">IF($D1034&lt;&gt;1,"",IF($G1034="ROKS",SUMIFS(TblApplications[Besoin ROKS CPU (vCPU)],TblApplications[Cluster ROKS cible],$F1034,TblApplications[Action],"À migrer",TblApplications[Déjà incluse ROKS],"Non",TblApplications[Mois prov (calc)],"&lt;="&amp;$E1034),SUMIFS(TblApplications[CPU IKS libérable (vCPU)],TblApplications[Cluster IKS source],$F1034,TblApplications[Mois lib (calc)],"&lt;="&amp;$E1034)))</f>
        <v/>
      </c>
      <c r="Q1034" s="14" t="str">
        <f aca="false">IF($D1034&lt;&gt;1,"",IF($G1034="ROKS",SUMIFS(TblApplications[Besoin ROKS RAM (Go)],TblApplications[Cluster ROKS cible],$F1034,TblApplications[Action],"À migrer",TblApplications[Déjà incluse ROKS],"Non",TblApplications[Mois prov (calc)],"&lt;="&amp;$E1034),SUMIFS(TblApplications[RAM IKS libérable (Go)],TblApplications[Cluster IKS source],$F1034,TblApplications[Mois lib (calc)],"&lt;="&amp;$E1034)))</f>
        <v/>
      </c>
      <c r="R1034" s="14" t="str">
        <f aca="false">IF($D1034&lt;&gt;1,"",IF($G1034="ROKS",$L1034+$P1034,IF($AI1034=1,0,MAX($N1034,$L1034-$P1034))))</f>
        <v/>
      </c>
      <c r="S1034" s="14" t="str">
        <f aca="false">IF($D1034&lt;&gt;1,"",IF($G1034="ROKS",$M1034+$Q1034,IF($AI1034=1,0,MAX($O1034,$M1034-$Q1034))))</f>
        <v/>
      </c>
      <c r="T1034" s="14" t="str">
        <f aca="false">IF($D1034&lt;&gt;1,"",IF($AI1034=1,0,MAX($J1034,ROUNDUP(MAX($R1034/$H1034,$S1034/$I1034),0))))</f>
        <v/>
      </c>
      <c r="U1034" s="14" t="str">
        <f aca="false">IF($D1034&lt;&gt;1,"",IF(p_mode="Nœud",$T1034*$H1034,$R1034))</f>
        <v/>
      </c>
      <c r="V1034" s="14" t="str">
        <f aca="false">IF($D1034&lt;&gt;1,"",IF(p_mode="Nœud",$T1034*$I1034,$S1034))</f>
        <v/>
      </c>
      <c r="W1034" s="84" t="str">
        <f aca="false">IF($D1034&lt;&gt;1,"",IF(p_mode="Nœud",$T1034*$K1034,$R1034*IF($G1034="IKS",p_iks_cpu,p_roks_cpu)+$S1034*IF($G1034="IKS",p_iks_ram,p_roks_ram))*p_facteur)</f>
        <v/>
      </c>
      <c r="X1034" s="14" t="str">
        <f aca="false">IF($D1034&lt;&gt;1,"",IF($G1034="ROKS",$R1034,IF($AI1034=1,0,MAX($N1034,$L1034-SUMIFS(TblApplications[CPU IKS libérable (vCPU)],TblApplications[Cluster IKS source],$F1034,TblApplications[Action],"À migrer",TblApplications[Mois prov (calc)],"&lt;="&amp;$E1034)-SUMIFS(TblApplications[CPU IKS libérable (vCPU)],TblApplications[Cluster IKS source],$F1034,TblApplications[Action],"À décommissionner",TblApplications[Mois lib (calc)],"&lt;="&amp;$E1034)))))</f>
        <v/>
      </c>
      <c r="Y1034" s="14" t="str">
        <f aca="false">IF($D1034&lt;&gt;1,"",IF($G1034="ROKS",$S1034,IF($AI1034=1,0,MAX($O1034,$M1034-SUMIFS(TblApplications[RAM IKS libérable (Go)],TblApplications[Cluster IKS source],$F1034,TblApplications[Action],"À migrer",TblApplications[Mois prov (calc)],"&lt;="&amp;$E1034)-SUMIFS(TblApplications[RAM IKS libérable (Go)],TblApplications[Cluster IKS source],$F1034,TblApplications[Action],"À décommissionner",TblApplications[Mois lib (calc)],"&lt;="&amp;$E1034)))))</f>
        <v/>
      </c>
      <c r="Z1034" s="14" t="str">
        <f aca="false">IF($D1034&lt;&gt;1,"",IF($AI1034=1,0,MAX($J1034,ROUNDUP(MAX($X1034/$H1034,$Y1034/$I1034),0))))</f>
        <v/>
      </c>
      <c r="AA1034" s="84" t="str">
        <f aca="false">IF($D1034&lt;&gt;1,"",IF(p_mode="Nœud",$Z1034*$K1034,$X1034*IF($G1034="IKS",p_iks_cpu,p_roks_cpu)+$Y1034*IF($G1034="IKS",p_iks_ram,p_roks_ram))*p_facteur)</f>
        <v/>
      </c>
      <c r="AB1034" s="14" t="str">
        <f aca="false">IF($D1034&lt;&gt;1,"",MAX($J1034,ROUNDUP(MAX($L1034/$H1034,$M1034/$I1034),0)))</f>
        <v/>
      </c>
      <c r="AC1034" s="84" t="str">
        <f aca="false">IF($D1034&lt;&gt;1,"",IF(p_mode="Nœud",$AB1034*$K1034,$L1034*IF($G1034="IKS",p_iks_cpu,p_roks_cpu)+$M1034*IF($G1034="IKS",p_iks_ram,p_roks_ram))*p_facteur)</f>
        <v/>
      </c>
      <c r="AD1034" s="14" t="str">
        <f aca="false">IF($D1034&lt;&gt;1,"",IF(AND($G1034="IKS",$AI1034&lt;&gt;1,OR($L1034-$P1034&lt;$N1034,$M1034-$Q1034&lt;$O1034)),1,0))</f>
        <v/>
      </c>
      <c r="AE1034" s="14" t="str">
        <f aca="false">IF($D1034&lt;&gt;1,"",IF(AND($G1034="ROKS",$T1034&gt;p_maxworkers),1,0))</f>
        <v/>
      </c>
      <c r="AF1034" s="14" t="str">
        <f aca="false">IF($D1034&lt;&gt;1,"",IF(INDEX(TblClusters[Environnement],$B1034)="","(vide)",INDEX(TblClusters[Environnement],$B1034)))</f>
        <v/>
      </c>
      <c r="AG1034" s="14" t="str">
        <f aca="false">IF($D1034&lt;&gt;1,"",$R1034+p_poidsram*$S1034)</f>
        <v/>
      </c>
      <c r="AH1034" s="14" t="str">
        <f aca="false">IF($D1034&lt;&gt;1,"",IFERROR($W1034/$AG1034,0))</f>
        <v/>
      </c>
      <c r="AI1034" s="14" t="str">
        <f aca="false">IF($D1034&lt;&gt;1,"",IF(AND($G1034="IKS",ISNUMBER(INDEX(TblClusters[Fermeture retenue],$B1034))),IF($E1034&gt;=INDEX(TblClusters[Fermeture retenue],$B1034),1,0),0))</f>
        <v/>
      </c>
    </row>
    <row r="1035" customFormat="false" ht="15" hidden="false" customHeight="false" outlineLevel="0" collapsed="false">
      <c r="A1035" s="14" t="n">
        <v>1030</v>
      </c>
      <c r="B1035" s="14" t="n">
        <f aca="false">INT(($A1035-1)/36)+1</f>
        <v>29</v>
      </c>
      <c r="C1035" s="14" t="n">
        <f aca="false">MOD($A1035-1,36)+1</f>
        <v>22</v>
      </c>
      <c r="D1035" s="14" t="n">
        <f aca="false">IF($C1035&gt;p_horizon,0,IFERROR(IF(AND(INDEX(TblClusters[Cluster],$B1035)&lt;&gt;"",ISNUMBER(INDEX(TblClusters[CPU initial (vCPU)],$B1035)),ISNUMBER(INDEX(TblClusters[CPU min (vCPU)],$B1035)),OR(INDEX(TblClusters[Plateforme],$B1035)="IKS",INDEX(TblClusters[Plateforme],$B1035)="ROKS")),1,0),0))</f>
        <v>0</v>
      </c>
      <c r="E1035" s="83" t="str">
        <f aca="false">IF($D1035=1,EDATE(p_debut,$C1035-1),"")</f>
        <v/>
      </c>
      <c r="F1035" s="14" t="str">
        <f aca="false">IF($D1035=1,INDEX(TblClusters[Cluster],$B1035),"")</f>
        <v/>
      </c>
      <c r="G1035" s="14" t="str">
        <f aca="false">IF($D1035=1,INDEX(TblClusters[Plateforme],$B1035),"")</f>
        <v/>
      </c>
      <c r="H1035" s="14" t="str">
        <f aca="false">IF($D1035=1,INDEX(TblClusters[vCPU par nœud],$B1035),"")</f>
        <v/>
      </c>
      <c r="I1035" s="14" t="str">
        <f aca="false">IF($D1035=1,INDEX(TblClusters[RAM par nœud (Go)],$B1035),"")</f>
        <v/>
      </c>
      <c r="J1035" s="14" t="str">
        <f aca="false">IF($D1035=1,INDEX(TblClusters[Workers min],$B1035),"")</f>
        <v/>
      </c>
      <c r="K1035" s="84" t="str">
        <f aca="false">IF($D1035=1,INDEX(TblClusters[Tarif par nœud],$B1035),"")</f>
        <v/>
      </c>
      <c r="L1035" s="14" t="str">
        <f aca="false">IF($D1035=1,INDEX(TblClusters[CPU initial (vCPU)],$B1035),"")</f>
        <v/>
      </c>
      <c r="M1035" s="14" t="str">
        <f aca="false">IF($D1035=1,INDEX(TblClusters[RAM initiale (Go)],$B1035),"")</f>
        <v/>
      </c>
      <c r="N1035" s="14" t="str">
        <f aca="false">IF($D1035=1,INDEX(TblClusters[CPU min (vCPU)],$B1035),"")</f>
        <v/>
      </c>
      <c r="O1035" s="14" t="str">
        <f aca="false">IF($D1035=1,INDEX(TblClusters[RAM min (Go)],$B1035),"")</f>
        <v/>
      </c>
      <c r="P1035" s="14" t="str">
        <f aca="false">IF($D1035&lt;&gt;1,"",IF($G1035="ROKS",SUMIFS(TblApplications[Besoin ROKS CPU (vCPU)],TblApplications[Cluster ROKS cible],$F1035,TblApplications[Action],"À migrer",TblApplications[Déjà incluse ROKS],"Non",TblApplications[Mois prov (calc)],"&lt;="&amp;$E1035),SUMIFS(TblApplications[CPU IKS libérable (vCPU)],TblApplications[Cluster IKS source],$F1035,TblApplications[Mois lib (calc)],"&lt;="&amp;$E1035)))</f>
        <v/>
      </c>
      <c r="Q1035" s="14" t="str">
        <f aca="false">IF($D1035&lt;&gt;1,"",IF($G1035="ROKS",SUMIFS(TblApplications[Besoin ROKS RAM (Go)],TblApplications[Cluster ROKS cible],$F1035,TblApplications[Action],"À migrer",TblApplications[Déjà incluse ROKS],"Non",TblApplications[Mois prov (calc)],"&lt;="&amp;$E1035),SUMIFS(TblApplications[RAM IKS libérable (Go)],TblApplications[Cluster IKS source],$F1035,TblApplications[Mois lib (calc)],"&lt;="&amp;$E1035)))</f>
        <v/>
      </c>
      <c r="R1035" s="14" t="str">
        <f aca="false">IF($D1035&lt;&gt;1,"",IF($G1035="ROKS",$L1035+$P1035,IF($AI1035=1,0,MAX($N1035,$L1035-$P1035))))</f>
        <v/>
      </c>
      <c r="S1035" s="14" t="str">
        <f aca="false">IF($D1035&lt;&gt;1,"",IF($G1035="ROKS",$M1035+$Q1035,IF($AI1035=1,0,MAX($O1035,$M1035-$Q1035))))</f>
        <v/>
      </c>
      <c r="T1035" s="14" t="str">
        <f aca="false">IF($D1035&lt;&gt;1,"",IF($AI1035=1,0,MAX($J1035,ROUNDUP(MAX($R1035/$H1035,$S1035/$I1035),0))))</f>
        <v/>
      </c>
      <c r="U1035" s="14" t="str">
        <f aca="false">IF($D1035&lt;&gt;1,"",IF(p_mode="Nœud",$T1035*$H1035,$R1035))</f>
        <v/>
      </c>
      <c r="V1035" s="14" t="str">
        <f aca="false">IF($D1035&lt;&gt;1,"",IF(p_mode="Nœud",$T1035*$I1035,$S1035))</f>
        <v/>
      </c>
      <c r="W1035" s="84" t="str">
        <f aca="false">IF($D1035&lt;&gt;1,"",IF(p_mode="Nœud",$T1035*$K1035,$R1035*IF($G1035="IKS",p_iks_cpu,p_roks_cpu)+$S1035*IF($G1035="IKS",p_iks_ram,p_roks_ram))*p_facteur)</f>
        <v/>
      </c>
      <c r="X1035" s="14" t="str">
        <f aca="false">IF($D1035&lt;&gt;1,"",IF($G1035="ROKS",$R1035,IF($AI1035=1,0,MAX($N1035,$L1035-SUMIFS(TblApplications[CPU IKS libérable (vCPU)],TblApplications[Cluster IKS source],$F1035,TblApplications[Action],"À migrer",TblApplications[Mois prov (calc)],"&lt;="&amp;$E1035)-SUMIFS(TblApplications[CPU IKS libérable (vCPU)],TblApplications[Cluster IKS source],$F1035,TblApplications[Action],"À décommissionner",TblApplications[Mois lib (calc)],"&lt;="&amp;$E1035)))))</f>
        <v/>
      </c>
      <c r="Y1035" s="14" t="str">
        <f aca="false">IF($D1035&lt;&gt;1,"",IF($G1035="ROKS",$S1035,IF($AI1035=1,0,MAX($O1035,$M1035-SUMIFS(TblApplications[RAM IKS libérable (Go)],TblApplications[Cluster IKS source],$F1035,TblApplications[Action],"À migrer",TblApplications[Mois prov (calc)],"&lt;="&amp;$E1035)-SUMIFS(TblApplications[RAM IKS libérable (Go)],TblApplications[Cluster IKS source],$F1035,TblApplications[Action],"À décommissionner",TblApplications[Mois lib (calc)],"&lt;="&amp;$E1035)))))</f>
        <v/>
      </c>
      <c r="Z1035" s="14" t="str">
        <f aca="false">IF($D1035&lt;&gt;1,"",IF($AI1035=1,0,MAX($J1035,ROUNDUP(MAX($X1035/$H1035,$Y1035/$I1035),0))))</f>
        <v/>
      </c>
      <c r="AA1035" s="84" t="str">
        <f aca="false">IF($D1035&lt;&gt;1,"",IF(p_mode="Nœud",$Z1035*$K1035,$X1035*IF($G1035="IKS",p_iks_cpu,p_roks_cpu)+$Y1035*IF($G1035="IKS",p_iks_ram,p_roks_ram))*p_facteur)</f>
        <v/>
      </c>
      <c r="AB1035" s="14" t="str">
        <f aca="false">IF($D1035&lt;&gt;1,"",MAX($J1035,ROUNDUP(MAX($L1035/$H1035,$M1035/$I1035),0)))</f>
        <v/>
      </c>
      <c r="AC1035" s="84" t="str">
        <f aca="false">IF($D1035&lt;&gt;1,"",IF(p_mode="Nœud",$AB1035*$K1035,$L1035*IF($G1035="IKS",p_iks_cpu,p_roks_cpu)+$M1035*IF($G1035="IKS",p_iks_ram,p_roks_ram))*p_facteur)</f>
        <v/>
      </c>
      <c r="AD1035" s="14" t="str">
        <f aca="false">IF($D1035&lt;&gt;1,"",IF(AND($G1035="IKS",$AI1035&lt;&gt;1,OR($L1035-$P1035&lt;$N1035,$M1035-$Q1035&lt;$O1035)),1,0))</f>
        <v/>
      </c>
      <c r="AE1035" s="14" t="str">
        <f aca="false">IF($D1035&lt;&gt;1,"",IF(AND($G1035="ROKS",$T1035&gt;p_maxworkers),1,0))</f>
        <v/>
      </c>
      <c r="AF1035" s="14" t="str">
        <f aca="false">IF($D1035&lt;&gt;1,"",IF(INDEX(TblClusters[Environnement],$B1035)="","(vide)",INDEX(TblClusters[Environnement],$B1035)))</f>
        <v/>
      </c>
      <c r="AG1035" s="14" t="str">
        <f aca="false">IF($D1035&lt;&gt;1,"",$R1035+p_poidsram*$S1035)</f>
        <v/>
      </c>
      <c r="AH1035" s="14" t="str">
        <f aca="false">IF($D1035&lt;&gt;1,"",IFERROR($W1035/$AG1035,0))</f>
        <v/>
      </c>
      <c r="AI1035" s="14" t="str">
        <f aca="false">IF($D1035&lt;&gt;1,"",IF(AND($G1035="IKS",ISNUMBER(INDEX(TblClusters[Fermeture retenue],$B1035))),IF($E1035&gt;=INDEX(TblClusters[Fermeture retenue],$B1035),1,0),0))</f>
        <v/>
      </c>
    </row>
    <row r="1036" customFormat="false" ht="15" hidden="false" customHeight="false" outlineLevel="0" collapsed="false">
      <c r="A1036" s="14" t="n">
        <v>1031</v>
      </c>
      <c r="B1036" s="14" t="n">
        <f aca="false">INT(($A1036-1)/36)+1</f>
        <v>29</v>
      </c>
      <c r="C1036" s="14" t="n">
        <f aca="false">MOD($A1036-1,36)+1</f>
        <v>23</v>
      </c>
      <c r="D1036" s="14" t="n">
        <f aca="false">IF($C1036&gt;p_horizon,0,IFERROR(IF(AND(INDEX(TblClusters[Cluster],$B1036)&lt;&gt;"",ISNUMBER(INDEX(TblClusters[CPU initial (vCPU)],$B1036)),ISNUMBER(INDEX(TblClusters[CPU min (vCPU)],$B1036)),OR(INDEX(TblClusters[Plateforme],$B1036)="IKS",INDEX(TblClusters[Plateforme],$B1036)="ROKS")),1,0),0))</f>
        <v>0</v>
      </c>
      <c r="E1036" s="83" t="str">
        <f aca="false">IF($D1036=1,EDATE(p_debut,$C1036-1),"")</f>
        <v/>
      </c>
      <c r="F1036" s="14" t="str">
        <f aca="false">IF($D1036=1,INDEX(TblClusters[Cluster],$B1036),"")</f>
        <v/>
      </c>
      <c r="G1036" s="14" t="str">
        <f aca="false">IF($D1036=1,INDEX(TblClusters[Plateforme],$B1036),"")</f>
        <v/>
      </c>
      <c r="H1036" s="14" t="str">
        <f aca="false">IF($D1036=1,INDEX(TblClusters[vCPU par nœud],$B1036),"")</f>
        <v/>
      </c>
      <c r="I1036" s="14" t="str">
        <f aca="false">IF($D1036=1,INDEX(TblClusters[RAM par nœud (Go)],$B1036),"")</f>
        <v/>
      </c>
      <c r="J1036" s="14" t="str">
        <f aca="false">IF($D1036=1,INDEX(TblClusters[Workers min],$B1036),"")</f>
        <v/>
      </c>
      <c r="K1036" s="84" t="str">
        <f aca="false">IF($D1036=1,INDEX(TblClusters[Tarif par nœud],$B1036),"")</f>
        <v/>
      </c>
      <c r="L1036" s="14" t="str">
        <f aca="false">IF($D1036=1,INDEX(TblClusters[CPU initial (vCPU)],$B1036),"")</f>
        <v/>
      </c>
      <c r="M1036" s="14" t="str">
        <f aca="false">IF($D1036=1,INDEX(TblClusters[RAM initiale (Go)],$B1036),"")</f>
        <v/>
      </c>
      <c r="N1036" s="14" t="str">
        <f aca="false">IF($D1036=1,INDEX(TblClusters[CPU min (vCPU)],$B1036),"")</f>
        <v/>
      </c>
      <c r="O1036" s="14" t="str">
        <f aca="false">IF($D1036=1,INDEX(TblClusters[RAM min (Go)],$B1036),"")</f>
        <v/>
      </c>
      <c r="P1036" s="14" t="str">
        <f aca="false">IF($D1036&lt;&gt;1,"",IF($G1036="ROKS",SUMIFS(TblApplications[Besoin ROKS CPU (vCPU)],TblApplications[Cluster ROKS cible],$F1036,TblApplications[Action],"À migrer",TblApplications[Déjà incluse ROKS],"Non",TblApplications[Mois prov (calc)],"&lt;="&amp;$E1036),SUMIFS(TblApplications[CPU IKS libérable (vCPU)],TblApplications[Cluster IKS source],$F1036,TblApplications[Mois lib (calc)],"&lt;="&amp;$E1036)))</f>
        <v/>
      </c>
      <c r="Q1036" s="14" t="str">
        <f aca="false">IF($D1036&lt;&gt;1,"",IF($G1036="ROKS",SUMIFS(TblApplications[Besoin ROKS RAM (Go)],TblApplications[Cluster ROKS cible],$F1036,TblApplications[Action],"À migrer",TblApplications[Déjà incluse ROKS],"Non",TblApplications[Mois prov (calc)],"&lt;="&amp;$E1036),SUMIFS(TblApplications[RAM IKS libérable (Go)],TblApplications[Cluster IKS source],$F1036,TblApplications[Mois lib (calc)],"&lt;="&amp;$E1036)))</f>
        <v/>
      </c>
      <c r="R1036" s="14" t="str">
        <f aca="false">IF($D1036&lt;&gt;1,"",IF($G1036="ROKS",$L1036+$P1036,IF($AI1036=1,0,MAX($N1036,$L1036-$P1036))))</f>
        <v/>
      </c>
      <c r="S1036" s="14" t="str">
        <f aca="false">IF($D1036&lt;&gt;1,"",IF($G1036="ROKS",$M1036+$Q1036,IF($AI1036=1,0,MAX($O1036,$M1036-$Q1036))))</f>
        <v/>
      </c>
      <c r="T1036" s="14" t="str">
        <f aca="false">IF($D1036&lt;&gt;1,"",IF($AI1036=1,0,MAX($J1036,ROUNDUP(MAX($R1036/$H1036,$S1036/$I1036),0))))</f>
        <v/>
      </c>
      <c r="U1036" s="14" t="str">
        <f aca="false">IF($D1036&lt;&gt;1,"",IF(p_mode="Nœud",$T1036*$H1036,$R1036))</f>
        <v/>
      </c>
      <c r="V1036" s="14" t="str">
        <f aca="false">IF($D1036&lt;&gt;1,"",IF(p_mode="Nœud",$T1036*$I1036,$S1036))</f>
        <v/>
      </c>
      <c r="W1036" s="84" t="str">
        <f aca="false">IF($D1036&lt;&gt;1,"",IF(p_mode="Nœud",$T1036*$K1036,$R1036*IF($G1036="IKS",p_iks_cpu,p_roks_cpu)+$S1036*IF($G1036="IKS",p_iks_ram,p_roks_ram))*p_facteur)</f>
        <v/>
      </c>
      <c r="X1036" s="14" t="str">
        <f aca="false">IF($D1036&lt;&gt;1,"",IF($G1036="ROKS",$R1036,IF($AI1036=1,0,MAX($N1036,$L1036-SUMIFS(TblApplications[CPU IKS libérable (vCPU)],TblApplications[Cluster IKS source],$F1036,TblApplications[Action],"À migrer",TblApplications[Mois prov (calc)],"&lt;="&amp;$E1036)-SUMIFS(TblApplications[CPU IKS libérable (vCPU)],TblApplications[Cluster IKS source],$F1036,TblApplications[Action],"À décommissionner",TblApplications[Mois lib (calc)],"&lt;="&amp;$E1036)))))</f>
        <v/>
      </c>
      <c r="Y1036" s="14" t="str">
        <f aca="false">IF($D1036&lt;&gt;1,"",IF($G1036="ROKS",$S1036,IF($AI1036=1,0,MAX($O1036,$M1036-SUMIFS(TblApplications[RAM IKS libérable (Go)],TblApplications[Cluster IKS source],$F1036,TblApplications[Action],"À migrer",TblApplications[Mois prov (calc)],"&lt;="&amp;$E1036)-SUMIFS(TblApplications[RAM IKS libérable (Go)],TblApplications[Cluster IKS source],$F1036,TblApplications[Action],"À décommissionner",TblApplications[Mois lib (calc)],"&lt;="&amp;$E1036)))))</f>
        <v/>
      </c>
      <c r="Z1036" s="14" t="str">
        <f aca="false">IF($D1036&lt;&gt;1,"",IF($AI1036=1,0,MAX($J1036,ROUNDUP(MAX($X1036/$H1036,$Y1036/$I1036),0))))</f>
        <v/>
      </c>
      <c r="AA1036" s="84" t="str">
        <f aca="false">IF($D1036&lt;&gt;1,"",IF(p_mode="Nœud",$Z1036*$K1036,$X1036*IF($G1036="IKS",p_iks_cpu,p_roks_cpu)+$Y1036*IF($G1036="IKS",p_iks_ram,p_roks_ram))*p_facteur)</f>
        <v/>
      </c>
      <c r="AB1036" s="14" t="str">
        <f aca="false">IF($D1036&lt;&gt;1,"",MAX($J1036,ROUNDUP(MAX($L1036/$H1036,$M1036/$I1036),0)))</f>
        <v/>
      </c>
      <c r="AC1036" s="84" t="str">
        <f aca="false">IF($D1036&lt;&gt;1,"",IF(p_mode="Nœud",$AB1036*$K1036,$L1036*IF($G1036="IKS",p_iks_cpu,p_roks_cpu)+$M1036*IF($G1036="IKS",p_iks_ram,p_roks_ram))*p_facteur)</f>
        <v/>
      </c>
      <c r="AD1036" s="14" t="str">
        <f aca="false">IF($D1036&lt;&gt;1,"",IF(AND($G1036="IKS",$AI1036&lt;&gt;1,OR($L1036-$P1036&lt;$N1036,$M1036-$Q1036&lt;$O1036)),1,0))</f>
        <v/>
      </c>
      <c r="AE1036" s="14" t="str">
        <f aca="false">IF($D1036&lt;&gt;1,"",IF(AND($G1036="ROKS",$T1036&gt;p_maxworkers),1,0))</f>
        <v/>
      </c>
      <c r="AF1036" s="14" t="str">
        <f aca="false">IF($D1036&lt;&gt;1,"",IF(INDEX(TblClusters[Environnement],$B1036)="","(vide)",INDEX(TblClusters[Environnement],$B1036)))</f>
        <v/>
      </c>
      <c r="AG1036" s="14" t="str">
        <f aca="false">IF($D1036&lt;&gt;1,"",$R1036+p_poidsram*$S1036)</f>
        <v/>
      </c>
      <c r="AH1036" s="14" t="str">
        <f aca="false">IF($D1036&lt;&gt;1,"",IFERROR($W1036/$AG1036,0))</f>
        <v/>
      </c>
      <c r="AI1036" s="14" t="str">
        <f aca="false">IF($D1036&lt;&gt;1,"",IF(AND($G1036="IKS",ISNUMBER(INDEX(TblClusters[Fermeture retenue],$B1036))),IF($E1036&gt;=INDEX(TblClusters[Fermeture retenue],$B1036),1,0),0))</f>
        <v/>
      </c>
    </row>
    <row r="1037" customFormat="false" ht="15" hidden="false" customHeight="false" outlineLevel="0" collapsed="false">
      <c r="A1037" s="14" t="n">
        <v>1032</v>
      </c>
      <c r="B1037" s="14" t="n">
        <f aca="false">INT(($A1037-1)/36)+1</f>
        <v>29</v>
      </c>
      <c r="C1037" s="14" t="n">
        <f aca="false">MOD($A1037-1,36)+1</f>
        <v>24</v>
      </c>
      <c r="D1037" s="14" t="n">
        <f aca="false">IF($C1037&gt;p_horizon,0,IFERROR(IF(AND(INDEX(TblClusters[Cluster],$B1037)&lt;&gt;"",ISNUMBER(INDEX(TblClusters[CPU initial (vCPU)],$B1037)),ISNUMBER(INDEX(TblClusters[CPU min (vCPU)],$B1037)),OR(INDEX(TblClusters[Plateforme],$B1037)="IKS",INDEX(TblClusters[Plateforme],$B1037)="ROKS")),1,0),0))</f>
        <v>0</v>
      </c>
      <c r="E1037" s="83" t="str">
        <f aca="false">IF($D1037=1,EDATE(p_debut,$C1037-1),"")</f>
        <v/>
      </c>
      <c r="F1037" s="14" t="str">
        <f aca="false">IF($D1037=1,INDEX(TblClusters[Cluster],$B1037),"")</f>
        <v/>
      </c>
      <c r="G1037" s="14" t="str">
        <f aca="false">IF($D1037=1,INDEX(TblClusters[Plateforme],$B1037),"")</f>
        <v/>
      </c>
      <c r="H1037" s="14" t="str">
        <f aca="false">IF($D1037=1,INDEX(TblClusters[vCPU par nœud],$B1037),"")</f>
        <v/>
      </c>
      <c r="I1037" s="14" t="str">
        <f aca="false">IF($D1037=1,INDEX(TblClusters[RAM par nœud (Go)],$B1037),"")</f>
        <v/>
      </c>
      <c r="J1037" s="14" t="str">
        <f aca="false">IF($D1037=1,INDEX(TblClusters[Workers min],$B1037),"")</f>
        <v/>
      </c>
      <c r="K1037" s="84" t="str">
        <f aca="false">IF($D1037=1,INDEX(TblClusters[Tarif par nœud],$B1037),"")</f>
        <v/>
      </c>
      <c r="L1037" s="14" t="str">
        <f aca="false">IF($D1037=1,INDEX(TblClusters[CPU initial (vCPU)],$B1037),"")</f>
        <v/>
      </c>
      <c r="M1037" s="14" t="str">
        <f aca="false">IF($D1037=1,INDEX(TblClusters[RAM initiale (Go)],$B1037),"")</f>
        <v/>
      </c>
      <c r="N1037" s="14" t="str">
        <f aca="false">IF($D1037=1,INDEX(TblClusters[CPU min (vCPU)],$B1037),"")</f>
        <v/>
      </c>
      <c r="O1037" s="14" t="str">
        <f aca="false">IF($D1037=1,INDEX(TblClusters[RAM min (Go)],$B1037),"")</f>
        <v/>
      </c>
      <c r="P1037" s="14" t="str">
        <f aca="false">IF($D1037&lt;&gt;1,"",IF($G1037="ROKS",SUMIFS(TblApplications[Besoin ROKS CPU (vCPU)],TblApplications[Cluster ROKS cible],$F1037,TblApplications[Action],"À migrer",TblApplications[Déjà incluse ROKS],"Non",TblApplications[Mois prov (calc)],"&lt;="&amp;$E1037),SUMIFS(TblApplications[CPU IKS libérable (vCPU)],TblApplications[Cluster IKS source],$F1037,TblApplications[Mois lib (calc)],"&lt;="&amp;$E1037)))</f>
        <v/>
      </c>
      <c r="Q1037" s="14" t="str">
        <f aca="false">IF($D1037&lt;&gt;1,"",IF($G1037="ROKS",SUMIFS(TblApplications[Besoin ROKS RAM (Go)],TblApplications[Cluster ROKS cible],$F1037,TblApplications[Action],"À migrer",TblApplications[Déjà incluse ROKS],"Non",TblApplications[Mois prov (calc)],"&lt;="&amp;$E1037),SUMIFS(TblApplications[RAM IKS libérable (Go)],TblApplications[Cluster IKS source],$F1037,TblApplications[Mois lib (calc)],"&lt;="&amp;$E1037)))</f>
        <v/>
      </c>
      <c r="R1037" s="14" t="str">
        <f aca="false">IF($D1037&lt;&gt;1,"",IF($G1037="ROKS",$L1037+$P1037,IF($AI1037=1,0,MAX($N1037,$L1037-$P1037))))</f>
        <v/>
      </c>
      <c r="S1037" s="14" t="str">
        <f aca="false">IF($D1037&lt;&gt;1,"",IF($G1037="ROKS",$M1037+$Q1037,IF($AI1037=1,0,MAX($O1037,$M1037-$Q1037))))</f>
        <v/>
      </c>
      <c r="T1037" s="14" t="str">
        <f aca="false">IF($D1037&lt;&gt;1,"",IF($AI1037=1,0,MAX($J1037,ROUNDUP(MAX($R1037/$H1037,$S1037/$I1037),0))))</f>
        <v/>
      </c>
      <c r="U1037" s="14" t="str">
        <f aca="false">IF($D1037&lt;&gt;1,"",IF(p_mode="Nœud",$T1037*$H1037,$R1037))</f>
        <v/>
      </c>
      <c r="V1037" s="14" t="str">
        <f aca="false">IF($D1037&lt;&gt;1,"",IF(p_mode="Nœud",$T1037*$I1037,$S1037))</f>
        <v/>
      </c>
      <c r="W1037" s="84" t="str">
        <f aca="false">IF($D1037&lt;&gt;1,"",IF(p_mode="Nœud",$T1037*$K1037,$R1037*IF($G1037="IKS",p_iks_cpu,p_roks_cpu)+$S1037*IF($G1037="IKS",p_iks_ram,p_roks_ram))*p_facteur)</f>
        <v/>
      </c>
      <c r="X1037" s="14" t="str">
        <f aca="false">IF($D1037&lt;&gt;1,"",IF($G1037="ROKS",$R1037,IF($AI1037=1,0,MAX($N1037,$L1037-SUMIFS(TblApplications[CPU IKS libérable (vCPU)],TblApplications[Cluster IKS source],$F1037,TblApplications[Action],"À migrer",TblApplications[Mois prov (calc)],"&lt;="&amp;$E1037)-SUMIFS(TblApplications[CPU IKS libérable (vCPU)],TblApplications[Cluster IKS source],$F1037,TblApplications[Action],"À décommissionner",TblApplications[Mois lib (calc)],"&lt;="&amp;$E1037)))))</f>
        <v/>
      </c>
      <c r="Y1037" s="14" t="str">
        <f aca="false">IF($D1037&lt;&gt;1,"",IF($G1037="ROKS",$S1037,IF($AI1037=1,0,MAX($O1037,$M1037-SUMIFS(TblApplications[RAM IKS libérable (Go)],TblApplications[Cluster IKS source],$F1037,TblApplications[Action],"À migrer",TblApplications[Mois prov (calc)],"&lt;="&amp;$E1037)-SUMIFS(TblApplications[RAM IKS libérable (Go)],TblApplications[Cluster IKS source],$F1037,TblApplications[Action],"À décommissionner",TblApplications[Mois lib (calc)],"&lt;="&amp;$E1037)))))</f>
        <v/>
      </c>
      <c r="Z1037" s="14" t="str">
        <f aca="false">IF($D1037&lt;&gt;1,"",IF($AI1037=1,0,MAX($J1037,ROUNDUP(MAX($X1037/$H1037,$Y1037/$I1037),0))))</f>
        <v/>
      </c>
      <c r="AA1037" s="84" t="str">
        <f aca="false">IF($D1037&lt;&gt;1,"",IF(p_mode="Nœud",$Z1037*$K1037,$X1037*IF($G1037="IKS",p_iks_cpu,p_roks_cpu)+$Y1037*IF($G1037="IKS",p_iks_ram,p_roks_ram))*p_facteur)</f>
        <v/>
      </c>
      <c r="AB1037" s="14" t="str">
        <f aca="false">IF($D1037&lt;&gt;1,"",MAX($J1037,ROUNDUP(MAX($L1037/$H1037,$M1037/$I1037),0)))</f>
        <v/>
      </c>
      <c r="AC1037" s="84" t="str">
        <f aca="false">IF($D1037&lt;&gt;1,"",IF(p_mode="Nœud",$AB1037*$K1037,$L1037*IF($G1037="IKS",p_iks_cpu,p_roks_cpu)+$M1037*IF($G1037="IKS",p_iks_ram,p_roks_ram))*p_facteur)</f>
        <v/>
      </c>
      <c r="AD1037" s="14" t="str">
        <f aca="false">IF($D1037&lt;&gt;1,"",IF(AND($G1037="IKS",$AI1037&lt;&gt;1,OR($L1037-$P1037&lt;$N1037,$M1037-$Q1037&lt;$O1037)),1,0))</f>
        <v/>
      </c>
      <c r="AE1037" s="14" t="str">
        <f aca="false">IF($D1037&lt;&gt;1,"",IF(AND($G1037="ROKS",$T1037&gt;p_maxworkers),1,0))</f>
        <v/>
      </c>
      <c r="AF1037" s="14" t="str">
        <f aca="false">IF($D1037&lt;&gt;1,"",IF(INDEX(TblClusters[Environnement],$B1037)="","(vide)",INDEX(TblClusters[Environnement],$B1037)))</f>
        <v/>
      </c>
      <c r="AG1037" s="14" t="str">
        <f aca="false">IF($D1037&lt;&gt;1,"",$R1037+p_poidsram*$S1037)</f>
        <v/>
      </c>
      <c r="AH1037" s="14" t="str">
        <f aca="false">IF($D1037&lt;&gt;1,"",IFERROR($W1037/$AG1037,0))</f>
        <v/>
      </c>
      <c r="AI1037" s="14" t="str">
        <f aca="false">IF($D1037&lt;&gt;1,"",IF(AND($G1037="IKS",ISNUMBER(INDEX(TblClusters[Fermeture retenue],$B1037))),IF($E1037&gt;=INDEX(TblClusters[Fermeture retenue],$B1037),1,0),0))</f>
        <v/>
      </c>
    </row>
    <row r="1038" customFormat="false" ht="15" hidden="false" customHeight="false" outlineLevel="0" collapsed="false">
      <c r="A1038" s="14" t="n">
        <v>1033</v>
      </c>
      <c r="B1038" s="14" t="n">
        <f aca="false">INT(($A1038-1)/36)+1</f>
        <v>29</v>
      </c>
      <c r="C1038" s="14" t="n">
        <f aca="false">MOD($A1038-1,36)+1</f>
        <v>25</v>
      </c>
      <c r="D1038" s="14" t="n">
        <f aca="false">IF($C1038&gt;p_horizon,0,IFERROR(IF(AND(INDEX(TblClusters[Cluster],$B1038)&lt;&gt;"",ISNUMBER(INDEX(TblClusters[CPU initial (vCPU)],$B1038)),ISNUMBER(INDEX(TblClusters[CPU min (vCPU)],$B1038)),OR(INDEX(TblClusters[Plateforme],$B1038)="IKS",INDEX(TblClusters[Plateforme],$B1038)="ROKS")),1,0),0))</f>
        <v>0</v>
      </c>
      <c r="E1038" s="83" t="str">
        <f aca="false">IF($D1038=1,EDATE(p_debut,$C1038-1),"")</f>
        <v/>
      </c>
      <c r="F1038" s="14" t="str">
        <f aca="false">IF($D1038=1,INDEX(TblClusters[Cluster],$B1038),"")</f>
        <v/>
      </c>
      <c r="G1038" s="14" t="str">
        <f aca="false">IF($D1038=1,INDEX(TblClusters[Plateforme],$B1038),"")</f>
        <v/>
      </c>
      <c r="H1038" s="14" t="str">
        <f aca="false">IF($D1038=1,INDEX(TblClusters[vCPU par nœud],$B1038),"")</f>
        <v/>
      </c>
      <c r="I1038" s="14" t="str">
        <f aca="false">IF($D1038=1,INDEX(TblClusters[RAM par nœud (Go)],$B1038),"")</f>
        <v/>
      </c>
      <c r="J1038" s="14" t="str">
        <f aca="false">IF($D1038=1,INDEX(TblClusters[Workers min],$B1038),"")</f>
        <v/>
      </c>
      <c r="K1038" s="84" t="str">
        <f aca="false">IF($D1038=1,INDEX(TblClusters[Tarif par nœud],$B1038),"")</f>
        <v/>
      </c>
      <c r="L1038" s="14" t="str">
        <f aca="false">IF($D1038=1,INDEX(TblClusters[CPU initial (vCPU)],$B1038),"")</f>
        <v/>
      </c>
      <c r="M1038" s="14" t="str">
        <f aca="false">IF($D1038=1,INDEX(TblClusters[RAM initiale (Go)],$B1038),"")</f>
        <v/>
      </c>
      <c r="N1038" s="14" t="str">
        <f aca="false">IF($D1038=1,INDEX(TblClusters[CPU min (vCPU)],$B1038),"")</f>
        <v/>
      </c>
      <c r="O1038" s="14" t="str">
        <f aca="false">IF($D1038=1,INDEX(TblClusters[RAM min (Go)],$B1038),"")</f>
        <v/>
      </c>
      <c r="P1038" s="14" t="str">
        <f aca="false">IF($D1038&lt;&gt;1,"",IF($G1038="ROKS",SUMIFS(TblApplications[Besoin ROKS CPU (vCPU)],TblApplications[Cluster ROKS cible],$F1038,TblApplications[Action],"À migrer",TblApplications[Déjà incluse ROKS],"Non",TblApplications[Mois prov (calc)],"&lt;="&amp;$E1038),SUMIFS(TblApplications[CPU IKS libérable (vCPU)],TblApplications[Cluster IKS source],$F1038,TblApplications[Mois lib (calc)],"&lt;="&amp;$E1038)))</f>
        <v/>
      </c>
      <c r="Q1038" s="14" t="str">
        <f aca="false">IF($D1038&lt;&gt;1,"",IF($G1038="ROKS",SUMIFS(TblApplications[Besoin ROKS RAM (Go)],TblApplications[Cluster ROKS cible],$F1038,TblApplications[Action],"À migrer",TblApplications[Déjà incluse ROKS],"Non",TblApplications[Mois prov (calc)],"&lt;="&amp;$E1038),SUMIFS(TblApplications[RAM IKS libérable (Go)],TblApplications[Cluster IKS source],$F1038,TblApplications[Mois lib (calc)],"&lt;="&amp;$E1038)))</f>
        <v/>
      </c>
      <c r="R1038" s="14" t="str">
        <f aca="false">IF($D1038&lt;&gt;1,"",IF($G1038="ROKS",$L1038+$P1038,IF($AI1038=1,0,MAX($N1038,$L1038-$P1038))))</f>
        <v/>
      </c>
      <c r="S1038" s="14" t="str">
        <f aca="false">IF($D1038&lt;&gt;1,"",IF($G1038="ROKS",$M1038+$Q1038,IF($AI1038=1,0,MAX($O1038,$M1038-$Q1038))))</f>
        <v/>
      </c>
      <c r="T1038" s="14" t="str">
        <f aca="false">IF($D1038&lt;&gt;1,"",IF($AI1038=1,0,MAX($J1038,ROUNDUP(MAX($R1038/$H1038,$S1038/$I1038),0))))</f>
        <v/>
      </c>
      <c r="U1038" s="14" t="str">
        <f aca="false">IF($D1038&lt;&gt;1,"",IF(p_mode="Nœud",$T1038*$H1038,$R1038))</f>
        <v/>
      </c>
      <c r="V1038" s="14" t="str">
        <f aca="false">IF($D1038&lt;&gt;1,"",IF(p_mode="Nœud",$T1038*$I1038,$S1038))</f>
        <v/>
      </c>
      <c r="W1038" s="84" t="str">
        <f aca="false">IF($D1038&lt;&gt;1,"",IF(p_mode="Nœud",$T1038*$K1038,$R1038*IF($G1038="IKS",p_iks_cpu,p_roks_cpu)+$S1038*IF($G1038="IKS",p_iks_ram,p_roks_ram))*p_facteur)</f>
        <v/>
      </c>
      <c r="X1038" s="14" t="str">
        <f aca="false">IF($D1038&lt;&gt;1,"",IF($G1038="ROKS",$R1038,IF($AI1038=1,0,MAX($N1038,$L1038-SUMIFS(TblApplications[CPU IKS libérable (vCPU)],TblApplications[Cluster IKS source],$F1038,TblApplications[Action],"À migrer",TblApplications[Mois prov (calc)],"&lt;="&amp;$E1038)-SUMIFS(TblApplications[CPU IKS libérable (vCPU)],TblApplications[Cluster IKS source],$F1038,TblApplications[Action],"À décommissionner",TblApplications[Mois lib (calc)],"&lt;="&amp;$E1038)))))</f>
        <v/>
      </c>
      <c r="Y1038" s="14" t="str">
        <f aca="false">IF($D1038&lt;&gt;1,"",IF($G1038="ROKS",$S1038,IF($AI1038=1,0,MAX($O1038,$M1038-SUMIFS(TblApplications[RAM IKS libérable (Go)],TblApplications[Cluster IKS source],$F1038,TblApplications[Action],"À migrer",TblApplications[Mois prov (calc)],"&lt;="&amp;$E1038)-SUMIFS(TblApplications[RAM IKS libérable (Go)],TblApplications[Cluster IKS source],$F1038,TblApplications[Action],"À décommissionner",TblApplications[Mois lib (calc)],"&lt;="&amp;$E1038)))))</f>
        <v/>
      </c>
      <c r="Z1038" s="14" t="str">
        <f aca="false">IF($D1038&lt;&gt;1,"",IF($AI1038=1,0,MAX($J1038,ROUNDUP(MAX($X1038/$H1038,$Y1038/$I1038),0))))</f>
        <v/>
      </c>
      <c r="AA1038" s="84" t="str">
        <f aca="false">IF($D1038&lt;&gt;1,"",IF(p_mode="Nœud",$Z1038*$K1038,$X1038*IF($G1038="IKS",p_iks_cpu,p_roks_cpu)+$Y1038*IF($G1038="IKS",p_iks_ram,p_roks_ram))*p_facteur)</f>
        <v/>
      </c>
      <c r="AB1038" s="14" t="str">
        <f aca="false">IF($D1038&lt;&gt;1,"",MAX($J1038,ROUNDUP(MAX($L1038/$H1038,$M1038/$I1038),0)))</f>
        <v/>
      </c>
      <c r="AC1038" s="84" t="str">
        <f aca="false">IF($D1038&lt;&gt;1,"",IF(p_mode="Nœud",$AB1038*$K1038,$L1038*IF($G1038="IKS",p_iks_cpu,p_roks_cpu)+$M1038*IF($G1038="IKS",p_iks_ram,p_roks_ram))*p_facteur)</f>
        <v/>
      </c>
      <c r="AD1038" s="14" t="str">
        <f aca="false">IF($D1038&lt;&gt;1,"",IF(AND($G1038="IKS",$AI1038&lt;&gt;1,OR($L1038-$P1038&lt;$N1038,$M1038-$Q1038&lt;$O1038)),1,0))</f>
        <v/>
      </c>
      <c r="AE1038" s="14" t="str">
        <f aca="false">IF($D1038&lt;&gt;1,"",IF(AND($G1038="ROKS",$T1038&gt;p_maxworkers),1,0))</f>
        <v/>
      </c>
      <c r="AF1038" s="14" t="str">
        <f aca="false">IF($D1038&lt;&gt;1,"",IF(INDEX(TblClusters[Environnement],$B1038)="","(vide)",INDEX(TblClusters[Environnement],$B1038)))</f>
        <v/>
      </c>
      <c r="AG1038" s="14" t="str">
        <f aca="false">IF($D1038&lt;&gt;1,"",$R1038+p_poidsram*$S1038)</f>
        <v/>
      </c>
      <c r="AH1038" s="14" t="str">
        <f aca="false">IF($D1038&lt;&gt;1,"",IFERROR($W1038/$AG1038,0))</f>
        <v/>
      </c>
      <c r="AI1038" s="14" t="str">
        <f aca="false">IF($D1038&lt;&gt;1,"",IF(AND($G1038="IKS",ISNUMBER(INDEX(TblClusters[Fermeture retenue],$B1038))),IF($E1038&gt;=INDEX(TblClusters[Fermeture retenue],$B1038),1,0),0))</f>
        <v/>
      </c>
    </row>
    <row r="1039" customFormat="false" ht="15" hidden="false" customHeight="false" outlineLevel="0" collapsed="false">
      <c r="A1039" s="14" t="n">
        <v>1034</v>
      </c>
      <c r="B1039" s="14" t="n">
        <f aca="false">INT(($A1039-1)/36)+1</f>
        <v>29</v>
      </c>
      <c r="C1039" s="14" t="n">
        <f aca="false">MOD($A1039-1,36)+1</f>
        <v>26</v>
      </c>
      <c r="D1039" s="14" t="n">
        <f aca="false">IF($C1039&gt;p_horizon,0,IFERROR(IF(AND(INDEX(TblClusters[Cluster],$B1039)&lt;&gt;"",ISNUMBER(INDEX(TblClusters[CPU initial (vCPU)],$B1039)),ISNUMBER(INDEX(TblClusters[CPU min (vCPU)],$B1039)),OR(INDEX(TblClusters[Plateforme],$B1039)="IKS",INDEX(TblClusters[Plateforme],$B1039)="ROKS")),1,0),0))</f>
        <v>0</v>
      </c>
      <c r="E1039" s="83" t="str">
        <f aca="false">IF($D1039=1,EDATE(p_debut,$C1039-1),"")</f>
        <v/>
      </c>
      <c r="F1039" s="14" t="str">
        <f aca="false">IF($D1039=1,INDEX(TblClusters[Cluster],$B1039),"")</f>
        <v/>
      </c>
      <c r="G1039" s="14" t="str">
        <f aca="false">IF($D1039=1,INDEX(TblClusters[Plateforme],$B1039),"")</f>
        <v/>
      </c>
      <c r="H1039" s="14" t="str">
        <f aca="false">IF($D1039=1,INDEX(TblClusters[vCPU par nœud],$B1039),"")</f>
        <v/>
      </c>
      <c r="I1039" s="14" t="str">
        <f aca="false">IF($D1039=1,INDEX(TblClusters[RAM par nœud (Go)],$B1039),"")</f>
        <v/>
      </c>
      <c r="J1039" s="14" t="str">
        <f aca="false">IF($D1039=1,INDEX(TblClusters[Workers min],$B1039),"")</f>
        <v/>
      </c>
      <c r="K1039" s="84" t="str">
        <f aca="false">IF($D1039=1,INDEX(TblClusters[Tarif par nœud],$B1039),"")</f>
        <v/>
      </c>
      <c r="L1039" s="14" t="str">
        <f aca="false">IF($D1039=1,INDEX(TblClusters[CPU initial (vCPU)],$B1039),"")</f>
        <v/>
      </c>
      <c r="M1039" s="14" t="str">
        <f aca="false">IF($D1039=1,INDEX(TblClusters[RAM initiale (Go)],$B1039),"")</f>
        <v/>
      </c>
      <c r="N1039" s="14" t="str">
        <f aca="false">IF($D1039=1,INDEX(TblClusters[CPU min (vCPU)],$B1039),"")</f>
        <v/>
      </c>
      <c r="O1039" s="14" t="str">
        <f aca="false">IF($D1039=1,INDEX(TblClusters[RAM min (Go)],$B1039),"")</f>
        <v/>
      </c>
      <c r="P1039" s="14" t="str">
        <f aca="false">IF($D1039&lt;&gt;1,"",IF($G1039="ROKS",SUMIFS(TblApplications[Besoin ROKS CPU (vCPU)],TblApplications[Cluster ROKS cible],$F1039,TblApplications[Action],"À migrer",TblApplications[Déjà incluse ROKS],"Non",TblApplications[Mois prov (calc)],"&lt;="&amp;$E1039),SUMIFS(TblApplications[CPU IKS libérable (vCPU)],TblApplications[Cluster IKS source],$F1039,TblApplications[Mois lib (calc)],"&lt;="&amp;$E1039)))</f>
        <v/>
      </c>
      <c r="Q1039" s="14" t="str">
        <f aca="false">IF($D1039&lt;&gt;1,"",IF($G1039="ROKS",SUMIFS(TblApplications[Besoin ROKS RAM (Go)],TblApplications[Cluster ROKS cible],$F1039,TblApplications[Action],"À migrer",TblApplications[Déjà incluse ROKS],"Non",TblApplications[Mois prov (calc)],"&lt;="&amp;$E1039),SUMIFS(TblApplications[RAM IKS libérable (Go)],TblApplications[Cluster IKS source],$F1039,TblApplications[Mois lib (calc)],"&lt;="&amp;$E1039)))</f>
        <v/>
      </c>
      <c r="R1039" s="14" t="str">
        <f aca="false">IF($D1039&lt;&gt;1,"",IF($G1039="ROKS",$L1039+$P1039,IF($AI1039=1,0,MAX($N1039,$L1039-$P1039))))</f>
        <v/>
      </c>
      <c r="S1039" s="14" t="str">
        <f aca="false">IF($D1039&lt;&gt;1,"",IF($G1039="ROKS",$M1039+$Q1039,IF($AI1039=1,0,MAX($O1039,$M1039-$Q1039))))</f>
        <v/>
      </c>
      <c r="T1039" s="14" t="str">
        <f aca="false">IF($D1039&lt;&gt;1,"",IF($AI1039=1,0,MAX($J1039,ROUNDUP(MAX($R1039/$H1039,$S1039/$I1039),0))))</f>
        <v/>
      </c>
      <c r="U1039" s="14" t="str">
        <f aca="false">IF($D1039&lt;&gt;1,"",IF(p_mode="Nœud",$T1039*$H1039,$R1039))</f>
        <v/>
      </c>
      <c r="V1039" s="14" t="str">
        <f aca="false">IF($D1039&lt;&gt;1,"",IF(p_mode="Nœud",$T1039*$I1039,$S1039))</f>
        <v/>
      </c>
      <c r="W1039" s="84" t="str">
        <f aca="false">IF($D1039&lt;&gt;1,"",IF(p_mode="Nœud",$T1039*$K1039,$R1039*IF($G1039="IKS",p_iks_cpu,p_roks_cpu)+$S1039*IF($G1039="IKS",p_iks_ram,p_roks_ram))*p_facteur)</f>
        <v/>
      </c>
      <c r="X1039" s="14" t="str">
        <f aca="false">IF($D1039&lt;&gt;1,"",IF($G1039="ROKS",$R1039,IF($AI1039=1,0,MAX($N1039,$L1039-SUMIFS(TblApplications[CPU IKS libérable (vCPU)],TblApplications[Cluster IKS source],$F1039,TblApplications[Action],"À migrer",TblApplications[Mois prov (calc)],"&lt;="&amp;$E1039)-SUMIFS(TblApplications[CPU IKS libérable (vCPU)],TblApplications[Cluster IKS source],$F1039,TblApplications[Action],"À décommissionner",TblApplications[Mois lib (calc)],"&lt;="&amp;$E1039)))))</f>
        <v/>
      </c>
      <c r="Y1039" s="14" t="str">
        <f aca="false">IF($D1039&lt;&gt;1,"",IF($G1039="ROKS",$S1039,IF($AI1039=1,0,MAX($O1039,$M1039-SUMIFS(TblApplications[RAM IKS libérable (Go)],TblApplications[Cluster IKS source],$F1039,TblApplications[Action],"À migrer",TblApplications[Mois prov (calc)],"&lt;="&amp;$E1039)-SUMIFS(TblApplications[RAM IKS libérable (Go)],TblApplications[Cluster IKS source],$F1039,TblApplications[Action],"À décommissionner",TblApplications[Mois lib (calc)],"&lt;="&amp;$E1039)))))</f>
        <v/>
      </c>
      <c r="Z1039" s="14" t="str">
        <f aca="false">IF($D1039&lt;&gt;1,"",IF($AI1039=1,0,MAX($J1039,ROUNDUP(MAX($X1039/$H1039,$Y1039/$I1039),0))))</f>
        <v/>
      </c>
      <c r="AA1039" s="84" t="str">
        <f aca="false">IF($D1039&lt;&gt;1,"",IF(p_mode="Nœud",$Z1039*$K1039,$X1039*IF($G1039="IKS",p_iks_cpu,p_roks_cpu)+$Y1039*IF($G1039="IKS",p_iks_ram,p_roks_ram))*p_facteur)</f>
        <v/>
      </c>
      <c r="AB1039" s="14" t="str">
        <f aca="false">IF($D1039&lt;&gt;1,"",MAX($J1039,ROUNDUP(MAX($L1039/$H1039,$M1039/$I1039),0)))</f>
        <v/>
      </c>
      <c r="AC1039" s="84" t="str">
        <f aca="false">IF($D1039&lt;&gt;1,"",IF(p_mode="Nœud",$AB1039*$K1039,$L1039*IF($G1039="IKS",p_iks_cpu,p_roks_cpu)+$M1039*IF($G1039="IKS",p_iks_ram,p_roks_ram))*p_facteur)</f>
        <v/>
      </c>
      <c r="AD1039" s="14" t="str">
        <f aca="false">IF($D1039&lt;&gt;1,"",IF(AND($G1039="IKS",$AI1039&lt;&gt;1,OR($L1039-$P1039&lt;$N1039,$M1039-$Q1039&lt;$O1039)),1,0))</f>
        <v/>
      </c>
      <c r="AE1039" s="14" t="str">
        <f aca="false">IF($D1039&lt;&gt;1,"",IF(AND($G1039="ROKS",$T1039&gt;p_maxworkers),1,0))</f>
        <v/>
      </c>
      <c r="AF1039" s="14" t="str">
        <f aca="false">IF($D1039&lt;&gt;1,"",IF(INDEX(TblClusters[Environnement],$B1039)="","(vide)",INDEX(TblClusters[Environnement],$B1039)))</f>
        <v/>
      </c>
      <c r="AG1039" s="14" t="str">
        <f aca="false">IF($D1039&lt;&gt;1,"",$R1039+p_poidsram*$S1039)</f>
        <v/>
      </c>
      <c r="AH1039" s="14" t="str">
        <f aca="false">IF($D1039&lt;&gt;1,"",IFERROR($W1039/$AG1039,0))</f>
        <v/>
      </c>
      <c r="AI1039" s="14" t="str">
        <f aca="false">IF($D1039&lt;&gt;1,"",IF(AND($G1039="IKS",ISNUMBER(INDEX(TblClusters[Fermeture retenue],$B1039))),IF($E1039&gt;=INDEX(TblClusters[Fermeture retenue],$B1039),1,0),0))</f>
        <v/>
      </c>
    </row>
    <row r="1040" customFormat="false" ht="15" hidden="false" customHeight="false" outlineLevel="0" collapsed="false">
      <c r="A1040" s="14" t="n">
        <v>1035</v>
      </c>
      <c r="B1040" s="14" t="n">
        <f aca="false">INT(($A1040-1)/36)+1</f>
        <v>29</v>
      </c>
      <c r="C1040" s="14" t="n">
        <f aca="false">MOD($A1040-1,36)+1</f>
        <v>27</v>
      </c>
      <c r="D1040" s="14" t="n">
        <f aca="false">IF($C1040&gt;p_horizon,0,IFERROR(IF(AND(INDEX(TblClusters[Cluster],$B1040)&lt;&gt;"",ISNUMBER(INDEX(TblClusters[CPU initial (vCPU)],$B1040)),ISNUMBER(INDEX(TblClusters[CPU min (vCPU)],$B1040)),OR(INDEX(TblClusters[Plateforme],$B1040)="IKS",INDEX(TblClusters[Plateforme],$B1040)="ROKS")),1,0),0))</f>
        <v>0</v>
      </c>
      <c r="E1040" s="83" t="str">
        <f aca="false">IF($D1040=1,EDATE(p_debut,$C1040-1),"")</f>
        <v/>
      </c>
      <c r="F1040" s="14" t="str">
        <f aca="false">IF($D1040=1,INDEX(TblClusters[Cluster],$B1040),"")</f>
        <v/>
      </c>
      <c r="G1040" s="14" t="str">
        <f aca="false">IF($D1040=1,INDEX(TblClusters[Plateforme],$B1040),"")</f>
        <v/>
      </c>
      <c r="H1040" s="14" t="str">
        <f aca="false">IF($D1040=1,INDEX(TblClusters[vCPU par nœud],$B1040),"")</f>
        <v/>
      </c>
      <c r="I1040" s="14" t="str">
        <f aca="false">IF($D1040=1,INDEX(TblClusters[RAM par nœud (Go)],$B1040),"")</f>
        <v/>
      </c>
      <c r="J1040" s="14" t="str">
        <f aca="false">IF($D1040=1,INDEX(TblClusters[Workers min],$B1040),"")</f>
        <v/>
      </c>
      <c r="K1040" s="84" t="str">
        <f aca="false">IF($D1040=1,INDEX(TblClusters[Tarif par nœud],$B1040),"")</f>
        <v/>
      </c>
      <c r="L1040" s="14" t="str">
        <f aca="false">IF($D1040=1,INDEX(TblClusters[CPU initial (vCPU)],$B1040),"")</f>
        <v/>
      </c>
      <c r="M1040" s="14" t="str">
        <f aca="false">IF($D1040=1,INDEX(TblClusters[RAM initiale (Go)],$B1040),"")</f>
        <v/>
      </c>
      <c r="N1040" s="14" t="str">
        <f aca="false">IF($D1040=1,INDEX(TblClusters[CPU min (vCPU)],$B1040),"")</f>
        <v/>
      </c>
      <c r="O1040" s="14" t="str">
        <f aca="false">IF($D1040=1,INDEX(TblClusters[RAM min (Go)],$B1040),"")</f>
        <v/>
      </c>
      <c r="P1040" s="14" t="str">
        <f aca="false">IF($D1040&lt;&gt;1,"",IF($G1040="ROKS",SUMIFS(TblApplications[Besoin ROKS CPU (vCPU)],TblApplications[Cluster ROKS cible],$F1040,TblApplications[Action],"À migrer",TblApplications[Déjà incluse ROKS],"Non",TblApplications[Mois prov (calc)],"&lt;="&amp;$E1040),SUMIFS(TblApplications[CPU IKS libérable (vCPU)],TblApplications[Cluster IKS source],$F1040,TblApplications[Mois lib (calc)],"&lt;="&amp;$E1040)))</f>
        <v/>
      </c>
      <c r="Q1040" s="14" t="str">
        <f aca="false">IF($D1040&lt;&gt;1,"",IF($G1040="ROKS",SUMIFS(TblApplications[Besoin ROKS RAM (Go)],TblApplications[Cluster ROKS cible],$F1040,TblApplications[Action],"À migrer",TblApplications[Déjà incluse ROKS],"Non",TblApplications[Mois prov (calc)],"&lt;="&amp;$E1040),SUMIFS(TblApplications[RAM IKS libérable (Go)],TblApplications[Cluster IKS source],$F1040,TblApplications[Mois lib (calc)],"&lt;="&amp;$E1040)))</f>
        <v/>
      </c>
      <c r="R1040" s="14" t="str">
        <f aca="false">IF($D1040&lt;&gt;1,"",IF($G1040="ROKS",$L1040+$P1040,IF($AI1040=1,0,MAX($N1040,$L1040-$P1040))))</f>
        <v/>
      </c>
      <c r="S1040" s="14" t="str">
        <f aca="false">IF($D1040&lt;&gt;1,"",IF($G1040="ROKS",$M1040+$Q1040,IF($AI1040=1,0,MAX($O1040,$M1040-$Q1040))))</f>
        <v/>
      </c>
      <c r="T1040" s="14" t="str">
        <f aca="false">IF($D1040&lt;&gt;1,"",IF($AI1040=1,0,MAX($J1040,ROUNDUP(MAX($R1040/$H1040,$S1040/$I1040),0))))</f>
        <v/>
      </c>
      <c r="U1040" s="14" t="str">
        <f aca="false">IF($D1040&lt;&gt;1,"",IF(p_mode="Nœud",$T1040*$H1040,$R1040))</f>
        <v/>
      </c>
      <c r="V1040" s="14" t="str">
        <f aca="false">IF($D1040&lt;&gt;1,"",IF(p_mode="Nœud",$T1040*$I1040,$S1040))</f>
        <v/>
      </c>
      <c r="W1040" s="84" t="str">
        <f aca="false">IF($D1040&lt;&gt;1,"",IF(p_mode="Nœud",$T1040*$K1040,$R1040*IF($G1040="IKS",p_iks_cpu,p_roks_cpu)+$S1040*IF($G1040="IKS",p_iks_ram,p_roks_ram))*p_facteur)</f>
        <v/>
      </c>
      <c r="X1040" s="14" t="str">
        <f aca="false">IF($D1040&lt;&gt;1,"",IF($G1040="ROKS",$R1040,IF($AI1040=1,0,MAX($N1040,$L1040-SUMIFS(TblApplications[CPU IKS libérable (vCPU)],TblApplications[Cluster IKS source],$F1040,TblApplications[Action],"À migrer",TblApplications[Mois prov (calc)],"&lt;="&amp;$E1040)-SUMIFS(TblApplications[CPU IKS libérable (vCPU)],TblApplications[Cluster IKS source],$F1040,TblApplications[Action],"À décommissionner",TblApplications[Mois lib (calc)],"&lt;="&amp;$E1040)))))</f>
        <v/>
      </c>
      <c r="Y1040" s="14" t="str">
        <f aca="false">IF($D1040&lt;&gt;1,"",IF($G1040="ROKS",$S1040,IF($AI1040=1,0,MAX($O1040,$M1040-SUMIFS(TblApplications[RAM IKS libérable (Go)],TblApplications[Cluster IKS source],$F1040,TblApplications[Action],"À migrer",TblApplications[Mois prov (calc)],"&lt;="&amp;$E1040)-SUMIFS(TblApplications[RAM IKS libérable (Go)],TblApplications[Cluster IKS source],$F1040,TblApplications[Action],"À décommissionner",TblApplications[Mois lib (calc)],"&lt;="&amp;$E1040)))))</f>
        <v/>
      </c>
      <c r="Z1040" s="14" t="str">
        <f aca="false">IF($D1040&lt;&gt;1,"",IF($AI1040=1,0,MAX($J1040,ROUNDUP(MAX($X1040/$H1040,$Y1040/$I1040),0))))</f>
        <v/>
      </c>
      <c r="AA1040" s="84" t="str">
        <f aca="false">IF($D1040&lt;&gt;1,"",IF(p_mode="Nœud",$Z1040*$K1040,$X1040*IF($G1040="IKS",p_iks_cpu,p_roks_cpu)+$Y1040*IF($G1040="IKS",p_iks_ram,p_roks_ram))*p_facteur)</f>
        <v/>
      </c>
      <c r="AB1040" s="14" t="str">
        <f aca="false">IF($D1040&lt;&gt;1,"",MAX($J1040,ROUNDUP(MAX($L1040/$H1040,$M1040/$I1040),0)))</f>
        <v/>
      </c>
      <c r="AC1040" s="84" t="str">
        <f aca="false">IF($D1040&lt;&gt;1,"",IF(p_mode="Nœud",$AB1040*$K1040,$L1040*IF($G1040="IKS",p_iks_cpu,p_roks_cpu)+$M1040*IF($G1040="IKS",p_iks_ram,p_roks_ram))*p_facteur)</f>
        <v/>
      </c>
      <c r="AD1040" s="14" t="str">
        <f aca="false">IF($D1040&lt;&gt;1,"",IF(AND($G1040="IKS",$AI1040&lt;&gt;1,OR($L1040-$P1040&lt;$N1040,$M1040-$Q1040&lt;$O1040)),1,0))</f>
        <v/>
      </c>
      <c r="AE1040" s="14" t="str">
        <f aca="false">IF($D1040&lt;&gt;1,"",IF(AND($G1040="ROKS",$T1040&gt;p_maxworkers),1,0))</f>
        <v/>
      </c>
      <c r="AF1040" s="14" t="str">
        <f aca="false">IF($D1040&lt;&gt;1,"",IF(INDEX(TblClusters[Environnement],$B1040)="","(vide)",INDEX(TblClusters[Environnement],$B1040)))</f>
        <v/>
      </c>
      <c r="AG1040" s="14" t="str">
        <f aca="false">IF($D1040&lt;&gt;1,"",$R1040+p_poidsram*$S1040)</f>
        <v/>
      </c>
      <c r="AH1040" s="14" t="str">
        <f aca="false">IF($D1040&lt;&gt;1,"",IFERROR($W1040/$AG1040,0))</f>
        <v/>
      </c>
      <c r="AI1040" s="14" t="str">
        <f aca="false">IF($D1040&lt;&gt;1,"",IF(AND($G1040="IKS",ISNUMBER(INDEX(TblClusters[Fermeture retenue],$B1040))),IF($E1040&gt;=INDEX(TblClusters[Fermeture retenue],$B1040),1,0),0))</f>
        <v/>
      </c>
    </row>
    <row r="1041" customFormat="false" ht="15" hidden="false" customHeight="false" outlineLevel="0" collapsed="false">
      <c r="A1041" s="14" t="n">
        <v>1036</v>
      </c>
      <c r="B1041" s="14" t="n">
        <f aca="false">INT(($A1041-1)/36)+1</f>
        <v>29</v>
      </c>
      <c r="C1041" s="14" t="n">
        <f aca="false">MOD($A1041-1,36)+1</f>
        <v>28</v>
      </c>
      <c r="D1041" s="14" t="n">
        <f aca="false">IF($C1041&gt;p_horizon,0,IFERROR(IF(AND(INDEX(TblClusters[Cluster],$B1041)&lt;&gt;"",ISNUMBER(INDEX(TblClusters[CPU initial (vCPU)],$B1041)),ISNUMBER(INDEX(TblClusters[CPU min (vCPU)],$B1041)),OR(INDEX(TblClusters[Plateforme],$B1041)="IKS",INDEX(TblClusters[Plateforme],$B1041)="ROKS")),1,0),0))</f>
        <v>0</v>
      </c>
      <c r="E1041" s="83" t="str">
        <f aca="false">IF($D1041=1,EDATE(p_debut,$C1041-1),"")</f>
        <v/>
      </c>
      <c r="F1041" s="14" t="str">
        <f aca="false">IF($D1041=1,INDEX(TblClusters[Cluster],$B1041),"")</f>
        <v/>
      </c>
      <c r="G1041" s="14" t="str">
        <f aca="false">IF($D1041=1,INDEX(TblClusters[Plateforme],$B1041),"")</f>
        <v/>
      </c>
      <c r="H1041" s="14" t="str">
        <f aca="false">IF($D1041=1,INDEX(TblClusters[vCPU par nœud],$B1041),"")</f>
        <v/>
      </c>
      <c r="I1041" s="14" t="str">
        <f aca="false">IF($D1041=1,INDEX(TblClusters[RAM par nœud (Go)],$B1041),"")</f>
        <v/>
      </c>
      <c r="J1041" s="14" t="str">
        <f aca="false">IF($D1041=1,INDEX(TblClusters[Workers min],$B1041),"")</f>
        <v/>
      </c>
      <c r="K1041" s="84" t="str">
        <f aca="false">IF($D1041=1,INDEX(TblClusters[Tarif par nœud],$B1041),"")</f>
        <v/>
      </c>
      <c r="L1041" s="14" t="str">
        <f aca="false">IF($D1041=1,INDEX(TblClusters[CPU initial (vCPU)],$B1041),"")</f>
        <v/>
      </c>
      <c r="M1041" s="14" t="str">
        <f aca="false">IF($D1041=1,INDEX(TblClusters[RAM initiale (Go)],$B1041),"")</f>
        <v/>
      </c>
      <c r="N1041" s="14" t="str">
        <f aca="false">IF($D1041=1,INDEX(TblClusters[CPU min (vCPU)],$B1041),"")</f>
        <v/>
      </c>
      <c r="O1041" s="14" t="str">
        <f aca="false">IF($D1041=1,INDEX(TblClusters[RAM min (Go)],$B1041),"")</f>
        <v/>
      </c>
      <c r="P1041" s="14" t="str">
        <f aca="false">IF($D1041&lt;&gt;1,"",IF($G1041="ROKS",SUMIFS(TblApplications[Besoin ROKS CPU (vCPU)],TblApplications[Cluster ROKS cible],$F1041,TblApplications[Action],"À migrer",TblApplications[Déjà incluse ROKS],"Non",TblApplications[Mois prov (calc)],"&lt;="&amp;$E1041),SUMIFS(TblApplications[CPU IKS libérable (vCPU)],TblApplications[Cluster IKS source],$F1041,TblApplications[Mois lib (calc)],"&lt;="&amp;$E1041)))</f>
        <v/>
      </c>
      <c r="Q1041" s="14" t="str">
        <f aca="false">IF($D1041&lt;&gt;1,"",IF($G1041="ROKS",SUMIFS(TblApplications[Besoin ROKS RAM (Go)],TblApplications[Cluster ROKS cible],$F1041,TblApplications[Action],"À migrer",TblApplications[Déjà incluse ROKS],"Non",TblApplications[Mois prov (calc)],"&lt;="&amp;$E1041),SUMIFS(TblApplications[RAM IKS libérable (Go)],TblApplications[Cluster IKS source],$F1041,TblApplications[Mois lib (calc)],"&lt;="&amp;$E1041)))</f>
        <v/>
      </c>
      <c r="R1041" s="14" t="str">
        <f aca="false">IF($D1041&lt;&gt;1,"",IF($G1041="ROKS",$L1041+$P1041,IF($AI1041=1,0,MAX($N1041,$L1041-$P1041))))</f>
        <v/>
      </c>
      <c r="S1041" s="14" t="str">
        <f aca="false">IF($D1041&lt;&gt;1,"",IF($G1041="ROKS",$M1041+$Q1041,IF($AI1041=1,0,MAX($O1041,$M1041-$Q1041))))</f>
        <v/>
      </c>
      <c r="T1041" s="14" t="str">
        <f aca="false">IF($D1041&lt;&gt;1,"",IF($AI1041=1,0,MAX($J1041,ROUNDUP(MAX($R1041/$H1041,$S1041/$I1041),0))))</f>
        <v/>
      </c>
      <c r="U1041" s="14" t="str">
        <f aca="false">IF($D1041&lt;&gt;1,"",IF(p_mode="Nœud",$T1041*$H1041,$R1041))</f>
        <v/>
      </c>
      <c r="V1041" s="14" t="str">
        <f aca="false">IF($D1041&lt;&gt;1,"",IF(p_mode="Nœud",$T1041*$I1041,$S1041))</f>
        <v/>
      </c>
      <c r="W1041" s="84" t="str">
        <f aca="false">IF($D1041&lt;&gt;1,"",IF(p_mode="Nœud",$T1041*$K1041,$R1041*IF($G1041="IKS",p_iks_cpu,p_roks_cpu)+$S1041*IF($G1041="IKS",p_iks_ram,p_roks_ram))*p_facteur)</f>
        <v/>
      </c>
      <c r="X1041" s="14" t="str">
        <f aca="false">IF($D1041&lt;&gt;1,"",IF($G1041="ROKS",$R1041,IF($AI1041=1,0,MAX($N1041,$L1041-SUMIFS(TblApplications[CPU IKS libérable (vCPU)],TblApplications[Cluster IKS source],$F1041,TblApplications[Action],"À migrer",TblApplications[Mois prov (calc)],"&lt;="&amp;$E1041)-SUMIFS(TblApplications[CPU IKS libérable (vCPU)],TblApplications[Cluster IKS source],$F1041,TblApplications[Action],"À décommissionner",TblApplications[Mois lib (calc)],"&lt;="&amp;$E1041)))))</f>
        <v/>
      </c>
      <c r="Y1041" s="14" t="str">
        <f aca="false">IF($D1041&lt;&gt;1,"",IF($G1041="ROKS",$S1041,IF($AI1041=1,0,MAX($O1041,$M1041-SUMIFS(TblApplications[RAM IKS libérable (Go)],TblApplications[Cluster IKS source],$F1041,TblApplications[Action],"À migrer",TblApplications[Mois prov (calc)],"&lt;="&amp;$E1041)-SUMIFS(TblApplications[RAM IKS libérable (Go)],TblApplications[Cluster IKS source],$F1041,TblApplications[Action],"À décommissionner",TblApplications[Mois lib (calc)],"&lt;="&amp;$E1041)))))</f>
        <v/>
      </c>
      <c r="Z1041" s="14" t="str">
        <f aca="false">IF($D1041&lt;&gt;1,"",IF($AI1041=1,0,MAX($J1041,ROUNDUP(MAX($X1041/$H1041,$Y1041/$I1041),0))))</f>
        <v/>
      </c>
      <c r="AA1041" s="84" t="str">
        <f aca="false">IF($D1041&lt;&gt;1,"",IF(p_mode="Nœud",$Z1041*$K1041,$X1041*IF($G1041="IKS",p_iks_cpu,p_roks_cpu)+$Y1041*IF($G1041="IKS",p_iks_ram,p_roks_ram))*p_facteur)</f>
        <v/>
      </c>
      <c r="AB1041" s="14" t="str">
        <f aca="false">IF($D1041&lt;&gt;1,"",MAX($J1041,ROUNDUP(MAX($L1041/$H1041,$M1041/$I1041),0)))</f>
        <v/>
      </c>
      <c r="AC1041" s="84" t="str">
        <f aca="false">IF($D1041&lt;&gt;1,"",IF(p_mode="Nœud",$AB1041*$K1041,$L1041*IF($G1041="IKS",p_iks_cpu,p_roks_cpu)+$M1041*IF($G1041="IKS",p_iks_ram,p_roks_ram))*p_facteur)</f>
        <v/>
      </c>
      <c r="AD1041" s="14" t="str">
        <f aca="false">IF($D1041&lt;&gt;1,"",IF(AND($G1041="IKS",$AI1041&lt;&gt;1,OR($L1041-$P1041&lt;$N1041,$M1041-$Q1041&lt;$O1041)),1,0))</f>
        <v/>
      </c>
      <c r="AE1041" s="14" t="str">
        <f aca="false">IF($D1041&lt;&gt;1,"",IF(AND($G1041="ROKS",$T1041&gt;p_maxworkers),1,0))</f>
        <v/>
      </c>
      <c r="AF1041" s="14" t="str">
        <f aca="false">IF($D1041&lt;&gt;1,"",IF(INDEX(TblClusters[Environnement],$B1041)="","(vide)",INDEX(TblClusters[Environnement],$B1041)))</f>
        <v/>
      </c>
      <c r="AG1041" s="14" t="str">
        <f aca="false">IF($D1041&lt;&gt;1,"",$R1041+p_poidsram*$S1041)</f>
        <v/>
      </c>
      <c r="AH1041" s="14" t="str">
        <f aca="false">IF($D1041&lt;&gt;1,"",IFERROR($W1041/$AG1041,0))</f>
        <v/>
      </c>
      <c r="AI1041" s="14" t="str">
        <f aca="false">IF($D1041&lt;&gt;1,"",IF(AND($G1041="IKS",ISNUMBER(INDEX(TblClusters[Fermeture retenue],$B1041))),IF($E1041&gt;=INDEX(TblClusters[Fermeture retenue],$B1041),1,0),0))</f>
        <v/>
      </c>
    </row>
    <row r="1042" customFormat="false" ht="15" hidden="false" customHeight="false" outlineLevel="0" collapsed="false">
      <c r="A1042" s="14" t="n">
        <v>1037</v>
      </c>
      <c r="B1042" s="14" t="n">
        <f aca="false">INT(($A1042-1)/36)+1</f>
        <v>29</v>
      </c>
      <c r="C1042" s="14" t="n">
        <f aca="false">MOD($A1042-1,36)+1</f>
        <v>29</v>
      </c>
      <c r="D1042" s="14" t="n">
        <f aca="false">IF($C1042&gt;p_horizon,0,IFERROR(IF(AND(INDEX(TblClusters[Cluster],$B1042)&lt;&gt;"",ISNUMBER(INDEX(TblClusters[CPU initial (vCPU)],$B1042)),ISNUMBER(INDEX(TblClusters[CPU min (vCPU)],$B1042)),OR(INDEX(TblClusters[Plateforme],$B1042)="IKS",INDEX(TblClusters[Plateforme],$B1042)="ROKS")),1,0),0))</f>
        <v>0</v>
      </c>
      <c r="E1042" s="83" t="str">
        <f aca="false">IF($D1042=1,EDATE(p_debut,$C1042-1),"")</f>
        <v/>
      </c>
      <c r="F1042" s="14" t="str">
        <f aca="false">IF($D1042=1,INDEX(TblClusters[Cluster],$B1042),"")</f>
        <v/>
      </c>
      <c r="G1042" s="14" t="str">
        <f aca="false">IF($D1042=1,INDEX(TblClusters[Plateforme],$B1042),"")</f>
        <v/>
      </c>
      <c r="H1042" s="14" t="str">
        <f aca="false">IF($D1042=1,INDEX(TblClusters[vCPU par nœud],$B1042),"")</f>
        <v/>
      </c>
      <c r="I1042" s="14" t="str">
        <f aca="false">IF($D1042=1,INDEX(TblClusters[RAM par nœud (Go)],$B1042),"")</f>
        <v/>
      </c>
      <c r="J1042" s="14" t="str">
        <f aca="false">IF($D1042=1,INDEX(TblClusters[Workers min],$B1042),"")</f>
        <v/>
      </c>
      <c r="K1042" s="84" t="str">
        <f aca="false">IF($D1042=1,INDEX(TblClusters[Tarif par nœud],$B1042),"")</f>
        <v/>
      </c>
      <c r="L1042" s="14" t="str">
        <f aca="false">IF($D1042=1,INDEX(TblClusters[CPU initial (vCPU)],$B1042),"")</f>
        <v/>
      </c>
      <c r="M1042" s="14" t="str">
        <f aca="false">IF($D1042=1,INDEX(TblClusters[RAM initiale (Go)],$B1042),"")</f>
        <v/>
      </c>
      <c r="N1042" s="14" t="str">
        <f aca="false">IF($D1042=1,INDEX(TblClusters[CPU min (vCPU)],$B1042),"")</f>
        <v/>
      </c>
      <c r="O1042" s="14" t="str">
        <f aca="false">IF($D1042=1,INDEX(TblClusters[RAM min (Go)],$B1042),"")</f>
        <v/>
      </c>
      <c r="P1042" s="14" t="str">
        <f aca="false">IF($D1042&lt;&gt;1,"",IF($G1042="ROKS",SUMIFS(TblApplications[Besoin ROKS CPU (vCPU)],TblApplications[Cluster ROKS cible],$F1042,TblApplications[Action],"À migrer",TblApplications[Déjà incluse ROKS],"Non",TblApplications[Mois prov (calc)],"&lt;="&amp;$E1042),SUMIFS(TblApplications[CPU IKS libérable (vCPU)],TblApplications[Cluster IKS source],$F1042,TblApplications[Mois lib (calc)],"&lt;="&amp;$E1042)))</f>
        <v/>
      </c>
      <c r="Q1042" s="14" t="str">
        <f aca="false">IF($D1042&lt;&gt;1,"",IF($G1042="ROKS",SUMIFS(TblApplications[Besoin ROKS RAM (Go)],TblApplications[Cluster ROKS cible],$F1042,TblApplications[Action],"À migrer",TblApplications[Déjà incluse ROKS],"Non",TblApplications[Mois prov (calc)],"&lt;="&amp;$E1042),SUMIFS(TblApplications[RAM IKS libérable (Go)],TblApplications[Cluster IKS source],$F1042,TblApplications[Mois lib (calc)],"&lt;="&amp;$E1042)))</f>
        <v/>
      </c>
      <c r="R1042" s="14" t="str">
        <f aca="false">IF($D1042&lt;&gt;1,"",IF($G1042="ROKS",$L1042+$P1042,IF($AI1042=1,0,MAX($N1042,$L1042-$P1042))))</f>
        <v/>
      </c>
      <c r="S1042" s="14" t="str">
        <f aca="false">IF($D1042&lt;&gt;1,"",IF($G1042="ROKS",$M1042+$Q1042,IF($AI1042=1,0,MAX($O1042,$M1042-$Q1042))))</f>
        <v/>
      </c>
      <c r="T1042" s="14" t="str">
        <f aca="false">IF($D1042&lt;&gt;1,"",IF($AI1042=1,0,MAX($J1042,ROUNDUP(MAX($R1042/$H1042,$S1042/$I1042),0))))</f>
        <v/>
      </c>
      <c r="U1042" s="14" t="str">
        <f aca="false">IF($D1042&lt;&gt;1,"",IF(p_mode="Nœud",$T1042*$H1042,$R1042))</f>
        <v/>
      </c>
      <c r="V1042" s="14" t="str">
        <f aca="false">IF($D1042&lt;&gt;1,"",IF(p_mode="Nœud",$T1042*$I1042,$S1042))</f>
        <v/>
      </c>
      <c r="W1042" s="84" t="str">
        <f aca="false">IF($D1042&lt;&gt;1,"",IF(p_mode="Nœud",$T1042*$K1042,$R1042*IF($G1042="IKS",p_iks_cpu,p_roks_cpu)+$S1042*IF($G1042="IKS",p_iks_ram,p_roks_ram))*p_facteur)</f>
        <v/>
      </c>
      <c r="X1042" s="14" t="str">
        <f aca="false">IF($D1042&lt;&gt;1,"",IF($G1042="ROKS",$R1042,IF($AI1042=1,0,MAX($N1042,$L1042-SUMIFS(TblApplications[CPU IKS libérable (vCPU)],TblApplications[Cluster IKS source],$F1042,TblApplications[Action],"À migrer",TblApplications[Mois prov (calc)],"&lt;="&amp;$E1042)-SUMIFS(TblApplications[CPU IKS libérable (vCPU)],TblApplications[Cluster IKS source],$F1042,TblApplications[Action],"À décommissionner",TblApplications[Mois lib (calc)],"&lt;="&amp;$E1042)))))</f>
        <v/>
      </c>
      <c r="Y1042" s="14" t="str">
        <f aca="false">IF($D1042&lt;&gt;1,"",IF($G1042="ROKS",$S1042,IF($AI1042=1,0,MAX($O1042,$M1042-SUMIFS(TblApplications[RAM IKS libérable (Go)],TblApplications[Cluster IKS source],$F1042,TblApplications[Action],"À migrer",TblApplications[Mois prov (calc)],"&lt;="&amp;$E1042)-SUMIFS(TblApplications[RAM IKS libérable (Go)],TblApplications[Cluster IKS source],$F1042,TblApplications[Action],"À décommissionner",TblApplications[Mois lib (calc)],"&lt;="&amp;$E1042)))))</f>
        <v/>
      </c>
      <c r="Z1042" s="14" t="str">
        <f aca="false">IF($D1042&lt;&gt;1,"",IF($AI1042=1,0,MAX($J1042,ROUNDUP(MAX($X1042/$H1042,$Y1042/$I1042),0))))</f>
        <v/>
      </c>
      <c r="AA1042" s="84" t="str">
        <f aca="false">IF($D1042&lt;&gt;1,"",IF(p_mode="Nœud",$Z1042*$K1042,$X1042*IF($G1042="IKS",p_iks_cpu,p_roks_cpu)+$Y1042*IF($G1042="IKS",p_iks_ram,p_roks_ram))*p_facteur)</f>
        <v/>
      </c>
      <c r="AB1042" s="14" t="str">
        <f aca="false">IF($D1042&lt;&gt;1,"",MAX($J1042,ROUNDUP(MAX($L1042/$H1042,$M1042/$I1042),0)))</f>
        <v/>
      </c>
      <c r="AC1042" s="84" t="str">
        <f aca="false">IF($D1042&lt;&gt;1,"",IF(p_mode="Nœud",$AB1042*$K1042,$L1042*IF($G1042="IKS",p_iks_cpu,p_roks_cpu)+$M1042*IF($G1042="IKS",p_iks_ram,p_roks_ram))*p_facteur)</f>
        <v/>
      </c>
      <c r="AD1042" s="14" t="str">
        <f aca="false">IF($D1042&lt;&gt;1,"",IF(AND($G1042="IKS",$AI1042&lt;&gt;1,OR($L1042-$P1042&lt;$N1042,$M1042-$Q1042&lt;$O1042)),1,0))</f>
        <v/>
      </c>
      <c r="AE1042" s="14" t="str">
        <f aca="false">IF($D1042&lt;&gt;1,"",IF(AND($G1042="ROKS",$T1042&gt;p_maxworkers),1,0))</f>
        <v/>
      </c>
      <c r="AF1042" s="14" t="str">
        <f aca="false">IF($D1042&lt;&gt;1,"",IF(INDEX(TblClusters[Environnement],$B1042)="","(vide)",INDEX(TblClusters[Environnement],$B1042)))</f>
        <v/>
      </c>
      <c r="AG1042" s="14" t="str">
        <f aca="false">IF($D1042&lt;&gt;1,"",$R1042+p_poidsram*$S1042)</f>
        <v/>
      </c>
      <c r="AH1042" s="14" t="str">
        <f aca="false">IF($D1042&lt;&gt;1,"",IFERROR($W1042/$AG1042,0))</f>
        <v/>
      </c>
      <c r="AI1042" s="14" t="str">
        <f aca="false">IF($D1042&lt;&gt;1,"",IF(AND($G1042="IKS",ISNUMBER(INDEX(TblClusters[Fermeture retenue],$B1042))),IF($E1042&gt;=INDEX(TblClusters[Fermeture retenue],$B1042),1,0),0))</f>
        <v/>
      </c>
    </row>
    <row r="1043" customFormat="false" ht="15" hidden="false" customHeight="false" outlineLevel="0" collapsed="false">
      <c r="A1043" s="14" t="n">
        <v>1038</v>
      </c>
      <c r="B1043" s="14" t="n">
        <f aca="false">INT(($A1043-1)/36)+1</f>
        <v>29</v>
      </c>
      <c r="C1043" s="14" t="n">
        <f aca="false">MOD($A1043-1,36)+1</f>
        <v>30</v>
      </c>
      <c r="D1043" s="14" t="n">
        <f aca="false">IF($C1043&gt;p_horizon,0,IFERROR(IF(AND(INDEX(TblClusters[Cluster],$B1043)&lt;&gt;"",ISNUMBER(INDEX(TblClusters[CPU initial (vCPU)],$B1043)),ISNUMBER(INDEX(TblClusters[CPU min (vCPU)],$B1043)),OR(INDEX(TblClusters[Plateforme],$B1043)="IKS",INDEX(TblClusters[Plateforme],$B1043)="ROKS")),1,0),0))</f>
        <v>0</v>
      </c>
      <c r="E1043" s="83" t="str">
        <f aca="false">IF($D1043=1,EDATE(p_debut,$C1043-1),"")</f>
        <v/>
      </c>
      <c r="F1043" s="14" t="str">
        <f aca="false">IF($D1043=1,INDEX(TblClusters[Cluster],$B1043),"")</f>
        <v/>
      </c>
      <c r="G1043" s="14" t="str">
        <f aca="false">IF($D1043=1,INDEX(TblClusters[Plateforme],$B1043),"")</f>
        <v/>
      </c>
      <c r="H1043" s="14" t="str">
        <f aca="false">IF($D1043=1,INDEX(TblClusters[vCPU par nœud],$B1043),"")</f>
        <v/>
      </c>
      <c r="I1043" s="14" t="str">
        <f aca="false">IF($D1043=1,INDEX(TblClusters[RAM par nœud (Go)],$B1043),"")</f>
        <v/>
      </c>
      <c r="J1043" s="14" t="str">
        <f aca="false">IF($D1043=1,INDEX(TblClusters[Workers min],$B1043),"")</f>
        <v/>
      </c>
      <c r="K1043" s="84" t="str">
        <f aca="false">IF($D1043=1,INDEX(TblClusters[Tarif par nœud],$B1043),"")</f>
        <v/>
      </c>
      <c r="L1043" s="14" t="str">
        <f aca="false">IF($D1043=1,INDEX(TblClusters[CPU initial (vCPU)],$B1043),"")</f>
        <v/>
      </c>
      <c r="M1043" s="14" t="str">
        <f aca="false">IF($D1043=1,INDEX(TblClusters[RAM initiale (Go)],$B1043),"")</f>
        <v/>
      </c>
      <c r="N1043" s="14" t="str">
        <f aca="false">IF($D1043=1,INDEX(TblClusters[CPU min (vCPU)],$B1043),"")</f>
        <v/>
      </c>
      <c r="O1043" s="14" t="str">
        <f aca="false">IF($D1043=1,INDEX(TblClusters[RAM min (Go)],$B1043),"")</f>
        <v/>
      </c>
      <c r="P1043" s="14" t="str">
        <f aca="false">IF($D1043&lt;&gt;1,"",IF($G1043="ROKS",SUMIFS(TblApplications[Besoin ROKS CPU (vCPU)],TblApplications[Cluster ROKS cible],$F1043,TblApplications[Action],"À migrer",TblApplications[Déjà incluse ROKS],"Non",TblApplications[Mois prov (calc)],"&lt;="&amp;$E1043),SUMIFS(TblApplications[CPU IKS libérable (vCPU)],TblApplications[Cluster IKS source],$F1043,TblApplications[Mois lib (calc)],"&lt;="&amp;$E1043)))</f>
        <v/>
      </c>
      <c r="Q1043" s="14" t="str">
        <f aca="false">IF($D1043&lt;&gt;1,"",IF($G1043="ROKS",SUMIFS(TblApplications[Besoin ROKS RAM (Go)],TblApplications[Cluster ROKS cible],$F1043,TblApplications[Action],"À migrer",TblApplications[Déjà incluse ROKS],"Non",TblApplications[Mois prov (calc)],"&lt;="&amp;$E1043),SUMIFS(TblApplications[RAM IKS libérable (Go)],TblApplications[Cluster IKS source],$F1043,TblApplications[Mois lib (calc)],"&lt;="&amp;$E1043)))</f>
        <v/>
      </c>
      <c r="R1043" s="14" t="str">
        <f aca="false">IF($D1043&lt;&gt;1,"",IF($G1043="ROKS",$L1043+$P1043,IF($AI1043=1,0,MAX($N1043,$L1043-$P1043))))</f>
        <v/>
      </c>
      <c r="S1043" s="14" t="str">
        <f aca="false">IF($D1043&lt;&gt;1,"",IF($G1043="ROKS",$M1043+$Q1043,IF($AI1043=1,0,MAX($O1043,$M1043-$Q1043))))</f>
        <v/>
      </c>
      <c r="T1043" s="14" t="str">
        <f aca="false">IF($D1043&lt;&gt;1,"",IF($AI1043=1,0,MAX($J1043,ROUNDUP(MAX($R1043/$H1043,$S1043/$I1043),0))))</f>
        <v/>
      </c>
      <c r="U1043" s="14" t="str">
        <f aca="false">IF($D1043&lt;&gt;1,"",IF(p_mode="Nœud",$T1043*$H1043,$R1043))</f>
        <v/>
      </c>
      <c r="V1043" s="14" t="str">
        <f aca="false">IF($D1043&lt;&gt;1,"",IF(p_mode="Nœud",$T1043*$I1043,$S1043))</f>
        <v/>
      </c>
      <c r="W1043" s="84" t="str">
        <f aca="false">IF($D1043&lt;&gt;1,"",IF(p_mode="Nœud",$T1043*$K1043,$R1043*IF($G1043="IKS",p_iks_cpu,p_roks_cpu)+$S1043*IF($G1043="IKS",p_iks_ram,p_roks_ram))*p_facteur)</f>
        <v/>
      </c>
      <c r="X1043" s="14" t="str">
        <f aca="false">IF($D1043&lt;&gt;1,"",IF($G1043="ROKS",$R1043,IF($AI1043=1,0,MAX($N1043,$L1043-SUMIFS(TblApplications[CPU IKS libérable (vCPU)],TblApplications[Cluster IKS source],$F1043,TblApplications[Action],"À migrer",TblApplications[Mois prov (calc)],"&lt;="&amp;$E1043)-SUMIFS(TblApplications[CPU IKS libérable (vCPU)],TblApplications[Cluster IKS source],$F1043,TblApplications[Action],"À décommissionner",TblApplications[Mois lib (calc)],"&lt;="&amp;$E1043)))))</f>
        <v/>
      </c>
      <c r="Y1043" s="14" t="str">
        <f aca="false">IF($D1043&lt;&gt;1,"",IF($G1043="ROKS",$S1043,IF($AI1043=1,0,MAX($O1043,$M1043-SUMIFS(TblApplications[RAM IKS libérable (Go)],TblApplications[Cluster IKS source],$F1043,TblApplications[Action],"À migrer",TblApplications[Mois prov (calc)],"&lt;="&amp;$E1043)-SUMIFS(TblApplications[RAM IKS libérable (Go)],TblApplications[Cluster IKS source],$F1043,TblApplications[Action],"À décommissionner",TblApplications[Mois lib (calc)],"&lt;="&amp;$E1043)))))</f>
        <v/>
      </c>
      <c r="Z1043" s="14" t="str">
        <f aca="false">IF($D1043&lt;&gt;1,"",IF($AI1043=1,0,MAX($J1043,ROUNDUP(MAX($X1043/$H1043,$Y1043/$I1043),0))))</f>
        <v/>
      </c>
      <c r="AA1043" s="84" t="str">
        <f aca="false">IF($D1043&lt;&gt;1,"",IF(p_mode="Nœud",$Z1043*$K1043,$X1043*IF($G1043="IKS",p_iks_cpu,p_roks_cpu)+$Y1043*IF($G1043="IKS",p_iks_ram,p_roks_ram))*p_facteur)</f>
        <v/>
      </c>
      <c r="AB1043" s="14" t="str">
        <f aca="false">IF($D1043&lt;&gt;1,"",MAX($J1043,ROUNDUP(MAX($L1043/$H1043,$M1043/$I1043),0)))</f>
        <v/>
      </c>
      <c r="AC1043" s="84" t="str">
        <f aca="false">IF($D1043&lt;&gt;1,"",IF(p_mode="Nœud",$AB1043*$K1043,$L1043*IF($G1043="IKS",p_iks_cpu,p_roks_cpu)+$M1043*IF($G1043="IKS",p_iks_ram,p_roks_ram))*p_facteur)</f>
        <v/>
      </c>
      <c r="AD1043" s="14" t="str">
        <f aca="false">IF($D1043&lt;&gt;1,"",IF(AND($G1043="IKS",$AI1043&lt;&gt;1,OR($L1043-$P1043&lt;$N1043,$M1043-$Q1043&lt;$O1043)),1,0))</f>
        <v/>
      </c>
      <c r="AE1043" s="14" t="str">
        <f aca="false">IF($D1043&lt;&gt;1,"",IF(AND($G1043="ROKS",$T1043&gt;p_maxworkers),1,0))</f>
        <v/>
      </c>
      <c r="AF1043" s="14" t="str">
        <f aca="false">IF($D1043&lt;&gt;1,"",IF(INDEX(TblClusters[Environnement],$B1043)="","(vide)",INDEX(TblClusters[Environnement],$B1043)))</f>
        <v/>
      </c>
      <c r="AG1043" s="14" t="str">
        <f aca="false">IF($D1043&lt;&gt;1,"",$R1043+p_poidsram*$S1043)</f>
        <v/>
      </c>
      <c r="AH1043" s="14" t="str">
        <f aca="false">IF($D1043&lt;&gt;1,"",IFERROR($W1043/$AG1043,0))</f>
        <v/>
      </c>
      <c r="AI1043" s="14" t="str">
        <f aca="false">IF($D1043&lt;&gt;1,"",IF(AND($G1043="IKS",ISNUMBER(INDEX(TblClusters[Fermeture retenue],$B1043))),IF($E1043&gt;=INDEX(TblClusters[Fermeture retenue],$B1043),1,0),0))</f>
        <v/>
      </c>
    </row>
    <row r="1044" customFormat="false" ht="15" hidden="false" customHeight="false" outlineLevel="0" collapsed="false">
      <c r="A1044" s="14" t="n">
        <v>1039</v>
      </c>
      <c r="B1044" s="14" t="n">
        <f aca="false">INT(($A1044-1)/36)+1</f>
        <v>29</v>
      </c>
      <c r="C1044" s="14" t="n">
        <f aca="false">MOD($A1044-1,36)+1</f>
        <v>31</v>
      </c>
      <c r="D1044" s="14" t="n">
        <f aca="false">IF($C1044&gt;p_horizon,0,IFERROR(IF(AND(INDEX(TblClusters[Cluster],$B1044)&lt;&gt;"",ISNUMBER(INDEX(TblClusters[CPU initial (vCPU)],$B1044)),ISNUMBER(INDEX(TblClusters[CPU min (vCPU)],$B1044)),OR(INDEX(TblClusters[Plateforme],$B1044)="IKS",INDEX(TblClusters[Plateforme],$B1044)="ROKS")),1,0),0))</f>
        <v>0</v>
      </c>
      <c r="E1044" s="83" t="str">
        <f aca="false">IF($D1044=1,EDATE(p_debut,$C1044-1),"")</f>
        <v/>
      </c>
      <c r="F1044" s="14" t="str">
        <f aca="false">IF($D1044=1,INDEX(TblClusters[Cluster],$B1044),"")</f>
        <v/>
      </c>
      <c r="G1044" s="14" t="str">
        <f aca="false">IF($D1044=1,INDEX(TblClusters[Plateforme],$B1044),"")</f>
        <v/>
      </c>
      <c r="H1044" s="14" t="str">
        <f aca="false">IF($D1044=1,INDEX(TblClusters[vCPU par nœud],$B1044),"")</f>
        <v/>
      </c>
      <c r="I1044" s="14" t="str">
        <f aca="false">IF($D1044=1,INDEX(TblClusters[RAM par nœud (Go)],$B1044),"")</f>
        <v/>
      </c>
      <c r="J1044" s="14" t="str">
        <f aca="false">IF($D1044=1,INDEX(TblClusters[Workers min],$B1044),"")</f>
        <v/>
      </c>
      <c r="K1044" s="84" t="str">
        <f aca="false">IF($D1044=1,INDEX(TblClusters[Tarif par nœud],$B1044),"")</f>
        <v/>
      </c>
      <c r="L1044" s="14" t="str">
        <f aca="false">IF($D1044=1,INDEX(TblClusters[CPU initial (vCPU)],$B1044),"")</f>
        <v/>
      </c>
      <c r="M1044" s="14" t="str">
        <f aca="false">IF($D1044=1,INDEX(TblClusters[RAM initiale (Go)],$B1044),"")</f>
        <v/>
      </c>
      <c r="N1044" s="14" t="str">
        <f aca="false">IF($D1044=1,INDEX(TblClusters[CPU min (vCPU)],$B1044),"")</f>
        <v/>
      </c>
      <c r="O1044" s="14" t="str">
        <f aca="false">IF($D1044=1,INDEX(TblClusters[RAM min (Go)],$B1044),"")</f>
        <v/>
      </c>
      <c r="P1044" s="14" t="str">
        <f aca="false">IF($D1044&lt;&gt;1,"",IF($G1044="ROKS",SUMIFS(TblApplications[Besoin ROKS CPU (vCPU)],TblApplications[Cluster ROKS cible],$F1044,TblApplications[Action],"À migrer",TblApplications[Déjà incluse ROKS],"Non",TblApplications[Mois prov (calc)],"&lt;="&amp;$E1044),SUMIFS(TblApplications[CPU IKS libérable (vCPU)],TblApplications[Cluster IKS source],$F1044,TblApplications[Mois lib (calc)],"&lt;="&amp;$E1044)))</f>
        <v/>
      </c>
      <c r="Q1044" s="14" t="str">
        <f aca="false">IF($D1044&lt;&gt;1,"",IF($G1044="ROKS",SUMIFS(TblApplications[Besoin ROKS RAM (Go)],TblApplications[Cluster ROKS cible],$F1044,TblApplications[Action],"À migrer",TblApplications[Déjà incluse ROKS],"Non",TblApplications[Mois prov (calc)],"&lt;="&amp;$E1044),SUMIFS(TblApplications[RAM IKS libérable (Go)],TblApplications[Cluster IKS source],$F1044,TblApplications[Mois lib (calc)],"&lt;="&amp;$E1044)))</f>
        <v/>
      </c>
      <c r="R1044" s="14" t="str">
        <f aca="false">IF($D1044&lt;&gt;1,"",IF($G1044="ROKS",$L1044+$P1044,IF($AI1044=1,0,MAX($N1044,$L1044-$P1044))))</f>
        <v/>
      </c>
      <c r="S1044" s="14" t="str">
        <f aca="false">IF($D1044&lt;&gt;1,"",IF($G1044="ROKS",$M1044+$Q1044,IF($AI1044=1,0,MAX($O1044,$M1044-$Q1044))))</f>
        <v/>
      </c>
      <c r="T1044" s="14" t="str">
        <f aca="false">IF($D1044&lt;&gt;1,"",IF($AI1044=1,0,MAX($J1044,ROUNDUP(MAX($R1044/$H1044,$S1044/$I1044),0))))</f>
        <v/>
      </c>
      <c r="U1044" s="14" t="str">
        <f aca="false">IF($D1044&lt;&gt;1,"",IF(p_mode="Nœud",$T1044*$H1044,$R1044))</f>
        <v/>
      </c>
      <c r="V1044" s="14" t="str">
        <f aca="false">IF($D1044&lt;&gt;1,"",IF(p_mode="Nœud",$T1044*$I1044,$S1044))</f>
        <v/>
      </c>
      <c r="W1044" s="84" t="str">
        <f aca="false">IF($D1044&lt;&gt;1,"",IF(p_mode="Nœud",$T1044*$K1044,$R1044*IF($G1044="IKS",p_iks_cpu,p_roks_cpu)+$S1044*IF($G1044="IKS",p_iks_ram,p_roks_ram))*p_facteur)</f>
        <v/>
      </c>
      <c r="X1044" s="14" t="str">
        <f aca="false">IF($D1044&lt;&gt;1,"",IF($G1044="ROKS",$R1044,IF($AI1044=1,0,MAX($N1044,$L1044-SUMIFS(TblApplications[CPU IKS libérable (vCPU)],TblApplications[Cluster IKS source],$F1044,TblApplications[Action],"À migrer",TblApplications[Mois prov (calc)],"&lt;="&amp;$E1044)-SUMIFS(TblApplications[CPU IKS libérable (vCPU)],TblApplications[Cluster IKS source],$F1044,TblApplications[Action],"À décommissionner",TblApplications[Mois lib (calc)],"&lt;="&amp;$E1044)))))</f>
        <v/>
      </c>
      <c r="Y1044" s="14" t="str">
        <f aca="false">IF($D1044&lt;&gt;1,"",IF($G1044="ROKS",$S1044,IF($AI1044=1,0,MAX($O1044,$M1044-SUMIFS(TblApplications[RAM IKS libérable (Go)],TblApplications[Cluster IKS source],$F1044,TblApplications[Action],"À migrer",TblApplications[Mois prov (calc)],"&lt;="&amp;$E1044)-SUMIFS(TblApplications[RAM IKS libérable (Go)],TblApplications[Cluster IKS source],$F1044,TblApplications[Action],"À décommissionner",TblApplications[Mois lib (calc)],"&lt;="&amp;$E1044)))))</f>
        <v/>
      </c>
      <c r="Z1044" s="14" t="str">
        <f aca="false">IF($D1044&lt;&gt;1,"",IF($AI1044=1,0,MAX($J1044,ROUNDUP(MAX($X1044/$H1044,$Y1044/$I1044),0))))</f>
        <v/>
      </c>
      <c r="AA1044" s="84" t="str">
        <f aca="false">IF($D1044&lt;&gt;1,"",IF(p_mode="Nœud",$Z1044*$K1044,$X1044*IF($G1044="IKS",p_iks_cpu,p_roks_cpu)+$Y1044*IF($G1044="IKS",p_iks_ram,p_roks_ram))*p_facteur)</f>
        <v/>
      </c>
      <c r="AB1044" s="14" t="str">
        <f aca="false">IF($D1044&lt;&gt;1,"",MAX($J1044,ROUNDUP(MAX($L1044/$H1044,$M1044/$I1044),0)))</f>
        <v/>
      </c>
      <c r="AC1044" s="84" t="str">
        <f aca="false">IF($D1044&lt;&gt;1,"",IF(p_mode="Nœud",$AB1044*$K1044,$L1044*IF($G1044="IKS",p_iks_cpu,p_roks_cpu)+$M1044*IF($G1044="IKS",p_iks_ram,p_roks_ram))*p_facteur)</f>
        <v/>
      </c>
      <c r="AD1044" s="14" t="str">
        <f aca="false">IF($D1044&lt;&gt;1,"",IF(AND($G1044="IKS",$AI1044&lt;&gt;1,OR($L1044-$P1044&lt;$N1044,$M1044-$Q1044&lt;$O1044)),1,0))</f>
        <v/>
      </c>
      <c r="AE1044" s="14" t="str">
        <f aca="false">IF($D1044&lt;&gt;1,"",IF(AND($G1044="ROKS",$T1044&gt;p_maxworkers),1,0))</f>
        <v/>
      </c>
      <c r="AF1044" s="14" t="str">
        <f aca="false">IF($D1044&lt;&gt;1,"",IF(INDEX(TblClusters[Environnement],$B1044)="","(vide)",INDEX(TblClusters[Environnement],$B1044)))</f>
        <v/>
      </c>
      <c r="AG1044" s="14" t="str">
        <f aca="false">IF($D1044&lt;&gt;1,"",$R1044+p_poidsram*$S1044)</f>
        <v/>
      </c>
      <c r="AH1044" s="14" t="str">
        <f aca="false">IF($D1044&lt;&gt;1,"",IFERROR($W1044/$AG1044,0))</f>
        <v/>
      </c>
      <c r="AI1044" s="14" t="str">
        <f aca="false">IF($D1044&lt;&gt;1,"",IF(AND($G1044="IKS",ISNUMBER(INDEX(TblClusters[Fermeture retenue],$B1044))),IF($E1044&gt;=INDEX(TblClusters[Fermeture retenue],$B1044),1,0),0))</f>
        <v/>
      </c>
    </row>
    <row r="1045" customFormat="false" ht="15" hidden="false" customHeight="false" outlineLevel="0" collapsed="false">
      <c r="A1045" s="14" t="n">
        <v>1040</v>
      </c>
      <c r="B1045" s="14" t="n">
        <f aca="false">INT(($A1045-1)/36)+1</f>
        <v>29</v>
      </c>
      <c r="C1045" s="14" t="n">
        <f aca="false">MOD($A1045-1,36)+1</f>
        <v>32</v>
      </c>
      <c r="D1045" s="14" t="n">
        <f aca="false">IF($C1045&gt;p_horizon,0,IFERROR(IF(AND(INDEX(TblClusters[Cluster],$B1045)&lt;&gt;"",ISNUMBER(INDEX(TblClusters[CPU initial (vCPU)],$B1045)),ISNUMBER(INDEX(TblClusters[CPU min (vCPU)],$B1045)),OR(INDEX(TblClusters[Plateforme],$B1045)="IKS",INDEX(TblClusters[Plateforme],$B1045)="ROKS")),1,0),0))</f>
        <v>0</v>
      </c>
      <c r="E1045" s="83" t="str">
        <f aca="false">IF($D1045=1,EDATE(p_debut,$C1045-1),"")</f>
        <v/>
      </c>
      <c r="F1045" s="14" t="str">
        <f aca="false">IF($D1045=1,INDEX(TblClusters[Cluster],$B1045),"")</f>
        <v/>
      </c>
      <c r="G1045" s="14" t="str">
        <f aca="false">IF($D1045=1,INDEX(TblClusters[Plateforme],$B1045),"")</f>
        <v/>
      </c>
      <c r="H1045" s="14" t="str">
        <f aca="false">IF($D1045=1,INDEX(TblClusters[vCPU par nœud],$B1045),"")</f>
        <v/>
      </c>
      <c r="I1045" s="14" t="str">
        <f aca="false">IF($D1045=1,INDEX(TblClusters[RAM par nœud (Go)],$B1045),"")</f>
        <v/>
      </c>
      <c r="J1045" s="14" t="str">
        <f aca="false">IF($D1045=1,INDEX(TblClusters[Workers min],$B1045),"")</f>
        <v/>
      </c>
      <c r="K1045" s="84" t="str">
        <f aca="false">IF($D1045=1,INDEX(TblClusters[Tarif par nœud],$B1045),"")</f>
        <v/>
      </c>
      <c r="L1045" s="14" t="str">
        <f aca="false">IF($D1045=1,INDEX(TblClusters[CPU initial (vCPU)],$B1045),"")</f>
        <v/>
      </c>
      <c r="M1045" s="14" t="str">
        <f aca="false">IF($D1045=1,INDEX(TblClusters[RAM initiale (Go)],$B1045),"")</f>
        <v/>
      </c>
      <c r="N1045" s="14" t="str">
        <f aca="false">IF($D1045=1,INDEX(TblClusters[CPU min (vCPU)],$B1045),"")</f>
        <v/>
      </c>
      <c r="O1045" s="14" t="str">
        <f aca="false">IF($D1045=1,INDEX(TblClusters[RAM min (Go)],$B1045),"")</f>
        <v/>
      </c>
      <c r="P1045" s="14" t="str">
        <f aca="false">IF($D1045&lt;&gt;1,"",IF($G1045="ROKS",SUMIFS(TblApplications[Besoin ROKS CPU (vCPU)],TblApplications[Cluster ROKS cible],$F1045,TblApplications[Action],"À migrer",TblApplications[Déjà incluse ROKS],"Non",TblApplications[Mois prov (calc)],"&lt;="&amp;$E1045),SUMIFS(TblApplications[CPU IKS libérable (vCPU)],TblApplications[Cluster IKS source],$F1045,TblApplications[Mois lib (calc)],"&lt;="&amp;$E1045)))</f>
        <v/>
      </c>
      <c r="Q1045" s="14" t="str">
        <f aca="false">IF($D1045&lt;&gt;1,"",IF($G1045="ROKS",SUMIFS(TblApplications[Besoin ROKS RAM (Go)],TblApplications[Cluster ROKS cible],$F1045,TblApplications[Action],"À migrer",TblApplications[Déjà incluse ROKS],"Non",TblApplications[Mois prov (calc)],"&lt;="&amp;$E1045),SUMIFS(TblApplications[RAM IKS libérable (Go)],TblApplications[Cluster IKS source],$F1045,TblApplications[Mois lib (calc)],"&lt;="&amp;$E1045)))</f>
        <v/>
      </c>
      <c r="R1045" s="14" t="str">
        <f aca="false">IF($D1045&lt;&gt;1,"",IF($G1045="ROKS",$L1045+$P1045,IF($AI1045=1,0,MAX($N1045,$L1045-$P1045))))</f>
        <v/>
      </c>
      <c r="S1045" s="14" t="str">
        <f aca="false">IF($D1045&lt;&gt;1,"",IF($G1045="ROKS",$M1045+$Q1045,IF($AI1045=1,0,MAX($O1045,$M1045-$Q1045))))</f>
        <v/>
      </c>
      <c r="T1045" s="14" t="str">
        <f aca="false">IF($D1045&lt;&gt;1,"",IF($AI1045=1,0,MAX($J1045,ROUNDUP(MAX($R1045/$H1045,$S1045/$I1045),0))))</f>
        <v/>
      </c>
      <c r="U1045" s="14" t="str">
        <f aca="false">IF($D1045&lt;&gt;1,"",IF(p_mode="Nœud",$T1045*$H1045,$R1045))</f>
        <v/>
      </c>
      <c r="V1045" s="14" t="str">
        <f aca="false">IF($D1045&lt;&gt;1,"",IF(p_mode="Nœud",$T1045*$I1045,$S1045))</f>
        <v/>
      </c>
      <c r="W1045" s="84" t="str">
        <f aca="false">IF($D1045&lt;&gt;1,"",IF(p_mode="Nœud",$T1045*$K1045,$R1045*IF($G1045="IKS",p_iks_cpu,p_roks_cpu)+$S1045*IF($G1045="IKS",p_iks_ram,p_roks_ram))*p_facteur)</f>
        <v/>
      </c>
      <c r="X1045" s="14" t="str">
        <f aca="false">IF($D1045&lt;&gt;1,"",IF($G1045="ROKS",$R1045,IF($AI1045=1,0,MAX($N1045,$L1045-SUMIFS(TblApplications[CPU IKS libérable (vCPU)],TblApplications[Cluster IKS source],$F1045,TblApplications[Action],"À migrer",TblApplications[Mois prov (calc)],"&lt;="&amp;$E1045)-SUMIFS(TblApplications[CPU IKS libérable (vCPU)],TblApplications[Cluster IKS source],$F1045,TblApplications[Action],"À décommissionner",TblApplications[Mois lib (calc)],"&lt;="&amp;$E1045)))))</f>
        <v/>
      </c>
      <c r="Y1045" s="14" t="str">
        <f aca="false">IF($D1045&lt;&gt;1,"",IF($G1045="ROKS",$S1045,IF($AI1045=1,0,MAX($O1045,$M1045-SUMIFS(TblApplications[RAM IKS libérable (Go)],TblApplications[Cluster IKS source],$F1045,TblApplications[Action],"À migrer",TblApplications[Mois prov (calc)],"&lt;="&amp;$E1045)-SUMIFS(TblApplications[RAM IKS libérable (Go)],TblApplications[Cluster IKS source],$F1045,TblApplications[Action],"À décommissionner",TblApplications[Mois lib (calc)],"&lt;="&amp;$E1045)))))</f>
        <v/>
      </c>
      <c r="Z1045" s="14" t="str">
        <f aca="false">IF($D1045&lt;&gt;1,"",IF($AI1045=1,0,MAX($J1045,ROUNDUP(MAX($X1045/$H1045,$Y1045/$I1045),0))))</f>
        <v/>
      </c>
      <c r="AA1045" s="84" t="str">
        <f aca="false">IF($D1045&lt;&gt;1,"",IF(p_mode="Nœud",$Z1045*$K1045,$X1045*IF($G1045="IKS",p_iks_cpu,p_roks_cpu)+$Y1045*IF($G1045="IKS",p_iks_ram,p_roks_ram))*p_facteur)</f>
        <v/>
      </c>
      <c r="AB1045" s="14" t="str">
        <f aca="false">IF($D1045&lt;&gt;1,"",MAX($J1045,ROUNDUP(MAX($L1045/$H1045,$M1045/$I1045),0)))</f>
        <v/>
      </c>
      <c r="AC1045" s="84" t="str">
        <f aca="false">IF($D1045&lt;&gt;1,"",IF(p_mode="Nœud",$AB1045*$K1045,$L1045*IF($G1045="IKS",p_iks_cpu,p_roks_cpu)+$M1045*IF($G1045="IKS",p_iks_ram,p_roks_ram))*p_facteur)</f>
        <v/>
      </c>
      <c r="AD1045" s="14" t="str">
        <f aca="false">IF($D1045&lt;&gt;1,"",IF(AND($G1045="IKS",$AI1045&lt;&gt;1,OR($L1045-$P1045&lt;$N1045,$M1045-$Q1045&lt;$O1045)),1,0))</f>
        <v/>
      </c>
      <c r="AE1045" s="14" t="str">
        <f aca="false">IF($D1045&lt;&gt;1,"",IF(AND($G1045="ROKS",$T1045&gt;p_maxworkers),1,0))</f>
        <v/>
      </c>
      <c r="AF1045" s="14" t="str">
        <f aca="false">IF($D1045&lt;&gt;1,"",IF(INDEX(TblClusters[Environnement],$B1045)="","(vide)",INDEX(TblClusters[Environnement],$B1045)))</f>
        <v/>
      </c>
      <c r="AG1045" s="14" t="str">
        <f aca="false">IF($D1045&lt;&gt;1,"",$R1045+p_poidsram*$S1045)</f>
        <v/>
      </c>
      <c r="AH1045" s="14" t="str">
        <f aca="false">IF($D1045&lt;&gt;1,"",IFERROR($W1045/$AG1045,0))</f>
        <v/>
      </c>
      <c r="AI1045" s="14" t="str">
        <f aca="false">IF($D1045&lt;&gt;1,"",IF(AND($G1045="IKS",ISNUMBER(INDEX(TblClusters[Fermeture retenue],$B1045))),IF($E1045&gt;=INDEX(TblClusters[Fermeture retenue],$B1045),1,0),0))</f>
        <v/>
      </c>
    </row>
    <row r="1046" customFormat="false" ht="15" hidden="false" customHeight="false" outlineLevel="0" collapsed="false">
      <c r="A1046" s="14" t="n">
        <v>1041</v>
      </c>
      <c r="B1046" s="14" t="n">
        <f aca="false">INT(($A1046-1)/36)+1</f>
        <v>29</v>
      </c>
      <c r="C1046" s="14" t="n">
        <f aca="false">MOD($A1046-1,36)+1</f>
        <v>33</v>
      </c>
      <c r="D1046" s="14" t="n">
        <f aca="false">IF($C1046&gt;p_horizon,0,IFERROR(IF(AND(INDEX(TblClusters[Cluster],$B1046)&lt;&gt;"",ISNUMBER(INDEX(TblClusters[CPU initial (vCPU)],$B1046)),ISNUMBER(INDEX(TblClusters[CPU min (vCPU)],$B1046)),OR(INDEX(TblClusters[Plateforme],$B1046)="IKS",INDEX(TblClusters[Plateforme],$B1046)="ROKS")),1,0),0))</f>
        <v>0</v>
      </c>
      <c r="E1046" s="83" t="str">
        <f aca="false">IF($D1046=1,EDATE(p_debut,$C1046-1),"")</f>
        <v/>
      </c>
      <c r="F1046" s="14" t="str">
        <f aca="false">IF($D1046=1,INDEX(TblClusters[Cluster],$B1046),"")</f>
        <v/>
      </c>
      <c r="G1046" s="14" t="str">
        <f aca="false">IF($D1046=1,INDEX(TblClusters[Plateforme],$B1046),"")</f>
        <v/>
      </c>
      <c r="H1046" s="14" t="str">
        <f aca="false">IF($D1046=1,INDEX(TblClusters[vCPU par nœud],$B1046),"")</f>
        <v/>
      </c>
      <c r="I1046" s="14" t="str">
        <f aca="false">IF($D1046=1,INDEX(TblClusters[RAM par nœud (Go)],$B1046),"")</f>
        <v/>
      </c>
      <c r="J1046" s="14" t="str">
        <f aca="false">IF($D1046=1,INDEX(TblClusters[Workers min],$B1046),"")</f>
        <v/>
      </c>
      <c r="K1046" s="84" t="str">
        <f aca="false">IF($D1046=1,INDEX(TblClusters[Tarif par nœud],$B1046),"")</f>
        <v/>
      </c>
      <c r="L1046" s="14" t="str">
        <f aca="false">IF($D1046=1,INDEX(TblClusters[CPU initial (vCPU)],$B1046),"")</f>
        <v/>
      </c>
      <c r="M1046" s="14" t="str">
        <f aca="false">IF($D1046=1,INDEX(TblClusters[RAM initiale (Go)],$B1046),"")</f>
        <v/>
      </c>
      <c r="N1046" s="14" t="str">
        <f aca="false">IF($D1046=1,INDEX(TblClusters[CPU min (vCPU)],$B1046),"")</f>
        <v/>
      </c>
      <c r="O1046" s="14" t="str">
        <f aca="false">IF($D1046=1,INDEX(TblClusters[RAM min (Go)],$B1046),"")</f>
        <v/>
      </c>
      <c r="P1046" s="14" t="str">
        <f aca="false">IF($D1046&lt;&gt;1,"",IF($G1046="ROKS",SUMIFS(TblApplications[Besoin ROKS CPU (vCPU)],TblApplications[Cluster ROKS cible],$F1046,TblApplications[Action],"À migrer",TblApplications[Déjà incluse ROKS],"Non",TblApplications[Mois prov (calc)],"&lt;="&amp;$E1046),SUMIFS(TblApplications[CPU IKS libérable (vCPU)],TblApplications[Cluster IKS source],$F1046,TblApplications[Mois lib (calc)],"&lt;="&amp;$E1046)))</f>
        <v/>
      </c>
      <c r="Q1046" s="14" t="str">
        <f aca="false">IF($D1046&lt;&gt;1,"",IF($G1046="ROKS",SUMIFS(TblApplications[Besoin ROKS RAM (Go)],TblApplications[Cluster ROKS cible],$F1046,TblApplications[Action],"À migrer",TblApplications[Déjà incluse ROKS],"Non",TblApplications[Mois prov (calc)],"&lt;="&amp;$E1046),SUMIFS(TblApplications[RAM IKS libérable (Go)],TblApplications[Cluster IKS source],$F1046,TblApplications[Mois lib (calc)],"&lt;="&amp;$E1046)))</f>
        <v/>
      </c>
      <c r="R1046" s="14" t="str">
        <f aca="false">IF($D1046&lt;&gt;1,"",IF($G1046="ROKS",$L1046+$P1046,IF($AI1046=1,0,MAX($N1046,$L1046-$P1046))))</f>
        <v/>
      </c>
      <c r="S1046" s="14" t="str">
        <f aca="false">IF($D1046&lt;&gt;1,"",IF($G1046="ROKS",$M1046+$Q1046,IF($AI1046=1,0,MAX($O1046,$M1046-$Q1046))))</f>
        <v/>
      </c>
      <c r="T1046" s="14" t="str">
        <f aca="false">IF($D1046&lt;&gt;1,"",IF($AI1046=1,0,MAX($J1046,ROUNDUP(MAX($R1046/$H1046,$S1046/$I1046),0))))</f>
        <v/>
      </c>
      <c r="U1046" s="14" t="str">
        <f aca="false">IF($D1046&lt;&gt;1,"",IF(p_mode="Nœud",$T1046*$H1046,$R1046))</f>
        <v/>
      </c>
      <c r="V1046" s="14" t="str">
        <f aca="false">IF($D1046&lt;&gt;1,"",IF(p_mode="Nœud",$T1046*$I1046,$S1046))</f>
        <v/>
      </c>
      <c r="W1046" s="84" t="str">
        <f aca="false">IF($D1046&lt;&gt;1,"",IF(p_mode="Nœud",$T1046*$K1046,$R1046*IF($G1046="IKS",p_iks_cpu,p_roks_cpu)+$S1046*IF($G1046="IKS",p_iks_ram,p_roks_ram))*p_facteur)</f>
        <v/>
      </c>
      <c r="X1046" s="14" t="str">
        <f aca="false">IF($D1046&lt;&gt;1,"",IF($G1046="ROKS",$R1046,IF($AI1046=1,0,MAX($N1046,$L1046-SUMIFS(TblApplications[CPU IKS libérable (vCPU)],TblApplications[Cluster IKS source],$F1046,TblApplications[Action],"À migrer",TblApplications[Mois prov (calc)],"&lt;="&amp;$E1046)-SUMIFS(TblApplications[CPU IKS libérable (vCPU)],TblApplications[Cluster IKS source],$F1046,TblApplications[Action],"À décommissionner",TblApplications[Mois lib (calc)],"&lt;="&amp;$E1046)))))</f>
        <v/>
      </c>
      <c r="Y1046" s="14" t="str">
        <f aca="false">IF($D1046&lt;&gt;1,"",IF($G1046="ROKS",$S1046,IF($AI1046=1,0,MAX($O1046,$M1046-SUMIFS(TblApplications[RAM IKS libérable (Go)],TblApplications[Cluster IKS source],$F1046,TblApplications[Action],"À migrer",TblApplications[Mois prov (calc)],"&lt;="&amp;$E1046)-SUMIFS(TblApplications[RAM IKS libérable (Go)],TblApplications[Cluster IKS source],$F1046,TblApplications[Action],"À décommissionner",TblApplications[Mois lib (calc)],"&lt;="&amp;$E1046)))))</f>
        <v/>
      </c>
      <c r="Z1046" s="14" t="str">
        <f aca="false">IF($D1046&lt;&gt;1,"",IF($AI1046=1,0,MAX($J1046,ROUNDUP(MAX($X1046/$H1046,$Y1046/$I1046),0))))</f>
        <v/>
      </c>
      <c r="AA1046" s="84" t="str">
        <f aca="false">IF($D1046&lt;&gt;1,"",IF(p_mode="Nœud",$Z1046*$K1046,$X1046*IF($G1046="IKS",p_iks_cpu,p_roks_cpu)+$Y1046*IF($G1046="IKS",p_iks_ram,p_roks_ram))*p_facteur)</f>
        <v/>
      </c>
      <c r="AB1046" s="14" t="str">
        <f aca="false">IF($D1046&lt;&gt;1,"",MAX($J1046,ROUNDUP(MAX($L1046/$H1046,$M1046/$I1046),0)))</f>
        <v/>
      </c>
      <c r="AC1046" s="84" t="str">
        <f aca="false">IF($D1046&lt;&gt;1,"",IF(p_mode="Nœud",$AB1046*$K1046,$L1046*IF($G1046="IKS",p_iks_cpu,p_roks_cpu)+$M1046*IF($G1046="IKS",p_iks_ram,p_roks_ram))*p_facteur)</f>
        <v/>
      </c>
      <c r="AD1046" s="14" t="str">
        <f aca="false">IF($D1046&lt;&gt;1,"",IF(AND($G1046="IKS",$AI1046&lt;&gt;1,OR($L1046-$P1046&lt;$N1046,$M1046-$Q1046&lt;$O1046)),1,0))</f>
        <v/>
      </c>
      <c r="AE1046" s="14" t="str">
        <f aca="false">IF($D1046&lt;&gt;1,"",IF(AND($G1046="ROKS",$T1046&gt;p_maxworkers),1,0))</f>
        <v/>
      </c>
      <c r="AF1046" s="14" t="str">
        <f aca="false">IF($D1046&lt;&gt;1,"",IF(INDEX(TblClusters[Environnement],$B1046)="","(vide)",INDEX(TblClusters[Environnement],$B1046)))</f>
        <v/>
      </c>
      <c r="AG1046" s="14" t="str">
        <f aca="false">IF($D1046&lt;&gt;1,"",$R1046+p_poidsram*$S1046)</f>
        <v/>
      </c>
      <c r="AH1046" s="14" t="str">
        <f aca="false">IF($D1046&lt;&gt;1,"",IFERROR($W1046/$AG1046,0))</f>
        <v/>
      </c>
      <c r="AI1046" s="14" t="str">
        <f aca="false">IF($D1046&lt;&gt;1,"",IF(AND($G1046="IKS",ISNUMBER(INDEX(TblClusters[Fermeture retenue],$B1046))),IF($E1046&gt;=INDEX(TblClusters[Fermeture retenue],$B1046),1,0),0))</f>
        <v/>
      </c>
    </row>
    <row r="1047" customFormat="false" ht="15" hidden="false" customHeight="false" outlineLevel="0" collapsed="false">
      <c r="A1047" s="14" t="n">
        <v>1042</v>
      </c>
      <c r="B1047" s="14" t="n">
        <f aca="false">INT(($A1047-1)/36)+1</f>
        <v>29</v>
      </c>
      <c r="C1047" s="14" t="n">
        <f aca="false">MOD($A1047-1,36)+1</f>
        <v>34</v>
      </c>
      <c r="D1047" s="14" t="n">
        <f aca="false">IF($C1047&gt;p_horizon,0,IFERROR(IF(AND(INDEX(TblClusters[Cluster],$B1047)&lt;&gt;"",ISNUMBER(INDEX(TblClusters[CPU initial (vCPU)],$B1047)),ISNUMBER(INDEX(TblClusters[CPU min (vCPU)],$B1047)),OR(INDEX(TblClusters[Plateforme],$B1047)="IKS",INDEX(TblClusters[Plateforme],$B1047)="ROKS")),1,0),0))</f>
        <v>0</v>
      </c>
      <c r="E1047" s="83" t="str">
        <f aca="false">IF($D1047=1,EDATE(p_debut,$C1047-1),"")</f>
        <v/>
      </c>
      <c r="F1047" s="14" t="str">
        <f aca="false">IF($D1047=1,INDEX(TblClusters[Cluster],$B1047),"")</f>
        <v/>
      </c>
      <c r="G1047" s="14" t="str">
        <f aca="false">IF($D1047=1,INDEX(TblClusters[Plateforme],$B1047),"")</f>
        <v/>
      </c>
      <c r="H1047" s="14" t="str">
        <f aca="false">IF($D1047=1,INDEX(TblClusters[vCPU par nœud],$B1047),"")</f>
        <v/>
      </c>
      <c r="I1047" s="14" t="str">
        <f aca="false">IF($D1047=1,INDEX(TblClusters[RAM par nœud (Go)],$B1047),"")</f>
        <v/>
      </c>
      <c r="J1047" s="14" t="str">
        <f aca="false">IF($D1047=1,INDEX(TblClusters[Workers min],$B1047),"")</f>
        <v/>
      </c>
      <c r="K1047" s="84" t="str">
        <f aca="false">IF($D1047=1,INDEX(TblClusters[Tarif par nœud],$B1047),"")</f>
        <v/>
      </c>
      <c r="L1047" s="14" t="str">
        <f aca="false">IF($D1047=1,INDEX(TblClusters[CPU initial (vCPU)],$B1047),"")</f>
        <v/>
      </c>
      <c r="M1047" s="14" t="str">
        <f aca="false">IF($D1047=1,INDEX(TblClusters[RAM initiale (Go)],$B1047),"")</f>
        <v/>
      </c>
      <c r="N1047" s="14" t="str">
        <f aca="false">IF($D1047=1,INDEX(TblClusters[CPU min (vCPU)],$B1047),"")</f>
        <v/>
      </c>
      <c r="O1047" s="14" t="str">
        <f aca="false">IF($D1047=1,INDEX(TblClusters[RAM min (Go)],$B1047),"")</f>
        <v/>
      </c>
      <c r="P1047" s="14" t="str">
        <f aca="false">IF($D1047&lt;&gt;1,"",IF($G1047="ROKS",SUMIFS(TblApplications[Besoin ROKS CPU (vCPU)],TblApplications[Cluster ROKS cible],$F1047,TblApplications[Action],"À migrer",TblApplications[Déjà incluse ROKS],"Non",TblApplications[Mois prov (calc)],"&lt;="&amp;$E1047),SUMIFS(TblApplications[CPU IKS libérable (vCPU)],TblApplications[Cluster IKS source],$F1047,TblApplications[Mois lib (calc)],"&lt;="&amp;$E1047)))</f>
        <v/>
      </c>
      <c r="Q1047" s="14" t="str">
        <f aca="false">IF($D1047&lt;&gt;1,"",IF($G1047="ROKS",SUMIFS(TblApplications[Besoin ROKS RAM (Go)],TblApplications[Cluster ROKS cible],$F1047,TblApplications[Action],"À migrer",TblApplications[Déjà incluse ROKS],"Non",TblApplications[Mois prov (calc)],"&lt;="&amp;$E1047),SUMIFS(TblApplications[RAM IKS libérable (Go)],TblApplications[Cluster IKS source],$F1047,TblApplications[Mois lib (calc)],"&lt;="&amp;$E1047)))</f>
        <v/>
      </c>
      <c r="R1047" s="14" t="str">
        <f aca="false">IF($D1047&lt;&gt;1,"",IF($G1047="ROKS",$L1047+$P1047,IF($AI1047=1,0,MAX($N1047,$L1047-$P1047))))</f>
        <v/>
      </c>
      <c r="S1047" s="14" t="str">
        <f aca="false">IF($D1047&lt;&gt;1,"",IF($G1047="ROKS",$M1047+$Q1047,IF($AI1047=1,0,MAX($O1047,$M1047-$Q1047))))</f>
        <v/>
      </c>
      <c r="T1047" s="14" t="str">
        <f aca="false">IF($D1047&lt;&gt;1,"",IF($AI1047=1,0,MAX($J1047,ROUNDUP(MAX($R1047/$H1047,$S1047/$I1047),0))))</f>
        <v/>
      </c>
      <c r="U1047" s="14" t="str">
        <f aca="false">IF($D1047&lt;&gt;1,"",IF(p_mode="Nœud",$T1047*$H1047,$R1047))</f>
        <v/>
      </c>
      <c r="V1047" s="14" t="str">
        <f aca="false">IF($D1047&lt;&gt;1,"",IF(p_mode="Nœud",$T1047*$I1047,$S1047))</f>
        <v/>
      </c>
      <c r="W1047" s="84" t="str">
        <f aca="false">IF($D1047&lt;&gt;1,"",IF(p_mode="Nœud",$T1047*$K1047,$R1047*IF($G1047="IKS",p_iks_cpu,p_roks_cpu)+$S1047*IF($G1047="IKS",p_iks_ram,p_roks_ram))*p_facteur)</f>
        <v/>
      </c>
      <c r="X1047" s="14" t="str">
        <f aca="false">IF($D1047&lt;&gt;1,"",IF($G1047="ROKS",$R1047,IF($AI1047=1,0,MAX($N1047,$L1047-SUMIFS(TblApplications[CPU IKS libérable (vCPU)],TblApplications[Cluster IKS source],$F1047,TblApplications[Action],"À migrer",TblApplications[Mois prov (calc)],"&lt;="&amp;$E1047)-SUMIFS(TblApplications[CPU IKS libérable (vCPU)],TblApplications[Cluster IKS source],$F1047,TblApplications[Action],"À décommissionner",TblApplications[Mois lib (calc)],"&lt;="&amp;$E1047)))))</f>
        <v/>
      </c>
      <c r="Y1047" s="14" t="str">
        <f aca="false">IF($D1047&lt;&gt;1,"",IF($G1047="ROKS",$S1047,IF($AI1047=1,0,MAX($O1047,$M1047-SUMIFS(TblApplications[RAM IKS libérable (Go)],TblApplications[Cluster IKS source],$F1047,TblApplications[Action],"À migrer",TblApplications[Mois prov (calc)],"&lt;="&amp;$E1047)-SUMIFS(TblApplications[RAM IKS libérable (Go)],TblApplications[Cluster IKS source],$F1047,TblApplications[Action],"À décommissionner",TblApplications[Mois lib (calc)],"&lt;="&amp;$E1047)))))</f>
        <v/>
      </c>
      <c r="Z1047" s="14" t="str">
        <f aca="false">IF($D1047&lt;&gt;1,"",IF($AI1047=1,0,MAX($J1047,ROUNDUP(MAX($X1047/$H1047,$Y1047/$I1047),0))))</f>
        <v/>
      </c>
      <c r="AA1047" s="84" t="str">
        <f aca="false">IF($D1047&lt;&gt;1,"",IF(p_mode="Nœud",$Z1047*$K1047,$X1047*IF($G1047="IKS",p_iks_cpu,p_roks_cpu)+$Y1047*IF($G1047="IKS",p_iks_ram,p_roks_ram))*p_facteur)</f>
        <v/>
      </c>
      <c r="AB1047" s="14" t="str">
        <f aca="false">IF($D1047&lt;&gt;1,"",MAX($J1047,ROUNDUP(MAX($L1047/$H1047,$M1047/$I1047),0)))</f>
        <v/>
      </c>
      <c r="AC1047" s="84" t="str">
        <f aca="false">IF($D1047&lt;&gt;1,"",IF(p_mode="Nœud",$AB1047*$K1047,$L1047*IF($G1047="IKS",p_iks_cpu,p_roks_cpu)+$M1047*IF($G1047="IKS",p_iks_ram,p_roks_ram))*p_facteur)</f>
        <v/>
      </c>
      <c r="AD1047" s="14" t="str">
        <f aca="false">IF($D1047&lt;&gt;1,"",IF(AND($G1047="IKS",$AI1047&lt;&gt;1,OR($L1047-$P1047&lt;$N1047,$M1047-$Q1047&lt;$O1047)),1,0))</f>
        <v/>
      </c>
      <c r="AE1047" s="14" t="str">
        <f aca="false">IF($D1047&lt;&gt;1,"",IF(AND($G1047="ROKS",$T1047&gt;p_maxworkers),1,0))</f>
        <v/>
      </c>
      <c r="AF1047" s="14" t="str">
        <f aca="false">IF($D1047&lt;&gt;1,"",IF(INDEX(TblClusters[Environnement],$B1047)="","(vide)",INDEX(TblClusters[Environnement],$B1047)))</f>
        <v/>
      </c>
      <c r="AG1047" s="14" t="str">
        <f aca="false">IF($D1047&lt;&gt;1,"",$R1047+p_poidsram*$S1047)</f>
        <v/>
      </c>
      <c r="AH1047" s="14" t="str">
        <f aca="false">IF($D1047&lt;&gt;1,"",IFERROR($W1047/$AG1047,0))</f>
        <v/>
      </c>
      <c r="AI1047" s="14" t="str">
        <f aca="false">IF($D1047&lt;&gt;1,"",IF(AND($G1047="IKS",ISNUMBER(INDEX(TblClusters[Fermeture retenue],$B1047))),IF($E1047&gt;=INDEX(TblClusters[Fermeture retenue],$B1047),1,0),0))</f>
        <v/>
      </c>
    </row>
    <row r="1048" customFormat="false" ht="15" hidden="false" customHeight="false" outlineLevel="0" collapsed="false">
      <c r="A1048" s="14" t="n">
        <v>1043</v>
      </c>
      <c r="B1048" s="14" t="n">
        <f aca="false">INT(($A1048-1)/36)+1</f>
        <v>29</v>
      </c>
      <c r="C1048" s="14" t="n">
        <f aca="false">MOD($A1048-1,36)+1</f>
        <v>35</v>
      </c>
      <c r="D1048" s="14" t="n">
        <f aca="false">IF($C1048&gt;p_horizon,0,IFERROR(IF(AND(INDEX(TblClusters[Cluster],$B1048)&lt;&gt;"",ISNUMBER(INDEX(TblClusters[CPU initial (vCPU)],$B1048)),ISNUMBER(INDEX(TblClusters[CPU min (vCPU)],$B1048)),OR(INDEX(TblClusters[Plateforme],$B1048)="IKS",INDEX(TblClusters[Plateforme],$B1048)="ROKS")),1,0),0))</f>
        <v>0</v>
      </c>
      <c r="E1048" s="83" t="str">
        <f aca="false">IF($D1048=1,EDATE(p_debut,$C1048-1),"")</f>
        <v/>
      </c>
      <c r="F1048" s="14" t="str">
        <f aca="false">IF($D1048=1,INDEX(TblClusters[Cluster],$B1048),"")</f>
        <v/>
      </c>
      <c r="G1048" s="14" t="str">
        <f aca="false">IF($D1048=1,INDEX(TblClusters[Plateforme],$B1048),"")</f>
        <v/>
      </c>
      <c r="H1048" s="14" t="str">
        <f aca="false">IF($D1048=1,INDEX(TblClusters[vCPU par nœud],$B1048),"")</f>
        <v/>
      </c>
      <c r="I1048" s="14" t="str">
        <f aca="false">IF($D1048=1,INDEX(TblClusters[RAM par nœud (Go)],$B1048),"")</f>
        <v/>
      </c>
      <c r="J1048" s="14" t="str">
        <f aca="false">IF($D1048=1,INDEX(TblClusters[Workers min],$B1048),"")</f>
        <v/>
      </c>
      <c r="K1048" s="84" t="str">
        <f aca="false">IF($D1048=1,INDEX(TblClusters[Tarif par nœud],$B1048),"")</f>
        <v/>
      </c>
      <c r="L1048" s="14" t="str">
        <f aca="false">IF($D1048=1,INDEX(TblClusters[CPU initial (vCPU)],$B1048),"")</f>
        <v/>
      </c>
      <c r="M1048" s="14" t="str">
        <f aca="false">IF($D1048=1,INDEX(TblClusters[RAM initiale (Go)],$B1048),"")</f>
        <v/>
      </c>
      <c r="N1048" s="14" t="str">
        <f aca="false">IF($D1048=1,INDEX(TblClusters[CPU min (vCPU)],$B1048),"")</f>
        <v/>
      </c>
      <c r="O1048" s="14" t="str">
        <f aca="false">IF($D1048=1,INDEX(TblClusters[RAM min (Go)],$B1048),"")</f>
        <v/>
      </c>
      <c r="P1048" s="14" t="str">
        <f aca="false">IF($D1048&lt;&gt;1,"",IF($G1048="ROKS",SUMIFS(TblApplications[Besoin ROKS CPU (vCPU)],TblApplications[Cluster ROKS cible],$F1048,TblApplications[Action],"À migrer",TblApplications[Déjà incluse ROKS],"Non",TblApplications[Mois prov (calc)],"&lt;="&amp;$E1048),SUMIFS(TblApplications[CPU IKS libérable (vCPU)],TblApplications[Cluster IKS source],$F1048,TblApplications[Mois lib (calc)],"&lt;="&amp;$E1048)))</f>
        <v/>
      </c>
      <c r="Q1048" s="14" t="str">
        <f aca="false">IF($D1048&lt;&gt;1,"",IF($G1048="ROKS",SUMIFS(TblApplications[Besoin ROKS RAM (Go)],TblApplications[Cluster ROKS cible],$F1048,TblApplications[Action],"À migrer",TblApplications[Déjà incluse ROKS],"Non",TblApplications[Mois prov (calc)],"&lt;="&amp;$E1048),SUMIFS(TblApplications[RAM IKS libérable (Go)],TblApplications[Cluster IKS source],$F1048,TblApplications[Mois lib (calc)],"&lt;="&amp;$E1048)))</f>
        <v/>
      </c>
      <c r="R1048" s="14" t="str">
        <f aca="false">IF($D1048&lt;&gt;1,"",IF($G1048="ROKS",$L1048+$P1048,IF($AI1048=1,0,MAX($N1048,$L1048-$P1048))))</f>
        <v/>
      </c>
      <c r="S1048" s="14" t="str">
        <f aca="false">IF($D1048&lt;&gt;1,"",IF($G1048="ROKS",$M1048+$Q1048,IF($AI1048=1,0,MAX($O1048,$M1048-$Q1048))))</f>
        <v/>
      </c>
      <c r="T1048" s="14" t="str">
        <f aca="false">IF($D1048&lt;&gt;1,"",IF($AI1048=1,0,MAX($J1048,ROUNDUP(MAX($R1048/$H1048,$S1048/$I1048),0))))</f>
        <v/>
      </c>
      <c r="U1048" s="14" t="str">
        <f aca="false">IF($D1048&lt;&gt;1,"",IF(p_mode="Nœud",$T1048*$H1048,$R1048))</f>
        <v/>
      </c>
      <c r="V1048" s="14" t="str">
        <f aca="false">IF($D1048&lt;&gt;1,"",IF(p_mode="Nœud",$T1048*$I1048,$S1048))</f>
        <v/>
      </c>
      <c r="W1048" s="84" t="str">
        <f aca="false">IF($D1048&lt;&gt;1,"",IF(p_mode="Nœud",$T1048*$K1048,$R1048*IF($G1048="IKS",p_iks_cpu,p_roks_cpu)+$S1048*IF($G1048="IKS",p_iks_ram,p_roks_ram))*p_facteur)</f>
        <v/>
      </c>
      <c r="X1048" s="14" t="str">
        <f aca="false">IF($D1048&lt;&gt;1,"",IF($G1048="ROKS",$R1048,IF($AI1048=1,0,MAX($N1048,$L1048-SUMIFS(TblApplications[CPU IKS libérable (vCPU)],TblApplications[Cluster IKS source],$F1048,TblApplications[Action],"À migrer",TblApplications[Mois prov (calc)],"&lt;="&amp;$E1048)-SUMIFS(TblApplications[CPU IKS libérable (vCPU)],TblApplications[Cluster IKS source],$F1048,TblApplications[Action],"À décommissionner",TblApplications[Mois lib (calc)],"&lt;="&amp;$E1048)))))</f>
        <v/>
      </c>
      <c r="Y1048" s="14" t="str">
        <f aca="false">IF($D1048&lt;&gt;1,"",IF($G1048="ROKS",$S1048,IF($AI1048=1,0,MAX($O1048,$M1048-SUMIFS(TblApplications[RAM IKS libérable (Go)],TblApplications[Cluster IKS source],$F1048,TblApplications[Action],"À migrer",TblApplications[Mois prov (calc)],"&lt;="&amp;$E1048)-SUMIFS(TblApplications[RAM IKS libérable (Go)],TblApplications[Cluster IKS source],$F1048,TblApplications[Action],"À décommissionner",TblApplications[Mois lib (calc)],"&lt;="&amp;$E1048)))))</f>
        <v/>
      </c>
      <c r="Z1048" s="14" t="str">
        <f aca="false">IF($D1048&lt;&gt;1,"",IF($AI1048=1,0,MAX($J1048,ROUNDUP(MAX($X1048/$H1048,$Y1048/$I1048),0))))</f>
        <v/>
      </c>
      <c r="AA1048" s="84" t="str">
        <f aca="false">IF($D1048&lt;&gt;1,"",IF(p_mode="Nœud",$Z1048*$K1048,$X1048*IF($G1048="IKS",p_iks_cpu,p_roks_cpu)+$Y1048*IF($G1048="IKS",p_iks_ram,p_roks_ram))*p_facteur)</f>
        <v/>
      </c>
      <c r="AB1048" s="14" t="str">
        <f aca="false">IF($D1048&lt;&gt;1,"",MAX($J1048,ROUNDUP(MAX($L1048/$H1048,$M1048/$I1048),0)))</f>
        <v/>
      </c>
      <c r="AC1048" s="84" t="str">
        <f aca="false">IF($D1048&lt;&gt;1,"",IF(p_mode="Nœud",$AB1048*$K1048,$L1048*IF($G1048="IKS",p_iks_cpu,p_roks_cpu)+$M1048*IF($G1048="IKS",p_iks_ram,p_roks_ram))*p_facteur)</f>
        <v/>
      </c>
      <c r="AD1048" s="14" t="str">
        <f aca="false">IF($D1048&lt;&gt;1,"",IF(AND($G1048="IKS",$AI1048&lt;&gt;1,OR($L1048-$P1048&lt;$N1048,$M1048-$Q1048&lt;$O1048)),1,0))</f>
        <v/>
      </c>
      <c r="AE1048" s="14" t="str">
        <f aca="false">IF($D1048&lt;&gt;1,"",IF(AND($G1048="ROKS",$T1048&gt;p_maxworkers),1,0))</f>
        <v/>
      </c>
      <c r="AF1048" s="14" t="str">
        <f aca="false">IF($D1048&lt;&gt;1,"",IF(INDEX(TblClusters[Environnement],$B1048)="","(vide)",INDEX(TblClusters[Environnement],$B1048)))</f>
        <v/>
      </c>
      <c r="AG1048" s="14" t="str">
        <f aca="false">IF($D1048&lt;&gt;1,"",$R1048+p_poidsram*$S1048)</f>
        <v/>
      </c>
      <c r="AH1048" s="14" t="str">
        <f aca="false">IF($D1048&lt;&gt;1,"",IFERROR($W1048/$AG1048,0))</f>
        <v/>
      </c>
      <c r="AI1048" s="14" t="str">
        <f aca="false">IF($D1048&lt;&gt;1,"",IF(AND($G1048="IKS",ISNUMBER(INDEX(TblClusters[Fermeture retenue],$B1048))),IF($E1048&gt;=INDEX(TblClusters[Fermeture retenue],$B1048),1,0),0))</f>
        <v/>
      </c>
    </row>
    <row r="1049" customFormat="false" ht="15" hidden="false" customHeight="false" outlineLevel="0" collapsed="false">
      <c r="A1049" s="14" t="n">
        <v>1044</v>
      </c>
      <c r="B1049" s="14" t="n">
        <f aca="false">INT(($A1049-1)/36)+1</f>
        <v>29</v>
      </c>
      <c r="C1049" s="14" t="n">
        <f aca="false">MOD($A1049-1,36)+1</f>
        <v>36</v>
      </c>
      <c r="D1049" s="14" t="n">
        <f aca="false">IF($C1049&gt;p_horizon,0,IFERROR(IF(AND(INDEX(TblClusters[Cluster],$B1049)&lt;&gt;"",ISNUMBER(INDEX(TblClusters[CPU initial (vCPU)],$B1049)),ISNUMBER(INDEX(TblClusters[CPU min (vCPU)],$B1049)),OR(INDEX(TblClusters[Plateforme],$B1049)="IKS",INDEX(TblClusters[Plateforme],$B1049)="ROKS")),1,0),0))</f>
        <v>0</v>
      </c>
      <c r="E1049" s="83" t="str">
        <f aca="false">IF($D1049=1,EDATE(p_debut,$C1049-1),"")</f>
        <v/>
      </c>
      <c r="F1049" s="14" t="str">
        <f aca="false">IF($D1049=1,INDEX(TblClusters[Cluster],$B1049),"")</f>
        <v/>
      </c>
      <c r="G1049" s="14" t="str">
        <f aca="false">IF($D1049=1,INDEX(TblClusters[Plateforme],$B1049),"")</f>
        <v/>
      </c>
      <c r="H1049" s="14" t="str">
        <f aca="false">IF($D1049=1,INDEX(TblClusters[vCPU par nœud],$B1049),"")</f>
        <v/>
      </c>
      <c r="I1049" s="14" t="str">
        <f aca="false">IF($D1049=1,INDEX(TblClusters[RAM par nœud (Go)],$B1049),"")</f>
        <v/>
      </c>
      <c r="J1049" s="14" t="str">
        <f aca="false">IF($D1049=1,INDEX(TblClusters[Workers min],$B1049),"")</f>
        <v/>
      </c>
      <c r="K1049" s="84" t="str">
        <f aca="false">IF($D1049=1,INDEX(TblClusters[Tarif par nœud],$B1049),"")</f>
        <v/>
      </c>
      <c r="L1049" s="14" t="str">
        <f aca="false">IF($D1049=1,INDEX(TblClusters[CPU initial (vCPU)],$B1049),"")</f>
        <v/>
      </c>
      <c r="M1049" s="14" t="str">
        <f aca="false">IF($D1049=1,INDEX(TblClusters[RAM initiale (Go)],$B1049),"")</f>
        <v/>
      </c>
      <c r="N1049" s="14" t="str">
        <f aca="false">IF($D1049=1,INDEX(TblClusters[CPU min (vCPU)],$B1049),"")</f>
        <v/>
      </c>
      <c r="O1049" s="14" t="str">
        <f aca="false">IF($D1049=1,INDEX(TblClusters[RAM min (Go)],$B1049),"")</f>
        <v/>
      </c>
      <c r="P1049" s="14" t="str">
        <f aca="false">IF($D1049&lt;&gt;1,"",IF($G1049="ROKS",SUMIFS(TblApplications[Besoin ROKS CPU (vCPU)],TblApplications[Cluster ROKS cible],$F1049,TblApplications[Action],"À migrer",TblApplications[Déjà incluse ROKS],"Non",TblApplications[Mois prov (calc)],"&lt;="&amp;$E1049),SUMIFS(TblApplications[CPU IKS libérable (vCPU)],TblApplications[Cluster IKS source],$F1049,TblApplications[Mois lib (calc)],"&lt;="&amp;$E1049)))</f>
        <v/>
      </c>
      <c r="Q1049" s="14" t="str">
        <f aca="false">IF($D1049&lt;&gt;1,"",IF($G1049="ROKS",SUMIFS(TblApplications[Besoin ROKS RAM (Go)],TblApplications[Cluster ROKS cible],$F1049,TblApplications[Action],"À migrer",TblApplications[Déjà incluse ROKS],"Non",TblApplications[Mois prov (calc)],"&lt;="&amp;$E1049),SUMIFS(TblApplications[RAM IKS libérable (Go)],TblApplications[Cluster IKS source],$F1049,TblApplications[Mois lib (calc)],"&lt;="&amp;$E1049)))</f>
        <v/>
      </c>
      <c r="R1049" s="14" t="str">
        <f aca="false">IF($D1049&lt;&gt;1,"",IF($G1049="ROKS",$L1049+$P1049,IF($AI1049=1,0,MAX($N1049,$L1049-$P1049))))</f>
        <v/>
      </c>
      <c r="S1049" s="14" t="str">
        <f aca="false">IF($D1049&lt;&gt;1,"",IF($G1049="ROKS",$M1049+$Q1049,IF($AI1049=1,0,MAX($O1049,$M1049-$Q1049))))</f>
        <v/>
      </c>
      <c r="T1049" s="14" t="str">
        <f aca="false">IF($D1049&lt;&gt;1,"",IF($AI1049=1,0,MAX($J1049,ROUNDUP(MAX($R1049/$H1049,$S1049/$I1049),0))))</f>
        <v/>
      </c>
      <c r="U1049" s="14" t="str">
        <f aca="false">IF($D1049&lt;&gt;1,"",IF(p_mode="Nœud",$T1049*$H1049,$R1049))</f>
        <v/>
      </c>
      <c r="V1049" s="14" t="str">
        <f aca="false">IF($D1049&lt;&gt;1,"",IF(p_mode="Nœud",$T1049*$I1049,$S1049))</f>
        <v/>
      </c>
      <c r="W1049" s="84" t="str">
        <f aca="false">IF($D1049&lt;&gt;1,"",IF(p_mode="Nœud",$T1049*$K1049,$R1049*IF($G1049="IKS",p_iks_cpu,p_roks_cpu)+$S1049*IF($G1049="IKS",p_iks_ram,p_roks_ram))*p_facteur)</f>
        <v/>
      </c>
      <c r="X1049" s="14" t="str">
        <f aca="false">IF($D1049&lt;&gt;1,"",IF($G1049="ROKS",$R1049,IF($AI1049=1,0,MAX($N1049,$L1049-SUMIFS(TblApplications[CPU IKS libérable (vCPU)],TblApplications[Cluster IKS source],$F1049,TblApplications[Action],"À migrer",TblApplications[Mois prov (calc)],"&lt;="&amp;$E1049)-SUMIFS(TblApplications[CPU IKS libérable (vCPU)],TblApplications[Cluster IKS source],$F1049,TblApplications[Action],"À décommissionner",TblApplications[Mois lib (calc)],"&lt;="&amp;$E1049)))))</f>
        <v/>
      </c>
      <c r="Y1049" s="14" t="str">
        <f aca="false">IF($D1049&lt;&gt;1,"",IF($G1049="ROKS",$S1049,IF($AI1049=1,0,MAX($O1049,$M1049-SUMIFS(TblApplications[RAM IKS libérable (Go)],TblApplications[Cluster IKS source],$F1049,TblApplications[Action],"À migrer",TblApplications[Mois prov (calc)],"&lt;="&amp;$E1049)-SUMIFS(TblApplications[RAM IKS libérable (Go)],TblApplications[Cluster IKS source],$F1049,TblApplications[Action],"À décommissionner",TblApplications[Mois lib (calc)],"&lt;="&amp;$E1049)))))</f>
        <v/>
      </c>
      <c r="Z1049" s="14" t="str">
        <f aca="false">IF($D1049&lt;&gt;1,"",IF($AI1049=1,0,MAX($J1049,ROUNDUP(MAX($X1049/$H1049,$Y1049/$I1049),0))))</f>
        <v/>
      </c>
      <c r="AA1049" s="84" t="str">
        <f aca="false">IF($D1049&lt;&gt;1,"",IF(p_mode="Nœud",$Z1049*$K1049,$X1049*IF($G1049="IKS",p_iks_cpu,p_roks_cpu)+$Y1049*IF($G1049="IKS",p_iks_ram,p_roks_ram))*p_facteur)</f>
        <v/>
      </c>
      <c r="AB1049" s="14" t="str">
        <f aca="false">IF($D1049&lt;&gt;1,"",MAX($J1049,ROUNDUP(MAX($L1049/$H1049,$M1049/$I1049),0)))</f>
        <v/>
      </c>
      <c r="AC1049" s="84" t="str">
        <f aca="false">IF($D1049&lt;&gt;1,"",IF(p_mode="Nœud",$AB1049*$K1049,$L1049*IF($G1049="IKS",p_iks_cpu,p_roks_cpu)+$M1049*IF($G1049="IKS",p_iks_ram,p_roks_ram))*p_facteur)</f>
        <v/>
      </c>
      <c r="AD1049" s="14" t="str">
        <f aca="false">IF($D1049&lt;&gt;1,"",IF(AND($G1049="IKS",$AI1049&lt;&gt;1,OR($L1049-$P1049&lt;$N1049,$M1049-$Q1049&lt;$O1049)),1,0))</f>
        <v/>
      </c>
      <c r="AE1049" s="14" t="str">
        <f aca="false">IF($D1049&lt;&gt;1,"",IF(AND($G1049="ROKS",$T1049&gt;p_maxworkers),1,0))</f>
        <v/>
      </c>
      <c r="AF1049" s="14" t="str">
        <f aca="false">IF($D1049&lt;&gt;1,"",IF(INDEX(TblClusters[Environnement],$B1049)="","(vide)",INDEX(TblClusters[Environnement],$B1049)))</f>
        <v/>
      </c>
      <c r="AG1049" s="14" t="str">
        <f aca="false">IF($D1049&lt;&gt;1,"",$R1049+p_poidsram*$S1049)</f>
        <v/>
      </c>
      <c r="AH1049" s="14" t="str">
        <f aca="false">IF($D1049&lt;&gt;1,"",IFERROR($W1049/$AG1049,0))</f>
        <v/>
      </c>
      <c r="AI1049" s="14" t="str">
        <f aca="false">IF($D1049&lt;&gt;1,"",IF(AND($G1049="IKS",ISNUMBER(INDEX(TblClusters[Fermeture retenue],$B1049))),IF($E1049&gt;=INDEX(TblClusters[Fermeture retenue],$B1049),1,0),0))</f>
        <v/>
      </c>
    </row>
    <row r="1050" customFormat="false" ht="15" hidden="false" customHeight="false" outlineLevel="0" collapsed="false">
      <c r="A1050" s="14" t="n">
        <v>1045</v>
      </c>
      <c r="B1050" s="14" t="n">
        <f aca="false">INT(($A1050-1)/36)+1</f>
        <v>30</v>
      </c>
      <c r="C1050" s="14" t="n">
        <f aca="false">MOD($A1050-1,36)+1</f>
        <v>1</v>
      </c>
      <c r="D1050" s="14" t="n">
        <f aca="false">IF($C1050&gt;p_horizon,0,IFERROR(IF(AND(INDEX(TblClusters[Cluster],$B1050)&lt;&gt;"",ISNUMBER(INDEX(TblClusters[CPU initial (vCPU)],$B1050)),ISNUMBER(INDEX(TblClusters[CPU min (vCPU)],$B1050)),OR(INDEX(TblClusters[Plateforme],$B1050)="IKS",INDEX(TblClusters[Plateforme],$B1050)="ROKS")),1,0),0))</f>
        <v>0</v>
      </c>
      <c r="E1050" s="83" t="str">
        <f aca="false">IF($D1050=1,EDATE(p_debut,$C1050-1),"")</f>
        <v/>
      </c>
      <c r="F1050" s="14" t="str">
        <f aca="false">IF($D1050=1,INDEX(TblClusters[Cluster],$B1050),"")</f>
        <v/>
      </c>
      <c r="G1050" s="14" t="str">
        <f aca="false">IF($D1050=1,INDEX(TblClusters[Plateforme],$B1050),"")</f>
        <v/>
      </c>
      <c r="H1050" s="14" t="str">
        <f aca="false">IF($D1050=1,INDEX(TblClusters[vCPU par nœud],$B1050),"")</f>
        <v/>
      </c>
      <c r="I1050" s="14" t="str">
        <f aca="false">IF($D1050=1,INDEX(TblClusters[RAM par nœud (Go)],$B1050),"")</f>
        <v/>
      </c>
      <c r="J1050" s="14" t="str">
        <f aca="false">IF($D1050=1,INDEX(TblClusters[Workers min],$B1050),"")</f>
        <v/>
      </c>
      <c r="K1050" s="84" t="str">
        <f aca="false">IF($D1050=1,INDEX(TblClusters[Tarif par nœud],$B1050),"")</f>
        <v/>
      </c>
      <c r="L1050" s="14" t="str">
        <f aca="false">IF($D1050=1,INDEX(TblClusters[CPU initial (vCPU)],$B1050),"")</f>
        <v/>
      </c>
      <c r="M1050" s="14" t="str">
        <f aca="false">IF($D1050=1,INDEX(TblClusters[RAM initiale (Go)],$B1050),"")</f>
        <v/>
      </c>
      <c r="N1050" s="14" t="str">
        <f aca="false">IF($D1050=1,INDEX(TblClusters[CPU min (vCPU)],$B1050),"")</f>
        <v/>
      </c>
      <c r="O1050" s="14" t="str">
        <f aca="false">IF($D1050=1,INDEX(TblClusters[RAM min (Go)],$B1050),"")</f>
        <v/>
      </c>
      <c r="P1050" s="14" t="str">
        <f aca="false">IF($D1050&lt;&gt;1,"",IF($G1050="ROKS",SUMIFS(TblApplications[Besoin ROKS CPU (vCPU)],TblApplications[Cluster ROKS cible],$F1050,TblApplications[Action],"À migrer",TblApplications[Déjà incluse ROKS],"Non",TblApplications[Mois prov (calc)],"&lt;="&amp;$E1050),SUMIFS(TblApplications[CPU IKS libérable (vCPU)],TblApplications[Cluster IKS source],$F1050,TblApplications[Mois lib (calc)],"&lt;="&amp;$E1050)))</f>
        <v/>
      </c>
      <c r="Q1050" s="14" t="str">
        <f aca="false">IF($D1050&lt;&gt;1,"",IF($G1050="ROKS",SUMIFS(TblApplications[Besoin ROKS RAM (Go)],TblApplications[Cluster ROKS cible],$F1050,TblApplications[Action],"À migrer",TblApplications[Déjà incluse ROKS],"Non",TblApplications[Mois prov (calc)],"&lt;="&amp;$E1050),SUMIFS(TblApplications[RAM IKS libérable (Go)],TblApplications[Cluster IKS source],$F1050,TblApplications[Mois lib (calc)],"&lt;="&amp;$E1050)))</f>
        <v/>
      </c>
      <c r="R1050" s="14" t="str">
        <f aca="false">IF($D1050&lt;&gt;1,"",IF($G1050="ROKS",$L1050+$P1050,IF($AI1050=1,0,MAX($N1050,$L1050-$P1050))))</f>
        <v/>
      </c>
      <c r="S1050" s="14" t="str">
        <f aca="false">IF($D1050&lt;&gt;1,"",IF($G1050="ROKS",$M1050+$Q1050,IF($AI1050=1,0,MAX($O1050,$M1050-$Q1050))))</f>
        <v/>
      </c>
      <c r="T1050" s="14" t="str">
        <f aca="false">IF($D1050&lt;&gt;1,"",IF($AI1050=1,0,MAX($J1050,ROUNDUP(MAX($R1050/$H1050,$S1050/$I1050),0))))</f>
        <v/>
      </c>
      <c r="U1050" s="14" t="str">
        <f aca="false">IF($D1050&lt;&gt;1,"",IF(p_mode="Nœud",$T1050*$H1050,$R1050))</f>
        <v/>
      </c>
      <c r="V1050" s="14" t="str">
        <f aca="false">IF($D1050&lt;&gt;1,"",IF(p_mode="Nœud",$T1050*$I1050,$S1050))</f>
        <v/>
      </c>
      <c r="W1050" s="84" t="str">
        <f aca="false">IF($D1050&lt;&gt;1,"",IF(p_mode="Nœud",$T1050*$K1050,$R1050*IF($G1050="IKS",p_iks_cpu,p_roks_cpu)+$S1050*IF($G1050="IKS",p_iks_ram,p_roks_ram))*p_facteur)</f>
        <v/>
      </c>
      <c r="X1050" s="14" t="str">
        <f aca="false">IF($D1050&lt;&gt;1,"",IF($G1050="ROKS",$R1050,IF($AI1050=1,0,MAX($N1050,$L1050-SUMIFS(TblApplications[CPU IKS libérable (vCPU)],TblApplications[Cluster IKS source],$F1050,TblApplications[Action],"À migrer",TblApplications[Mois prov (calc)],"&lt;="&amp;$E1050)-SUMIFS(TblApplications[CPU IKS libérable (vCPU)],TblApplications[Cluster IKS source],$F1050,TblApplications[Action],"À décommissionner",TblApplications[Mois lib (calc)],"&lt;="&amp;$E1050)))))</f>
        <v/>
      </c>
      <c r="Y1050" s="14" t="str">
        <f aca="false">IF($D1050&lt;&gt;1,"",IF($G1050="ROKS",$S1050,IF($AI1050=1,0,MAX($O1050,$M1050-SUMIFS(TblApplications[RAM IKS libérable (Go)],TblApplications[Cluster IKS source],$F1050,TblApplications[Action],"À migrer",TblApplications[Mois prov (calc)],"&lt;="&amp;$E1050)-SUMIFS(TblApplications[RAM IKS libérable (Go)],TblApplications[Cluster IKS source],$F1050,TblApplications[Action],"À décommissionner",TblApplications[Mois lib (calc)],"&lt;="&amp;$E1050)))))</f>
        <v/>
      </c>
      <c r="Z1050" s="14" t="str">
        <f aca="false">IF($D1050&lt;&gt;1,"",IF($AI1050=1,0,MAX($J1050,ROUNDUP(MAX($X1050/$H1050,$Y1050/$I1050),0))))</f>
        <v/>
      </c>
      <c r="AA1050" s="84" t="str">
        <f aca="false">IF($D1050&lt;&gt;1,"",IF(p_mode="Nœud",$Z1050*$K1050,$X1050*IF($G1050="IKS",p_iks_cpu,p_roks_cpu)+$Y1050*IF($G1050="IKS",p_iks_ram,p_roks_ram))*p_facteur)</f>
        <v/>
      </c>
      <c r="AB1050" s="14" t="str">
        <f aca="false">IF($D1050&lt;&gt;1,"",MAX($J1050,ROUNDUP(MAX($L1050/$H1050,$M1050/$I1050),0)))</f>
        <v/>
      </c>
      <c r="AC1050" s="84" t="str">
        <f aca="false">IF($D1050&lt;&gt;1,"",IF(p_mode="Nœud",$AB1050*$K1050,$L1050*IF($G1050="IKS",p_iks_cpu,p_roks_cpu)+$M1050*IF($G1050="IKS",p_iks_ram,p_roks_ram))*p_facteur)</f>
        <v/>
      </c>
      <c r="AD1050" s="14" t="str">
        <f aca="false">IF($D1050&lt;&gt;1,"",IF(AND($G1050="IKS",$AI1050&lt;&gt;1,OR($L1050-$P1050&lt;$N1050,$M1050-$Q1050&lt;$O1050)),1,0))</f>
        <v/>
      </c>
      <c r="AE1050" s="14" t="str">
        <f aca="false">IF($D1050&lt;&gt;1,"",IF(AND($G1050="ROKS",$T1050&gt;p_maxworkers),1,0))</f>
        <v/>
      </c>
      <c r="AF1050" s="14" t="str">
        <f aca="false">IF($D1050&lt;&gt;1,"",IF(INDEX(TblClusters[Environnement],$B1050)="","(vide)",INDEX(TblClusters[Environnement],$B1050)))</f>
        <v/>
      </c>
      <c r="AG1050" s="14" t="str">
        <f aca="false">IF($D1050&lt;&gt;1,"",$R1050+p_poidsram*$S1050)</f>
        <v/>
      </c>
      <c r="AH1050" s="14" t="str">
        <f aca="false">IF($D1050&lt;&gt;1,"",IFERROR($W1050/$AG1050,0))</f>
        <v/>
      </c>
      <c r="AI1050" s="14" t="str">
        <f aca="false">IF($D1050&lt;&gt;1,"",IF(AND($G1050="IKS",ISNUMBER(INDEX(TblClusters[Fermeture retenue],$B1050))),IF($E1050&gt;=INDEX(TblClusters[Fermeture retenue],$B1050),1,0),0))</f>
        <v/>
      </c>
    </row>
    <row r="1051" customFormat="false" ht="15" hidden="false" customHeight="false" outlineLevel="0" collapsed="false">
      <c r="A1051" s="14" t="n">
        <v>1046</v>
      </c>
      <c r="B1051" s="14" t="n">
        <f aca="false">INT(($A1051-1)/36)+1</f>
        <v>30</v>
      </c>
      <c r="C1051" s="14" t="n">
        <f aca="false">MOD($A1051-1,36)+1</f>
        <v>2</v>
      </c>
      <c r="D1051" s="14" t="n">
        <f aca="false">IF($C1051&gt;p_horizon,0,IFERROR(IF(AND(INDEX(TblClusters[Cluster],$B1051)&lt;&gt;"",ISNUMBER(INDEX(TblClusters[CPU initial (vCPU)],$B1051)),ISNUMBER(INDEX(TblClusters[CPU min (vCPU)],$B1051)),OR(INDEX(TblClusters[Plateforme],$B1051)="IKS",INDEX(TblClusters[Plateforme],$B1051)="ROKS")),1,0),0))</f>
        <v>0</v>
      </c>
      <c r="E1051" s="83" t="str">
        <f aca="false">IF($D1051=1,EDATE(p_debut,$C1051-1),"")</f>
        <v/>
      </c>
      <c r="F1051" s="14" t="str">
        <f aca="false">IF($D1051=1,INDEX(TblClusters[Cluster],$B1051),"")</f>
        <v/>
      </c>
      <c r="G1051" s="14" t="str">
        <f aca="false">IF($D1051=1,INDEX(TblClusters[Plateforme],$B1051),"")</f>
        <v/>
      </c>
      <c r="H1051" s="14" t="str">
        <f aca="false">IF($D1051=1,INDEX(TblClusters[vCPU par nœud],$B1051),"")</f>
        <v/>
      </c>
      <c r="I1051" s="14" t="str">
        <f aca="false">IF($D1051=1,INDEX(TblClusters[RAM par nœud (Go)],$B1051),"")</f>
        <v/>
      </c>
      <c r="J1051" s="14" t="str">
        <f aca="false">IF($D1051=1,INDEX(TblClusters[Workers min],$B1051),"")</f>
        <v/>
      </c>
      <c r="K1051" s="84" t="str">
        <f aca="false">IF($D1051=1,INDEX(TblClusters[Tarif par nœud],$B1051),"")</f>
        <v/>
      </c>
      <c r="L1051" s="14" t="str">
        <f aca="false">IF($D1051=1,INDEX(TblClusters[CPU initial (vCPU)],$B1051),"")</f>
        <v/>
      </c>
      <c r="M1051" s="14" t="str">
        <f aca="false">IF($D1051=1,INDEX(TblClusters[RAM initiale (Go)],$B1051),"")</f>
        <v/>
      </c>
      <c r="N1051" s="14" t="str">
        <f aca="false">IF($D1051=1,INDEX(TblClusters[CPU min (vCPU)],$B1051),"")</f>
        <v/>
      </c>
      <c r="O1051" s="14" t="str">
        <f aca="false">IF($D1051=1,INDEX(TblClusters[RAM min (Go)],$B1051),"")</f>
        <v/>
      </c>
      <c r="P1051" s="14" t="str">
        <f aca="false">IF($D1051&lt;&gt;1,"",IF($G1051="ROKS",SUMIFS(TblApplications[Besoin ROKS CPU (vCPU)],TblApplications[Cluster ROKS cible],$F1051,TblApplications[Action],"À migrer",TblApplications[Déjà incluse ROKS],"Non",TblApplications[Mois prov (calc)],"&lt;="&amp;$E1051),SUMIFS(TblApplications[CPU IKS libérable (vCPU)],TblApplications[Cluster IKS source],$F1051,TblApplications[Mois lib (calc)],"&lt;="&amp;$E1051)))</f>
        <v/>
      </c>
      <c r="Q1051" s="14" t="str">
        <f aca="false">IF($D1051&lt;&gt;1,"",IF($G1051="ROKS",SUMIFS(TblApplications[Besoin ROKS RAM (Go)],TblApplications[Cluster ROKS cible],$F1051,TblApplications[Action],"À migrer",TblApplications[Déjà incluse ROKS],"Non",TblApplications[Mois prov (calc)],"&lt;="&amp;$E1051),SUMIFS(TblApplications[RAM IKS libérable (Go)],TblApplications[Cluster IKS source],$F1051,TblApplications[Mois lib (calc)],"&lt;="&amp;$E1051)))</f>
        <v/>
      </c>
      <c r="R1051" s="14" t="str">
        <f aca="false">IF($D1051&lt;&gt;1,"",IF($G1051="ROKS",$L1051+$P1051,IF($AI1051=1,0,MAX($N1051,$L1051-$P1051))))</f>
        <v/>
      </c>
      <c r="S1051" s="14" t="str">
        <f aca="false">IF($D1051&lt;&gt;1,"",IF($G1051="ROKS",$M1051+$Q1051,IF($AI1051=1,0,MAX($O1051,$M1051-$Q1051))))</f>
        <v/>
      </c>
      <c r="T1051" s="14" t="str">
        <f aca="false">IF($D1051&lt;&gt;1,"",IF($AI1051=1,0,MAX($J1051,ROUNDUP(MAX($R1051/$H1051,$S1051/$I1051),0))))</f>
        <v/>
      </c>
      <c r="U1051" s="14" t="str">
        <f aca="false">IF($D1051&lt;&gt;1,"",IF(p_mode="Nœud",$T1051*$H1051,$R1051))</f>
        <v/>
      </c>
      <c r="V1051" s="14" t="str">
        <f aca="false">IF($D1051&lt;&gt;1,"",IF(p_mode="Nœud",$T1051*$I1051,$S1051))</f>
        <v/>
      </c>
      <c r="W1051" s="84" t="str">
        <f aca="false">IF($D1051&lt;&gt;1,"",IF(p_mode="Nœud",$T1051*$K1051,$R1051*IF($G1051="IKS",p_iks_cpu,p_roks_cpu)+$S1051*IF($G1051="IKS",p_iks_ram,p_roks_ram))*p_facteur)</f>
        <v/>
      </c>
      <c r="X1051" s="14" t="str">
        <f aca="false">IF($D1051&lt;&gt;1,"",IF($G1051="ROKS",$R1051,IF($AI1051=1,0,MAX($N1051,$L1051-SUMIFS(TblApplications[CPU IKS libérable (vCPU)],TblApplications[Cluster IKS source],$F1051,TblApplications[Action],"À migrer",TblApplications[Mois prov (calc)],"&lt;="&amp;$E1051)-SUMIFS(TblApplications[CPU IKS libérable (vCPU)],TblApplications[Cluster IKS source],$F1051,TblApplications[Action],"À décommissionner",TblApplications[Mois lib (calc)],"&lt;="&amp;$E1051)))))</f>
        <v/>
      </c>
      <c r="Y1051" s="14" t="str">
        <f aca="false">IF($D1051&lt;&gt;1,"",IF($G1051="ROKS",$S1051,IF($AI1051=1,0,MAX($O1051,$M1051-SUMIFS(TblApplications[RAM IKS libérable (Go)],TblApplications[Cluster IKS source],$F1051,TblApplications[Action],"À migrer",TblApplications[Mois prov (calc)],"&lt;="&amp;$E1051)-SUMIFS(TblApplications[RAM IKS libérable (Go)],TblApplications[Cluster IKS source],$F1051,TblApplications[Action],"À décommissionner",TblApplications[Mois lib (calc)],"&lt;="&amp;$E1051)))))</f>
        <v/>
      </c>
      <c r="Z1051" s="14" t="str">
        <f aca="false">IF($D1051&lt;&gt;1,"",IF($AI1051=1,0,MAX($J1051,ROUNDUP(MAX($X1051/$H1051,$Y1051/$I1051),0))))</f>
        <v/>
      </c>
      <c r="AA1051" s="84" t="str">
        <f aca="false">IF($D1051&lt;&gt;1,"",IF(p_mode="Nœud",$Z1051*$K1051,$X1051*IF($G1051="IKS",p_iks_cpu,p_roks_cpu)+$Y1051*IF($G1051="IKS",p_iks_ram,p_roks_ram))*p_facteur)</f>
        <v/>
      </c>
      <c r="AB1051" s="14" t="str">
        <f aca="false">IF($D1051&lt;&gt;1,"",MAX($J1051,ROUNDUP(MAX($L1051/$H1051,$M1051/$I1051),0)))</f>
        <v/>
      </c>
      <c r="AC1051" s="84" t="str">
        <f aca="false">IF($D1051&lt;&gt;1,"",IF(p_mode="Nœud",$AB1051*$K1051,$L1051*IF($G1051="IKS",p_iks_cpu,p_roks_cpu)+$M1051*IF($G1051="IKS",p_iks_ram,p_roks_ram))*p_facteur)</f>
        <v/>
      </c>
      <c r="AD1051" s="14" t="str">
        <f aca="false">IF($D1051&lt;&gt;1,"",IF(AND($G1051="IKS",$AI1051&lt;&gt;1,OR($L1051-$P1051&lt;$N1051,$M1051-$Q1051&lt;$O1051)),1,0))</f>
        <v/>
      </c>
      <c r="AE1051" s="14" t="str">
        <f aca="false">IF($D1051&lt;&gt;1,"",IF(AND($G1051="ROKS",$T1051&gt;p_maxworkers),1,0))</f>
        <v/>
      </c>
      <c r="AF1051" s="14" t="str">
        <f aca="false">IF($D1051&lt;&gt;1,"",IF(INDEX(TblClusters[Environnement],$B1051)="","(vide)",INDEX(TblClusters[Environnement],$B1051)))</f>
        <v/>
      </c>
      <c r="AG1051" s="14" t="str">
        <f aca="false">IF($D1051&lt;&gt;1,"",$R1051+p_poidsram*$S1051)</f>
        <v/>
      </c>
      <c r="AH1051" s="14" t="str">
        <f aca="false">IF($D1051&lt;&gt;1,"",IFERROR($W1051/$AG1051,0))</f>
        <v/>
      </c>
      <c r="AI1051" s="14" t="str">
        <f aca="false">IF($D1051&lt;&gt;1,"",IF(AND($G1051="IKS",ISNUMBER(INDEX(TblClusters[Fermeture retenue],$B1051))),IF($E1051&gt;=INDEX(TblClusters[Fermeture retenue],$B1051),1,0),0))</f>
        <v/>
      </c>
    </row>
    <row r="1052" customFormat="false" ht="15" hidden="false" customHeight="false" outlineLevel="0" collapsed="false">
      <c r="A1052" s="14" t="n">
        <v>1047</v>
      </c>
      <c r="B1052" s="14" t="n">
        <f aca="false">INT(($A1052-1)/36)+1</f>
        <v>30</v>
      </c>
      <c r="C1052" s="14" t="n">
        <f aca="false">MOD($A1052-1,36)+1</f>
        <v>3</v>
      </c>
      <c r="D1052" s="14" t="n">
        <f aca="false">IF($C1052&gt;p_horizon,0,IFERROR(IF(AND(INDEX(TblClusters[Cluster],$B1052)&lt;&gt;"",ISNUMBER(INDEX(TblClusters[CPU initial (vCPU)],$B1052)),ISNUMBER(INDEX(TblClusters[CPU min (vCPU)],$B1052)),OR(INDEX(TblClusters[Plateforme],$B1052)="IKS",INDEX(TblClusters[Plateforme],$B1052)="ROKS")),1,0),0))</f>
        <v>0</v>
      </c>
      <c r="E1052" s="83" t="str">
        <f aca="false">IF($D1052=1,EDATE(p_debut,$C1052-1),"")</f>
        <v/>
      </c>
      <c r="F1052" s="14" t="str">
        <f aca="false">IF($D1052=1,INDEX(TblClusters[Cluster],$B1052),"")</f>
        <v/>
      </c>
      <c r="G1052" s="14" t="str">
        <f aca="false">IF($D1052=1,INDEX(TblClusters[Plateforme],$B1052),"")</f>
        <v/>
      </c>
      <c r="H1052" s="14" t="str">
        <f aca="false">IF($D1052=1,INDEX(TblClusters[vCPU par nœud],$B1052),"")</f>
        <v/>
      </c>
      <c r="I1052" s="14" t="str">
        <f aca="false">IF($D1052=1,INDEX(TblClusters[RAM par nœud (Go)],$B1052),"")</f>
        <v/>
      </c>
      <c r="J1052" s="14" t="str">
        <f aca="false">IF($D1052=1,INDEX(TblClusters[Workers min],$B1052),"")</f>
        <v/>
      </c>
      <c r="K1052" s="84" t="str">
        <f aca="false">IF($D1052=1,INDEX(TblClusters[Tarif par nœud],$B1052),"")</f>
        <v/>
      </c>
      <c r="L1052" s="14" t="str">
        <f aca="false">IF($D1052=1,INDEX(TblClusters[CPU initial (vCPU)],$B1052),"")</f>
        <v/>
      </c>
      <c r="M1052" s="14" t="str">
        <f aca="false">IF($D1052=1,INDEX(TblClusters[RAM initiale (Go)],$B1052),"")</f>
        <v/>
      </c>
      <c r="N1052" s="14" t="str">
        <f aca="false">IF($D1052=1,INDEX(TblClusters[CPU min (vCPU)],$B1052),"")</f>
        <v/>
      </c>
      <c r="O1052" s="14" t="str">
        <f aca="false">IF($D1052=1,INDEX(TblClusters[RAM min (Go)],$B1052),"")</f>
        <v/>
      </c>
      <c r="P1052" s="14" t="str">
        <f aca="false">IF($D1052&lt;&gt;1,"",IF($G1052="ROKS",SUMIFS(TblApplications[Besoin ROKS CPU (vCPU)],TblApplications[Cluster ROKS cible],$F1052,TblApplications[Action],"À migrer",TblApplications[Déjà incluse ROKS],"Non",TblApplications[Mois prov (calc)],"&lt;="&amp;$E1052),SUMIFS(TblApplications[CPU IKS libérable (vCPU)],TblApplications[Cluster IKS source],$F1052,TblApplications[Mois lib (calc)],"&lt;="&amp;$E1052)))</f>
        <v/>
      </c>
      <c r="Q1052" s="14" t="str">
        <f aca="false">IF($D1052&lt;&gt;1,"",IF($G1052="ROKS",SUMIFS(TblApplications[Besoin ROKS RAM (Go)],TblApplications[Cluster ROKS cible],$F1052,TblApplications[Action],"À migrer",TblApplications[Déjà incluse ROKS],"Non",TblApplications[Mois prov (calc)],"&lt;="&amp;$E1052),SUMIFS(TblApplications[RAM IKS libérable (Go)],TblApplications[Cluster IKS source],$F1052,TblApplications[Mois lib (calc)],"&lt;="&amp;$E1052)))</f>
        <v/>
      </c>
      <c r="R1052" s="14" t="str">
        <f aca="false">IF($D1052&lt;&gt;1,"",IF($G1052="ROKS",$L1052+$P1052,IF($AI1052=1,0,MAX($N1052,$L1052-$P1052))))</f>
        <v/>
      </c>
      <c r="S1052" s="14" t="str">
        <f aca="false">IF($D1052&lt;&gt;1,"",IF($G1052="ROKS",$M1052+$Q1052,IF($AI1052=1,0,MAX($O1052,$M1052-$Q1052))))</f>
        <v/>
      </c>
      <c r="T1052" s="14" t="str">
        <f aca="false">IF($D1052&lt;&gt;1,"",IF($AI1052=1,0,MAX($J1052,ROUNDUP(MAX($R1052/$H1052,$S1052/$I1052),0))))</f>
        <v/>
      </c>
      <c r="U1052" s="14" t="str">
        <f aca="false">IF($D1052&lt;&gt;1,"",IF(p_mode="Nœud",$T1052*$H1052,$R1052))</f>
        <v/>
      </c>
      <c r="V1052" s="14" t="str">
        <f aca="false">IF($D1052&lt;&gt;1,"",IF(p_mode="Nœud",$T1052*$I1052,$S1052))</f>
        <v/>
      </c>
      <c r="W1052" s="84" t="str">
        <f aca="false">IF($D1052&lt;&gt;1,"",IF(p_mode="Nœud",$T1052*$K1052,$R1052*IF($G1052="IKS",p_iks_cpu,p_roks_cpu)+$S1052*IF($G1052="IKS",p_iks_ram,p_roks_ram))*p_facteur)</f>
        <v/>
      </c>
      <c r="X1052" s="14" t="str">
        <f aca="false">IF($D1052&lt;&gt;1,"",IF($G1052="ROKS",$R1052,IF($AI1052=1,0,MAX($N1052,$L1052-SUMIFS(TblApplications[CPU IKS libérable (vCPU)],TblApplications[Cluster IKS source],$F1052,TblApplications[Action],"À migrer",TblApplications[Mois prov (calc)],"&lt;="&amp;$E1052)-SUMIFS(TblApplications[CPU IKS libérable (vCPU)],TblApplications[Cluster IKS source],$F1052,TblApplications[Action],"À décommissionner",TblApplications[Mois lib (calc)],"&lt;="&amp;$E1052)))))</f>
        <v/>
      </c>
      <c r="Y1052" s="14" t="str">
        <f aca="false">IF($D1052&lt;&gt;1,"",IF($G1052="ROKS",$S1052,IF($AI1052=1,0,MAX($O1052,$M1052-SUMIFS(TblApplications[RAM IKS libérable (Go)],TblApplications[Cluster IKS source],$F1052,TblApplications[Action],"À migrer",TblApplications[Mois prov (calc)],"&lt;="&amp;$E1052)-SUMIFS(TblApplications[RAM IKS libérable (Go)],TblApplications[Cluster IKS source],$F1052,TblApplications[Action],"À décommissionner",TblApplications[Mois lib (calc)],"&lt;="&amp;$E1052)))))</f>
        <v/>
      </c>
      <c r="Z1052" s="14" t="str">
        <f aca="false">IF($D1052&lt;&gt;1,"",IF($AI1052=1,0,MAX($J1052,ROUNDUP(MAX($X1052/$H1052,$Y1052/$I1052),0))))</f>
        <v/>
      </c>
      <c r="AA1052" s="84" t="str">
        <f aca="false">IF($D1052&lt;&gt;1,"",IF(p_mode="Nœud",$Z1052*$K1052,$X1052*IF($G1052="IKS",p_iks_cpu,p_roks_cpu)+$Y1052*IF($G1052="IKS",p_iks_ram,p_roks_ram))*p_facteur)</f>
        <v/>
      </c>
      <c r="AB1052" s="14" t="str">
        <f aca="false">IF($D1052&lt;&gt;1,"",MAX($J1052,ROUNDUP(MAX($L1052/$H1052,$M1052/$I1052),0)))</f>
        <v/>
      </c>
      <c r="AC1052" s="84" t="str">
        <f aca="false">IF($D1052&lt;&gt;1,"",IF(p_mode="Nœud",$AB1052*$K1052,$L1052*IF($G1052="IKS",p_iks_cpu,p_roks_cpu)+$M1052*IF($G1052="IKS",p_iks_ram,p_roks_ram))*p_facteur)</f>
        <v/>
      </c>
      <c r="AD1052" s="14" t="str">
        <f aca="false">IF($D1052&lt;&gt;1,"",IF(AND($G1052="IKS",$AI1052&lt;&gt;1,OR($L1052-$P1052&lt;$N1052,$M1052-$Q1052&lt;$O1052)),1,0))</f>
        <v/>
      </c>
      <c r="AE1052" s="14" t="str">
        <f aca="false">IF($D1052&lt;&gt;1,"",IF(AND($G1052="ROKS",$T1052&gt;p_maxworkers),1,0))</f>
        <v/>
      </c>
      <c r="AF1052" s="14" t="str">
        <f aca="false">IF($D1052&lt;&gt;1,"",IF(INDEX(TblClusters[Environnement],$B1052)="","(vide)",INDEX(TblClusters[Environnement],$B1052)))</f>
        <v/>
      </c>
      <c r="AG1052" s="14" t="str">
        <f aca="false">IF($D1052&lt;&gt;1,"",$R1052+p_poidsram*$S1052)</f>
        <v/>
      </c>
      <c r="AH1052" s="14" t="str">
        <f aca="false">IF($D1052&lt;&gt;1,"",IFERROR($W1052/$AG1052,0))</f>
        <v/>
      </c>
      <c r="AI1052" s="14" t="str">
        <f aca="false">IF($D1052&lt;&gt;1,"",IF(AND($G1052="IKS",ISNUMBER(INDEX(TblClusters[Fermeture retenue],$B1052))),IF($E1052&gt;=INDEX(TblClusters[Fermeture retenue],$B1052),1,0),0))</f>
        <v/>
      </c>
    </row>
    <row r="1053" customFormat="false" ht="15" hidden="false" customHeight="false" outlineLevel="0" collapsed="false">
      <c r="A1053" s="14" t="n">
        <v>1048</v>
      </c>
      <c r="B1053" s="14" t="n">
        <f aca="false">INT(($A1053-1)/36)+1</f>
        <v>30</v>
      </c>
      <c r="C1053" s="14" t="n">
        <f aca="false">MOD($A1053-1,36)+1</f>
        <v>4</v>
      </c>
      <c r="D1053" s="14" t="n">
        <f aca="false">IF($C1053&gt;p_horizon,0,IFERROR(IF(AND(INDEX(TblClusters[Cluster],$B1053)&lt;&gt;"",ISNUMBER(INDEX(TblClusters[CPU initial (vCPU)],$B1053)),ISNUMBER(INDEX(TblClusters[CPU min (vCPU)],$B1053)),OR(INDEX(TblClusters[Plateforme],$B1053)="IKS",INDEX(TblClusters[Plateforme],$B1053)="ROKS")),1,0),0))</f>
        <v>0</v>
      </c>
      <c r="E1053" s="83" t="str">
        <f aca="false">IF($D1053=1,EDATE(p_debut,$C1053-1),"")</f>
        <v/>
      </c>
      <c r="F1053" s="14" t="str">
        <f aca="false">IF($D1053=1,INDEX(TblClusters[Cluster],$B1053),"")</f>
        <v/>
      </c>
      <c r="G1053" s="14" t="str">
        <f aca="false">IF($D1053=1,INDEX(TblClusters[Plateforme],$B1053),"")</f>
        <v/>
      </c>
      <c r="H1053" s="14" t="str">
        <f aca="false">IF($D1053=1,INDEX(TblClusters[vCPU par nœud],$B1053),"")</f>
        <v/>
      </c>
      <c r="I1053" s="14" t="str">
        <f aca="false">IF($D1053=1,INDEX(TblClusters[RAM par nœud (Go)],$B1053),"")</f>
        <v/>
      </c>
      <c r="J1053" s="14" t="str">
        <f aca="false">IF($D1053=1,INDEX(TblClusters[Workers min],$B1053),"")</f>
        <v/>
      </c>
      <c r="K1053" s="84" t="str">
        <f aca="false">IF($D1053=1,INDEX(TblClusters[Tarif par nœud],$B1053),"")</f>
        <v/>
      </c>
      <c r="L1053" s="14" t="str">
        <f aca="false">IF($D1053=1,INDEX(TblClusters[CPU initial (vCPU)],$B1053),"")</f>
        <v/>
      </c>
      <c r="M1053" s="14" t="str">
        <f aca="false">IF($D1053=1,INDEX(TblClusters[RAM initiale (Go)],$B1053),"")</f>
        <v/>
      </c>
      <c r="N1053" s="14" t="str">
        <f aca="false">IF($D1053=1,INDEX(TblClusters[CPU min (vCPU)],$B1053),"")</f>
        <v/>
      </c>
      <c r="O1053" s="14" t="str">
        <f aca="false">IF($D1053=1,INDEX(TblClusters[RAM min (Go)],$B1053),"")</f>
        <v/>
      </c>
      <c r="P1053" s="14" t="str">
        <f aca="false">IF($D1053&lt;&gt;1,"",IF($G1053="ROKS",SUMIFS(TblApplications[Besoin ROKS CPU (vCPU)],TblApplications[Cluster ROKS cible],$F1053,TblApplications[Action],"À migrer",TblApplications[Déjà incluse ROKS],"Non",TblApplications[Mois prov (calc)],"&lt;="&amp;$E1053),SUMIFS(TblApplications[CPU IKS libérable (vCPU)],TblApplications[Cluster IKS source],$F1053,TblApplications[Mois lib (calc)],"&lt;="&amp;$E1053)))</f>
        <v/>
      </c>
      <c r="Q1053" s="14" t="str">
        <f aca="false">IF($D1053&lt;&gt;1,"",IF($G1053="ROKS",SUMIFS(TblApplications[Besoin ROKS RAM (Go)],TblApplications[Cluster ROKS cible],$F1053,TblApplications[Action],"À migrer",TblApplications[Déjà incluse ROKS],"Non",TblApplications[Mois prov (calc)],"&lt;="&amp;$E1053),SUMIFS(TblApplications[RAM IKS libérable (Go)],TblApplications[Cluster IKS source],$F1053,TblApplications[Mois lib (calc)],"&lt;="&amp;$E1053)))</f>
        <v/>
      </c>
      <c r="R1053" s="14" t="str">
        <f aca="false">IF($D1053&lt;&gt;1,"",IF($G1053="ROKS",$L1053+$P1053,IF($AI1053=1,0,MAX($N1053,$L1053-$P1053))))</f>
        <v/>
      </c>
      <c r="S1053" s="14" t="str">
        <f aca="false">IF($D1053&lt;&gt;1,"",IF($G1053="ROKS",$M1053+$Q1053,IF($AI1053=1,0,MAX($O1053,$M1053-$Q1053))))</f>
        <v/>
      </c>
      <c r="T1053" s="14" t="str">
        <f aca="false">IF($D1053&lt;&gt;1,"",IF($AI1053=1,0,MAX($J1053,ROUNDUP(MAX($R1053/$H1053,$S1053/$I1053),0))))</f>
        <v/>
      </c>
      <c r="U1053" s="14" t="str">
        <f aca="false">IF($D1053&lt;&gt;1,"",IF(p_mode="Nœud",$T1053*$H1053,$R1053))</f>
        <v/>
      </c>
      <c r="V1053" s="14" t="str">
        <f aca="false">IF($D1053&lt;&gt;1,"",IF(p_mode="Nœud",$T1053*$I1053,$S1053))</f>
        <v/>
      </c>
      <c r="W1053" s="84" t="str">
        <f aca="false">IF($D1053&lt;&gt;1,"",IF(p_mode="Nœud",$T1053*$K1053,$R1053*IF($G1053="IKS",p_iks_cpu,p_roks_cpu)+$S1053*IF($G1053="IKS",p_iks_ram,p_roks_ram))*p_facteur)</f>
        <v/>
      </c>
      <c r="X1053" s="14" t="str">
        <f aca="false">IF($D1053&lt;&gt;1,"",IF($G1053="ROKS",$R1053,IF($AI1053=1,0,MAX($N1053,$L1053-SUMIFS(TblApplications[CPU IKS libérable (vCPU)],TblApplications[Cluster IKS source],$F1053,TblApplications[Action],"À migrer",TblApplications[Mois prov (calc)],"&lt;="&amp;$E1053)-SUMIFS(TblApplications[CPU IKS libérable (vCPU)],TblApplications[Cluster IKS source],$F1053,TblApplications[Action],"À décommissionner",TblApplications[Mois lib (calc)],"&lt;="&amp;$E1053)))))</f>
        <v/>
      </c>
      <c r="Y1053" s="14" t="str">
        <f aca="false">IF($D1053&lt;&gt;1,"",IF($G1053="ROKS",$S1053,IF($AI1053=1,0,MAX($O1053,$M1053-SUMIFS(TblApplications[RAM IKS libérable (Go)],TblApplications[Cluster IKS source],$F1053,TblApplications[Action],"À migrer",TblApplications[Mois prov (calc)],"&lt;="&amp;$E1053)-SUMIFS(TblApplications[RAM IKS libérable (Go)],TblApplications[Cluster IKS source],$F1053,TblApplications[Action],"À décommissionner",TblApplications[Mois lib (calc)],"&lt;="&amp;$E1053)))))</f>
        <v/>
      </c>
      <c r="Z1053" s="14" t="str">
        <f aca="false">IF($D1053&lt;&gt;1,"",IF($AI1053=1,0,MAX($J1053,ROUNDUP(MAX($X1053/$H1053,$Y1053/$I1053),0))))</f>
        <v/>
      </c>
      <c r="AA1053" s="84" t="str">
        <f aca="false">IF($D1053&lt;&gt;1,"",IF(p_mode="Nœud",$Z1053*$K1053,$X1053*IF($G1053="IKS",p_iks_cpu,p_roks_cpu)+$Y1053*IF($G1053="IKS",p_iks_ram,p_roks_ram))*p_facteur)</f>
        <v/>
      </c>
      <c r="AB1053" s="14" t="str">
        <f aca="false">IF($D1053&lt;&gt;1,"",MAX($J1053,ROUNDUP(MAX($L1053/$H1053,$M1053/$I1053),0)))</f>
        <v/>
      </c>
      <c r="AC1053" s="84" t="str">
        <f aca="false">IF($D1053&lt;&gt;1,"",IF(p_mode="Nœud",$AB1053*$K1053,$L1053*IF($G1053="IKS",p_iks_cpu,p_roks_cpu)+$M1053*IF($G1053="IKS",p_iks_ram,p_roks_ram))*p_facteur)</f>
        <v/>
      </c>
      <c r="AD1053" s="14" t="str">
        <f aca="false">IF($D1053&lt;&gt;1,"",IF(AND($G1053="IKS",$AI1053&lt;&gt;1,OR($L1053-$P1053&lt;$N1053,$M1053-$Q1053&lt;$O1053)),1,0))</f>
        <v/>
      </c>
      <c r="AE1053" s="14" t="str">
        <f aca="false">IF($D1053&lt;&gt;1,"",IF(AND($G1053="ROKS",$T1053&gt;p_maxworkers),1,0))</f>
        <v/>
      </c>
      <c r="AF1053" s="14" t="str">
        <f aca="false">IF($D1053&lt;&gt;1,"",IF(INDEX(TblClusters[Environnement],$B1053)="","(vide)",INDEX(TblClusters[Environnement],$B1053)))</f>
        <v/>
      </c>
      <c r="AG1053" s="14" t="str">
        <f aca="false">IF($D1053&lt;&gt;1,"",$R1053+p_poidsram*$S1053)</f>
        <v/>
      </c>
      <c r="AH1053" s="14" t="str">
        <f aca="false">IF($D1053&lt;&gt;1,"",IFERROR($W1053/$AG1053,0))</f>
        <v/>
      </c>
      <c r="AI1053" s="14" t="str">
        <f aca="false">IF($D1053&lt;&gt;1,"",IF(AND($G1053="IKS",ISNUMBER(INDEX(TblClusters[Fermeture retenue],$B1053))),IF($E1053&gt;=INDEX(TblClusters[Fermeture retenue],$B1053),1,0),0))</f>
        <v/>
      </c>
    </row>
    <row r="1054" customFormat="false" ht="15" hidden="false" customHeight="false" outlineLevel="0" collapsed="false">
      <c r="A1054" s="14" t="n">
        <v>1049</v>
      </c>
      <c r="B1054" s="14" t="n">
        <f aca="false">INT(($A1054-1)/36)+1</f>
        <v>30</v>
      </c>
      <c r="C1054" s="14" t="n">
        <f aca="false">MOD($A1054-1,36)+1</f>
        <v>5</v>
      </c>
      <c r="D1054" s="14" t="n">
        <f aca="false">IF($C1054&gt;p_horizon,0,IFERROR(IF(AND(INDEX(TblClusters[Cluster],$B1054)&lt;&gt;"",ISNUMBER(INDEX(TblClusters[CPU initial (vCPU)],$B1054)),ISNUMBER(INDEX(TblClusters[CPU min (vCPU)],$B1054)),OR(INDEX(TblClusters[Plateforme],$B1054)="IKS",INDEX(TblClusters[Plateforme],$B1054)="ROKS")),1,0),0))</f>
        <v>0</v>
      </c>
      <c r="E1054" s="83" t="str">
        <f aca="false">IF($D1054=1,EDATE(p_debut,$C1054-1),"")</f>
        <v/>
      </c>
      <c r="F1054" s="14" t="str">
        <f aca="false">IF($D1054=1,INDEX(TblClusters[Cluster],$B1054),"")</f>
        <v/>
      </c>
      <c r="G1054" s="14" t="str">
        <f aca="false">IF($D1054=1,INDEX(TblClusters[Plateforme],$B1054),"")</f>
        <v/>
      </c>
      <c r="H1054" s="14" t="str">
        <f aca="false">IF($D1054=1,INDEX(TblClusters[vCPU par nœud],$B1054),"")</f>
        <v/>
      </c>
      <c r="I1054" s="14" t="str">
        <f aca="false">IF($D1054=1,INDEX(TblClusters[RAM par nœud (Go)],$B1054),"")</f>
        <v/>
      </c>
      <c r="J1054" s="14" t="str">
        <f aca="false">IF($D1054=1,INDEX(TblClusters[Workers min],$B1054),"")</f>
        <v/>
      </c>
      <c r="K1054" s="84" t="str">
        <f aca="false">IF($D1054=1,INDEX(TblClusters[Tarif par nœud],$B1054),"")</f>
        <v/>
      </c>
      <c r="L1054" s="14" t="str">
        <f aca="false">IF($D1054=1,INDEX(TblClusters[CPU initial (vCPU)],$B1054),"")</f>
        <v/>
      </c>
      <c r="M1054" s="14" t="str">
        <f aca="false">IF($D1054=1,INDEX(TblClusters[RAM initiale (Go)],$B1054),"")</f>
        <v/>
      </c>
      <c r="N1054" s="14" t="str">
        <f aca="false">IF($D1054=1,INDEX(TblClusters[CPU min (vCPU)],$B1054),"")</f>
        <v/>
      </c>
      <c r="O1054" s="14" t="str">
        <f aca="false">IF($D1054=1,INDEX(TblClusters[RAM min (Go)],$B1054),"")</f>
        <v/>
      </c>
      <c r="P1054" s="14" t="str">
        <f aca="false">IF($D1054&lt;&gt;1,"",IF($G1054="ROKS",SUMIFS(TblApplications[Besoin ROKS CPU (vCPU)],TblApplications[Cluster ROKS cible],$F1054,TblApplications[Action],"À migrer",TblApplications[Déjà incluse ROKS],"Non",TblApplications[Mois prov (calc)],"&lt;="&amp;$E1054),SUMIFS(TblApplications[CPU IKS libérable (vCPU)],TblApplications[Cluster IKS source],$F1054,TblApplications[Mois lib (calc)],"&lt;="&amp;$E1054)))</f>
        <v/>
      </c>
      <c r="Q1054" s="14" t="str">
        <f aca="false">IF($D1054&lt;&gt;1,"",IF($G1054="ROKS",SUMIFS(TblApplications[Besoin ROKS RAM (Go)],TblApplications[Cluster ROKS cible],$F1054,TblApplications[Action],"À migrer",TblApplications[Déjà incluse ROKS],"Non",TblApplications[Mois prov (calc)],"&lt;="&amp;$E1054),SUMIFS(TblApplications[RAM IKS libérable (Go)],TblApplications[Cluster IKS source],$F1054,TblApplications[Mois lib (calc)],"&lt;="&amp;$E1054)))</f>
        <v/>
      </c>
      <c r="R1054" s="14" t="str">
        <f aca="false">IF($D1054&lt;&gt;1,"",IF($G1054="ROKS",$L1054+$P1054,IF($AI1054=1,0,MAX($N1054,$L1054-$P1054))))</f>
        <v/>
      </c>
      <c r="S1054" s="14" t="str">
        <f aca="false">IF($D1054&lt;&gt;1,"",IF($G1054="ROKS",$M1054+$Q1054,IF($AI1054=1,0,MAX($O1054,$M1054-$Q1054))))</f>
        <v/>
      </c>
      <c r="T1054" s="14" t="str">
        <f aca="false">IF($D1054&lt;&gt;1,"",IF($AI1054=1,0,MAX($J1054,ROUNDUP(MAX($R1054/$H1054,$S1054/$I1054),0))))</f>
        <v/>
      </c>
      <c r="U1054" s="14" t="str">
        <f aca="false">IF($D1054&lt;&gt;1,"",IF(p_mode="Nœud",$T1054*$H1054,$R1054))</f>
        <v/>
      </c>
      <c r="V1054" s="14" t="str">
        <f aca="false">IF($D1054&lt;&gt;1,"",IF(p_mode="Nœud",$T1054*$I1054,$S1054))</f>
        <v/>
      </c>
      <c r="W1054" s="84" t="str">
        <f aca="false">IF($D1054&lt;&gt;1,"",IF(p_mode="Nœud",$T1054*$K1054,$R1054*IF($G1054="IKS",p_iks_cpu,p_roks_cpu)+$S1054*IF($G1054="IKS",p_iks_ram,p_roks_ram))*p_facteur)</f>
        <v/>
      </c>
      <c r="X1054" s="14" t="str">
        <f aca="false">IF($D1054&lt;&gt;1,"",IF($G1054="ROKS",$R1054,IF($AI1054=1,0,MAX($N1054,$L1054-SUMIFS(TblApplications[CPU IKS libérable (vCPU)],TblApplications[Cluster IKS source],$F1054,TblApplications[Action],"À migrer",TblApplications[Mois prov (calc)],"&lt;="&amp;$E1054)-SUMIFS(TblApplications[CPU IKS libérable (vCPU)],TblApplications[Cluster IKS source],$F1054,TblApplications[Action],"À décommissionner",TblApplications[Mois lib (calc)],"&lt;="&amp;$E1054)))))</f>
        <v/>
      </c>
      <c r="Y1054" s="14" t="str">
        <f aca="false">IF($D1054&lt;&gt;1,"",IF($G1054="ROKS",$S1054,IF($AI1054=1,0,MAX($O1054,$M1054-SUMIFS(TblApplications[RAM IKS libérable (Go)],TblApplications[Cluster IKS source],$F1054,TblApplications[Action],"À migrer",TblApplications[Mois prov (calc)],"&lt;="&amp;$E1054)-SUMIFS(TblApplications[RAM IKS libérable (Go)],TblApplications[Cluster IKS source],$F1054,TblApplications[Action],"À décommissionner",TblApplications[Mois lib (calc)],"&lt;="&amp;$E1054)))))</f>
        <v/>
      </c>
      <c r="Z1054" s="14" t="str">
        <f aca="false">IF($D1054&lt;&gt;1,"",IF($AI1054=1,0,MAX($J1054,ROUNDUP(MAX($X1054/$H1054,$Y1054/$I1054),0))))</f>
        <v/>
      </c>
      <c r="AA1054" s="84" t="str">
        <f aca="false">IF($D1054&lt;&gt;1,"",IF(p_mode="Nœud",$Z1054*$K1054,$X1054*IF($G1054="IKS",p_iks_cpu,p_roks_cpu)+$Y1054*IF($G1054="IKS",p_iks_ram,p_roks_ram))*p_facteur)</f>
        <v/>
      </c>
      <c r="AB1054" s="14" t="str">
        <f aca="false">IF($D1054&lt;&gt;1,"",MAX($J1054,ROUNDUP(MAX($L1054/$H1054,$M1054/$I1054),0)))</f>
        <v/>
      </c>
      <c r="AC1054" s="84" t="str">
        <f aca="false">IF($D1054&lt;&gt;1,"",IF(p_mode="Nœud",$AB1054*$K1054,$L1054*IF($G1054="IKS",p_iks_cpu,p_roks_cpu)+$M1054*IF($G1054="IKS",p_iks_ram,p_roks_ram))*p_facteur)</f>
        <v/>
      </c>
      <c r="AD1054" s="14" t="str">
        <f aca="false">IF($D1054&lt;&gt;1,"",IF(AND($G1054="IKS",$AI1054&lt;&gt;1,OR($L1054-$P1054&lt;$N1054,$M1054-$Q1054&lt;$O1054)),1,0))</f>
        <v/>
      </c>
      <c r="AE1054" s="14" t="str">
        <f aca="false">IF($D1054&lt;&gt;1,"",IF(AND($G1054="ROKS",$T1054&gt;p_maxworkers),1,0))</f>
        <v/>
      </c>
      <c r="AF1054" s="14" t="str">
        <f aca="false">IF($D1054&lt;&gt;1,"",IF(INDEX(TblClusters[Environnement],$B1054)="","(vide)",INDEX(TblClusters[Environnement],$B1054)))</f>
        <v/>
      </c>
      <c r="AG1054" s="14" t="str">
        <f aca="false">IF($D1054&lt;&gt;1,"",$R1054+p_poidsram*$S1054)</f>
        <v/>
      </c>
      <c r="AH1054" s="14" t="str">
        <f aca="false">IF($D1054&lt;&gt;1,"",IFERROR($W1054/$AG1054,0))</f>
        <v/>
      </c>
      <c r="AI1054" s="14" t="str">
        <f aca="false">IF($D1054&lt;&gt;1,"",IF(AND($G1054="IKS",ISNUMBER(INDEX(TblClusters[Fermeture retenue],$B1054))),IF($E1054&gt;=INDEX(TblClusters[Fermeture retenue],$B1054),1,0),0))</f>
        <v/>
      </c>
    </row>
    <row r="1055" customFormat="false" ht="15" hidden="false" customHeight="false" outlineLevel="0" collapsed="false">
      <c r="A1055" s="14" t="n">
        <v>1050</v>
      </c>
      <c r="B1055" s="14" t="n">
        <f aca="false">INT(($A1055-1)/36)+1</f>
        <v>30</v>
      </c>
      <c r="C1055" s="14" t="n">
        <f aca="false">MOD($A1055-1,36)+1</f>
        <v>6</v>
      </c>
      <c r="D1055" s="14" t="n">
        <f aca="false">IF($C1055&gt;p_horizon,0,IFERROR(IF(AND(INDEX(TblClusters[Cluster],$B1055)&lt;&gt;"",ISNUMBER(INDEX(TblClusters[CPU initial (vCPU)],$B1055)),ISNUMBER(INDEX(TblClusters[CPU min (vCPU)],$B1055)),OR(INDEX(TblClusters[Plateforme],$B1055)="IKS",INDEX(TblClusters[Plateforme],$B1055)="ROKS")),1,0),0))</f>
        <v>0</v>
      </c>
      <c r="E1055" s="83" t="str">
        <f aca="false">IF($D1055=1,EDATE(p_debut,$C1055-1),"")</f>
        <v/>
      </c>
      <c r="F1055" s="14" t="str">
        <f aca="false">IF($D1055=1,INDEX(TblClusters[Cluster],$B1055),"")</f>
        <v/>
      </c>
      <c r="G1055" s="14" t="str">
        <f aca="false">IF($D1055=1,INDEX(TblClusters[Plateforme],$B1055),"")</f>
        <v/>
      </c>
      <c r="H1055" s="14" t="str">
        <f aca="false">IF($D1055=1,INDEX(TblClusters[vCPU par nœud],$B1055),"")</f>
        <v/>
      </c>
      <c r="I1055" s="14" t="str">
        <f aca="false">IF($D1055=1,INDEX(TblClusters[RAM par nœud (Go)],$B1055),"")</f>
        <v/>
      </c>
      <c r="J1055" s="14" t="str">
        <f aca="false">IF($D1055=1,INDEX(TblClusters[Workers min],$B1055),"")</f>
        <v/>
      </c>
      <c r="K1055" s="84" t="str">
        <f aca="false">IF($D1055=1,INDEX(TblClusters[Tarif par nœud],$B1055),"")</f>
        <v/>
      </c>
      <c r="L1055" s="14" t="str">
        <f aca="false">IF($D1055=1,INDEX(TblClusters[CPU initial (vCPU)],$B1055),"")</f>
        <v/>
      </c>
      <c r="M1055" s="14" t="str">
        <f aca="false">IF($D1055=1,INDEX(TblClusters[RAM initiale (Go)],$B1055),"")</f>
        <v/>
      </c>
      <c r="N1055" s="14" t="str">
        <f aca="false">IF($D1055=1,INDEX(TblClusters[CPU min (vCPU)],$B1055),"")</f>
        <v/>
      </c>
      <c r="O1055" s="14" t="str">
        <f aca="false">IF($D1055=1,INDEX(TblClusters[RAM min (Go)],$B1055),"")</f>
        <v/>
      </c>
      <c r="P1055" s="14" t="str">
        <f aca="false">IF($D1055&lt;&gt;1,"",IF($G1055="ROKS",SUMIFS(TblApplications[Besoin ROKS CPU (vCPU)],TblApplications[Cluster ROKS cible],$F1055,TblApplications[Action],"À migrer",TblApplications[Déjà incluse ROKS],"Non",TblApplications[Mois prov (calc)],"&lt;="&amp;$E1055),SUMIFS(TblApplications[CPU IKS libérable (vCPU)],TblApplications[Cluster IKS source],$F1055,TblApplications[Mois lib (calc)],"&lt;="&amp;$E1055)))</f>
        <v/>
      </c>
      <c r="Q1055" s="14" t="str">
        <f aca="false">IF($D1055&lt;&gt;1,"",IF($G1055="ROKS",SUMIFS(TblApplications[Besoin ROKS RAM (Go)],TblApplications[Cluster ROKS cible],$F1055,TblApplications[Action],"À migrer",TblApplications[Déjà incluse ROKS],"Non",TblApplications[Mois prov (calc)],"&lt;="&amp;$E1055),SUMIFS(TblApplications[RAM IKS libérable (Go)],TblApplications[Cluster IKS source],$F1055,TblApplications[Mois lib (calc)],"&lt;="&amp;$E1055)))</f>
        <v/>
      </c>
      <c r="R1055" s="14" t="str">
        <f aca="false">IF($D1055&lt;&gt;1,"",IF($G1055="ROKS",$L1055+$P1055,IF($AI1055=1,0,MAX($N1055,$L1055-$P1055))))</f>
        <v/>
      </c>
      <c r="S1055" s="14" t="str">
        <f aca="false">IF($D1055&lt;&gt;1,"",IF($G1055="ROKS",$M1055+$Q1055,IF($AI1055=1,0,MAX($O1055,$M1055-$Q1055))))</f>
        <v/>
      </c>
      <c r="T1055" s="14" t="str">
        <f aca="false">IF($D1055&lt;&gt;1,"",IF($AI1055=1,0,MAX($J1055,ROUNDUP(MAX($R1055/$H1055,$S1055/$I1055),0))))</f>
        <v/>
      </c>
      <c r="U1055" s="14" t="str">
        <f aca="false">IF($D1055&lt;&gt;1,"",IF(p_mode="Nœud",$T1055*$H1055,$R1055))</f>
        <v/>
      </c>
      <c r="V1055" s="14" t="str">
        <f aca="false">IF($D1055&lt;&gt;1,"",IF(p_mode="Nœud",$T1055*$I1055,$S1055))</f>
        <v/>
      </c>
      <c r="W1055" s="84" t="str">
        <f aca="false">IF($D1055&lt;&gt;1,"",IF(p_mode="Nœud",$T1055*$K1055,$R1055*IF($G1055="IKS",p_iks_cpu,p_roks_cpu)+$S1055*IF($G1055="IKS",p_iks_ram,p_roks_ram))*p_facteur)</f>
        <v/>
      </c>
      <c r="X1055" s="14" t="str">
        <f aca="false">IF($D1055&lt;&gt;1,"",IF($G1055="ROKS",$R1055,IF($AI1055=1,0,MAX($N1055,$L1055-SUMIFS(TblApplications[CPU IKS libérable (vCPU)],TblApplications[Cluster IKS source],$F1055,TblApplications[Action],"À migrer",TblApplications[Mois prov (calc)],"&lt;="&amp;$E1055)-SUMIFS(TblApplications[CPU IKS libérable (vCPU)],TblApplications[Cluster IKS source],$F1055,TblApplications[Action],"À décommissionner",TblApplications[Mois lib (calc)],"&lt;="&amp;$E1055)))))</f>
        <v/>
      </c>
      <c r="Y1055" s="14" t="str">
        <f aca="false">IF($D1055&lt;&gt;1,"",IF($G1055="ROKS",$S1055,IF($AI1055=1,0,MAX($O1055,$M1055-SUMIFS(TblApplications[RAM IKS libérable (Go)],TblApplications[Cluster IKS source],$F1055,TblApplications[Action],"À migrer",TblApplications[Mois prov (calc)],"&lt;="&amp;$E1055)-SUMIFS(TblApplications[RAM IKS libérable (Go)],TblApplications[Cluster IKS source],$F1055,TblApplications[Action],"À décommissionner",TblApplications[Mois lib (calc)],"&lt;="&amp;$E1055)))))</f>
        <v/>
      </c>
      <c r="Z1055" s="14" t="str">
        <f aca="false">IF($D1055&lt;&gt;1,"",IF($AI1055=1,0,MAX($J1055,ROUNDUP(MAX($X1055/$H1055,$Y1055/$I1055),0))))</f>
        <v/>
      </c>
      <c r="AA1055" s="84" t="str">
        <f aca="false">IF($D1055&lt;&gt;1,"",IF(p_mode="Nœud",$Z1055*$K1055,$X1055*IF($G1055="IKS",p_iks_cpu,p_roks_cpu)+$Y1055*IF($G1055="IKS",p_iks_ram,p_roks_ram))*p_facteur)</f>
        <v/>
      </c>
      <c r="AB1055" s="14" t="str">
        <f aca="false">IF($D1055&lt;&gt;1,"",MAX($J1055,ROUNDUP(MAX($L1055/$H1055,$M1055/$I1055),0)))</f>
        <v/>
      </c>
      <c r="AC1055" s="84" t="str">
        <f aca="false">IF($D1055&lt;&gt;1,"",IF(p_mode="Nœud",$AB1055*$K1055,$L1055*IF($G1055="IKS",p_iks_cpu,p_roks_cpu)+$M1055*IF($G1055="IKS",p_iks_ram,p_roks_ram))*p_facteur)</f>
        <v/>
      </c>
      <c r="AD1055" s="14" t="str">
        <f aca="false">IF($D1055&lt;&gt;1,"",IF(AND($G1055="IKS",$AI1055&lt;&gt;1,OR($L1055-$P1055&lt;$N1055,$M1055-$Q1055&lt;$O1055)),1,0))</f>
        <v/>
      </c>
      <c r="AE1055" s="14" t="str">
        <f aca="false">IF($D1055&lt;&gt;1,"",IF(AND($G1055="ROKS",$T1055&gt;p_maxworkers),1,0))</f>
        <v/>
      </c>
      <c r="AF1055" s="14" t="str">
        <f aca="false">IF($D1055&lt;&gt;1,"",IF(INDEX(TblClusters[Environnement],$B1055)="","(vide)",INDEX(TblClusters[Environnement],$B1055)))</f>
        <v/>
      </c>
      <c r="AG1055" s="14" t="str">
        <f aca="false">IF($D1055&lt;&gt;1,"",$R1055+p_poidsram*$S1055)</f>
        <v/>
      </c>
      <c r="AH1055" s="14" t="str">
        <f aca="false">IF($D1055&lt;&gt;1,"",IFERROR($W1055/$AG1055,0))</f>
        <v/>
      </c>
      <c r="AI1055" s="14" t="str">
        <f aca="false">IF($D1055&lt;&gt;1,"",IF(AND($G1055="IKS",ISNUMBER(INDEX(TblClusters[Fermeture retenue],$B1055))),IF($E1055&gt;=INDEX(TblClusters[Fermeture retenue],$B1055),1,0),0))</f>
        <v/>
      </c>
    </row>
    <row r="1056" customFormat="false" ht="15" hidden="false" customHeight="false" outlineLevel="0" collapsed="false">
      <c r="A1056" s="14" t="n">
        <v>1051</v>
      </c>
      <c r="B1056" s="14" t="n">
        <f aca="false">INT(($A1056-1)/36)+1</f>
        <v>30</v>
      </c>
      <c r="C1056" s="14" t="n">
        <f aca="false">MOD($A1056-1,36)+1</f>
        <v>7</v>
      </c>
      <c r="D1056" s="14" t="n">
        <f aca="false">IF($C1056&gt;p_horizon,0,IFERROR(IF(AND(INDEX(TblClusters[Cluster],$B1056)&lt;&gt;"",ISNUMBER(INDEX(TblClusters[CPU initial (vCPU)],$B1056)),ISNUMBER(INDEX(TblClusters[CPU min (vCPU)],$B1056)),OR(INDEX(TblClusters[Plateforme],$B1056)="IKS",INDEX(TblClusters[Plateforme],$B1056)="ROKS")),1,0),0))</f>
        <v>0</v>
      </c>
      <c r="E1056" s="83" t="str">
        <f aca="false">IF($D1056=1,EDATE(p_debut,$C1056-1),"")</f>
        <v/>
      </c>
      <c r="F1056" s="14" t="str">
        <f aca="false">IF($D1056=1,INDEX(TblClusters[Cluster],$B1056),"")</f>
        <v/>
      </c>
      <c r="G1056" s="14" t="str">
        <f aca="false">IF($D1056=1,INDEX(TblClusters[Plateforme],$B1056),"")</f>
        <v/>
      </c>
      <c r="H1056" s="14" t="str">
        <f aca="false">IF($D1056=1,INDEX(TblClusters[vCPU par nœud],$B1056),"")</f>
        <v/>
      </c>
      <c r="I1056" s="14" t="str">
        <f aca="false">IF($D1056=1,INDEX(TblClusters[RAM par nœud (Go)],$B1056),"")</f>
        <v/>
      </c>
      <c r="J1056" s="14" t="str">
        <f aca="false">IF($D1056=1,INDEX(TblClusters[Workers min],$B1056),"")</f>
        <v/>
      </c>
      <c r="K1056" s="84" t="str">
        <f aca="false">IF($D1056=1,INDEX(TblClusters[Tarif par nœud],$B1056),"")</f>
        <v/>
      </c>
      <c r="L1056" s="14" t="str">
        <f aca="false">IF($D1056=1,INDEX(TblClusters[CPU initial (vCPU)],$B1056),"")</f>
        <v/>
      </c>
      <c r="M1056" s="14" t="str">
        <f aca="false">IF($D1056=1,INDEX(TblClusters[RAM initiale (Go)],$B1056),"")</f>
        <v/>
      </c>
      <c r="N1056" s="14" t="str">
        <f aca="false">IF($D1056=1,INDEX(TblClusters[CPU min (vCPU)],$B1056),"")</f>
        <v/>
      </c>
      <c r="O1056" s="14" t="str">
        <f aca="false">IF($D1056=1,INDEX(TblClusters[RAM min (Go)],$B1056),"")</f>
        <v/>
      </c>
      <c r="P1056" s="14" t="str">
        <f aca="false">IF($D1056&lt;&gt;1,"",IF($G1056="ROKS",SUMIFS(TblApplications[Besoin ROKS CPU (vCPU)],TblApplications[Cluster ROKS cible],$F1056,TblApplications[Action],"À migrer",TblApplications[Déjà incluse ROKS],"Non",TblApplications[Mois prov (calc)],"&lt;="&amp;$E1056),SUMIFS(TblApplications[CPU IKS libérable (vCPU)],TblApplications[Cluster IKS source],$F1056,TblApplications[Mois lib (calc)],"&lt;="&amp;$E1056)))</f>
        <v/>
      </c>
      <c r="Q1056" s="14" t="str">
        <f aca="false">IF($D1056&lt;&gt;1,"",IF($G1056="ROKS",SUMIFS(TblApplications[Besoin ROKS RAM (Go)],TblApplications[Cluster ROKS cible],$F1056,TblApplications[Action],"À migrer",TblApplications[Déjà incluse ROKS],"Non",TblApplications[Mois prov (calc)],"&lt;="&amp;$E1056),SUMIFS(TblApplications[RAM IKS libérable (Go)],TblApplications[Cluster IKS source],$F1056,TblApplications[Mois lib (calc)],"&lt;="&amp;$E1056)))</f>
        <v/>
      </c>
      <c r="R1056" s="14" t="str">
        <f aca="false">IF($D1056&lt;&gt;1,"",IF($G1056="ROKS",$L1056+$P1056,IF($AI1056=1,0,MAX($N1056,$L1056-$P1056))))</f>
        <v/>
      </c>
      <c r="S1056" s="14" t="str">
        <f aca="false">IF($D1056&lt;&gt;1,"",IF($G1056="ROKS",$M1056+$Q1056,IF($AI1056=1,0,MAX($O1056,$M1056-$Q1056))))</f>
        <v/>
      </c>
      <c r="T1056" s="14" t="str">
        <f aca="false">IF($D1056&lt;&gt;1,"",IF($AI1056=1,0,MAX($J1056,ROUNDUP(MAX($R1056/$H1056,$S1056/$I1056),0))))</f>
        <v/>
      </c>
      <c r="U1056" s="14" t="str">
        <f aca="false">IF($D1056&lt;&gt;1,"",IF(p_mode="Nœud",$T1056*$H1056,$R1056))</f>
        <v/>
      </c>
      <c r="V1056" s="14" t="str">
        <f aca="false">IF($D1056&lt;&gt;1,"",IF(p_mode="Nœud",$T1056*$I1056,$S1056))</f>
        <v/>
      </c>
      <c r="W1056" s="84" t="str">
        <f aca="false">IF($D1056&lt;&gt;1,"",IF(p_mode="Nœud",$T1056*$K1056,$R1056*IF($G1056="IKS",p_iks_cpu,p_roks_cpu)+$S1056*IF($G1056="IKS",p_iks_ram,p_roks_ram))*p_facteur)</f>
        <v/>
      </c>
      <c r="X1056" s="14" t="str">
        <f aca="false">IF($D1056&lt;&gt;1,"",IF($G1056="ROKS",$R1056,IF($AI1056=1,0,MAX($N1056,$L1056-SUMIFS(TblApplications[CPU IKS libérable (vCPU)],TblApplications[Cluster IKS source],$F1056,TblApplications[Action],"À migrer",TblApplications[Mois prov (calc)],"&lt;="&amp;$E1056)-SUMIFS(TblApplications[CPU IKS libérable (vCPU)],TblApplications[Cluster IKS source],$F1056,TblApplications[Action],"À décommissionner",TblApplications[Mois lib (calc)],"&lt;="&amp;$E1056)))))</f>
        <v/>
      </c>
      <c r="Y1056" s="14" t="str">
        <f aca="false">IF($D1056&lt;&gt;1,"",IF($G1056="ROKS",$S1056,IF($AI1056=1,0,MAX($O1056,$M1056-SUMIFS(TblApplications[RAM IKS libérable (Go)],TblApplications[Cluster IKS source],$F1056,TblApplications[Action],"À migrer",TblApplications[Mois prov (calc)],"&lt;="&amp;$E1056)-SUMIFS(TblApplications[RAM IKS libérable (Go)],TblApplications[Cluster IKS source],$F1056,TblApplications[Action],"À décommissionner",TblApplications[Mois lib (calc)],"&lt;="&amp;$E1056)))))</f>
        <v/>
      </c>
      <c r="Z1056" s="14" t="str">
        <f aca="false">IF($D1056&lt;&gt;1,"",IF($AI1056=1,0,MAX($J1056,ROUNDUP(MAX($X1056/$H1056,$Y1056/$I1056),0))))</f>
        <v/>
      </c>
      <c r="AA1056" s="84" t="str">
        <f aca="false">IF($D1056&lt;&gt;1,"",IF(p_mode="Nœud",$Z1056*$K1056,$X1056*IF($G1056="IKS",p_iks_cpu,p_roks_cpu)+$Y1056*IF($G1056="IKS",p_iks_ram,p_roks_ram))*p_facteur)</f>
        <v/>
      </c>
      <c r="AB1056" s="14" t="str">
        <f aca="false">IF($D1056&lt;&gt;1,"",MAX($J1056,ROUNDUP(MAX($L1056/$H1056,$M1056/$I1056),0)))</f>
        <v/>
      </c>
      <c r="AC1056" s="84" t="str">
        <f aca="false">IF($D1056&lt;&gt;1,"",IF(p_mode="Nœud",$AB1056*$K1056,$L1056*IF($G1056="IKS",p_iks_cpu,p_roks_cpu)+$M1056*IF($G1056="IKS",p_iks_ram,p_roks_ram))*p_facteur)</f>
        <v/>
      </c>
      <c r="AD1056" s="14" t="str">
        <f aca="false">IF($D1056&lt;&gt;1,"",IF(AND($G1056="IKS",$AI1056&lt;&gt;1,OR($L1056-$P1056&lt;$N1056,$M1056-$Q1056&lt;$O1056)),1,0))</f>
        <v/>
      </c>
      <c r="AE1056" s="14" t="str">
        <f aca="false">IF($D1056&lt;&gt;1,"",IF(AND($G1056="ROKS",$T1056&gt;p_maxworkers),1,0))</f>
        <v/>
      </c>
      <c r="AF1056" s="14" t="str">
        <f aca="false">IF($D1056&lt;&gt;1,"",IF(INDEX(TblClusters[Environnement],$B1056)="","(vide)",INDEX(TblClusters[Environnement],$B1056)))</f>
        <v/>
      </c>
      <c r="AG1056" s="14" t="str">
        <f aca="false">IF($D1056&lt;&gt;1,"",$R1056+p_poidsram*$S1056)</f>
        <v/>
      </c>
      <c r="AH1056" s="14" t="str">
        <f aca="false">IF($D1056&lt;&gt;1,"",IFERROR($W1056/$AG1056,0))</f>
        <v/>
      </c>
      <c r="AI1056" s="14" t="str">
        <f aca="false">IF($D1056&lt;&gt;1,"",IF(AND($G1056="IKS",ISNUMBER(INDEX(TblClusters[Fermeture retenue],$B1056))),IF($E1056&gt;=INDEX(TblClusters[Fermeture retenue],$B1056),1,0),0))</f>
        <v/>
      </c>
    </row>
    <row r="1057" customFormat="false" ht="15" hidden="false" customHeight="false" outlineLevel="0" collapsed="false">
      <c r="A1057" s="14" t="n">
        <v>1052</v>
      </c>
      <c r="B1057" s="14" t="n">
        <f aca="false">INT(($A1057-1)/36)+1</f>
        <v>30</v>
      </c>
      <c r="C1057" s="14" t="n">
        <f aca="false">MOD($A1057-1,36)+1</f>
        <v>8</v>
      </c>
      <c r="D1057" s="14" t="n">
        <f aca="false">IF($C1057&gt;p_horizon,0,IFERROR(IF(AND(INDEX(TblClusters[Cluster],$B1057)&lt;&gt;"",ISNUMBER(INDEX(TblClusters[CPU initial (vCPU)],$B1057)),ISNUMBER(INDEX(TblClusters[CPU min (vCPU)],$B1057)),OR(INDEX(TblClusters[Plateforme],$B1057)="IKS",INDEX(TblClusters[Plateforme],$B1057)="ROKS")),1,0),0))</f>
        <v>0</v>
      </c>
      <c r="E1057" s="83" t="str">
        <f aca="false">IF($D1057=1,EDATE(p_debut,$C1057-1),"")</f>
        <v/>
      </c>
      <c r="F1057" s="14" t="str">
        <f aca="false">IF($D1057=1,INDEX(TblClusters[Cluster],$B1057),"")</f>
        <v/>
      </c>
      <c r="G1057" s="14" t="str">
        <f aca="false">IF($D1057=1,INDEX(TblClusters[Plateforme],$B1057),"")</f>
        <v/>
      </c>
      <c r="H1057" s="14" t="str">
        <f aca="false">IF($D1057=1,INDEX(TblClusters[vCPU par nœud],$B1057),"")</f>
        <v/>
      </c>
      <c r="I1057" s="14" t="str">
        <f aca="false">IF($D1057=1,INDEX(TblClusters[RAM par nœud (Go)],$B1057),"")</f>
        <v/>
      </c>
      <c r="J1057" s="14" t="str">
        <f aca="false">IF($D1057=1,INDEX(TblClusters[Workers min],$B1057),"")</f>
        <v/>
      </c>
      <c r="K1057" s="84" t="str">
        <f aca="false">IF($D1057=1,INDEX(TblClusters[Tarif par nœud],$B1057),"")</f>
        <v/>
      </c>
      <c r="L1057" s="14" t="str">
        <f aca="false">IF($D1057=1,INDEX(TblClusters[CPU initial (vCPU)],$B1057),"")</f>
        <v/>
      </c>
      <c r="M1057" s="14" t="str">
        <f aca="false">IF($D1057=1,INDEX(TblClusters[RAM initiale (Go)],$B1057),"")</f>
        <v/>
      </c>
      <c r="N1057" s="14" t="str">
        <f aca="false">IF($D1057=1,INDEX(TblClusters[CPU min (vCPU)],$B1057),"")</f>
        <v/>
      </c>
      <c r="O1057" s="14" t="str">
        <f aca="false">IF($D1057=1,INDEX(TblClusters[RAM min (Go)],$B1057),"")</f>
        <v/>
      </c>
      <c r="P1057" s="14" t="str">
        <f aca="false">IF($D1057&lt;&gt;1,"",IF($G1057="ROKS",SUMIFS(TblApplications[Besoin ROKS CPU (vCPU)],TblApplications[Cluster ROKS cible],$F1057,TblApplications[Action],"À migrer",TblApplications[Déjà incluse ROKS],"Non",TblApplications[Mois prov (calc)],"&lt;="&amp;$E1057),SUMIFS(TblApplications[CPU IKS libérable (vCPU)],TblApplications[Cluster IKS source],$F1057,TblApplications[Mois lib (calc)],"&lt;="&amp;$E1057)))</f>
        <v/>
      </c>
      <c r="Q1057" s="14" t="str">
        <f aca="false">IF($D1057&lt;&gt;1,"",IF($G1057="ROKS",SUMIFS(TblApplications[Besoin ROKS RAM (Go)],TblApplications[Cluster ROKS cible],$F1057,TblApplications[Action],"À migrer",TblApplications[Déjà incluse ROKS],"Non",TblApplications[Mois prov (calc)],"&lt;="&amp;$E1057),SUMIFS(TblApplications[RAM IKS libérable (Go)],TblApplications[Cluster IKS source],$F1057,TblApplications[Mois lib (calc)],"&lt;="&amp;$E1057)))</f>
        <v/>
      </c>
      <c r="R1057" s="14" t="str">
        <f aca="false">IF($D1057&lt;&gt;1,"",IF($G1057="ROKS",$L1057+$P1057,IF($AI1057=1,0,MAX($N1057,$L1057-$P1057))))</f>
        <v/>
      </c>
      <c r="S1057" s="14" t="str">
        <f aca="false">IF($D1057&lt;&gt;1,"",IF($G1057="ROKS",$M1057+$Q1057,IF($AI1057=1,0,MAX($O1057,$M1057-$Q1057))))</f>
        <v/>
      </c>
      <c r="T1057" s="14" t="str">
        <f aca="false">IF($D1057&lt;&gt;1,"",IF($AI1057=1,0,MAX($J1057,ROUNDUP(MAX($R1057/$H1057,$S1057/$I1057),0))))</f>
        <v/>
      </c>
      <c r="U1057" s="14" t="str">
        <f aca="false">IF($D1057&lt;&gt;1,"",IF(p_mode="Nœud",$T1057*$H1057,$R1057))</f>
        <v/>
      </c>
      <c r="V1057" s="14" t="str">
        <f aca="false">IF($D1057&lt;&gt;1,"",IF(p_mode="Nœud",$T1057*$I1057,$S1057))</f>
        <v/>
      </c>
      <c r="W1057" s="84" t="str">
        <f aca="false">IF($D1057&lt;&gt;1,"",IF(p_mode="Nœud",$T1057*$K1057,$R1057*IF($G1057="IKS",p_iks_cpu,p_roks_cpu)+$S1057*IF($G1057="IKS",p_iks_ram,p_roks_ram))*p_facteur)</f>
        <v/>
      </c>
      <c r="X1057" s="14" t="str">
        <f aca="false">IF($D1057&lt;&gt;1,"",IF($G1057="ROKS",$R1057,IF($AI1057=1,0,MAX($N1057,$L1057-SUMIFS(TblApplications[CPU IKS libérable (vCPU)],TblApplications[Cluster IKS source],$F1057,TblApplications[Action],"À migrer",TblApplications[Mois prov (calc)],"&lt;="&amp;$E1057)-SUMIFS(TblApplications[CPU IKS libérable (vCPU)],TblApplications[Cluster IKS source],$F1057,TblApplications[Action],"À décommissionner",TblApplications[Mois lib (calc)],"&lt;="&amp;$E1057)))))</f>
        <v/>
      </c>
      <c r="Y1057" s="14" t="str">
        <f aca="false">IF($D1057&lt;&gt;1,"",IF($G1057="ROKS",$S1057,IF($AI1057=1,0,MAX($O1057,$M1057-SUMIFS(TblApplications[RAM IKS libérable (Go)],TblApplications[Cluster IKS source],$F1057,TblApplications[Action],"À migrer",TblApplications[Mois prov (calc)],"&lt;="&amp;$E1057)-SUMIFS(TblApplications[RAM IKS libérable (Go)],TblApplications[Cluster IKS source],$F1057,TblApplications[Action],"À décommissionner",TblApplications[Mois lib (calc)],"&lt;="&amp;$E1057)))))</f>
        <v/>
      </c>
      <c r="Z1057" s="14" t="str">
        <f aca="false">IF($D1057&lt;&gt;1,"",IF($AI1057=1,0,MAX($J1057,ROUNDUP(MAX($X1057/$H1057,$Y1057/$I1057),0))))</f>
        <v/>
      </c>
      <c r="AA1057" s="84" t="str">
        <f aca="false">IF($D1057&lt;&gt;1,"",IF(p_mode="Nœud",$Z1057*$K1057,$X1057*IF($G1057="IKS",p_iks_cpu,p_roks_cpu)+$Y1057*IF($G1057="IKS",p_iks_ram,p_roks_ram))*p_facteur)</f>
        <v/>
      </c>
      <c r="AB1057" s="14" t="str">
        <f aca="false">IF($D1057&lt;&gt;1,"",MAX($J1057,ROUNDUP(MAX($L1057/$H1057,$M1057/$I1057),0)))</f>
        <v/>
      </c>
      <c r="AC1057" s="84" t="str">
        <f aca="false">IF($D1057&lt;&gt;1,"",IF(p_mode="Nœud",$AB1057*$K1057,$L1057*IF($G1057="IKS",p_iks_cpu,p_roks_cpu)+$M1057*IF($G1057="IKS",p_iks_ram,p_roks_ram))*p_facteur)</f>
        <v/>
      </c>
      <c r="AD1057" s="14" t="str">
        <f aca="false">IF($D1057&lt;&gt;1,"",IF(AND($G1057="IKS",$AI1057&lt;&gt;1,OR($L1057-$P1057&lt;$N1057,$M1057-$Q1057&lt;$O1057)),1,0))</f>
        <v/>
      </c>
      <c r="AE1057" s="14" t="str">
        <f aca="false">IF($D1057&lt;&gt;1,"",IF(AND($G1057="ROKS",$T1057&gt;p_maxworkers),1,0))</f>
        <v/>
      </c>
      <c r="AF1057" s="14" t="str">
        <f aca="false">IF($D1057&lt;&gt;1,"",IF(INDEX(TblClusters[Environnement],$B1057)="","(vide)",INDEX(TblClusters[Environnement],$B1057)))</f>
        <v/>
      </c>
      <c r="AG1057" s="14" t="str">
        <f aca="false">IF($D1057&lt;&gt;1,"",$R1057+p_poidsram*$S1057)</f>
        <v/>
      </c>
      <c r="AH1057" s="14" t="str">
        <f aca="false">IF($D1057&lt;&gt;1,"",IFERROR($W1057/$AG1057,0))</f>
        <v/>
      </c>
      <c r="AI1057" s="14" t="str">
        <f aca="false">IF($D1057&lt;&gt;1,"",IF(AND($G1057="IKS",ISNUMBER(INDEX(TblClusters[Fermeture retenue],$B1057))),IF($E1057&gt;=INDEX(TblClusters[Fermeture retenue],$B1057),1,0),0))</f>
        <v/>
      </c>
    </row>
    <row r="1058" customFormat="false" ht="15" hidden="false" customHeight="false" outlineLevel="0" collapsed="false">
      <c r="A1058" s="14" t="n">
        <v>1053</v>
      </c>
      <c r="B1058" s="14" t="n">
        <f aca="false">INT(($A1058-1)/36)+1</f>
        <v>30</v>
      </c>
      <c r="C1058" s="14" t="n">
        <f aca="false">MOD($A1058-1,36)+1</f>
        <v>9</v>
      </c>
      <c r="D1058" s="14" t="n">
        <f aca="false">IF($C1058&gt;p_horizon,0,IFERROR(IF(AND(INDEX(TblClusters[Cluster],$B1058)&lt;&gt;"",ISNUMBER(INDEX(TblClusters[CPU initial (vCPU)],$B1058)),ISNUMBER(INDEX(TblClusters[CPU min (vCPU)],$B1058)),OR(INDEX(TblClusters[Plateforme],$B1058)="IKS",INDEX(TblClusters[Plateforme],$B1058)="ROKS")),1,0),0))</f>
        <v>0</v>
      </c>
      <c r="E1058" s="83" t="str">
        <f aca="false">IF($D1058=1,EDATE(p_debut,$C1058-1),"")</f>
        <v/>
      </c>
      <c r="F1058" s="14" t="str">
        <f aca="false">IF($D1058=1,INDEX(TblClusters[Cluster],$B1058),"")</f>
        <v/>
      </c>
      <c r="G1058" s="14" t="str">
        <f aca="false">IF($D1058=1,INDEX(TblClusters[Plateforme],$B1058),"")</f>
        <v/>
      </c>
      <c r="H1058" s="14" t="str">
        <f aca="false">IF($D1058=1,INDEX(TblClusters[vCPU par nœud],$B1058),"")</f>
        <v/>
      </c>
      <c r="I1058" s="14" t="str">
        <f aca="false">IF($D1058=1,INDEX(TblClusters[RAM par nœud (Go)],$B1058),"")</f>
        <v/>
      </c>
      <c r="J1058" s="14" t="str">
        <f aca="false">IF($D1058=1,INDEX(TblClusters[Workers min],$B1058),"")</f>
        <v/>
      </c>
      <c r="K1058" s="84" t="str">
        <f aca="false">IF($D1058=1,INDEX(TblClusters[Tarif par nœud],$B1058),"")</f>
        <v/>
      </c>
      <c r="L1058" s="14" t="str">
        <f aca="false">IF($D1058=1,INDEX(TblClusters[CPU initial (vCPU)],$B1058),"")</f>
        <v/>
      </c>
      <c r="M1058" s="14" t="str">
        <f aca="false">IF($D1058=1,INDEX(TblClusters[RAM initiale (Go)],$B1058),"")</f>
        <v/>
      </c>
      <c r="N1058" s="14" t="str">
        <f aca="false">IF($D1058=1,INDEX(TblClusters[CPU min (vCPU)],$B1058),"")</f>
        <v/>
      </c>
      <c r="O1058" s="14" t="str">
        <f aca="false">IF($D1058=1,INDEX(TblClusters[RAM min (Go)],$B1058),"")</f>
        <v/>
      </c>
      <c r="P1058" s="14" t="str">
        <f aca="false">IF($D1058&lt;&gt;1,"",IF($G1058="ROKS",SUMIFS(TblApplications[Besoin ROKS CPU (vCPU)],TblApplications[Cluster ROKS cible],$F1058,TblApplications[Action],"À migrer",TblApplications[Déjà incluse ROKS],"Non",TblApplications[Mois prov (calc)],"&lt;="&amp;$E1058),SUMIFS(TblApplications[CPU IKS libérable (vCPU)],TblApplications[Cluster IKS source],$F1058,TblApplications[Mois lib (calc)],"&lt;="&amp;$E1058)))</f>
        <v/>
      </c>
      <c r="Q1058" s="14" t="str">
        <f aca="false">IF($D1058&lt;&gt;1,"",IF($G1058="ROKS",SUMIFS(TblApplications[Besoin ROKS RAM (Go)],TblApplications[Cluster ROKS cible],$F1058,TblApplications[Action],"À migrer",TblApplications[Déjà incluse ROKS],"Non",TblApplications[Mois prov (calc)],"&lt;="&amp;$E1058),SUMIFS(TblApplications[RAM IKS libérable (Go)],TblApplications[Cluster IKS source],$F1058,TblApplications[Mois lib (calc)],"&lt;="&amp;$E1058)))</f>
        <v/>
      </c>
      <c r="R1058" s="14" t="str">
        <f aca="false">IF($D1058&lt;&gt;1,"",IF($G1058="ROKS",$L1058+$P1058,IF($AI1058=1,0,MAX($N1058,$L1058-$P1058))))</f>
        <v/>
      </c>
      <c r="S1058" s="14" t="str">
        <f aca="false">IF($D1058&lt;&gt;1,"",IF($G1058="ROKS",$M1058+$Q1058,IF($AI1058=1,0,MAX($O1058,$M1058-$Q1058))))</f>
        <v/>
      </c>
      <c r="T1058" s="14" t="str">
        <f aca="false">IF($D1058&lt;&gt;1,"",IF($AI1058=1,0,MAX($J1058,ROUNDUP(MAX($R1058/$H1058,$S1058/$I1058),0))))</f>
        <v/>
      </c>
      <c r="U1058" s="14" t="str">
        <f aca="false">IF($D1058&lt;&gt;1,"",IF(p_mode="Nœud",$T1058*$H1058,$R1058))</f>
        <v/>
      </c>
      <c r="V1058" s="14" t="str">
        <f aca="false">IF($D1058&lt;&gt;1,"",IF(p_mode="Nœud",$T1058*$I1058,$S1058))</f>
        <v/>
      </c>
      <c r="W1058" s="84" t="str">
        <f aca="false">IF($D1058&lt;&gt;1,"",IF(p_mode="Nœud",$T1058*$K1058,$R1058*IF($G1058="IKS",p_iks_cpu,p_roks_cpu)+$S1058*IF($G1058="IKS",p_iks_ram,p_roks_ram))*p_facteur)</f>
        <v/>
      </c>
      <c r="X1058" s="14" t="str">
        <f aca="false">IF($D1058&lt;&gt;1,"",IF($G1058="ROKS",$R1058,IF($AI1058=1,0,MAX($N1058,$L1058-SUMIFS(TblApplications[CPU IKS libérable (vCPU)],TblApplications[Cluster IKS source],$F1058,TblApplications[Action],"À migrer",TblApplications[Mois prov (calc)],"&lt;="&amp;$E1058)-SUMIFS(TblApplications[CPU IKS libérable (vCPU)],TblApplications[Cluster IKS source],$F1058,TblApplications[Action],"À décommissionner",TblApplications[Mois lib (calc)],"&lt;="&amp;$E1058)))))</f>
        <v/>
      </c>
      <c r="Y1058" s="14" t="str">
        <f aca="false">IF($D1058&lt;&gt;1,"",IF($G1058="ROKS",$S1058,IF($AI1058=1,0,MAX($O1058,$M1058-SUMIFS(TblApplications[RAM IKS libérable (Go)],TblApplications[Cluster IKS source],$F1058,TblApplications[Action],"À migrer",TblApplications[Mois prov (calc)],"&lt;="&amp;$E1058)-SUMIFS(TblApplications[RAM IKS libérable (Go)],TblApplications[Cluster IKS source],$F1058,TblApplications[Action],"À décommissionner",TblApplications[Mois lib (calc)],"&lt;="&amp;$E1058)))))</f>
        <v/>
      </c>
      <c r="Z1058" s="14" t="str">
        <f aca="false">IF($D1058&lt;&gt;1,"",IF($AI1058=1,0,MAX($J1058,ROUNDUP(MAX($X1058/$H1058,$Y1058/$I1058),0))))</f>
        <v/>
      </c>
      <c r="AA1058" s="84" t="str">
        <f aca="false">IF($D1058&lt;&gt;1,"",IF(p_mode="Nœud",$Z1058*$K1058,$X1058*IF($G1058="IKS",p_iks_cpu,p_roks_cpu)+$Y1058*IF($G1058="IKS",p_iks_ram,p_roks_ram))*p_facteur)</f>
        <v/>
      </c>
      <c r="AB1058" s="14" t="str">
        <f aca="false">IF($D1058&lt;&gt;1,"",MAX($J1058,ROUNDUP(MAX($L1058/$H1058,$M1058/$I1058),0)))</f>
        <v/>
      </c>
      <c r="AC1058" s="84" t="str">
        <f aca="false">IF($D1058&lt;&gt;1,"",IF(p_mode="Nœud",$AB1058*$K1058,$L1058*IF($G1058="IKS",p_iks_cpu,p_roks_cpu)+$M1058*IF($G1058="IKS",p_iks_ram,p_roks_ram))*p_facteur)</f>
        <v/>
      </c>
      <c r="AD1058" s="14" t="str">
        <f aca="false">IF($D1058&lt;&gt;1,"",IF(AND($G1058="IKS",$AI1058&lt;&gt;1,OR($L1058-$P1058&lt;$N1058,$M1058-$Q1058&lt;$O1058)),1,0))</f>
        <v/>
      </c>
      <c r="AE1058" s="14" t="str">
        <f aca="false">IF($D1058&lt;&gt;1,"",IF(AND($G1058="ROKS",$T1058&gt;p_maxworkers),1,0))</f>
        <v/>
      </c>
      <c r="AF1058" s="14" t="str">
        <f aca="false">IF($D1058&lt;&gt;1,"",IF(INDEX(TblClusters[Environnement],$B1058)="","(vide)",INDEX(TblClusters[Environnement],$B1058)))</f>
        <v/>
      </c>
      <c r="AG1058" s="14" t="str">
        <f aca="false">IF($D1058&lt;&gt;1,"",$R1058+p_poidsram*$S1058)</f>
        <v/>
      </c>
      <c r="AH1058" s="14" t="str">
        <f aca="false">IF($D1058&lt;&gt;1,"",IFERROR($W1058/$AG1058,0))</f>
        <v/>
      </c>
      <c r="AI1058" s="14" t="str">
        <f aca="false">IF($D1058&lt;&gt;1,"",IF(AND($G1058="IKS",ISNUMBER(INDEX(TblClusters[Fermeture retenue],$B1058))),IF($E1058&gt;=INDEX(TblClusters[Fermeture retenue],$B1058),1,0),0))</f>
        <v/>
      </c>
    </row>
    <row r="1059" customFormat="false" ht="15" hidden="false" customHeight="false" outlineLevel="0" collapsed="false">
      <c r="A1059" s="14" t="n">
        <v>1054</v>
      </c>
      <c r="B1059" s="14" t="n">
        <f aca="false">INT(($A1059-1)/36)+1</f>
        <v>30</v>
      </c>
      <c r="C1059" s="14" t="n">
        <f aca="false">MOD($A1059-1,36)+1</f>
        <v>10</v>
      </c>
      <c r="D1059" s="14" t="n">
        <f aca="false">IF($C1059&gt;p_horizon,0,IFERROR(IF(AND(INDEX(TblClusters[Cluster],$B1059)&lt;&gt;"",ISNUMBER(INDEX(TblClusters[CPU initial (vCPU)],$B1059)),ISNUMBER(INDEX(TblClusters[CPU min (vCPU)],$B1059)),OR(INDEX(TblClusters[Plateforme],$B1059)="IKS",INDEX(TblClusters[Plateforme],$B1059)="ROKS")),1,0),0))</f>
        <v>0</v>
      </c>
      <c r="E1059" s="83" t="str">
        <f aca="false">IF($D1059=1,EDATE(p_debut,$C1059-1),"")</f>
        <v/>
      </c>
      <c r="F1059" s="14" t="str">
        <f aca="false">IF($D1059=1,INDEX(TblClusters[Cluster],$B1059),"")</f>
        <v/>
      </c>
      <c r="G1059" s="14" t="str">
        <f aca="false">IF($D1059=1,INDEX(TblClusters[Plateforme],$B1059),"")</f>
        <v/>
      </c>
      <c r="H1059" s="14" t="str">
        <f aca="false">IF($D1059=1,INDEX(TblClusters[vCPU par nœud],$B1059),"")</f>
        <v/>
      </c>
      <c r="I1059" s="14" t="str">
        <f aca="false">IF($D1059=1,INDEX(TblClusters[RAM par nœud (Go)],$B1059),"")</f>
        <v/>
      </c>
      <c r="J1059" s="14" t="str">
        <f aca="false">IF($D1059=1,INDEX(TblClusters[Workers min],$B1059),"")</f>
        <v/>
      </c>
      <c r="K1059" s="84" t="str">
        <f aca="false">IF($D1059=1,INDEX(TblClusters[Tarif par nœud],$B1059),"")</f>
        <v/>
      </c>
      <c r="L1059" s="14" t="str">
        <f aca="false">IF($D1059=1,INDEX(TblClusters[CPU initial (vCPU)],$B1059),"")</f>
        <v/>
      </c>
      <c r="M1059" s="14" t="str">
        <f aca="false">IF($D1059=1,INDEX(TblClusters[RAM initiale (Go)],$B1059),"")</f>
        <v/>
      </c>
      <c r="N1059" s="14" t="str">
        <f aca="false">IF($D1059=1,INDEX(TblClusters[CPU min (vCPU)],$B1059),"")</f>
        <v/>
      </c>
      <c r="O1059" s="14" t="str">
        <f aca="false">IF($D1059=1,INDEX(TblClusters[RAM min (Go)],$B1059),"")</f>
        <v/>
      </c>
      <c r="P1059" s="14" t="str">
        <f aca="false">IF($D1059&lt;&gt;1,"",IF($G1059="ROKS",SUMIFS(TblApplications[Besoin ROKS CPU (vCPU)],TblApplications[Cluster ROKS cible],$F1059,TblApplications[Action],"À migrer",TblApplications[Déjà incluse ROKS],"Non",TblApplications[Mois prov (calc)],"&lt;="&amp;$E1059),SUMIFS(TblApplications[CPU IKS libérable (vCPU)],TblApplications[Cluster IKS source],$F1059,TblApplications[Mois lib (calc)],"&lt;="&amp;$E1059)))</f>
        <v/>
      </c>
      <c r="Q1059" s="14" t="str">
        <f aca="false">IF($D1059&lt;&gt;1,"",IF($G1059="ROKS",SUMIFS(TblApplications[Besoin ROKS RAM (Go)],TblApplications[Cluster ROKS cible],$F1059,TblApplications[Action],"À migrer",TblApplications[Déjà incluse ROKS],"Non",TblApplications[Mois prov (calc)],"&lt;="&amp;$E1059),SUMIFS(TblApplications[RAM IKS libérable (Go)],TblApplications[Cluster IKS source],$F1059,TblApplications[Mois lib (calc)],"&lt;="&amp;$E1059)))</f>
        <v/>
      </c>
      <c r="R1059" s="14" t="str">
        <f aca="false">IF($D1059&lt;&gt;1,"",IF($G1059="ROKS",$L1059+$P1059,IF($AI1059=1,0,MAX($N1059,$L1059-$P1059))))</f>
        <v/>
      </c>
      <c r="S1059" s="14" t="str">
        <f aca="false">IF($D1059&lt;&gt;1,"",IF($G1059="ROKS",$M1059+$Q1059,IF($AI1059=1,0,MAX($O1059,$M1059-$Q1059))))</f>
        <v/>
      </c>
      <c r="T1059" s="14" t="str">
        <f aca="false">IF($D1059&lt;&gt;1,"",IF($AI1059=1,0,MAX($J1059,ROUNDUP(MAX($R1059/$H1059,$S1059/$I1059),0))))</f>
        <v/>
      </c>
      <c r="U1059" s="14" t="str">
        <f aca="false">IF($D1059&lt;&gt;1,"",IF(p_mode="Nœud",$T1059*$H1059,$R1059))</f>
        <v/>
      </c>
      <c r="V1059" s="14" t="str">
        <f aca="false">IF($D1059&lt;&gt;1,"",IF(p_mode="Nœud",$T1059*$I1059,$S1059))</f>
        <v/>
      </c>
      <c r="W1059" s="84" t="str">
        <f aca="false">IF($D1059&lt;&gt;1,"",IF(p_mode="Nœud",$T1059*$K1059,$R1059*IF($G1059="IKS",p_iks_cpu,p_roks_cpu)+$S1059*IF($G1059="IKS",p_iks_ram,p_roks_ram))*p_facteur)</f>
        <v/>
      </c>
      <c r="X1059" s="14" t="str">
        <f aca="false">IF($D1059&lt;&gt;1,"",IF($G1059="ROKS",$R1059,IF($AI1059=1,0,MAX($N1059,$L1059-SUMIFS(TblApplications[CPU IKS libérable (vCPU)],TblApplications[Cluster IKS source],$F1059,TblApplications[Action],"À migrer",TblApplications[Mois prov (calc)],"&lt;="&amp;$E1059)-SUMIFS(TblApplications[CPU IKS libérable (vCPU)],TblApplications[Cluster IKS source],$F1059,TblApplications[Action],"À décommissionner",TblApplications[Mois lib (calc)],"&lt;="&amp;$E1059)))))</f>
        <v/>
      </c>
      <c r="Y1059" s="14" t="str">
        <f aca="false">IF($D1059&lt;&gt;1,"",IF($G1059="ROKS",$S1059,IF($AI1059=1,0,MAX($O1059,$M1059-SUMIFS(TblApplications[RAM IKS libérable (Go)],TblApplications[Cluster IKS source],$F1059,TblApplications[Action],"À migrer",TblApplications[Mois prov (calc)],"&lt;="&amp;$E1059)-SUMIFS(TblApplications[RAM IKS libérable (Go)],TblApplications[Cluster IKS source],$F1059,TblApplications[Action],"À décommissionner",TblApplications[Mois lib (calc)],"&lt;="&amp;$E1059)))))</f>
        <v/>
      </c>
      <c r="Z1059" s="14" t="str">
        <f aca="false">IF($D1059&lt;&gt;1,"",IF($AI1059=1,0,MAX($J1059,ROUNDUP(MAX($X1059/$H1059,$Y1059/$I1059),0))))</f>
        <v/>
      </c>
      <c r="AA1059" s="84" t="str">
        <f aca="false">IF($D1059&lt;&gt;1,"",IF(p_mode="Nœud",$Z1059*$K1059,$X1059*IF($G1059="IKS",p_iks_cpu,p_roks_cpu)+$Y1059*IF($G1059="IKS",p_iks_ram,p_roks_ram))*p_facteur)</f>
        <v/>
      </c>
      <c r="AB1059" s="14" t="str">
        <f aca="false">IF($D1059&lt;&gt;1,"",MAX($J1059,ROUNDUP(MAX($L1059/$H1059,$M1059/$I1059),0)))</f>
        <v/>
      </c>
      <c r="AC1059" s="84" t="str">
        <f aca="false">IF($D1059&lt;&gt;1,"",IF(p_mode="Nœud",$AB1059*$K1059,$L1059*IF($G1059="IKS",p_iks_cpu,p_roks_cpu)+$M1059*IF($G1059="IKS",p_iks_ram,p_roks_ram))*p_facteur)</f>
        <v/>
      </c>
      <c r="AD1059" s="14" t="str">
        <f aca="false">IF($D1059&lt;&gt;1,"",IF(AND($G1059="IKS",$AI1059&lt;&gt;1,OR($L1059-$P1059&lt;$N1059,$M1059-$Q1059&lt;$O1059)),1,0))</f>
        <v/>
      </c>
      <c r="AE1059" s="14" t="str">
        <f aca="false">IF($D1059&lt;&gt;1,"",IF(AND($G1059="ROKS",$T1059&gt;p_maxworkers),1,0))</f>
        <v/>
      </c>
      <c r="AF1059" s="14" t="str">
        <f aca="false">IF($D1059&lt;&gt;1,"",IF(INDEX(TblClusters[Environnement],$B1059)="","(vide)",INDEX(TblClusters[Environnement],$B1059)))</f>
        <v/>
      </c>
      <c r="AG1059" s="14" t="str">
        <f aca="false">IF($D1059&lt;&gt;1,"",$R1059+p_poidsram*$S1059)</f>
        <v/>
      </c>
      <c r="AH1059" s="14" t="str">
        <f aca="false">IF($D1059&lt;&gt;1,"",IFERROR($W1059/$AG1059,0))</f>
        <v/>
      </c>
      <c r="AI1059" s="14" t="str">
        <f aca="false">IF($D1059&lt;&gt;1,"",IF(AND($G1059="IKS",ISNUMBER(INDEX(TblClusters[Fermeture retenue],$B1059))),IF($E1059&gt;=INDEX(TblClusters[Fermeture retenue],$B1059),1,0),0))</f>
        <v/>
      </c>
    </row>
    <row r="1060" customFormat="false" ht="15" hidden="false" customHeight="false" outlineLevel="0" collapsed="false">
      <c r="A1060" s="14" t="n">
        <v>1055</v>
      </c>
      <c r="B1060" s="14" t="n">
        <f aca="false">INT(($A1060-1)/36)+1</f>
        <v>30</v>
      </c>
      <c r="C1060" s="14" t="n">
        <f aca="false">MOD($A1060-1,36)+1</f>
        <v>11</v>
      </c>
      <c r="D1060" s="14" t="n">
        <f aca="false">IF($C1060&gt;p_horizon,0,IFERROR(IF(AND(INDEX(TblClusters[Cluster],$B1060)&lt;&gt;"",ISNUMBER(INDEX(TblClusters[CPU initial (vCPU)],$B1060)),ISNUMBER(INDEX(TblClusters[CPU min (vCPU)],$B1060)),OR(INDEX(TblClusters[Plateforme],$B1060)="IKS",INDEX(TblClusters[Plateforme],$B1060)="ROKS")),1,0),0))</f>
        <v>0</v>
      </c>
      <c r="E1060" s="83" t="str">
        <f aca="false">IF($D1060=1,EDATE(p_debut,$C1060-1),"")</f>
        <v/>
      </c>
      <c r="F1060" s="14" t="str">
        <f aca="false">IF($D1060=1,INDEX(TblClusters[Cluster],$B1060),"")</f>
        <v/>
      </c>
      <c r="G1060" s="14" t="str">
        <f aca="false">IF($D1060=1,INDEX(TblClusters[Plateforme],$B1060),"")</f>
        <v/>
      </c>
      <c r="H1060" s="14" t="str">
        <f aca="false">IF($D1060=1,INDEX(TblClusters[vCPU par nœud],$B1060),"")</f>
        <v/>
      </c>
      <c r="I1060" s="14" t="str">
        <f aca="false">IF($D1060=1,INDEX(TblClusters[RAM par nœud (Go)],$B1060),"")</f>
        <v/>
      </c>
      <c r="J1060" s="14" t="str">
        <f aca="false">IF($D1060=1,INDEX(TblClusters[Workers min],$B1060),"")</f>
        <v/>
      </c>
      <c r="K1060" s="84" t="str">
        <f aca="false">IF($D1060=1,INDEX(TblClusters[Tarif par nœud],$B1060),"")</f>
        <v/>
      </c>
      <c r="L1060" s="14" t="str">
        <f aca="false">IF($D1060=1,INDEX(TblClusters[CPU initial (vCPU)],$B1060),"")</f>
        <v/>
      </c>
      <c r="M1060" s="14" t="str">
        <f aca="false">IF($D1060=1,INDEX(TblClusters[RAM initiale (Go)],$B1060),"")</f>
        <v/>
      </c>
      <c r="N1060" s="14" t="str">
        <f aca="false">IF($D1060=1,INDEX(TblClusters[CPU min (vCPU)],$B1060),"")</f>
        <v/>
      </c>
      <c r="O1060" s="14" t="str">
        <f aca="false">IF($D1060=1,INDEX(TblClusters[RAM min (Go)],$B1060),"")</f>
        <v/>
      </c>
      <c r="P1060" s="14" t="str">
        <f aca="false">IF($D1060&lt;&gt;1,"",IF($G1060="ROKS",SUMIFS(TblApplications[Besoin ROKS CPU (vCPU)],TblApplications[Cluster ROKS cible],$F1060,TblApplications[Action],"À migrer",TblApplications[Déjà incluse ROKS],"Non",TblApplications[Mois prov (calc)],"&lt;="&amp;$E1060),SUMIFS(TblApplications[CPU IKS libérable (vCPU)],TblApplications[Cluster IKS source],$F1060,TblApplications[Mois lib (calc)],"&lt;="&amp;$E1060)))</f>
        <v/>
      </c>
      <c r="Q1060" s="14" t="str">
        <f aca="false">IF($D1060&lt;&gt;1,"",IF($G1060="ROKS",SUMIFS(TblApplications[Besoin ROKS RAM (Go)],TblApplications[Cluster ROKS cible],$F1060,TblApplications[Action],"À migrer",TblApplications[Déjà incluse ROKS],"Non",TblApplications[Mois prov (calc)],"&lt;="&amp;$E1060),SUMIFS(TblApplications[RAM IKS libérable (Go)],TblApplications[Cluster IKS source],$F1060,TblApplications[Mois lib (calc)],"&lt;="&amp;$E1060)))</f>
        <v/>
      </c>
      <c r="R1060" s="14" t="str">
        <f aca="false">IF($D1060&lt;&gt;1,"",IF($G1060="ROKS",$L1060+$P1060,IF($AI1060=1,0,MAX($N1060,$L1060-$P1060))))</f>
        <v/>
      </c>
      <c r="S1060" s="14" t="str">
        <f aca="false">IF($D1060&lt;&gt;1,"",IF($G1060="ROKS",$M1060+$Q1060,IF($AI1060=1,0,MAX($O1060,$M1060-$Q1060))))</f>
        <v/>
      </c>
      <c r="T1060" s="14" t="str">
        <f aca="false">IF($D1060&lt;&gt;1,"",IF($AI1060=1,0,MAX($J1060,ROUNDUP(MAX($R1060/$H1060,$S1060/$I1060),0))))</f>
        <v/>
      </c>
      <c r="U1060" s="14" t="str">
        <f aca="false">IF($D1060&lt;&gt;1,"",IF(p_mode="Nœud",$T1060*$H1060,$R1060))</f>
        <v/>
      </c>
      <c r="V1060" s="14" t="str">
        <f aca="false">IF($D1060&lt;&gt;1,"",IF(p_mode="Nœud",$T1060*$I1060,$S1060))</f>
        <v/>
      </c>
      <c r="W1060" s="84" t="str">
        <f aca="false">IF($D1060&lt;&gt;1,"",IF(p_mode="Nœud",$T1060*$K1060,$R1060*IF($G1060="IKS",p_iks_cpu,p_roks_cpu)+$S1060*IF($G1060="IKS",p_iks_ram,p_roks_ram))*p_facteur)</f>
        <v/>
      </c>
      <c r="X1060" s="14" t="str">
        <f aca="false">IF($D1060&lt;&gt;1,"",IF($G1060="ROKS",$R1060,IF($AI1060=1,0,MAX($N1060,$L1060-SUMIFS(TblApplications[CPU IKS libérable (vCPU)],TblApplications[Cluster IKS source],$F1060,TblApplications[Action],"À migrer",TblApplications[Mois prov (calc)],"&lt;="&amp;$E1060)-SUMIFS(TblApplications[CPU IKS libérable (vCPU)],TblApplications[Cluster IKS source],$F1060,TblApplications[Action],"À décommissionner",TblApplications[Mois lib (calc)],"&lt;="&amp;$E1060)))))</f>
        <v/>
      </c>
      <c r="Y1060" s="14" t="str">
        <f aca="false">IF($D1060&lt;&gt;1,"",IF($G1060="ROKS",$S1060,IF($AI1060=1,0,MAX($O1060,$M1060-SUMIFS(TblApplications[RAM IKS libérable (Go)],TblApplications[Cluster IKS source],$F1060,TblApplications[Action],"À migrer",TblApplications[Mois prov (calc)],"&lt;="&amp;$E1060)-SUMIFS(TblApplications[RAM IKS libérable (Go)],TblApplications[Cluster IKS source],$F1060,TblApplications[Action],"À décommissionner",TblApplications[Mois lib (calc)],"&lt;="&amp;$E1060)))))</f>
        <v/>
      </c>
      <c r="Z1060" s="14" t="str">
        <f aca="false">IF($D1060&lt;&gt;1,"",IF($AI1060=1,0,MAX($J1060,ROUNDUP(MAX($X1060/$H1060,$Y1060/$I1060),0))))</f>
        <v/>
      </c>
      <c r="AA1060" s="84" t="str">
        <f aca="false">IF($D1060&lt;&gt;1,"",IF(p_mode="Nœud",$Z1060*$K1060,$X1060*IF($G1060="IKS",p_iks_cpu,p_roks_cpu)+$Y1060*IF($G1060="IKS",p_iks_ram,p_roks_ram))*p_facteur)</f>
        <v/>
      </c>
      <c r="AB1060" s="14" t="str">
        <f aca="false">IF($D1060&lt;&gt;1,"",MAX($J1060,ROUNDUP(MAX($L1060/$H1060,$M1060/$I1060),0)))</f>
        <v/>
      </c>
      <c r="AC1060" s="84" t="str">
        <f aca="false">IF($D1060&lt;&gt;1,"",IF(p_mode="Nœud",$AB1060*$K1060,$L1060*IF($G1060="IKS",p_iks_cpu,p_roks_cpu)+$M1060*IF($G1060="IKS",p_iks_ram,p_roks_ram))*p_facteur)</f>
        <v/>
      </c>
      <c r="AD1060" s="14" t="str">
        <f aca="false">IF($D1060&lt;&gt;1,"",IF(AND($G1060="IKS",$AI1060&lt;&gt;1,OR($L1060-$P1060&lt;$N1060,$M1060-$Q1060&lt;$O1060)),1,0))</f>
        <v/>
      </c>
      <c r="AE1060" s="14" t="str">
        <f aca="false">IF($D1060&lt;&gt;1,"",IF(AND($G1060="ROKS",$T1060&gt;p_maxworkers),1,0))</f>
        <v/>
      </c>
      <c r="AF1060" s="14" t="str">
        <f aca="false">IF($D1060&lt;&gt;1,"",IF(INDEX(TblClusters[Environnement],$B1060)="","(vide)",INDEX(TblClusters[Environnement],$B1060)))</f>
        <v/>
      </c>
      <c r="AG1060" s="14" t="str">
        <f aca="false">IF($D1060&lt;&gt;1,"",$R1060+p_poidsram*$S1060)</f>
        <v/>
      </c>
      <c r="AH1060" s="14" t="str">
        <f aca="false">IF($D1060&lt;&gt;1,"",IFERROR($W1060/$AG1060,0))</f>
        <v/>
      </c>
      <c r="AI1060" s="14" t="str">
        <f aca="false">IF($D1060&lt;&gt;1,"",IF(AND($G1060="IKS",ISNUMBER(INDEX(TblClusters[Fermeture retenue],$B1060))),IF($E1060&gt;=INDEX(TblClusters[Fermeture retenue],$B1060),1,0),0))</f>
        <v/>
      </c>
    </row>
    <row r="1061" customFormat="false" ht="15" hidden="false" customHeight="false" outlineLevel="0" collapsed="false">
      <c r="A1061" s="14" t="n">
        <v>1056</v>
      </c>
      <c r="B1061" s="14" t="n">
        <f aca="false">INT(($A1061-1)/36)+1</f>
        <v>30</v>
      </c>
      <c r="C1061" s="14" t="n">
        <f aca="false">MOD($A1061-1,36)+1</f>
        <v>12</v>
      </c>
      <c r="D1061" s="14" t="n">
        <f aca="false">IF($C1061&gt;p_horizon,0,IFERROR(IF(AND(INDEX(TblClusters[Cluster],$B1061)&lt;&gt;"",ISNUMBER(INDEX(TblClusters[CPU initial (vCPU)],$B1061)),ISNUMBER(INDEX(TblClusters[CPU min (vCPU)],$B1061)),OR(INDEX(TblClusters[Plateforme],$B1061)="IKS",INDEX(TblClusters[Plateforme],$B1061)="ROKS")),1,0),0))</f>
        <v>0</v>
      </c>
      <c r="E1061" s="83" t="str">
        <f aca="false">IF($D1061=1,EDATE(p_debut,$C1061-1),"")</f>
        <v/>
      </c>
      <c r="F1061" s="14" t="str">
        <f aca="false">IF($D1061=1,INDEX(TblClusters[Cluster],$B1061),"")</f>
        <v/>
      </c>
      <c r="G1061" s="14" t="str">
        <f aca="false">IF($D1061=1,INDEX(TblClusters[Plateforme],$B1061),"")</f>
        <v/>
      </c>
      <c r="H1061" s="14" t="str">
        <f aca="false">IF($D1061=1,INDEX(TblClusters[vCPU par nœud],$B1061),"")</f>
        <v/>
      </c>
      <c r="I1061" s="14" t="str">
        <f aca="false">IF($D1061=1,INDEX(TblClusters[RAM par nœud (Go)],$B1061),"")</f>
        <v/>
      </c>
      <c r="J1061" s="14" t="str">
        <f aca="false">IF($D1061=1,INDEX(TblClusters[Workers min],$B1061),"")</f>
        <v/>
      </c>
      <c r="K1061" s="84" t="str">
        <f aca="false">IF($D1061=1,INDEX(TblClusters[Tarif par nœud],$B1061),"")</f>
        <v/>
      </c>
      <c r="L1061" s="14" t="str">
        <f aca="false">IF($D1061=1,INDEX(TblClusters[CPU initial (vCPU)],$B1061),"")</f>
        <v/>
      </c>
      <c r="M1061" s="14" t="str">
        <f aca="false">IF($D1061=1,INDEX(TblClusters[RAM initiale (Go)],$B1061),"")</f>
        <v/>
      </c>
      <c r="N1061" s="14" t="str">
        <f aca="false">IF($D1061=1,INDEX(TblClusters[CPU min (vCPU)],$B1061),"")</f>
        <v/>
      </c>
      <c r="O1061" s="14" t="str">
        <f aca="false">IF($D1061=1,INDEX(TblClusters[RAM min (Go)],$B1061),"")</f>
        <v/>
      </c>
      <c r="P1061" s="14" t="str">
        <f aca="false">IF($D1061&lt;&gt;1,"",IF($G1061="ROKS",SUMIFS(TblApplications[Besoin ROKS CPU (vCPU)],TblApplications[Cluster ROKS cible],$F1061,TblApplications[Action],"À migrer",TblApplications[Déjà incluse ROKS],"Non",TblApplications[Mois prov (calc)],"&lt;="&amp;$E1061),SUMIFS(TblApplications[CPU IKS libérable (vCPU)],TblApplications[Cluster IKS source],$F1061,TblApplications[Mois lib (calc)],"&lt;="&amp;$E1061)))</f>
        <v/>
      </c>
      <c r="Q1061" s="14" t="str">
        <f aca="false">IF($D1061&lt;&gt;1,"",IF($G1061="ROKS",SUMIFS(TblApplications[Besoin ROKS RAM (Go)],TblApplications[Cluster ROKS cible],$F1061,TblApplications[Action],"À migrer",TblApplications[Déjà incluse ROKS],"Non",TblApplications[Mois prov (calc)],"&lt;="&amp;$E1061),SUMIFS(TblApplications[RAM IKS libérable (Go)],TblApplications[Cluster IKS source],$F1061,TblApplications[Mois lib (calc)],"&lt;="&amp;$E1061)))</f>
        <v/>
      </c>
      <c r="R1061" s="14" t="str">
        <f aca="false">IF($D1061&lt;&gt;1,"",IF($G1061="ROKS",$L1061+$P1061,IF($AI1061=1,0,MAX($N1061,$L1061-$P1061))))</f>
        <v/>
      </c>
      <c r="S1061" s="14" t="str">
        <f aca="false">IF($D1061&lt;&gt;1,"",IF($G1061="ROKS",$M1061+$Q1061,IF($AI1061=1,0,MAX($O1061,$M1061-$Q1061))))</f>
        <v/>
      </c>
      <c r="T1061" s="14" t="str">
        <f aca="false">IF($D1061&lt;&gt;1,"",IF($AI1061=1,0,MAX($J1061,ROUNDUP(MAX($R1061/$H1061,$S1061/$I1061),0))))</f>
        <v/>
      </c>
      <c r="U1061" s="14" t="str">
        <f aca="false">IF($D1061&lt;&gt;1,"",IF(p_mode="Nœud",$T1061*$H1061,$R1061))</f>
        <v/>
      </c>
      <c r="V1061" s="14" t="str">
        <f aca="false">IF($D1061&lt;&gt;1,"",IF(p_mode="Nœud",$T1061*$I1061,$S1061))</f>
        <v/>
      </c>
      <c r="W1061" s="84" t="str">
        <f aca="false">IF($D1061&lt;&gt;1,"",IF(p_mode="Nœud",$T1061*$K1061,$R1061*IF($G1061="IKS",p_iks_cpu,p_roks_cpu)+$S1061*IF($G1061="IKS",p_iks_ram,p_roks_ram))*p_facteur)</f>
        <v/>
      </c>
      <c r="X1061" s="14" t="str">
        <f aca="false">IF($D1061&lt;&gt;1,"",IF($G1061="ROKS",$R1061,IF($AI1061=1,0,MAX($N1061,$L1061-SUMIFS(TblApplications[CPU IKS libérable (vCPU)],TblApplications[Cluster IKS source],$F1061,TblApplications[Action],"À migrer",TblApplications[Mois prov (calc)],"&lt;="&amp;$E1061)-SUMIFS(TblApplications[CPU IKS libérable (vCPU)],TblApplications[Cluster IKS source],$F1061,TblApplications[Action],"À décommissionner",TblApplications[Mois lib (calc)],"&lt;="&amp;$E1061)))))</f>
        <v/>
      </c>
      <c r="Y1061" s="14" t="str">
        <f aca="false">IF($D1061&lt;&gt;1,"",IF($G1061="ROKS",$S1061,IF($AI1061=1,0,MAX($O1061,$M1061-SUMIFS(TblApplications[RAM IKS libérable (Go)],TblApplications[Cluster IKS source],$F1061,TblApplications[Action],"À migrer",TblApplications[Mois prov (calc)],"&lt;="&amp;$E1061)-SUMIFS(TblApplications[RAM IKS libérable (Go)],TblApplications[Cluster IKS source],$F1061,TblApplications[Action],"À décommissionner",TblApplications[Mois lib (calc)],"&lt;="&amp;$E1061)))))</f>
        <v/>
      </c>
      <c r="Z1061" s="14" t="str">
        <f aca="false">IF($D1061&lt;&gt;1,"",IF($AI1061=1,0,MAX($J1061,ROUNDUP(MAX($X1061/$H1061,$Y1061/$I1061),0))))</f>
        <v/>
      </c>
      <c r="AA1061" s="84" t="str">
        <f aca="false">IF($D1061&lt;&gt;1,"",IF(p_mode="Nœud",$Z1061*$K1061,$X1061*IF($G1061="IKS",p_iks_cpu,p_roks_cpu)+$Y1061*IF($G1061="IKS",p_iks_ram,p_roks_ram))*p_facteur)</f>
        <v/>
      </c>
      <c r="AB1061" s="14" t="str">
        <f aca="false">IF($D1061&lt;&gt;1,"",MAX($J1061,ROUNDUP(MAX($L1061/$H1061,$M1061/$I1061),0)))</f>
        <v/>
      </c>
      <c r="AC1061" s="84" t="str">
        <f aca="false">IF($D1061&lt;&gt;1,"",IF(p_mode="Nœud",$AB1061*$K1061,$L1061*IF($G1061="IKS",p_iks_cpu,p_roks_cpu)+$M1061*IF($G1061="IKS",p_iks_ram,p_roks_ram))*p_facteur)</f>
        <v/>
      </c>
      <c r="AD1061" s="14" t="str">
        <f aca="false">IF($D1061&lt;&gt;1,"",IF(AND($G1061="IKS",$AI1061&lt;&gt;1,OR($L1061-$P1061&lt;$N1061,$M1061-$Q1061&lt;$O1061)),1,0))</f>
        <v/>
      </c>
      <c r="AE1061" s="14" t="str">
        <f aca="false">IF($D1061&lt;&gt;1,"",IF(AND($G1061="ROKS",$T1061&gt;p_maxworkers),1,0))</f>
        <v/>
      </c>
      <c r="AF1061" s="14" t="str">
        <f aca="false">IF($D1061&lt;&gt;1,"",IF(INDEX(TblClusters[Environnement],$B1061)="","(vide)",INDEX(TblClusters[Environnement],$B1061)))</f>
        <v/>
      </c>
      <c r="AG1061" s="14" t="str">
        <f aca="false">IF($D1061&lt;&gt;1,"",$R1061+p_poidsram*$S1061)</f>
        <v/>
      </c>
      <c r="AH1061" s="14" t="str">
        <f aca="false">IF($D1061&lt;&gt;1,"",IFERROR($W1061/$AG1061,0))</f>
        <v/>
      </c>
      <c r="AI1061" s="14" t="str">
        <f aca="false">IF($D1061&lt;&gt;1,"",IF(AND($G1061="IKS",ISNUMBER(INDEX(TblClusters[Fermeture retenue],$B1061))),IF($E1061&gt;=INDEX(TblClusters[Fermeture retenue],$B1061),1,0),0))</f>
        <v/>
      </c>
    </row>
    <row r="1062" customFormat="false" ht="15" hidden="false" customHeight="false" outlineLevel="0" collapsed="false">
      <c r="A1062" s="14" t="n">
        <v>1057</v>
      </c>
      <c r="B1062" s="14" t="n">
        <f aca="false">INT(($A1062-1)/36)+1</f>
        <v>30</v>
      </c>
      <c r="C1062" s="14" t="n">
        <f aca="false">MOD($A1062-1,36)+1</f>
        <v>13</v>
      </c>
      <c r="D1062" s="14" t="n">
        <f aca="false">IF($C1062&gt;p_horizon,0,IFERROR(IF(AND(INDEX(TblClusters[Cluster],$B1062)&lt;&gt;"",ISNUMBER(INDEX(TblClusters[CPU initial (vCPU)],$B1062)),ISNUMBER(INDEX(TblClusters[CPU min (vCPU)],$B1062)),OR(INDEX(TblClusters[Plateforme],$B1062)="IKS",INDEX(TblClusters[Plateforme],$B1062)="ROKS")),1,0),0))</f>
        <v>0</v>
      </c>
      <c r="E1062" s="83" t="str">
        <f aca="false">IF($D1062=1,EDATE(p_debut,$C1062-1),"")</f>
        <v/>
      </c>
      <c r="F1062" s="14" t="str">
        <f aca="false">IF($D1062=1,INDEX(TblClusters[Cluster],$B1062),"")</f>
        <v/>
      </c>
      <c r="G1062" s="14" t="str">
        <f aca="false">IF($D1062=1,INDEX(TblClusters[Plateforme],$B1062),"")</f>
        <v/>
      </c>
      <c r="H1062" s="14" t="str">
        <f aca="false">IF($D1062=1,INDEX(TblClusters[vCPU par nœud],$B1062),"")</f>
        <v/>
      </c>
      <c r="I1062" s="14" t="str">
        <f aca="false">IF($D1062=1,INDEX(TblClusters[RAM par nœud (Go)],$B1062),"")</f>
        <v/>
      </c>
      <c r="J1062" s="14" t="str">
        <f aca="false">IF($D1062=1,INDEX(TblClusters[Workers min],$B1062),"")</f>
        <v/>
      </c>
      <c r="K1062" s="84" t="str">
        <f aca="false">IF($D1062=1,INDEX(TblClusters[Tarif par nœud],$B1062),"")</f>
        <v/>
      </c>
      <c r="L1062" s="14" t="str">
        <f aca="false">IF($D1062=1,INDEX(TblClusters[CPU initial (vCPU)],$B1062),"")</f>
        <v/>
      </c>
      <c r="M1062" s="14" t="str">
        <f aca="false">IF($D1062=1,INDEX(TblClusters[RAM initiale (Go)],$B1062),"")</f>
        <v/>
      </c>
      <c r="N1062" s="14" t="str">
        <f aca="false">IF($D1062=1,INDEX(TblClusters[CPU min (vCPU)],$B1062),"")</f>
        <v/>
      </c>
      <c r="O1062" s="14" t="str">
        <f aca="false">IF($D1062=1,INDEX(TblClusters[RAM min (Go)],$B1062),"")</f>
        <v/>
      </c>
      <c r="P1062" s="14" t="str">
        <f aca="false">IF($D1062&lt;&gt;1,"",IF($G1062="ROKS",SUMIFS(TblApplications[Besoin ROKS CPU (vCPU)],TblApplications[Cluster ROKS cible],$F1062,TblApplications[Action],"À migrer",TblApplications[Déjà incluse ROKS],"Non",TblApplications[Mois prov (calc)],"&lt;="&amp;$E1062),SUMIFS(TblApplications[CPU IKS libérable (vCPU)],TblApplications[Cluster IKS source],$F1062,TblApplications[Mois lib (calc)],"&lt;="&amp;$E1062)))</f>
        <v/>
      </c>
      <c r="Q1062" s="14" t="str">
        <f aca="false">IF($D1062&lt;&gt;1,"",IF($G1062="ROKS",SUMIFS(TblApplications[Besoin ROKS RAM (Go)],TblApplications[Cluster ROKS cible],$F1062,TblApplications[Action],"À migrer",TblApplications[Déjà incluse ROKS],"Non",TblApplications[Mois prov (calc)],"&lt;="&amp;$E1062),SUMIFS(TblApplications[RAM IKS libérable (Go)],TblApplications[Cluster IKS source],$F1062,TblApplications[Mois lib (calc)],"&lt;="&amp;$E1062)))</f>
        <v/>
      </c>
      <c r="R1062" s="14" t="str">
        <f aca="false">IF($D1062&lt;&gt;1,"",IF($G1062="ROKS",$L1062+$P1062,IF($AI1062=1,0,MAX($N1062,$L1062-$P1062))))</f>
        <v/>
      </c>
      <c r="S1062" s="14" t="str">
        <f aca="false">IF($D1062&lt;&gt;1,"",IF($G1062="ROKS",$M1062+$Q1062,IF($AI1062=1,0,MAX($O1062,$M1062-$Q1062))))</f>
        <v/>
      </c>
      <c r="T1062" s="14" t="str">
        <f aca="false">IF($D1062&lt;&gt;1,"",IF($AI1062=1,0,MAX($J1062,ROUNDUP(MAX($R1062/$H1062,$S1062/$I1062),0))))</f>
        <v/>
      </c>
      <c r="U1062" s="14" t="str">
        <f aca="false">IF($D1062&lt;&gt;1,"",IF(p_mode="Nœud",$T1062*$H1062,$R1062))</f>
        <v/>
      </c>
      <c r="V1062" s="14" t="str">
        <f aca="false">IF($D1062&lt;&gt;1,"",IF(p_mode="Nœud",$T1062*$I1062,$S1062))</f>
        <v/>
      </c>
      <c r="W1062" s="84" t="str">
        <f aca="false">IF($D1062&lt;&gt;1,"",IF(p_mode="Nœud",$T1062*$K1062,$R1062*IF($G1062="IKS",p_iks_cpu,p_roks_cpu)+$S1062*IF($G1062="IKS",p_iks_ram,p_roks_ram))*p_facteur)</f>
        <v/>
      </c>
      <c r="X1062" s="14" t="str">
        <f aca="false">IF($D1062&lt;&gt;1,"",IF($G1062="ROKS",$R1062,IF($AI1062=1,0,MAX($N1062,$L1062-SUMIFS(TblApplications[CPU IKS libérable (vCPU)],TblApplications[Cluster IKS source],$F1062,TblApplications[Action],"À migrer",TblApplications[Mois prov (calc)],"&lt;="&amp;$E1062)-SUMIFS(TblApplications[CPU IKS libérable (vCPU)],TblApplications[Cluster IKS source],$F1062,TblApplications[Action],"À décommissionner",TblApplications[Mois lib (calc)],"&lt;="&amp;$E1062)))))</f>
        <v/>
      </c>
      <c r="Y1062" s="14" t="str">
        <f aca="false">IF($D1062&lt;&gt;1,"",IF($G1062="ROKS",$S1062,IF($AI1062=1,0,MAX($O1062,$M1062-SUMIFS(TblApplications[RAM IKS libérable (Go)],TblApplications[Cluster IKS source],$F1062,TblApplications[Action],"À migrer",TblApplications[Mois prov (calc)],"&lt;="&amp;$E1062)-SUMIFS(TblApplications[RAM IKS libérable (Go)],TblApplications[Cluster IKS source],$F1062,TblApplications[Action],"À décommissionner",TblApplications[Mois lib (calc)],"&lt;="&amp;$E1062)))))</f>
        <v/>
      </c>
      <c r="Z1062" s="14" t="str">
        <f aca="false">IF($D1062&lt;&gt;1,"",IF($AI1062=1,0,MAX($J1062,ROUNDUP(MAX($X1062/$H1062,$Y1062/$I1062),0))))</f>
        <v/>
      </c>
      <c r="AA1062" s="84" t="str">
        <f aca="false">IF($D1062&lt;&gt;1,"",IF(p_mode="Nœud",$Z1062*$K1062,$X1062*IF($G1062="IKS",p_iks_cpu,p_roks_cpu)+$Y1062*IF($G1062="IKS",p_iks_ram,p_roks_ram))*p_facteur)</f>
        <v/>
      </c>
      <c r="AB1062" s="14" t="str">
        <f aca="false">IF($D1062&lt;&gt;1,"",MAX($J1062,ROUNDUP(MAX($L1062/$H1062,$M1062/$I1062),0)))</f>
        <v/>
      </c>
      <c r="AC1062" s="84" t="str">
        <f aca="false">IF($D1062&lt;&gt;1,"",IF(p_mode="Nœud",$AB1062*$K1062,$L1062*IF($G1062="IKS",p_iks_cpu,p_roks_cpu)+$M1062*IF($G1062="IKS",p_iks_ram,p_roks_ram))*p_facteur)</f>
        <v/>
      </c>
      <c r="AD1062" s="14" t="str">
        <f aca="false">IF($D1062&lt;&gt;1,"",IF(AND($G1062="IKS",$AI1062&lt;&gt;1,OR($L1062-$P1062&lt;$N1062,$M1062-$Q1062&lt;$O1062)),1,0))</f>
        <v/>
      </c>
      <c r="AE1062" s="14" t="str">
        <f aca="false">IF($D1062&lt;&gt;1,"",IF(AND($G1062="ROKS",$T1062&gt;p_maxworkers),1,0))</f>
        <v/>
      </c>
      <c r="AF1062" s="14" t="str">
        <f aca="false">IF($D1062&lt;&gt;1,"",IF(INDEX(TblClusters[Environnement],$B1062)="","(vide)",INDEX(TblClusters[Environnement],$B1062)))</f>
        <v/>
      </c>
      <c r="AG1062" s="14" t="str">
        <f aca="false">IF($D1062&lt;&gt;1,"",$R1062+p_poidsram*$S1062)</f>
        <v/>
      </c>
      <c r="AH1062" s="14" t="str">
        <f aca="false">IF($D1062&lt;&gt;1,"",IFERROR($W1062/$AG1062,0))</f>
        <v/>
      </c>
      <c r="AI1062" s="14" t="str">
        <f aca="false">IF($D1062&lt;&gt;1,"",IF(AND($G1062="IKS",ISNUMBER(INDEX(TblClusters[Fermeture retenue],$B1062))),IF($E1062&gt;=INDEX(TblClusters[Fermeture retenue],$B1062),1,0),0))</f>
        <v/>
      </c>
    </row>
    <row r="1063" customFormat="false" ht="15" hidden="false" customHeight="false" outlineLevel="0" collapsed="false">
      <c r="A1063" s="14" t="n">
        <v>1058</v>
      </c>
      <c r="B1063" s="14" t="n">
        <f aca="false">INT(($A1063-1)/36)+1</f>
        <v>30</v>
      </c>
      <c r="C1063" s="14" t="n">
        <f aca="false">MOD($A1063-1,36)+1</f>
        <v>14</v>
      </c>
      <c r="D1063" s="14" t="n">
        <f aca="false">IF($C1063&gt;p_horizon,0,IFERROR(IF(AND(INDEX(TblClusters[Cluster],$B1063)&lt;&gt;"",ISNUMBER(INDEX(TblClusters[CPU initial (vCPU)],$B1063)),ISNUMBER(INDEX(TblClusters[CPU min (vCPU)],$B1063)),OR(INDEX(TblClusters[Plateforme],$B1063)="IKS",INDEX(TblClusters[Plateforme],$B1063)="ROKS")),1,0),0))</f>
        <v>0</v>
      </c>
      <c r="E1063" s="83" t="str">
        <f aca="false">IF($D1063=1,EDATE(p_debut,$C1063-1),"")</f>
        <v/>
      </c>
      <c r="F1063" s="14" t="str">
        <f aca="false">IF($D1063=1,INDEX(TblClusters[Cluster],$B1063),"")</f>
        <v/>
      </c>
      <c r="G1063" s="14" t="str">
        <f aca="false">IF($D1063=1,INDEX(TblClusters[Plateforme],$B1063),"")</f>
        <v/>
      </c>
      <c r="H1063" s="14" t="str">
        <f aca="false">IF($D1063=1,INDEX(TblClusters[vCPU par nœud],$B1063),"")</f>
        <v/>
      </c>
      <c r="I1063" s="14" t="str">
        <f aca="false">IF($D1063=1,INDEX(TblClusters[RAM par nœud (Go)],$B1063),"")</f>
        <v/>
      </c>
      <c r="J1063" s="14" t="str">
        <f aca="false">IF($D1063=1,INDEX(TblClusters[Workers min],$B1063),"")</f>
        <v/>
      </c>
      <c r="K1063" s="84" t="str">
        <f aca="false">IF($D1063=1,INDEX(TblClusters[Tarif par nœud],$B1063),"")</f>
        <v/>
      </c>
      <c r="L1063" s="14" t="str">
        <f aca="false">IF($D1063=1,INDEX(TblClusters[CPU initial (vCPU)],$B1063),"")</f>
        <v/>
      </c>
      <c r="M1063" s="14" t="str">
        <f aca="false">IF($D1063=1,INDEX(TblClusters[RAM initiale (Go)],$B1063),"")</f>
        <v/>
      </c>
      <c r="N1063" s="14" t="str">
        <f aca="false">IF($D1063=1,INDEX(TblClusters[CPU min (vCPU)],$B1063),"")</f>
        <v/>
      </c>
      <c r="O1063" s="14" t="str">
        <f aca="false">IF($D1063=1,INDEX(TblClusters[RAM min (Go)],$B1063),"")</f>
        <v/>
      </c>
      <c r="P1063" s="14" t="str">
        <f aca="false">IF($D1063&lt;&gt;1,"",IF($G1063="ROKS",SUMIFS(TblApplications[Besoin ROKS CPU (vCPU)],TblApplications[Cluster ROKS cible],$F1063,TblApplications[Action],"À migrer",TblApplications[Déjà incluse ROKS],"Non",TblApplications[Mois prov (calc)],"&lt;="&amp;$E1063),SUMIFS(TblApplications[CPU IKS libérable (vCPU)],TblApplications[Cluster IKS source],$F1063,TblApplications[Mois lib (calc)],"&lt;="&amp;$E1063)))</f>
        <v/>
      </c>
      <c r="Q1063" s="14" t="str">
        <f aca="false">IF($D1063&lt;&gt;1,"",IF($G1063="ROKS",SUMIFS(TblApplications[Besoin ROKS RAM (Go)],TblApplications[Cluster ROKS cible],$F1063,TblApplications[Action],"À migrer",TblApplications[Déjà incluse ROKS],"Non",TblApplications[Mois prov (calc)],"&lt;="&amp;$E1063),SUMIFS(TblApplications[RAM IKS libérable (Go)],TblApplications[Cluster IKS source],$F1063,TblApplications[Mois lib (calc)],"&lt;="&amp;$E1063)))</f>
        <v/>
      </c>
      <c r="R1063" s="14" t="str">
        <f aca="false">IF($D1063&lt;&gt;1,"",IF($G1063="ROKS",$L1063+$P1063,IF($AI1063=1,0,MAX($N1063,$L1063-$P1063))))</f>
        <v/>
      </c>
      <c r="S1063" s="14" t="str">
        <f aca="false">IF($D1063&lt;&gt;1,"",IF($G1063="ROKS",$M1063+$Q1063,IF($AI1063=1,0,MAX($O1063,$M1063-$Q1063))))</f>
        <v/>
      </c>
      <c r="T1063" s="14" t="str">
        <f aca="false">IF($D1063&lt;&gt;1,"",IF($AI1063=1,0,MAX($J1063,ROUNDUP(MAX($R1063/$H1063,$S1063/$I1063),0))))</f>
        <v/>
      </c>
      <c r="U1063" s="14" t="str">
        <f aca="false">IF($D1063&lt;&gt;1,"",IF(p_mode="Nœud",$T1063*$H1063,$R1063))</f>
        <v/>
      </c>
      <c r="V1063" s="14" t="str">
        <f aca="false">IF($D1063&lt;&gt;1,"",IF(p_mode="Nœud",$T1063*$I1063,$S1063))</f>
        <v/>
      </c>
      <c r="W1063" s="84" t="str">
        <f aca="false">IF($D1063&lt;&gt;1,"",IF(p_mode="Nœud",$T1063*$K1063,$R1063*IF($G1063="IKS",p_iks_cpu,p_roks_cpu)+$S1063*IF($G1063="IKS",p_iks_ram,p_roks_ram))*p_facteur)</f>
        <v/>
      </c>
      <c r="X1063" s="14" t="str">
        <f aca="false">IF($D1063&lt;&gt;1,"",IF($G1063="ROKS",$R1063,IF($AI1063=1,0,MAX($N1063,$L1063-SUMIFS(TblApplications[CPU IKS libérable (vCPU)],TblApplications[Cluster IKS source],$F1063,TblApplications[Action],"À migrer",TblApplications[Mois prov (calc)],"&lt;="&amp;$E1063)-SUMIFS(TblApplications[CPU IKS libérable (vCPU)],TblApplications[Cluster IKS source],$F1063,TblApplications[Action],"À décommissionner",TblApplications[Mois lib (calc)],"&lt;="&amp;$E1063)))))</f>
        <v/>
      </c>
      <c r="Y1063" s="14" t="str">
        <f aca="false">IF($D1063&lt;&gt;1,"",IF($G1063="ROKS",$S1063,IF($AI1063=1,0,MAX($O1063,$M1063-SUMIFS(TblApplications[RAM IKS libérable (Go)],TblApplications[Cluster IKS source],$F1063,TblApplications[Action],"À migrer",TblApplications[Mois prov (calc)],"&lt;="&amp;$E1063)-SUMIFS(TblApplications[RAM IKS libérable (Go)],TblApplications[Cluster IKS source],$F1063,TblApplications[Action],"À décommissionner",TblApplications[Mois lib (calc)],"&lt;="&amp;$E1063)))))</f>
        <v/>
      </c>
      <c r="Z1063" s="14" t="str">
        <f aca="false">IF($D1063&lt;&gt;1,"",IF($AI1063=1,0,MAX($J1063,ROUNDUP(MAX($X1063/$H1063,$Y1063/$I1063),0))))</f>
        <v/>
      </c>
      <c r="AA1063" s="84" t="str">
        <f aca="false">IF($D1063&lt;&gt;1,"",IF(p_mode="Nœud",$Z1063*$K1063,$X1063*IF($G1063="IKS",p_iks_cpu,p_roks_cpu)+$Y1063*IF($G1063="IKS",p_iks_ram,p_roks_ram))*p_facteur)</f>
        <v/>
      </c>
      <c r="AB1063" s="14" t="str">
        <f aca="false">IF($D1063&lt;&gt;1,"",MAX($J1063,ROUNDUP(MAX($L1063/$H1063,$M1063/$I1063),0)))</f>
        <v/>
      </c>
      <c r="AC1063" s="84" t="str">
        <f aca="false">IF($D1063&lt;&gt;1,"",IF(p_mode="Nœud",$AB1063*$K1063,$L1063*IF($G1063="IKS",p_iks_cpu,p_roks_cpu)+$M1063*IF($G1063="IKS",p_iks_ram,p_roks_ram))*p_facteur)</f>
        <v/>
      </c>
      <c r="AD1063" s="14" t="str">
        <f aca="false">IF($D1063&lt;&gt;1,"",IF(AND($G1063="IKS",$AI1063&lt;&gt;1,OR($L1063-$P1063&lt;$N1063,$M1063-$Q1063&lt;$O1063)),1,0))</f>
        <v/>
      </c>
      <c r="AE1063" s="14" t="str">
        <f aca="false">IF($D1063&lt;&gt;1,"",IF(AND($G1063="ROKS",$T1063&gt;p_maxworkers),1,0))</f>
        <v/>
      </c>
      <c r="AF1063" s="14" t="str">
        <f aca="false">IF($D1063&lt;&gt;1,"",IF(INDEX(TblClusters[Environnement],$B1063)="","(vide)",INDEX(TblClusters[Environnement],$B1063)))</f>
        <v/>
      </c>
      <c r="AG1063" s="14" t="str">
        <f aca="false">IF($D1063&lt;&gt;1,"",$R1063+p_poidsram*$S1063)</f>
        <v/>
      </c>
      <c r="AH1063" s="14" t="str">
        <f aca="false">IF($D1063&lt;&gt;1,"",IFERROR($W1063/$AG1063,0))</f>
        <v/>
      </c>
      <c r="AI1063" s="14" t="str">
        <f aca="false">IF($D1063&lt;&gt;1,"",IF(AND($G1063="IKS",ISNUMBER(INDEX(TblClusters[Fermeture retenue],$B1063))),IF($E1063&gt;=INDEX(TblClusters[Fermeture retenue],$B1063),1,0),0))</f>
        <v/>
      </c>
    </row>
    <row r="1064" customFormat="false" ht="15" hidden="false" customHeight="false" outlineLevel="0" collapsed="false">
      <c r="A1064" s="14" t="n">
        <v>1059</v>
      </c>
      <c r="B1064" s="14" t="n">
        <f aca="false">INT(($A1064-1)/36)+1</f>
        <v>30</v>
      </c>
      <c r="C1064" s="14" t="n">
        <f aca="false">MOD($A1064-1,36)+1</f>
        <v>15</v>
      </c>
      <c r="D1064" s="14" t="n">
        <f aca="false">IF($C1064&gt;p_horizon,0,IFERROR(IF(AND(INDEX(TblClusters[Cluster],$B1064)&lt;&gt;"",ISNUMBER(INDEX(TblClusters[CPU initial (vCPU)],$B1064)),ISNUMBER(INDEX(TblClusters[CPU min (vCPU)],$B1064)),OR(INDEX(TblClusters[Plateforme],$B1064)="IKS",INDEX(TblClusters[Plateforme],$B1064)="ROKS")),1,0),0))</f>
        <v>0</v>
      </c>
      <c r="E1064" s="83" t="str">
        <f aca="false">IF($D1064=1,EDATE(p_debut,$C1064-1),"")</f>
        <v/>
      </c>
      <c r="F1064" s="14" t="str">
        <f aca="false">IF($D1064=1,INDEX(TblClusters[Cluster],$B1064),"")</f>
        <v/>
      </c>
      <c r="G1064" s="14" t="str">
        <f aca="false">IF($D1064=1,INDEX(TblClusters[Plateforme],$B1064),"")</f>
        <v/>
      </c>
      <c r="H1064" s="14" t="str">
        <f aca="false">IF($D1064=1,INDEX(TblClusters[vCPU par nœud],$B1064),"")</f>
        <v/>
      </c>
      <c r="I1064" s="14" t="str">
        <f aca="false">IF($D1064=1,INDEX(TblClusters[RAM par nœud (Go)],$B1064),"")</f>
        <v/>
      </c>
      <c r="J1064" s="14" t="str">
        <f aca="false">IF($D1064=1,INDEX(TblClusters[Workers min],$B1064),"")</f>
        <v/>
      </c>
      <c r="K1064" s="84" t="str">
        <f aca="false">IF($D1064=1,INDEX(TblClusters[Tarif par nœud],$B1064),"")</f>
        <v/>
      </c>
      <c r="L1064" s="14" t="str">
        <f aca="false">IF($D1064=1,INDEX(TblClusters[CPU initial (vCPU)],$B1064),"")</f>
        <v/>
      </c>
      <c r="M1064" s="14" t="str">
        <f aca="false">IF($D1064=1,INDEX(TblClusters[RAM initiale (Go)],$B1064),"")</f>
        <v/>
      </c>
      <c r="N1064" s="14" t="str">
        <f aca="false">IF($D1064=1,INDEX(TblClusters[CPU min (vCPU)],$B1064),"")</f>
        <v/>
      </c>
      <c r="O1064" s="14" t="str">
        <f aca="false">IF($D1064=1,INDEX(TblClusters[RAM min (Go)],$B1064),"")</f>
        <v/>
      </c>
      <c r="P1064" s="14" t="str">
        <f aca="false">IF($D1064&lt;&gt;1,"",IF($G1064="ROKS",SUMIFS(TblApplications[Besoin ROKS CPU (vCPU)],TblApplications[Cluster ROKS cible],$F1064,TblApplications[Action],"À migrer",TblApplications[Déjà incluse ROKS],"Non",TblApplications[Mois prov (calc)],"&lt;="&amp;$E1064),SUMIFS(TblApplications[CPU IKS libérable (vCPU)],TblApplications[Cluster IKS source],$F1064,TblApplications[Mois lib (calc)],"&lt;="&amp;$E1064)))</f>
        <v/>
      </c>
      <c r="Q1064" s="14" t="str">
        <f aca="false">IF($D1064&lt;&gt;1,"",IF($G1064="ROKS",SUMIFS(TblApplications[Besoin ROKS RAM (Go)],TblApplications[Cluster ROKS cible],$F1064,TblApplications[Action],"À migrer",TblApplications[Déjà incluse ROKS],"Non",TblApplications[Mois prov (calc)],"&lt;="&amp;$E1064),SUMIFS(TblApplications[RAM IKS libérable (Go)],TblApplications[Cluster IKS source],$F1064,TblApplications[Mois lib (calc)],"&lt;="&amp;$E1064)))</f>
        <v/>
      </c>
      <c r="R1064" s="14" t="str">
        <f aca="false">IF($D1064&lt;&gt;1,"",IF($G1064="ROKS",$L1064+$P1064,IF($AI1064=1,0,MAX($N1064,$L1064-$P1064))))</f>
        <v/>
      </c>
      <c r="S1064" s="14" t="str">
        <f aca="false">IF($D1064&lt;&gt;1,"",IF($G1064="ROKS",$M1064+$Q1064,IF($AI1064=1,0,MAX($O1064,$M1064-$Q1064))))</f>
        <v/>
      </c>
      <c r="T1064" s="14" t="str">
        <f aca="false">IF($D1064&lt;&gt;1,"",IF($AI1064=1,0,MAX($J1064,ROUNDUP(MAX($R1064/$H1064,$S1064/$I1064),0))))</f>
        <v/>
      </c>
      <c r="U1064" s="14" t="str">
        <f aca="false">IF($D1064&lt;&gt;1,"",IF(p_mode="Nœud",$T1064*$H1064,$R1064))</f>
        <v/>
      </c>
      <c r="V1064" s="14" t="str">
        <f aca="false">IF($D1064&lt;&gt;1,"",IF(p_mode="Nœud",$T1064*$I1064,$S1064))</f>
        <v/>
      </c>
      <c r="W1064" s="84" t="str">
        <f aca="false">IF($D1064&lt;&gt;1,"",IF(p_mode="Nœud",$T1064*$K1064,$R1064*IF($G1064="IKS",p_iks_cpu,p_roks_cpu)+$S1064*IF($G1064="IKS",p_iks_ram,p_roks_ram))*p_facteur)</f>
        <v/>
      </c>
      <c r="X1064" s="14" t="str">
        <f aca="false">IF($D1064&lt;&gt;1,"",IF($G1064="ROKS",$R1064,IF($AI1064=1,0,MAX($N1064,$L1064-SUMIFS(TblApplications[CPU IKS libérable (vCPU)],TblApplications[Cluster IKS source],$F1064,TblApplications[Action],"À migrer",TblApplications[Mois prov (calc)],"&lt;="&amp;$E1064)-SUMIFS(TblApplications[CPU IKS libérable (vCPU)],TblApplications[Cluster IKS source],$F1064,TblApplications[Action],"À décommissionner",TblApplications[Mois lib (calc)],"&lt;="&amp;$E1064)))))</f>
        <v/>
      </c>
      <c r="Y1064" s="14" t="str">
        <f aca="false">IF($D1064&lt;&gt;1,"",IF($G1064="ROKS",$S1064,IF($AI1064=1,0,MAX($O1064,$M1064-SUMIFS(TblApplications[RAM IKS libérable (Go)],TblApplications[Cluster IKS source],$F1064,TblApplications[Action],"À migrer",TblApplications[Mois prov (calc)],"&lt;="&amp;$E1064)-SUMIFS(TblApplications[RAM IKS libérable (Go)],TblApplications[Cluster IKS source],$F1064,TblApplications[Action],"À décommissionner",TblApplications[Mois lib (calc)],"&lt;="&amp;$E1064)))))</f>
        <v/>
      </c>
      <c r="Z1064" s="14" t="str">
        <f aca="false">IF($D1064&lt;&gt;1,"",IF($AI1064=1,0,MAX($J1064,ROUNDUP(MAX($X1064/$H1064,$Y1064/$I1064),0))))</f>
        <v/>
      </c>
      <c r="AA1064" s="84" t="str">
        <f aca="false">IF($D1064&lt;&gt;1,"",IF(p_mode="Nœud",$Z1064*$K1064,$X1064*IF($G1064="IKS",p_iks_cpu,p_roks_cpu)+$Y1064*IF($G1064="IKS",p_iks_ram,p_roks_ram))*p_facteur)</f>
        <v/>
      </c>
      <c r="AB1064" s="14" t="str">
        <f aca="false">IF($D1064&lt;&gt;1,"",MAX($J1064,ROUNDUP(MAX($L1064/$H1064,$M1064/$I1064),0)))</f>
        <v/>
      </c>
      <c r="AC1064" s="84" t="str">
        <f aca="false">IF($D1064&lt;&gt;1,"",IF(p_mode="Nœud",$AB1064*$K1064,$L1064*IF($G1064="IKS",p_iks_cpu,p_roks_cpu)+$M1064*IF($G1064="IKS",p_iks_ram,p_roks_ram))*p_facteur)</f>
        <v/>
      </c>
      <c r="AD1064" s="14" t="str">
        <f aca="false">IF($D1064&lt;&gt;1,"",IF(AND($G1064="IKS",$AI1064&lt;&gt;1,OR($L1064-$P1064&lt;$N1064,$M1064-$Q1064&lt;$O1064)),1,0))</f>
        <v/>
      </c>
      <c r="AE1064" s="14" t="str">
        <f aca="false">IF($D1064&lt;&gt;1,"",IF(AND($G1064="ROKS",$T1064&gt;p_maxworkers),1,0))</f>
        <v/>
      </c>
      <c r="AF1064" s="14" t="str">
        <f aca="false">IF($D1064&lt;&gt;1,"",IF(INDEX(TblClusters[Environnement],$B1064)="","(vide)",INDEX(TblClusters[Environnement],$B1064)))</f>
        <v/>
      </c>
      <c r="AG1064" s="14" t="str">
        <f aca="false">IF($D1064&lt;&gt;1,"",$R1064+p_poidsram*$S1064)</f>
        <v/>
      </c>
      <c r="AH1064" s="14" t="str">
        <f aca="false">IF($D1064&lt;&gt;1,"",IFERROR($W1064/$AG1064,0))</f>
        <v/>
      </c>
      <c r="AI1064" s="14" t="str">
        <f aca="false">IF($D1064&lt;&gt;1,"",IF(AND($G1064="IKS",ISNUMBER(INDEX(TblClusters[Fermeture retenue],$B1064))),IF($E1064&gt;=INDEX(TblClusters[Fermeture retenue],$B1064),1,0),0))</f>
        <v/>
      </c>
    </row>
    <row r="1065" customFormat="false" ht="15" hidden="false" customHeight="false" outlineLevel="0" collapsed="false">
      <c r="A1065" s="14" t="n">
        <v>1060</v>
      </c>
      <c r="B1065" s="14" t="n">
        <f aca="false">INT(($A1065-1)/36)+1</f>
        <v>30</v>
      </c>
      <c r="C1065" s="14" t="n">
        <f aca="false">MOD($A1065-1,36)+1</f>
        <v>16</v>
      </c>
      <c r="D1065" s="14" t="n">
        <f aca="false">IF($C1065&gt;p_horizon,0,IFERROR(IF(AND(INDEX(TblClusters[Cluster],$B1065)&lt;&gt;"",ISNUMBER(INDEX(TblClusters[CPU initial (vCPU)],$B1065)),ISNUMBER(INDEX(TblClusters[CPU min (vCPU)],$B1065)),OR(INDEX(TblClusters[Plateforme],$B1065)="IKS",INDEX(TblClusters[Plateforme],$B1065)="ROKS")),1,0),0))</f>
        <v>0</v>
      </c>
      <c r="E1065" s="83" t="str">
        <f aca="false">IF($D1065=1,EDATE(p_debut,$C1065-1),"")</f>
        <v/>
      </c>
      <c r="F1065" s="14" t="str">
        <f aca="false">IF($D1065=1,INDEX(TblClusters[Cluster],$B1065),"")</f>
        <v/>
      </c>
      <c r="G1065" s="14" t="str">
        <f aca="false">IF($D1065=1,INDEX(TblClusters[Plateforme],$B1065),"")</f>
        <v/>
      </c>
      <c r="H1065" s="14" t="str">
        <f aca="false">IF($D1065=1,INDEX(TblClusters[vCPU par nœud],$B1065),"")</f>
        <v/>
      </c>
      <c r="I1065" s="14" t="str">
        <f aca="false">IF($D1065=1,INDEX(TblClusters[RAM par nœud (Go)],$B1065),"")</f>
        <v/>
      </c>
      <c r="J1065" s="14" t="str">
        <f aca="false">IF($D1065=1,INDEX(TblClusters[Workers min],$B1065),"")</f>
        <v/>
      </c>
      <c r="K1065" s="84" t="str">
        <f aca="false">IF($D1065=1,INDEX(TblClusters[Tarif par nœud],$B1065),"")</f>
        <v/>
      </c>
      <c r="L1065" s="14" t="str">
        <f aca="false">IF($D1065=1,INDEX(TblClusters[CPU initial (vCPU)],$B1065),"")</f>
        <v/>
      </c>
      <c r="M1065" s="14" t="str">
        <f aca="false">IF($D1065=1,INDEX(TblClusters[RAM initiale (Go)],$B1065),"")</f>
        <v/>
      </c>
      <c r="N1065" s="14" t="str">
        <f aca="false">IF($D1065=1,INDEX(TblClusters[CPU min (vCPU)],$B1065),"")</f>
        <v/>
      </c>
      <c r="O1065" s="14" t="str">
        <f aca="false">IF($D1065=1,INDEX(TblClusters[RAM min (Go)],$B1065),"")</f>
        <v/>
      </c>
      <c r="P1065" s="14" t="str">
        <f aca="false">IF($D1065&lt;&gt;1,"",IF($G1065="ROKS",SUMIFS(TblApplications[Besoin ROKS CPU (vCPU)],TblApplications[Cluster ROKS cible],$F1065,TblApplications[Action],"À migrer",TblApplications[Déjà incluse ROKS],"Non",TblApplications[Mois prov (calc)],"&lt;="&amp;$E1065),SUMIFS(TblApplications[CPU IKS libérable (vCPU)],TblApplications[Cluster IKS source],$F1065,TblApplications[Mois lib (calc)],"&lt;="&amp;$E1065)))</f>
        <v/>
      </c>
      <c r="Q1065" s="14" t="str">
        <f aca="false">IF($D1065&lt;&gt;1,"",IF($G1065="ROKS",SUMIFS(TblApplications[Besoin ROKS RAM (Go)],TblApplications[Cluster ROKS cible],$F1065,TblApplications[Action],"À migrer",TblApplications[Déjà incluse ROKS],"Non",TblApplications[Mois prov (calc)],"&lt;="&amp;$E1065),SUMIFS(TblApplications[RAM IKS libérable (Go)],TblApplications[Cluster IKS source],$F1065,TblApplications[Mois lib (calc)],"&lt;="&amp;$E1065)))</f>
        <v/>
      </c>
      <c r="R1065" s="14" t="str">
        <f aca="false">IF($D1065&lt;&gt;1,"",IF($G1065="ROKS",$L1065+$P1065,IF($AI1065=1,0,MAX($N1065,$L1065-$P1065))))</f>
        <v/>
      </c>
      <c r="S1065" s="14" t="str">
        <f aca="false">IF($D1065&lt;&gt;1,"",IF($G1065="ROKS",$M1065+$Q1065,IF($AI1065=1,0,MAX($O1065,$M1065-$Q1065))))</f>
        <v/>
      </c>
      <c r="T1065" s="14" t="str">
        <f aca="false">IF($D1065&lt;&gt;1,"",IF($AI1065=1,0,MAX($J1065,ROUNDUP(MAX($R1065/$H1065,$S1065/$I1065),0))))</f>
        <v/>
      </c>
      <c r="U1065" s="14" t="str">
        <f aca="false">IF($D1065&lt;&gt;1,"",IF(p_mode="Nœud",$T1065*$H1065,$R1065))</f>
        <v/>
      </c>
      <c r="V1065" s="14" t="str">
        <f aca="false">IF($D1065&lt;&gt;1,"",IF(p_mode="Nœud",$T1065*$I1065,$S1065))</f>
        <v/>
      </c>
      <c r="W1065" s="84" t="str">
        <f aca="false">IF($D1065&lt;&gt;1,"",IF(p_mode="Nœud",$T1065*$K1065,$R1065*IF($G1065="IKS",p_iks_cpu,p_roks_cpu)+$S1065*IF($G1065="IKS",p_iks_ram,p_roks_ram))*p_facteur)</f>
        <v/>
      </c>
      <c r="X1065" s="14" t="str">
        <f aca="false">IF($D1065&lt;&gt;1,"",IF($G1065="ROKS",$R1065,IF($AI1065=1,0,MAX($N1065,$L1065-SUMIFS(TblApplications[CPU IKS libérable (vCPU)],TblApplications[Cluster IKS source],$F1065,TblApplications[Action],"À migrer",TblApplications[Mois prov (calc)],"&lt;="&amp;$E1065)-SUMIFS(TblApplications[CPU IKS libérable (vCPU)],TblApplications[Cluster IKS source],$F1065,TblApplications[Action],"À décommissionner",TblApplications[Mois lib (calc)],"&lt;="&amp;$E1065)))))</f>
        <v/>
      </c>
      <c r="Y1065" s="14" t="str">
        <f aca="false">IF($D1065&lt;&gt;1,"",IF($G1065="ROKS",$S1065,IF($AI1065=1,0,MAX($O1065,$M1065-SUMIFS(TblApplications[RAM IKS libérable (Go)],TblApplications[Cluster IKS source],$F1065,TblApplications[Action],"À migrer",TblApplications[Mois prov (calc)],"&lt;="&amp;$E1065)-SUMIFS(TblApplications[RAM IKS libérable (Go)],TblApplications[Cluster IKS source],$F1065,TblApplications[Action],"À décommissionner",TblApplications[Mois lib (calc)],"&lt;="&amp;$E1065)))))</f>
        <v/>
      </c>
      <c r="Z1065" s="14" t="str">
        <f aca="false">IF($D1065&lt;&gt;1,"",IF($AI1065=1,0,MAX($J1065,ROUNDUP(MAX($X1065/$H1065,$Y1065/$I1065),0))))</f>
        <v/>
      </c>
      <c r="AA1065" s="84" t="str">
        <f aca="false">IF($D1065&lt;&gt;1,"",IF(p_mode="Nœud",$Z1065*$K1065,$X1065*IF($G1065="IKS",p_iks_cpu,p_roks_cpu)+$Y1065*IF($G1065="IKS",p_iks_ram,p_roks_ram))*p_facteur)</f>
        <v/>
      </c>
      <c r="AB1065" s="14" t="str">
        <f aca="false">IF($D1065&lt;&gt;1,"",MAX($J1065,ROUNDUP(MAX($L1065/$H1065,$M1065/$I1065),0)))</f>
        <v/>
      </c>
      <c r="AC1065" s="84" t="str">
        <f aca="false">IF($D1065&lt;&gt;1,"",IF(p_mode="Nœud",$AB1065*$K1065,$L1065*IF($G1065="IKS",p_iks_cpu,p_roks_cpu)+$M1065*IF($G1065="IKS",p_iks_ram,p_roks_ram))*p_facteur)</f>
        <v/>
      </c>
      <c r="AD1065" s="14" t="str">
        <f aca="false">IF($D1065&lt;&gt;1,"",IF(AND($G1065="IKS",$AI1065&lt;&gt;1,OR($L1065-$P1065&lt;$N1065,$M1065-$Q1065&lt;$O1065)),1,0))</f>
        <v/>
      </c>
      <c r="AE1065" s="14" t="str">
        <f aca="false">IF($D1065&lt;&gt;1,"",IF(AND($G1065="ROKS",$T1065&gt;p_maxworkers),1,0))</f>
        <v/>
      </c>
      <c r="AF1065" s="14" t="str">
        <f aca="false">IF($D1065&lt;&gt;1,"",IF(INDEX(TblClusters[Environnement],$B1065)="","(vide)",INDEX(TblClusters[Environnement],$B1065)))</f>
        <v/>
      </c>
      <c r="AG1065" s="14" t="str">
        <f aca="false">IF($D1065&lt;&gt;1,"",$R1065+p_poidsram*$S1065)</f>
        <v/>
      </c>
      <c r="AH1065" s="14" t="str">
        <f aca="false">IF($D1065&lt;&gt;1,"",IFERROR($W1065/$AG1065,0))</f>
        <v/>
      </c>
      <c r="AI1065" s="14" t="str">
        <f aca="false">IF($D1065&lt;&gt;1,"",IF(AND($G1065="IKS",ISNUMBER(INDEX(TblClusters[Fermeture retenue],$B1065))),IF($E1065&gt;=INDEX(TblClusters[Fermeture retenue],$B1065),1,0),0))</f>
        <v/>
      </c>
    </row>
    <row r="1066" customFormat="false" ht="15" hidden="false" customHeight="false" outlineLevel="0" collapsed="false">
      <c r="A1066" s="14" t="n">
        <v>1061</v>
      </c>
      <c r="B1066" s="14" t="n">
        <f aca="false">INT(($A1066-1)/36)+1</f>
        <v>30</v>
      </c>
      <c r="C1066" s="14" t="n">
        <f aca="false">MOD($A1066-1,36)+1</f>
        <v>17</v>
      </c>
      <c r="D1066" s="14" t="n">
        <f aca="false">IF($C1066&gt;p_horizon,0,IFERROR(IF(AND(INDEX(TblClusters[Cluster],$B1066)&lt;&gt;"",ISNUMBER(INDEX(TblClusters[CPU initial (vCPU)],$B1066)),ISNUMBER(INDEX(TblClusters[CPU min (vCPU)],$B1066)),OR(INDEX(TblClusters[Plateforme],$B1066)="IKS",INDEX(TblClusters[Plateforme],$B1066)="ROKS")),1,0),0))</f>
        <v>0</v>
      </c>
      <c r="E1066" s="83" t="str">
        <f aca="false">IF($D1066=1,EDATE(p_debut,$C1066-1),"")</f>
        <v/>
      </c>
      <c r="F1066" s="14" t="str">
        <f aca="false">IF($D1066=1,INDEX(TblClusters[Cluster],$B1066),"")</f>
        <v/>
      </c>
      <c r="G1066" s="14" t="str">
        <f aca="false">IF($D1066=1,INDEX(TblClusters[Plateforme],$B1066),"")</f>
        <v/>
      </c>
      <c r="H1066" s="14" t="str">
        <f aca="false">IF($D1066=1,INDEX(TblClusters[vCPU par nœud],$B1066),"")</f>
        <v/>
      </c>
      <c r="I1066" s="14" t="str">
        <f aca="false">IF($D1066=1,INDEX(TblClusters[RAM par nœud (Go)],$B1066),"")</f>
        <v/>
      </c>
      <c r="J1066" s="14" t="str">
        <f aca="false">IF($D1066=1,INDEX(TblClusters[Workers min],$B1066),"")</f>
        <v/>
      </c>
      <c r="K1066" s="84" t="str">
        <f aca="false">IF($D1066=1,INDEX(TblClusters[Tarif par nœud],$B1066),"")</f>
        <v/>
      </c>
      <c r="L1066" s="14" t="str">
        <f aca="false">IF($D1066=1,INDEX(TblClusters[CPU initial (vCPU)],$B1066),"")</f>
        <v/>
      </c>
      <c r="M1066" s="14" t="str">
        <f aca="false">IF($D1066=1,INDEX(TblClusters[RAM initiale (Go)],$B1066),"")</f>
        <v/>
      </c>
      <c r="N1066" s="14" t="str">
        <f aca="false">IF($D1066=1,INDEX(TblClusters[CPU min (vCPU)],$B1066),"")</f>
        <v/>
      </c>
      <c r="O1066" s="14" t="str">
        <f aca="false">IF($D1066=1,INDEX(TblClusters[RAM min (Go)],$B1066),"")</f>
        <v/>
      </c>
      <c r="P1066" s="14" t="str">
        <f aca="false">IF($D1066&lt;&gt;1,"",IF($G1066="ROKS",SUMIFS(TblApplications[Besoin ROKS CPU (vCPU)],TblApplications[Cluster ROKS cible],$F1066,TblApplications[Action],"À migrer",TblApplications[Déjà incluse ROKS],"Non",TblApplications[Mois prov (calc)],"&lt;="&amp;$E1066),SUMIFS(TblApplications[CPU IKS libérable (vCPU)],TblApplications[Cluster IKS source],$F1066,TblApplications[Mois lib (calc)],"&lt;="&amp;$E1066)))</f>
        <v/>
      </c>
      <c r="Q1066" s="14" t="str">
        <f aca="false">IF($D1066&lt;&gt;1,"",IF($G1066="ROKS",SUMIFS(TblApplications[Besoin ROKS RAM (Go)],TblApplications[Cluster ROKS cible],$F1066,TblApplications[Action],"À migrer",TblApplications[Déjà incluse ROKS],"Non",TblApplications[Mois prov (calc)],"&lt;="&amp;$E1066),SUMIFS(TblApplications[RAM IKS libérable (Go)],TblApplications[Cluster IKS source],$F1066,TblApplications[Mois lib (calc)],"&lt;="&amp;$E1066)))</f>
        <v/>
      </c>
      <c r="R1066" s="14" t="str">
        <f aca="false">IF($D1066&lt;&gt;1,"",IF($G1066="ROKS",$L1066+$P1066,IF($AI1066=1,0,MAX($N1066,$L1066-$P1066))))</f>
        <v/>
      </c>
      <c r="S1066" s="14" t="str">
        <f aca="false">IF($D1066&lt;&gt;1,"",IF($G1066="ROKS",$M1066+$Q1066,IF($AI1066=1,0,MAX($O1066,$M1066-$Q1066))))</f>
        <v/>
      </c>
      <c r="T1066" s="14" t="str">
        <f aca="false">IF($D1066&lt;&gt;1,"",IF($AI1066=1,0,MAX($J1066,ROUNDUP(MAX($R1066/$H1066,$S1066/$I1066),0))))</f>
        <v/>
      </c>
      <c r="U1066" s="14" t="str">
        <f aca="false">IF($D1066&lt;&gt;1,"",IF(p_mode="Nœud",$T1066*$H1066,$R1066))</f>
        <v/>
      </c>
      <c r="V1066" s="14" t="str">
        <f aca="false">IF($D1066&lt;&gt;1,"",IF(p_mode="Nœud",$T1066*$I1066,$S1066))</f>
        <v/>
      </c>
      <c r="W1066" s="84" t="str">
        <f aca="false">IF($D1066&lt;&gt;1,"",IF(p_mode="Nœud",$T1066*$K1066,$R1066*IF($G1066="IKS",p_iks_cpu,p_roks_cpu)+$S1066*IF($G1066="IKS",p_iks_ram,p_roks_ram))*p_facteur)</f>
        <v/>
      </c>
      <c r="X1066" s="14" t="str">
        <f aca="false">IF($D1066&lt;&gt;1,"",IF($G1066="ROKS",$R1066,IF($AI1066=1,0,MAX($N1066,$L1066-SUMIFS(TblApplications[CPU IKS libérable (vCPU)],TblApplications[Cluster IKS source],$F1066,TblApplications[Action],"À migrer",TblApplications[Mois prov (calc)],"&lt;="&amp;$E1066)-SUMIFS(TblApplications[CPU IKS libérable (vCPU)],TblApplications[Cluster IKS source],$F1066,TblApplications[Action],"À décommissionner",TblApplications[Mois lib (calc)],"&lt;="&amp;$E1066)))))</f>
        <v/>
      </c>
      <c r="Y1066" s="14" t="str">
        <f aca="false">IF($D1066&lt;&gt;1,"",IF($G1066="ROKS",$S1066,IF($AI1066=1,0,MAX($O1066,$M1066-SUMIFS(TblApplications[RAM IKS libérable (Go)],TblApplications[Cluster IKS source],$F1066,TblApplications[Action],"À migrer",TblApplications[Mois prov (calc)],"&lt;="&amp;$E1066)-SUMIFS(TblApplications[RAM IKS libérable (Go)],TblApplications[Cluster IKS source],$F1066,TblApplications[Action],"À décommissionner",TblApplications[Mois lib (calc)],"&lt;="&amp;$E1066)))))</f>
        <v/>
      </c>
      <c r="Z1066" s="14" t="str">
        <f aca="false">IF($D1066&lt;&gt;1,"",IF($AI1066=1,0,MAX($J1066,ROUNDUP(MAX($X1066/$H1066,$Y1066/$I1066),0))))</f>
        <v/>
      </c>
      <c r="AA1066" s="84" t="str">
        <f aca="false">IF($D1066&lt;&gt;1,"",IF(p_mode="Nœud",$Z1066*$K1066,$X1066*IF($G1066="IKS",p_iks_cpu,p_roks_cpu)+$Y1066*IF($G1066="IKS",p_iks_ram,p_roks_ram))*p_facteur)</f>
        <v/>
      </c>
      <c r="AB1066" s="14" t="str">
        <f aca="false">IF($D1066&lt;&gt;1,"",MAX($J1066,ROUNDUP(MAX($L1066/$H1066,$M1066/$I1066),0)))</f>
        <v/>
      </c>
      <c r="AC1066" s="84" t="str">
        <f aca="false">IF($D1066&lt;&gt;1,"",IF(p_mode="Nœud",$AB1066*$K1066,$L1066*IF($G1066="IKS",p_iks_cpu,p_roks_cpu)+$M1066*IF($G1066="IKS",p_iks_ram,p_roks_ram))*p_facteur)</f>
        <v/>
      </c>
      <c r="AD1066" s="14" t="str">
        <f aca="false">IF($D1066&lt;&gt;1,"",IF(AND($G1066="IKS",$AI1066&lt;&gt;1,OR($L1066-$P1066&lt;$N1066,$M1066-$Q1066&lt;$O1066)),1,0))</f>
        <v/>
      </c>
      <c r="AE1066" s="14" t="str">
        <f aca="false">IF($D1066&lt;&gt;1,"",IF(AND($G1066="ROKS",$T1066&gt;p_maxworkers),1,0))</f>
        <v/>
      </c>
      <c r="AF1066" s="14" t="str">
        <f aca="false">IF($D1066&lt;&gt;1,"",IF(INDEX(TblClusters[Environnement],$B1066)="","(vide)",INDEX(TblClusters[Environnement],$B1066)))</f>
        <v/>
      </c>
      <c r="AG1066" s="14" t="str">
        <f aca="false">IF($D1066&lt;&gt;1,"",$R1066+p_poidsram*$S1066)</f>
        <v/>
      </c>
      <c r="AH1066" s="14" t="str">
        <f aca="false">IF($D1066&lt;&gt;1,"",IFERROR($W1066/$AG1066,0))</f>
        <v/>
      </c>
      <c r="AI1066" s="14" t="str">
        <f aca="false">IF($D1066&lt;&gt;1,"",IF(AND($G1066="IKS",ISNUMBER(INDEX(TblClusters[Fermeture retenue],$B1066))),IF($E1066&gt;=INDEX(TblClusters[Fermeture retenue],$B1066),1,0),0))</f>
        <v/>
      </c>
    </row>
    <row r="1067" customFormat="false" ht="15" hidden="false" customHeight="false" outlineLevel="0" collapsed="false">
      <c r="A1067" s="14" t="n">
        <v>1062</v>
      </c>
      <c r="B1067" s="14" t="n">
        <f aca="false">INT(($A1067-1)/36)+1</f>
        <v>30</v>
      </c>
      <c r="C1067" s="14" t="n">
        <f aca="false">MOD($A1067-1,36)+1</f>
        <v>18</v>
      </c>
      <c r="D1067" s="14" t="n">
        <f aca="false">IF($C1067&gt;p_horizon,0,IFERROR(IF(AND(INDEX(TblClusters[Cluster],$B1067)&lt;&gt;"",ISNUMBER(INDEX(TblClusters[CPU initial (vCPU)],$B1067)),ISNUMBER(INDEX(TblClusters[CPU min (vCPU)],$B1067)),OR(INDEX(TblClusters[Plateforme],$B1067)="IKS",INDEX(TblClusters[Plateforme],$B1067)="ROKS")),1,0),0))</f>
        <v>0</v>
      </c>
      <c r="E1067" s="83" t="str">
        <f aca="false">IF($D1067=1,EDATE(p_debut,$C1067-1),"")</f>
        <v/>
      </c>
      <c r="F1067" s="14" t="str">
        <f aca="false">IF($D1067=1,INDEX(TblClusters[Cluster],$B1067),"")</f>
        <v/>
      </c>
      <c r="G1067" s="14" t="str">
        <f aca="false">IF($D1067=1,INDEX(TblClusters[Plateforme],$B1067),"")</f>
        <v/>
      </c>
      <c r="H1067" s="14" t="str">
        <f aca="false">IF($D1067=1,INDEX(TblClusters[vCPU par nœud],$B1067),"")</f>
        <v/>
      </c>
      <c r="I1067" s="14" t="str">
        <f aca="false">IF($D1067=1,INDEX(TblClusters[RAM par nœud (Go)],$B1067),"")</f>
        <v/>
      </c>
      <c r="J1067" s="14" t="str">
        <f aca="false">IF($D1067=1,INDEX(TblClusters[Workers min],$B1067),"")</f>
        <v/>
      </c>
      <c r="K1067" s="84" t="str">
        <f aca="false">IF($D1067=1,INDEX(TblClusters[Tarif par nœud],$B1067),"")</f>
        <v/>
      </c>
      <c r="L1067" s="14" t="str">
        <f aca="false">IF($D1067=1,INDEX(TblClusters[CPU initial (vCPU)],$B1067),"")</f>
        <v/>
      </c>
      <c r="M1067" s="14" t="str">
        <f aca="false">IF($D1067=1,INDEX(TblClusters[RAM initiale (Go)],$B1067),"")</f>
        <v/>
      </c>
      <c r="N1067" s="14" t="str">
        <f aca="false">IF($D1067=1,INDEX(TblClusters[CPU min (vCPU)],$B1067),"")</f>
        <v/>
      </c>
      <c r="O1067" s="14" t="str">
        <f aca="false">IF($D1067=1,INDEX(TblClusters[RAM min (Go)],$B1067),"")</f>
        <v/>
      </c>
      <c r="P1067" s="14" t="str">
        <f aca="false">IF($D1067&lt;&gt;1,"",IF($G1067="ROKS",SUMIFS(TblApplications[Besoin ROKS CPU (vCPU)],TblApplications[Cluster ROKS cible],$F1067,TblApplications[Action],"À migrer",TblApplications[Déjà incluse ROKS],"Non",TblApplications[Mois prov (calc)],"&lt;="&amp;$E1067),SUMIFS(TblApplications[CPU IKS libérable (vCPU)],TblApplications[Cluster IKS source],$F1067,TblApplications[Mois lib (calc)],"&lt;="&amp;$E1067)))</f>
        <v/>
      </c>
      <c r="Q1067" s="14" t="str">
        <f aca="false">IF($D1067&lt;&gt;1,"",IF($G1067="ROKS",SUMIFS(TblApplications[Besoin ROKS RAM (Go)],TblApplications[Cluster ROKS cible],$F1067,TblApplications[Action],"À migrer",TblApplications[Déjà incluse ROKS],"Non",TblApplications[Mois prov (calc)],"&lt;="&amp;$E1067),SUMIFS(TblApplications[RAM IKS libérable (Go)],TblApplications[Cluster IKS source],$F1067,TblApplications[Mois lib (calc)],"&lt;="&amp;$E1067)))</f>
        <v/>
      </c>
      <c r="R1067" s="14" t="str">
        <f aca="false">IF($D1067&lt;&gt;1,"",IF($G1067="ROKS",$L1067+$P1067,IF($AI1067=1,0,MAX($N1067,$L1067-$P1067))))</f>
        <v/>
      </c>
      <c r="S1067" s="14" t="str">
        <f aca="false">IF($D1067&lt;&gt;1,"",IF($G1067="ROKS",$M1067+$Q1067,IF($AI1067=1,0,MAX($O1067,$M1067-$Q1067))))</f>
        <v/>
      </c>
      <c r="T1067" s="14" t="str">
        <f aca="false">IF($D1067&lt;&gt;1,"",IF($AI1067=1,0,MAX($J1067,ROUNDUP(MAX($R1067/$H1067,$S1067/$I1067),0))))</f>
        <v/>
      </c>
      <c r="U1067" s="14" t="str">
        <f aca="false">IF($D1067&lt;&gt;1,"",IF(p_mode="Nœud",$T1067*$H1067,$R1067))</f>
        <v/>
      </c>
      <c r="V1067" s="14" t="str">
        <f aca="false">IF($D1067&lt;&gt;1,"",IF(p_mode="Nœud",$T1067*$I1067,$S1067))</f>
        <v/>
      </c>
      <c r="W1067" s="84" t="str">
        <f aca="false">IF($D1067&lt;&gt;1,"",IF(p_mode="Nœud",$T1067*$K1067,$R1067*IF($G1067="IKS",p_iks_cpu,p_roks_cpu)+$S1067*IF($G1067="IKS",p_iks_ram,p_roks_ram))*p_facteur)</f>
        <v/>
      </c>
      <c r="X1067" s="14" t="str">
        <f aca="false">IF($D1067&lt;&gt;1,"",IF($G1067="ROKS",$R1067,IF($AI1067=1,0,MAX($N1067,$L1067-SUMIFS(TblApplications[CPU IKS libérable (vCPU)],TblApplications[Cluster IKS source],$F1067,TblApplications[Action],"À migrer",TblApplications[Mois prov (calc)],"&lt;="&amp;$E1067)-SUMIFS(TblApplications[CPU IKS libérable (vCPU)],TblApplications[Cluster IKS source],$F1067,TblApplications[Action],"À décommissionner",TblApplications[Mois lib (calc)],"&lt;="&amp;$E1067)))))</f>
        <v/>
      </c>
      <c r="Y1067" s="14" t="str">
        <f aca="false">IF($D1067&lt;&gt;1,"",IF($G1067="ROKS",$S1067,IF($AI1067=1,0,MAX($O1067,$M1067-SUMIFS(TblApplications[RAM IKS libérable (Go)],TblApplications[Cluster IKS source],$F1067,TblApplications[Action],"À migrer",TblApplications[Mois prov (calc)],"&lt;="&amp;$E1067)-SUMIFS(TblApplications[RAM IKS libérable (Go)],TblApplications[Cluster IKS source],$F1067,TblApplications[Action],"À décommissionner",TblApplications[Mois lib (calc)],"&lt;="&amp;$E1067)))))</f>
        <v/>
      </c>
      <c r="Z1067" s="14" t="str">
        <f aca="false">IF($D1067&lt;&gt;1,"",IF($AI1067=1,0,MAX($J1067,ROUNDUP(MAX($X1067/$H1067,$Y1067/$I1067),0))))</f>
        <v/>
      </c>
      <c r="AA1067" s="84" t="str">
        <f aca="false">IF($D1067&lt;&gt;1,"",IF(p_mode="Nœud",$Z1067*$K1067,$X1067*IF($G1067="IKS",p_iks_cpu,p_roks_cpu)+$Y1067*IF($G1067="IKS",p_iks_ram,p_roks_ram))*p_facteur)</f>
        <v/>
      </c>
      <c r="AB1067" s="14" t="str">
        <f aca="false">IF($D1067&lt;&gt;1,"",MAX($J1067,ROUNDUP(MAX($L1067/$H1067,$M1067/$I1067),0)))</f>
        <v/>
      </c>
      <c r="AC1067" s="84" t="str">
        <f aca="false">IF($D1067&lt;&gt;1,"",IF(p_mode="Nœud",$AB1067*$K1067,$L1067*IF($G1067="IKS",p_iks_cpu,p_roks_cpu)+$M1067*IF($G1067="IKS",p_iks_ram,p_roks_ram))*p_facteur)</f>
        <v/>
      </c>
      <c r="AD1067" s="14" t="str">
        <f aca="false">IF($D1067&lt;&gt;1,"",IF(AND($G1067="IKS",$AI1067&lt;&gt;1,OR($L1067-$P1067&lt;$N1067,$M1067-$Q1067&lt;$O1067)),1,0))</f>
        <v/>
      </c>
      <c r="AE1067" s="14" t="str">
        <f aca="false">IF($D1067&lt;&gt;1,"",IF(AND($G1067="ROKS",$T1067&gt;p_maxworkers),1,0))</f>
        <v/>
      </c>
      <c r="AF1067" s="14" t="str">
        <f aca="false">IF($D1067&lt;&gt;1,"",IF(INDEX(TblClusters[Environnement],$B1067)="","(vide)",INDEX(TblClusters[Environnement],$B1067)))</f>
        <v/>
      </c>
      <c r="AG1067" s="14" t="str">
        <f aca="false">IF($D1067&lt;&gt;1,"",$R1067+p_poidsram*$S1067)</f>
        <v/>
      </c>
      <c r="AH1067" s="14" t="str">
        <f aca="false">IF($D1067&lt;&gt;1,"",IFERROR($W1067/$AG1067,0))</f>
        <v/>
      </c>
      <c r="AI1067" s="14" t="str">
        <f aca="false">IF($D1067&lt;&gt;1,"",IF(AND($G1067="IKS",ISNUMBER(INDEX(TblClusters[Fermeture retenue],$B1067))),IF($E1067&gt;=INDEX(TblClusters[Fermeture retenue],$B1067),1,0),0))</f>
        <v/>
      </c>
    </row>
    <row r="1068" customFormat="false" ht="15" hidden="false" customHeight="false" outlineLevel="0" collapsed="false">
      <c r="A1068" s="14" t="n">
        <v>1063</v>
      </c>
      <c r="B1068" s="14" t="n">
        <f aca="false">INT(($A1068-1)/36)+1</f>
        <v>30</v>
      </c>
      <c r="C1068" s="14" t="n">
        <f aca="false">MOD($A1068-1,36)+1</f>
        <v>19</v>
      </c>
      <c r="D1068" s="14" t="n">
        <f aca="false">IF($C1068&gt;p_horizon,0,IFERROR(IF(AND(INDEX(TblClusters[Cluster],$B1068)&lt;&gt;"",ISNUMBER(INDEX(TblClusters[CPU initial (vCPU)],$B1068)),ISNUMBER(INDEX(TblClusters[CPU min (vCPU)],$B1068)),OR(INDEX(TblClusters[Plateforme],$B1068)="IKS",INDEX(TblClusters[Plateforme],$B1068)="ROKS")),1,0),0))</f>
        <v>0</v>
      </c>
      <c r="E1068" s="83" t="str">
        <f aca="false">IF($D1068=1,EDATE(p_debut,$C1068-1),"")</f>
        <v/>
      </c>
      <c r="F1068" s="14" t="str">
        <f aca="false">IF($D1068=1,INDEX(TblClusters[Cluster],$B1068),"")</f>
        <v/>
      </c>
      <c r="G1068" s="14" t="str">
        <f aca="false">IF($D1068=1,INDEX(TblClusters[Plateforme],$B1068),"")</f>
        <v/>
      </c>
      <c r="H1068" s="14" t="str">
        <f aca="false">IF($D1068=1,INDEX(TblClusters[vCPU par nœud],$B1068),"")</f>
        <v/>
      </c>
      <c r="I1068" s="14" t="str">
        <f aca="false">IF($D1068=1,INDEX(TblClusters[RAM par nœud (Go)],$B1068),"")</f>
        <v/>
      </c>
      <c r="J1068" s="14" t="str">
        <f aca="false">IF($D1068=1,INDEX(TblClusters[Workers min],$B1068),"")</f>
        <v/>
      </c>
      <c r="K1068" s="84" t="str">
        <f aca="false">IF($D1068=1,INDEX(TblClusters[Tarif par nœud],$B1068),"")</f>
        <v/>
      </c>
      <c r="L1068" s="14" t="str">
        <f aca="false">IF($D1068=1,INDEX(TblClusters[CPU initial (vCPU)],$B1068),"")</f>
        <v/>
      </c>
      <c r="M1068" s="14" t="str">
        <f aca="false">IF($D1068=1,INDEX(TblClusters[RAM initiale (Go)],$B1068),"")</f>
        <v/>
      </c>
      <c r="N1068" s="14" t="str">
        <f aca="false">IF($D1068=1,INDEX(TblClusters[CPU min (vCPU)],$B1068),"")</f>
        <v/>
      </c>
      <c r="O1068" s="14" t="str">
        <f aca="false">IF($D1068=1,INDEX(TblClusters[RAM min (Go)],$B1068),"")</f>
        <v/>
      </c>
      <c r="P1068" s="14" t="str">
        <f aca="false">IF($D1068&lt;&gt;1,"",IF($G1068="ROKS",SUMIFS(TblApplications[Besoin ROKS CPU (vCPU)],TblApplications[Cluster ROKS cible],$F1068,TblApplications[Action],"À migrer",TblApplications[Déjà incluse ROKS],"Non",TblApplications[Mois prov (calc)],"&lt;="&amp;$E1068),SUMIFS(TblApplications[CPU IKS libérable (vCPU)],TblApplications[Cluster IKS source],$F1068,TblApplications[Mois lib (calc)],"&lt;="&amp;$E1068)))</f>
        <v/>
      </c>
      <c r="Q1068" s="14" t="str">
        <f aca="false">IF($D1068&lt;&gt;1,"",IF($G1068="ROKS",SUMIFS(TblApplications[Besoin ROKS RAM (Go)],TblApplications[Cluster ROKS cible],$F1068,TblApplications[Action],"À migrer",TblApplications[Déjà incluse ROKS],"Non",TblApplications[Mois prov (calc)],"&lt;="&amp;$E1068),SUMIFS(TblApplications[RAM IKS libérable (Go)],TblApplications[Cluster IKS source],$F1068,TblApplications[Mois lib (calc)],"&lt;="&amp;$E1068)))</f>
        <v/>
      </c>
      <c r="R1068" s="14" t="str">
        <f aca="false">IF($D1068&lt;&gt;1,"",IF($G1068="ROKS",$L1068+$P1068,IF($AI1068=1,0,MAX($N1068,$L1068-$P1068))))</f>
        <v/>
      </c>
      <c r="S1068" s="14" t="str">
        <f aca="false">IF($D1068&lt;&gt;1,"",IF($G1068="ROKS",$M1068+$Q1068,IF($AI1068=1,0,MAX($O1068,$M1068-$Q1068))))</f>
        <v/>
      </c>
      <c r="T1068" s="14" t="str">
        <f aca="false">IF($D1068&lt;&gt;1,"",IF($AI1068=1,0,MAX($J1068,ROUNDUP(MAX($R1068/$H1068,$S1068/$I1068),0))))</f>
        <v/>
      </c>
      <c r="U1068" s="14" t="str">
        <f aca="false">IF($D1068&lt;&gt;1,"",IF(p_mode="Nœud",$T1068*$H1068,$R1068))</f>
        <v/>
      </c>
      <c r="V1068" s="14" t="str">
        <f aca="false">IF($D1068&lt;&gt;1,"",IF(p_mode="Nœud",$T1068*$I1068,$S1068))</f>
        <v/>
      </c>
      <c r="W1068" s="84" t="str">
        <f aca="false">IF($D1068&lt;&gt;1,"",IF(p_mode="Nœud",$T1068*$K1068,$R1068*IF($G1068="IKS",p_iks_cpu,p_roks_cpu)+$S1068*IF($G1068="IKS",p_iks_ram,p_roks_ram))*p_facteur)</f>
        <v/>
      </c>
      <c r="X1068" s="14" t="str">
        <f aca="false">IF($D1068&lt;&gt;1,"",IF($G1068="ROKS",$R1068,IF($AI1068=1,0,MAX($N1068,$L1068-SUMIFS(TblApplications[CPU IKS libérable (vCPU)],TblApplications[Cluster IKS source],$F1068,TblApplications[Action],"À migrer",TblApplications[Mois prov (calc)],"&lt;="&amp;$E1068)-SUMIFS(TblApplications[CPU IKS libérable (vCPU)],TblApplications[Cluster IKS source],$F1068,TblApplications[Action],"À décommissionner",TblApplications[Mois lib (calc)],"&lt;="&amp;$E1068)))))</f>
        <v/>
      </c>
      <c r="Y1068" s="14" t="str">
        <f aca="false">IF($D1068&lt;&gt;1,"",IF($G1068="ROKS",$S1068,IF($AI1068=1,0,MAX($O1068,$M1068-SUMIFS(TblApplications[RAM IKS libérable (Go)],TblApplications[Cluster IKS source],$F1068,TblApplications[Action],"À migrer",TblApplications[Mois prov (calc)],"&lt;="&amp;$E1068)-SUMIFS(TblApplications[RAM IKS libérable (Go)],TblApplications[Cluster IKS source],$F1068,TblApplications[Action],"À décommissionner",TblApplications[Mois lib (calc)],"&lt;="&amp;$E1068)))))</f>
        <v/>
      </c>
      <c r="Z1068" s="14" t="str">
        <f aca="false">IF($D1068&lt;&gt;1,"",IF($AI1068=1,0,MAX($J1068,ROUNDUP(MAX($X1068/$H1068,$Y1068/$I1068),0))))</f>
        <v/>
      </c>
      <c r="AA1068" s="84" t="str">
        <f aca="false">IF($D1068&lt;&gt;1,"",IF(p_mode="Nœud",$Z1068*$K1068,$X1068*IF($G1068="IKS",p_iks_cpu,p_roks_cpu)+$Y1068*IF($G1068="IKS",p_iks_ram,p_roks_ram))*p_facteur)</f>
        <v/>
      </c>
      <c r="AB1068" s="14" t="str">
        <f aca="false">IF($D1068&lt;&gt;1,"",MAX($J1068,ROUNDUP(MAX($L1068/$H1068,$M1068/$I1068),0)))</f>
        <v/>
      </c>
      <c r="AC1068" s="84" t="str">
        <f aca="false">IF($D1068&lt;&gt;1,"",IF(p_mode="Nœud",$AB1068*$K1068,$L1068*IF($G1068="IKS",p_iks_cpu,p_roks_cpu)+$M1068*IF($G1068="IKS",p_iks_ram,p_roks_ram))*p_facteur)</f>
        <v/>
      </c>
      <c r="AD1068" s="14" t="str">
        <f aca="false">IF($D1068&lt;&gt;1,"",IF(AND($G1068="IKS",$AI1068&lt;&gt;1,OR($L1068-$P1068&lt;$N1068,$M1068-$Q1068&lt;$O1068)),1,0))</f>
        <v/>
      </c>
      <c r="AE1068" s="14" t="str">
        <f aca="false">IF($D1068&lt;&gt;1,"",IF(AND($G1068="ROKS",$T1068&gt;p_maxworkers),1,0))</f>
        <v/>
      </c>
      <c r="AF1068" s="14" t="str">
        <f aca="false">IF($D1068&lt;&gt;1,"",IF(INDEX(TblClusters[Environnement],$B1068)="","(vide)",INDEX(TblClusters[Environnement],$B1068)))</f>
        <v/>
      </c>
      <c r="AG1068" s="14" t="str">
        <f aca="false">IF($D1068&lt;&gt;1,"",$R1068+p_poidsram*$S1068)</f>
        <v/>
      </c>
      <c r="AH1068" s="14" t="str">
        <f aca="false">IF($D1068&lt;&gt;1,"",IFERROR($W1068/$AG1068,0))</f>
        <v/>
      </c>
      <c r="AI1068" s="14" t="str">
        <f aca="false">IF($D1068&lt;&gt;1,"",IF(AND($G1068="IKS",ISNUMBER(INDEX(TblClusters[Fermeture retenue],$B1068))),IF($E1068&gt;=INDEX(TblClusters[Fermeture retenue],$B1068),1,0),0))</f>
        <v/>
      </c>
    </row>
    <row r="1069" customFormat="false" ht="15" hidden="false" customHeight="false" outlineLevel="0" collapsed="false">
      <c r="A1069" s="14" t="n">
        <v>1064</v>
      </c>
      <c r="B1069" s="14" t="n">
        <f aca="false">INT(($A1069-1)/36)+1</f>
        <v>30</v>
      </c>
      <c r="C1069" s="14" t="n">
        <f aca="false">MOD($A1069-1,36)+1</f>
        <v>20</v>
      </c>
      <c r="D1069" s="14" t="n">
        <f aca="false">IF($C1069&gt;p_horizon,0,IFERROR(IF(AND(INDEX(TblClusters[Cluster],$B1069)&lt;&gt;"",ISNUMBER(INDEX(TblClusters[CPU initial (vCPU)],$B1069)),ISNUMBER(INDEX(TblClusters[CPU min (vCPU)],$B1069)),OR(INDEX(TblClusters[Plateforme],$B1069)="IKS",INDEX(TblClusters[Plateforme],$B1069)="ROKS")),1,0),0))</f>
        <v>0</v>
      </c>
      <c r="E1069" s="83" t="str">
        <f aca="false">IF($D1069=1,EDATE(p_debut,$C1069-1),"")</f>
        <v/>
      </c>
      <c r="F1069" s="14" t="str">
        <f aca="false">IF($D1069=1,INDEX(TblClusters[Cluster],$B1069),"")</f>
        <v/>
      </c>
      <c r="G1069" s="14" t="str">
        <f aca="false">IF($D1069=1,INDEX(TblClusters[Plateforme],$B1069),"")</f>
        <v/>
      </c>
      <c r="H1069" s="14" t="str">
        <f aca="false">IF($D1069=1,INDEX(TblClusters[vCPU par nœud],$B1069),"")</f>
        <v/>
      </c>
      <c r="I1069" s="14" t="str">
        <f aca="false">IF($D1069=1,INDEX(TblClusters[RAM par nœud (Go)],$B1069),"")</f>
        <v/>
      </c>
      <c r="J1069" s="14" t="str">
        <f aca="false">IF($D1069=1,INDEX(TblClusters[Workers min],$B1069),"")</f>
        <v/>
      </c>
      <c r="K1069" s="84" t="str">
        <f aca="false">IF($D1069=1,INDEX(TblClusters[Tarif par nœud],$B1069),"")</f>
        <v/>
      </c>
      <c r="L1069" s="14" t="str">
        <f aca="false">IF($D1069=1,INDEX(TblClusters[CPU initial (vCPU)],$B1069),"")</f>
        <v/>
      </c>
      <c r="M1069" s="14" t="str">
        <f aca="false">IF($D1069=1,INDEX(TblClusters[RAM initiale (Go)],$B1069),"")</f>
        <v/>
      </c>
      <c r="N1069" s="14" t="str">
        <f aca="false">IF($D1069=1,INDEX(TblClusters[CPU min (vCPU)],$B1069),"")</f>
        <v/>
      </c>
      <c r="O1069" s="14" t="str">
        <f aca="false">IF($D1069=1,INDEX(TblClusters[RAM min (Go)],$B1069),"")</f>
        <v/>
      </c>
      <c r="P1069" s="14" t="str">
        <f aca="false">IF($D1069&lt;&gt;1,"",IF($G1069="ROKS",SUMIFS(TblApplications[Besoin ROKS CPU (vCPU)],TblApplications[Cluster ROKS cible],$F1069,TblApplications[Action],"À migrer",TblApplications[Déjà incluse ROKS],"Non",TblApplications[Mois prov (calc)],"&lt;="&amp;$E1069),SUMIFS(TblApplications[CPU IKS libérable (vCPU)],TblApplications[Cluster IKS source],$F1069,TblApplications[Mois lib (calc)],"&lt;="&amp;$E1069)))</f>
        <v/>
      </c>
      <c r="Q1069" s="14" t="str">
        <f aca="false">IF($D1069&lt;&gt;1,"",IF($G1069="ROKS",SUMIFS(TblApplications[Besoin ROKS RAM (Go)],TblApplications[Cluster ROKS cible],$F1069,TblApplications[Action],"À migrer",TblApplications[Déjà incluse ROKS],"Non",TblApplications[Mois prov (calc)],"&lt;="&amp;$E1069),SUMIFS(TblApplications[RAM IKS libérable (Go)],TblApplications[Cluster IKS source],$F1069,TblApplications[Mois lib (calc)],"&lt;="&amp;$E1069)))</f>
        <v/>
      </c>
      <c r="R1069" s="14" t="str">
        <f aca="false">IF($D1069&lt;&gt;1,"",IF($G1069="ROKS",$L1069+$P1069,IF($AI1069=1,0,MAX($N1069,$L1069-$P1069))))</f>
        <v/>
      </c>
      <c r="S1069" s="14" t="str">
        <f aca="false">IF($D1069&lt;&gt;1,"",IF($G1069="ROKS",$M1069+$Q1069,IF($AI1069=1,0,MAX($O1069,$M1069-$Q1069))))</f>
        <v/>
      </c>
      <c r="T1069" s="14" t="str">
        <f aca="false">IF($D1069&lt;&gt;1,"",IF($AI1069=1,0,MAX($J1069,ROUNDUP(MAX($R1069/$H1069,$S1069/$I1069),0))))</f>
        <v/>
      </c>
      <c r="U1069" s="14" t="str">
        <f aca="false">IF($D1069&lt;&gt;1,"",IF(p_mode="Nœud",$T1069*$H1069,$R1069))</f>
        <v/>
      </c>
      <c r="V1069" s="14" t="str">
        <f aca="false">IF($D1069&lt;&gt;1,"",IF(p_mode="Nœud",$T1069*$I1069,$S1069))</f>
        <v/>
      </c>
      <c r="W1069" s="84" t="str">
        <f aca="false">IF($D1069&lt;&gt;1,"",IF(p_mode="Nœud",$T1069*$K1069,$R1069*IF($G1069="IKS",p_iks_cpu,p_roks_cpu)+$S1069*IF($G1069="IKS",p_iks_ram,p_roks_ram))*p_facteur)</f>
        <v/>
      </c>
      <c r="X1069" s="14" t="str">
        <f aca="false">IF($D1069&lt;&gt;1,"",IF($G1069="ROKS",$R1069,IF($AI1069=1,0,MAX($N1069,$L1069-SUMIFS(TblApplications[CPU IKS libérable (vCPU)],TblApplications[Cluster IKS source],$F1069,TblApplications[Action],"À migrer",TblApplications[Mois prov (calc)],"&lt;="&amp;$E1069)-SUMIFS(TblApplications[CPU IKS libérable (vCPU)],TblApplications[Cluster IKS source],$F1069,TblApplications[Action],"À décommissionner",TblApplications[Mois lib (calc)],"&lt;="&amp;$E1069)))))</f>
        <v/>
      </c>
      <c r="Y1069" s="14" t="str">
        <f aca="false">IF($D1069&lt;&gt;1,"",IF($G1069="ROKS",$S1069,IF($AI1069=1,0,MAX($O1069,$M1069-SUMIFS(TblApplications[RAM IKS libérable (Go)],TblApplications[Cluster IKS source],$F1069,TblApplications[Action],"À migrer",TblApplications[Mois prov (calc)],"&lt;="&amp;$E1069)-SUMIFS(TblApplications[RAM IKS libérable (Go)],TblApplications[Cluster IKS source],$F1069,TblApplications[Action],"À décommissionner",TblApplications[Mois lib (calc)],"&lt;="&amp;$E1069)))))</f>
        <v/>
      </c>
      <c r="Z1069" s="14" t="str">
        <f aca="false">IF($D1069&lt;&gt;1,"",IF($AI1069=1,0,MAX($J1069,ROUNDUP(MAX($X1069/$H1069,$Y1069/$I1069),0))))</f>
        <v/>
      </c>
      <c r="AA1069" s="84" t="str">
        <f aca="false">IF($D1069&lt;&gt;1,"",IF(p_mode="Nœud",$Z1069*$K1069,$X1069*IF($G1069="IKS",p_iks_cpu,p_roks_cpu)+$Y1069*IF($G1069="IKS",p_iks_ram,p_roks_ram))*p_facteur)</f>
        <v/>
      </c>
      <c r="AB1069" s="14" t="str">
        <f aca="false">IF($D1069&lt;&gt;1,"",MAX($J1069,ROUNDUP(MAX($L1069/$H1069,$M1069/$I1069),0)))</f>
        <v/>
      </c>
      <c r="AC1069" s="84" t="str">
        <f aca="false">IF($D1069&lt;&gt;1,"",IF(p_mode="Nœud",$AB1069*$K1069,$L1069*IF($G1069="IKS",p_iks_cpu,p_roks_cpu)+$M1069*IF($G1069="IKS",p_iks_ram,p_roks_ram))*p_facteur)</f>
        <v/>
      </c>
      <c r="AD1069" s="14" t="str">
        <f aca="false">IF($D1069&lt;&gt;1,"",IF(AND($G1069="IKS",$AI1069&lt;&gt;1,OR($L1069-$P1069&lt;$N1069,$M1069-$Q1069&lt;$O1069)),1,0))</f>
        <v/>
      </c>
      <c r="AE1069" s="14" t="str">
        <f aca="false">IF($D1069&lt;&gt;1,"",IF(AND($G1069="ROKS",$T1069&gt;p_maxworkers),1,0))</f>
        <v/>
      </c>
      <c r="AF1069" s="14" t="str">
        <f aca="false">IF($D1069&lt;&gt;1,"",IF(INDEX(TblClusters[Environnement],$B1069)="","(vide)",INDEX(TblClusters[Environnement],$B1069)))</f>
        <v/>
      </c>
      <c r="AG1069" s="14" t="str">
        <f aca="false">IF($D1069&lt;&gt;1,"",$R1069+p_poidsram*$S1069)</f>
        <v/>
      </c>
      <c r="AH1069" s="14" t="str">
        <f aca="false">IF($D1069&lt;&gt;1,"",IFERROR($W1069/$AG1069,0))</f>
        <v/>
      </c>
      <c r="AI1069" s="14" t="str">
        <f aca="false">IF($D1069&lt;&gt;1,"",IF(AND($G1069="IKS",ISNUMBER(INDEX(TblClusters[Fermeture retenue],$B1069))),IF($E1069&gt;=INDEX(TblClusters[Fermeture retenue],$B1069),1,0),0))</f>
        <v/>
      </c>
    </row>
    <row r="1070" customFormat="false" ht="15" hidden="false" customHeight="false" outlineLevel="0" collapsed="false">
      <c r="A1070" s="14" t="n">
        <v>1065</v>
      </c>
      <c r="B1070" s="14" t="n">
        <f aca="false">INT(($A1070-1)/36)+1</f>
        <v>30</v>
      </c>
      <c r="C1070" s="14" t="n">
        <f aca="false">MOD($A1070-1,36)+1</f>
        <v>21</v>
      </c>
      <c r="D1070" s="14" t="n">
        <f aca="false">IF($C1070&gt;p_horizon,0,IFERROR(IF(AND(INDEX(TblClusters[Cluster],$B1070)&lt;&gt;"",ISNUMBER(INDEX(TblClusters[CPU initial (vCPU)],$B1070)),ISNUMBER(INDEX(TblClusters[CPU min (vCPU)],$B1070)),OR(INDEX(TblClusters[Plateforme],$B1070)="IKS",INDEX(TblClusters[Plateforme],$B1070)="ROKS")),1,0),0))</f>
        <v>0</v>
      </c>
      <c r="E1070" s="83" t="str">
        <f aca="false">IF($D1070=1,EDATE(p_debut,$C1070-1),"")</f>
        <v/>
      </c>
      <c r="F1070" s="14" t="str">
        <f aca="false">IF($D1070=1,INDEX(TblClusters[Cluster],$B1070),"")</f>
        <v/>
      </c>
      <c r="G1070" s="14" t="str">
        <f aca="false">IF($D1070=1,INDEX(TblClusters[Plateforme],$B1070),"")</f>
        <v/>
      </c>
      <c r="H1070" s="14" t="str">
        <f aca="false">IF($D1070=1,INDEX(TblClusters[vCPU par nœud],$B1070),"")</f>
        <v/>
      </c>
      <c r="I1070" s="14" t="str">
        <f aca="false">IF($D1070=1,INDEX(TblClusters[RAM par nœud (Go)],$B1070),"")</f>
        <v/>
      </c>
      <c r="J1070" s="14" t="str">
        <f aca="false">IF($D1070=1,INDEX(TblClusters[Workers min],$B1070),"")</f>
        <v/>
      </c>
      <c r="K1070" s="84" t="str">
        <f aca="false">IF($D1070=1,INDEX(TblClusters[Tarif par nœud],$B1070),"")</f>
        <v/>
      </c>
      <c r="L1070" s="14" t="str">
        <f aca="false">IF($D1070=1,INDEX(TblClusters[CPU initial (vCPU)],$B1070),"")</f>
        <v/>
      </c>
      <c r="M1070" s="14" t="str">
        <f aca="false">IF($D1070=1,INDEX(TblClusters[RAM initiale (Go)],$B1070),"")</f>
        <v/>
      </c>
      <c r="N1070" s="14" t="str">
        <f aca="false">IF($D1070=1,INDEX(TblClusters[CPU min (vCPU)],$B1070),"")</f>
        <v/>
      </c>
      <c r="O1070" s="14" t="str">
        <f aca="false">IF($D1070=1,INDEX(TblClusters[RAM min (Go)],$B1070),"")</f>
        <v/>
      </c>
      <c r="P1070" s="14" t="str">
        <f aca="false">IF($D1070&lt;&gt;1,"",IF($G1070="ROKS",SUMIFS(TblApplications[Besoin ROKS CPU (vCPU)],TblApplications[Cluster ROKS cible],$F1070,TblApplications[Action],"À migrer",TblApplications[Déjà incluse ROKS],"Non",TblApplications[Mois prov (calc)],"&lt;="&amp;$E1070),SUMIFS(TblApplications[CPU IKS libérable (vCPU)],TblApplications[Cluster IKS source],$F1070,TblApplications[Mois lib (calc)],"&lt;="&amp;$E1070)))</f>
        <v/>
      </c>
      <c r="Q1070" s="14" t="str">
        <f aca="false">IF($D1070&lt;&gt;1,"",IF($G1070="ROKS",SUMIFS(TblApplications[Besoin ROKS RAM (Go)],TblApplications[Cluster ROKS cible],$F1070,TblApplications[Action],"À migrer",TblApplications[Déjà incluse ROKS],"Non",TblApplications[Mois prov (calc)],"&lt;="&amp;$E1070),SUMIFS(TblApplications[RAM IKS libérable (Go)],TblApplications[Cluster IKS source],$F1070,TblApplications[Mois lib (calc)],"&lt;="&amp;$E1070)))</f>
        <v/>
      </c>
      <c r="R1070" s="14" t="str">
        <f aca="false">IF($D1070&lt;&gt;1,"",IF($G1070="ROKS",$L1070+$P1070,IF($AI1070=1,0,MAX($N1070,$L1070-$P1070))))</f>
        <v/>
      </c>
      <c r="S1070" s="14" t="str">
        <f aca="false">IF($D1070&lt;&gt;1,"",IF($G1070="ROKS",$M1070+$Q1070,IF($AI1070=1,0,MAX($O1070,$M1070-$Q1070))))</f>
        <v/>
      </c>
      <c r="T1070" s="14" t="str">
        <f aca="false">IF($D1070&lt;&gt;1,"",IF($AI1070=1,0,MAX($J1070,ROUNDUP(MAX($R1070/$H1070,$S1070/$I1070),0))))</f>
        <v/>
      </c>
      <c r="U1070" s="14" t="str">
        <f aca="false">IF($D1070&lt;&gt;1,"",IF(p_mode="Nœud",$T1070*$H1070,$R1070))</f>
        <v/>
      </c>
      <c r="V1070" s="14" t="str">
        <f aca="false">IF($D1070&lt;&gt;1,"",IF(p_mode="Nœud",$T1070*$I1070,$S1070))</f>
        <v/>
      </c>
      <c r="W1070" s="84" t="str">
        <f aca="false">IF($D1070&lt;&gt;1,"",IF(p_mode="Nœud",$T1070*$K1070,$R1070*IF($G1070="IKS",p_iks_cpu,p_roks_cpu)+$S1070*IF($G1070="IKS",p_iks_ram,p_roks_ram))*p_facteur)</f>
        <v/>
      </c>
      <c r="X1070" s="14" t="str">
        <f aca="false">IF($D1070&lt;&gt;1,"",IF($G1070="ROKS",$R1070,IF($AI1070=1,0,MAX($N1070,$L1070-SUMIFS(TblApplications[CPU IKS libérable (vCPU)],TblApplications[Cluster IKS source],$F1070,TblApplications[Action],"À migrer",TblApplications[Mois prov (calc)],"&lt;="&amp;$E1070)-SUMIFS(TblApplications[CPU IKS libérable (vCPU)],TblApplications[Cluster IKS source],$F1070,TblApplications[Action],"À décommissionner",TblApplications[Mois lib (calc)],"&lt;="&amp;$E1070)))))</f>
        <v/>
      </c>
      <c r="Y1070" s="14" t="str">
        <f aca="false">IF($D1070&lt;&gt;1,"",IF($G1070="ROKS",$S1070,IF($AI1070=1,0,MAX($O1070,$M1070-SUMIFS(TblApplications[RAM IKS libérable (Go)],TblApplications[Cluster IKS source],$F1070,TblApplications[Action],"À migrer",TblApplications[Mois prov (calc)],"&lt;="&amp;$E1070)-SUMIFS(TblApplications[RAM IKS libérable (Go)],TblApplications[Cluster IKS source],$F1070,TblApplications[Action],"À décommissionner",TblApplications[Mois lib (calc)],"&lt;="&amp;$E1070)))))</f>
        <v/>
      </c>
      <c r="Z1070" s="14" t="str">
        <f aca="false">IF($D1070&lt;&gt;1,"",IF($AI1070=1,0,MAX($J1070,ROUNDUP(MAX($X1070/$H1070,$Y1070/$I1070),0))))</f>
        <v/>
      </c>
      <c r="AA1070" s="84" t="str">
        <f aca="false">IF($D1070&lt;&gt;1,"",IF(p_mode="Nœud",$Z1070*$K1070,$X1070*IF($G1070="IKS",p_iks_cpu,p_roks_cpu)+$Y1070*IF($G1070="IKS",p_iks_ram,p_roks_ram))*p_facteur)</f>
        <v/>
      </c>
      <c r="AB1070" s="14" t="str">
        <f aca="false">IF($D1070&lt;&gt;1,"",MAX($J1070,ROUNDUP(MAX($L1070/$H1070,$M1070/$I1070),0)))</f>
        <v/>
      </c>
      <c r="AC1070" s="84" t="str">
        <f aca="false">IF($D1070&lt;&gt;1,"",IF(p_mode="Nœud",$AB1070*$K1070,$L1070*IF($G1070="IKS",p_iks_cpu,p_roks_cpu)+$M1070*IF($G1070="IKS",p_iks_ram,p_roks_ram))*p_facteur)</f>
        <v/>
      </c>
      <c r="AD1070" s="14" t="str">
        <f aca="false">IF($D1070&lt;&gt;1,"",IF(AND($G1070="IKS",$AI1070&lt;&gt;1,OR($L1070-$P1070&lt;$N1070,$M1070-$Q1070&lt;$O1070)),1,0))</f>
        <v/>
      </c>
      <c r="AE1070" s="14" t="str">
        <f aca="false">IF($D1070&lt;&gt;1,"",IF(AND($G1070="ROKS",$T1070&gt;p_maxworkers),1,0))</f>
        <v/>
      </c>
      <c r="AF1070" s="14" t="str">
        <f aca="false">IF($D1070&lt;&gt;1,"",IF(INDEX(TblClusters[Environnement],$B1070)="","(vide)",INDEX(TblClusters[Environnement],$B1070)))</f>
        <v/>
      </c>
      <c r="AG1070" s="14" t="str">
        <f aca="false">IF($D1070&lt;&gt;1,"",$R1070+p_poidsram*$S1070)</f>
        <v/>
      </c>
      <c r="AH1070" s="14" t="str">
        <f aca="false">IF($D1070&lt;&gt;1,"",IFERROR($W1070/$AG1070,0))</f>
        <v/>
      </c>
      <c r="AI1070" s="14" t="str">
        <f aca="false">IF($D1070&lt;&gt;1,"",IF(AND($G1070="IKS",ISNUMBER(INDEX(TblClusters[Fermeture retenue],$B1070))),IF($E1070&gt;=INDEX(TblClusters[Fermeture retenue],$B1070),1,0),0))</f>
        <v/>
      </c>
    </row>
    <row r="1071" customFormat="false" ht="15" hidden="false" customHeight="false" outlineLevel="0" collapsed="false">
      <c r="A1071" s="14" t="n">
        <v>1066</v>
      </c>
      <c r="B1071" s="14" t="n">
        <f aca="false">INT(($A1071-1)/36)+1</f>
        <v>30</v>
      </c>
      <c r="C1071" s="14" t="n">
        <f aca="false">MOD($A1071-1,36)+1</f>
        <v>22</v>
      </c>
      <c r="D1071" s="14" t="n">
        <f aca="false">IF($C1071&gt;p_horizon,0,IFERROR(IF(AND(INDEX(TblClusters[Cluster],$B1071)&lt;&gt;"",ISNUMBER(INDEX(TblClusters[CPU initial (vCPU)],$B1071)),ISNUMBER(INDEX(TblClusters[CPU min (vCPU)],$B1071)),OR(INDEX(TblClusters[Plateforme],$B1071)="IKS",INDEX(TblClusters[Plateforme],$B1071)="ROKS")),1,0),0))</f>
        <v>0</v>
      </c>
      <c r="E1071" s="83" t="str">
        <f aca="false">IF($D1071=1,EDATE(p_debut,$C1071-1),"")</f>
        <v/>
      </c>
      <c r="F1071" s="14" t="str">
        <f aca="false">IF($D1071=1,INDEX(TblClusters[Cluster],$B1071),"")</f>
        <v/>
      </c>
      <c r="G1071" s="14" t="str">
        <f aca="false">IF($D1071=1,INDEX(TblClusters[Plateforme],$B1071),"")</f>
        <v/>
      </c>
      <c r="H1071" s="14" t="str">
        <f aca="false">IF($D1071=1,INDEX(TblClusters[vCPU par nœud],$B1071),"")</f>
        <v/>
      </c>
      <c r="I1071" s="14" t="str">
        <f aca="false">IF($D1071=1,INDEX(TblClusters[RAM par nœud (Go)],$B1071),"")</f>
        <v/>
      </c>
      <c r="J1071" s="14" t="str">
        <f aca="false">IF($D1071=1,INDEX(TblClusters[Workers min],$B1071),"")</f>
        <v/>
      </c>
      <c r="K1071" s="84" t="str">
        <f aca="false">IF($D1071=1,INDEX(TblClusters[Tarif par nœud],$B1071),"")</f>
        <v/>
      </c>
      <c r="L1071" s="14" t="str">
        <f aca="false">IF($D1071=1,INDEX(TblClusters[CPU initial (vCPU)],$B1071),"")</f>
        <v/>
      </c>
      <c r="M1071" s="14" t="str">
        <f aca="false">IF($D1071=1,INDEX(TblClusters[RAM initiale (Go)],$B1071),"")</f>
        <v/>
      </c>
      <c r="N1071" s="14" t="str">
        <f aca="false">IF($D1071=1,INDEX(TblClusters[CPU min (vCPU)],$B1071),"")</f>
        <v/>
      </c>
      <c r="O1071" s="14" t="str">
        <f aca="false">IF($D1071=1,INDEX(TblClusters[RAM min (Go)],$B1071),"")</f>
        <v/>
      </c>
      <c r="P1071" s="14" t="str">
        <f aca="false">IF($D1071&lt;&gt;1,"",IF($G1071="ROKS",SUMIFS(TblApplications[Besoin ROKS CPU (vCPU)],TblApplications[Cluster ROKS cible],$F1071,TblApplications[Action],"À migrer",TblApplications[Déjà incluse ROKS],"Non",TblApplications[Mois prov (calc)],"&lt;="&amp;$E1071),SUMIFS(TblApplications[CPU IKS libérable (vCPU)],TblApplications[Cluster IKS source],$F1071,TblApplications[Mois lib (calc)],"&lt;="&amp;$E1071)))</f>
        <v/>
      </c>
      <c r="Q1071" s="14" t="str">
        <f aca="false">IF($D1071&lt;&gt;1,"",IF($G1071="ROKS",SUMIFS(TblApplications[Besoin ROKS RAM (Go)],TblApplications[Cluster ROKS cible],$F1071,TblApplications[Action],"À migrer",TblApplications[Déjà incluse ROKS],"Non",TblApplications[Mois prov (calc)],"&lt;="&amp;$E1071),SUMIFS(TblApplications[RAM IKS libérable (Go)],TblApplications[Cluster IKS source],$F1071,TblApplications[Mois lib (calc)],"&lt;="&amp;$E1071)))</f>
        <v/>
      </c>
      <c r="R1071" s="14" t="str">
        <f aca="false">IF($D1071&lt;&gt;1,"",IF($G1071="ROKS",$L1071+$P1071,IF($AI1071=1,0,MAX($N1071,$L1071-$P1071))))</f>
        <v/>
      </c>
      <c r="S1071" s="14" t="str">
        <f aca="false">IF($D1071&lt;&gt;1,"",IF($G1071="ROKS",$M1071+$Q1071,IF($AI1071=1,0,MAX($O1071,$M1071-$Q1071))))</f>
        <v/>
      </c>
      <c r="T1071" s="14" t="str">
        <f aca="false">IF($D1071&lt;&gt;1,"",IF($AI1071=1,0,MAX($J1071,ROUNDUP(MAX($R1071/$H1071,$S1071/$I1071),0))))</f>
        <v/>
      </c>
      <c r="U1071" s="14" t="str">
        <f aca="false">IF($D1071&lt;&gt;1,"",IF(p_mode="Nœud",$T1071*$H1071,$R1071))</f>
        <v/>
      </c>
      <c r="V1071" s="14" t="str">
        <f aca="false">IF($D1071&lt;&gt;1,"",IF(p_mode="Nœud",$T1071*$I1071,$S1071))</f>
        <v/>
      </c>
      <c r="W1071" s="84" t="str">
        <f aca="false">IF($D1071&lt;&gt;1,"",IF(p_mode="Nœud",$T1071*$K1071,$R1071*IF($G1071="IKS",p_iks_cpu,p_roks_cpu)+$S1071*IF($G1071="IKS",p_iks_ram,p_roks_ram))*p_facteur)</f>
        <v/>
      </c>
      <c r="X1071" s="14" t="str">
        <f aca="false">IF($D1071&lt;&gt;1,"",IF($G1071="ROKS",$R1071,IF($AI1071=1,0,MAX($N1071,$L1071-SUMIFS(TblApplications[CPU IKS libérable (vCPU)],TblApplications[Cluster IKS source],$F1071,TblApplications[Action],"À migrer",TblApplications[Mois prov (calc)],"&lt;="&amp;$E1071)-SUMIFS(TblApplications[CPU IKS libérable (vCPU)],TblApplications[Cluster IKS source],$F1071,TblApplications[Action],"À décommissionner",TblApplications[Mois lib (calc)],"&lt;="&amp;$E1071)))))</f>
        <v/>
      </c>
      <c r="Y1071" s="14" t="str">
        <f aca="false">IF($D1071&lt;&gt;1,"",IF($G1071="ROKS",$S1071,IF($AI1071=1,0,MAX($O1071,$M1071-SUMIFS(TblApplications[RAM IKS libérable (Go)],TblApplications[Cluster IKS source],$F1071,TblApplications[Action],"À migrer",TblApplications[Mois prov (calc)],"&lt;="&amp;$E1071)-SUMIFS(TblApplications[RAM IKS libérable (Go)],TblApplications[Cluster IKS source],$F1071,TblApplications[Action],"À décommissionner",TblApplications[Mois lib (calc)],"&lt;="&amp;$E1071)))))</f>
        <v/>
      </c>
      <c r="Z1071" s="14" t="str">
        <f aca="false">IF($D1071&lt;&gt;1,"",IF($AI1071=1,0,MAX($J1071,ROUNDUP(MAX($X1071/$H1071,$Y1071/$I1071),0))))</f>
        <v/>
      </c>
      <c r="AA1071" s="84" t="str">
        <f aca="false">IF($D1071&lt;&gt;1,"",IF(p_mode="Nœud",$Z1071*$K1071,$X1071*IF($G1071="IKS",p_iks_cpu,p_roks_cpu)+$Y1071*IF($G1071="IKS",p_iks_ram,p_roks_ram))*p_facteur)</f>
        <v/>
      </c>
      <c r="AB1071" s="14" t="str">
        <f aca="false">IF($D1071&lt;&gt;1,"",MAX($J1071,ROUNDUP(MAX($L1071/$H1071,$M1071/$I1071),0)))</f>
        <v/>
      </c>
      <c r="AC1071" s="84" t="str">
        <f aca="false">IF($D1071&lt;&gt;1,"",IF(p_mode="Nœud",$AB1071*$K1071,$L1071*IF($G1071="IKS",p_iks_cpu,p_roks_cpu)+$M1071*IF($G1071="IKS",p_iks_ram,p_roks_ram))*p_facteur)</f>
        <v/>
      </c>
      <c r="AD1071" s="14" t="str">
        <f aca="false">IF($D1071&lt;&gt;1,"",IF(AND($G1071="IKS",$AI1071&lt;&gt;1,OR($L1071-$P1071&lt;$N1071,$M1071-$Q1071&lt;$O1071)),1,0))</f>
        <v/>
      </c>
      <c r="AE1071" s="14" t="str">
        <f aca="false">IF($D1071&lt;&gt;1,"",IF(AND($G1071="ROKS",$T1071&gt;p_maxworkers),1,0))</f>
        <v/>
      </c>
      <c r="AF1071" s="14" t="str">
        <f aca="false">IF($D1071&lt;&gt;1,"",IF(INDEX(TblClusters[Environnement],$B1071)="","(vide)",INDEX(TblClusters[Environnement],$B1071)))</f>
        <v/>
      </c>
      <c r="AG1071" s="14" t="str">
        <f aca="false">IF($D1071&lt;&gt;1,"",$R1071+p_poidsram*$S1071)</f>
        <v/>
      </c>
      <c r="AH1071" s="14" t="str">
        <f aca="false">IF($D1071&lt;&gt;1,"",IFERROR($W1071/$AG1071,0))</f>
        <v/>
      </c>
      <c r="AI1071" s="14" t="str">
        <f aca="false">IF($D1071&lt;&gt;1,"",IF(AND($G1071="IKS",ISNUMBER(INDEX(TblClusters[Fermeture retenue],$B1071))),IF($E1071&gt;=INDEX(TblClusters[Fermeture retenue],$B1071),1,0),0))</f>
        <v/>
      </c>
    </row>
    <row r="1072" customFormat="false" ht="15" hidden="false" customHeight="false" outlineLevel="0" collapsed="false">
      <c r="A1072" s="14" t="n">
        <v>1067</v>
      </c>
      <c r="B1072" s="14" t="n">
        <f aca="false">INT(($A1072-1)/36)+1</f>
        <v>30</v>
      </c>
      <c r="C1072" s="14" t="n">
        <f aca="false">MOD($A1072-1,36)+1</f>
        <v>23</v>
      </c>
      <c r="D1072" s="14" t="n">
        <f aca="false">IF($C1072&gt;p_horizon,0,IFERROR(IF(AND(INDEX(TblClusters[Cluster],$B1072)&lt;&gt;"",ISNUMBER(INDEX(TblClusters[CPU initial (vCPU)],$B1072)),ISNUMBER(INDEX(TblClusters[CPU min (vCPU)],$B1072)),OR(INDEX(TblClusters[Plateforme],$B1072)="IKS",INDEX(TblClusters[Plateforme],$B1072)="ROKS")),1,0),0))</f>
        <v>0</v>
      </c>
      <c r="E1072" s="83" t="str">
        <f aca="false">IF($D1072=1,EDATE(p_debut,$C1072-1),"")</f>
        <v/>
      </c>
      <c r="F1072" s="14" t="str">
        <f aca="false">IF($D1072=1,INDEX(TblClusters[Cluster],$B1072),"")</f>
        <v/>
      </c>
      <c r="G1072" s="14" t="str">
        <f aca="false">IF($D1072=1,INDEX(TblClusters[Plateforme],$B1072),"")</f>
        <v/>
      </c>
      <c r="H1072" s="14" t="str">
        <f aca="false">IF($D1072=1,INDEX(TblClusters[vCPU par nœud],$B1072),"")</f>
        <v/>
      </c>
      <c r="I1072" s="14" t="str">
        <f aca="false">IF($D1072=1,INDEX(TblClusters[RAM par nœud (Go)],$B1072),"")</f>
        <v/>
      </c>
      <c r="J1072" s="14" t="str">
        <f aca="false">IF($D1072=1,INDEX(TblClusters[Workers min],$B1072),"")</f>
        <v/>
      </c>
      <c r="K1072" s="84" t="str">
        <f aca="false">IF($D1072=1,INDEX(TblClusters[Tarif par nœud],$B1072),"")</f>
        <v/>
      </c>
      <c r="L1072" s="14" t="str">
        <f aca="false">IF($D1072=1,INDEX(TblClusters[CPU initial (vCPU)],$B1072),"")</f>
        <v/>
      </c>
      <c r="M1072" s="14" t="str">
        <f aca="false">IF($D1072=1,INDEX(TblClusters[RAM initiale (Go)],$B1072),"")</f>
        <v/>
      </c>
      <c r="N1072" s="14" t="str">
        <f aca="false">IF($D1072=1,INDEX(TblClusters[CPU min (vCPU)],$B1072),"")</f>
        <v/>
      </c>
      <c r="O1072" s="14" t="str">
        <f aca="false">IF($D1072=1,INDEX(TblClusters[RAM min (Go)],$B1072),"")</f>
        <v/>
      </c>
      <c r="P1072" s="14" t="str">
        <f aca="false">IF($D1072&lt;&gt;1,"",IF($G1072="ROKS",SUMIFS(TblApplications[Besoin ROKS CPU (vCPU)],TblApplications[Cluster ROKS cible],$F1072,TblApplications[Action],"À migrer",TblApplications[Déjà incluse ROKS],"Non",TblApplications[Mois prov (calc)],"&lt;="&amp;$E1072),SUMIFS(TblApplications[CPU IKS libérable (vCPU)],TblApplications[Cluster IKS source],$F1072,TblApplications[Mois lib (calc)],"&lt;="&amp;$E1072)))</f>
        <v/>
      </c>
      <c r="Q1072" s="14" t="str">
        <f aca="false">IF($D1072&lt;&gt;1,"",IF($G1072="ROKS",SUMIFS(TblApplications[Besoin ROKS RAM (Go)],TblApplications[Cluster ROKS cible],$F1072,TblApplications[Action],"À migrer",TblApplications[Déjà incluse ROKS],"Non",TblApplications[Mois prov (calc)],"&lt;="&amp;$E1072),SUMIFS(TblApplications[RAM IKS libérable (Go)],TblApplications[Cluster IKS source],$F1072,TblApplications[Mois lib (calc)],"&lt;="&amp;$E1072)))</f>
        <v/>
      </c>
      <c r="R1072" s="14" t="str">
        <f aca="false">IF($D1072&lt;&gt;1,"",IF($G1072="ROKS",$L1072+$P1072,IF($AI1072=1,0,MAX($N1072,$L1072-$P1072))))</f>
        <v/>
      </c>
      <c r="S1072" s="14" t="str">
        <f aca="false">IF($D1072&lt;&gt;1,"",IF($G1072="ROKS",$M1072+$Q1072,IF($AI1072=1,0,MAX($O1072,$M1072-$Q1072))))</f>
        <v/>
      </c>
      <c r="T1072" s="14" t="str">
        <f aca="false">IF($D1072&lt;&gt;1,"",IF($AI1072=1,0,MAX($J1072,ROUNDUP(MAX($R1072/$H1072,$S1072/$I1072),0))))</f>
        <v/>
      </c>
      <c r="U1072" s="14" t="str">
        <f aca="false">IF($D1072&lt;&gt;1,"",IF(p_mode="Nœud",$T1072*$H1072,$R1072))</f>
        <v/>
      </c>
      <c r="V1072" s="14" t="str">
        <f aca="false">IF($D1072&lt;&gt;1,"",IF(p_mode="Nœud",$T1072*$I1072,$S1072))</f>
        <v/>
      </c>
      <c r="W1072" s="84" t="str">
        <f aca="false">IF($D1072&lt;&gt;1,"",IF(p_mode="Nœud",$T1072*$K1072,$R1072*IF($G1072="IKS",p_iks_cpu,p_roks_cpu)+$S1072*IF($G1072="IKS",p_iks_ram,p_roks_ram))*p_facteur)</f>
        <v/>
      </c>
      <c r="X1072" s="14" t="str">
        <f aca="false">IF($D1072&lt;&gt;1,"",IF($G1072="ROKS",$R1072,IF($AI1072=1,0,MAX($N1072,$L1072-SUMIFS(TblApplications[CPU IKS libérable (vCPU)],TblApplications[Cluster IKS source],$F1072,TblApplications[Action],"À migrer",TblApplications[Mois prov (calc)],"&lt;="&amp;$E1072)-SUMIFS(TblApplications[CPU IKS libérable (vCPU)],TblApplications[Cluster IKS source],$F1072,TblApplications[Action],"À décommissionner",TblApplications[Mois lib (calc)],"&lt;="&amp;$E1072)))))</f>
        <v/>
      </c>
      <c r="Y1072" s="14" t="str">
        <f aca="false">IF($D1072&lt;&gt;1,"",IF($G1072="ROKS",$S1072,IF($AI1072=1,0,MAX($O1072,$M1072-SUMIFS(TblApplications[RAM IKS libérable (Go)],TblApplications[Cluster IKS source],$F1072,TblApplications[Action],"À migrer",TblApplications[Mois prov (calc)],"&lt;="&amp;$E1072)-SUMIFS(TblApplications[RAM IKS libérable (Go)],TblApplications[Cluster IKS source],$F1072,TblApplications[Action],"À décommissionner",TblApplications[Mois lib (calc)],"&lt;="&amp;$E1072)))))</f>
        <v/>
      </c>
      <c r="Z1072" s="14" t="str">
        <f aca="false">IF($D1072&lt;&gt;1,"",IF($AI1072=1,0,MAX($J1072,ROUNDUP(MAX($X1072/$H1072,$Y1072/$I1072),0))))</f>
        <v/>
      </c>
      <c r="AA1072" s="84" t="str">
        <f aca="false">IF($D1072&lt;&gt;1,"",IF(p_mode="Nœud",$Z1072*$K1072,$X1072*IF($G1072="IKS",p_iks_cpu,p_roks_cpu)+$Y1072*IF($G1072="IKS",p_iks_ram,p_roks_ram))*p_facteur)</f>
        <v/>
      </c>
      <c r="AB1072" s="14" t="str">
        <f aca="false">IF($D1072&lt;&gt;1,"",MAX($J1072,ROUNDUP(MAX($L1072/$H1072,$M1072/$I1072),0)))</f>
        <v/>
      </c>
      <c r="AC1072" s="84" t="str">
        <f aca="false">IF($D1072&lt;&gt;1,"",IF(p_mode="Nœud",$AB1072*$K1072,$L1072*IF($G1072="IKS",p_iks_cpu,p_roks_cpu)+$M1072*IF($G1072="IKS",p_iks_ram,p_roks_ram))*p_facteur)</f>
        <v/>
      </c>
      <c r="AD1072" s="14" t="str">
        <f aca="false">IF($D1072&lt;&gt;1,"",IF(AND($G1072="IKS",$AI1072&lt;&gt;1,OR($L1072-$P1072&lt;$N1072,$M1072-$Q1072&lt;$O1072)),1,0))</f>
        <v/>
      </c>
      <c r="AE1072" s="14" t="str">
        <f aca="false">IF($D1072&lt;&gt;1,"",IF(AND($G1072="ROKS",$T1072&gt;p_maxworkers),1,0))</f>
        <v/>
      </c>
      <c r="AF1072" s="14" t="str">
        <f aca="false">IF($D1072&lt;&gt;1,"",IF(INDEX(TblClusters[Environnement],$B1072)="","(vide)",INDEX(TblClusters[Environnement],$B1072)))</f>
        <v/>
      </c>
      <c r="AG1072" s="14" t="str">
        <f aca="false">IF($D1072&lt;&gt;1,"",$R1072+p_poidsram*$S1072)</f>
        <v/>
      </c>
      <c r="AH1072" s="14" t="str">
        <f aca="false">IF($D1072&lt;&gt;1,"",IFERROR($W1072/$AG1072,0))</f>
        <v/>
      </c>
      <c r="AI1072" s="14" t="str">
        <f aca="false">IF($D1072&lt;&gt;1,"",IF(AND($G1072="IKS",ISNUMBER(INDEX(TblClusters[Fermeture retenue],$B1072))),IF($E1072&gt;=INDEX(TblClusters[Fermeture retenue],$B1072),1,0),0))</f>
        <v/>
      </c>
    </row>
    <row r="1073" customFormat="false" ht="15" hidden="false" customHeight="false" outlineLevel="0" collapsed="false">
      <c r="A1073" s="14" t="n">
        <v>1068</v>
      </c>
      <c r="B1073" s="14" t="n">
        <f aca="false">INT(($A1073-1)/36)+1</f>
        <v>30</v>
      </c>
      <c r="C1073" s="14" t="n">
        <f aca="false">MOD($A1073-1,36)+1</f>
        <v>24</v>
      </c>
      <c r="D1073" s="14" t="n">
        <f aca="false">IF($C1073&gt;p_horizon,0,IFERROR(IF(AND(INDEX(TblClusters[Cluster],$B1073)&lt;&gt;"",ISNUMBER(INDEX(TblClusters[CPU initial (vCPU)],$B1073)),ISNUMBER(INDEX(TblClusters[CPU min (vCPU)],$B1073)),OR(INDEX(TblClusters[Plateforme],$B1073)="IKS",INDEX(TblClusters[Plateforme],$B1073)="ROKS")),1,0),0))</f>
        <v>0</v>
      </c>
      <c r="E1073" s="83" t="str">
        <f aca="false">IF($D1073=1,EDATE(p_debut,$C1073-1),"")</f>
        <v/>
      </c>
      <c r="F1073" s="14" t="str">
        <f aca="false">IF($D1073=1,INDEX(TblClusters[Cluster],$B1073),"")</f>
        <v/>
      </c>
      <c r="G1073" s="14" t="str">
        <f aca="false">IF($D1073=1,INDEX(TblClusters[Plateforme],$B1073),"")</f>
        <v/>
      </c>
      <c r="H1073" s="14" t="str">
        <f aca="false">IF($D1073=1,INDEX(TblClusters[vCPU par nœud],$B1073),"")</f>
        <v/>
      </c>
      <c r="I1073" s="14" t="str">
        <f aca="false">IF($D1073=1,INDEX(TblClusters[RAM par nœud (Go)],$B1073),"")</f>
        <v/>
      </c>
      <c r="J1073" s="14" t="str">
        <f aca="false">IF($D1073=1,INDEX(TblClusters[Workers min],$B1073),"")</f>
        <v/>
      </c>
      <c r="K1073" s="84" t="str">
        <f aca="false">IF($D1073=1,INDEX(TblClusters[Tarif par nœud],$B1073),"")</f>
        <v/>
      </c>
      <c r="L1073" s="14" t="str">
        <f aca="false">IF($D1073=1,INDEX(TblClusters[CPU initial (vCPU)],$B1073),"")</f>
        <v/>
      </c>
      <c r="M1073" s="14" t="str">
        <f aca="false">IF($D1073=1,INDEX(TblClusters[RAM initiale (Go)],$B1073),"")</f>
        <v/>
      </c>
      <c r="N1073" s="14" t="str">
        <f aca="false">IF($D1073=1,INDEX(TblClusters[CPU min (vCPU)],$B1073),"")</f>
        <v/>
      </c>
      <c r="O1073" s="14" t="str">
        <f aca="false">IF($D1073=1,INDEX(TblClusters[RAM min (Go)],$B1073),"")</f>
        <v/>
      </c>
      <c r="P1073" s="14" t="str">
        <f aca="false">IF($D1073&lt;&gt;1,"",IF($G1073="ROKS",SUMIFS(TblApplications[Besoin ROKS CPU (vCPU)],TblApplications[Cluster ROKS cible],$F1073,TblApplications[Action],"À migrer",TblApplications[Déjà incluse ROKS],"Non",TblApplications[Mois prov (calc)],"&lt;="&amp;$E1073),SUMIFS(TblApplications[CPU IKS libérable (vCPU)],TblApplications[Cluster IKS source],$F1073,TblApplications[Mois lib (calc)],"&lt;="&amp;$E1073)))</f>
        <v/>
      </c>
      <c r="Q1073" s="14" t="str">
        <f aca="false">IF($D1073&lt;&gt;1,"",IF($G1073="ROKS",SUMIFS(TblApplications[Besoin ROKS RAM (Go)],TblApplications[Cluster ROKS cible],$F1073,TblApplications[Action],"À migrer",TblApplications[Déjà incluse ROKS],"Non",TblApplications[Mois prov (calc)],"&lt;="&amp;$E1073),SUMIFS(TblApplications[RAM IKS libérable (Go)],TblApplications[Cluster IKS source],$F1073,TblApplications[Mois lib (calc)],"&lt;="&amp;$E1073)))</f>
        <v/>
      </c>
      <c r="R1073" s="14" t="str">
        <f aca="false">IF($D1073&lt;&gt;1,"",IF($G1073="ROKS",$L1073+$P1073,IF($AI1073=1,0,MAX($N1073,$L1073-$P1073))))</f>
        <v/>
      </c>
      <c r="S1073" s="14" t="str">
        <f aca="false">IF($D1073&lt;&gt;1,"",IF($G1073="ROKS",$M1073+$Q1073,IF($AI1073=1,0,MAX($O1073,$M1073-$Q1073))))</f>
        <v/>
      </c>
      <c r="T1073" s="14" t="str">
        <f aca="false">IF($D1073&lt;&gt;1,"",IF($AI1073=1,0,MAX($J1073,ROUNDUP(MAX($R1073/$H1073,$S1073/$I1073),0))))</f>
        <v/>
      </c>
      <c r="U1073" s="14" t="str">
        <f aca="false">IF($D1073&lt;&gt;1,"",IF(p_mode="Nœud",$T1073*$H1073,$R1073))</f>
        <v/>
      </c>
      <c r="V1073" s="14" t="str">
        <f aca="false">IF($D1073&lt;&gt;1,"",IF(p_mode="Nœud",$T1073*$I1073,$S1073))</f>
        <v/>
      </c>
      <c r="W1073" s="84" t="str">
        <f aca="false">IF($D1073&lt;&gt;1,"",IF(p_mode="Nœud",$T1073*$K1073,$R1073*IF($G1073="IKS",p_iks_cpu,p_roks_cpu)+$S1073*IF($G1073="IKS",p_iks_ram,p_roks_ram))*p_facteur)</f>
        <v/>
      </c>
      <c r="X1073" s="14" t="str">
        <f aca="false">IF($D1073&lt;&gt;1,"",IF($G1073="ROKS",$R1073,IF($AI1073=1,0,MAX($N1073,$L1073-SUMIFS(TblApplications[CPU IKS libérable (vCPU)],TblApplications[Cluster IKS source],$F1073,TblApplications[Action],"À migrer",TblApplications[Mois prov (calc)],"&lt;="&amp;$E1073)-SUMIFS(TblApplications[CPU IKS libérable (vCPU)],TblApplications[Cluster IKS source],$F1073,TblApplications[Action],"À décommissionner",TblApplications[Mois lib (calc)],"&lt;="&amp;$E1073)))))</f>
        <v/>
      </c>
      <c r="Y1073" s="14" t="str">
        <f aca="false">IF($D1073&lt;&gt;1,"",IF($G1073="ROKS",$S1073,IF($AI1073=1,0,MAX($O1073,$M1073-SUMIFS(TblApplications[RAM IKS libérable (Go)],TblApplications[Cluster IKS source],$F1073,TblApplications[Action],"À migrer",TblApplications[Mois prov (calc)],"&lt;="&amp;$E1073)-SUMIFS(TblApplications[RAM IKS libérable (Go)],TblApplications[Cluster IKS source],$F1073,TblApplications[Action],"À décommissionner",TblApplications[Mois lib (calc)],"&lt;="&amp;$E1073)))))</f>
        <v/>
      </c>
      <c r="Z1073" s="14" t="str">
        <f aca="false">IF($D1073&lt;&gt;1,"",IF($AI1073=1,0,MAX($J1073,ROUNDUP(MAX($X1073/$H1073,$Y1073/$I1073),0))))</f>
        <v/>
      </c>
      <c r="AA1073" s="84" t="str">
        <f aca="false">IF($D1073&lt;&gt;1,"",IF(p_mode="Nœud",$Z1073*$K1073,$X1073*IF($G1073="IKS",p_iks_cpu,p_roks_cpu)+$Y1073*IF($G1073="IKS",p_iks_ram,p_roks_ram))*p_facteur)</f>
        <v/>
      </c>
      <c r="AB1073" s="14" t="str">
        <f aca="false">IF($D1073&lt;&gt;1,"",MAX($J1073,ROUNDUP(MAX($L1073/$H1073,$M1073/$I1073),0)))</f>
        <v/>
      </c>
      <c r="AC1073" s="84" t="str">
        <f aca="false">IF($D1073&lt;&gt;1,"",IF(p_mode="Nœud",$AB1073*$K1073,$L1073*IF($G1073="IKS",p_iks_cpu,p_roks_cpu)+$M1073*IF($G1073="IKS",p_iks_ram,p_roks_ram))*p_facteur)</f>
        <v/>
      </c>
      <c r="AD1073" s="14" t="str">
        <f aca="false">IF($D1073&lt;&gt;1,"",IF(AND($G1073="IKS",$AI1073&lt;&gt;1,OR($L1073-$P1073&lt;$N1073,$M1073-$Q1073&lt;$O1073)),1,0))</f>
        <v/>
      </c>
      <c r="AE1073" s="14" t="str">
        <f aca="false">IF($D1073&lt;&gt;1,"",IF(AND($G1073="ROKS",$T1073&gt;p_maxworkers),1,0))</f>
        <v/>
      </c>
      <c r="AF1073" s="14" t="str">
        <f aca="false">IF($D1073&lt;&gt;1,"",IF(INDEX(TblClusters[Environnement],$B1073)="","(vide)",INDEX(TblClusters[Environnement],$B1073)))</f>
        <v/>
      </c>
      <c r="AG1073" s="14" t="str">
        <f aca="false">IF($D1073&lt;&gt;1,"",$R1073+p_poidsram*$S1073)</f>
        <v/>
      </c>
      <c r="AH1073" s="14" t="str">
        <f aca="false">IF($D1073&lt;&gt;1,"",IFERROR($W1073/$AG1073,0))</f>
        <v/>
      </c>
      <c r="AI1073" s="14" t="str">
        <f aca="false">IF($D1073&lt;&gt;1,"",IF(AND($G1073="IKS",ISNUMBER(INDEX(TblClusters[Fermeture retenue],$B1073))),IF($E1073&gt;=INDEX(TblClusters[Fermeture retenue],$B1073),1,0),0))</f>
        <v/>
      </c>
    </row>
    <row r="1074" customFormat="false" ht="15" hidden="false" customHeight="false" outlineLevel="0" collapsed="false">
      <c r="A1074" s="14" t="n">
        <v>1069</v>
      </c>
      <c r="B1074" s="14" t="n">
        <f aca="false">INT(($A1074-1)/36)+1</f>
        <v>30</v>
      </c>
      <c r="C1074" s="14" t="n">
        <f aca="false">MOD($A1074-1,36)+1</f>
        <v>25</v>
      </c>
      <c r="D1074" s="14" t="n">
        <f aca="false">IF($C1074&gt;p_horizon,0,IFERROR(IF(AND(INDEX(TblClusters[Cluster],$B1074)&lt;&gt;"",ISNUMBER(INDEX(TblClusters[CPU initial (vCPU)],$B1074)),ISNUMBER(INDEX(TblClusters[CPU min (vCPU)],$B1074)),OR(INDEX(TblClusters[Plateforme],$B1074)="IKS",INDEX(TblClusters[Plateforme],$B1074)="ROKS")),1,0),0))</f>
        <v>0</v>
      </c>
      <c r="E1074" s="83" t="str">
        <f aca="false">IF($D1074=1,EDATE(p_debut,$C1074-1),"")</f>
        <v/>
      </c>
      <c r="F1074" s="14" t="str">
        <f aca="false">IF($D1074=1,INDEX(TblClusters[Cluster],$B1074),"")</f>
        <v/>
      </c>
      <c r="G1074" s="14" t="str">
        <f aca="false">IF($D1074=1,INDEX(TblClusters[Plateforme],$B1074),"")</f>
        <v/>
      </c>
      <c r="H1074" s="14" t="str">
        <f aca="false">IF($D1074=1,INDEX(TblClusters[vCPU par nœud],$B1074),"")</f>
        <v/>
      </c>
      <c r="I1074" s="14" t="str">
        <f aca="false">IF($D1074=1,INDEX(TblClusters[RAM par nœud (Go)],$B1074),"")</f>
        <v/>
      </c>
      <c r="J1074" s="14" t="str">
        <f aca="false">IF($D1074=1,INDEX(TblClusters[Workers min],$B1074),"")</f>
        <v/>
      </c>
      <c r="K1074" s="84" t="str">
        <f aca="false">IF($D1074=1,INDEX(TblClusters[Tarif par nœud],$B1074),"")</f>
        <v/>
      </c>
      <c r="L1074" s="14" t="str">
        <f aca="false">IF($D1074=1,INDEX(TblClusters[CPU initial (vCPU)],$B1074),"")</f>
        <v/>
      </c>
      <c r="M1074" s="14" t="str">
        <f aca="false">IF($D1074=1,INDEX(TblClusters[RAM initiale (Go)],$B1074),"")</f>
        <v/>
      </c>
      <c r="N1074" s="14" t="str">
        <f aca="false">IF($D1074=1,INDEX(TblClusters[CPU min (vCPU)],$B1074),"")</f>
        <v/>
      </c>
      <c r="O1074" s="14" t="str">
        <f aca="false">IF($D1074=1,INDEX(TblClusters[RAM min (Go)],$B1074),"")</f>
        <v/>
      </c>
      <c r="P1074" s="14" t="str">
        <f aca="false">IF($D1074&lt;&gt;1,"",IF($G1074="ROKS",SUMIFS(TblApplications[Besoin ROKS CPU (vCPU)],TblApplications[Cluster ROKS cible],$F1074,TblApplications[Action],"À migrer",TblApplications[Déjà incluse ROKS],"Non",TblApplications[Mois prov (calc)],"&lt;="&amp;$E1074),SUMIFS(TblApplications[CPU IKS libérable (vCPU)],TblApplications[Cluster IKS source],$F1074,TblApplications[Mois lib (calc)],"&lt;="&amp;$E1074)))</f>
        <v/>
      </c>
      <c r="Q1074" s="14" t="str">
        <f aca="false">IF($D1074&lt;&gt;1,"",IF($G1074="ROKS",SUMIFS(TblApplications[Besoin ROKS RAM (Go)],TblApplications[Cluster ROKS cible],$F1074,TblApplications[Action],"À migrer",TblApplications[Déjà incluse ROKS],"Non",TblApplications[Mois prov (calc)],"&lt;="&amp;$E1074),SUMIFS(TblApplications[RAM IKS libérable (Go)],TblApplications[Cluster IKS source],$F1074,TblApplications[Mois lib (calc)],"&lt;="&amp;$E1074)))</f>
        <v/>
      </c>
      <c r="R1074" s="14" t="str">
        <f aca="false">IF($D1074&lt;&gt;1,"",IF($G1074="ROKS",$L1074+$P1074,IF($AI1074=1,0,MAX($N1074,$L1074-$P1074))))</f>
        <v/>
      </c>
      <c r="S1074" s="14" t="str">
        <f aca="false">IF($D1074&lt;&gt;1,"",IF($G1074="ROKS",$M1074+$Q1074,IF($AI1074=1,0,MAX($O1074,$M1074-$Q1074))))</f>
        <v/>
      </c>
      <c r="T1074" s="14" t="str">
        <f aca="false">IF($D1074&lt;&gt;1,"",IF($AI1074=1,0,MAX($J1074,ROUNDUP(MAX($R1074/$H1074,$S1074/$I1074),0))))</f>
        <v/>
      </c>
      <c r="U1074" s="14" t="str">
        <f aca="false">IF($D1074&lt;&gt;1,"",IF(p_mode="Nœud",$T1074*$H1074,$R1074))</f>
        <v/>
      </c>
      <c r="V1074" s="14" t="str">
        <f aca="false">IF($D1074&lt;&gt;1,"",IF(p_mode="Nœud",$T1074*$I1074,$S1074))</f>
        <v/>
      </c>
      <c r="W1074" s="84" t="str">
        <f aca="false">IF($D1074&lt;&gt;1,"",IF(p_mode="Nœud",$T1074*$K1074,$R1074*IF($G1074="IKS",p_iks_cpu,p_roks_cpu)+$S1074*IF($G1074="IKS",p_iks_ram,p_roks_ram))*p_facteur)</f>
        <v/>
      </c>
      <c r="X1074" s="14" t="str">
        <f aca="false">IF($D1074&lt;&gt;1,"",IF($G1074="ROKS",$R1074,IF($AI1074=1,0,MAX($N1074,$L1074-SUMIFS(TblApplications[CPU IKS libérable (vCPU)],TblApplications[Cluster IKS source],$F1074,TblApplications[Action],"À migrer",TblApplications[Mois prov (calc)],"&lt;="&amp;$E1074)-SUMIFS(TblApplications[CPU IKS libérable (vCPU)],TblApplications[Cluster IKS source],$F1074,TblApplications[Action],"À décommissionner",TblApplications[Mois lib (calc)],"&lt;="&amp;$E1074)))))</f>
        <v/>
      </c>
      <c r="Y1074" s="14" t="str">
        <f aca="false">IF($D1074&lt;&gt;1,"",IF($G1074="ROKS",$S1074,IF($AI1074=1,0,MAX($O1074,$M1074-SUMIFS(TblApplications[RAM IKS libérable (Go)],TblApplications[Cluster IKS source],$F1074,TblApplications[Action],"À migrer",TblApplications[Mois prov (calc)],"&lt;="&amp;$E1074)-SUMIFS(TblApplications[RAM IKS libérable (Go)],TblApplications[Cluster IKS source],$F1074,TblApplications[Action],"À décommissionner",TblApplications[Mois lib (calc)],"&lt;="&amp;$E1074)))))</f>
        <v/>
      </c>
      <c r="Z1074" s="14" t="str">
        <f aca="false">IF($D1074&lt;&gt;1,"",IF($AI1074=1,0,MAX($J1074,ROUNDUP(MAX($X1074/$H1074,$Y1074/$I1074),0))))</f>
        <v/>
      </c>
      <c r="AA1074" s="84" t="str">
        <f aca="false">IF($D1074&lt;&gt;1,"",IF(p_mode="Nœud",$Z1074*$K1074,$X1074*IF($G1074="IKS",p_iks_cpu,p_roks_cpu)+$Y1074*IF($G1074="IKS",p_iks_ram,p_roks_ram))*p_facteur)</f>
        <v/>
      </c>
      <c r="AB1074" s="14" t="str">
        <f aca="false">IF($D1074&lt;&gt;1,"",MAX($J1074,ROUNDUP(MAX($L1074/$H1074,$M1074/$I1074),0)))</f>
        <v/>
      </c>
      <c r="AC1074" s="84" t="str">
        <f aca="false">IF($D1074&lt;&gt;1,"",IF(p_mode="Nœud",$AB1074*$K1074,$L1074*IF($G1074="IKS",p_iks_cpu,p_roks_cpu)+$M1074*IF($G1074="IKS",p_iks_ram,p_roks_ram))*p_facteur)</f>
        <v/>
      </c>
      <c r="AD1074" s="14" t="str">
        <f aca="false">IF($D1074&lt;&gt;1,"",IF(AND($G1074="IKS",$AI1074&lt;&gt;1,OR($L1074-$P1074&lt;$N1074,$M1074-$Q1074&lt;$O1074)),1,0))</f>
        <v/>
      </c>
      <c r="AE1074" s="14" t="str">
        <f aca="false">IF($D1074&lt;&gt;1,"",IF(AND($G1074="ROKS",$T1074&gt;p_maxworkers),1,0))</f>
        <v/>
      </c>
      <c r="AF1074" s="14" t="str">
        <f aca="false">IF($D1074&lt;&gt;1,"",IF(INDEX(TblClusters[Environnement],$B1074)="","(vide)",INDEX(TblClusters[Environnement],$B1074)))</f>
        <v/>
      </c>
      <c r="AG1074" s="14" t="str">
        <f aca="false">IF($D1074&lt;&gt;1,"",$R1074+p_poidsram*$S1074)</f>
        <v/>
      </c>
      <c r="AH1074" s="14" t="str">
        <f aca="false">IF($D1074&lt;&gt;1,"",IFERROR($W1074/$AG1074,0))</f>
        <v/>
      </c>
      <c r="AI1074" s="14" t="str">
        <f aca="false">IF($D1074&lt;&gt;1,"",IF(AND($G1074="IKS",ISNUMBER(INDEX(TblClusters[Fermeture retenue],$B1074))),IF($E1074&gt;=INDEX(TblClusters[Fermeture retenue],$B1074),1,0),0))</f>
        <v/>
      </c>
    </row>
    <row r="1075" customFormat="false" ht="15" hidden="false" customHeight="false" outlineLevel="0" collapsed="false">
      <c r="A1075" s="14" t="n">
        <v>1070</v>
      </c>
      <c r="B1075" s="14" t="n">
        <f aca="false">INT(($A1075-1)/36)+1</f>
        <v>30</v>
      </c>
      <c r="C1075" s="14" t="n">
        <f aca="false">MOD($A1075-1,36)+1</f>
        <v>26</v>
      </c>
      <c r="D1075" s="14" t="n">
        <f aca="false">IF($C1075&gt;p_horizon,0,IFERROR(IF(AND(INDEX(TblClusters[Cluster],$B1075)&lt;&gt;"",ISNUMBER(INDEX(TblClusters[CPU initial (vCPU)],$B1075)),ISNUMBER(INDEX(TblClusters[CPU min (vCPU)],$B1075)),OR(INDEX(TblClusters[Plateforme],$B1075)="IKS",INDEX(TblClusters[Plateforme],$B1075)="ROKS")),1,0),0))</f>
        <v>0</v>
      </c>
      <c r="E1075" s="83" t="str">
        <f aca="false">IF($D1075=1,EDATE(p_debut,$C1075-1),"")</f>
        <v/>
      </c>
      <c r="F1075" s="14" t="str">
        <f aca="false">IF($D1075=1,INDEX(TblClusters[Cluster],$B1075),"")</f>
        <v/>
      </c>
      <c r="G1075" s="14" t="str">
        <f aca="false">IF($D1075=1,INDEX(TblClusters[Plateforme],$B1075),"")</f>
        <v/>
      </c>
      <c r="H1075" s="14" t="str">
        <f aca="false">IF($D1075=1,INDEX(TblClusters[vCPU par nœud],$B1075),"")</f>
        <v/>
      </c>
      <c r="I1075" s="14" t="str">
        <f aca="false">IF($D1075=1,INDEX(TblClusters[RAM par nœud (Go)],$B1075),"")</f>
        <v/>
      </c>
      <c r="J1075" s="14" t="str">
        <f aca="false">IF($D1075=1,INDEX(TblClusters[Workers min],$B1075),"")</f>
        <v/>
      </c>
      <c r="K1075" s="84" t="str">
        <f aca="false">IF($D1075=1,INDEX(TblClusters[Tarif par nœud],$B1075),"")</f>
        <v/>
      </c>
      <c r="L1075" s="14" t="str">
        <f aca="false">IF($D1075=1,INDEX(TblClusters[CPU initial (vCPU)],$B1075),"")</f>
        <v/>
      </c>
      <c r="M1075" s="14" t="str">
        <f aca="false">IF($D1075=1,INDEX(TblClusters[RAM initiale (Go)],$B1075),"")</f>
        <v/>
      </c>
      <c r="N1075" s="14" t="str">
        <f aca="false">IF($D1075=1,INDEX(TblClusters[CPU min (vCPU)],$B1075),"")</f>
        <v/>
      </c>
      <c r="O1075" s="14" t="str">
        <f aca="false">IF($D1075=1,INDEX(TblClusters[RAM min (Go)],$B1075),"")</f>
        <v/>
      </c>
      <c r="P1075" s="14" t="str">
        <f aca="false">IF($D1075&lt;&gt;1,"",IF($G1075="ROKS",SUMIFS(TblApplications[Besoin ROKS CPU (vCPU)],TblApplications[Cluster ROKS cible],$F1075,TblApplications[Action],"À migrer",TblApplications[Déjà incluse ROKS],"Non",TblApplications[Mois prov (calc)],"&lt;="&amp;$E1075),SUMIFS(TblApplications[CPU IKS libérable (vCPU)],TblApplications[Cluster IKS source],$F1075,TblApplications[Mois lib (calc)],"&lt;="&amp;$E1075)))</f>
        <v/>
      </c>
      <c r="Q1075" s="14" t="str">
        <f aca="false">IF($D1075&lt;&gt;1,"",IF($G1075="ROKS",SUMIFS(TblApplications[Besoin ROKS RAM (Go)],TblApplications[Cluster ROKS cible],$F1075,TblApplications[Action],"À migrer",TblApplications[Déjà incluse ROKS],"Non",TblApplications[Mois prov (calc)],"&lt;="&amp;$E1075),SUMIFS(TblApplications[RAM IKS libérable (Go)],TblApplications[Cluster IKS source],$F1075,TblApplications[Mois lib (calc)],"&lt;="&amp;$E1075)))</f>
        <v/>
      </c>
      <c r="R1075" s="14" t="str">
        <f aca="false">IF($D1075&lt;&gt;1,"",IF($G1075="ROKS",$L1075+$P1075,IF($AI1075=1,0,MAX($N1075,$L1075-$P1075))))</f>
        <v/>
      </c>
      <c r="S1075" s="14" t="str">
        <f aca="false">IF($D1075&lt;&gt;1,"",IF($G1075="ROKS",$M1075+$Q1075,IF($AI1075=1,0,MAX($O1075,$M1075-$Q1075))))</f>
        <v/>
      </c>
      <c r="T1075" s="14" t="str">
        <f aca="false">IF($D1075&lt;&gt;1,"",IF($AI1075=1,0,MAX($J1075,ROUNDUP(MAX($R1075/$H1075,$S1075/$I1075),0))))</f>
        <v/>
      </c>
      <c r="U1075" s="14" t="str">
        <f aca="false">IF($D1075&lt;&gt;1,"",IF(p_mode="Nœud",$T1075*$H1075,$R1075))</f>
        <v/>
      </c>
      <c r="V1075" s="14" t="str">
        <f aca="false">IF($D1075&lt;&gt;1,"",IF(p_mode="Nœud",$T1075*$I1075,$S1075))</f>
        <v/>
      </c>
      <c r="W1075" s="84" t="str">
        <f aca="false">IF($D1075&lt;&gt;1,"",IF(p_mode="Nœud",$T1075*$K1075,$R1075*IF($G1075="IKS",p_iks_cpu,p_roks_cpu)+$S1075*IF($G1075="IKS",p_iks_ram,p_roks_ram))*p_facteur)</f>
        <v/>
      </c>
      <c r="X1075" s="14" t="str">
        <f aca="false">IF($D1075&lt;&gt;1,"",IF($G1075="ROKS",$R1075,IF($AI1075=1,0,MAX($N1075,$L1075-SUMIFS(TblApplications[CPU IKS libérable (vCPU)],TblApplications[Cluster IKS source],$F1075,TblApplications[Action],"À migrer",TblApplications[Mois prov (calc)],"&lt;="&amp;$E1075)-SUMIFS(TblApplications[CPU IKS libérable (vCPU)],TblApplications[Cluster IKS source],$F1075,TblApplications[Action],"À décommissionner",TblApplications[Mois lib (calc)],"&lt;="&amp;$E1075)))))</f>
        <v/>
      </c>
      <c r="Y1075" s="14" t="str">
        <f aca="false">IF($D1075&lt;&gt;1,"",IF($G1075="ROKS",$S1075,IF($AI1075=1,0,MAX($O1075,$M1075-SUMIFS(TblApplications[RAM IKS libérable (Go)],TblApplications[Cluster IKS source],$F1075,TblApplications[Action],"À migrer",TblApplications[Mois prov (calc)],"&lt;="&amp;$E1075)-SUMIFS(TblApplications[RAM IKS libérable (Go)],TblApplications[Cluster IKS source],$F1075,TblApplications[Action],"À décommissionner",TblApplications[Mois lib (calc)],"&lt;="&amp;$E1075)))))</f>
        <v/>
      </c>
      <c r="Z1075" s="14" t="str">
        <f aca="false">IF($D1075&lt;&gt;1,"",IF($AI1075=1,0,MAX($J1075,ROUNDUP(MAX($X1075/$H1075,$Y1075/$I1075),0))))</f>
        <v/>
      </c>
      <c r="AA1075" s="84" t="str">
        <f aca="false">IF($D1075&lt;&gt;1,"",IF(p_mode="Nœud",$Z1075*$K1075,$X1075*IF($G1075="IKS",p_iks_cpu,p_roks_cpu)+$Y1075*IF($G1075="IKS",p_iks_ram,p_roks_ram))*p_facteur)</f>
        <v/>
      </c>
      <c r="AB1075" s="14" t="str">
        <f aca="false">IF($D1075&lt;&gt;1,"",MAX($J1075,ROUNDUP(MAX($L1075/$H1075,$M1075/$I1075),0)))</f>
        <v/>
      </c>
      <c r="AC1075" s="84" t="str">
        <f aca="false">IF($D1075&lt;&gt;1,"",IF(p_mode="Nœud",$AB1075*$K1075,$L1075*IF($G1075="IKS",p_iks_cpu,p_roks_cpu)+$M1075*IF($G1075="IKS",p_iks_ram,p_roks_ram))*p_facteur)</f>
        <v/>
      </c>
      <c r="AD1075" s="14" t="str">
        <f aca="false">IF($D1075&lt;&gt;1,"",IF(AND($G1075="IKS",$AI1075&lt;&gt;1,OR($L1075-$P1075&lt;$N1075,$M1075-$Q1075&lt;$O1075)),1,0))</f>
        <v/>
      </c>
      <c r="AE1075" s="14" t="str">
        <f aca="false">IF($D1075&lt;&gt;1,"",IF(AND($G1075="ROKS",$T1075&gt;p_maxworkers),1,0))</f>
        <v/>
      </c>
      <c r="AF1075" s="14" t="str">
        <f aca="false">IF($D1075&lt;&gt;1,"",IF(INDEX(TblClusters[Environnement],$B1075)="","(vide)",INDEX(TblClusters[Environnement],$B1075)))</f>
        <v/>
      </c>
      <c r="AG1075" s="14" t="str">
        <f aca="false">IF($D1075&lt;&gt;1,"",$R1075+p_poidsram*$S1075)</f>
        <v/>
      </c>
      <c r="AH1075" s="14" t="str">
        <f aca="false">IF($D1075&lt;&gt;1,"",IFERROR($W1075/$AG1075,0))</f>
        <v/>
      </c>
      <c r="AI1075" s="14" t="str">
        <f aca="false">IF($D1075&lt;&gt;1,"",IF(AND($G1075="IKS",ISNUMBER(INDEX(TblClusters[Fermeture retenue],$B1075))),IF($E1075&gt;=INDEX(TblClusters[Fermeture retenue],$B1075),1,0),0))</f>
        <v/>
      </c>
    </row>
    <row r="1076" customFormat="false" ht="15" hidden="false" customHeight="false" outlineLevel="0" collapsed="false">
      <c r="A1076" s="14" t="n">
        <v>1071</v>
      </c>
      <c r="B1076" s="14" t="n">
        <f aca="false">INT(($A1076-1)/36)+1</f>
        <v>30</v>
      </c>
      <c r="C1076" s="14" t="n">
        <f aca="false">MOD($A1076-1,36)+1</f>
        <v>27</v>
      </c>
      <c r="D1076" s="14" t="n">
        <f aca="false">IF($C1076&gt;p_horizon,0,IFERROR(IF(AND(INDEX(TblClusters[Cluster],$B1076)&lt;&gt;"",ISNUMBER(INDEX(TblClusters[CPU initial (vCPU)],$B1076)),ISNUMBER(INDEX(TblClusters[CPU min (vCPU)],$B1076)),OR(INDEX(TblClusters[Plateforme],$B1076)="IKS",INDEX(TblClusters[Plateforme],$B1076)="ROKS")),1,0),0))</f>
        <v>0</v>
      </c>
      <c r="E1076" s="83" t="str">
        <f aca="false">IF($D1076=1,EDATE(p_debut,$C1076-1),"")</f>
        <v/>
      </c>
      <c r="F1076" s="14" t="str">
        <f aca="false">IF($D1076=1,INDEX(TblClusters[Cluster],$B1076),"")</f>
        <v/>
      </c>
      <c r="G1076" s="14" t="str">
        <f aca="false">IF($D1076=1,INDEX(TblClusters[Plateforme],$B1076),"")</f>
        <v/>
      </c>
      <c r="H1076" s="14" t="str">
        <f aca="false">IF($D1076=1,INDEX(TblClusters[vCPU par nœud],$B1076),"")</f>
        <v/>
      </c>
      <c r="I1076" s="14" t="str">
        <f aca="false">IF($D1076=1,INDEX(TblClusters[RAM par nœud (Go)],$B1076),"")</f>
        <v/>
      </c>
      <c r="J1076" s="14" t="str">
        <f aca="false">IF($D1076=1,INDEX(TblClusters[Workers min],$B1076),"")</f>
        <v/>
      </c>
      <c r="K1076" s="84" t="str">
        <f aca="false">IF($D1076=1,INDEX(TblClusters[Tarif par nœud],$B1076),"")</f>
        <v/>
      </c>
      <c r="L1076" s="14" t="str">
        <f aca="false">IF($D1076=1,INDEX(TblClusters[CPU initial (vCPU)],$B1076),"")</f>
        <v/>
      </c>
      <c r="M1076" s="14" t="str">
        <f aca="false">IF($D1076=1,INDEX(TblClusters[RAM initiale (Go)],$B1076),"")</f>
        <v/>
      </c>
      <c r="N1076" s="14" t="str">
        <f aca="false">IF($D1076=1,INDEX(TblClusters[CPU min (vCPU)],$B1076),"")</f>
        <v/>
      </c>
      <c r="O1076" s="14" t="str">
        <f aca="false">IF($D1076=1,INDEX(TblClusters[RAM min (Go)],$B1076),"")</f>
        <v/>
      </c>
      <c r="P1076" s="14" t="str">
        <f aca="false">IF($D1076&lt;&gt;1,"",IF($G1076="ROKS",SUMIFS(TblApplications[Besoin ROKS CPU (vCPU)],TblApplications[Cluster ROKS cible],$F1076,TblApplications[Action],"À migrer",TblApplications[Déjà incluse ROKS],"Non",TblApplications[Mois prov (calc)],"&lt;="&amp;$E1076),SUMIFS(TblApplications[CPU IKS libérable (vCPU)],TblApplications[Cluster IKS source],$F1076,TblApplications[Mois lib (calc)],"&lt;="&amp;$E1076)))</f>
        <v/>
      </c>
      <c r="Q1076" s="14" t="str">
        <f aca="false">IF($D1076&lt;&gt;1,"",IF($G1076="ROKS",SUMIFS(TblApplications[Besoin ROKS RAM (Go)],TblApplications[Cluster ROKS cible],$F1076,TblApplications[Action],"À migrer",TblApplications[Déjà incluse ROKS],"Non",TblApplications[Mois prov (calc)],"&lt;="&amp;$E1076),SUMIFS(TblApplications[RAM IKS libérable (Go)],TblApplications[Cluster IKS source],$F1076,TblApplications[Mois lib (calc)],"&lt;="&amp;$E1076)))</f>
        <v/>
      </c>
      <c r="R1076" s="14" t="str">
        <f aca="false">IF($D1076&lt;&gt;1,"",IF($G1076="ROKS",$L1076+$P1076,IF($AI1076=1,0,MAX($N1076,$L1076-$P1076))))</f>
        <v/>
      </c>
      <c r="S1076" s="14" t="str">
        <f aca="false">IF($D1076&lt;&gt;1,"",IF($G1076="ROKS",$M1076+$Q1076,IF($AI1076=1,0,MAX($O1076,$M1076-$Q1076))))</f>
        <v/>
      </c>
      <c r="T1076" s="14" t="str">
        <f aca="false">IF($D1076&lt;&gt;1,"",IF($AI1076=1,0,MAX($J1076,ROUNDUP(MAX($R1076/$H1076,$S1076/$I1076),0))))</f>
        <v/>
      </c>
      <c r="U1076" s="14" t="str">
        <f aca="false">IF($D1076&lt;&gt;1,"",IF(p_mode="Nœud",$T1076*$H1076,$R1076))</f>
        <v/>
      </c>
      <c r="V1076" s="14" t="str">
        <f aca="false">IF($D1076&lt;&gt;1,"",IF(p_mode="Nœud",$T1076*$I1076,$S1076))</f>
        <v/>
      </c>
      <c r="W1076" s="84" t="str">
        <f aca="false">IF($D1076&lt;&gt;1,"",IF(p_mode="Nœud",$T1076*$K1076,$R1076*IF($G1076="IKS",p_iks_cpu,p_roks_cpu)+$S1076*IF($G1076="IKS",p_iks_ram,p_roks_ram))*p_facteur)</f>
        <v/>
      </c>
      <c r="X1076" s="14" t="str">
        <f aca="false">IF($D1076&lt;&gt;1,"",IF($G1076="ROKS",$R1076,IF($AI1076=1,0,MAX($N1076,$L1076-SUMIFS(TblApplications[CPU IKS libérable (vCPU)],TblApplications[Cluster IKS source],$F1076,TblApplications[Action],"À migrer",TblApplications[Mois prov (calc)],"&lt;="&amp;$E1076)-SUMIFS(TblApplications[CPU IKS libérable (vCPU)],TblApplications[Cluster IKS source],$F1076,TblApplications[Action],"À décommissionner",TblApplications[Mois lib (calc)],"&lt;="&amp;$E1076)))))</f>
        <v/>
      </c>
      <c r="Y1076" s="14" t="str">
        <f aca="false">IF($D1076&lt;&gt;1,"",IF($G1076="ROKS",$S1076,IF($AI1076=1,0,MAX($O1076,$M1076-SUMIFS(TblApplications[RAM IKS libérable (Go)],TblApplications[Cluster IKS source],$F1076,TblApplications[Action],"À migrer",TblApplications[Mois prov (calc)],"&lt;="&amp;$E1076)-SUMIFS(TblApplications[RAM IKS libérable (Go)],TblApplications[Cluster IKS source],$F1076,TblApplications[Action],"À décommissionner",TblApplications[Mois lib (calc)],"&lt;="&amp;$E1076)))))</f>
        <v/>
      </c>
      <c r="Z1076" s="14" t="str">
        <f aca="false">IF($D1076&lt;&gt;1,"",IF($AI1076=1,0,MAX($J1076,ROUNDUP(MAX($X1076/$H1076,$Y1076/$I1076),0))))</f>
        <v/>
      </c>
      <c r="AA1076" s="84" t="str">
        <f aca="false">IF($D1076&lt;&gt;1,"",IF(p_mode="Nœud",$Z1076*$K1076,$X1076*IF($G1076="IKS",p_iks_cpu,p_roks_cpu)+$Y1076*IF($G1076="IKS",p_iks_ram,p_roks_ram))*p_facteur)</f>
        <v/>
      </c>
      <c r="AB1076" s="14" t="str">
        <f aca="false">IF($D1076&lt;&gt;1,"",MAX($J1076,ROUNDUP(MAX($L1076/$H1076,$M1076/$I1076),0)))</f>
        <v/>
      </c>
      <c r="AC1076" s="84" t="str">
        <f aca="false">IF($D1076&lt;&gt;1,"",IF(p_mode="Nœud",$AB1076*$K1076,$L1076*IF($G1076="IKS",p_iks_cpu,p_roks_cpu)+$M1076*IF($G1076="IKS",p_iks_ram,p_roks_ram))*p_facteur)</f>
        <v/>
      </c>
      <c r="AD1076" s="14" t="str">
        <f aca="false">IF($D1076&lt;&gt;1,"",IF(AND($G1076="IKS",$AI1076&lt;&gt;1,OR($L1076-$P1076&lt;$N1076,$M1076-$Q1076&lt;$O1076)),1,0))</f>
        <v/>
      </c>
      <c r="AE1076" s="14" t="str">
        <f aca="false">IF($D1076&lt;&gt;1,"",IF(AND($G1076="ROKS",$T1076&gt;p_maxworkers),1,0))</f>
        <v/>
      </c>
      <c r="AF1076" s="14" t="str">
        <f aca="false">IF($D1076&lt;&gt;1,"",IF(INDEX(TblClusters[Environnement],$B1076)="","(vide)",INDEX(TblClusters[Environnement],$B1076)))</f>
        <v/>
      </c>
      <c r="AG1076" s="14" t="str">
        <f aca="false">IF($D1076&lt;&gt;1,"",$R1076+p_poidsram*$S1076)</f>
        <v/>
      </c>
      <c r="AH1076" s="14" t="str">
        <f aca="false">IF($D1076&lt;&gt;1,"",IFERROR($W1076/$AG1076,0))</f>
        <v/>
      </c>
      <c r="AI1076" s="14" t="str">
        <f aca="false">IF($D1076&lt;&gt;1,"",IF(AND($G1076="IKS",ISNUMBER(INDEX(TblClusters[Fermeture retenue],$B1076))),IF($E1076&gt;=INDEX(TblClusters[Fermeture retenue],$B1076),1,0),0))</f>
        <v/>
      </c>
    </row>
    <row r="1077" customFormat="false" ht="15" hidden="false" customHeight="false" outlineLevel="0" collapsed="false">
      <c r="A1077" s="14" t="n">
        <v>1072</v>
      </c>
      <c r="B1077" s="14" t="n">
        <f aca="false">INT(($A1077-1)/36)+1</f>
        <v>30</v>
      </c>
      <c r="C1077" s="14" t="n">
        <f aca="false">MOD($A1077-1,36)+1</f>
        <v>28</v>
      </c>
      <c r="D1077" s="14" t="n">
        <f aca="false">IF($C1077&gt;p_horizon,0,IFERROR(IF(AND(INDEX(TblClusters[Cluster],$B1077)&lt;&gt;"",ISNUMBER(INDEX(TblClusters[CPU initial (vCPU)],$B1077)),ISNUMBER(INDEX(TblClusters[CPU min (vCPU)],$B1077)),OR(INDEX(TblClusters[Plateforme],$B1077)="IKS",INDEX(TblClusters[Plateforme],$B1077)="ROKS")),1,0),0))</f>
        <v>0</v>
      </c>
      <c r="E1077" s="83" t="str">
        <f aca="false">IF($D1077=1,EDATE(p_debut,$C1077-1),"")</f>
        <v/>
      </c>
      <c r="F1077" s="14" t="str">
        <f aca="false">IF($D1077=1,INDEX(TblClusters[Cluster],$B1077),"")</f>
        <v/>
      </c>
      <c r="G1077" s="14" t="str">
        <f aca="false">IF($D1077=1,INDEX(TblClusters[Plateforme],$B1077),"")</f>
        <v/>
      </c>
      <c r="H1077" s="14" t="str">
        <f aca="false">IF($D1077=1,INDEX(TblClusters[vCPU par nœud],$B1077),"")</f>
        <v/>
      </c>
      <c r="I1077" s="14" t="str">
        <f aca="false">IF($D1077=1,INDEX(TblClusters[RAM par nœud (Go)],$B1077),"")</f>
        <v/>
      </c>
      <c r="J1077" s="14" t="str">
        <f aca="false">IF($D1077=1,INDEX(TblClusters[Workers min],$B1077),"")</f>
        <v/>
      </c>
      <c r="K1077" s="84" t="str">
        <f aca="false">IF($D1077=1,INDEX(TblClusters[Tarif par nœud],$B1077),"")</f>
        <v/>
      </c>
      <c r="L1077" s="14" t="str">
        <f aca="false">IF($D1077=1,INDEX(TblClusters[CPU initial (vCPU)],$B1077),"")</f>
        <v/>
      </c>
      <c r="M1077" s="14" t="str">
        <f aca="false">IF($D1077=1,INDEX(TblClusters[RAM initiale (Go)],$B1077),"")</f>
        <v/>
      </c>
      <c r="N1077" s="14" t="str">
        <f aca="false">IF($D1077=1,INDEX(TblClusters[CPU min (vCPU)],$B1077),"")</f>
        <v/>
      </c>
      <c r="O1077" s="14" t="str">
        <f aca="false">IF($D1077=1,INDEX(TblClusters[RAM min (Go)],$B1077),"")</f>
        <v/>
      </c>
      <c r="P1077" s="14" t="str">
        <f aca="false">IF($D1077&lt;&gt;1,"",IF($G1077="ROKS",SUMIFS(TblApplications[Besoin ROKS CPU (vCPU)],TblApplications[Cluster ROKS cible],$F1077,TblApplications[Action],"À migrer",TblApplications[Déjà incluse ROKS],"Non",TblApplications[Mois prov (calc)],"&lt;="&amp;$E1077),SUMIFS(TblApplications[CPU IKS libérable (vCPU)],TblApplications[Cluster IKS source],$F1077,TblApplications[Mois lib (calc)],"&lt;="&amp;$E1077)))</f>
        <v/>
      </c>
      <c r="Q1077" s="14" t="str">
        <f aca="false">IF($D1077&lt;&gt;1,"",IF($G1077="ROKS",SUMIFS(TblApplications[Besoin ROKS RAM (Go)],TblApplications[Cluster ROKS cible],$F1077,TblApplications[Action],"À migrer",TblApplications[Déjà incluse ROKS],"Non",TblApplications[Mois prov (calc)],"&lt;="&amp;$E1077),SUMIFS(TblApplications[RAM IKS libérable (Go)],TblApplications[Cluster IKS source],$F1077,TblApplications[Mois lib (calc)],"&lt;="&amp;$E1077)))</f>
        <v/>
      </c>
      <c r="R1077" s="14" t="str">
        <f aca="false">IF($D1077&lt;&gt;1,"",IF($G1077="ROKS",$L1077+$P1077,IF($AI1077=1,0,MAX($N1077,$L1077-$P1077))))</f>
        <v/>
      </c>
      <c r="S1077" s="14" t="str">
        <f aca="false">IF($D1077&lt;&gt;1,"",IF($G1077="ROKS",$M1077+$Q1077,IF($AI1077=1,0,MAX($O1077,$M1077-$Q1077))))</f>
        <v/>
      </c>
      <c r="T1077" s="14" t="str">
        <f aca="false">IF($D1077&lt;&gt;1,"",IF($AI1077=1,0,MAX($J1077,ROUNDUP(MAX($R1077/$H1077,$S1077/$I1077),0))))</f>
        <v/>
      </c>
      <c r="U1077" s="14" t="str">
        <f aca="false">IF($D1077&lt;&gt;1,"",IF(p_mode="Nœud",$T1077*$H1077,$R1077))</f>
        <v/>
      </c>
      <c r="V1077" s="14" t="str">
        <f aca="false">IF($D1077&lt;&gt;1,"",IF(p_mode="Nœud",$T1077*$I1077,$S1077))</f>
        <v/>
      </c>
      <c r="W1077" s="84" t="str">
        <f aca="false">IF($D1077&lt;&gt;1,"",IF(p_mode="Nœud",$T1077*$K1077,$R1077*IF($G1077="IKS",p_iks_cpu,p_roks_cpu)+$S1077*IF($G1077="IKS",p_iks_ram,p_roks_ram))*p_facteur)</f>
        <v/>
      </c>
      <c r="X1077" s="14" t="str">
        <f aca="false">IF($D1077&lt;&gt;1,"",IF($G1077="ROKS",$R1077,IF($AI1077=1,0,MAX($N1077,$L1077-SUMIFS(TblApplications[CPU IKS libérable (vCPU)],TblApplications[Cluster IKS source],$F1077,TblApplications[Action],"À migrer",TblApplications[Mois prov (calc)],"&lt;="&amp;$E1077)-SUMIFS(TblApplications[CPU IKS libérable (vCPU)],TblApplications[Cluster IKS source],$F1077,TblApplications[Action],"À décommissionner",TblApplications[Mois lib (calc)],"&lt;="&amp;$E1077)))))</f>
        <v/>
      </c>
      <c r="Y1077" s="14" t="str">
        <f aca="false">IF($D1077&lt;&gt;1,"",IF($G1077="ROKS",$S1077,IF($AI1077=1,0,MAX($O1077,$M1077-SUMIFS(TblApplications[RAM IKS libérable (Go)],TblApplications[Cluster IKS source],$F1077,TblApplications[Action],"À migrer",TblApplications[Mois prov (calc)],"&lt;="&amp;$E1077)-SUMIFS(TblApplications[RAM IKS libérable (Go)],TblApplications[Cluster IKS source],$F1077,TblApplications[Action],"À décommissionner",TblApplications[Mois lib (calc)],"&lt;="&amp;$E1077)))))</f>
        <v/>
      </c>
      <c r="Z1077" s="14" t="str">
        <f aca="false">IF($D1077&lt;&gt;1,"",IF($AI1077=1,0,MAX($J1077,ROUNDUP(MAX($X1077/$H1077,$Y1077/$I1077),0))))</f>
        <v/>
      </c>
      <c r="AA1077" s="84" t="str">
        <f aca="false">IF($D1077&lt;&gt;1,"",IF(p_mode="Nœud",$Z1077*$K1077,$X1077*IF($G1077="IKS",p_iks_cpu,p_roks_cpu)+$Y1077*IF($G1077="IKS",p_iks_ram,p_roks_ram))*p_facteur)</f>
        <v/>
      </c>
      <c r="AB1077" s="14" t="str">
        <f aca="false">IF($D1077&lt;&gt;1,"",MAX($J1077,ROUNDUP(MAX($L1077/$H1077,$M1077/$I1077),0)))</f>
        <v/>
      </c>
      <c r="AC1077" s="84" t="str">
        <f aca="false">IF($D1077&lt;&gt;1,"",IF(p_mode="Nœud",$AB1077*$K1077,$L1077*IF($G1077="IKS",p_iks_cpu,p_roks_cpu)+$M1077*IF($G1077="IKS",p_iks_ram,p_roks_ram))*p_facteur)</f>
        <v/>
      </c>
      <c r="AD1077" s="14" t="str">
        <f aca="false">IF($D1077&lt;&gt;1,"",IF(AND($G1077="IKS",$AI1077&lt;&gt;1,OR($L1077-$P1077&lt;$N1077,$M1077-$Q1077&lt;$O1077)),1,0))</f>
        <v/>
      </c>
      <c r="AE1077" s="14" t="str">
        <f aca="false">IF($D1077&lt;&gt;1,"",IF(AND($G1077="ROKS",$T1077&gt;p_maxworkers),1,0))</f>
        <v/>
      </c>
      <c r="AF1077" s="14" t="str">
        <f aca="false">IF($D1077&lt;&gt;1,"",IF(INDEX(TblClusters[Environnement],$B1077)="","(vide)",INDEX(TblClusters[Environnement],$B1077)))</f>
        <v/>
      </c>
      <c r="AG1077" s="14" t="str">
        <f aca="false">IF($D1077&lt;&gt;1,"",$R1077+p_poidsram*$S1077)</f>
        <v/>
      </c>
      <c r="AH1077" s="14" t="str">
        <f aca="false">IF($D1077&lt;&gt;1,"",IFERROR($W1077/$AG1077,0))</f>
        <v/>
      </c>
      <c r="AI1077" s="14" t="str">
        <f aca="false">IF($D1077&lt;&gt;1,"",IF(AND($G1077="IKS",ISNUMBER(INDEX(TblClusters[Fermeture retenue],$B1077))),IF($E1077&gt;=INDEX(TblClusters[Fermeture retenue],$B1077),1,0),0))</f>
        <v/>
      </c>
    </row>
    <row r="1078" customFormat="false" ht="15" hidden="false" customHeight="false" outlineLevel="0" collapsed="false">
      <c r="A1078" s="14" t="n">
        <v>1073</v>
      </c>
      <c r="B1078" s="14" t="n">
        <f aca="false">INT(($A1078-1)/36)+1</f>
        <v>30</v>
      </c>
      <c r="C1078" s="14" t="n">
        <f aca="false">MOD($A1078-1,36)+1</f>
        <v>29</v>
      </c>
      <c r="D1078" s="14" t="n">
        <f aca="false">IF($C1078&gt;p_horizon,0,IFERROR(IF(AND(INDEX(TblClusters[Cluster],$B1078)&lt;&gt;"",ISNUMBER(INDEX(TblClusters[CPU initial (vCPU)],$B1078)),ISNUMBER(INDEX(TblClusters[CPU min (vCPU)],$B1078)),OR(INDEX(TblClusters[Plateforme],$B1078)="IKS",INDEX(TblClusters[Plateforme],$B1078)="ROKS")),1,0),0))</f>
        <v>0</v>
      </c>
      <c r="E1078" s="83" t="str">
        <f aca="false">IF($D1078=1,EDATE(p_debut,$C1078-1),"")</f>
        <v/>
      </c>
      <c r="F1078" s="14" t="str">
        <f aca="false">IF($D1078=1,INDEX(TblClusters[Cluster],$B1078),"")</f>
        <v/>
      </c>
      <c r="G1078" s="14" t="str">
        <f aca="false">IF($D1078=1,INDEX(TblClusters[Plateforme],$B1078),"")</f>
        <v/>
      </c>
      <c r="H1078" s="14" t="str">
        <f aca="false">IF($D1078=1,INDEX(TblClusters[vCPU par nœud],$B1078),"")</f>
        <v/>
      </c>
      <c r="I1078" s="14" t="str">
        <f aca="false">IF($D1078=1,INDEX(TblClusters[RAM par nœud (Go)],$B1078),"")</f>
        <v/>
      </c>
      <c r="J1078" s="14" t="str">
        <f aca="false">IF($D1078=1,INDEX(TblClusters[Workers min],$B1078),"")</f>
        <v/>
      </c>
      <c r="K1078" s="84" t="str">
        <f aca="false">IF($D1078=1,INDEX(TblClusters[Tarif par nœud],$B1078),"")</f>
        <v/>
      </c>
      <c r="L1078" s="14" t="str">
        <f aca="false">IF($D1078=1,INDEX(TblClusters[CPU initial (vCPU)],$B1078),"")</f>
        <v/>
      </c>
      <c r="M1078" s="14" t="str">
        <f aca="false">IF($D1078=1,INDEX(TblClusters[RAM initiale (Go)],$B1078),"")</f>
        <v/>
      </c>
      <c r="N1078" s="14" t="str">
        <f aca="false">IF($D1078=1,INDEX(TblClusters[CPU min (vCPU)],$B1078),"")</f>
        <v/>
      </c>
      <c r="O1078" s="14" t="str">
        <f aca="false">IF($D1078=1,INDEX(TblClusters[RAM min (Go)],$B1078),"")</f>
        <v/>
      </c>
      <c r="P1078" s="14" t="str">
        <f aca="false">IF($D1078&lt;&gt;1,"",IF($G1078="ROKS",SUMIFS(TblApplications[Besoin ROKS CPU (vCPU)],TblApplications[Cluster ROKS cible],$F1078,TblApplications[Action],"À migrer",TblApplications[Déjà incluse ROKS],"Non",TblApplications[Mois prov (calc)],"&lt;="&amp;$E1078),SUMIFS(TblApplications[CPU IKS libérable (vCPU)],TblApplications[Cluster IKS source],$F1078,TblApplications[Mois lib (calc)],"&lt;="&amp;$E1078)))</f>
        <v/>
      </c>
      <c r="Q1078" s="14" t="str">
        <f aca="false">IF($D1078&lt;&gt;1,"",IF($G1078="ROKS",SUMIFS(TblApplications[Besoin ROKS RAM (Go)],TblApplications[Cluster ROKS cible],$F1078,TblApplications[Action],"À migrer",TblApplications[Déjà incluse ROKS],"Non",TblApplications[Mois prov (calc)],"&lt;="&amp;$E1078),SUMIFS(TblApplications[RAM IKS libérable (Go)],TblApplications[Cluster IKS source],$F1078,TblApplications[Mois lib (calc)],"&lt;="&amp;$E1078)))</f>
        <v/>
      </c>
      <c r="R1078" s="14" t="str">
        <f aca="false">IF($D1078&lt;&gt;1,"",IF($G1078="ROKS",$L1078+$P1078,IF($AI1078=1,0,MAX($N1078,$L1078-$P1078))))</f>
        <v/>
      </c>
      <c r="S1078" s="14" t="str">
        <f aca="false">IF($D1078&lt;&gt;1,"",IF($G1078="ROKS",$M1078+$Q1078,IF($AI1078=1,0,MAX($O1078,$M1078-$Q1078))))</f>
        <v/>
      </c>
      <c r="T1078" s="14" t="str">
        <f aca="false">IF($D1078&lt;&gt;1,"",IF($AI1078=1,0,MAX($J1078,ROUNDUP(MAX($R1078/$H1078,$S1078/$I1078),0))))</f>
        <v/>
      </c>
      <c r="U1078" s="14" t="str">
        <f aca="false">IF($D1078&lt;&gt;1,"",IF(p_mode="Nœud",$T1078*$H1078,$R1078))</f>
        <v/>
      </c>
      <c r="V1078" s="14" t="str">
        <f aca="false">IF($D1078&lt;&gt;1,"",IF(p_mode="Nœud",$T1078*$I1078,$S1078))</f>
        <v/>
      </c>
      <c r="W1078" s="84" t="str">
        <f aca="false">IF($D1078&lt;&gt;1,"",IF(p_mode="Nœud",$T1078*$K1078,$R1078*IF($G1078="IKS",p_iks_cpu,p_roks_cpu)+$S1078*IF($G1078="IKS",p_iks_ram,p_roks_ram))*p_facteur)</f>
        <v/>
      </c>
      <c r="X1078" s="14" t="str">
        <f aca="false">IF($D1078&lt;&gt;1,"",IF($G1078="ROKS",$R1078,IF($AI1078=1,0,MAX($N1078,$L1078-SUMIFS(TblApplications[CPU IKS libérable (vCPU)],TblApplications[Cluster IKS source],$F1078,TblApplications[Action],"À migrer",TblApplications[Mois prov (calc)],"&lt;="&amp;$E1078)-SUMIFS(TblApplications[CPU IKS libérable (vCPU)],TblApplications[Cluster IKS source],$F1078,TblApplications[Action],"À décommissionner",TblApplications[Mois lib (calc)],"&lt;="&amp;$E1078)))))</f>
        <v/>
      </c>
      <c r="Y1078" s="14" t="str">
        <f aca="false">IF($D1078&lt;&gt;1,"",IF($G1078="ROKS",$S1078,IF($AI1078=1,0,MAX($O1078,$M1078-SUMIFS(TblApplications[RAM IKS libérable (Go)],TblApplications[Cluster IKS source],$F1078,TblApplications[Action],"À migrer",TblApplications[Mois prov (calc)],"&lt;="&amp;$E1078)-SUMIFS(TblApplications[RAM IKS libérable (Go)],TblApplications[Cluster IKS source],$F1078,TblApplications[Action],"À décommissionner",TblApplications[Mois lib (calc)],"&lt;="&amp;$E1078)))))</f>
        <v/>
      </c>
      <c r="Z1078" s="14" t="str">
        <f aca="false">IF($D1078&lt;&gt;1,"",IF($AI1078=1,0,MAX($J1078,ROUNDUP(MAX($X1078/$H1078,$Y1078/$I1078),0))))</f>
        <v/>
      </c>
      <c r="AA1078" s="84" t="str">
        <f aca="false">IF($D1078&lt;&gt;1,"",IF(p_mode="Nœud",$Z1078*$K1078,$X1078*IF($G1078="IKS",p_iks_cpu,p_roks_cpu)+$Y1078*IF($G1078="IKS",p_iks_ram,p_roks_ram))*p_facteur)</f>
        <v/>
      </c>
      <c r="AB1078" s="14" t="str">
        <f aca="false">IF($D1078&lt;&gt;1,"",MAX($J1078,ROUNDUP(MAX($L1078/$H1078,$M1078/$I1078),0)))</f>
        <v/>
      </c>
      <c r="AC1078" s="84" t="str">
        <f aca="false">IF($D1078&lt;&gt;1,"",IF(p_mode="Nœud",$AB1078*$K1078,$L1078*IF($G1078="IKS",p_iks_cpu,p_roks_cpu)+$M1078*IF($G1078="IKS",p_iks_ram,p_roks_ram))*p_facteur)</f>
        <v/>
      </c>
      <c r="AD1078" s="14" t="str">
        <f aca="false">IF($D1078&lt;&gt;1,"",IF(AND($G1078="IKS",$AI1078&lt;&gt;1,OR($L1078-$P1078&lt;$N1078,$M1078-$Q1078&lt;$O1078)),1,0))</f>
        <v/>
      </c>
      <c r="AE1078" s="14" t="str">
        <f aca="false">IF($D1078&lt;&gt;1,"",IF(AND($G1078="ROKS",$T1078&gt;p_maxworkers),1,0))</f>
        <v/>
      </c>
      <c r="AF1078" s="14" t="str">
        <f aca="false">IF($D1078&lt;&gt;1,"",IF(INDEX(TblClusters[Environnement],$B1078)="","(vide)",INDEX(TblClusters[Environnement],$B1078)))</f>
        <v/>
      </c>
      <c r="AG1078" s="14" t="str">
        <f aca="false">IF($D1078&lt;&gt;1,"",$R1078+p_poidsram*$S1078)</f>
        <v/>
      </c>
      <c r="AH1078" s="14" t="str">
        <f aca="false">IF($D1078&lt;&gt;1,"",IFERROR($W1078/$AG1078,0))</f>
        <v/>
      </c>
      <c r="AI1078" s="14" t="str">
        <f aca="false">IF($D1078&lt;&gt;1,"",IF(AND($G1078="IKS",ISNUMBER(INDEX(TblClusters[Fermeture retenue],$B1078))),IF($E1078&gt;=INDEX(TblClusters[Fermeture retenue],$B1078),1,0),0))</f>
        <v/>
      </c>
    </row>
    <row r="1079" customFormat="false" ht="15" hidden="false" customHeight="false" outlineLevel="0" collapsed="false">
      <c r="A1079" s="14" t="n">
        <v>1074</v>
      </c>
      <c r="B1079" s="14" t="n">
        <f aca="false">INT(($A1079-1)/36)+1</f>
        <v>30</v>
      </c>
      <c r="C1079" s="14" t="n">
        <f aca="false">MOD($A1079-1,36)+1</f>
        <v>30</v>
      </c>
      <c r="D1079" s="14" t="n">
        <f aca="false">IF($C1079&gt;p_horizon,0,IFERROR(IF(AND(INDEX(TblClusters[Cluster],$B1079)&lt;&gt;"",ISNUMBER(INDEX(TblClusters[CPU initial (vCPU)],$B1079)),ISNUMBER(INDEX(TblClusters[CPU min (vCPU)],$B1079)),OR(INDEX(TblClusters[Plateforme],$B1079)="IKS",INDEX(TblClusters[Plateforme],$B1079)="ROKS")),1,0),0))</f>
        <v>0</v>
      </c>
      <c r="E1079" s="83" t="str">
        <f aca="false">IF($D1079=1,EDATE(p_debut,$C1079-1),"")</f>
        <v/>
      </c>
      <c r="F1079" s="14" t="str">
        <f aca="false">IF($D1079=1,INDEX(TblClusters[Cluster],$B1079),"")</f>
        <v/>
      </c>
      <c r="G1079" s="14" t="str">
        <f aca="false">IF($D1079=1,INDEX(TblClusters[Plateforme],$B1079),"")</f>
        <v/>
      </c>
      <c r="H1079" s="14" t="str">
        <f aca="false">IF($D1079=1,INDEX(TblClusters[vCPU par nœud],$B1079),"")</f>
        <v/>
      </c>
      <c r="I1079" s="14" t="str">
        <f aca="false">IF($D1079=1,INDEX(TblClusters[RAM par nœud (Go)],$B1079),"")</f>
        <v/>
      </c>
      <c r="J1079" s="14" t="str">
        <f aca="false">IF($D1079=1,INDEX(TblClusters[Workers min],$B1079),"")</f>
        <v/>
      </c>
      <c r="K1079" s="84" t="str">
        <f aca="false">IF($D1079=1,INDEX(TblClusters[Tarif par nœud],$B1079),"")</f>
        <v/>
      </c>
      <c r="L1079" s="14" t="str">
        <f aca="false">IF($D1079=1,INDEX(TblClusters[CPU initial (vCPU)],$B1079),"")</f>
        <v/>
      </c>
      <c r="M1079" s="14" t="str">
        <f aca="false">IF($D1079=1,INDEX(TblClusters[RAM initiale (Go)],$B1079),"")</f>
        <v/>
      </c>
      <c r="N1079" s="14" t="str">
        <f aca="false">IF($D1079=1,INDEX(TblClusters[CPU min (vCPU)],$B1079),"")</f>
        <v/>
      </c>
      <c r="O1079" s="14" t="str">
        <f aca="false">IF($D1079=1,INDEX(TblClusters[RAM min (Go)],$B1079),"")</f>
        <v/>
      </c>
      <c r="P1079" s="14" t="str">
        <f aca="false">IF($D1079&lt;&gt;1,"",IF($G1079="ROKS",SUMIFS(TblApplications[Besoin ROKS CPU (vCPU)],TblApplications[Cluster ROKS cible],$F1079,TblApplications[Action],"À migrer",TblApplications[Déjà incluse ROKS],"Non",TblApplications[Mois prov (calc)],"&lt;="&amp;$E1079),SUMIFS(TblApplications[CPU IKS libérable (vCPU)],TblApplications[Cluster IKS source],$F1079,TblApplications[Mois lib (calc)],"&lt;="&amp;$E1079)))</f>
        <v/>
      </c>
      <c r="Q1079" s="14" t="str">
        <f aca="false">IF($D1079&lt;&gt;1,"",IF($G1079="ROKS",SUMIFS(TblApplications[Besoin ROKS RAM (Go)],TblApplications[Cluster ROKS cible],$F1079,TblApplications[Action],"À migrer",TblApplications[Déjà incluse ROKS],"Non",TblApplications[Mois prov (calc)],"&lt;="&amp;$E1079),SUMIFS(TblApplications[RAM IKS libérable (Go)],TblApplications[Cluster IKS source],$F1079,TblApplications[Mois lib (calc)],"&lt;="&amp;$E1079)))</f>
        <v/>
      </c>
      <c r="R1079" s="14" t="str">
        <f aca="false">IF($D1079&lt;&gt;1,"",IF($G1079="ROKS",$L1079+$P1079,IF($AI1079=1,0,MAX($N1079,$L1079-$P1079))))</f>
        <v/>
      </c>
      <c r="S1079" s="14" t="str">
        <f aca="false">IF($D1079&lt;&gt;1,"",IF($G1079="ROKS",$M1079+$Q1079,IF($AI1079=1,0,MAX($O1079,$M1079-$Q1079))))</f>
        <v/>
      </c>
      <c r="T1079" s="14" t="str">
        <f aca="false">IF($D1079&lt;&gt;1,"",IF($AI1079=1,0,MAX($J1079,ROUNDUP(MAX($R1079/$H1079,$S1079/$I1079),0))))</f>
        <v/>
      </c>
      <c r="U1079" s="14" t="str">
        <f aca="false">IF($D1079&lt;&gt;1,"",IF(p_mode="Nœud",$T1079*$H1079,$R1079))</f>
        <v/>
      </c>
      <c r="V1079" s="14" t="str">
        <f aca="false">IF($D1079&lt;&gt;1,"",IF(p_mode="Nœud",$T1079*$I1079,$S1079))</f>
        <v/>
      </c>
      <c r="W1079" s="84" t="str">
        <f aca="false">IF($D1079&lt;&gt;1,"",IF(p_mode="Nœud",$T1079*$K1079,$R1079*IF($G1079="IKS",p_iks_cpu,p_roks_cpu)+$S1079*IF($G1079="IKS",p_iks_ram,p_roks_ram))*p_facteur)</f>
        <v/>
      </c>
      <c r="X1079" s="14" t="str">
        <f aca="false">IF($D1079&lt;&gt;1,"",IF($G1079="ROKS",$R1079,IF($AI1079=1,0,MAX($N1079,$L1079-SUMIFS(TblApplications[CPU IKS libérable (vCPU)],TblApplications[Cluster IKS source],$F1079,TblApplications[Action],"À migrer",TblApplications[Mois prov (calc)],"&lt;="&amp;$E1079)-SUMIFS(TblApplications[CPU IKS libérable (vCPU)],TblApplications[Cluster IKS source],$F1079,TblApplications[Action],"À décommissionner",TblApplications[Mois lib (calc)],"&lt;="&amp;$E1079)))))</f>
        <v/>
      </c>
      <c r="Y1079" s="14" t="str">
        <f aca="false">IF($D1079&lt;&gt;1,"",IF($G1079="ROKS",$S1079,IF($AI1079=1,0,MAX($O1079,$M1079-SUMIFS(TblApplications[RAM IKS libérable (Go)],TblApplications[Cluster IKS source],$F1079,TblApplications[Action],"À migrer",TblApplications[Mois prov (calc)],"&lt;="&amp;$E1079)-SUMIFS(TblApplications[RAM IKS libérable (Go)],TblApplications[Cluster IKS source],$F1079,TblApplications[Action],"À décommissionner",TblApplications[Mois lib (calc)],"&lt;="&amp;$E1079)))))</f>
        <v/>
      </c>
      <c r="Z1079" s="14" t="str">
        <f aca="false">IF($D1079&lt;&gt;1,"",IF($AI1079=1,0,MAX($J1079,ROUNDUP(MAX($X1079/$H1079,$Y1079/$I1079),0))))</f>
        <v/>
      </c>
      <c r="AA1079" s="84" t="str">
        <f aca="false">IF($D1079&lt;&gt;1,"",IF(p_mode="Nœud",$Z1079*$K1079,$X1079*IF($G1079="IKS",p_iks_cpu,p_roks_cpu)+$Y1079*IF($G1079="IKS",p_iks_ram,p_roks_ram))*p_facteur)</f>
        <v/>
      </c>
      <c r="AB1079" s="14" t="str">
        <f aca="false">IF($D1079&lt;&gt;1,"",MAX($J1079,ROUNDUP(MAX($L1079/$H1079,$M1079/$I1079),0)))</f>
        <v/>
      </c>
      <c r="AC1079" s="84" t="str">
        <f aca="false">IF($D1079&lt;&gt;1,"",IF(p_mode="Nœud",$AB1079*$K1079,$L1079*IF($G1079="IKS",p_iks_cpu,p_roks_cpu)+$M1079*IF($G1079="IKS",p_iks_ram,p_roks_ram))*p_facteur)</f>
        <v/>
      </c>
      <c r="AD1079" s="14" t="str">
        <f aca="false">IF($D1079&lt;&gt;1,"",IF(AND($G1079="IKS",$AI1079&lt;&gt;1,OR($L1079-$P1079&lt;$N1079,$M1079-$Q1079&lt;$O1079)),1,0))</f>
        <v/>
      </c>
      <c r="AE1079" s="14" t="str">
        <f aca="false">IF($D1079&lt;&gt;1,"",IF(AND($G1079="ROKS",$T1079&gt;p_maxworkers),1,0))</f>
        <v/>
      </c>
      <c r="AF1079" s="14" t="str">
        <f aca="false">IF($D1079&lt;&gt;1,"",IF(INDEX(TblClusters[Environnement],$B1079)="","(vide)",INDEX(TblClusters[Environnement],$B1079)))</f>
        <v/>
      </c>
      <c r="AG1079" s="14" t="str">
        <f aca="false">IF($D1079&lt;&gt;1,"",$R1079+p_poidsram*$S1079)</f>
        <v/>
      </c>
      <c r="AH1079" s="14" t="str">
        <f aca="false">IF($D1079&lt;&gt;1,"",IFERROR($W1079/$AG1079,0))</f>
        <v/>
      </c>
      <c r="AI1079" s="14" t="str">
        <f aca="false">IF($D1079&lt;&gt;1,"",IF(AND($G1079="IKS",ISNUMBER(INDEX(TblClusters[Fermeture retenue],$B1079))),IF($E1079&gt;=INDEX(TblClusters[Fermeture retenue],$B1079),1,0),0))</f>
        <v/>
      </c>
    </row>
    <row r="1080" customFormat="false" ht="15" hidden="false" customHeight="false" outlineLevel="0" collapsed="false">
      <c r="A1080" s="14" t="n">
        <v>1075</v>
      </c>
      <c r="B1080" s="14" t="n">
        <f aca="false">INT(($A1080-1)/36)+1</f>
        <v>30</v>
      </c>
      <c r="C1080" s="14" t="n">
        <f aca="false">MOD($A1080-1,36)+1</f>
        <v>31</v>
      </c>
      <c r="D1080" s="14" t="n">
        <f aca="false">IF($C1080&gt;p_horizon,0,IFERROR(IF(AND(INDEX(TblClusters[Cluster],$B1080)&lt;&gt;"",ISNUMBER(INDEX(TblClusters[CPU initial (vCPU)],$B1080)),ISNUMBER(INDEX(TblClusters[CPU min (vCPU)],$B1080)),OR(INDEX(TblClusters[Plateforme],$B1080)="IKS",INDEX(TblClusters[Plateforme],$B1080)="ROKS")),1,0),0))</f>
        <v>0</v>
      </c>
      <c r="E1080" s="83" t="str">
        <f aca="false">IF($D1080=1,EDATE(p_debut,$C1080-1),"")</f>
        <v/>
      </c>
      <c r="F1080" s="14" t="str">
        <f aca="false">IF($D1080=1,INDEX(TblClusters[Cluster],$B1080),"")</f>
        <v/>
      </c>
      <c r="G1080" s="14" t="str">
        <f aca="false">IF($D1080=1,INDEX(TblClusters[Plateforme],$B1080),"")</f>
        <v/>
      </c>
      <c r="H1080" s="14" t="str">
        <f aca="false">IF($D1080=1,INDEX(TblClusters[vCPU par nœud],$B1080),"")</f>
        <v/>
      </c>
      <c r="I1080" s="14" t="str">
        <f aca="false">IF($D1080=1,INDEX(TblClusters[RAM par nœud (Go)],$B1080),"")</f>
        <v/>
      </c>
      <c r="J1080" s="14" t="str">
        <f aca="false">IF($D1080=1,INDEX(TblClusters[Workers min],$B1080),"")</f>
        <v/>
      </c>
      <c r="K1080" s="84" t="str">
        <f aca="false">IF($D1080=1,INDEX(TblClusters[Tarif par nœud],$B1080),"")</f>
        <v/>
      </c>
      <c r="L1080" s="14" t="str">
        <f aca="false">IF($D1080=1,INDEX(TblClusters[CPU initial (vCPU)],$B1080),"")</f>
        <v/>
      </c>
      <c r="M1080" s="14" t="str">
        <f aca="false">IF($D1080=1,INDEX(TblClusters[RAM initiale (Go)],$B1080),"")</f>
        <v/>
      </c>
      <c r="N1080" s="14" t="str">
        <f aca="false">IF($D1080=1,INDEX(TblClusters[CPU min (vCPU)],$B1080),"")</f>
        <v/>
      </c>
      <c r="O1080" s="14" t="str">
        <f aca="false">IF($D1080=1,INDEX(TblClusters[RAM min (Go)],$B1080),"")</f>
        <v/>
      </c>
      <c r="P1080" s="14" t="str">
        <f aca="false">IF($D1080&lt;&gt;1,"",IF($G1080="ROKS",SUMIFS(TblApplications[Besoin ROKS CPU (vCPU)],TblApplications[Cluster ROKS cible],$F1080,TblApplications[Action],"À migrer",TblApplications[Déjà incluse ROKS],"Non",TblApplications[Mois prov (calc)],"&lt;="&amp;$E1080),SUMIFS(TblApplications[CPU IKS libérable (vCPU)],TblApplications[Cluster IKS source],$F1080,TblApplications[Mois lib (calc)],"&lt;="&amp;$E1080)))</f>
        <v/>
      </c>
      <c r="Q1080" s="14" t="str">
        <f aca="false">IF($D1080&lt;&gt;1,"",IF($G1080="ROKS",SUMIFS(TblApplications[Besoin ROKS RAM (Go)],TblApplications[Cluster ROKS cible],$F1080,TblApplications[Action],"À migrer",TblApplications[Déjà incluse ROKS],"Non",TblApplications[Mois prov (calc)],"&lt;="&amp;$E1080),SUMIFS(TblApplications[RAM IKS libérable (Go)],TblApplications[Cluster IKS source],$F1080,TblApplications[Mois lib (calc)],"&lt;="&amp;$E1080)))</f>
        <v/>
      </c>
      <c r="R1080" s="14" t="str">
        <f aca="false">IF($D1080&lt;&gt;1,"",IF($G1080="ROKS",$L1080+$P1080,IF($AI1080=1,0,MAX($N1080,$L1080-$P1080))))</f>
        <v/>
      </c>
      <c r="S1080" s="14" t="str">
        <f aca="false">IF($D1080&lt;&gt;1,"",IF($G1080="ROKS",$M1080+$Q1080,IF($AI1080=1,0,MAX($O1080,$M1080-$Q1080))))</f>
        <v/>
      </c>
      <c r="T1080" s="14" t="str">
        <f aca="false">IF($D1080&lt;&gt;1,"",IF($AI1080=1,0,MAX($J1080,ROUNDUP(MAX($R1080/$H1080,$S1080/$I1080),0))))</f>
        <v/>
      </c>
      <c r="U1080" s="14" t="str">
        <f aca="false">IF($D1080&lt;&gt;1,"",IF(p_mode="Nœud",$T1080*$H1080,$R1080))</f>
        <v/>
      </c>
      <c r="V1080" s="14" t="str">
        <f aca="false">IF($D1080&lt;&gt;1,"",IF(p_mode="Nœud",$T1080*$I1080,$S1080))</f>
        <v/>
      </c>
      <c r="W1080" s="84" t="str">
        <f aca="false">IF($D1080&lt;&gt;1,"",IF(p_mode="Nœud",$T1080*$K1080,$R1080*IF($G1080="IKS",p_iks_cpu,p_roks_cpu)+$S1080*IF($G1080="IKS",p_iks_ram,p_roks_ram))*p_facteur)</f>
        <v/>
      </c>
      <c r="X1080" s="14" t="str">
        <f aca="false">IF($D1080&lt;&gt;1,"",IF($G1080="ROKS",$R1080,IF($AI1080=1,0,MAX($N1080,$L1080-SUMIFS(TblApplications[CPU IKS libérable (vCPU)],TblApplications[Cluster IKS source],$F1080,TblApplications[Action],"À migrer",TblApplications[Mois prov (calc)],"&lt;="&amp;$E1080)-SUMIFS(TblApplications[CPU IKS libérable (vCPU)],TblApplications[Cluster IKS source],$F1080,TblApplications[Action],"À décommissionner",TblApplications[Mois lib (calc)],"&lt;="&amp;$E1080)))))</f>
        <v/>
      </c>
      <c r="Y1080" s="14" t="str">
        <f aca="false">IF($D1080&lt;&gt;1,"",IF($G1080="ROKS",$S1080,IF($AI1080=1,0,MAX($O1080,$M1080-SUMIFS(TblApplications[RAM IKS libérable (Go)],TblApplications[Cluster IKS source],$F1080,TblApplications[Action],"À migrer",TblApplications[Mois prov (calc)],"&lt;="&amp;$E1080)-SUMIFS(TblApplications[RAM IKS libérable (Go)],TblApplications[Cluster IKS source],$F1080,TblApplications[Action],"À décommissionner",TblApplications[Mois lib (calc)],"&lt;="&amp;$E1080)))))</f>
        <v/>
      </c>
      <c r="Z1080" s="14" t="str">
        <f aca="false">IF($D1080&lt;&gt;1,"",IF($AI1080=1,0,MAX($J1080,ROUNDUP(MAX($X1080/$H1080,$Y1080/$I1080),0))))</f>
        <v/>
      </c>
      <c r="AA1080" s="84" t="str">
        <f aca="false">IF($D1080&lt;&gt;1,"",IF(p_mode="Nœud",$Z1080*$K1080,$X1080*IF($G1080="IKS",p_iks_cpu,p_roks_cpu)+$Y1080*IF($G1080="IKS",p_iks_ram,p_roks_ram))*p_facteur)</f>
        <v/>
      </c>
      <c r="AB1080" s="14" t="str">
        <f aca="false">IF($D1080&lt;&gt;1,"",MAX($J1080,ROUNDUP(MAX($L1080/$H1080,$M1080/$I1080),0)))</f>
        <v/>
      </c>
      <c r="AC1080" s="84" t="str">
        <f aca="false">IF($D1080&lt;&gt;1,"",IF(p_mode="Nœud",$AB1080*$K1080,$L1080*IF($G1080="IKS",p_iks_cpu,p_roks_cpu)+$M1080*IF($G1080="IKS",p_iks_ram,p_roks_ram))*p_facteur)</f>
        <v/>
      </c>
      <c r="AD1080" s="14" t="str">
        <f aca="false">IF($D1080&lt;&gt;1,"",IF(AND($G1080="IKS",$AI1080&lt;&gt;1,OR($L1080-$P1080&lt;$N1080,$M1080-$Q1080&lt;$O1080)),1,0))</f>
        <v/>
      </c>
      <c r="AE1080" s="14" t="str">
        <f aca="false">IF($D1080&lt;&gt;1,"",IF(AND($G1080="ROKS",$T1080&gt;p_maxworkers),1,0))</f>
        <v/>
      </c>
      <c r="AF1080" s="14" t="str">
        <f aca="false">IF($D1080&lt;&gt;1,"",IF(INDEX(TblClusters[Environnement],$B1080)="","(vide)",INDEX(TblClusters[Environnement],$B1080)))</f>
        <v/>
      </c>
      <c r="AG1080" s="14" t="str">
        <f aca="false">IF($D1080&lt;&gt;1,"",$R1080+p_poidsram*$S1080)</f>
        <v/>
      </c>
      <c r="AH1080" s="14" t="str">
        <f aca="false">IF($D1080&lt;&gt;1,"",IFERROR($W1080/$AG1080,0))</f>
        <v/>
      </c>
      <c r="AI1080" s="14" t="str">
        <f aca="false">IF($D1080&lt;&gt;1,"",IF(AND($G1080="IKS",ISNUMBER(INDEX(TblClusters[Fermeture retenue],$B1080))),IF($E1080&gt;=INDEX(TblClusters[Fermeture retenue],$B1080),1,0),0))</f>
        <v/>
      </c>
    </row>
    <row r="1081" customFormat="false" ht="15" hidden="false" customHeight="false" outlineLevel="0" collapsed="false">
      <c r="A1081" s="14" t="n">
        <v>1076</v>
      </c>
      <c r="B1081" s="14" t="n">
        <f aca="false">INT(($A1081-1)/36)+1</f>
        <v>30</v>
      </c>
      <c r="C1081" s="14" t="n">
        <f aca="false">MOD($A1081-1,36)+1</f>
        <v>32</v>
      </c>
      <c r="D1081" s="14" t="n">
        <f aca="false">IF($C1081&gt;p_horizon,0,IFERROR(IF(AND(INDEX(TblClusters[Cluster],$B1081)&lt;&gt;"",ISNUMBER(INDEX(TblClusters[CPU initial (vCPU)],$B1081)),ISNUMBER(INDEX(TblClusters[CPU min (vCPU)],$B1081)),OR(INDEX(TblClusters[Plateforme],$B1081)="IKS",INDEX(TblClusters[Plateforme],$B1081)="ROKS")),1,0),0))</f>
        <v>0</v>
      </c>
      <c r="E1081" s="83" t="str">
        <f aca="false">IF($D1081=1,EDATE(p_debut,$C1081-1),"")</f>
        <v/>
      </c>
      <c r="F1081" s="14" t="str">
        <f aca="false">IF($D1081=1,INDEX(TblClusters[Cluster],$B1081),"")</f>
        <v/>
      </c>
      <c r="G1081" s="14" t="str">
        <f aca="false">IF($D1081=1,INDEX(TblClusters[Plateforme],$B1081),"")</f>
        <v/>
      </c>
      <c r="H1081" s="14" t="str">
        <f aca="false">IF($D1081=1,INDEX(TblClusters[vCPU par nœud],$B1081),"")</f>
        <v/>
      </c>
      <c r="I1081" s="14" t="str">
        <f aca="false">IF($D1081=1,INDEX(TblClusters[RAM par nœud (Go)],$B1081),"")</f>
        <v/>
      </c>
      <c r="J1081" s="14" t="str">
        <f aca="false">IF($D1081=1,INDEX(TblClusters[Workers min],$B1081),"")</f>
        <v/>
      </c>
      <c r="K1081" s="84" t="str">
        <f aca="false">IF($D1081=1,INDEX(TblClusters[Tarif par nœud],$B1081),"")</f>
        <v/>
      </c>
      <c r="L1081" s="14" t="str">
        <f aca="false">IF($D1081=1,INDEX(TblClusters[CPU initial (vCPU)],$B1081),"")</f>
        <v/>
      </c>
      <c r="M1081" s="14" t="str">
        <f aca="false">IF($D1081=1,INDEX(TblClusters[RAM initiale (Go)],$B1081),"")</f>
        <v/>
      </c>
      <c r="N1081" s="14" t="str">
        <f aca="false">IF($D1081=1,INDEX(TblClusters[CPU min (vCPU)],$B1081),"")</f>
        <v/>
      </c>
      <c r="O1081" s="14" t="str">
        <f aca="false">IF($D1081=1,INDEX(TblClusters[RAM min (Go)],$B1081),"")</f>
        <v/>
      </c>
      <c r="P1081" s="14" t="str">
        <f aca="false">IF($D1081&lt;&gt;1,"",IF($G1081="ROKS",SUMIFS(TblApplications[Besoin ROKS CPU (vCPU)],TblApplications[Cluster ROKS cible],$F1081,TblApplications[Action],"À migrer",TblApplications[Déjà incluse ROKS],"Non",TblApplications[Mois prov (calc)],"&lt;="&amp;$E1081),SUMIFS(TblApplications[CPU IKS libérable (vCPU)],TblApplications[Cluster IKS source],$F1081,TblApplications[Mois lib (calc)],"&lt;="&amp;$E1081)))</f>
        <v/>
      </c>
      <c r="Q1081" s="14" t="str">
        <f aca="false">IF($D1081&lt;&gt;1,"",IF($G1081="ROKS",SUMIFS(TblApplications[Besoin ROKS RAM (Go)],TblApplications[Cluster ROKS cible],$F1081,TblApplications[Action],"À migrer",TblApplications[Déjà incluse ROKS],"Non",TblApplications[Mois prov (calc)],"&lt;="&amp;$E1081),SUMIFS(TblApplications[RAM IKS libérable (Go)],TblApplications[Cluster IKS source],$F1081,TblApplications[Mois lib (calc)],"&lt;="&amp;$E1081)))</f>
        <v/>
      </c>
      <c r="R1081" s="14" t="str">
        <f aca="false">IF($D1081&lt;&gt;1,"",IF($G1081="ROKS",$L1081+$P1081,IF($AI1081=1,0,MAX($N1081,$L1081-$P1081))))</f>
        <v/>
      </c>
      <c r="S1081" s="14" t="str">
        <f aca="false">IF($D1081&lt;&gt;1,"",IF($G1081="ROKS",$M1081+$Q1081,IF($AI1081=1,0,MAX($O1081,$M1081-$Q1081))))</f>
        <v/>
      </c>
      <c r="T1081" s="14" t="str">
        <f aca="false">IF($D1081&lt;&gt;1,"",IF($AI1081=1,0,MAX($J1081,ROUNDUP(MAX($R1081/$H1081,$S1081/$I1081),0))))</f>
        <v/>
      </c>
      <c r="U1081" s="14" t="str">
        <f aca="false">IF($D1081&lt;&gt;1,"",IF(p_mode="Nœud",$T1081*$H1081,$R1081))</f>
        <v/>
      </c>
      <c r="V1081" s="14" t="str">
        <f aca="false">IF($D1081&lt;&gt;1,"",IF(p_mode="Nœud",$T1081*$I1081,$S1081))</f>
        <v/>
      </c>
      <c r="W1081" s="84" t="str">
        <f aca="false">IF($D1081&lt;&gt;1,"",IF(p_mode="Nœud",$T1081*$K1081,$R1081*IF($G1081="IKS",p_iks_cpu,p_roks_cpu)+$S1081*IF($G1081="IKS",p_iks_ram,p_roks_ram))*p_facteur)</f>
        <v/>
      </c>
      <c r="X1081" s="14" t="str">
        <f aca="false">IF($D1081&lt;&gt;1,"",IF($G1081="ROKS",$R1081,IF($AI1081=1,0,MAX($N1081,$L1081-SUMIFS(TblApplications[CPU IKS libérable (vCPU)],TblApplications[Cluster IKS source],$F1081,TblApplications[Action],"À migrer",TblApplications[Mois prov (calc)],"&lt;="&amp;$E1081)-SUMIFS(TblApplications[CPU IKS libérable (vCPU)],TblApplications[Cluster IKS source],$F1081,TblApplications[Action],"À décommissionner",TblApplications[Mois lib (calc)],"&lt;="&amp;$E1081)))))</f>
        <v/>
      </c>
      <c r="Y1081" s="14" t="str">
        <f aca="false">IF($D1081&lt;&gt;1,"",IF($G1081="ROKS",$S1081,IF($AI1081=1,0,MAX($O1081,$M1081-SUMIFS(TblApplications[RAM IKS libérable (Go)],TblApplications[Cluster IKS source],$F1081,TblApplications[Action],"À migrer",TblApplications[Mois prov (calc)],"&lt;="&amp;$E1081)-SUMIFS(TblApplications[RAM IKS libérable (Go)],TblApplications[Cluster IKS source],$F1081,TblApplications[Action],"À décommissionner",TblApplications[Mois lib (calc)],"&lt;="&amp;$E1081)))))</f>
        <v/>
      </c>
      <c r="Z1081" s="14" t="str">
        <f aca="false">IF($D1081&lt;&gt;1,"",IF($AI1081=1,0,MAX($J1081,ROUNDUP(MAX($X1081/$H1081,$Y1081/$I1081),0))))</f>
        <v/>
      </c>
      <c r="AA1081" s="84" t="str">
        <f aca="false">IF($D1081&lt;&gt;1,"",IF(p_mode="Nœud",$Z1081*$K1081,$X1081*IF($G1081="IKS",p_iks_cpu,p_roks_cpu)+$Y1081*IF($G1081="IKS",p_iks_ram,p_roks_ram))*p_facteur)</f>
        <v/>
      </c>
      <c r="AB1081" s="14" t="str">
        <f aca="false">IF($D1081&lt;&gt;1,"",MAX($J1081,ROUNDUP(MAX($L1081/$H1081,$M1081/$I1081),0)))</f>
        <v/>
      </c>
      <c r="AC1081" s="84" t="str">
        <f aca="false">IF($D1081&lt;&gt;1,"",IF(p_mode="Nœud",$AB1081*$K1081,$L1081*IF($G1081="IKS",p_iks_cpu,p_roks_cpu)+$M1081*IF($G1081="IKS",p_iks_ram,p_roks_ram))*p_facteur)</f>
        <v/>
      </c>
      <c r="AD1081" s="14" t="str">
        <f aca="false">IF($D1081&lt;&gt;1,"",IF(AND($G1081="IKS",$AI1081&lt;&gt;1,OR($L1081-$P1081&lt;$N1081,$M1081-$Q1081&lt;$O1081)),1,0))</f>
        <v/>
      </c>
      <c r="AE1081" s="14" t="str">
        <f aca="false">IF($D1081&lt;&gt;1,"",IF(AND($G1081="ROKS",$T1081&gt;p_maxworkers),1,0))</f>
        <v/>
      </c>
      <c r="AF1081" s="14" t="str">
        <f aca="false">IF($D1081&lt;&gt;1,"",IF(INDEX(TblClusters[Environnement],$B1081)="","(vide)",INDEX(TblClusters[Environnement],$B1081)))</f>
        <v/>
      </c>
      <c r="AG1081" s="14" t="str">
        <f aca="false">IF($D1081&lt;&gt;1,"",$R1081+p_poidsram*$S1081)</f>
        <v/>
      </c>
      <c r="AH1081" s="14" t="str">
        <f aca="false">IF($D1081&lt;&gt;1,"",IFERROR($W1081/$AG1081,0))</f>
        <v/>
      </c>
      <c r="AI1081" s="14" t="str">
        <f aca="false">IF($D1081&lt;&gt;1,"",IF(AND($G1081="IKS",ISNUMBER(INDEX(TblClusters[Fermeture retenue],$B1081))),IF($E1081&gt;=INDEX(TblClusters[Fermeture retenue],$B1081),1,0),0))</f>
        <v/>
      </c>
    </row>
    <row r="1082" customFormat="false" ht="15" hidden="false" customHeight="false" outlineLevel="0" collapsed="false">
      <c r="A1082" s="14" t="n">
        <v>1077</v>
      </c>
      <c r="B1082" s="14" t="n">
        <f aca="false">INT(($A1082-1)/36)+1</f>
        <v>30</v>
      </c>
      <c r="C1082" s="14" t="n">
        <f aca="false">MOD($A1082-1,36)+1</f>
        <v>33</v>
      </c>
      <c r="D1082" s="14" t="n">
        <f aca="false">IF($C1082&gt;p_horizon,0,IFERROR(IF(AND(INDEX(TblClusters[Cluster],$B1082)&lt;&gt;"",ISNUMBER(INDEX(TblClusters[CPU initial (vCPU)],$B1082)),ISNUMBER(INDEX(TblClusters[CPU min (vCPU)],$B1082)),OR(INDEX(TblClusters[Plateforme],$B1082)="IKS",INDEX(TblClusters[Plateforme],$B1082)="ROKS")),1,0),0))</f>
        <v>0</v>
      </c>
      <c r="E1082" s="83" t="str">
        <f aca="false">IF($D1082=1,EDATE(p_debut,$C1082-1),"")</f>
        <v/>
      </c>
      <c r="F1082" s="14" t="str">
        <f aca="false">IF($D1082=1,INDEX(TblClusters[Cluster],$B1082),"")</f>
        <v/>
      </c>
      <c r="G1082" s="14" t="str">
        <f aca="false">IF($D1082=1,INDEX(TblClusters[Plateforme],$B1082),"")</f>
        <v/>
      </c>
      <c r="H1082" s="14" t="str">
        <f aca="false">IF($D1082=1,INDEX(TblClusters[vCPU par nœud],$B1082),"")</f>
        <v/>
      </c>
      <c r="I1082" s="14" t="str">
        <f aca="false">IF($D1082=1,INDEX(TblClusters[RAM par nœud (Go)],$B1082),"")</f>
        <v/>
      </c>
      <c r="J1082" s="14" t="str">
        <f aca="false">IF($D1082=1,INDEX(TblClusters[Workers min],$B1082),"")</f>
        <v/>
      </c>
      <c r="K1082" s="84" t="str">
        <f aca="false">IF($D1082=1,INDEX(TblClusters[Tarif par nœud],$B1082),"")</f>
        <v/>
      </c>
      <c r="L1082" s="14" t="str">
        <f aca="false">IF($D1082=1,INDEX(TblClusters[CPU initial (vCPU)],$B1082),"")</f>
        <v/>
      </c>
      <c r="M1082" s="14" t="str">
        <f aca="false">IF($D1082=1,INDEX(TblClusters[RAM initiale (Go)],$B1082),"")</f>
        <v/>
      </c>
      <c r="N1082" s="14" t="str">
        <f aca="false">IF($D1082=1,INDEX(TblClusters[CPU min (vCPU)],$B1082),"")</f>
        <v/>
      </c>
      <c r="O1082" s="14" t="str">
        <f aca="false">IF($D1082=1,INDEX(TblClusters[RAM min (Go)],$B1082),"")</f>
        <v/>
      </c>
      <c r="P1082" s="14" t="str">
        <f aca="false">IF($D1082&lt;&gt;1,"",IF($G1082="ROKS",SUMIFS(TblApplications[Besoin ROKS CPU (vCPU)],TblApplications[Cluster ROKS cible],$F1082,TblApplications[Action],"À migrer",TblApplications[Déjà incluse ROKS],"Non",TblApplications[Mois prov (calc)],"&lt;="&amp;$E1082),SUMIFS(TblApplications[CPU IKS libérable (vCPU)],TblApplications[Cluster IKS source],$F1082,TblApplications[Mois lib (calc)],"&lt;="&amp;$E1082)))</f>
        <v/>
      </c>
      <c r="Q1082" s="14" t="str">
        <f aca="false">IF($D1082&lt;&gt;1,"",IF($G1082="ROKS",SUMIFS(TblApplications[Besoin ROKS RAM (Go)],TblApplications[Cluster ROKS cible],$F1082,TblApplications[Action],"À migrer",TblApplications[Déjà incluse ROKS],"Non",TblApplications[Mois prov (calc)],"&lt;="&amp;$E1082),SUMIFS(TblApplications[RAM IKS libérable (Go)],TblApplications[Cluster IKS source],$F1082,TblApplications[Mois lib (calc)],"&lt;="&amp;$E1082)))</f>
        <v/>
      </c>
      <c r="R1082" s="14" t="str">
        <f aca="false">IF($D1082&lt;&gt;1,"",IF($G1082="ROKS",$L1082+$P1082,IF($AI1082=1,0,MAX($N1082,$L1082-$P1082))))</f>
        <v/>
      </c>
      <c r="S1082" s="14" t="str">
        <f aca="false">IF($D1082&lt;&gt;1,"",IF($G1082="ROKS",$M1082+$Q1082,IF($AI1082=1,0,MAX($O1082,$M1082-$Q1082))))</f>
        <v/>
      </c>
      <c r="T1082" s="14" t="str">
        <f aca="false">IF($D1082&lt;&gt;1,"",IF($AI1082=1,0,MAX($J1082,ROUNDUP(MAX($R1082/$H1082,$S1082/$I1082),0))))</f>
        <v/>
      </c>
      <c r="U1082" s="14" t="str">
        <f aca="false">IF($D1082&lt;&gt;1,"",IF(p_mode="Nœud",$T1082*$H1082,$R1082))</f>
        <v/>
      </c>
      <c r="V1082" s="14" t="str">
        <f aca="false">IF($D1082&lt;&gt;1,"",IF(p_mode="Nœud",$T1082*$I1082,$S1082))</f>
        <v/>
      </c>
      <c r="W1082" s="84" t="str">
        <f aca="false">IF($D1082&lt;&gt;1,"",IF(p_mode="Nœud",$T1082*$K1082,$R1082*IF($G1082="IKS",p_iks_cpu,p_roks_cpu)+$S1082*IF($G1082="IKS",p_iks_ram,p_roks_ram))*p_facteur)</f>
        <v/>
      </c>
      <c r="X1082" s="14" t="str">
        <f aca="false">IF($D1082&lt;&gt;1,"",IF($G1082="ROKS",$R1082,IF($AI1082=1,0,MAX($N1082,$L1082-SUMIFS(TblApplications[CPU IKS libérable (vCPU)],TblApplications[Cluster IKS source],$F1082,TblApplications[Action],"À migrer",TblApplications[Mois prov (calc)],"&lt;="&amp;$E1082)-SUMIFS(TblApplications[CPU IKS libérable (vCPU)],TblApplications[Cluster IKS source],$F1082,TblApplications[Action],"À décommissionner",TblApplications[Mois lib (calc)],"&lt;="&amp;$E1082)))))</f>
        <v/>
      </c>
      <c r="Y1082" s="14" t="str">
        <f aca="false">IF($D1082&lt;&gt;1,"",IF($G1082="ROKS",$S1082,IF($AI1082=1,0,MAX($O1082,$M1082-SUMIFS(TblApplications[RAM IKS libérable (Go)],TblApplications[Cluster IKS source],$F1082,TblApplications[Action],"À migrer",TblApplications[Mois prov (calc)],"&lt;="&amp;$E1082)-SUMIFS(TblApplications[RAM IKS libérable (Go)],TblApplications[Cluster IKS source],$F1082,TblApplications[Action],"À décommissionner",TblApplications[Mois lib (calc)],"&lt;="&amp;$E1082)))))</f>
        <v/>
      </c>
      <c r="Z1082" s="14" t="str">
        <f aca="false">IF($D1082&lt;&gt;1,"",IF($AI1082=1,0,MAX($J1082,ROUNDUP(MAX($X1082/$H1082,$Y1082/$I1082),0))))</f>
        <v/>
      </c>
      <c r="AA1082" s="84" t="str">
        <f aca="false">IF($D1082&lt;&gt;1,"",IF(p_mode="Nœud",$Z1082*$K1082,$X1082*IF($G1082="IKS",p_iks_cpu,p_roks_cpu)+$Y1082*IF($G1082="IKS",p_iks_ram,p_roks_ram))*p_facteur)</f>
        <v/>
      </c>
      <c r="AB1082" s="14" t="str">
        <f aca="false">IF($D1082&lt;&gt;1,"",MAX($J1082,ROUNDUP(MAX($L1082/$H1082,$M1082/$I1082),0)))</f>
        <v/>
      </c>
      <c r="AC1082" s="84" t="str">
        <f aca="false">IF($D1082&lt;&gt;1,"",IF(p_mode="Nœud",$AB1082*$K1082,$L1082*IF($G1082="IKS",p_iks_cpu,p_roks_cpu)+$M1082*IF($G1082="IKS",p_iks_ram,p_roks_ram))*p_facteur)</f>
        <v/>
      </c>
      <c r="AD1082" s="14" t="str">
        <f aca="false">IF($D1082&lt;&gt;1,"",IF(AND($G1082="IKS",$AI1082&lt;&gt;1,OR($L1082-$P1082&lt;$N1082,$M1082-$Q1082&lt;$O1082)),1,0))</f>
        <v/>
      </c>
      <c r="AE1082" s="14" t="str">
        <f aca="false">IF($D1082&lt;&gt;1,"",IF(AND($G1082="ROKS",$T1082&gt;p_maxworkers),1,0))</f>
        <v/>
      </c>
      <c r="AF1082" s="14" t="str">
        <f aca="false">IF($D1082&lt;&gt;1,"",IF(INDEX(TblClusters[Environnement],$B1082)="","(vide)",INDEX(TblClusters[Environnement],$B1082)))</f>
        <v/>
      </c>
      <c r="AG1082" s="14" t="str">
        <f aca="false">IF($D1082&lt;&gt;1,"",$R1082+p_poidsram*$S1082)</f>
        <v/>
      </c>
      <c r="AH1082" s="14" t="str">
        <f aca="false">IF($D1082&lt;&gt;1,"",IFERROR($W1082/$AG1082,0))</f>
        <v/>
      </c>
      <c r="AI1082" s="14" t="str">
        <f aca="false">IF($D1082&lt;&gt;1,"",IF(AND($G1082="IKS",ISNUMBER(INDEX(TblClusters[Fermeture retenue],$B1082))),IF($E1082&gt;=INDEX(TblClusters[Fermeture retenue],$B1082),1,0),0))</f>
        <v/>
      </c>
    </row>
    <row r="1083" customFormat="false" ht="15" hidden="false" customHeight="false" outlineLevel="0" collapsed="false">
      <c r="A1083" s="14" t="n">
        <v>1078</v>
      </c>
      <c r="B1083" s="14" t="n">
        <f aca="false">INT(($A1083-1)/36)+1</f>
        <v>30</v>
      </c>
      <c r="C1083" s="14" t="n">
        <f aca="false">MOD($A1083-1,36)+1</f>
        <v>34</v>
      </c>
      <c r="D1083" s="14" t="n">
        <f aca="false">IF($C1083&gt;p_horizon,0,IFERROR(IF(AND(INDEX(TblClusters[Cluster],$B1083)&lt;&gt;"",ISNUMBER(INDEX(TblClusters[CPU initial (vCPU)],$B1083)),ISNUMBER(INDEX(TblClusters[CPU min (vCPU)],$B1083)),OR(INDEX(TblClusters[Plateforme],$B1083)="IKS",INDEX(TblClusters[Plateforme],$B1083)="ROKS")),1,0),0))</f>
        <v>0</v>
      </c>
      <c r="E1083" s="83" t="str">
        <f aca="false">IF($D1083=1,EDATE(p_debut,$C1083-1),"")</f>
        <v/>
      </c>
      <c r="F1083" s="14" t="str">
        <f aca="false">IF($D1083=1,INDEX(TblClusters[Cluster],$B1083),"")</f>
        <v/>
      </c>
      <c r="G1083" s="14" t="str">
        <f aca="false">IF($D1083=1,INDEX(TblClusters[Plateforme],$B1083),"")</f>
        <v/>
      </c>
      <c r="H1083" s="14" t="str">
        <f aca="false">IF($D1083=1,INDEX(TblClusters[vCPU par nœud],$B1083),"")</f>
        <v/>
      </c>
      <c r="I1083" s="14" t="str">
        <f aca="false">IF($D1083=1,INDEX(TblClusters[RAM par nœud (Go)],$B1083),"")</f>
        <v/>
      </c>
      <c r="J1083" s="14" t="str">
        <f aca="false">IF($D1083=1,INDEX(TblClusters[Workers min],$B1083),"")</f>
        <v/>
      </c>
      <c r="K1083" s="84" t="str">
        <f aca="false">IF($D1083=1,INDEX(TblClusters[Tarif par nœud],$B1083),"")</f>
        <v/>
      </c>
      <c r="L1083" s="14" t="str">
        <f aca="false">IF($D1083=1,INDEX(TblClusters[CPU initial (vCPU)],$B1083),"")</f>
        <v/>
      </c>
      <c r="M1083" s="14" t="str">
        <f aca="false">IF($D1083=1,INDEX(TblClusters[RAM initiale (Go)],$B1083),"")</f>
        <v/>
      </c>
      <c r="N1083" s="14" t="str">
        <f aca="false">IF($D1083=1,INDEX(TblClusters[CPU min (vCPU)],$B1083),"")</f>
        <v/>
      </c>
      <c r="O1083" s="14" t="str">
        <f aca="false">IF($D1083=1,INDEX(TblClusters[RAM min (Go)],$B1083),"")</f>
        <v/>
      </c>
      <c r="P1083" s="14" t="str">
        <f aca="false">IF($D1083&lt;&gt;1,"",IF($G1083="ROKS",SUMIFS(TblApplications[Besoin ROKS CPU (vCPU)],TblApplications[Cluster ROKS cible],$F1083,TblApplications[Action],"À migrer",TblApplications[Déjà incluse ROKS],"Non",TblApplications[Mois prov (calc)],"&lt;="&amp;$E1083),SUMIFS(TblApplications[CPU IKS libérable (vCPU)],TblApplications[Cluster IKS source],$F1083,TblApplications[Mois lib (calc)],"&lt;="&amp;$E1083)))</f>
        <v/>
      </c>
      <c r="Q1083" s="14" t="str">
        <f aca="false">IF($D1083&lt;&gt;1,"",IF($G1083="ROKS",SUMIFS(TblApplications[Besoin ROKS RAM (Go)],TblApplications[Cluster ROKS cible],$F1083,TblApplications[Action],"À migrer",TblApplications[Déjà incluse ROKS],"Non",TblApplications[Mois prov (calc)],"&lt;="&amp;$E1083),SUMIFS(TblApplications[RAM IKS libérable (Go)],TblApplications[Cluster IKS source],$F1083,TblApplications[Mois lib (calc)],"&lt;="&amp;$E1083)))</f>
        <v/>
      </c>
      <c r="R1083" s="14" t="str">
        <f aca="false">IF($D1083&lt;&gt;1,"",IF($G1083="ROKS",$L1083+$P1083,IF($AI1083=1,0,MAX($N1083,$L1083-$P1083))))</f>
        <v/>
      </c>
      <c r="S1083" s="14" t="str">
        <f aca="false">IF($D1083&lt;&gt;1,"",IF($G1083="ROKS",$M1083+$Q1083,IF($AI1083=1,0,MAX($O1083,$M1083-$Q1083))))</f>
        <v/>
      </c>
      <c r="T1083" s="14" t="str">
        <f aca="false">IF($D1083&lt;&gt;1,"",IF($AI1083=1,0,MAX($J1083,ROUNDUP(MAX($R1083/$H1083,$S1083/$I1083),0))))</f>
        <v/>
      </c>
      <c r="U1083" s="14" t="str">
        <f aca="false">IF($D1083&lt;&gt;1,"",IF(p_mode="Nœud",$T1083*$H1083,$R1083))</f>
        <v/>
      </c>
      <c r="V1083" s="14" t="str">
        <f aca="false">IF($D1083&lt;&gt;1,"",IF(p_mode="Nœud",$T1083*$I1083,$S1083))</f>
        <v/>
      </c>
      <c r="W1083" s="84" t="str">
        <f aca="false">IF($D1083&lt;&gt;1,"",IF(p_mode="Nœud",$T1083*$K1083,$R1083*IF($G1083="IKS",p_iks_cpu,p_roks_cpu)+$S1083*IF($G1083="IKS",p_iks_ram,p_roks_ram))*p_facteur)</f>
        <v/>
      </c>
      <c r="X1083" s="14" t="str">
        <f aca="false">IF($D1083&lt;&gt;1,"",IF($G1083="ROKS",$R1083,IF($AI1083=1,0,MAX($N1083,$L1083-SUMIFS(TblApplications[CPU IKS libérable (vCPU)],TblApplications[Cluster IKS source],$F1083,TblApplications[Action],"À migrer",TblApplications[Mois prov (calc)],"&lt;="&amp;$E1083)-SUMIFS(TblApplications[CPU IKS libérable (vCPU)],TblApplications[Cluster IKS source],$F1083,TblApplications[Action],"À décommissionner",TblApplications[Mois lib (calc)],"&lt;="&amp;$E1083)))))</f>
        <v/>
      </c>
      <c r="Y1083" s="14" t="str">
        <f aca="false">IF($D1083&lt;&gt;1,"",IF($G1083="ROKS",$S1083,IF($AI1083=1,0,MAX($O1083,$M1083-SUMIFS(TblApplications[RAM IKS libérable (Go)],TblApplications[Cluster IKS source],$F1083,TblApplications[Action],"À migrer",TblApplications[Mois prov (calc)],"&lt;="&amp;$E1083)-SUMIFS(TblApplications[RAM IKS libérable (Go)],TblApplications[Cluster IKS source],$F1083,TblApplications[Action],"À décommissionner",TblApplications[Mois lib (calc)],"&lt;="&amp;$E1083)))))</f>
        <v/>
      </c>
      <c r="Z1083" s="14" t="str">
        <f aca="false">IF($D1083&lt;&gt;1,"",IF($AI1083=1,0,MAX($J1083,ROUNDUP(MAX($X1083/$H1083,$Y1083/$I1083),0))))</f>
        <v/>
      </c>
      <c r="AA1083" s="84" t="str">
        <f aca="false">IF($D1083&lt;&gt;1,"",IF(p_mode="Nœud",$Z1083*$K1083,$X1083*IF($G1083="IKS",p_iks_cpu,p_roks_cpu)+$Y1083*IF($G1083="IKS",p_iks_ram,p_roks_ram))*p_facteur)</f>
        <v/>
      </c>
      <c r="AB1083" s="14" t="str">
        <f aca="false">IF($D1083&lt;&gt;1,"",MAX($J1083,ROUNDUP(MAX($L1083/$H1083,$M1083/$I1083),0)))</f>
        <v/>
      </c>
      <c r="AC1083" s="84" t="str">
        <f aca="false">IF($D1083&lt;&gt;1,"",IF(p_mode="Nœud",$AB1083*$K1083,$L1083*IF($G1083="IKS",p_iks_cpu,p_roks_cpu)+$M1083*IF($G1083="IKS",p_iks_ram,p_roks_ram))*p_facteur)</f>
        <v/>
      </c>
      <c r="AD1083" s="14" t="str">
        <f aca="false">IF($D1083&lt;&gt;1,"",IF(AND($G1083="IKS",$AI1083&lt;&gt;1,OR($L1083-$P1083&lt;$N1083,$M1083-$Q1083&lt;$O1083)),1,0))</f>
        <v/>
      </c>
      <c r="AE1083" s="14" t="str">
        <f aca="false">IF($D1083&lt;&gt;1,"",IF(AND($G1083="ROKS",$T1083&gt;p_maxworkers),1,0))</f>
        <v/>
      </c>
      <c r="AF1083" s="14" t="str">
        <f aca="false">IF($D1083&lt;&gt;1,"",IF(INDEX(TblClusters[Environnement],$B1083)="","(vide)",INDEX(TblClusters[Environnement],$B1083)))</f>
        <v/>
      </c>
      <c r="AG1083" s="14" t="str">
        <f aca="false">IF($D1083&lt;&gt;1,"",$R1083+p_poidsram*$S1083)</f>
        <v/>
      </c>
      <c r="AH1083" s="14" t="str">
        <f aca="false">IF($D1083&lt;&gt;1,"",IFERROR($W1083/$AG1083,0))</f>
        <v/>
      </c>
      <c r="AI1083" s="14" t="str">
        <f aca="false">IF($D1083&lt;&gt;1,"",IF(AND($G1083="IKS",ISNUMBER(INDEX(TblClusters[Fermeture retenue],$B1083))),IF($E1083&gt;=INDEX(TblClusters[Fermeture retenue],$B1083),1,0),0))</f>
        <v/>
      </c>
    </row>
    <row r="1084" customFormat="false" ht="15" hidden="false" customHeight="false" outlineLevel="0" collapsed="false">
      <c r="A1084" s="14" t="n">
        <v>1079</v>
      </c>
      <c r="B1084" s="14" t="n">
        <f aca="false">INT(($A1084-1)/36)+1</f>
        <v>30</v>
      </c>
      <c r="C1084" s="14" t="n">
        <f aca="false">MOD($A1084-1,36)+1</f>
        <v>35</v>
      </c>
      <c r="D1084" s="14" t="n">
        <f aca="false">IF($C1084&gt;p_horizon,0,IFERROR(IF(AND(INDEX(TblClusters[Cluster],$B1084)&lt;&gt;"",ISNUMBER(INDEX(TblClusters[CPU initial (vCPU)],$B1084)),ISNUMBER(INDEX(TblClusters[CPU min (vCPU)],$B1084)),OR(INDEX(TblClusters[Plateforme],$B1084)="IKS",INDEX(TblClusters[Plateforme],$B1084)="ROKS")),1,0),0))</f>
        <v>0</v>
      </c>
      <c r="E1084" s="83" t="str">
        <f aca="false">IF($D1084=1,EDATE(p_debut,$C1084-1),"")</f>
        <v/>
      </c>
      <c r="F1084" s="14" t="str">
        <f aca="false">IF($D1084=1,INDEX(TblClusters[Cluster],$B1084),"")</f>
        <v/>
      </c>
      <c r="G1084" s="14" t="str">
        <f aca="false">IF($D1084=1,INDEX(TblClusters[Plateforme],$B1084),"")</f>
        <v/>
      </c>
      <c r="H1084" s="14" t="str">
        <f aca="false">IF($D1084=1,INDEX(TblClusters[vCPU par nœud],$B1084),"")</f>
        <v/>
      </c>
      <c r="I1084" s="14" t="str">
        <f aca="false">IF($D1084=1,INDEX(TblClusters[RAM par nœud (Go)],$B1084),"")</f>
        <v/>
      </c>
      <c r="J1084" s="14" t="str">
        <f aca="false">IF($D1084=1,INDEX(TblClusters[Workers min],$B1084),"")</f>
        <v/>
      </c>
      <c r="K1084" s="84" t="str">
        <f aca="false">IF($D1084=1,INDEX(TblClusters[Tarif par nœud],$B1084),"")</f>
        <v/>
      </c>
      <c r="L1084" s="14" t="str">
        <f aca="false">IF($D1084=1,INDEX(TblClusters[CPU initial (vCPU)],$B1084),"")</f>
        <v/>
      </c>
      <c r="M1084" s="14" t="str">
        <f aca="false">IF($D1084=1,INDEX(TblClusters[RAM initiale (Go)],$B1084),"")</f>
        <v/>
      </c>
      <c r="N1084" s="14" t="str">
        <f aca="false">IF($D1084=1,INDEX(TblClusters[CPU min (vCPU)],$B1084),"")</f>
        <v/>
      </c>
      <c r="O1084" s="14" t="str">
        <f aca="false">IF($D1084=1,INDEX(TblClusters[RAM min (Go)],$B1084),"")</f>
        <v/>
      </c>
      <c r="P1084" s="14" t="str">
        <f aca="false">IF($D1084&lt;&gt;1,"",IF($G1084="ROKS",SUMIFS(TblApplications[Besoin ROKS CPU (vCPU)],TblApplications[Cluster ROKS cible],$F1084,TblApplications[Action],"À migrer",TblApplications[Déjà incluse ROKS],"Non",TblApplications[Mois prov (calc)],"&lt;="&amp;$E1084),SUMIFS(TblApplications[CPU IKS libérable (vCPU)],TblApplications[Cluster IKS source],$F1084,TblApplications[Mois lib (calc)],"&lt;="&amp;$E1084)))</f>
        <v/>
      </c>
      <c r="Q1084" s="14" t="str">
        <f aca="false">IF($D1084&lt;&gt;1,"",IF($G1084="ROKS",SUMIFS(TblApplications[Besoin ROKS RAM (Go)],TblApplications[Cluster ROKS cible],$F1084,TblApplications[Action],"À migrer",TblApplications[Déjà incluse ROKS],"Non",TblApplications[Mois prov (calc)],"&lt;="&amp;$E1084),SUMIFS(TblApplications[RAM IKS libérable (Go)],TblApplications[Cluster IKS source],$F1084,TblApplications[Mois lib (calc)],"&lt;="&amp;$E1084)))</f>
        <v/>
      </c>
      <c r="R1084" s="14" t="str">
        <f aca="false">IF($D1084&lt;&gt;1,"",IF($G1084="ROKS",$L1084+$P1084,IF($AI1084=1,0,MAX($N1084,$L1084-$P1084))))</f>
        <v/>
      </c>
      <c r="S1084" s="14" t="str">
        <f aca="false">IF($D1084&lt;&gt;1,"",IF($G1084="ROKS",$M1084+$Q1084,IF($AI1084=1,0,MAX($O1084,$M1084-$Q1084))))</f>
        <v/>
      </c>
      <c r="T1084" s="14" t="str">
        <f aca="false">IF($D1084&lt;&gt;1,"",IF($AI1084=1,0,MAX($J1084,ROUNDUP(MAX($R1084/$H1084,$S1084/$I1084),0))))</f>
        <v/>
      </c>
      <c r="U1084" s="14" t="str">
        <f aca="false">IF($D1084&lt;&gt;1,"",IF(p_mode="Nœud",$T1084*$H1084,$R1084))</f>
        <v/>
      </c>
      <c r="V1084" s="14" t="str">
        <f aca="false">IF($D1084&lt;&gt;1,"",IF(p_mode="Nœud",$T1084*$I1084,$S1084))</f>
        <v/>
      </c>
      <c r="W1084" s="84" t="str">
        <f aca="false">IF($D1084&lt;&gt;1,"",IF(p_mode="Nœud",$T1084*$K1084,$R1084*IF($G1084="IKS",p_iks_cpu,p_roks_cpu)+$S1084*IF($G1084="IKS",p_iks_ram,p_roks_ram))*p_facteur)</f>
        <v/>
      </c>
      <c r="X1084" s="14" t="str">
        <f aca="false">IF($D1084&lt;&gt;1,"",IF($G1084="ROKS",$R1084,IF($AI1084=1,0,MAX($N1084,$L1084-SUMIFS(TblApplications[CPU IKS libérable (vCPU)],TblApplications[Cluster IKS source],$F1084,TblApplications[Action],"À migrer",TblApplications[Mois prov (calc)],"&lt;="&amp;$E1084)-SUMIFS(TblApplications[CPU IKS libérable (vCPU)],TblApplications[Cluster IKS source],$F1084,TblApplications[Action],"À décommissionner",TblApplications[Mois lib (calc)],"&lt;="&amp;$E1084)))))</f>
        <v/>
      </c>
      <c r="Y1084" s="14" t="str">
        <f aca="false">IF($D1084&lt;&gt;1,"",IF($G1084="ROKS",$S1084,IF($AI1084=1,0,MAX($O1084,$M1084-SUMIFS(TblApplications[RAM IKS libérable (Go)],TblApplications[Cluster IKS source],$F1084,TblApplications[Action],"À migrer",TblApplications[Mois prov (calc)],"&lt;="&amp;$E1084)-SUMIFS(TblApplications[RAM IKS libérable (Go)],TblApplications[Cluster IKS source],$F1084,TblApplications[Action],"À décommissionner",TblApplications[Mois lib (calc)],"&lt;="&amp;$E1084)))))</f>
        <v/>
      </c>
      <c r="Z1084" s="14" t="str">
        <f aca="false">IF($D1084&lt;&gt;1,"",IF($AI1084=1,0,MAX($J1084,ROUNDUP(MAX($X1084/$H1084,$Y1084/$I1084),0))))</f>
        <v/>
      </c>
      <c r="AA1084" s="84" t="str">
        <f aca="false">IF($D1084&lt;&gt;1,"",IF(p_mode="Nœud",$Z1084*$K1084,$X1084*IF($G1084="IKS",p_iks_cpu,p_roks_cpu)+$Y1084*IF($G1084="IKS",p_iks_ram,p_roks_ram))*p_facteur)</f>
        <v/>
      </c>
      <c r="AB1084" s="14" t="str">
        <f aca="false">IF($D1084&lt;&gt;1,"",MAX($J1084,ROUNDUP(MAX($L1084/$H1084,$M1084/$I1084),0)))</f>
        <v/>
      </c>
      <c r="AC1084" s="84" t="str">
        <f aca="false">IF($D1084&lt;&gt;1,"",IF(p_mode="Nœud",$AB1084*$K1084,$L1084*IF($G1084="IKS",p_iks_cpu,p_roks_cpu)+$M1084*IF($G1084="IKS",p_iks_ram,p_roks_ram))*p_facteur)</f>
        <v/>
      </c>
      <c r="AD1084" s="14" t="str">
        <f aca="false">IF($D1084&lt;&gt;1,"",IF(AND($G1084="IKS",$AI1084&lt;&gt;1,OR($L1084-$P1084&lt;$N1084,$M1084-$Q1084&lt;$O1084)),1,0))</f>
        <v/>
      </c>
      <c r="AE1084" s="14" t="str">
        <f aca="false">IF($D1084&lt;&gt;1,"",IF(AND($G1084="ROKS",$T1084&gt;p_maxworkers),1,0))</f>
        <v/>
      </c>
      <c r="AF1084" s="14" t="str">
        <f aca="false">IF($D1084&lt;&gt;1,"",IF(INDEX(TblClusters[Environnement],$B1084)="","(vide)",INDEX(TblClusters[Environnement],$B1084)))</f>
        <v/>
      </c>
      <c r="AG1084" s="14" t="str">
        <f aca="false">IF($D1084&lt;&gt;1,"",$R1084+p_poidsram*$S1084)</f>
        <v/>
      </c>
      <c r="AH1084" s="14" t="str">
        <f aca="false">IF($D1084&lt;&gt;1,"",IFERROR($W1084/$AG1084,0))</f>
        <v/>
      </c>
      <c r="AI1084" s="14" t="str">
        <f aca="false">IF($D1084&lt;&gt;1,"",IF(AND($G1084="IKS",ISNUMBER(INDEX(TblClusters[Fermeture retenue],$B1084))),IF($E1084&gt;=INDEX(TblClusters[Fermeture retenue],$B1084),1,0),0))</f>
        <v/>
      </c>
    </row>
    <row r="1085" customFormat="false" ht="15" hidden="false" customHeight="false" outlineLevel="0" collapsed="false">
      <c r="A1085" s="14" t="n">
        <v>1080</v>
      </c>
      <c r="B1085" s="14" t="n">
        <f aca="false">INT(($A1085-1)/36)+1</f>
        <v>30</v>
      </c>
      <c r="C1085" s="14" t="n">
        <f aca="false">MOD($A1085-1,36)+1</f>
        <v>36</v>
      </c>
      <c r="D1085" s="14" t="n">
        <f aca="false">IF($C1085&gt;p_horizon,0,IFERROR(IF(AND(INDEX(TblClusters[Cluster],$B1085)&lt;&gt;"",ISNUMBER(INDEX(TblClusters[CPU initial (vCPU)],$B1085)),ISNUMBER(INDEX(TblClusters[CPU min (vCPU)],$B1085)),OR(INDEX(TblClusters[Plateforme],$B1085)="IKS",INDEX(TblClusters[Plateforme],$B1085)="ROKS")),1,0),0))</f>
        <v>0</v>
      </c>
      <c r="E1085" s="83" t="str">
        <f aca="false">IF($D1085=1,EDATE(p_debut,$C1085-1),"")</f>
        <v/>
      </c>
      <c r="F1085" s="14" t="str">
        <f aca="false">IF($D1085=1,INDEX(TblClusters[Cluster],$B1085),"")</f>
        <v/>
      </c>
      <c r="G1085" s="14" t="str">
        <f aca="false">IF($D1085=1,INDEX(TblClusters[Plateforme],$B1085),"")</f>
        <v/>
      </c>
      <c r="H1085" s="14" t="str">
        <f aca="false">IF($D1085=1,INDEX(TblClusters[vCPU par nœud],$B1085),"")</f>
        <v/>
      </c>
      <c r="I1085" s="14" t="str">
        <f aca="false">IF($D1085=1,INDEX(TblClusters[RAM par nœud (Go)],$B1085),"")</f>
        <v/>
      </c>
      <c r="J1085" s="14" t="str">
        <f aca="false">IF($D1085=1,INDEX(TblClusters[Workers min],$B1085),"")</f>
        <v/>
      </c>
      <c r="K1085" s="84" t="str">
        <f aca="false">IF($D1085=1,INDEX(TblClusters[Tarif par nœud],$B1085),"")</f>
        <v/>
      </c>
      <c r="L1085" s="14" t="str">
        <f aca="false">IF($D1085=1,INDEX(TblClusters[CPU initial (vCPU)],$B1085),"")</f>
        <v/>
      </c>
      <c r="M1085" s="14" t="str">
        <f aca="false">IF($D1085=1,INDEX(TblClusters[RAM initiale (Go)],$B1085),"")</f>
        <v/>
      </c>
      <c r="N1085" s="14" t="str">
        <f aca="false">IF($D1085=1,INDEX(TblClusters[CPU min (vCPU)],$B1085),"")</f>
        <v/>
      </c>
      <c r="O1085" s="14" t="str">
        <f aca="false">IF($D1085=1,INDEX(TblClusters[RAM min (Go)],$B1085),"")</f>
        <v/>
      </c>
      <c r="P1085" s="14" t="str">
        <f aca="false">IF($D1085&lt;&gt;1,"",IF($G1085="ROKS",SUMIFS(TblApplications[Besoin ROKS CPU (vCPU)],TblApplications[Cluster ROKS cible],$F1085,TblApplications[Action],"À migrer",TblApplications[Déjà incluse ROKS],"Non",TblApplications[Mois prov (calc)],"&lt;="&amp;$E1085),SUMIFS(TblApplications[CPU IKS libérable (vCPU)],TblApplications[Cluster IKS source],$F1085,TblApplications[Mois lib (calc)],"&lt;="&amp;$E1085)))</f>
        <v/>
      </c>
      <c r="Q1085" s="14" t="str">
        <f aca="false">IF($D1085&lt;&gt;1,"",IF($G1085="ROKS",SUMIFS(TblApplications[Besoin ROKS RAM (Go)],TblApplications[Cluster ROKS cible],$F1085,TblApplications[Action],"À migrer",TblApplications[Déjà incluse ROKS],"Non",TblApplications[Mois prov (calc)],"&lt;="&amp;$E1085),SUMIFS(TblApplications[RAM IKS libérable (Go)],TblApplications[Cluster IKS source],$F1085,TblApplications[Mois lib (calc)],"&lt;="&amp;$E1085)))</f>
        <v/>
      </c>
      <c r="R1085" s="14" t="str">
        <f aca="false">IF($D1085&lt;&gt;1,"",IF($G1085="ROKS",$L1085+$P1085,IF($AI1085=1,0,MAX($N1085,$L1085-$P1085))))</f>
        <v/>
      </c>
      <c r="S1085" s="14" t="str">
        <f aca="false">IF($D1085&lt;&gt;1,"",IF($G1085="ROKS",$M1085+$Q1085,IF($AI1085=1,0,MAX($O1085,$M1085-$Q1085))))</f>
        <v/>
      </c>
      <c r="T1085" s="14" t="str">
        <f aca="false">IF($D1085&lt;&gt;1,"",IF($AI1085=1,0,MAX($J1085,ROUNDUP(MAX($R1085/$H1085,$S1085/$I1085),0))))</f>
        <v/>
      </c>
      <c r="U1085" s="14" t="str">
        <f aca="false">IF($D1085&lt;&gt;1,"",IF(p_mode="Nœud",$T1085*$H1085,$R1085))</f>
        <v/>
      </c>
      <c r="V1085" s="14" t="str">
        <f aca="false">IF($D1085&lt;&gt;1,"",IF(p_mode="Nœud",$T1085*$I1085,$S1085))</f>
        <v/>
      </c>
      <c r="W1085" s="84" t="str">
        <f aca="false">IF($D1085&lt;&gt;1,"",IF(p_mode="Nœud",$T1085*$K1085,$R1085*IF($G1085="IKS",p_iks_cpu,p_roks_cpu)+$S1085*IF($G1085="IKS",p_iks_ram,p_roks_ram))*p_facteur)</f>
        <v/>
      </c>
      <c r="X1085" s="14" t="str">
        <f aca="false">IF($D1085&lt;&gt;1,"",IF($G1085="ROKS",$R1085,IF($AI1085=1,0,MAX($N1085,$L1085-SUMIFS(TblApplications[CPU IKS libérable (vCPU)],TblApplications[Cluster IKS source],$F1085,TblApplications[Action],"À migrer",TblApplications[Mois prov (calc)],"&lt;="&amp;$E1085)-SUMIFS(TblApplications[CPU IKS libérable (vCPU)],TblApplications[Cluster IKS source],$F1085,TblApplications[Action],"À décommissionner",TblApplications[Mois lib (calc)],"&lt;="&amp;$E1085)))))</f>
        <v/>
      </c>
      <c r="Y1085" s="14" t="str">
        <f aca="false">IF($D1085&lt;&gt;1,"",IF($G1085="ROKS",$S1085,IF($AI1085=1,0,MAX($O1085,$M1085-SUMIFS(TblApplications[RAM IKS libérable (Go)],TblApplications[Cluster IKS source],$F1085,TblApplications[Action],"À migrer",TblApplications[Mois prov (calc)],"&lt;="&amp;$E1085)-SUMIFS(TblApplications[RAM IKS libérable (Go)],TblApplications[Cluster IKS source],$F1085,TblApplications[Action],"À décommissionner",TblApplications[Mois lib (calc)],"&lt;="&amp;$E1085)))))</f>
        <v/>
      </c>
      <c r="Z1085" s="14" t="str">
        <f aca="false">IF($D1085&lt;&gt;1,"",IF($AI1085=1,0,MAX($J1085,ROUNDUP(MAX($X1085/$H1085,$Y1085/$I1085),0))))</f>
        <v/>
      </c>
      <c r="AA1085" s="84" t="str">
        <f aca="false">IF($D1085&lt;&gt;1,"",IF(p_mode="Nœud",$Z1085*$K1085,$X1085*IF($G1085="IKS",p_iks_cpu,p_roks_cpu)+$Y1085*IF($G1085="IKS",p_iks_ram,p_roks_ram))*p_facteur)</f>
        <v/>
      </c>
      <c r="AB1085" s="14" t="str">
        <f aca="false">IF($D1085&lt;&gt;1,"",MAX($J1085,ROUNDUP(MAX($L1085/$H1085,$M1085/$I1085),0)))</f>
        <v/>
      </c>
      <c r="AC1085" s="84" t="str">
        <f aca="false">IF($D1085&lt;&gt;1,"",IF(p_mode="Nœud",$AB1085*$K1085,$L1085*IF($G1085="IKS",p_iks_cpu,p_roks_cpu)+$M1085*IF($G1085="IKS",p_iks_ram,p_roks_ram))*p_facteur)</f>
        <v/>
      </c>
      <c r="AD1085" s="14" t="str">
        <f aca="false">IF($D1085&lt;&gt;1,"",IF(AND($G1085="IKS",$AI1085&lt;&gt;1,OR($L1085-$P1085&lt;$N1085,$M1085-$Q1085&lt;$O1085)),1,0))</f>
        <v/>
      </c>
      <c r="AE1085" s="14" t="str">
        <f aca="false">IF($D1085&lt;&gt;1,"",IF(AND($G1085="ROKS",$T1085&gt;p_maxworkers),1,0))</f>
        <v/>
      </c>
      <c r="AF1085" s="14" t="str">
        <f aca="false">IF($D1085&lt;&gt;1,"",IF(INDEX(TblClusters[Environnement],$B1085)="","(vide)",INDEX(TblClusters[Environnement],$B1085)))</f>
        <v/>
      </c>
      <c r="AG1085" s="14" t="str">
        <f aca="false">IF($D1085&lt;&gt;1,"",$R1085+p_poidsram*$S1085)</f>
        <v/>
      </c>
      <c r="AH1085" s="14" t="str">
        <f aca="false">IF($D1085&lt;&gt;1,"",IFERROR($W1085/$AG1085,0))</f>
        <v/>
      </c>
      <c r="AI1085" s="14" t="str">
        <f aca="false">IF($D1085&lt;&gt;1,"",IF(AND($G1085="IKS",ISNUMBER(INDEX(TblClusters[Fermeture retenue],$B1085))),IF($E1085&gt;=INDEX(TblClusters[Fermeture retenue],$B1085),1,0),0))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2026-09-22T16:24:53Z</dcterms:created>
  <dc:creator>openpyxl</dc:creator>
  <dc:description/>
  <dc:language>en-US</dc:language>
  <cp:lastModifiedBy/>
  <dcterms:modified xsi:type="dcterms:W3CDTF">2026-09-22T16:25:00Z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